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potswood College" sheetId="1" r:id="rId5"/>
    <sheet state="hidden" name="New Spotswood College" sheetId="2" r:id="rId6"/>
    <sheet state="hidden" name="Template" sheetId="3" r:id="rId7"/>
    <sheet state="visible" name="Pricing" sheetId="4" r:id="rId8"/>
    <sheet state="visible" name="Material" sheetId="5" r:id="rId9"/>
    <sheet state="visible" name="Data" sheetId="6" r:id="rId10"/>
    <sheet state="visible" name="Quotation" sheetId="7" r:id="rId11"/>
    <sheet state="visible" name="MTO" sheetId="8" r:id="rId12"/>
    <sheet state="visible" name="Audit Check" sheetId="9" r:id="rId13"/>
    <sheet state="hidden" name="Copy of MTO" sheetId="10" r:id="rId14"/>
    <sheet state="hidden" name="Old MTO" sheetId="11" r:id="rId15"/>
    <sheet state="visible" name="Flashing" sheetId="12" r:id="rId16"/>
    <sheet state="hidden" name="Acce Source" sheetId="13" r:id="rId17"/>
  </sheets>
  <definedNames>
    <definedName hidden="1" localSheetId="0" name="_xlnm._FilterDatabase">'Spotswood College'!$A$1:$BH$347</definedName>
    <definedName hidden="1" localSheetId="1" name="_xlnm._FilterDatabase">'New Spotswood College'!$A$1:$BH$347</definedName>
    <definedName hidden="1" localSheetId="2" name="_xlnm._FilterDatabase">Template!$A$1:$BH$929</definedName>
    <definedName hidden="1" localSheetId="3" name="_xlnm._FilterDatabase">Pricing!$A$1:$BH$381</definedName>
    <definedName hidden="1" localSheetId="12" name="_xlnm._FilterDatabase">'Acce Source'!$A$1:$BH$406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19">
      <text>
        <t xml:space="preserve">Count of  downpipe sections</t>
      </text>
    </comment>
    <comment authorId="0" ref="O122">
      <text>
        <t xml:space="preserve">Count of  downpipe sections</t>
      </text>
    </comment>
    <comment authorId="0" ref="O119">
      <text>
        <t xml:space="preserve">Count of 1.8m or 2.4m length per section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19">
      <text>
        <t xml:space="preserve">Count of  downpipe sections</t>
      </text>
    </comment>
    <comment authorId="0" ref="O122">
      <text>
        <t xml:space="preserve">Count of  downpipe sections</t>
      </text>
    </comment>
    <comment authorId="0" ref="O119">
      <text>
        <t xml:space="preserve">Count of 1.8m or 2.4m length per section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72">
      <text>
        <t xml:space="preserve">Count of  downpipe sections</t>
      </text>
    </comment>
    <comment authorId="0" ref="O143">
      <text>
        <t xml:space="preserve">Count of 1.8m or 2.4m length per section</t>
      </text>
    </comment>
    <comment authorId="0" ref="O172">
      <text>
        <t xml:space="preserve">Count of 1.8m or 2.4m length per section</t>
      </text>
    </comment>
    <comment authorId="0" ref="O523">
      <text>
        <t xml:space="preserve">Count of  downpipe sections</t>
      </text>
    </comment>
    <comment authorId="0" ref="O296">
      <text>
        <t xml:space="preserve">Count of  downpipe sections</t>
      </text>
    </comment>
    <comment authorId="0" ref="L292">
      <text>
        <t xml:space="preserve">Count of  downpipe sections</t>
      </text>
    </comment>
    <comment authorId="0" ref="L162">
      <text>
        <t xml:space="preserve">Count of  downpipe sections</t>
      </text>
    </comment>
    <comment authorId="0" ref="O197">
      <text>
        <t xml:space="preserve">Count of  downpipe sections</t>
      </text>
    </comment>
    <comment authorId="0" ref="O162">
      <text>
        <t xml:space="preserve">Count of 1.8m or 2.4m length per section</t>
      </text>
    </comment>
    <comment authorId="0" ref="O189">
      <text>
        <t xml:space="preserve">Count of  downpipe sections</t>
      </text>
    </comment>
    <comment authorId="0" ref="L185">
      <text>
        <t xml:space="preserve">Count of  downpipe sections</t>
      </text>
    </comment>
    <comment authorId="0" ref="O154">
      <text>
        <t xml:space="preserve">Count of  downpipe sections</t>
      </text>
    </comment>
    <comment authorId="0" ref="O185">
      <text>
        <t xml:space="preserve">Count of 1.8m or 2.4m length per section</t>
      </text>
    </comment>
    <comment authorId="0" ref="O437">
      <text>
        <t xml:space="preserve">Count of  downpipe sections</t>
      </text>
    </comment>
    <comment authorId="0" ref="L433">
      <text>
        <t xml:space="preserve">Count of  downpipe sections</t>
      </text>
    </comment>
    <comment authorId="0" ref="O371">
      <text>
        <t xml:space="preserve">Count of  downpipe sections</t>
      </text>
    </comment>
    <comment authorId="0" ref="O146">
      <text>
        <t xml:space="preserve">Count of  downpipe sections</t>
      </text>
    </comment>
    <comment authorId="0" ref="L175">
      <text>
        <t xml:space="preserve">Count of  downpipe sections</t>
      </text>
    </comment>
    <comment authorId="0" ref="L367">
      <text>
        <t xml:space="preserve">Count of  downpipe sections</t>
      </text>
    </comment>
    <comment authorId="0" ref="O433">
      <text>
        <t xml:space="preserve">Count of 1.8m or 2.4m length per section</t>
      </text>
    </comment>
    <comment authorId="0" ref="O175">
      <text>
        <t xml:space="preserve">Count of 1.8m or 2.4m length per section</t>
      </text>
    </comment>
    <comment authorId="0" ref="O367">
      <text>
        <t xml:space="preserve">Count of 1.8m or 2.4m length per section</t>
      </text>
    </comment>
    <comment authorId="0" ref="L520">
      <text>
        <t xml:space="preserve">Count of  downpipe sections</t>
      </text>
    </comment>
    <comment authorId="0" ref="O520">
      <text>
        <t xml:space="preserve">Count of 1.8m or 2.4m length per section</t>
      </text>
    </comment>
    <comment authorId="0" ref="O167">
      <text>
        <t xml:space="preserve">Count of  downpipe sections</t>
      </text>
    </comment>
    <comment authorId="0" ref="L194">
      <text>
        <t xml:space="preserve">Count of  downpipe sections</t>
      </text>
    </comment>
    <comment authorId="0" ref="L159">
      <text>
        <t xml:space="preserve">Count of  downpipe sections</t>
      </text>
    </comment>
    <comment authorId="0" ref="O194">
      <text>
        <t xml:space="preserve">Count of 1.8m or 2.4m length per section</t>
      </text>
    </comment>
    <comment authorId="0" ref="O159">
      <text>
        <t xml:space="preserve">Count of 1.8m or 2.4m length per section</t>
      </text>
    </comment>
    <comment authorId="0" ref="L151">
      <text>
        <t xml:space="preserve">Count of  downpipe sections</t>
      </text>
    </comment>
    <comment authorId="0" ref="O151">
      <text>
        <t xml:space="preserve">Count of 1.8m or 2.4m length per section</t>
      </text>
    </comment>
    <comment authorId="0" ref="O180">
      <text>
        <t xml:space="preserve">Count of  downpipe sections</t>
      </text>
    </comment>
    <comment authorId="0" ref="L143">
      <text>
        <t xml:space="preserve">Count of  downpipe sections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0">
      <text>
        <t xml:space="preserve">66m per roll</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90">
      <text>
        <t xml:space="preserve">Count of  downpipe sections</t>
      </text>
    </comment>
    <comment authorId="0" ref="O203">
      <text>
        <t xml:space="preserve">Count of  downpipe sections</t>
      </text>
    </comment>
    <comment authorId="0" ref="L183">
      <text>
        <t xml:space="preserve">Count of  downpipe sections</t>
      </text>
    </comment>
    <comment authorId="0" ref="O186">
      <text>
        <t xml:space="preserve">Count of  downpipe sections</t>
      </text>
    </comment>
    <comment authorId="0" ref="O183">
      <text>
        <t xml:space="preserve">Count of 1.8m or 2.4m length per section</t>
      </text>
    </comment>
    <comment authorId="0" ref="L196">
      <text>
        <t xml:space="preserve">Count of  downpipe sections</t>
      </text>
    </comment>
    <comment authorId="0" ref="O199">
      <text>
        <t xml:space="preserve">Count of  downpipe sections</t>
      </text>
    </comment>
    <comment authorId="0" ref="O196">
      <text>
        <t xml:space="preserve">Count of 1.8m or 2.4m length per section</t>
      </text>
    </comment>
  </commentList>
</comments>
</file>

<file path=xl/sharedStrings.xml><?xml version="1.0" encoding="utf-8"?>
<sst xmlns="http://schemas.openxmlformats.org/spreadsheetml/2006/main" count="9394" uniqueCount="1267">
  <si>
    <t>Project:</t>
  </si>
  <si>
    <t>Spotswood College</t>
  </si>
  <si>
    <t>DK Roofing BOQ</t>
  </si>
  <si>
    <t>Location:</t>
  </si>
  <si>
    <t>Building</t>
  </si>
  <si>
    <t>Timber</t>
  </si>
  <si>
    <t>SN</t>
  </si>
  <si>
    <t>Description</t>
  </si>
  <si>
    <t>Type</t>
  </si>
  <si>
    <t>Girth</t>
  </si>
  <si>
    <t>Degree</t>
  </si>
  <si>
    <t>Location</t>
  </si>
  <si>
    <t>BMT</t>
  </si>
  <si>
    <t>Coating</t>
  </si>
  <si>
    <t>Specs</t>
  </si>
  <si>
    <t>Unit</t>
  </si>
  <si>
    <t>BOQ</t>
  </si>
  <si>
    <t>TAKEOFF</t>
  </si>
  <si>
    <t>Qty</t>
  </si>
  <si>
    <t>MATERIAL</t>
  </si>
  <si>
    <t>LABOUR</t>
  </si>
  <si>
    <t>TOTAL COST</t>
  </si>
  <si>
    <t>For Markup</t>
  </si>
  <si>
    <t>factor</t>
  </si>
  <si>
    <t>Prelims</t>
  </si>
  <si>
    <t>Margin</t>
  </si>
  <si>
    <t>Rate</t>
  </si>
  <si>
    <t>Amount</t>
  </si>
  <si>
    <t>Quantity Formula</t>
  </si>
  <si>
    <t>Discrepancy</t>
  </si>
  <si>
    <t>Remarks</t>
  </si>
  <si>
    <t>QTY</t>
  </si>
  <si>
    <t>Pitch F</t>
  </si>
  <si>
    <t>Total Material Cost</t>
  </si>
  <si>
    <t>Total Labour</t>
  </si>
  <si>
    <t>ROOFING WORKS</t>
  </si>
  <si>
    <t>Roof Sheeting</t>
  </si>
  <si>
    <t>Supply and install 4311: DW Dimond advanced roofing system - 0.55mm BMT AM150 Zincalume Dimond BB900 TBC with Thermakraft 407 Covertek Roof Underlay, Dimond Ashgrid AG40 rail and AB40 post located above all
purlins complete with EPDM thermal breaks., Dimond R1.8 75mm thermal BIB insulation over R2.4 95mm BIB insulation, Lap seal tape, and 0.55mm BMT Dimond BB900 TBC Zincalume Base Sheet, as per general notes (A002)</t>
  </si>
  <si>
    <t>DRBB900Zinc055</t>
  </si>
  <si>
    <t>4311:01 - 0.55mm BMT AM150 Zincalume Dimond BB900 TBC @ 9 deg</t>
  </si>
  <si>
    <t>R-Sheeting</t>
  </si>
  <si>
    <t>m2</t>
  </si>
  <si>
    <t/>
  </si>
  <si>
    <t>DR75mmInsul</t>
  </si>
  <si>
    <t>Dimond R1.8 75mm thermal BIB insulation</t>
  </si>
  <si>
    <t>R-Insulation</t>
  </si>
  <si>
    <t>Matched</t>
  </si>
  <si>
    <t>DR95mmInsul</t>
  </si>
  <si>
    <t>Dimond R2.4 95mm BIB insulation</t>
  </si>
  <si>
    <t>DARSFixSt12x75</t>
  </si>
  <si>
    <t>Top Sheet Fixing - STEEL 12X75 COLOUR X100</t>
  </si>
  <si>
    <t>R-AdvFixing</t>
  </si>
  <si>
    <t>ea</t>
  </si>
  <si>
    <t>DARSepdmWsh</t>
  </si>
  <si>
    <t>Top Sheet EPDM - EPDM SEALING WASH X100</t>
  </si>
  <si>
    <t>LM</t>
  </si>
  <si>
    <t>DARSPrWshrBB900</t>
  </si>
  <si>
    <t>Top Sheet Profile Washer - ROOF WASHER BB900 x100</t>
  </si>
  <si>
    <t>AG40rail</t>
  </si>
  <si>
    <t>4311:03 - Ashgrid AG40 rail</t>
  </si>
  <si>
    <t>R-Rail</t>
  </si>
  <si>
    <t>AB40post</t>
  </si>
  <si>
    <t>4311:03 - AB40 post</t>
  </si>
  <si>
    <t>R-Post</t>
  </si>
  <si>
    <t>PostFixSt12x30</t>
  </si>
  <si>
    <t>4311:11 - Fixings 12g x 20mm tek (for steel purlins) to secure the post to purlins. STEEL 12X30 NO NEO X100</t>
  </si>
  <si>
    <t>R-PostFix</t>
  </si>
  <si>
    <t>EPDMThrmBrks</t>
  </si>
  <si>
    <t>4311:03 - EPDM thermal breaks</t>
  </si>
  <si>
    <t>R-Takeoff LM</t>
  </si>
  <si>
    <t>DRBB900Maxam055</t>
  </si>
  <si>
    <t>4311:01 - 0.55bmt BB900 Maxam</t>
  </si>
  <si>
    <t>9°</t>
  </si>
  <si>
    <t>LinerFixSt12x20</t>
  </si>
  <si>
    <t>Liner Fixing - STEEL 12X20 PER X100</t>
  </si>
  <si>
    <t>Mismatched</t>
  </si>
  <si>
    <t>4311:01 - 0.55mm BMT AM150 Zincalume Dimond BB900 TBC @ 5 deg</t>
  </si>
  <si>
    <t>4311:11 - Fixings 12g x 20mm tek (for steel purlins) to secure the post to purlins</t>
  </si>
  <si>
    <t>Underlay</t>
  </si>
  <si>
    <t>Supply and install underlay</t>
  </si>
  <si>
    <t>TKUF407</t>
  </si>
  <si>
    <t>4311:02 - Thermakraft 407 Covertek Roof Underlay</t>
  </si>
  <si>
    <t>R-Underlay</t>
  </si>
  <si>
    <t xml:space="preserve"> </t>
  </si>
  <si>
    <t>TKGenTape</t>
  </si>
  <si>
    <t>Thermakraft White General Purpose Tape (60 mm × 66 m)</t>
  </si>
  <si>
    <t>R-UTape</t>
  </si>
  <si>
    <t>No Specs</t>
  </si>
  <si>
    <t>5°</t>
  </si>
  <si>
    <t>Safety mesh</t>
  </si>
  <si>
    <t>Supply and install safety mesh</t>
  </si>
  <si>
    <t>Safetymesh</t>
  </si>
  <si>
    <t>R-Safety Mesh</t>
  </si>
  <si>
    <t>Flashing/Capping</t>
  </si>
  <si>
    <t>Supply and install 0.55mm BMT Coloursteel Maxam ridge cap flashing, as per detail 5 (A502)</t>
  </si>
  <si>
    <t>0.55mm BMT Coloursteel Maxam ridge cap flashing (690/6B)</t>
  </si>
  <si>
    <t>R-Flashing</t>
  </si>
  <si>
    <t>Mag</t>
  </si>
  <si>
    <t>Silicone 300ml</t>
  </si>
  <si>
    <t>R-Silicone</t>
  </si>
  <si>
    <t>Rivets</t>
  </si>
  <si>
    <t>R-Rivets</t>
  </si>
  <si>
    <t>Fixings</t>
  </si>
  <si>
    <t>R-GenFix</t>
  </si>
  <si>
    <t>Profiled Foam Filler Top</t>
  </si>
  <si>
    <t>R-FFTop</t>
  </si>
  <si>
    <t>Turn Up Roof End</t>
  </si>
  <si>
    <t>R-TU/TD</t>
  </si>
  <si>
    <t>Supply and install 0.55mm BMT Coloursteel Maxam side barge flashing, as per detail 6 (A502)</t>
  </si>
  <si>
    <t>0.55mm BMT Coloursteel Maxam side barge flashing (570/3B) @ 9 deg</t>
  </si>
  <si>
    <t>Square Foam Filler Top</t>
  </si>
  <si>
    <t>R-FFSide</t>
  </si>
  <si>
    <t>0.55mm BMT Coloursteel Maxam side barge flashing (570/3B) @ 5 deg</t>
  </si>
  <si>
    <t>Supply and install 0.55mm BMT cover flashing, as per detail 4 (A502)</t>
  </si>
  <si>
    <t>0.55mm BMT cover flashing (710/8B)</t>
  </si>
  <si>
    <t>Supply and install 0.55mm BMT Coloursteel Maxam eaves flashing, as per detail 4 (A502)</t>
  </si>
  <si>
    <t>0.55mm BMT Coloursteel Maxam eaves flashing (320/3B)</t>
  </si>
  <si>
    <t>Fascia &amp; Gutter</t>
  </si>
  <si>
    <t>Supply and install 7411:SP1 - 0.55mm BMT Coil coated steel Dimond 300 Box gutter, including 4311:09 - Vent Eaves Comb filler G1275, as per detail 4 (A502)</t>
  </si>
  <si>
    <t>0.55mm BMT Coil coated steel Dimond 300 Box gutter (610/5B)</t>
  </si>
  <si>
    <t>R-EavesGut</t>
  </si>
  <si>
    <t>300mm External Bracket @ 900 crs</t>
  </si>
  <si>
    <t>R-EGBracket</t>
  </si>
  <si>
    <t>R-EGBracketFixing</t>
  </si>
  <si>
    <t>R-RivetsEa</t>
  </si>
  <si>
    <t>Profiled Foam Filler Bottom</t>
  </si>
  <si>
    <t>R-FFBottom</t>
  </si>
  <si>
    <t>Turn Down Roof End</t>
  </si>
  <si>
    <t>CFV1275</t>
  </si>
  <si>
    <t>Vent Eaves Comb filler G1275</t>
  </si>
  <si>
    <t>R-Comb Filler</t>
  </si>
  <si>
    <t>GutStopEndRH</t>
  </si>
  <si>
    <t>Eaves Gutter Stop Ends | Right Hand</t>
  </si>
  <si>
    <t>R-Takeoff ea</t>
  </si>
  <si>
    <t>GutStopEndLH</t>
  </si>
  <si>
    <t>Eaves Gutter Stop Ends | Left Hand</t>
  </si>
  <si>
    <t>Downpipe</t>
  </si>
  <si>
    <t>Supply and install 7411:DP2 - Dimond 150mmØ downpipe and outlet pops, as per general notes (A002)</t>
  </si>
  <si>
    <t>Downpipe 150mmØ</t>
  </si>
  <si>
    <t>R-DP</t>
  </si>
  <si>
    <t>Bracket 150mmØ</t>
  </si>
  <si>
    <t>R-DPBracket</t>
  </si>
  <si>
    <t>150mmØ Outlet pops</t>
  </si>
  <si>
    <t>R-OP</t>
  </si>
  <si>
    <t>R-OPFixing</t>
  </si>
  <si>
    <t>WALL CLADDING WORKS</t>
  </si>
  <si>
    <t>Wall Cladding</t>
  </si>
  <si>
    <t>Supply and install 4241:01 - 0.55mm BMT AM150 Zincalume Dimond BB900, as per general notes (A002)</t>
  </si>
  <si>
    <t>4241:01 - 0.55mm BMT AM150 Zincalume Dimond BB900</t>
  </si>
  <si>
    <t>W-Sheeting</t>
  </si>
  <si>
    <t>10-Men</t>
  </si>
  <si>
    <t>1-Days</t>
  </si>
  <si>
    <t>Fixings with washer</t>
  </si>
  <si>
    <t>W-Fixings</t>
  </si>
  <si>
    <t>W-Underlay</t>
  </si>
  <si>
    <t>W-UTape</t>
  </si>
  <si>
    <t>VB20</t>
  </si>
  <si>
    <t>VB20 Drispace cavity battens @ 800crs max</t>
  </si>
  <si>
    <t>W-Vent</t>
  </si>
  <si>
    <r>
      <rPr>
        <rFont val="Verdana"/>
        <color rgb="FF000000"/>
        <sz val="11.0"/>
      </rPr>
      <t xml:space="preserve">Supply and install 0.55mm BMT Coloursteel Maxam external corner flashing, </t>
    </r>
    <r>
      <rPr>
        <rFont val="Verdana"/>
        <b/>
        <color rgb="FF000000"/>
        <sz val="11.0"/>
      </rPr>
      <t>(No details)</t>
    </r>
  </si>
  <si>
    <t>0.55mm BMT Coloursteel Maxam external corner flashing (500/3B)</t>
  </si>
  <si>
    <t>W-Flashing</t>
  </si>
  <si>
    <t>W-Silicone</t>
  </si>
  <si>
    <t>W-Rivets</t>
  </si>
  <si>
    <t>W-GenFix</t>
  </si>
  <si>
    <t>Supply and install 4241:03 - H3.1 40x20mm batten with DPC separation to compartmentalise facade activities, as per general notes (A002)</t>
  </si>
  <si>
    <t>tp</t>
  </si>
  <si>
    <t>H3.1 40x20mm batten</t>
  </si>
  <si>
    <t>W-Timber LM</t>
  </si>
  <si>
    <t>DPC separation to compartmentalise facade activities</t>
  </si>
  <si>
    <t>W-DPC</t>
  </si>
  <si>
    <t>Supply and install 4241:04 - Cavity closer - Eaves Comb filler over cavity batten, as per general notes (A002)</t>
  </si>
  <si>
    <t>Cavity closer - Eaves Comb filler over cavity batten</t>
  </si>
  <si>
    <t>W-Comb Filler</t>
  </si>
  <si>
    <t>PRELIMINARIES</t>
  </si>
  <si>
    <t>TOTAL</t>
  </si>
  <si>
    <t>P</t>
  </si>
  <si>
    <t>Pre-mobilisation documents</t>
  </si>
  <si>
    <t>WSH VOC</t>
  </si>
  <si>
    <t>EWP VOC</t>
  </si>
  <si>
    <t>Medical</t>
  </si>
  <si>
    <t>SB VOC</t>
  </si>
  <si>
    <t>Other Pre-mob docs</t>
  </si>
  <si>
    <t>wastage</t>
  </si>
  <si>
    <t>Cost</t>
  </si>
  <si>
    <t>Labour</t>
  </si>
  <si>
    <t>Adjustment</t>
  </si>
  <si>
    <t>W+C</t>
  </si>
  <si>
    <t>If Required</t>
  </si>
  <si>
    <t>cost</t>
  </si>
  <si>
    <t>Labour Duration</t>
  </si>
  <si>
    <t>Labour cost</t>
  </si>
  <si>
    <t>BASE COST</t>
  </si>
  <si>
    <t>Sub-Total</t>
  </si>
  <si>
    <t>Profit</t>
  </si>
  <si>
    <t>Site Measure &amp; Order Materials</t>
  </si>
  <si>
    <t>Travel</t>
  </si>
  <si>
    <t>Site Hours</t>
  </si>
  <si>
    <t>Vehicle (km)</t>
  </si>
  <si>
    <t>Flight</t>
  </si>
  <si>
    <t>A+M</t>
  </si>
  <si>
    <t>PRICE</t>
  </si>
  <si>
    <t>Base Cost</t>
  </si>
  <si>
    <t>Wastage</t>
  </si>
  <si>
    <t>Mark-up</t>
  </si>
  <si>
    <t>Total Amount</t>
  </si>
  <si>
    <t>Materials</t>
  </si>
  <si>
    <t>Total</t>
  </si>
  <si>
    <t>Freight materials to site</t>
  </si>
  <si>
    <t>Mesh/Inso/Roof</t>
  </si>
  <si>
    <t>Roof</t>
  </si>
  <si>
    <t>Roof/Wall</t>
  </si>
  <si>
    <t>FL/Others</t>
  </si>
  <si>
    <t>Team</t>
  </si>
  <si>
    <t>Foreman</t>
  </si>
  <si>
    <t>2IC</t>
  </si>
  <si>
    <t>Roofer</t>
  </si>
  <si>
    <t>T/A</t>
  </si>
  <si>
    <t>Team Rate/Hr</t>
  </si>
  <si>
    <t>Mob</t>
  </si>
  <si>
    <t>+ GST</t>
  </si>
  <si>
    <t>DAYS</t>
  </si>
  <si>
    <t>Area</t>
  </si>
  <si>
    <t>Rate/m2</t>
  </si>
  <si>
    <t>Week</t>
  </si>
  <si>
    <t>Target Days</t>
  </si>
  <si>
    <t>Selling</t>
  </si>
  <si>
    <t>Samples, warranties, maintenance manuals</t>
  </si>
  <si>
    <t>Samples/Mock-up</t>
  </si>
  <si>
    <t>Insurance</t>
  </si>
  <si>
    <t>Warranty</t>
  </si>
  <si>
    <t>Testing</t>
  </si>
  <si>
    <t>SD</t>
  </si>
  <si>
    <t>Wall</t>
  </si>
  <si>
    <t>Soffit</t>
  </si>
  <si>
    <t>Month</t>
  </si>
  <si>
    <t>ROOF</t>
  </si>
  <si>
    <t>WALL</t>
  </si>
  <si>
    <t>SOFFIT</t>
  </si>
  <si>
    <t>Site IndUCtions, PPE and safety meetings</t>
  </si>
  <si>
    <t>Online IndUC</t>
  </si>
  <si>
    <t>Site IndUC</t>
  </si>
  <si>
    <t>DCAC</t>
  </si>
  <si>
    <t>PPE</t>
  </si>
  <si>
    <t>Qty.</t>
  </si>
  <si>
    <t>Men</t>
  </si>
  <si>
    <t>Output (Unit/Hr)</t>
  </si>
  <si>
    <t>Output (Unit/Day)</t>
  </si>
  <si>
    <t>Days</t>
  </si>
  <si>
    <t>Rate/Unit</t>
  </si>
  <si>
    <t>Cranage</t>
  </si>
  <si>
    <t>Item</t>
  </si>
  <si>
    <t>HR</t>
  </si>
  <si>
    <t>TWR</t>
  </si>
  <si>
    <t>Administration</t>
  </si>
  <si>
    <t>#</t>
  </si>
  <si>
    <t>Hrs</t>
  </si>
  <si>
    <t>PM</t>
  </si>
  <si>
    <t>Admin</t>
  </si>
  <si>
    <t>Estimate</t>
  </si>
  <si>
    <t>Site Prelims</t>
  </si>
  <si>
    <t>Travel Allowance (Labour) Yard to Site (Metro 50 meter radius)</t>
  </si>
  <si>
    <t>Vehicle (Metro)</t>
  </si>
  <si>
    <t>Parking</t>
  </si>
  <si>
    <t>Accommodation (Remote)</t>
  </si>
  <si>
    <t>Meals (Remote)</t>
  </si>
  <si>
    <t>Return Flight (Remote) NP to Site</t>
  </si>
  <si>
    <t>Travel Allowance (Labour) NP to Site (Remote)</t>
  </si>
  <si>
    <t>Travel Allowance (Labour) accommodation to site (Remote)</t>
  </si>
  <si>
    <t>Fuel</t>
  </si>
  <si>
    <t xml:space="preserve">Crane/Dogman/Handlift </t>
  </si>
  <si>
    <t>300T Crane - Mob/Demob</t>
  </si>
  <si>
    <t>On Site</t>
  </si>
  <si>
    <t>Dogman</t>
  </si>
  <si>
    <t>Counterweight</t>
  </si>
  <si>
    <t>60T Crane - Mob/Demob</t>
  </si>
  <si>
    <t>Access Machine</t>
  </si>
  <si>
    <t>Z80</t>
  </si>
  <si>
    <t>Mob/Demob</t>
  </si>
  <si>
    <t>EWP</t>
  </si>
  <si>
    <t>Spotter</t>
  </si>
  <si>
    <t>Levy</t>
  </si>
  <si>
    <t>S60</t>
  </si>
  <si>
    <t>Scissor</t>
  </si>
  <si>
    <t>Others</t>
  </si>
  <si>
    <t>EP</t>
  </si>
  <si>
    <t>Tower</t>
  </si>
  <si>
    <t>EP Hire</t>
  </si>
  <si>
    <t>Tower Hire</t>
  </si>
  <si>
    <t>Direct Cost</t>
  </si>
  <si>
    <t>Material</t>
  </si>
  <si>
    <t>Sub-Total Direct Cost</t>
  </si>
  <si>
    <t>In-Direct Cost</t>
  </si>
  <si>
    <t>Sub-Total In-Direct Cost</t>
  </si>
  <si>
    <t>Margin to Direct Cost Only</t>
  </si>
  <si>
    <t>TOTAL SELLING (PRICE) + GST</t>
  </si>
  <si>
    <t>Plant &amp; Equipment</t>
  </si>
  <si>
    <t>Total Selling + GST</t>
  </si>
  <si>
    <t>Total Area</t>
  </si>
  <si>
    <t>Total Days</t>
  </si>
  <si>
    <r>
      <rPr>
        <rFont val="Verdana"/>
        <color rgb="FF000000"/>
        <sz val="11.0"/>
      </rPr>
      <t xml:space="preserve">Supply and install 0.55mm BMT Coloursteel Maxam external corner flashing, </t>
    </r>
    <r>
      <rPr>
        <rFont val="Verdana"/>
        <b/>
        <color rgb="FF000000"/>
        <sz val="11.0"/>
      </rPr>
      <t>(No details)</t>
    </r>
  </si>
  <si>
    <t>S-Sheeting</t>
  </si>
  <si>
    <t>S-Fixings</t>
  </si>
  <si>
    <t>R-Accessories</t>
  </si>
  <si>
    <t>S-GenFix</t>
  </si>
  <si>
    <t>S-Rivets</t>
  </si>
  <si>
    <t>R-Batten</t>
  </si>
  <si>
    <t>S-Underlay</t>
  </si>
  <si>
    <t>R-BG</t>
  </si>
  <si>
    <t>S-UTape</t>
  </si>
  <si>
    <t>R-BGBracket</t>
  </si>
  <si>
    <t>W-Safety Mesh</t>
  </si>
  <si>
    <t>S-Safety Mesh</t>
  </si>
  <si>
    <t>R-BGBracketFixing</t>
  </si>
  <si>
    <t>W-TS</t>
  </si>
  <si>
    <t>S-TS</t>
  </si>
  <si>
    <t>R-Butyl</t>
  </si>
  <si>
    <t>W-Takeoff</t>
  </si>
  <si>
    <t>S-TSPurlinStrip</t>
  </si>
  <si>
    <t>W-Takeoff LM</t>
  </si>
  <si>
    <t>S-TSFixing</t>
  </si>
  <si>
    <t>R-Dektite</t>
  </si>
  <si>
    <t>W-Takeoff m2</t>
  </si>
  <si>
    <t>S-TSStitching</t>
  </si>
  <si>
    <t>R-Dektite Fix</t>
  </si>
  <si>
    <t>W-TSPurlinStrip</t>
  </si>
  <si>
    <t>S-TSLapSeal</t>
  </si>
  <si>
    <t>R-Dektite Seal</t>
  </si>
  <si>
    <t>W-TSFixing</t>
  </si>
  <si>
    <t>S-FFTop</t>
  </si>
  <si>
    <t>W-TSStitching</t>
  </si>
  <si>
    <t>S-FFBottom</t>
  </si>
  <si>
    <t>R-DPC</t>
  </si>
  <si>
    <t>W-TSLapSeal</t>
  </si>
  <si>
    <t>S-FFSide</t>
  </si>
  <si>
    <t>W-FFTop</t>
  </si>
  <si>
    <t>S-Comb Filler</t>
  </si>
  <si>
    <t>R-DPBends</t>
  </si>
  <si>
    <t>W-FFBottom</t>
  </si>
  <si>
    <t>S-Accessories</t>
  </si>
  <si>
    <t>W-FFSide</t>
  </si>
  <si>
    <t>S-Tophat</t>
  </si>
  <si>
    <t>S-Batten</t>
  </si>
  <si>
    <t>W-Accessories</t>
  </si>
  <si>
    <t>S-Trimmer/Packer</t>
  </si>
  <si>
    <t>R-ExpFoam</t>
  </si>
  <si>
    <t>W-Tophat</t>
  </si>
  <si>
    <t>S-Silicone</t>
  </si>
  <si>
    <t>R-Fascia</t>
  </si>
  <si>
    <t>W-Batten</t>
  </si>
  <si>
    <t>S-TU/TD</t>
  </si>
  <si>
    <t>R-FasciaBracket</t>
  </si>
  <si>
    <t>W-Trimmer/Packer</t>
  </si>
  <si>
    <t>R-FasciaBracketFixing</t>
  </si>
  <si>
    <t>S-PenoSmall</t>
  </si>
  <si>
    <t>W-TU/TD</t>
  </si>
  <si>
    <t>S-PenoBig</t>
  </si>
  <si>
    <t>S-Dektite</t>
  </si>
  <si>
    <t>W-PenoSmall</t>
  </si>
  <si>
    <t>S-KS</t>
  </si>
  <si>
    <t>R-Fixings</t>
  </si>
  <si>
    <t>W-PenoBig</t>
  </si>
  <si>
    <t>S-Butyl</t>
  </si>
  <si>
    <t>W-Dektite</t>
  </si>
  <si>
    <t>S-InsoBlanket</t>
  </si>
  <si>
    <t>R-PanFlashing</t>
  </si>
  <si>
    <t>W-KS</t>
  </si>
  <si>
    <t>S-ExpFoam</t>
  </si>
  <si>
    <t>W-Butyl</t>
  </si>
  <si>
    <t>S-KSFixing</t>
  </si>
  <si>
    <t>R-InsoBlanket</t>
  </si>
  <si>
    <t>W-InsoBlanket</t>
  </si>
  <si>
    <t>S-Flashing</t>
  </si>
  <si>
    <t>W-ExpFoam</t>
  </si>
  <si>
    <t>S-MAnchor</t>
  </si>
  <si>
    <t>R-KS</t>
  </si>
  <si>
    <t>W-KSFixing</t>
  </si>
  <si>
    <t>R-KSFixing</t>
  </si>
  <si>
    <t>R-KSStitching</t>
  </si>
  <si>
    <t>W-MAnchor</t>
  </si>
  <si>
    <t>R-LM</t>
  </si>
  <si>
    <t>W-KSStitching</t>
  </si>
  <si>
    <t>R-m2</t>
  </si>
  <si>
    <t>R-MAnchor</t>
  </si>
  <si>
    <t>R-OF</t>
  </si>
  <si>
    <t>W-Timber m2</t>
  </si>
  <si>
    <t>W-TimberLMFix</t>
  </si>
  <si>
    <t>W-Timberm2Fix</t>
  </si>
  <si>
    <t>R-OPSeal</t>
  </si>
  <si>
    <t>R-PanFlash Fix</t>
  </si>
  <si>
    <t>R-PenoBig</t>
  </si>
  <si>
    <t>R-PenoSmall</t>
  </si>
  <si>
    <t>R-Prickle</t>
  </si>
  <si>
    <t>R-Rainhead</t>
  </si>
  <si>
    <t>R-Ridge Vent</t>
  </si>
  <si>
    <t>R-Ridge Vent-half</t>
  </si>
  <si>
    <t>R-Safety Netting</t>
  </si>
  <si>
    <t>R-Scupper</t>
  </si>
  <si>
    <t>R-Silicone LM</t>
  </si>
  <si>
    <t>R-SumpFixing</t>
  </si>
  <si>
    <t>R-SumpSeal</t>
  </si>
  <si>
    <t>R-Sump</t>
  </si>
  <si>
    <t>R-Takeoff</t>
  </si>
  <si>
    <t>R-Takeoff m2</t>
  </si>
  <si>
    <t>R-Timber LM</t>
  </si>
  <si>
    <t>R-Timber m2</t>
  </si>
  <si>
    <t>R-TimberLMFix</t>
  </si>
  <si>
    <t>R-Timberm2Fix</t>
  </si>
  <si>
    <t>R-Tophat</t>
  </si>
  <si>
    <t>R-TPO</t>
  </si>
  <si>
    <t>R-TPO Gutter</t>
  </si>
  <si>
    <t>R-Trimmer/Packer</t>
  </si>
  <si>
    <t>R-TS</t>
  </si>
  <si>
    <t>R-TSFixing</t>
  </si>
  <si>
    <t>R-TSLapSeal</t>
  </si>
  <si>
    <t>R-TSPurlinStrip</t>
  </si>
  <si>
    <t>R-TSStitching</t>
  </si>
  <si>
    <t>R-UBracket</t>
  </si>
  <si>
    <t>R-UBracketFix</t>
  </si>
  <si>
    <t>R-Valley Gutter</t>
  </si>
  <si>
    <t>R-Vent</t>
  </si>
  <si>
    <t>R-ZFlashingFix</t>
  </si>
  <si>
    <t>DKR-</t>
  </si>
  <si>
    <t>TB</t>
  </si>
  <si>
    <t>NORTH BOUND ROOFING WORKS</t>
  </si>
  <si>
    <t>B</t>
  </si>
  <si>
    <t>Supply and install 0.55mm BMT Dimondek 630 metal roofing, as per plan (A183)</t>
  </si>
  <si>
    <t>DRDek630Mag055</t>
  </si>
  <si>
    <t>0.55mm BMT Dimondek 630 metal roofing @ 3 deg - at 1200mm purlin spacing</t>
  </si>
  <si>
    <t>North Bound</t>
  </si>
  <si>
    <t>DRDek630Clip</t>
  </si>
  <si>
    <t>Dimondek 630 Clip</t>
  </si>
  <si>
    <t>R-Clips</t>
  </si>
  <si>
    <t>DRDek630T17</t>
  </si>
  <si>
    <t>Wafer 10x65 T17 SD No Neo</t>
  </si>
  <si>
    <t>Ma</t>
  </si>
  <si>
    <t>630WindClamp</t>
  </si>
  <si>
    <t>Windclamp</t>
  </si>
  <si>
    <t>R-Windclamp</t>
  </si>
  <si>
    <t>0.55mm BMT Dimondek 630 metal roofing @ 3 deg - at 900mm purlin spacing</t>
  </si>
  <si>
    <t>0.55mm BMT Dimondek 630 metal roofing @ 3 deg - at 700mm purlin spacing</t>
  </si>
  <si>
    <t>TKUF405</t>
  </si>
  <si>
    <t>Thermakraft Covertek 405 self supporting fire retardant</t>
  </si>
  <si>
    <t>Supply and install 0.55mm BMT ridge cap flashing (530/3B), as per detail A (A-3000)</t>
  </si>
  <si>
    <t>Fl</t>
  </si>
  <si>
    <t>0.55mm BMT ridge cap flashing (530/3B)</t>
  </si>
  <si>
    <t>Turn Up/Down Roof End</t>
  </si>
  <si>
    <t>Soakerflash</t>
  </si>
  <si>
    <t>Soaker under flashing</t>
  </si>
  <si>
    <t>Supply and install 0.55mm BMT hip cap flashing</t>
  </si>
  <si>
    <t>0.55mm BMT hip cap flashing (530/3B)</t>
  </si>
  <si>
    <t>15|15</t>
  </si>
  <si>
    <t>Supply and install 0.55mm BMT side barge flashing (780/3B), as per detail 7 (A511)</t>
  </si>
  <si>
    <t>0.55mm BMT side barge flashing (780/3B)</t>
  </si>
  <si>
    <t>Square Foam Filler</t>
  </si>
  <si>
    <t>ThermExpFlashClip</t>
  </si>
  <si>
    <t>Thermal expansion flashing clip</t>
  </si>
  <si>
    <t>R-ThermExpFlashClip</t>
  </si>
  <si>
    <t>Supply and install 0.55mm BMT backtray flashing as per plan (A180)</t>
  </si>
  <si>
    <t>0.55mm BMT backtray flashing (2100/2B) @ 3 deg</t>
  </si>
  <si>
    <t>Supply and install 0.55mm BMT backtray flashing as per plan (A183)</t>
  </si>
  <si>
    <t>0.55mm BMT backtray flashing (2650/2B) @ 3 deg</t>
  </si>
  <si>
    <t>Supply and install 0.55mm BMT eaves flashing (310/3B), as per detail 1 (A510)</t>
  </si>
  <si>
    <t>0.55mm BMT eaves flashing (310/3B)</t>
  </si>
  <si>
    <t>Vent NZ comb fller G1275 fixed to flashing</t>
  </si>
  <si>
    <t>Supply and install 0.55mm BMT eaves flashing (310/3B)</t>
  </si>
  <si>
    <t>0.55mm BMT eaves flashing (310/3B) @ 3 deg</t>
  </si>
  <si>
    <t>Fascia</t>
  </si>
  <si>
    <t>Supply and install Proprietary 146mm Metal Fascia, as per detail (A-4100)</t>
  </si>
  <si>
    <t>MetalFascia</t>
  </si>
  <si>
    <t>Proprietary 146mm Metal Fascia</t>
  </si>
  <si>
    <t>Penos</t>
  </si>
  <si>
    <t>Supply and install proprietary boot flashing for roof penetration</t>
  </si>
  <si>
    <t>RPenoSmall</t>
  </si>
  <si>
    <t>Vent pipe penetrations</t>
  </si>
  <si>
    <t>SmallDektiteFlash</t>
  </si>
  <si>
    <t>Dektite flexible boot flashing</t>
  </si>
  <si>
    <t>Gutter</t>
  </si>
  <si>
    <t>Supply and install 300mm Dimond External Box Gutter (670/5B), as per detail 1 (A510)</t>
  </si>
  <si>
    <t>Gu</t>
  </si>
  <si>
    <t>DRBG300Mag</t>
  </si>
  <si>
    <t>300mm Dimond External Box Gutter (670/5B)</t>
  </si>
  <si>
    <t>DRBG300ExtbktGalvC</t>
  </si>
  <si>
    <t>300mm External Bracket @ 600mm crs</t>
  </si>
  <si>
    <t>R-SE</t>
  </si>
  <si>
    <t>Supply and install 350mm External Box Gutter (980/5B), as per detail 4 (A262)</t>
  </si>
  <si>
    <t>DRBG350Mag</t>
  </si>
  <si>
    <t>350mm External Box Gutter (980/5B), as per detail 4 (A262)</t>
  </si>
  <si>
    <t>DRBG350ExtbktGalvC</t>
  </si>
  <si>
    <t>350mm External Bracket @ 600mm crs</t>
  </si>
  <si>
    <t>Supply and install 150mmØ uPVC downpipe &amp; outlet pops, as per plan (A212)</t>
  </si>
  <si>
    <t>Dp</t>
  </si>
  <si>
    <t>Horizontal Downpipe 150mmØ</t>
  </si>
  <si>
    <t>Vertical Downpipe 150mmØ</t>
  </si>
  <si>
    <t>dpBends</t>
  </si>
  <si>
    <t>Bends</t>
  </si>
  <si>
    <t>dpTees</t>
  </si>
  <si>
    <t>Tees</t>
  </si>
  <si>
    <t>AM INBOUND ROOFING WORKS</t>
  </si>
  <si>
    <t>Supply and install 0.55mm BMT Dimondek 630 metal roofing, as per plan 1 (A184)</t>
  </si>
  <si>
    <t>0.55mm BMT Dimondek 630 metal roofing @ 3 deg</t>
  </si>
  <si>
    <t>AM Inbound</t>
  </si>
  <si>
    <t>0.55mm BMT side barge flashing (780/3B) @ 3 deg</t>
  </si>
  <si>
    <t>Supply and install 0.55mm BMT head apron flashing (370/4B), as per detail 4 (A510)</t>
  </si>
  <si>
    <t>0.55mm BMT head apron flashing (370/4B)</t>
  </si>
  <si>
    <t>Supply and install 0.55mm BMT backtray flashing as per plan (A184)</t>
  </si>
  <si>
    <t>0.55mm BMT backtray flashing (2600/2B) @ 3 deg</t>
  </si>
  <si>
    <t>0.55mm BMT backtray flashing (2000/2B) @ 3 deg</t>
  </si>
  <si>
    <t>Supply and install 350mm External Box Gutter (980/5B), as per detail 3 (A262)</t>
  </si>
  <si>
    <t>Supply and install 150mmØ uPVC downpipe &amp; outlet pops, as per plan (A210)</t>
  </si>
  <si>
    <t>AM OUTBOUND ROOFING WORKS</t>
  </si>
  <si>
    <t>Supply and install 0.55mm BMT Dimondek 630 metal roofing, as per plan 2 (A184)</t>
  </si>
  <si>
    <t>AM Outbound</t>
  </si>
  <si>
    <t>300mm Dimond External Box Gutter (670/5B) @ 3 deg</t>
  </si>
  <si>
    <t>Supply and install 150mmØ uPVC downpipe &amp; outlet pops, as per plan (A211)</t>
  </si>
  <si>
    <t>PALLET CANOPY ROOFING WORKS</t>
  </si>
  <si>
    <t>Supply and install 0.55mm BMT Dimondek 630 metal roofing, as per plan 3 (A185)</t>
  </si>
  <si>
    <t>Pallet Canopy</t>
  </si>
  <si>
    <t>Supply and install 0.55mm BMT head apron flashing (400/4B), as per detail 4 (A511)</t>
  </si>
  <si>
    <t>0.55mm BMT head apron flashing (400/4B)</t>
  </si>
  <si>
    <t>Supply and install 0.55mm BMT eaves flashing (300/3B), as per detail 3 (A511)</t>
  </si>
  <si>
    <t>0.55mm BMT eaves flashing (300/3B)</t>
  </si>
  <si>
    <t>Supply and install 300mm Dimond External Box Gutter (670/5B), as per detail 3 (A511)</t>
  </si>
  <si>
    <t>Supply and install 150mmØ uPVC downpipe &amp; outlet pops, as per plan (A200)</t>
  </si>
  <si>
    <t>SPRINKLER TPO ROOFING WORKS</t>
  </si>
  <si>
    <t>TPO Membrane</t>
  </si>
  <si>
    <t>Supply and install Viking Enviroclad TPO membrane, as per plan 1 (A185)</t>
  </si>
  <si>
    <t>VikingEnv1.5</t>
  </si>
  <si>
    <t>Viking 'Enviroclad' 1.5mm TPO membrane @ 4 deg</t>
  </si>
  <si>
    <t>Sprinkler TPO Roof</t>
  </si>
  <si>
    <t>Supply and install 125mm Dimond External Box Gutter (360/5B), as per detail 1 (A514)</t>
  </si>
  <si>
    <t>DRBG125Mag</t>
  </si>
  <si>
    <t>125mm Dimond External Box Gutter (360/5B)</t>
  </si>
  <si>
    <t>DRBG125EBC</t>
  </si>
  <si>
    <t>125mm External Bracket @ 600mm crs</t>
  </si>
  <si>
    <t>TimberFascia</t>
  </si>
  <si>
    <t>230x28mm H3.1 Timber Fascia</t>
  </si>
  <si>
    <t>CANOPY ROOFING WORKS</t>
  </si>
  <si>
    <t>Supply and install 0.55mm BMT Dimondek 630 metal roofing, as per plan 2 (A185)</t>
  </si>
  <si>
    <t>Canopy Roof</t>
  </si>
  <si>
    <t>Thermakraft Covertek 407 self supporting fire retardant</t>
  </si>
  <si>
    <t>Supply and install 150mmØ uPVC downpipe &amp; outlet pops, as per plan (A263)</t>
  </si>
  <si>
    <t>NORTH BOUND CLADDING WORKS</t>
  </si>
  <si>
    <t>Wall Sheeting</t>
  </si>
  <si>
    <t>Supply and install 4241D.1 - 0.55mm BMT Dimondek 630 metal wall sheeting, as per plan (A212)</t>
  </si>
  <si>
    <t>DRWDek630Mag055</t>
  </si>
  <si>
    <t>0.55mm BMT Dimondek 630 Wall Cladding - Dark Grey</t>
  </si>
  <si>
    <t>North Bound Wall</t>
  </si>
  <si>
    <t>W-Clips</t>
  </si>
  <si>
    <t>0.55mm BMT Dimondek 630 Wall Cladding - Light Grey</t>
  </si>
  <si>
    <t>0.55mm BMT Dimondek 630 Wall Cladding - Beige</t>
  </si>
  <si>
    <t>Supply and install Dimondek Durolite Wall Cladding, as per plan (A212)</t>
  </si>
  <si>
    <t>DRdlFG3-2.0</t>
  </si>
  <si>
    <t>Dimondek Durolite Wall Cladding - Lavender</t>
  </si>
  <si>
    <t>AMFix83mm</t>
  </si>
  <si>
    <t>TSLapSeal</t>
  </si>
  <si>
    <t>TSsScrew</t>
  </si>
  <si>
    <t>TSpStrips</t>
  </si>
  <si>
    <t>Supply and install 0.55mm BMT external corner flashing (530/3B), as per detail 2 (A510)</t>
  </si>
  <si>
    <t>0.55mm BMT external corner flashing (530/3B)</t>
  </si>
  <si>
    <t>Supply and install 0.55mm BMT junction flashing (480/4B), as per detail 5 (A510)</t>
  </si>
  <si>
    <t>0.55mm BMT junction flashing (480/4B)</t>
  </si>
  <si>
    <t>Supply and install 0.55mm BMT custom z flashing (270/3B), as per detail 5 (A513)</t>
  </si>
  <si>
    <t>0.55mm BMT custom z flashing (270/3B)</t>
  </si>
  <si>
    <t>Supply and install 0.55mm BMT roller door head flashing (600/6B), as per detail 4 (A530)</t>
  </si>
  <si>
    <t>0.55mm BMT roller door head flashing (600/6B)</t>
  </si>
  <si>
    <t>Supply and install 0.55mm BMT roller door jamb flashing (450/5B), with 0.55mm BMT end flashing, as per detail 2 (A530)</t>
  </si>
  <si>
    <t>0.55mm BMT roller door jamb flashing (450/5B)</t>
  </si>
  <si>
    <t>0.55mm BMT end flashing (130/3B)</t>
  </si>
  <si>
    <t>12mmTHKPly</t>
  </si>
  <si>
    <t>H3.2 plywood or solid timber blocking to door jamb, cont.</t>
  </si>
  <si>
    <t>AM INBOUND CLADDING WORKS</t>
  </si>
  <si>
    <t>Supply and install 4241D.1 - 0.55mm BMT Dimondek 630 metal wall sheeting, as per plan (A210)</t>
  </si>
  <si>
    <t>0.55mm BMT Dimondek 630 metal roofing - Light Grey</t>
  </si>
  <si>
    <t>AM Inbound Wall</t>
  </si>
  <si>
    <t>Supply and install 0.55mm BMT internal corner flashing (410/3B), as per detail 3 (A510)</t>
  </si>
  <si>
    <t>0.55mm BMT internal corner flashing (410/3B)</t>
  </si>
  <si>
    <t>0.55mm BMT secondary internal corner flashing (310/7B)</t>
  </si>
  <si>
    <t>AM OUTBOUND CLADDING WORKS</t>
  </si>
  <si>
    <t>AM Outbound Wall</t>
  </si>
  <si>
    <t>AUDIT</t>
  </si>
  <si>
    <t>Reference Rate/Unit</t>
  </si>
  <si>
    <t>Missing</t>
  </si>
  <si>
    <t>W-BackingRod</t>
  </si>
  <si>
    <t>W-BattenVent</t>
  </si>
  <si>
    <t>R-Angle</t>
  </si>
  <si>
    <t>W-CavCloser</t>
  </si>
  <si>
    <t>W-Flashing Tape</t>
  </si>
  <si>
    <t>W-FoamTape</t>
  </si>
  <si>
    <t>R-DPspigot</t>
  </si>
  <si>
    <t>W-Insulation</t>
  </si>
  <si>
    <t>Can</t>
  </si>
  <si>
    <t>20T Crane - Mob/Demob</t>
  </si>
  <si>
    <t>W-RAB</t>
  </si>
  <si>
    <t>R-FixBar</t>
  </si>
  <si>
    <t>W-Silicone LM</t>
  </si>
  <si>
    <t>R-FlashingBrkt</t>
  </si>
  <si>
    <t>W-Tape</t>
  </si>
  <si>
    <t>R-FlashingTape</t>
  </si>
  <si>
    <t>R-GutBrktPackers</t>
  </si>
  <si>
    <t>R-GutterRainhead</t>
  </si>
  <si>
    <t>R-LeafGuard</t>
  </si>
  <si>
    <t>W-Washer</t>
  </si>
  <si>
    <t>R-OPSoffitCover</t>
  </si>
  <si>
    <t>W-ThermExpFlashClip</t>
  </si>
  <si>
    <t>Dismantle Scaffold</t>
  </si>
  <si>
    <t>Erect Scaffold</t>
  </si>
  <si>
    <t>Safety Nets</t>
  </si>
  <si>
    <t>Weekly Hire</t>
  </si>
  <si>
    <t>Weeks</t>
  </si>
  <si>
    <t>R-Skylight</t>
  </si>
  <si>
    <t>R-Tape</t>
  </si>
  <si>
    <t>R-tpoOP</t>
  </si>
  <si>
    <t>R-TSWasher</t>
  </si>
  <si>
    <t>R-UpstandFlashing</t>
  </si>
  <si>
    <t>R-Washer</t>
  </si>
  <si>
    <t>R-TPOgasket</t>
  </si>
  <si>
    <t>R-PerimeterClip</t>
  </si>
  <si>
    <t>Demo</t>
  </si>
  <si>
    <t>DKR-92</t>
  </si>
  <si>
    <t>Supply and install 0.55bmt Dimond LT7 Magnaflow, as per plan (A09-02)</t>
  </si>
  <si>
    <t>0.55bmt Dimond LT7 Magnaflow</t>
  </si>
  <si>
    <t>Steel 14x65 Colour</t>
  </si>
  <si>
    <t>Roof Washer LT7 Colour</t>
  </si>
  <si>
    <t>EPDM Sealing Washer 30mm</t>
  </si>
  <si>
    <t>Thermakraft 'Covertek 405'</t>
  </si>
  <si>
    <t>White General Purpose Tape (60 mm × 66 m)</t>
  </si>
  <si>
    <t>Safety Mesh</t>
  </si>
  <si>
    <t>Supply and install 0.55mm BMT ridge cap flashing, as per detail D-040 (A13-09)</t>
  </si>
  <si>
    <t>0.55mm BMT ridge cap flashing (670/3B)</t>
  </si>
  <si>
    <t>Maxam</t>
  </si>
  <si>
    <t>Flashing Fixings</t>
  </si>
  <si>
    <t>Foam Filler</t>
  </si>
  <si>
    <t>Supply and install 0.55mm BMT hip cap flashing (670/3B), as per detail D-032 (A13-09)</t>
  </si>
  <si>
    <t>0.55mm BMT hip cap flashing (670/3B)</t>
  </si>
  <si>
    <t>Supply and install 0.55mm BMT head apron flashing (390/3B), as per detail D-050 (A13-13)</t>
  </si>
  <si>
    <t>0.55mm BMT head apron flashing (390/3B)</t>
  </si>
  <si>
    <t>Supply and install 0.55mm BMT side apron flashing (370/3B), as per detail D-049 (A13-13)</t>
  </si>
  <si>
    <t>0.55mm BMT side apron flashing (370/3B)</t>
  </si>
  <si>
    <t>Supply and install 0.55mm BMT 2-piece side barge flashing &amp; bracket flashing, as per detail D-037 (A13-10)</t>
  </si>
  <si>
    <t>0.55mm BMT side barge flashing (500/3B)</t>
  </si>
  <si>
    <t>Flashing Tape</t>
  </si>
  <si>
    <t>0.55mm BMT bracket flashing (500/3B)</t>
  </si>
  <si>
    <t>Supply and install 0.55mm BMT valley flashing, as per detail D-033 (A13-10)</t>
  </si>
  <si>
    <t>0.55mm BMT valley flashing (380/5B)</t>
  </si>
  <si>
    <t>30|30</t>
  </si>
  <si>
    <t>Supply and install 0.55mm BMT eaves flashing (210/1B), as per detail D-035 (A13-10)</t>
  </si>
  <si>
    <t>0.55mm BMT eaves flashing (210/1B)</t>
  </si>
  <si>
    <t>Supply and install 0.55mm BMT backtray flashing (1200/2B)</t>
  </si>
  <si>
    <t>0.55mm BMT backtray flashing (1200/2B)</t>
  </si>
  <si>
    <t>Supply and install 0.55mm BMT backtray flashing (700/2B)</t>
  </si>
  <si>
    <t>0.55mm BMT backtray flashing (700/2B)</t>
  </si>
  <si>
    <t>Supply and install 0.55mm BMT backtray flashing (930/2B)</t>
  </si>
  <si>
    <t>0.55mm BMT backtray flashing (930/2B)</t>
  </si>
  <si>
    <t>Supply and install 1.6mm BMT powder coated welded flashing (510/6B), as per detail D-034 (A13-11)</t>
  </si>
  <si>
    <t>1.6mm BMT powder coated welded flashing (510/6B)</t>
  </si>
  <si>
    <t>Powder Coating</t>
  </si>
  <si>
    <t>R-Powdercoating</t>
  </si>
  <si>
    <t>Supply and install 1.6mm BMT powder coated welded flashing (460/4B), as per detail D-046 (A13-11)</t>
  </si>
  <si>
    <t>1.6mm BMT powder coated welded flashing (460/4B)</t>
  </si>
  <si>
    <t>Skylight</t>
  </si>
  <si>
    <t>Supply and install Adlux Harmony HFG22 750x1050OA Skylight, as per plan (A09-02)</t>
  </si>
  <si>
    <t>Alternative</t>
  </si>
  <si>
    <t>Velux Fixed skylight (pitched roofs) 780 x 1180</t>
  </si>
  <si>
    <t>Supply and install Adlux Harmony HFJ16 750x750OA Skylight, as per plan (A09-02)</t>
  </si>
  <si>
    <t>Velux Fixed skylight (pitched roofs) 780 x 780</t>
  </si>
  <si>
    <t>Supply and install Adlux Harmony HFJ26 900x1250OA Skylight. Alternative: Velux Fixed skylight (pitched roofs) 1140 x 1180</t>
  </si>
  <si>
    <t>Velux Fixed skylight (pitched roofs) 1140 x 1180</t>
  </si>
  <si>
    <t>Dektite</t>
  </si>
  <si>
    <t>Supply and install dektite</t>
  </si>
  <si>
    <t>Allowance for Skylight penetration</t>
  </si>
  <si>
    <t>Penetration (Big)</t>
  </si>
  <si>
    <t>Allowance for pipe/flume penetration</t>
  </si>
  <si>
    <t>Penetration (Small)</t>
  </si>
  <si>
    <t>Supply and install Dimond Half Round Gutter (290/4B), as per detail D-035 (A13-10)</t>
  </si>
  <si>
    <t>Dimond Half Round 150 Maxam NI</t>
  </si>
  <si>
    <t>150MM HR BKT COLOUR</t>
  </si>
  <si>
    <t>Standard Fixing</t>
  </si>
  <si>
    <t>Gutter Stop Ends | Right Hand</t>
  </si>
  <si>
    <t>Gutter Stop Ends | Left Hand</t>
  </si>
  <si>
    <t>Gutter Stop Ends | External Corner</t>
  </si>
  <si>
    <t>Gutter Stop Ends | Internal Corner</t>
  </si>
  <si>
    <t>Supply and install 80mmØ colorsteel maxam downpipe &amp; outlet pops, as per schedule</t>
  </si>
  <si>
    <t>DP80 round</t>
  </si>
  <si>
    <t>DP80 bracket</t>
  </si>
  <si>
    <t>DP80 bends</t>
  </si>
  <si>
    <t>DP80 pop</t>
  </si>
  <si>
    <t>Pop Fixings</t>
  </si>
  <si>
    <t>W-Dektite Seal</t>
  </si>
  <si>
    <t>W-Dektite Fix</t>
  </si>
  <si>
    <t>R-TPOClampRing</t>
  </si>
  <si>
    <t>Roof Sheet List</t>
  </si>
  <si>
    <t>Rate ($/LM)</t>
  </si>
  <si>
    <t>Rate ($/M2)</t>
  </si>
  <si>
    <t>Effective Const.</t>
  </si>
  <si>
    <t>Mxm</t>
  </si>
  <si>
    <t>0.55bmt Corrugated Magnaflow</t>
  </si>
  <si>
    <t>0.55bmt Corrugate Maxam</t>
  </si>
  <si>
    <t>0.55bmt Metalcraft MC760</t>
  </si>
  <si>
    <t>0.55bmt Dimond LT7 Wall Clad Magnaflow</t>
  </si>
  <si>
    <t>Timber 14x75</t>
  </si>
  <si>
    <t>Timber 14x75 Colour</t>
  </si>
  <si>
    <t>Steel 14x65</t>
  </si>
  <si>
    <t>Roof Washer LT7 Galv</t>
  </si>
  <si>
    <t>Dimond Durolite FG3 LOW RIB 1.1MM</t>
  </si>
  <si>
    <t>AMPELOK 12X40LR W30EPDM 400</t>
  </si>
  <si>
    <t>AMPELOK 12X40HR W36EPDM 400</t>
  </si>
  <si>
    <t>AMPELOK 14X75LR W30EPDM 300</t>
  </si>
  <si>
    <t>AMPELOK 14X75HR W36EPDM 250</t>
  </si>
  <si>
    <t>AMPELOK 14X90LR W30EPDM 300</t>
  </si>
  <si>
    <t>AMPELOK 14X90HR W36EPDM 250</t>
  </si>
  <si>
    <t>Foam Filler Top - MC760</t>
  </si>
  <si>
    <t>Translucent roofing List</t>
  </si>
  <si>
    <t>Translucent roofing</t>
  </si>
  <si>
    <t>Weatherlok Fibreglass Fixing 83mm</t>
  </si>
  <si>
    <t>Lap Seal</t>
  </si>
  <si>
    <t>Stitching Screw</t>
  </si>
  <si>
    <t>Purlin Strip</t>
  </si>
  <si>
    <t>Safety Mesh List</t>
  </si>
  <si>
    <t>Thermakraft Ausmesh Safety Mesh with 2mmØ wire and 150mm x 300mm</t>
  </si>
  <si>
    <t>Underlay List</t>
  </si>
  <si>
    <t>TPO List</t>
  </si>
  <si>
    <t>Viking TPO 1.52mm</t>
  </si>
  <si>
    <t>TPO Bonding Adhesive</t>
  </si>
  <si>
    <t>Ltrs</t>
  </si>
  <si>
    <t>Thinners</t>
  </si>
  <si>
    <t>TPO-Non reinforced Flashing</t>
  </si>
  <si>
    <t>Internal Corner</t>
  </si>
  <si>
    <t>Zincalume</t>
  </si>
  <si>
    <t>Rags</t>
  </si>
  <si>
    <t>21mm x 1200mm x 2400mm H3.2 Structural Plywood</t>
  </si>
  <si>
    <t>Stainless steel 10gx65mm Countersunk</t>
  </si>
  <si>
    <t>Gutter List</t>
  </si>
  <si>
    <t>Half Round Gutter</t>
  </si>
  <si>
    <t>Half Round External Bracket</t>
  </si>
  <si>
    <t>300mm External Bracket Galv</t>
  </si>
  <si>
    <t>300mm External Bracket Galv COL</t>
  </si>
  <si>
    <t>300mm External Bracket Galv PF335</t>
  </si>
  <si>
    <t>175mm External Bracket Galv PF210</t>
  </si>
  <si>
    <t>175mm External Bracket Galv COL PF210</t>
  </si>
  <si>
    <t>175mm External Bracket Galv PF220</t>
  </si>
  <si>
    <t>175mm External Bracket Galv COL PF220</t>
  </si>
  <si>
    <t>175mm External Bracket ALUM COL</t>
  </si>
  <si>
    <t>175mm External Bracket ALUM COL PF225</t>
  </si>
  <si>
    <t>150MM HR S/E LH COLOUR</t>
  </si>
  <si>
    <t>150MM HR S/E RH COLOUR</t>
  </si>
  <si>
    <t>Alum</t>
  </si>
  <si>
    <t>Downpipe List</t>
  </si>
  <si>
    <t>DP100 round</t>
  </si>
  <si>
    <t>DP100 bracket</t>
  </si>
  <si>
    <t>DP100 pop</t>
  </si>
  <si>
    <t>DP80 overflow pop</t>
  </si>
  <si>
    <t>DP100 bends</t>
  </si>
  <si>
    <t>DP80 Spreader</t>
  </si>
  <si>
    <t>100 round TPO Outlet w/ clamp ring</t>
  </si>
  <si>
    <t>100 round TPO Overflow w/ clamp ring</t>
  </si>
  <si>
    <t>80 round TPO Outlet w/ clamp ring</t>
  </si>
  <si>
    <t>80 round TPO Overflow w/ clamp ring</t>
  </si>
  <si>
    <t>Fixing List</t>
  </si>
  <si>
    <t>Timber 12x65 Colour</t>
  </si>
  <si>
    <t>Roof Washer GM40 Colour</t>
  </si>
  <si>
    <t>UltraZen</t>
  </si>
  <si>
    <t>Armorsteel</t>
  </si>
  <si>
    <t>Accessories List</t>
  </si>
  <si>
    <t>Vent VB10 proprietary ventilation batten (10mm thick)</t>
  </si>
  <si>
    <t>Vent VB20 proprietary ventilation batten (20mm thick)</t>
  </si>
  <si>
    <t>Vent RV10P Ridge Vent (30mm thick)</t>
  </si>
  <si>
    <t>Eaves Comb Filler Vent G1275</t>
  </si>
  <si>
    <t>Over fascia VENT G2500N</t>
  </si>
  <si>
    <t>Timber packer</t>
  </si>
  <si>
    <t>Soft edge flashing</t>
  </si>
  <si>
    <t>Labour List</t>
  </si>
  <si>
    <t>Peno List</t>
  </si>
  <si>
    <t>Skylight List</t>
  </si>
  <si>
    <t>Velux Manual opening skylight 550 x 980</t>
  </si>
  <si>
    <t>Velux Manual opening skylight 550 x 1400</t>
  </si>
  <si>
    <t>Velux Manual opening skylight 780 x 780</t>
  </si>
  <si>
    <t>Velux Manual opening skylight 780 x 980</t>
  </si>
  <si>
    <t>Velux Manual opening skylight 780 x 1180</t>
  </si>
  <si>
    <t>Velux Manual opening skylight 780 x 1400</t>
  </si>
  <si>
    <t>Velux Manual opening skylight 1140 x 700</t>
  </si>
  <si>
    <t>Velux Manual opening skylight 1140 x 1180</t>
  </si>
  <si>
    <t>Velux Electrically operated skylight 550 x 980</t>
  </si>
  <si>
    <t>Velux Electrically operated skylight 550 x 1400</t>
  </si>
  <si>
    <t>Velux Electrically operated skylight 780 x 980</t>
  </si>
  <si>
    <t>Velux Electrically operated skylight 780 x 1180</t>
  </si>
  <si>
    <t>Velux Electrically operated skylight 780 x 1400</t>
  </si>
  <si>
    <t>Velux Electrically operated skylight 1140 x 700</t>
  </si>
  <si>
    <t>Velux Electrically operated skylight 1140 x 1180</t>
  </si>
  <si>
    <t>Velux Solar-powered skylight 550 x 980</t>
  </si>
  <si>
    <t>Velux Solar-powered skylight 550 x 1400</t>
  </si>
  <si>
    <t>Zenium</t>
  </si>
  <si>
    <t>Velux Solar-powered skylight 780 x 780</t>
  </si>
  <si>
    <t>Velux Solar-powered skylight 780 x 980</t>
  </si>
  <si>
    <t>Velux Solar-powered skylight 780 x 1180</t>
  </si>
  <si>
    <t>Velux Solar-powered skylight 780 x 1400</t>
  </si>
  <si>
    <t>Velux Solar-powered skylight 1140 x 700</t>
  </si>
  <si>
    <t>Velux Solar-powered skylight 1140 x 1180</t>
  </si>
  <si>
    <t>Velux Fixed skylight (pitched roofs) 550 x 700</t>
  </si>
  <si>
    <t>Velux Fixed skylight (pitched roofs) 550 x 980</t>
  </si>
  <si>
    <t>Velux Fixed skylight (pitched roofs) 550 x 1400</t>
  </si>
  <si>
    <t>Velux Fixed skylight (pitched roofs) 780 x 980</t>
  </si>
  <si>
    <t>Velux Fixed skylight (pitched roofs) 780 x 1400</t>
  </si>
  <si>
    <t>Velux Fixed skylight (pitched roofs) 1140 x 700</t>
  </si>
  <si>
    <t>Velux Fixed Flat Roof Skylights 488x895</t>
  </si>
  <si>
    <t>Velux Fixed Flat Roof Skylights 692x692</t>
  </si>
  <si>
    <t>Velux Fixed Flat Roof Skylights 692x895</t>
  </si>
  <si>
    <t>Velux Fixed Flat Roof Skylights 692x997</t>
  </si>
  <si>
    <t>Velux Fixed Flat Roof Skylights 692x1302</t>
  </si>
  <si>
    <t>Velux Fixed Flat Roof Skylights 692x1911</t>
  </si>
  <si>
    <t>Velux Fixed Flat Roof Skylights 895x895</t>
  </si>
  <si>
    <t>Velux Fixed Flat Roof Skylights 895x1302</t>
  </si>
  <si>
    <t>Velux Fixed Flat Roof Skylights 895x1527</t>
  </si>
  <si>
    <t>Velux Fixed Flat Roof Skylights 895x1959</t>
  </si>
  <si>
    <t>Velux Fixed Flat Roof Skylights 997x997</t>
  </si>
  <si>
    <t>Velux Fixed Flat Roof Skylights 997x1302</t>
  </si>
  <si>
    <t>Velux Fixed Flat Roof Skylights 1302x692</t>
  </si>
  <si>
    <t>Velux Fixed Flat Roof Skylights 1302x1302</t>
  </si>
  <si>
    <t>Velux Fixed Flat Roof Skylights 1302x1959</t>
  </si>
  <si>
    <t>Velux Manual Flat Roof Skylights 488x895</t>
  </si>
  <si>
    <t>Velux Manual Flat Roof Skylights 692x692</t>
  </si>
  <si>
    <t>Velux Manual Flat Roof Skylights 692x895</t>
  </si>
  <si>
    <t>Velux Manual Flat Roof Skylights 692x997</t>
  </si>
  <si>
    <t>Velux Manual Flat Roof Skylights 692x1302</t>
  </si>
  <si>
    <t>Velux Manual Flat Roof Skylights 692x1911</t>
  </si>
  <si>
    <t>Velux Manual Flat Roof Skylights 895x895</t>
  </si>
  <si>
    <t>Velux Manual Flat Roof Skylights 895x1302</t>
  </si>
  <si>
    <t>Velux Manual Flat Roof Skylights 895x1527</t>
  </si>
  <si>
    <t>Velux Manual Flat Roof Skylights 895x1959</t>
  </si>
  <si>
    <t>Velux Manual Flat Roof Skylights 997x997</t>
  </si>
  <si>
    <t>Velux Manual Flat Roof Skylights 997x1302</t>
  </si>
  <si>
    <t>Velux Manual Flat Roof Skylights 1302x692</t>
  </si>
  <si>
    <t>Velux Manual Flat Roof Skylights 1302x1302</t>
  </si>
  <si>
    <t>Velux Manual Flat Roof Skylights 1302x1959</t>
  </si>
  <si>
    <t>Velux Solar Flat Roof Skylights 488x895</t>
  </si>
  <si>
    <t>Velux Solar Flat Roof Skylights 692x692</t>
  </si>
  <si>
    <t>Velux Solar Flat Roof Skylights 692x895</t>
  </si>
  <si>
    <t>Velux Solar Flat Roof Skylights 692x997</t>
  </si>
  <si>
    <t>Velux Solar Flat Roof Skylights 692x1302</t>
  </si>
  <si>
    <t>Velux Solar Flat Roof Skylights 692x1911</t>
  </si>
  <si>
    <t>Velux Solar Flat Roof Skylights 895x895</t>
  </si>
  <si>
    <t>Velux Solar Flat Roof Skylights 895x1302</t>
  </si>
  <si>
    <t>Velux Solar Flat Roof Skylights 895x1527</t>
  </si>
  <si>
    <t>Velux Solar Flat Roof Skylights 895x1959</t>
  </si>
  <si>
    <t>Velux Solar Flat Roof Skylights 997x997</t>
  </si>
  <si>
    <t>Velux Solar Flat Roof Skylights 997x1302</t>
  </si>
  <si>
    <t>Velux Solar Flat Roof Skylights 1302x692</t>
  </si>
  <si>
    <t>Velux Solar Flat Roof Skylights 1302x1302</t>
  </si>
  <si>
    <t>Velux Solar Flat Roof Skylights 1302x1959</t>
  </si>
  <si>
    <t>Fascia List</t>
  </si>
  <si>
    <t>FASCIA 185 NI MagNAFLOW</t>
  </si>
  <si>
    <t>FASCIA 185 NI MAXAM</t>
  </si>
  <si>
    <t>FASCIA 185 FAS &amp; GABLE BKT</t>
  </si>
  <si>
    <t>FASCIA 185 HIPCORNER COLOUR</t>
  </si>
  <si>
    <t>FASCIA 185 CORNER LH COLOUR</t>
  </si>
  <si>
    <t>FASCIA 185 CORNER RH COLOUR</t>
  </si>
  <si>
    <t>SKU</t>
  </si>
  <si>
    <t>Labour Price</t>
  </si>
  <si>
    <t>Eff. Constant</t>
  </si>
  <si>
    <t>POA Price</t>
  </si>
  <si>
    <t>POA Labour</t>
  </si>
  <si>
    <t>Note: Col J &amp; K are editable.</t>
  </si>
  <si>
    <t>Price Match MAt'L</t>
  </si>
  <si>
    <t>Price Match Labor</t>
  </si>
  <si>
    <t>For</t>
  </si>
  <si>
    <t>Formula</t>
  </si>
  <si>
    <t>UNIQUE(
  FILTER(
    Pricing!B13:B704,
    (Pricing!B13:B704 &lt;&gt; "") *
    ISNA(MATCH(Pricing!B13:B704, {"B","TB"}, 0))
  )
)</t>
  </si>
  <si>
    <r>
      <rPr>
        <rFont val="Google Sans Mono"/>
        <color theme="1"/>
        <sz val="9.0"/>
      </rPr>
      <t xml:space="preserve">IF(
  </t>
    </r>
    <r>
      <rPr>
        <rFont val="Google Sans Mono"/>
        <color rgb="FFF7981D"/>
        <sz val="9.0"/>
      </rPr>
      <t>B2</t>
    </r>
    <r>
      <rPr>
        <rFont val="Google Sans Mono"/>
        <color theme="1"/>
        <sz val="9.0"/>
      </rPr>
      <t>=</t>
    </r>
    <r>
      <rPr>
        <rFont val="Google Sans Mono"/>
        <color rgb="FF128937"/>
        <sz val="9.0"/>
      </rPr>
      <t>""</t>
    </r>
    <r>
      <rPr>
        <rFont val="Google Sans Mono"/>
        <color theme="1"/>
        <sz val="9.0"/>
      </rPr>
      <t xml:space="preserve">,
  </t>
    </r>
    <r>
      <rPr>
        <rFont val="Google Sans Mono"/>
        <color rgb="FF128937"/>
        <sz val="9.0"/>
      </rPr>
      <t>""</t>
    </r>
    <r>
      <rPr>
        <rFont val="Google Sans Mono"/>
        <color theme="1"/>
        <sz val="9.0"/>
      </rPr>
      <t xml:space="preserve">,
  IFERROR(
    VLOOKUP(
      </t>
    </r>
    <r>
      <rPr>
        <rFont val="Google Sans Mono"/>
        <color rgb="FFF7981D"/>
        <sz val="9.0"/>
      </rPr>
      <t>B2</t>
    </r>
    <r>
      <rPr>
        <rFont val="Google Sans Mono"/>
        <color theme="1"/>
        <sz val="9.0"/>
      </rPr>
      <t>,
      QUERY(
        {IMPORTRANGE(</t>
    </r>
    <r>
      <rPr>
        <rFont val="Google Sans Mono"/>
        <color rgb="FF128937"/>
        <sz val="9.0"/>
      </rPr>
      <t>"1Ag27m9YF5mMfJh2E6NipJDFvPLlDI1p-s_1XEnzMHcc"</t>
    </r>
    <r>
      <rPr>
        <rFont val="Google Sans Mono"/>
        <color theme="1"/>
        <sz val="9.0"/>
      </rPr>
      <t>,</t>
    </r>
    <r>
      <rPr>
        <rFont val="Google Sans Mono"/>
        <color rgb="FF128937"/>
        <sz val="9.0"/>
      </rPr>
      <t>"Merge!F2:R"</t>
    </r>
    <r>
      <rPr>
        <rFont val="Google Sans Mono"/>
        <color theme="1"/>
        <sz val="9.0"/>
      </rPr>
      <t xml:space="preserve">)},
        </t>
    </r>
    <r>
      <rPr>
        <rFont val="Google Sans Mono"/>
        <color rgb="FF128937"/>
        <sz val="9.0"/>
      </rPr>
      <t>"select Col1, Col4"</t>
    </r>
    <r>
      <rPr>
        <rFont val="Google Sans Mono"/>
        <color theme="1"/>
        <sz val="9.0"/>
        <u/>
      </rPr>
      <t xml:space="preserve">,
        </t>
    </r>
    <r>
      <rPr>
        <rFont val="Google Sans Mono"/>
        <color rgb="FF1157CE"/>
        <sz val="9.0"/>
        <u/>
      </rPr>
      <t>0</t>
    </r>
    <r>
      <rPr>
        <rFont val="Google Sans Mono"/>
        <color theme="1"/>
        <sz val="9.0"/>
      </rPr>
      <t>),</t>
    </r>
    <r>
      <rPr>
        <rFont val="Google Sans Mono"/>
        <color rgb="FF1157CE"/>
        <sz val="9.0"/>
      </rPr>
      <t>2</t>
    </r>
    <r>
      <rPr>
        <rFont val="Google Sans Mono"/>
        <color theme="1"/>
        <sz val="9.0"/>
      </rPr>
      <t>,</t>
    </r>
    <r>
      <rPr>
        <rFont val="Google Sans Mono"/>
        <color rgb="FF1157CE"/>
        <sz val="9.0"/>
      </rPr>
      <t>FALSE</t>
    </r>
    <r>
      <rPr>
        <rFont val="Google Sans Mono"/>
        <color theme="1"/>
        <sz val="9.0"/>
      </rPr>
      <t>),</t>
    </r>
    <r>
      <rPr>
        <rFont val="Google Sans Mono"/>
        <color rgb="FF128937"/>
        <sz val="9.0"/>
      </rPr>
      <t>""</t>
    </r>
    <r>
      <rPr>
        <rFont val="Google Sans Mono"/>
        <color theme="1"/>
        <sz val="9.0"/>
      </rPr>
      <t>))</t>
    </r>
  </si>
  <si>
    <t>iferror(VLOOKUP(B2,Pricing!B15:C275,2,false))</t>
  </si>
  <si>
    <t xml:space="preserve">IF(
  B2="",
  "",
  IFERROR(
    VLOOKUP(
      B2,
      QUERY(
        {IMPORTRANGE("1Ag27m9YF5mMfJh2E6NipJDFvPLlDI1p-s_1XEnzMHcc","Merge!F2:R")},
        "select Col1, Col10",
        0
      ),
      2,
      FALSE
    ),
    ""
  )
)
</t>
  </si>
  <si>
    <t>IF(
  B2="",
  "",
  IFERROR(
    VLOOKUP(
      B2,
      QUERY(
        {IMPORTRANGE("1Ag27m9YF5mMfJh2E6NipJDFvPLlDI1p-s_1XEnzMHcc","Merge!F2:R")},
        "select Col1, Col12",
        0
      ),2,FALSE),""))</t>
  </si>
  <si>
    <t xml:space="preserve">IF(
  B2="",
  "",
  IFERROR(
    VLOOKUP(
      B2,
      QUERY(
        {IMPORTRANGE("1Ag27m9YF5mMfJh2E6NipJDFvPLlDI1p-s_1XEnzMHcc","Merge!F2:R")},
        "select Col1, Col11",
        0
      ),
      2,
      FALSE
    ),""))
</t>
  </si>
  <si>
    <t xml:space="preserve">IF(
  B2="",
  "",
  IFERROR(
    VLOOKUP(
      B2,
      QUERY(
        {IMPORTRANGE("1Ag27m9YF5mMfJh2E6NipJDFvPLlDI1p-s_1XEnzMHcc","Merge!F2:R")},
        "select Col1, Col9",
        0
      ),
      2,
      FALSE
    ),""))
</t>
  </si>
  <si>
    <t>Talk The Talk, Roof The Roof</t>
  </si>
  <si>
    <r>
      <rPr>
        <rFont val="Arial"/>
        <b/>
        <color rgb="FF000000"/>
      </rPr>
      <t xml:space="preserve">DK Roofing Limited | 06-755-0006 | 159 Gill Street, New Plymouth 4310 | </t>
    </r>
    <r>
      <rPr>
        <rFont val="Arial"/>
        <b/>
        <color rgb="FF1155CC"/>
        <u/>
      </rPr>
      <t>dkroofing.co.nz</t>
    </r>
  </si>
  <si>
    <t>To:</t>
  </si>
  <si>
    <t>Client:</t>
  </si>
  <si>
    <t>Re:</t>
  </si>
  <si>
    <t>Quotation for Roofing Works</t>
  </si>
  <si>
    <t>Project</t>
  </si>
  <si>
    <t>This quotation is for the following only:</t>
  </si>
  <si>
    <t>•</t>
  </si>
  <si>
    <t>Allowance for management to prepare pre-mobilisation paperwork &amp; safety documentation</t>
  </si>
  <si>
    <t>Allowance for supervisor to accurately site measure &amp; order materials</t>
  </si>
  <si>
    <t>Allowance for transporting materials to site</t>
  </si>
  <si>
    <t>Allowance for site inductions, PPE, and safety meetings</t>
  </si>
  <si>
    <t>Allowance for samples, warranties, and maintenance manuals</t>
  </si>
  <si>
    <t>Allowance for supervision and administration</t>
  </si>
  <si>
    <t>Allowance to clean up general rubbish daily &amp; removing rubbish from site (bins by builder)</t>
  </si>
  <si>
    <t>Scope of Works:</t>
  </si>
  <si>
    <t>,"Quotation for Roof and Wall Cladding Works"</t>
  </si>
  <si>
    <t>Price:</t>
  </si>
  <si>
    <t>TOTAL AMOUNT excluding GST</t>
  </si>
  <si>
    <t>=</t>
  </si>
  <si>
    <t>Please note the following:</t>
  </si>
  <si>
    <t>We have excluded any roof edge protection, scaffolding and roof access</t>
  </si>
  <si>
    <t>We have excluded all downpipes (drawings shows PVC downpipes, presumed by plumber)</t>
  </si>
  <si>
    <t>We have excluded all metal fascia</t>
  </si>
  <si>
    <t>We have excluded timber roof framing/purlins and plywood substrate underneath TPO roof membrane</t>
  </si>
  <si>
    <t>We have excluded any ceiling insulation</t>
  </si>
  <si>
    <t>We have excluded any cfc cladding, weatherboards cladding and soffit linings works</t>
  </si>
  <si>
    <t>We have excluded any aluminium cappings</t>
  </si>
  <si>
    <t>We have excluded any seismic movement joint (by specialist)</t>
  </si>
  <si>
    <t>We have excluded any roof structure, framing, etc.</t>
  </si>
  <si>
    <t>We have excluded any works to painting works, electrical, mechanical works.</t>
  </si>
  <si>
    <t>We have excluded engineering, building Permit</t>
  </si>
  <si>
    <t>We have excluded any permanent roof safety system/walkways/roof hatch</t>
  </si>
  <si>
    <t>We have excluded electricity, amenities, traffic management and any other items not clearly listed in this quotation</t>
  </si>
  <si>
    <t>Dayrate:</t>
  </si>
  <si>
    <t>Roofer = $120/Hr + GST</t>
  </si>
  <si>
    <t>Plant &amp; Materials = Cost + 15%</t>
  </si>
  <si>
    <t>We require a formal purchase order prior to ordering materials</t>
  </si>
  <si>
    <t>This quotation is valid for thirty days only</t>
  </si>
  <si>
    <t>All goods supplied and installed remain the property of DK Roofing Limited until payment has been received in full.</t>
  </si>
  <si>
    <t>Terms &amp; Conditions</t>
  </si>
  <si>
    <t>To be discussed &amp; agreed between parties prior to entering into any form of subcontract agreement</t>
  </si>
  <si>
    <t>We thank you for this opportunity and look forward to hearing from you at any time should you wish to discuss further.</t>
  </si>
  <si>
    <t>Ngā mihi,</t>
  </si>
  <si>
    <t>Jimson Betonio</t>
  </si>
  <si>
    <t>Estimator</t>
  </si>
  <si>
    <t>DK Roofing Limited</t>
  </si>
  <si>
    <t>- Roof Markup</t>
  </si>
  <si>
    <t>Manual Input Range</t>
  </si>
  <si>
    <t>Automated Range</t>
  </si>
  <si>
    <t>Increment (mm)</t>
  </si>
  <si>
    <t>Starting Length</t>
  </si>
  <si>
    <t>Peak Length</t>
  </si>
  <si>
    <t>Average Length</t>
  </si>
  <si>
    <t>Pitched Average Length</t>
  </si>
  <si>
    <t>Verified Length</t>
  </si>
  <si>
    <t>Slope</t>
  </si>
  <si>
    <t>Roof Sheets</t>
  </si>
  <si>
    <t>Color</t>
  </si>
  <si>
    <t>0.55mm BMT Metalcraft Metcom 965 @ 31 deg</t>
  </si>
  <si>
    <t>Booster Pump Station</t>
  </si>
  <si>
    <t>TBC</t>
  </si>
  <si>
    <t>0.55mm BMT Metalcraft Metcom 965 @ 20 deg</t>
  </si>
  <si>
    <t>0.55mm BMT Metalcraft Metcom 965 @ 3.20 deg</t>
  </si>
  <si>
    <t>Reservoir Valve Chamber</t>
  </si>
  <si>
    <t>Alsynite One Translucent Sheet @ 3.20 deg</t>
  </si>
  <si>
    <t>Wall Sheets</t>
  </si>
  <si>
    <t>0.55mm BMT Metalcraft MC760 Maxam</t>
  </si>
  <si>
    <t>Reservoir Valve Chamber - VH</t>
  </si>
  <si>
    <t>0.55mm BMT Metalcraft MC760 Maxam @ 45 deg</t>
  </si>
  <si>
    <t>Reservoir Valve Chamber - VA</t>
  </si>
  <si>
    <t>Reservoir Valve Chamber - V1</t>
  </si>
  <si>
    <t>Reservoir Valve Chamber - V4</t>
  </si>
  <si>
    <t>Flashings</t>
  </si>
  <si>
    <t>Legend SKU Code</t>
  </si>
  <si>
    <t>Pitch Calc</t>
  </si>
  <si>
    <t>Angle</t>
  </si>
  <si>
    <t>Pitch'</t>
  </si>
  <si>
    <t>Verify Scale</t>
  </si>
  <si>
    <t>Clarifications if Any</t>
  </si>
  <si>
    <t>To confirm</t>
  </si>
  <si>
    <t>Metalcraft</t>
  </si>
  <si>
    <t>MC</t>
  </si>
  <si>
    <t>0°</t>
  </si>
  <si>
    <t>Takeoff</t>
  </si>
  <si>
    <t xml:space="preserve">UNIQUE(
  FILTER(
    {
      'Spotswood College'!B13:B148, 'Spotswood College'!K13:K148
    },
    {
      'Spotswood College'!B13:B148
    } &lt;&gt; ""
  )
)
</t>
  </si>
  <si>
    <t>-Roofing / Wall Cladding Reference Dwg.</t>
  </si>
  <si>
    <r>
      <rPr>
        <rFont val="Verdana"/>
        <color rgb="FF000000"/>
        <sz val="11.0"/>
      </rPr>
      <t xml:space="preserve">No details regarding middle Box Gutter in between canopy and warehouse wall (marked as </t>
    </r>
    <r>
      <rPr>
        <rFont val="Verdana"/>
        <color rgb="FFFF0000"/>
        <sz val="11.0"/>
      </rPr>
      <t>RED</t>
    </r>
    <r>
      <rPr>
        <rFont val="Verdana"/>
        <color rgb="FF000000"/>
        <sz val="11.0"/>
      </rPr>
      <t xml:space="preserve"> in BOQ)</t>
    </r>
  </si>
  <si>
    <t>Dimond</t>
  </si>
  <si>
    <t>DR</t>
  </si>
  <si>
    <t>1°</t>
  </si>
  <si>
    <t>Roof Sheet</t>
  </si>
  <si>
    <t xml:space="preserve">ARRAYFORMULA(IF(B2:B3472="","",
  VLOOKUP(
    B2:B3472,
    QUERY(
      {IMPORTRANGE("1Ag27m9YF5mMfJh2E6NipJDFvPLlDI1p-s_1XEnzMHcc","Merge!F2:R")},
      "select Col1,Col4",
      0
    ),
    2,
    FALSE
  )
))
</t>
  </si>
  <si>
    <t>-Section Details</t>
  </si>
  <si>
    <t>All flashings no details</t>
  </si>
  <si>
    <t>Kingspan</t>
  </si>
  <si>
    <t>KS</t>
  </si>
  <si>
    <t>1.5°</t>
  </si>
  <si>
    <t>2°</t>
  </si>
  <si>
    <t>Steel</t>
  </si>
  <si>
    <t xml:space="preserve">ARRAYFORMULA(IF(B2:B3472="","",
  VLOOKUP(
    B2:B3472,
    QUERY(
      {IMPORTRANGE("1Ag27m9YF5mMfJh2E6NipJDFvPLlDI1p-s_1XEnzMHcc","Merge!F2:R")},
      "select Col1,Col10",
      0
    ),
    2,
    FALSE
  )
))
</t>
  </si>
  <si>
    <t>Mark/Map All Accessories included in Detailed Dwg.</t>
  </si>
  <si>
    <t>3°</t>
  </si>
  <si>
    <t>Roof Fixings</t>
  </si>
  <si>
    <t>ARRAYFORMULA(IF(B2:B3472="","",
  VLOOKUP(
    B2:B3472,
    QUERY(
      {IMPORTRANGE("1Ag27m9YF5mMfJh2E6NipJDFvPLlDI1p-s_1XEnzMHcc","Merge!F2:R")},
      "select Col1,Col12",
      0
    ),
    2,
    FALSE
  )
))</t>
  </si>
  <si>
    <t>Apply Joint Tape if Sarking applied to Wall Cladding</t>
  </si>
  <si>
    <t>2.5°</t>
  </si>
  <si>
    <t>4°</t>
  </si>
  <si>
    <t>600crsFixing</t>
  </si>
  <si>
    <t>ARRAYFORMULA(IF(B2:B3472="","",
  VLOOKUP(
    B2:B3472,
    QUERY(
      {IMPORTRANGE("1Ag27m9YF5mMfJh2E6NipJDFvPLlDI1p-s_1XEnzMHcc","Merge!F2:R")},
      "select Col1,Col11",
      0
    ),
    2,
    FALSE
  )
))</t>
  </si>
  <si>
    <t>Stiching Strip applied to Metal Roof joining Translucent Roof</t>
  </si>
  <si>
    <t>ARRAYFORMULA(IF(B2:B3472="","",
  VLOOKUP(
    B2:B3472,
    QUERY(
      {IMPORTRANGE("1Ag27m9YF5mMfJh2E6NipJDFvPLlDI1p-s_1XEnzMHcc","Merge!F2:R")},
      "select Col1,Col9",
      0
    ),
    2,
    FALSE
  )
))</t>
  </si>
  <si>
    <t>Apply Purlin Strips if Roof is Translucent</t>
  </si>
  <si>
    <t>3.5°</t>
  </si>
  <si>
    <t>6°</t>
  </si>
  <si>
    <t>Tape</t>
  </si>
  <si>
    <t>Takeoff Overflashing only, if Mechanical assembly is being installed at Roof</t>
  </si>
  <si>
    <t>7°</t>
  </si>
  <si>
    <t>Only apply flashing on perimeter of Monkey Toe</t>
  </si>
  <si>
    <t>4.5°</t>
  </si>
  <si>
    <t>8°</t>
  </si>
  <si>
    <t>TS Fixings</t>
  </si>
  <si>
    <t>TS Strips</t>
  </si>
  <si>
    <t>5.5°</t>
  </si>
  <si>
    <t>10°</t>
  </si>
  <si>
    <t>Accessories</t>
  </si>
  <si>
    <t>11°</t>
  </si>
  <si>
    <t>TopHatFixings</t>
  </si>
  <si>
    <t>6.5°</t>
  </si>
  <si>
    <t>12°</t>
  </si>
  <si>
    <t>KSFix</t>
  </si>
  <si>
    <t>13°</t>
  </si>
  <si>
    <t>KS Side Lap Seal</t>
  </si>
  <si>
    <t>7.5°</t>
  </si>
  <si>
    <t>14°</t>
  </si>
  <si>
    <t>15°</t>
  </si>
  <si>
    <t>Wall Flashings</t>
  </si>
  <si>
    <t>Excel Report: Job Project name and Address</t>
  </si>
  <si>
    <t>8.5°</t>
  </si>
  <si>
    <t>16°</t>
  </si>
  <si>
    <t>Sealant</t>
  </si>
  <si>
    <t>Run Through Description names if match with location.</t>
  </si>
  <si>
    <t>17°</t>
  </si>
  <si>
    <t>9.5°</t>
  </si>
  <si>
    <t>18°</t>
  </si>
  <si>
    <t>Sealant LM</t>
  </si>
  <si>
    <t>19°</t>
  </si>
  <si>
    <t>10.5°</t>
  </si>
  <si>
    <t>20°</t>
  </si>
  <si>
    <t>TU Roof End</t>
  </si>
  <si>
    <t>21°</t>
  </si>
  <si>
    <t>TD Roof End</t>
  </si>
  <si>
    <t>11.5°</t>
  </si>
  <si>
    <t>22°</t>
  </si>
  <si>
    <t>Timber LM</t>
  </si>
  <si>
    <t>23°</t>
  </si>
  <si>
    <t>Timber m2</t>
  </si>
  <si>
    <t>12.5°</t>
  </si>
  <si>
    <t>24°</t>
  </si>
  <si>
    <t>Comb Filler</t>
  </si>
  <si>
    <t>25°</t>
  </si>
  <si>
    <t>Flashing Clips</t>
  </si>
  <si>
    <t>13.5°</t>
  </si>
  <si>
    <t>26°</t>
  </si>
  <si>
    <t>Washer</t>
  </si>
  <si>
    <t>Site Measurment</t>
  </si>
  <si>
    <t>27°</t>
  </si>
  <si>
    <t>Frequency of order delivery at site</t>
  </si>
  <si>
    <t>14.5°</t>
  </si>
  <si>
    <t>28°</t>
  </si>
  <si>
    <t>29°</t>
  </si>
  <si>
    <t>15.5°</t>
  </si>
  <si>
    <t>30°</t>
  </si>
  <si>
    <t>31°</t>
  </si>
  <si>
    <t>Box Gutter</t>
  </si>
  <si>
    <t>16.5°</t>
  </si>
  <si>
    <t>32°</t>
  </si>
  <si>
    <t>Sqm Fixing</t>
  </si>
  <si>
    <t>33°</t>
  </si>
  <si>
    <t>Rain Head</t>
  </si>
  <si>
    <t>17.5°</t>
  </si>
  <si>
    <t>34°</t>
  </si>
  <si>
    <t>35°</t>
  </si>
  <si>
    <t>DP Bracket</t>
  </si>
  <si>
    <t>18.5°</t>
  </si>
  <si>
    <t>36°</t>
  </si>
  <si>
    <t>Outlet Pops</t>
  </si>
  <si>
    <t>37°</t>
  </si>
  <si>
    <t>Overflow Pops</t>
  </si>
  <si>
    <t>19.5°</t>
  </si>
  <si>
    <t>38°</t>
  </si>
  <si>
    <t>Pops Sealant</t>
  </si>
  <si>
    <t>39°</t>
  </si>
  <si>
    <t>Pops Fixing</t>
  </si>
  <si>
    <t>20.5°</t>
  </si>
  <si>
    <t>40°</t>
  </si>
  <si>
    <t>Cowl</t>
  </si>
  <si>
    <t>41°</t>
  </si>
  <si>
    <t>TPO</t>
  </si>
  <si>
    <t>21.5°</t>
  </si>
  <si>
    <t>42°</t>
  </si>
  <si>
    <t>Expanded Foam</t>
  </si>
  <si>
    <t>43°</t>
  </si>
  <si>
    <t>Gutter Bracket</t>
  </si>
  <si>
    <t>22.5°</t>
  </si>
  <si>
    <t>44°</t>
  </si>
  <si>
    <t>Gutter Fix</t>
  </si>
  <si>
    <t>45°</t>
  </si>
  <si>
    <t>Butyl</t>
  </si>
  <si>
    <t>23.5°</t>
  </si>
  <si>
    <t>46°</t>
  </si>
  <si>
    <t>RAB</t>
  </si>
  <si>
    <t>47°</t>
  </si>
  <si>
    <t>Roof Clips</t>
  </si>
  <si>
    <t>24.5°</t>
  </si>
  <si>
    <t>48°</t>
  </si>
  <si>
    <t>49°</t>
  </si>
  <si>
    <t>Dektite Fix</t>
  </si>
  <si>
    <t>25.5°</t>
  </si>
  <si>
    <t>50°</t>
  </si>
  <si>
    <t>Dektite Seal</t>
  </si>
  <si>
    <t>51°</t>
  </si>
  <si>
    <t>Z Flashing Fix</t>
  </si>
  <si>
    <t>26.5°</t>
  </si>
  <si>
    <t>52°</t>
  </si>
  <si>
    <t>Angle Bar</t>
  </si>
  <si>
    <t>53°</t>
  </si>
  <si>
    <t>Angle Bar Fix</t>
  </si>
  <si>
    <t>27.5°</t>
  </si>
  <si>
    <t>54°</t>
  </si>
  <si>
    <t>Channel Anchor Fix</t>
  </si>
  <si>
    <t>55°</t>
  </si>
  <si>
    <t>28.5°</t>
  </si>
  <si>
    <t>56°</t>
  </si>
  <si>
    <t>57°</t>
  </si>
  <si>
    <t>29.5°</t>
  </si>
  <si>
    <t>58°</t>
  </si>
  <si>
    <t>59°</t>
  </si>
  <si>
    <t>30.5°</t>
  </si>
  <si>
    <t>60°</t>
  </si>
  <si>
    <t>61°</t>
  </si>
  <si>
    <t>31.5°</t>
  </si>
  <si>
    <t>62°</t>
  </si>
  <si>
    <t>63°</t>
  </si>
  <si>
    <t>32.5°</t>
  </si>
  <si>
    <t>64°</t>
  </si>
  <si>
    <t>65°</t>
  </si>
  <si>
    <t>33.5°</t>
  </si>
  <si>
    <t>66°</t>
  </si>
  <si>
    <t>67°</t>
  </si>
  <si>
    <t>34.5°</t>
  </si>
  <si>
    <t>68°</t>
  </si>
  <si>
    <t>69°</t>
  </si>
  <si>
    <t>35.5°</t>
  </si>
  <si>
    <t>70°</t>
  </si>
  <si>
    <t>71°</t>
  </si>
  <si>
    <t>36.5°</t>
  </si>
  <si>
    <t>72°</t>
  </si>
  <si>
    <t>73°</t>
  </si>
  <si>
    <t>37.5°</t>
  </si>
  <si>
    <t>74°</t>
  </si>
  <si>
    <t>75°</t>
  </si>
  <si>
    <t>38.5°</t>
  </si>
  <si>
    <t>76°</t>
  </si>
  <si>
    <t>77°</t>
  </si>
  <si>
    <t>39.5°</t>
  </si>
  <si>
    <t>78°</t>
  </si>
  <si>
    <t>79°</t>
  </si>
  <si>
    <t>40.5°</t>
  </si>
  <si>
    <t>80°</t>
  </si>
  <si>
    <t>41.5°</t>
  </si>
  <si>
    <t>Incement</t>
  </si>
  <si>
    <t>0.55mm BMT Dimondek 630 roof sheet @ 3 deg</t>
  </si>
  <si>
    <t>North Bound Roof</t>
  </si>
  <si>
    <t>Light Grey</t>
  </si>
  <si>
    <t>AM Inbound Roof</t>
  </si>
  <si>
    <t>AM Outbound Roof</t>
  </si>
  <si>
    <t>Pallet Canopy Roof</t>
  </si>
  <si>
    <t>Average Height</t>
  </si>
  <si>
    <t>0.55mm BMT Dimondek 630 wall cladding</t>
  </si>
  <si>
    <t>North Bound Wall - A41</t>
  </si>
  <si>
    <t>Dark Grey</t>
  </si>
  <si>
    <t>AM Inbound Wall - A12</t>
  </si>
  <si>
    <t>AM Inbound Wall - A26</t>
  </si>
  <si>
    <t>AM Outbound Wall - A23</t>
  </si>
  <si>
    <t>AM Outbound Wall - A10</t>
  </si>
  <si>
    <t>Dimondek Duralite wall cladding</t>
  </si>
  <si>
    <t>North Bound Wall - AC</t>
  </si>
  <si>
    <t>Lavender</t>
  </si>
  <si>
    <t>Beige</t>
  </si>
  <si>
    <t>North Bound Wall - AR</t>
  </si>
  <si>
    <t>AM Inbound Wall - AT</t>
  </si>
  <si>
    <t>AM Outbound Wall - AA</t>
  </si>
  <si>
    <t>ROOF SHEETS</t>
  </si>
  <si>
    <t>0.55mm BMT Dimondek 630 metal roofing @ 4 deg</t>
  </si>
  <si>
    <t>WALL SHEETS</t>
  </si>
  <si>
    <t>Dimond Duralite wall cladding</t>
  </si>
  <si>
    <t>0.55mm BMT Dimondek 630 metal roofing</t>
  </si>
  <si>
    <t>15 lengths @ 7.6m</t>
  </si>
  <si>
    <t>27 lengths @ 9.9m</t>
  </si>
  <si>
    <t>11 lengths @ 7.6m</t>
  </si>
  <si>
    <t>94 lengths @ 7.6m</t>
  </si>
  <si>
    <t>115 lengths @ 9.9m</t>
  </si>
  <si>
    <t>Coloursteel Maxam</t>
  </si>
  <si>
    <t>Flatsheet</t>
  </si>
  <si>
    <t>Aluminium</t>
  </si>
  <si>
    <t>DKR-37</t>
  </si>
  <si>
    <t>BLOCK A ROOFING WORKS</t>
  </si>
  <si>
    <t>Supply and install 0.55mm BMT Dimond Veedek Metal Roofing, as per plan (A1-05)</t>
  </si>
  <si>
    <t>DRVD055Mxm</t>
  </si>
  <si>
    <t>0.55mm BMT Dimond Veedek Metal Roofing @ 3.5 deg</t>
  </si>
  <si>
    <t>DR12g65DFixCol</t>
  </si>
  <si>
    <t>DRSTY/VDKWshrCol</t>
  </si>
  <si>
    <t>DR30mmEPSealWshr</t>
  </si>
  <si>
    <t>Supply and install Translucent Roofing, as per plan (A1-05)</t>
  </si>
  <si>
    <t>Translucent</t>
  </si>
  <si>
    <t>Translucent Roofing @ 3.5 deg</t>
  </si>
  <si>
    <t>Supply and install new Membrane roofing on 17mm H3.1 plywood on timber wall framing, as per detail 5, A5.01)</t>
  </si>
  <si>
    <t>ArdexWPM715</t>
  </si>
  <si>
    <t>ARDEX WPM 715</t>
  </si>
  <si>
    <t>tpSq</t>
  </si>
  <si>
    <t>17mm H3.1 plywood</t>
  </si>
  <si>
    <t>TKUwGate+</t>
  </si>
  <si>
    <t>Supply and install 0.55mm BMT ridge cap flashing (620/6B) folded &amp; fixed to roof profile rib with T17 x 75mm, as per detail 3 (A501)</t>
  </si>
  <si>
    <t>0.55mm BMT ridge cap flashing (620/6B)</t>
  </si>
  <si>
    <t>Supply and install 0.55mm BMT head barge flashing (720/3B)</t>
  </si>
  <si>
    <t>0.55mm BMT head barge flashing (720/3B)</t>
  </si>
  <si>
    <t>Supply and install 0.55mm BMT side barge flashing, as per detail 3 (A500)</t>
  </si>
  <si>
    <t>0.55mm BMT side barge flashing (720/3B) @ 3.5 deg</t>
  </si>
  <si>
    <t>Supply and install 0.55mm BMT head apron flashing, as per detail 3 (A4-01)</t>
  </si>
  <si>
    <t>0.55mm BMT head apron flashing (360/2B)</t>
  </si>
  <si>
    <t>Supply and install 0.55mm BMT side apron flashing, as per detail 3 (A500)</t>
  </si>
  <si>
    <t>0.55mm BMT side apron flashing (720/3B) @ 3.5 deg</t>
  </si>
  <si>
    <t>Supply and install 0.55mm BMT parapet cap flashing (370/6B), as per detail 3 (A4-01)</t>
  </si>
  <si>
    <t>0.55mm BMT parapet cap flashing (370/6B)</t>
  </si>
  <si>
    <t>H3.2 Timber packer shaped to suit slope</t>
  </si>
  <si>
    <t>dpc</t>
  </si>
  <si>
    <t>Damp Proof Course</t>
  </si>
  <si>
    <t>Supply and install 0.55mm BMT wall flashing (450/3B), as per detail 3 (A4-01)</t>
  </si>
  <si>
    <t>0.55mm BMT wall flashing (450/3B)</t>
  </si>
  <si>
    <t>Supply and install 0.55mm BMT side barge flashing (510/3B), as per detail 1 (A4-02)</t>
  </si>
  <si>
    <t>0.55mm BMT side barge flashing (510/3B) @ 3.5 deg</t>
  </si>
  <si>
    <t>Timber Fascia</t>
  </si>
  <si>
    <t>0.55mm BMT backtray flashing (2090/2B) @ 3.5 deg</t>
  </si>
  <si>
    <t>Supply and install 0.55mm BMT eaves flashing (310/1B), as per detail 1 (A4-03)</t>
  </si>
  <si>
    <t>0.55mm BMT eaves flashing (310/1B)</t>
  </si>
  <si>
    <t>Supply and install 0.55mm BMT eaves flashing (310/1B), as per detail 5 (A4-03)</t>
  </si>
  <si>
    <t>Allow for roof penetrations</t>
  </si>
  <si>
    <t>Metal Fascia</t>
  </si>
  <si>
    <t>Supply and install Roofing Industries 150mm Multifit Colorsteel Maxam Fascia connected to structure with fascia brackets. Colour to match main roof finish, refer to roof plan, as per detail (A4800)</t>
  </si>
  <si>
    <t>Roofing Industries 150mm Multifit Colorsteel Maxam Fascia</t>
  </si>
  <si>
    <t>SFasciaBrkt</t>
  </si>
  <si>
    <t>Fascia Bracket @ 600mm crs</t>
  </si>
  <si>
    <t>Supply and install 300mm Box Gutter (600/5B), with overflow slots at 3m crs max, as per detail 1 (A4.01)</t>
  </si>
  <si>
    <t>DRBG300Mxm</t>
  </si>
  <si>
    <t>300mm Box Gutter (600/5B)</t>
  </si>
  <si>
    <t>700mm Internal Adjustsable Bracket @ 600mm crs</t>
  </si>
  <si>
    <t>Angle metal bar</t>
  </si>
  <si>
    <t>H3.2 30mm thick proprietary timber fascia</t>
  </si>
  <si>
    <t>19mmTHKPly</t>
  </si>
  <si>
    <t>H3.2 Timber packer</t>
  </si>
  <si>
    <t>Supply and install 2mm Custom one-piece welded aluminium internal gutter (1130/5B), min. 1:100 fall, as per detail 1 (A4-03)</t>
  </si>
  <si>
    <t>CTMBG</t>
  </si>
  <si>
    <t>2mm Custom one-piece welded aluminium internal gutter (1130/5B)</t>
  </si>
  <si>
    <t>AdjBrkt</t>
  </si>
  <si>
    <t>19mm H3.2 Plywood Substrate for internal aluminium gutter</t>
  </si>
  <si>
    <t>Fillet</t>
  </si>
  <si>
    <t>Timber fillet</t>
  </si>
  <si>
    <t>Supply and install 150mmØ Colorsteel downpipe, Allproof Sureflow 150mmØ dome roof drain outlet &amp; overflow pops, as per detail 3 (B1-404) &amp; plan (B1-110)</t>
  </si>
  <si>
    <t>Sureflow150mm</t>
  </si>
  <si>
    <t>Allproof Sureflow 150mmØ dome roof drain Outlet pops</t>
  </si>
  <si>
    <t>Allproof Sureflow 150mmØ dome roof drain Overflow pops</t>
  </si>
  <si>
    <t>SoffitCover</t>
  </si>
  <si>
    <t>Soffit Cover</t>
  </si>
  <si>
    <t>Supply and install 150mmØ uPVC downpipe &amp; outlet pops, as per plan (A1-05)</t>
  </si>
  <si>
    <t>150mmØ Overflow pops</t>
  </si>
  <si>
    <t>WR-TSheeting</t>
  </si>
  <si>
    <t>WR-Tape</t>
  </si>
  <si>
    <t>WR-Ashgrid Post</t>
  </si>
  <si>
    <t>WR-Ashgrid Rail</t>
  </si>
  <si>
    <t>WR-Inso</t>
  </si>
  <si>
    <t>WR-Rockwool</t>
  </si>
  <si>
    <t>WR-Underlay</t>
  </si>
  <si>
    <t>WR-BSheeting</t>
  </si>
  <si>
    <t>WR-Liner Fxing</t>
  </si>
  <si>
    <t>WR-Post Fxing</t>
  </si>
  <si>
    <t>WR-TSheet Fxing</t>
  </si>
  <si>
    <t>WR-TSheet EPDMl Washer</t>
  </si>
  <si>
    <t>WR-TSheet Roof Washer</t>
  </si>
  <si>
    <t>WR-Sheet Freight</t>
  </si>
  <si>
    <t>WR-Flashing Freight</t>
  </si>
  <si>
    <t>WR-Inso Freight</t>
  </si>
  <si>
    <t>WR-Safety Mesh</t>
  </si>
</sst>
</file>

<file path=xl/styles.xml><?xml version="1.0" encoding="utf-8"?>
<styleSheet xmlns="http://schemas.openxmlformats.org/spreadsheetml/2006/main" xmlns:x14ac="http://schemas.microsoft.com/office/spreadsheetml/2009/9/ac" xmlns:mc="http://schemas.openxmlformats.org/markup-compatibility/2006">
  <numFmts count="33">
    <numFmt numFmtId="164" formatCode="0.0000"/>
    <numFmt numFmtId="165" formatCode="&quot;$&quot;#,##0.00;[Red]\-&quot;$&quot;#,##0.00"/>
    <numFmt numFmtId="166" formatCode="_-* #,##0.00_-;\-* #,##0.00_-;_-* &quot;-&quot;??_-;_-@"/>
    <numFmt numFmtId="167" formatCode="_-* #,##0.000000_-;\-* #,##0.000000_-;_-* &quot;-&quot;??_-;_-@"/>
    <numFmt numFmtId="168" formatCode="&quot;$&quot;#,##0.00_);[Red]\(&quot;$&quot;#,##0.00\)"/>
    <numFmt numFmtId="169" formatCode="#,##0.00\ &quot;Days&quot;"/>
    <numFmt numFmtId="170" formatCode="0.000"/>
    <numFmt numFmtId="171" formatCode="0\-&quot;Men&quot;"/>
    <numFmt numFmtId="172" formatCode="0 &quot;m2/day&quot;"/>
    <numFmt numFmtId="173" formatCode="0\-&quot;Days&quot;"/>
    <numFmt numFmtId="174" formatCode="0 &quot;m/day&quot;"/>
    <numFmt numFmtId="175" formatCode="0.00\ &quot;hrs&quot;"/>
    <numFmt numFmtId="176" formatCode="_-&quot;$&quot;* #,##0.00_-;\-&quot;$&quot;* #,##0.00_-;_-&quot;$&quot;* &quot;-&quot;??_-;_-@"/>
    <numFmt numFmtId="177" formatCode="0.0%"/>
    <numFmt numFmtId="178" formatCode="0\ &quot;Days&quot;"/>
    <numFmt numFmtId="179" formatCode="#,000\ &quot;man-hours&quot;"/>
    <numFmt numFmtId="180" formatCode="0&quot; $/hr&quot;"/>
    <numFmt numFmtId="181" formatCode="#,##0.00\ &quot;/m2&quot;"/>
    <numFmt numFmtId="182" formatCode="0.00\ &quot;km&quot;"/>
    <numFmt numFmtId="183" formatCode="0\ &quot;Return&quot;"/>
    <numFmt numFmtId="184" formatCode="0.00\ &quot;men&quot;"/>
    <numFmt numFmtId="185" formatCode="&quot;$&quot;#,##0.00\ &quot;/m2&quot;"/>
    <numFmt numFmtId="186" formatCode="#.00\ &quot;weeks&quot;"/>
    <numFmt numFmtId="187" formatCode="0&quot;°&quot;"/>
    <numFmt numFmtId="188" formatCode="0.00&quot;°&quot;"/>
    <numFmt numFmtId="189" formatCode="&quot;$&quot;#,##0.00"/>
    <numFmt numFmtId="190" formatCode="0.0&quot;°&quot;"/>
    <numFmt numFmtId="191" formatCode="0.000\ &quot;m&quot;"/>
    <numFmt numFmtId="192" formatCode="d&quot; &quot;mmmm&quot; &quot;yyyy"/>
    <numFmt numFmtId="193" formatCode="&quot;$&quot;#,##0.00 &quot;+ GST&quot;"/>
    <numFmt numFmtId="194" formatCode="#,##0.00;(#,##0.00)"/>
    <numFmt numFmtId="195" formatCode="0.00 &quot;m span&quot;"/>
    <numFmt numFmtId="196" formatCode="0.00 &quot;m&quot;"/>
  </numFmts>
  <fonts count="52">
    <font>
      <sz val="11.0"/>
      <color theme="1"/>
      <name val="Calibri"/>
      <scheme val="minor"/>
    </font>
    <font>
      <sz val="11.0"/>
      <color theme="1"/>
      <name val="Calibri"/>
    </font>
    <font>
      <sz val="11.0"/>
      <color theme="1"/>
      <name val="Verdana"/>
    </font>
    <font/>
    <font>
      <b/>
      <sz val="11.0"/>
      <color theme="1"/>
      <name val="Verdana"/>
    </font>
    <font>
      <b/>
      <i/>
      <sz val="11.0"/>
      <color rgb="FF0000CC"/>
      <name val="Verdana"/>
    </font>
    <font>
      <b/>
      <sz val="11.0"/>
      <color rgb="FFFF0000"/>
      <name val="Verdana"/>
    </font>
    <font>
      <b/>
      <sz val="11.0"/>
      <color rgb="FF0000CC"/>
      <name val="Verdana"/>
    </font>
    <font>
      <i/>
      <sz val="11.0"/>
      <color rgb="FFFF0000"/>
      <name val="Verdana"/>
    </font>
    <font>
      <i/>
      <sz val="11.0"/>
      <color rgb="FF0000CC"/>
      <name val="Verdana"/>
    </font>
    <font>
      <i/>
      <sz val="11.0"/>
      <color rgb="FF0000FF"/>
      <name val="Verdana"/>
    </font>
    <font>
      <sz val="11.0"/>
      <color rgb="FFFF0000"/>
      <name val="Verdana"/>
    </font>
    <font>
      <sz val="11.0"/>
      <color rgb="FF0000CC"/>
      <name val="Verdana"/>
    </font>
    <font>
      <sz val="11.0"/>
      <color rgb="FF000000"/>
      <name val="Verdana"/>
    </font>
    <font>
      <b/>
      <sz val="8.0"/>
      <color rgb="FFFF0000"/>
      <name val="Verdana"/>
    </font>
    <font>
      <b/>
      <sz val="11.0"/>
      <color theme="1"/>
      <name val="Calibri"/>
    </font>
    <font>
      <i/>
      <sz val="11.0"/>
      <color theme="1"/>
      <name val="Verdana"/>
    </font>
    <font>
      <u/>
      <sz val="11.0"/>
      <color rgb="FFFF0000"/>
      <name val="Verdana"/>
    </font>
    <font>
      <b/>
      <i/>
      <sz val="11.0"/>
      <color theme="1"/>
      <name val="Verdana"/>
    </font>
    <font>
      <u/>
      <sz val="11.0"/>
      <color theme="1"/>
      <name val="Verdana"/>
    </font>
    <font>
      <u/>
      <sz val="11.0"/>
      <color theme="1"/>
      <name val="Verdana"/>
    </font>
    <font>
      <u/>
      <sz val="11.0"/>
      <color theme="1"/>
      <name val="Verdana"/>
    </font>
    <font>
      <sz val="11.0"/>
      <color rgb="FF003399"/>
      <name val="Verdana"/>
    </font>
    <font>
      <u/>
      <sz val="11.0"/>
      <color theme="1"/>
      <name val="Verdana"/>
    </font>
    <font>
      <b/>
      <sz val="11.0"/>
      <color rgb="FF999999"/>
      <name val="Verdana"/>
    </font>
    <font>
      <strike/>
      <sz val="11.0"/>
      <color rgb="FFFF0000"/>
      <name val="Verdana"/>
    </font>
    <font>
      <u/>
      <sz val="11.0"/>
      <color rgb="FFFF0000"/>
      <name val="Verdana"/>
    </font>
    <font>
      <u/>
      <sz val="11.0"/>
      <color theme="1"/>
      <name val="Verdana"/>
    </font>
    <font>
      <b/>
      <sz val="12.0"/>
      <color theme="1"/>
      <name val="Verdana"/>
    </font>
    <font>
      <color theme="1"/>
      <name val="Verdana"/>
    </font>
    <font>
      <b/>
      <u/>
      <sz val="11.0"/>
      <color theme="1"/>
      <name val="Verdana"/>
    </font>
    <font>
      <color theme="1"/>
      <name val="Arial"/>
    </font>
    <font>
      <sz val="12.0"/>
      <color theme="1"/>
      <name val="Verdana"/>
    </font>
    <font>
      <color theme="1"/>
      <name val="Calibri"/>
      <scheme val="minor"/>
    </font>
    <font>
      <b/>
      <sz val="12.0"/>
      <color rgb="FFFFFFFF"/>
      <name val="Verdana"/>
    </font>
    <font>
      <sz val="12.0"/>
      <color rgb="FFFFFFFF"/>
      <name val="Verdana"/>
    </font>
    <font>
      <color rgb="FFFFFFFF"/>
      <name val="Verdana"/>
    </font>
    <font>
      <color rgb="FF000000"/>
      <name val="Verdana"/>
    </font>
    <font>
      <sz val="12.0"/>
      <color rgb="FF000000"/>
      <name val="Aptos"/>
    </font>
    <font>
      <b/>
      <color rgb="FF000000"/>
      <name val="Verdana"/>
    </font>
    <font>
      <b/>
      <i/>
      <sz val="9.0"/>
      <color rgb="FF000000"/>
      <name val="Aptos"/>
    </font>
    <font>
      <b/>
      <u/>
      <color rgb="FF000000"/>
      <name val="Aptos"/>
    </font>
    <font>
      <i/>
      <sz val="9.0"/>
      <color rgb="FF999999"/>
      <name val="Verdana"/>
    </font>
    <font>
      <sz val="13.0"/>
      <color rgb="FF000000"/>
      <name val="Monospace"/>
    </font>
    <font>
      <sz val="13.0"/>
      <color rgb="FF0A0A0A"/>
      <name val="Monospace"/>
    </font>
    <font>
      <sz val="13.0"/>
      <color theme="1"/>
      <name val="Verdana"/>
    </font>
    <font>
      <b/>
      <color theme="1"/>
      <name val="Verdana"/>
    </font>
    <font>
      <b/>
      <sz val="11.0"/>
      <color rgb="FF000000"/>
      <name val="Verdana"/>
    </font>
    <font>
      <color rgb="FF000000"/>
      <name val="Calibri"/>
      <scheme val="minor"/>
    </font>
    <font>
      <i/>
      <color rgb="FF0000FF"/>
      <name val="Verdana"/>
    </font>
    <font>
      <sz val="11.0"/>
      <color rgb="FFBF9000"/>
      <name val="Verdana"/>
    </font>
    <font>
      <sz val="12.0"/>
      <color rgb="FFFF0000"/>
      <name val="Verdana"/>
    </font>
  </fonts>
  <fills count="31">
    <fill>
      <patternFill patternType="none"/>
    </fill>
    <fill>
      <patternFill patternType="lightGray"/>
    </fill>
    <fill>
      <patternFill patternType="solid">
        <fgColor rgb="FFFFFFFF"/>
        <bgColor rgb="FFFFFFFF"/>
      </patternFill>
    </fill>
    <fill>
      <patternFill patternType="solid">
        <fgColor rgb="FFFFFF99"/>
        <bgColor rgb="FFFFFF99"/>
      </patternFill>
    </fill>
    <fill>
      <patternFill patternType="solid">
        <fgColor rgb="FFC5E0B3"/>
        <bgColor rgb="FFC5E0B3"/>
      </patternFill>
    </fill>
    <fill>
      <patternFill patternType="solid">
        <fgColor rgb="FFD0CECE"/>
        <bgColor rgb="FFD0CECE"/>
      </patternFill>
    </fill>
    <fill>
      <patternFill patternType="solid">
        <fgColor rgb="FFA5A5A5"/>
        <bgColor rgb="FFA5A5A5"/>
      </patternFill>
    </fill>
    <fill>
      <patternFill patternType="solid">
        <fgColor rgb="FFFF9900"/>
        <bgColor rgb="FFFF9900"/>
      </patternFill>
    </fill>
    <fill>
      <patternFill patternType="solid">
        <fgColor rgb="FFFFFF00"/>
        <bgColor rgb="FFFFFF00"/>
      </patternFill>
    </fill>
    <fill>
      <patternFill patternType="solid">
        <fgColor rgb="FFEAD1DC"/>
        <bgColor rgb="FFEAD1DC"/>
      </patternFill>
    </fill>
    <fill>
      <patternFill patternType="solid">
        <fgColor rgb="FFF7CAAC"/>
        <bgColor rgb="FFF7CAAC"/>
      </patternFill>
    </fill>
    <fill>
      <patternFill patternType="solid">
        <fgColor rgb="FF9BC2E6"/>
        <bgColor rgb="FF9BC2E6"/>
      </patternFill>
    </fill>
    <fill>
      <patternFill patternType="solid">
        <fgColor rgb="FFDEEAF6"/>
        <bgColor rgb="FFDEEAF6"/>
      </patternFill>
    </fill>
    <fill>
      <patternFill patternType="solid">
        <fgColor rgb="FFFFF2CC"/>
        <bgColor rgb="FFFFF2CC"/>
      </patternFill>
    </fill>
    <fill>
      <patternFill patternType="solid">
        <fgColor theme="0"/>
        <bgColor theme="0"/>
      </patternFill>
    </fill>
    <fill>
      <patternFill patternType="solid">
        <fgColor rgb="FFD8D8D8"/>
        <bgColor rgb="FFD8D8D8"/>
      </patternFill>
    </fill>
    <fill>
      <patternFill patternType="solid">
        <fgColor rgb="FF92D050"/>
        <bgColor rgb="FF92D050"/>
      </patternFill>
    </fill>
    <fill>
      <patternFill patternType="solid">
        <fgColor rgb="FFA8D08D"/>
        <bgColor rgb="FFA8D08D"/>
      </patternFill>
    </fill>
    <fill>
      <patternFill patternType="solid">
        <fgColor rgb="FFD9E2F3"/>
        <bgColor rgb="FFD9E2F3"/>
      </patternFill>
    </fill>
    <fill>
      <patternFill patternType="solid">
        <fgColor rgb="FFFFFFCC"/>
        <bgColor rgb="FFFFFFCC"/>
      </patternFill>
    </fill>
    <fill>
      <patternFill patternType="solid">
        <fgColor rgb="FFFCE5CD"/>
        <bgColor rgb="FFFCE5CD"/>
      </patternFill>
    </fill>
    <fill>
      <patternFill patternType="solid">
        <fgColor rgb="FFE2EFD9"/>
        <bgColor rgb="FFE2EFD9"/>
      </patternFill>
    </fill>
    <fill>
      <patternFill patternType="solid">
        <fgColor rgb="FFFFE598"/>
        <bgColor rgb="FFFFE598"/>
      </patternFill>
    </fill>
    <fill>
      <patternFill patternType="solid">
        <fgColor rgb="FFFFC000"/>
        <bgColor rgb="FFFFC000"/>
      </patternFill>
    </fill>
    <fill>
      <patternFill patternType="solid">
        <fgColor rgb="FFF9CB9C"/>
        <bgColor rgb="FFF9CB9C"/>
      </patternFill>
    </fill>
    <fill>
      <patternFill patternType="solid">
        <fgColor rgb="FFD2F1DA"/>
        <bgColor rgb="FFD2F1DA"/>
      </patternFill>
    </fill>
    <fill>
      <patternFill patternType="solid">
        <fgColor rgb="FF00B050"/>
        <bgColor rgb="FF00B050"/>
      </patternFill>
    </fill>
    <fill>
      <patternFill patternType="solid">
        <fgColor rgb="FF9900FF"/>
        <bgColor rgb="FF9900FF"/>
      </patternFill>
    </fill>
    <fill>
      <patternFill patternType="solid">
        <fgColor rgb="FFD9D2E9"/>
        <bgColor rgb="FFD9D2E9"/>
      </patternFill>
    </fill>
    <fill>
      <patternFill patternType="solid">
        <fgColor rgb="FFFAF9F9"/>
        <bgColor rgb="FFFAF9F9"/>
      </patternFill>
    </fill>
    <fill>
      <patternFill patternType="solid">
        <fgColor rgb="FFEAFFE5"/>
        <bgColor rgb="FFEAFFE5"/>
      </patternFill>
    </fill>
  </fills>
  <borders count="146">
    <border/>
    <border>
      <left/>
      <right/>
      <top/>
      <bottom/>
    </border>
    <border>
      <left/>
      <top/>
    </border>
    <border>
      <top/>
    </border>
    <border>
      <left/>
    </border>
    <border>
      <left style="medium">
        <color rgb="FF000000"/>
      </left>
      <top style="medium">
        <color rgb="FF000000"/>
      </top>
    </border>
    <border>
      <top style="medium">
        <color rgb="FF000000"/>
      </top>
    </border>
    <border>
      <left style="medium">
        <color rgb="FF000000"/>
      </left>
      <bottom style="medium">
        <color rgb="FF000000"/>
      </bottom>
    </border>
    <border>
      <bottom style="medium">
        <color rgb="FF000000"/>
      </bottom>
    </border>
    <border>
      <left style="medium">
        <color rgb="FF000000"/>
      </left>
      <right style="medium">
        <color rgb="FF000000"/>
      </right>
      <top style="medium">
        <color rgb="FF000000"/>
      </top>
    </border>
    <border>
      <left/>
      <right style="thin">
        <color rgb="FF000000"/>
      </right>
      <top style="medium">
        <color rgb="FF000000"/>
      </top>
    </border>
    <border>
      <left style="thin">
        <color rgb="FF000000"/>
      </left>
      <right/>
      <top style="medium">
        <color rgb="FF000000"/>
      </top>
    </border>
    <border>
      <left style="medium">
        <color rgb="FF000000"/>
      </left>
      <right/>
      <top style="medium">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FF0000"/>
      </left>
      <right style="medium">
        <color rgb="FFFF0000"/>
      </right>
      <top style="medium">
        <color rgb="FFFF0000"/>
      </top>
      <bottom style="thin">
        <color rgb="FF000000"/>
      </bottom>
    </border>
    <border>
      <left style="medium">
        <color rgb="FF000000"/>
      </left>
      <right style="thin">
        <color rgb="FF0000CC"/>
      </right>
      <top style="medium">
        <color rgb="FF000000"/>
      </top>
      <bottom style="thin">
        <color rgb="FF000000"/>
      </bottom>
    </border>
    <border>
      <left style="thin">
        <color rgb="FF0000CC"/>
      </left>
      <right style="medium">
        <color rgb="FF000000"/>
      </right>
      <top style="medium">
        <color rgb="FF000000"/>
      </top>
      <bottom style="thin">
        <color rgb="FF000000"/>
      </bottom>
    </border>
    <border>
      <left style="medium">
        <color rgb="FF000000"/>
      </left>
      <right style="medium">
        <color rgb="FF000000"/>
      </right>
    </border>
    <border>
      <left/>
      <right style="thin">
        <color rgb="FF000000"/>
      </right>
    </border>
    <border>
      <left style="thin">
        <color rgb="FF000000"/>
      </left>
      <right/>
    </border>
    <border>
      <left style="medium">
        <color rgb="FF000000"/>
      </left>
      <right/>
      <top style="thin">
        <color rgb="FF000000"/>
      </top>
      <bottom/>
    </border>
    <border>
      <left style="medium">
        <color rgb="FF000000"/>
      </left>
      <right style="thin">
        <color rgb="FF000000"/>
      </right>
      <top style="thin">
        <color rgb="FF000000"/>
      </top>
      <bottom/>
    </border>
    <border>
      <left style="thin">
        <color rgb="FF000000"/>
      </left>
      <right style="medium">
        <color rgb="FF000000"/>
      </right>
      <top style="thin">
        <color rgb="FF000000"/>
      </top>
      <bottom/>
    </border>
    <border>
      <left style="medium">
        <color rgb="FF000000"/>
      </left>
      <right/>
      <top style="thin">
        <color rgb="FF000000"/>
      </top>
      <bottom style="medium">
        <color rgb="FF000000"/>
      </bottom>
    </border>
    <border>
      <left style="medium">
        <color rgb="FFFF0000"/>
      </left>
      <right style="medium">
        <color rgb="FFFF0000"/>
      </right>
      <top style="thin">
        <color rgb="FF000000"/>
      </top>
      <bottom style="medium">
        <color rgb="FF000000"/>
      </bottom>
    </border>
    <border>
      <left style="medium">
        <color rgb="FF000000"/>
      </left>
      <right style="thin">
        <color rgb="FF0000CC"/>
      </right>
      <top style="thin">
        <color rgb="FF000000"/>
      </top>
      <bottom style="medium">
        <color rgb="FF000000"/>
      </bottom>
    </border>
    <border>
      <left style="thin">
        <color rgb="FF0000CC"/>
      </left>
      <right style="medium">
        <color rgb="FF000000"/>
      </right>
      <top style="thin">
        <color rgb="FF000000"/>
      </top>
      <bottom style="medium">
        <color rgb="FF000000"/>
      </bottom>
    </border>
    <border>
      <left style="medium">
        <color rgb="FF000000"/>
      </left>
      <right style="medium">
        <color rgb="FF000000"/>
      </right>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top/>
      <bottom style="hair">
        <color rgb="FF000000"/>
      </bottom>
    </border>
    <border>
      <left style="medium">
        <color rgb="FFFF0000"/>
      </left>
      <right style="medium">
        <color rgb="FFFF0000"/>
      </right>
      <top/>
      <bottom style="hair">
        <color rgb="FF000000"/>
      </bottom>
    </border>
    <border>
      <left/>
      <right/>
      <top/>
      <bottom style="hair">
        <color rgb="FF000000"/>
      </bottom>
    </border>
    <border>
      <left style="medium">
        <color rgb="FF000000"/>
      </left>
      <right style="thin">
        <color rgb="FF0000CC"/>
      </right>
      <top/>
      <bottom style="hair">
        <color rgb="FF000000"/>
      </bottom>
    </border>
    <border>
      <left style="thin">
        <color rgb="FF0000CC"/>
      </left>
      <right style="medium">
        <color rgb="FF000000"/>
      </right>
      <top/>
      <bottom style="hair">
        <color rgb="FF000000"/>
      </bottom>
    </border>
    <border>
      <left style="medium">
        <color rgb="FF000000"/>
      </left>
      <right style="medium">
        <color rgb="FF000000"/>
      </right>
      <top/>
      <bottom style="hair">
        <color rgb="FF000000"/>
      </bottom>
    </border>
    <border>
      <left style="thin">
        <color rgb="FF000000"/>
      </left>
      <right/>
      <top style="thin">
        <color rgb="FFCCCCCC"/>
      </top>
      <bottom style="thin">
        <color rgb="FFCCCCCC"/>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top style="hair">
        <color rgb="FF000000"/>
      </top>
      <bottom style="hair">
        <color rgb="FF000000"/>
      </bottom>
    </border>
    <border>
      <left style="medium">
        <color rgb="FFFF0000"/>
      </left>
      <right style="medium">
        <color rgb="FFFF0000"/>
      </right>
      <top style="hair">
        <color rgb="FF000000"/>
      </top>
      <bottom style="hair">
        <color rgb="FF000000"/>
      </bottom>
    </border>
    <border>
      <left/>
      <right/>
      <top style="hair">
        <color rgb="FF000000"/>
      </top>
      <bottom style="hair">
        <color rgb="FF000000"/>
      </bottom>
    </border>
    <border>
      <left style="medium">
        <color rgb="FF000000"/>
      </left>
      <right style="thin">
        <color rgb="FF0000CC"/>
      </right>
      <top style="hair">
        <color rgb="FF000000"/>
      </top>
      <bottom style="hair">
        <color rgb="FF000000"/>
      </bottom>
    </border>
    <border>
      <left style="thin">
        <color rgb="FF0000CC"/>
      </left>
      <right style="medium">
        <color rgb="FF000000"/>
      </right>
      <top style="hair">
        <color rgb="FF000000"/>
      </top>
      <bottom style="hair">
        <color rgb="FF000000"/>
      </bottom>
    </border>
    <border>
      <left style="medium">
        <color rgb="FF000000"/>
      </left>
      <right style="medium">
        <color rgb="FF000000"/>
      </right>
      <top style="hair">
        <color rgb="FF000000"/>
      </top>
      <bottom style="hair">
        <color rgb="FF000000"/>
      </bottom>
    </border>
    <border>
      <left style="medium">
        <color rgb="FF000000"/>
      </left>
      <right/>
      <bottom style="hair">
        <color rgb="FF000000"/>
      </bottom>
    </border>
    <border>
      <left style="medium">
        <color rgb="FFFF0000"/>
      </left>
      <right style="medium">
        <color rgb="FFFF0000"/>
      </right>
      <bottom style="hair">
        <color rgb="FF000000"/>
      </bottom>
    </border>
    <border>
      <left/>
      <right/>
      <bottom style="hair">
        <color rgb="FF000000"/>
      </bottom>
    </border>
    <border>
      <left style="medium">
        <color rgb="FF000000"/>
      </left>
      <right style="thin">
        <color rgb="FF0000CC"/>
      </right>
      <bottom style="hair">
        <color rgb="FF000000"/>
      </bottom>
    </border>
    <border>
      <left style="thin">
        <color rgb="FF0000CC"/>
      </left>
      <right style="medium">
        <color rgb="FF000000"/>
      </right>
      <bottom style="hair">
        <color rgb="FF000000"/>
      </bottom>
    </border>
    <border>
      <left style="medium">
        <color rgb="FF000000"/>
      </left>
      <right style="medium">
        <color rgb="FF000000"/>
      </right>
      <bottom style="hair">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right style="thin">
        <color rgb="FF000000"/>
      </right>
      <top style="thin">
        <color rgb="FF000000"/>
      </top>
      <bottom style="thin">
        <color rgb="FF000000"/>
      </bottom>
    </border>
    <border>
      <right style="medium">
        <color rgb="FF000000"/>
      </right>
      <top style="thin">
        <color rgb="FF000000"/>
      </top>
      <bottom style="thin">
        <color rgb="FF000000"/>
      </bottom>
    </border>
    <border>
      <right style="medium">
        <color rgb="FF000000"/>
      </right>
    </border>
    <border>
      <right style="medium">
        <color rgb="FFFF0000"/>
      </right>
      <bottom style="hair">
        <color rgb="FF000000"/>
      </bottom>
    </border>
    <border>
      <right style="medium">
        <color rgb="FF000000"/>
      </right>
      <bottom style="hair">
        <color rgb="FF000000"/>
      </bottom>
    </border>
    <border>
      <right style="thin">
        <color rgb="FF0000CC"/>
      </right>
      <bottom style="hair">
        <color rgb="FF000000"/>
      </bottom>
    </border>
    <border>
      <right style="thin">
        <color rgb="FF000000"/>
      </right>
      <bottom style="thin">
        <color rgb="FF000000"/>
      </bottom>
    </border>
    <border>
      <right style="medium">
        <color rgb="FFFF0000"/>
      </right>
    </border>
    <border>
      <right style="thin">
        <color rgb="FF0000CC"/>
      </right>
    </border>
    <border>
      <right style="medium">
        <color rgb="FF000000"/>
      </right>
      <bottom style="thin">
        <color rgb="FF000000"/>
      </bottom>
    </border>
    <border>
      <left/>
      <right/>
      <bottom/>
    </border>
    <border>
      <left style="medium">
        <color rgb="FF000000"/>
      </left>
      <right/>
      <top/>
      <bottom style="medium">
        <color rgb="FF000000"/>
      </bottom>
    </border>
    <border>
      <left style="medium">
        <color rgb="FF000000"/>
      </left>
      <right style="medium">
        <color rgb="FF000000"/>
      </right>
      <top/>
      <bottom style="medium">
        <color rgb="FF000000"/>
      </bottom>
    </border>
    <border>
      <left style="medium">
        <color rgb="FF000000"/>
      </left>
      <top/>
      <bottom style="medium">
        <color rgb="FF000000"/>
      </bottom>
    </border>
    <border>
      <left style="medium">
        <color rgb="FF000000"/>
      </left>
      <right style="thin">
        <color rgb="FF000000"/>
      </right>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top style="medium">
        <color rgb="FF000000"/>
      </top>
      <bottom/>
    </border>
    <border>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right/>
      <top/>
      <bottom/>
    </border>
    <border>
      <left/>
      <right style="medium">
        <color rgb="FF000000"/>
      </right>
      <top/>
      <bottom/>
    </border>
    <border>
      <left/>
      <right style="medium">
        <color rgb="FF000000"/>
      </right>
      <top style="thin">
        <color rgb="FF000000"/>
      </top>
      <bottom/>
    </border>
    <border>
      <left style="medium">
        <color rgb="FF000000"/>
      </left>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top style="medium">
        <color rgb="FF000000"/>
      </top>
      <bottom style="thin">
        <color rgb="FF000000"/>
      </bottom>
    </border>
    <border>
      <left style="thin">
        <color rgb="FF000000"/>
      </left>
      <top style="thin">
        <color rgb="FF000000"/>
      </top>
      <bottom style="thin">
        <color rgb="FF000000"/>
      </bottom>
    </border>
    <border>
      <left style="medium">
        <color rgb="FF000000"/>
      </left>
      <right style="thin">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ttom/>
    </border>
    <border>
      <left style="medium">
        <color rgb="FF000000"/>
      </left>
      <right style="thin">
        <color rgb="FF000000"/>
      </right>
      <top style="medium">
        <color rgb="FF000000"/>
      </top>
      <bottom style="medium">
        <color rgb="FF000000"/>
      </bottom>
    </border>
    <border>
      <left style="thin">
        <color rgb="FF000000"/>
      </left>
      <right/>
      <top style="medium">
        <color rgb="FF000000"/>
      </top>
      <bottom style="medium">
        <color rgb="FF000000"/>
      </bottom>
    </border>
    <border>
      <left style="medium">
        <color rgb="FF000000"/>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bottom/>
    </border>
    <border>
      <left style="thin">
        <color rgb="FF000000"/>
      </left>
      <right style="medium">
        <color rgb="FF000000"/>
      </right>
      <top/>
      <bottom style="thin">
        <color rgb="FF000000"/>
      </bottom>
    </border>
    <border>
      <right/>
      <top/>
      <bottom style="medium">
        <color rgb="FF000000"/>
      </bottom>
    </border>
    <border>
      <left/>
      <right/>
      <top/>
      <bottom style="medium">
        <color rgb="FF000000"/>
      </bottom>
    </border>
    <border>
      <left style="thin">
        <color rgb="FF000000"/>
      </left>
      <right/>
      <top style="thin">
        <color rgb="FF000000"/>
      </top>
      <bottom style="medium">
        <color rgb="FF000000"/>
      </bottom>
    </border>
    <border>
      <left/>
      <right style="medium">
        <color rgb="FF000000"/>
      </right>
      <top style="thin">
        <color rgb="FF000000"/>
      </top>
      <bottom style="medium">
        <color rgb="FF000000"/>
      </bottom>
    </border>
    <border>
      <left/>
      <top/>
      <bottom/>
    </border>
    <border>
      <left/>
      <right/>
      <top/>
    </border>
    <border>
      <left style="thick">
        <color rgb="FF000000"/>
      </left>
      <top style="thick">
        <color rgb="FF000000"/>
      </top>
    </border>
    <border>
      <right style="thick">
        <color rgb="FF000000"/>
      </right>
      <top style="thick">
        <color rgb="FF000000"/>
      </top>
    </border>
    <border>
      <right style="thin">
        <color rgb="FF000000"/>
      </right>
      <top style="medium">
        <color rgb="FF000000"/>
      </top>
      <bottom style="thin">
        <color rgb="FF000000"/>
      </bottom>
    </border>
    <border>
      <left style="thick">
        <color rgb="FF000000"/>
      </left>
      <bottom style="thick">
        <color rgb="FF000000"/>
      </bottom>
    </border>
    <border>
      <right style="thick">
        <color rgb="FF000000"/>
      </right>
      <bottom style="thick">
        <color rgb="FF000000"/>
      </bottom>
    </border>
    <border>
      <left style="thick">
        <color rgb="FF000000"/>
      </left>
      <right style="thin">
        <color rgb="FF000000"/>
      </right>
      <bottom style="thin">
        <color rgb="FF000000"/>
      </bottom>
    </border>
    <border>
      <left style="thin">
        <color rgb="FF000000"/>
      </left>
      <right style="thick">
        <color rgb="FF000000"/>
      </right>
      <bottom style="thin">
        <color rgb="FF000000"/>
      </bottom>
    </border>
    <border>
      <right style="thin">
        <color rgb="FF000000"/>
      </right>
      <top/>
      <bottom style="thin">
        <color rgb="FF000000"/>
      </bottom>
    </border>
    <border>
      <left style="thick">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medium">
        <color rgb="FF000000"/>
      </left>
      <right style="thick">
        <color rgb="FF000000"/>
      </right>
      <bottom style="thin">
        <color rgb="FF000000"/>
      </bottom>
    </border>
    <border>
      <left style="medium">
        <color rgb="FF000000"/>
      </left>
      <right style="thick">
        <color rgb="FF000000"/>
      </right>
      <top/>
      <bottom style="thin">
        <color rgb="FF000000"/>
      </bottom>
    </border>
    <border>
      <left style="medium">
        <color rgb="FF000000"/>
      </left>
      <right style="thick">
        <color rgb="FF000000"/>
      </right>
      <top/>
    </border>
    <border>
      <left style="thick">
        <color rgb="FF000000"/>
      </left>
      <top/>
      <bottom style="thick">
        <color rgb="FF000000"/>
      </bottom>
    </border>
    <border>
      <left style="thin">
        <color rgb="FF000000"/>
      </left>
      <right style="thick">
        <color rgb="FF000000"/>
      </right>
      <top/>
      <bottom style="thick">
        <color rgb="FF000000"/>
      </bottom>
    </border>
    <border>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top style="thin">
        <color rgb="FF000000"/>
      </top>
      <bottom style="thick">
        <color rgb="FF000000"/>
      </bottom>
    </border>
    <border>
      <left style="medium">
        <color rgb="FF000000"/>
      </left>
      <right style="thin">
        <color rgb="FF000000"/>
      </right>
      <top style="medium">
        <color rgb="FF000000"/>
      </top>
      <bottom style="thick">
        <color rgb="FF000000"/>
      </bottom>
    </border>
    <border>
      <left style="thin">
        <color rgb="FF000000"/>
      </left>
      <right style="thin">
        <color rgb="FF000000"/>
      </right>
      <top style="medium">
        <color rgb="FF000000"/>
      </top>
      <bottom style="thick">
        <color rgb="FF000000"/>
      </bottom>
    </border>
    <border>
      <left style="thin">
        <color rgb="FF000000"/>
      </left>
      <right style="medium">
        <color rgb="FF000000"/>
      </right>
      <top style="medium">
        <color rgb="FF000000"/>
      </top>
      <bottom style="thick">
        <color rgb="FF000000"/>
      </bottom>
    </border>
    <border>
      <left/>
      <right style="medium">
        <color rgb="FF000000"/>
      </right>
      <top style="thin">
        <color rgb="FF000000"/>
      </top>
      <bottom style="thick">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border>
    <border>
      <left style="thin">
        <color rgb="FF000000"/>
      </left>
      <right style="thin">
        <color rgb="FF000000"/>
      </right>
    </border>
    <border>
      <left style="thin">
        <color rgb="FF000000"/>
      </left>
      <right style="thin">
        <color rgb="FF000000"/>
      </right>
      <bottom/>
    </border>
    <border>
      <right style="thin">
        <color rgb="FF000000"/>
      </right>
    </border>
    <border>
      <bottom style="thin">
        <color rgb="FFB7B7B7"/>
      </bottom>
    </border>
    <border>
      <left style="thin">
        <color rgb="FF434343"/>
      </left>
      <top style="thin">
        <color rgb="FF434343"/>
      </top>
      <bottom style="thin">
        <color rgb="FF434343"/>
      </bottom>
    </border>
    <border>
      <top style="thin">
        <color rgb="FF434343"/>
      </top>
      <bottom style="thin">
        <color rgb="FF434343"/>
      </bottom>
    </border>
    <border>
      <right style="thin">
        <color rgb="FF434343"/>
      </right>
      <top style="thin">
        <color rgb="FF434343"/>
      </top>
      <bottom style="thin">
        <color rgb="FF434343"/>
      </bottom>
    </border>
    <border>
      <bottom style="thin">
        <color rgb="FFFFFFFF"/>
      </bottom>
    </border>
    <border>
      <top style="thin">
        <color rgb="FF000000"/>
      </top>
      <bottom style="thin">
        <color rgb="FF000000"/>
      </bottom>
    </border>
    <border>
      <bottom style="thin">
        <color rgb="FF000000"/>
      </bottom>
    </border>
    <border>
      <right/>
      <bottom/>
    </border>
  </borders>
  <cellStyleXfs count="1">
    <xf borderId="0" fillId="0" fontId="0" numFmtId="0" applyAlignment="1" applyFont="1"/>
  </cellStyleXfs>
  <cellXfs count="1450">
    <xf borderId="0" fillId="0" fontId="0" numFmtId="0" xfId="0" applyAlignment="1" applyFont="1">
      <alignment readingOrder="0" shrinkToFit="0" vertical="bottom" wrapText="0"/>
    </xf>
    <xf borderId="0" fillId="0" fontId="1" numFmtId="0" xfId="0" applyAlignment="1" applyFont="1">
      <alignment horizontal="center" vertical="center"/>
    </xf>
    <xf borderId="1" fillId="2" fontId="1" numFmtId="0" xfId="0" applyAlignment="1" applyBorder="1" applyFill="1" applyFont="1">
      <alignment vertical="center"/>
    </xf>
    <xf borderId="1" fillId="2" fontId="1" numFmtId="2" xfId="0" applyAlignment="1" applyBorder="1" applyFont="1" applyNumberFormat="1">
      <alignment vertical="center"/>
    </xf>
    <xf borderId="1" fillId="2" fontId="1" numFmtId="164" xfId="0" applyAlignment="1" applyBorder="1" applyFont="1" applyNumberFormat="1">
      <alignment vertical="center"/>
    </xf>
    <xf borderId="1" fillId="2" fontId="1" numFmtId="165" xfId="0" applyAlignment="1" applyBorder="1" applyFont="1" applyNumberFormat="1">
      <alignment vertical="center"/>
    </xf>
    <xf borderId="1" fillId="2" fontId="1" numFmtId="166" xfId="0" applyAlignment="1" applyBorder="1" applyFont="1" applyNumberFormat="1">
      <alignment vertical="center"/>
    </xf>
    <xf borderId="1" fillId="2" fontId="1" numFmtId="4" xfId="0" applyAlignment="1" applyBorder="1" applyFont="1" applyNumberFormat="1">
      <alignment vertical="center"/>
    </xf>
    <xf borderId="0" fillId="0" fontId="2" numFmtId="0" xfId="0" applyAlignment="1" applyFont="1">
      <alignment horizontal="center" vertical="center"/>
    </xf>
    <xf borderId="2" fillId="2" fontId="1" numFmtId="0" xfId="0" applyAlignment="1" applyBorder="1" applyFont="1">
      <alignment vertical="center"/>
    </xf>
    <xf borderId="3" fillId="0" fontId="3" numFmtId="0" xfId="0" applyBorder="1" applyFont="1"/>
    <xf borderId="4" fillId="0" fontId="3" numFmtId="0" xfId="0" applyBorder="1" applyFont="1"/>
    <xf borderId="1" fillId="2" fontId="4" numFmtId="0" xfId="0" applyAlignment="1" applyBorder="1" applyFont="1">
      <alignment horizontal="right" vertical="center"/>
    </xf>
    <xf borderId="1" fillId="2" fontId="4" numFmtId="0" xfId="0" applyAlignment="1" applyBorder="1" applyFont="1">
      <alignment readingOrder="0" shrinkToFit="0" vertical="center" wrapText="1"/>
    </xf>
    <xf borderId="5" fillId="3" fontId="4" numFmtId="0" xfId="0" applyAlignment="1" applyBorder="1" applyFill="1" applyFont="1">
      <alignment horizontal="center" vertical="center"/>
    </xf>
    <xf borderId="6" fillId="0" fontId="3" numFmtId="0" xfId="0" applyBorder="1" applyFont="1"/>
    <xf borderId="7" fillId="0" fontId="3" numFmtId="0" xfId="0" applyBorder="1" applyFont="1"/>
    <xf borderId="8" fillId="0" fontId="3" numFmtId="0" xfId="0" applyBorder="1" applyFont="1"/>
    <xf borderId="1" fillId="4" fontId="4" numFmtId="0" xfId="0" applyAlignment="1" applyBorder="1" applyFill="1" applyFont="1">
      <alignment horizontal="center" shrinkToFit="0" vertical="center" wrapText="1"/>
    </xf>
    <xf borderId="1" fillId="4" fontId="5" numFmtId="0" xfId="0" applyAlignment="1" applyBorder="1" applyFont="1">
      <alignment horizontal="center" shrinkToFit="0" vertical="center" wrapText="1"/>
    </xf>
    <xf borderId="1" fillId="4" fontId="1" numFmtId="2" xfId="0" applyAlignment="1" applyBorder="1" applyFont="1" applyNumberFormat="1">
      <alignment vertical="center"/>
    </xf>
    <xf borderId="1" fillId="4" fontId="1" numFmtId="0" xfId="0" applyAlignment="1" applyBorder="1" applyFont="1">
      <alignment vertical="center"/>
    </xf>
    <xf borderId="1" fillId="4" fontId="4" numFmtId="0" xfId="0" applyAlignment="1" applyBorder="1" applyFont="1">
      <alignment horizontal="right" shrinkToFit="0" vertical="center" wrapText="1"/>
    </xf>
    <xf borderId="9" fillId="2" fontId="4" numFmtId="0" xfId="0" applyAlignment="1" applyBorder="1" applyFont="1">
      <alignment horizontal="center" shrinkToFit="0" vertical="center" wrapText="1"/>
    </xf>
    <xf borderId="10" fillId="2" fontId="4" numFmtId="0" xfId="0" applyAlignment="1" applyBorder="1" applyFont="1">
      <alignment horizontal="center" shrinkToFit="0" vertical="center" wrapText="1"/>
    </xf>
    <xf borderId="10" fillId="2" fontId="4" numFmtId="2" xfId="0" applyAlignment="1" applyBorder="1" applyFont="1" applyNumberFormat="1">
      <alignment horizontal="center" shrinkToFit="0" vertical="center" wrapText="1"/>
    </xf>
    <xf borderId="11" fillId="2" fontId="4" numFmtId="0" xfId="0" applyAlignment="1" applyBorder="1" applyFont="1">
      <alignment horizontal="center" shrinkToFit="0" vertical="center" wrapText="1"/>
    </xf>
    <xf borderId="12" fillId="2" fontId="4" numFmtId="2" xfId="0" applyAlignment="1" applyBorder="1" applyFont="1" applyNumberFormat="1">
      <alignment horizontal="center" shrinkToFit="0" vertical="center" wrapText="1"/>
    </xf>
    <xf borderId="13" fillId="5" fontId="6" numFmtId="2" xfId="0" applyAlignment="1" applyBorder="1" applyFill="1" applyFont="1" applyNumberFormat="1">
      <alignment horizontal="center" shrinkToFit="0" vertical="center" wrapText="1"/>
    </xf>
    <xf borderId="14" fillId="0" fontId="3" numFmtId="0" xfId="0" applyBorder="1" applyFont="1"/>
    <xf borderId="15" fillId="0" fontId="3" numFmtId="0" xfId="0" applyBorder="1" applyFont="1"/>
    <xf borderId="13" fillId="2" fontId="4" numFmtId="0" xfId="0" applyAlignment="1" applyBorder="1" applyFont="1">
      <alignment horizontal="center" shrinkToFit="0" vertical="center" wrapText="1"/>
    </xf>
    <xf borderId="16" fillId="2" fontId="1" numFmtId="0" xfId="0" applyAlignment="1" applyBorder="1" applyFont="1">
      <alignment vertical="center"/>
    </xf>
    <xf borderId="1" fillId="6" fontId="1" numFmtId="0" xfId="0" applyAlignment="1" applyBorder="1" applyFill="1" applyFont="1">
      <alignment vertical="center"/>
    </xf>
    <xf borderId="12" fillId="2" fontId="7" numFmtId="165" xfId="0" applyAlignment="1" applyBorder="1" applyFont="1" applyNumberFormat="1">
      <alignment horizontal="center" shrinkToFit="0" vertical="center" wrapText="1"/>
    </xf>
    <xf borderId="17" fillId="2" fontId="6" numFmtId="165" xfId="0" applyAlignment="1" applyBorder="1" applyFont="1" applyNumberFormat="1">
      <alignment horizontal="center" shrinkToFit="0" vertical="center" wrapText="1"/>
    </xf>
    <xf borderId="1" fillId="2" fontId="4" numFmtId="166" xfId="0" applyAlignment="1" applyBorder="1" applyFont="1" applyNumberFormat="1">
      <alignment horizontal="center" shrinkToFit="0" vertical="center" wrapText="1"/>
    </xf>
    <xf borderId="18" fillId="2" fontId="6" numFmtId="165" xfId="0" applyAlignment="1" applyBorder="1" applyFont="1" applyNumberFormat="1">
      <alignment horizontal="center" shrinkToFit="0" vertical="center" wrapText="1"/>
    </xf>
    <xf borderId="19" fillId="2" fontId="6" numFmtId="165" xfId="0" applyAlignment="1" applyBorder="1" applyFont="1" applyNumberFormat="1">
      <alignment horizontal="center" shrinkToFit="0" vertical="center" wrapText="1"/>
    </xf>
    <xf borderId="1" fillId="6" fontId="1" numFmtId="165" xfId="0" applyAlignment="1" applyBorder="1" applyFont="1" applyNumberFormat="1">
      <alignment vertical="center"/>
    </xf>
    <xf borderId="9" fillId="2" fontId="7" numFmtId="165" xfId="0" applyAlignment="1" applyBorder="1" applyFont="1" applyNumberFormat="1">
      <alignment horizontal="center" shrinkToFit="0" vertical="center" wrapText="1"/>
    </xf>
    <xf borderId="9" fillId="2" fontId="7" numFmtId="4" xfId="0" applyAlignment="1" applyBorder="1" applyFont="1" applyNumberFormat="1">
      <alignment horizontal="center" shrinkToFit="0" vertical="center" wrapText="1"/>
    </xf>
    <xf borderId="20" fillId="0" fontId="3" numFmtId="0" xfId="0" applyBorder="1" applyFont="1"/>
    <xf borderId="21" fillId="0" fontId="3" numFmtId="0" xfId="0" applyBorder="1" applyFont="1"/>
    <xf borderId="22" fillId="0" fontId="3" numFmtId="0" xfId="0" applyBorder="1" applyFont="1"/>
    <xf borderId="23" fillId="2" fontId="4" numFmtId="2" xfId="0" applyAlignment="1" applyBorder="1" applyFont="1" applyNumberFormat="1">
      <alignment horizontal="center" shrinkToFit="0" vertical="center" wrapText="1"/>
    </xf>
    <xf borderId="24" fillId="2" fontId="6" numFmtId="2" xfId="0" applyAlignment="1" applyBorder="1" applyFont="1" applyNumberFormat="1">
      <alignment horizontal="center" shrinkToFit="0" vertical="center" wrapText="1"/>
    </xf>
    <xf borderId="25" fillId="2" fontId="8" numFmtId="164" xfId="0" applyAlignment="1" applyBorder="1" applyFont="1" applyNumberFormat="1">
      <alignment horizontal="center" shrinkToFit="0" vertical="center" wrapText="1"/>
    </xf>
    <xf borderId="25" fillId="2" fontId="8" numFmtId="9" xfId="0" applyAlignment="1" applyBorder="1" applyFont="1" applyNumberFormat="1">
      <alignment horizontal="center" shrinkToFit="0" vertical="center" wrapText="1"/>
    </xf>
    <xf borderId="25" fillId="2" fontId="9" numFmtId="0" xfId="0" applyAlignment="1" applyBorder="1" applyFont="1">
      <alignment horizontal="center" shrinkToFit="0" vertical="center" wrapText="1"/>
    </xf>
    <xf borderId="24" fillId="2" fontId="4" numFmtId="165" xfId="0" applyAlignment="1" applyBorder="1" applyFont="1" applyNumberFormat="1">
      <alignment horizontal="center" shrinkToFit="0" vertical="center" wrapText="1"/>
    </xf>
    <xf borderId="25" fillId="2" fontId="4" numFmtId="165" xfId="0" applyAlignment="1" applyBorder="1" applyFont="1" applyNumberFormat="1">
      <alignment horizontal="center" shrinkToFit="0" vertical="center" wrapText="1"/>
    </xf>
    <xf borderId="26" fillId="2" fontId="1" numFmtId="165" xfId="0" applyAlignment="1" applyBorder="1" applyFont="1" applyNumberFormat="1">
      <alignment vertical="center"/>
    </xf>
    <xf borderId="27" fillId="2" fontId="1" numFmtId="165" xfId="0" applyAlignment="1" applyBorder="1" applyFont="1" applyNumberFormat="1">
      <alignment vertical="center"/>
    </xf>
    <xf borderId="1" fillId="2" fontId="4" numFmtId="167" xfId="0" applyAlignment="1" applyBorder="1" applyFont="1" applyNumberFormat="1">
      <alignment horizontal="center" shrinkToFit="0" vertical="center" wrapText="1"/>
    </xf>
    <xf borderId="28" fillId="2" fontId="1" numFmtId="165" xfId="0" applyAlignment="1" applyBorder="1" applyFont="1" applyNumberFormat="1">
      <alignment vertical="center"/>
    </xf>
    <xf borderId="29" fillId="2" fontId="1" numFmtId="165" xfId="0" applyAlignment="1" applyBorder="1" applyFont="1" applyNumberFormat="1">
      <alignment vertical="center"/>
    </xf>
    <xf borderId="30" fillId="0" fontId="3" numFmtId="0" xfId="0" applyBorder="1" applyFont="1"/>
    <xf borderId="31" fillId="2" fontId="1" numFmtId="0" xfId="0" applyAlignment="1" applyBorder="1" applyFont="1">
      <alignment vertical="center"/>
    </xf>
    <xf borderId="32" fillId="2" fontId="1" numFmtId="0" xfId="0" applyAlignment="1" applyBorder="1" applyFont="1">
      <alignment vertical="center"/>
    </xf>
    <xf borderId="32" fillId="2" fontId="1" numFmtId="2" xfId="0" applyAlignment="1" applyBorder="1" applyFont="1" applyNumberFormat="1">
      <alignment vertical="center"/>
    </xf>
    <xf borderId="32" fillId="2" fontId="1" numFmtId="164" xfId="0" applyAlignment="1" applyBorder="1" applyFont="1" applyNumberFormat="1">
      <alignment vertical="center"/>
    </xf>
    <xf borderId="32" fillId="2" fontId="1" numFmtId="166" xfId="0" applyAlignment="1" applyBorder="1" applyFont="1" applyNumberFormat="1">
      <alignment vertical="center"/>
    </xf>
    <xf borderId="32" fillId="2" fontId="1" numFmtId="165" xfId="0" applyAlignment="1" applyBorder="1" applyFont="1" applyNumberFormat="1">
      <alignment vertical="center"/>
    </xf>
    <xf borderId="33" fillId="2" fontId="1" numFmtId="165" xfId="0" applyAlignment="1" applyBorder="1" applyFont="1" applyNumberFormat="1">
      <alignment vertical="center"/>
    </xf>
    <xf borderId="34" fillId="2" fontId="1" numFmtId="165" xfId="0" applyAlignment="1" applyBorder="1" applyFont="1" applyNumberFormat="1">
      <alignment vertical="center"/>
    </xf>
    <xf borderId="35" fillId="2" fontId="1" numFmtId="165" xfId="0" applyAlignment="1" applyBorder="1" applyFont="1" applyNumberFormat="1">
      <alignment vertical="center"/>
    </xf>
    <xf borderId="36" fillId="2" fontId="1" numFmtId="166" xfId="0" applyAlignment="1" applyBorder="1" applyFont="1" applyNumberFormat="1">
      <alignment vertical="center"/>
    </xf>
    <xf borderId="37" fillId="2" fontId="1" numFmtId="165" xfId="0" applyAlignment="1" applyBorder="1" applyFont="1" applyNumberFormat="1">
      <alignment vertical="center"/>
    </xf>
    <xf borderId="38" fillId="2" fontId="1" numFmtId="165" xfId="0" applyAlignment="1" applyBorder="1" applyFont="1" applyNumberFormat="1">
      <alignment vertical="center"/>
    </xf>
    <xf borderId="39" fillId="2" fontId="1" numFmtId="165" xfId="0" applyAlignment="1" applyBorder="1" applyFont="1" applyNumberFormat="1">
      <alignment vertical="center"/>
    </xf>
    <xf borderId="40" fillId="7" fontId="2" numFmtId="0" xfId="0" applyAlignment="1" applyBorder="1" applyFill="1" applyFont="1">
      <alignment horizontal="center" vertical="center"/>
    </xf>
    <xf borderId="41" fillId="4" fontId="1" numFmtId="0" xfId="0" applyAlignment="1" applyBorder="1" applyFont="1">
      <alignment vertical="center"/>
    </xf>
    <xf borderId="42" fillId="4" fontId="4" numFmtId="0" xfId="0" applyAlignment="1" applyBorder="1" applyFont="1">
      <alignment shrinkToFit="0" vertical="center" wrapText="1"/>
    </xf>
    <xf borderId="42" fillId="4" fontId="1" numFmtId="0" xfId="0" applyAlignment="1" applyBorder="1" applyFont="1">
      <alignment vertical="center"/>
    </xf>
    <xf borderId="42" fillId="4" fontId="1" numFmtId="2" xfId="0" applyAlignment="1" applyBorder="1" applyFont="1" applyNumberFormat="1">
      <alignment vertical="center"/>
    </xf>
    <xf borderId="42" fillId="4" fontId="1" numFmtId="164" xfId="0" applyAlignment="1" applyBorder="1" applyFont="1" applyNumberFormat="1">
      <alignment vertical="center"/>
    </xf>
    <xf borderId="42" fillId="4" fontId="1" numFmtId="166" xfId="0" applyAlignment="1" applyBorder="1" applyFont="1" applyNumberFormat="1">
      <alignment vertical="center"/>
    </xf>
    <xf borderId="42" fillId="4" fontId="1" numFmtId="165" xfId="0" applyAlignment="1" applyBorder="1" applyFont="1" applyNumberFormat="1">
      <alignment vertical="center"/>
    </xf>
    <xf borderId="43" fillId="4" fontId="1" numFmtId="165" xfId="0" applyAlignment="1" applyBorder="1" applyFont="1" applyNumberFormat="1">
      <alignment vertical="center"/>
    </xf>
    <xf borderId="34" fillId="4" fontId="1" numFmtId="165" xfId="0" applyAlignment="1" applyBorder="1" applyFont="1" applyNumberFormat="1">
      <alignment vertical="center"/>
    </xf>
    <xf borderId="35" fillId="4" fontId="1" numFmtId="165" xfId="0" applyAlignment="1" applyBorder="1" applyFont="1" applyNumberFormat="1">
      <alignment vertical="center"/>
    </xf>
    <xf borderId="36" fillId="4" fontId="1" numFmtId="165" xfId="0" applyAlignment="1" applyBorder="1" applyFont="1" applyNumberFormat="1">
      <alignment vertical="center"/>
    </xf>
    <xf borderId="37" fillId="4" fontId="1" numFmtId="165" xfId="0" applyAlignment="1" applyBorder="1" applyFont="1" applyNumberFormat="1">
      <alignment vertical="center"/>
    </xf>
    <xf borderId="38" fillId="4" fontId="1" numFmtId="165" xfId="0" applyAlignment="1" applyBorder="1" applyFont="1" applyNumberFormat="1">
      <alignment vertical="center"/>
    </xf>
    <xf borderId="1" fillId="4" fontId="1" numFmtId="165" xfId="0" applyAlignment="1" applyBorder="1" applyFont="1" applyNumberFormat="1">
      <alignment vertical="center"/>
    </xf>
    <xf borderId="39" fillId="4" fontId="1" numFmtId="165" xfId="0" applyAlignment="1" applyBorder="1" applyFont="1" applyNumberFormat="1">
      <alignment vertical="center"/>
    </xf>
    <xf borderId="1" fillId="8" fontId="2" numFmtId="0" xfId="0" applyAlignment="1" applyBorder="1" applyFill="1" applyFont="1">
      <alignment horizontal="center" vertical="center"/>
    </xf>
    <xf borderId="41" fillId="9" fontId="1" numFmtId="0" xfId="0" applyAlignment="1" applyBorder="1" applyFill="1" applyFont="1">
      <alignment vertical="center"/>
    </xf>
    <xf borderId="42" fillId="9" fontId="4" numFmtId="0" xfId="0" applyAlignment="1" applyBorder="1" applyFont="1">
      <alignment shrinkToFit="0" vertical="center" wrapText="1"/>
    </xf>
    <xf borderId="42" fillId="9" fontId="1" numFmtId="0" xfId="0" applyAlignment="1" applyBorder="1" applyFont="1">
      <alignment vertical="center"/>
    </xf>
    <xf borderId="42" fillId="9" fontId="1" numFmtId="2" xfId="0" applyAlignment="1" applyBorder="1" applyFont="1" applyNumberFormat="1">
      <alignment vertical="center"/>
    </xf>
    <xf borderId="42" fillId="9" fontId="1" numFmtId="164" xfId="0" applyAlignment="1" applyBorder="1" applyFont="1" applyNumberFormat="1">
      <alignment vertical="center"/>
    </xf>
    <xf borderId="43" fillId="9" fontId="1" numFmtId="0" xfId="0" applyAlignment="1" applyBorder="1" applyFont="1">
      <alignment vertical="center"/>
    </xf>
    <xf borderId="1" fillId="10" fontId="1" numFmtId="0" xfId="0" applyAlignment="1" applyBorder="1" applyFill="1" applyFont="1">
      <alignment vertical="center"/>
    </xf>
    <xf borderId="34" fillId="10" fontId="1" numFmtId="165" xfId="0" applyAlignment="1" applyBorder="1" applyFont="1" applyNumberFormat="1">
      <alignment vertical="center"/>
    </xf>
    <xf borderId="35" fillId="10" fontId="1" numFmtId="165" xfId="0" applyAlignment="1" applyBorder="1" applyFont="1" applyNumberFormat="1">
      <alignment vertical="center"/>
    </xf>
    <xf borderId="36" fillId="10" fontId="1" numFmtId="165" xfId="0" applyAlignment="1" applyBorder="1" applyFont="1" applyNumberFormat="1">
      <alignment vertical="center"/>
    </xf>
    <xf borderId="37" fillId="10" fontId="1" numFmtId="165" xfId="0" applyAlignment="1" applyBorder="1" applyFont="1" applyNumberFormat="1">
      <alignment vertical="center"/>
    </xf>
    <xf borderId="38" fillId="10" fontId="1" numFmtId="165" xfId="0" applyAlignment="1" applyBorder="1" applyFont="1" applyNumberFormat="1">
      <alignment vertical="center"/>
    </xf>
    <xf borderId="1" fillId="10" fontId="1" numFmtId="165" xfId="0" applyAlignment="1" applyBorder="1" applyFont="1" applyNumberFormat="1">
      <alignment vertical="center"/>
    </xf>
    <xf borderId="39" fillId="10" fontId="1" numFmtId="165" xfId="0" applyAlignment="1" applyBorder="1" applyFont="1" applyNumberFormat="1">
      <alignment vertical="center"/>
    </xf>
    <xf borderId="41" fillId="11" fontId="1" numFmtId="0" xfId="0" applyAlignment="1" applyBorder="1" applyFill="1" applyFont="1">
      <alignment vertical="center"/>
    </xf>
    <xf borderId="42" fillId="11" fontId="2" numFmtId="0" xfId="0" applyAlignment="1" applyBorder="1" applyFont="1">
      <alignment readingOrder="0" shrinkToFit="0" vertical="center" wrapText="1"/>
    </xf>
    <xf borderId="42" fillId="11" fontId="1" numFmtId="0" xfId="0" applyAlignment="1" applyBorder="1" applyFont="1">
      <alignment vertical="center"/>
    </xf>
    <xf borderId="42" fillId="11" fontId="1" numFmtId="2" xfId="0" applyAlignment="1" applyBorder="1" applyFont="1" applyNumberFormat="1">
      <alignment vertical="center"/>
    </xf>
    <xf borderId="42" fillId="11" fontId="2" numFmtId="2" xfId="0" applyAlignment="1" applyBorder="1" applyFont="1" applyNumberFormat="1">
      <alignment horizontal="center" vertical="center"/>
    </xf>
    <xf borderId="42" fillId="11" fontId="1" numFmtId="164" xfId="0" applyAlignment="1" applyBorder="1" applyFont="1" applyNumberFormat="1">
      <alignment vertical="center"/>
    </xf>
    <xf borderId="42" fillId="8" fontId="1" numFmtId="165" xfId="0" applyAlignment="1" applyBorder="1" applyFont="1" applyNumberFormat="1">
      <alignment vertical="center"/>
    </xf>
    <xf borderId="42" fillId="11" fontId="2" numFmtId="168" xfId="0" applyAlignment="1" applyBorder="1" applyFont="1" applyNumberFormat="1">
      <alignment horizontal="right" vertical="center"/>
    </xf>
    <xf borderId="43" fillId="11" fontId="2" numFmtId="168" xfId="0" applyAlignment="1" applyBorder="1" applyFont="1" applyNumberFormat="1">
      <alignment horizontal="right" vertical="center"/>
    </xf>
    <xf borderId="1" fillId="2" fontId="2" numFmtId="169" xfId="0" applyAlignment="1" applyBorder="1" applyFont="1" applyNumberFormat="1">
      <alignment horizontal="center" vertical="center"/>
    </xf>
    <xf borderId="1" fillId="2" fontId="10" numFmtId="165" xfId="0" applyAlignment="1" applyBorder="1" applyFont="1" applyNumberFormat="1">
      <alignment horizontal="center" vertical="center"/>
    </xf>
    <xf borderId="1" fillId="2" fontId="2" numFmtId="165" xfId="0" applyAlignment="1" applyBorder="1" applyFont="1" applyNumberFormat="1">
      <alignment horizontal="right" vertical="center"/>
    </xf>
    <xf borderId="44" fillId="12" fontId="2" numFmtId="165" xfId="0" applyAlignment="1" applyBorder="1" applyFill="1" applyFont="1" applyNumberFormat="1">
      <alignment horizontal="right" vertical="center"/>
    </xf>
    <xf borderId="45" fillId="12" fontId="2" numFmtId="165" xfId="0" applyAlignment="1" applyBorder="1" applyFont="1" applyNumberFormat="1">
      <alignment horizontal="right" vertical="center"/>
    </xf>
    <xf borderId="46" fillId="2" fontId="2" numFmtId="165" xfId="0" applyAlignment="1" applyBorder="1" applyFont="1" applyNumberFormat="1">
      <alignment horizontal="right" vertical="center"/>
    </xf>
    <xf borderId="47" fillId="12" fontId="11" numFmtId="165" xfId="0" applyAlignment="1" applyBorder="1" applyFont="1" applyNumberFormat="1">
      <alignment horizontal="right" vertical="center"/>
    </xf>
    <xf borderId="48" fillId="12" fontId="11" numFmtId="165" xfId="0" applyAlignment="1" applyBorder="1" applyFont="1" applyNumberFormat="1">
      <alignment horizontal="right" vertical="center"/>
    </xf>
    <xf borderId="49" fillId="12" fontId="12" numFmtId="165" xfId="0" applyAlignment="1" applyBorder="1" applyFont="1" applyNumberFormat="1">
      <alignment horizontal="right" vertical="center"/>
    </xf>
    <xf borderId="42" fillId="11" fontId="1" numFmtId="165" xfId="0" applyAlignment="1" applyBorder="1" applyFont="1" applyNumberFormat="1">
      <alignment vertical="center"/>
    </xf>
    <xf borderId="1" fillId="8" fontId="1" numFmtId="0" xfId="0" applyAlignment="1" applyBorder="1" applyFont="1">
      <alignment horizontal="center" readingOrder="0" vertical="center"/>
    </xf>
    <xf borderId="41" fillId="2" fontId="2" numFmtId="0" xfId="0" applyAlignment="1" applyBorder="1" applyFont="1">
      <alignment readingOrder="0" vertical="center"/>
    </xf>
    <xf borderId="42" fillId="0" fontId="2" numFmtId="0" xfId="0" applyAlignment="1" applyBorder="1" applyFont="1">
      <alignment readingOrder="0" shrinkToFit="0" vertical="center" wrapText="1"/>
    </xf>
    <xf borderId="42" fillId="0" fontId="2" numFmtId="0" xfId="0" applyAlignment="1" applyBorder="1" applyFont="1">
      <alignment horizontal="center" shrinkToFit="0" vertical="center" wrapText="1"/>
    </xf>
    <xf borderId="42" fillId="2" fontId="2" numFmtId="0" xfId="0" applyAlignment="1" applyBorder="1" applyFont="1">
      <alignment horizontal="center" readingOrder="0" vertical="center"/>
    </xf>
    <xf borderId="42" fillId="0" fontId="2" numFmtId="0" xfId="0" applyAlignment="1" applyBorder="1" applyFont="1">
      <alignment horizontal="center" vertical="center"/>
    </xf>
    <xf borderId="42" fillId="2" fontId="1" numFmtId="0" xfId="0" applyAlignment="1" applyBorder="1" applyFont="1">
      <alignment vertical="center"/>
    </xf>
    <xf borderId="42" fillId="2" fontId="2" numFmtId="0" xfId="0" applyAlignment="1" applyBorder="1" applyFont="1">
      <alignment horizontal="center" vertical="center"/>
    </xf>
    <xf borderId="42" fillId="0" fontId="1" numFmtId="0" xfId="0" applyAlignment="1" applyBorder="1" applyFont="1">
      <alignment vertical="center"/>
    </xf>
    <xf borderId="42" fillId="13" fontId="13" numFmtId="0" xfId="0" applyAlignment="1" applyBorder="1" applyFill="1" applyFont="1">
      <alignment horizontal="center" readingOrder="1" vertical="center"/>
    </xf>
    <xf borderId="42" fillId="0" fontId="2" numFmtId="2" xfId="0" applyAlignment="1" applyBorder="1" applyFont="1" applyNumberFormat="1">
      <alignment horizontal="center" readingOrder="0" vertical="center"/>
    </xf>
    <xf borderId="42" fillId="13" fontId="2" numFmtId="170" xfId="0" applyAlignment="1" applyBorder="1" applyFont="1" applyNumberFormat="1">
      <alignment horizontal="center" vertical="center"/>
    </xf>
    <xf borderId="42" fillId="13" fontId="2" numFmtId="164" xfId="0" applyAlignment="1" applyBorder="1" applyFont="1" applyNumberFormat="1">
      <alignment horizontal="center" vertical="center"/>
    </xf>
    <xf borderId="42" fillId="2" fontId="12" numFmtId="0" xfId="0" applyAlignment="1" applyBorder="1" applyFont="1">
      <alignment horizontal="center" vertical="center"/>
    </xf>
    <xf borderId="42" fillId="0" fontId="2" numFmtId="2" xfId="0" applyAlignment="1" applyBorder="1" applyFont="1" applyNumberFormat="1">
      <alignment horizontal="center" vertical="center"/>
    </xf>
    <xf borderId="42" fillId="8" fontId="11" numFmtId="165" xfId="0" applyAlignment="1" applyBorder="1" applyFont="1" applyNumberFormat="1">
      <alignment horizontal="center" vertical="center"/>
    </xf>
    <xf borderId="42" fillId="2" fontId="2" numFmtId="165" xfId="0" applyAlignment="1" applyBorder="1" applyFont="1" applyNumberFormat="1">
      <alignment horizontal="right" vertical="center"/>
    </xf>
    <xf borderId="42" fillId="2" fontId="1" numFmtId="166" xfId="0" applyAlignment="1" applyBorder="1" applyFont="1" applyNumberFormat="1">
      <alignment vertical="center"/>
    </xf>
    <xf borderId="42" fillId="2" fontId="1" numFmtId="165" xfId="0" applyAlignment="1" applyBorder="1" applyFont="1" applyNumberFormat="1">
      <alignment vertical="center"/>
    </xf>
    <xf borderId="43" fillId="2" fontId="2" numFmtId="165" xfId="0" applyAlignment="1" applyBorder="1" applyFont="1" applyNumberFormat="1">
      <alignment horizontal="right" vertical="center"/>
    </xf>
    <xf borderId="1" fillId="2" fontId="2" numFmtId="171" xfId="0" applyAlignment="1" applyBorder="1" applyFont="1" applyNumberFormat="1">
      <alignment horizontal="center" vertical="center"/>
    </xf>
    <xf borderId="1" fillId="2" fontId="2" numFmtId="172" xfId="0" applyAlignment="1" applyBorder="1" applyFont="1" applyNumberFormat="1">
      <alignment horizontal="center" vertical="center"/>
    </xf>
    <xf borderId="1" fillId="2" fontId="2" numFmtId="173" xfId="0" applyAlignment="1" applyBorder="1" applyFont="1" applyNumberFormat="1">
      <alignment horizontal="center" vertical="center"/>
    </xf>
    <xf borderId="36" fillId="2" fontId="1" numFmtId="165" xfId="0" applyAlignment="1" applyBorder="1" applyFont="1" applyNumberFormat="1">
      <alignment vertical="center"/>
    </xf>
    <xf borderId="42" fillId="8" fontId="2" numFmtId="2" xfId="0" applyAlignment="1" applyBorder="1" applyFont="1" applyNumberFormat="1">
      <alignment horizontal="center" vertical="center"/>
    </xf>
    <xf borderId="42" fillId="8" fontId="2" numFmtId="165" xfId="0" applyAlignment="1" applyBorder="1" applyFont="1" applyNumberFormat="1">
      <alignment horizontal="center" vertical="center"/>
    </xf>
    <xf borderId="1" fillId="8" fontId="1" numFmtId="0" xfId="0" applyAlignment="1" applyBorder="1" applyFont="1">
      <alignment horizontal="center" vertical="center"/>
    </xf>
    <xf borderId="42" fillId="0" fontId="2" numFmtId="0" xfId="0" applyAlignment="1" applyBorder="1" applyFont="1">
      <alignment horizontal="center" readingOrder="0" shrinkToFit="0" vertical="center" wrapText="1"/>
    </xf>
    <xf borderId="42" fillId="2" fontId="2" numFmtId="0" xfId="0" applyAlignment="1" applyBorder="1" applyFont="1">
      <alignment horizontal="center" shrinkToFit="0" vertical="center" wrapText="1"/>
    </xf>
    <xf borderId="42" fillId="0" fontId="12" numFmtId="2" xfId="0" applyAlignment="1" applyBorder="1" applyFont="1" applyNumberFormat="1">
      <alignment horizontal="center" vertical="center"/>
    </xf>
    <xf borderId="42" fillId="2" fontId="12" numFmtId="164" xfId="0" applyAlignment="1" applyBorder="1" applyFont="1" applyNumberFormat="1">
      <alignment horizontal="center" vertical="center"/>
    </xf>
    <xf borderId="42" fillId="2" fontId="2" numFmtId="165" xfId="0" applyAlignment="1" applyBorder="1" applyFont="1" applyNumberFormat="1">
      <alignment horizontal="center" vertical="center"/>
    </xf>
    <xf borderId="42" fillId="0" fontId="2" numFmtId="0" xfId="0" applyAlignment="1" applyBorder="1" applyFont="1">
      <alignment horizontal="center" readingOrder="0" vertical="center"/>
    </xf>
    <xf borderId="41" fillId="2" fontId="2" numFmtId="0" xfId="0" applyAlignment="1" applyBorder="1" applyFont="1">
      <alignment vertical="center"/>
    </xf>
    <xf borderId="42" fillId="2" fontId="1" numFmtId="0" xfId="0" applyAlignment="1" applyBorder="1" applyFont="1">
      <alignment readingOrder="0" vertical="center"/>
    </xf>
    <xf borderId="42" fillId="2" fontId="12" numFmtId="0" xfId="0" applyAlignment="1" applyBorder="1" applyFont="1">
      <alignment horizontal="center" readingOrder="0" vertical="center"/>
    </xf>
    <xf borderId="42" fillId="11" fontId="2" numFmtId="0" xfId="0" applyAlignment="1" applyBorder="1" applyFont="1">
      <alignment shrinkToFit="0" vertical="center" wrapText="1"/>
    </xf>
    <xf borderId="42" fillId="0" fontId="2" numFmtId="0" xfId="0" applyAlignment="1" applyBorder="1" applyFont="1">
      <alignment shrinkToFit="0" vertical="center" wrapText="1"/>
    </xf>
    <xf borderId="1" fillId="2" fontId="1" numFmtId="169" xfId="0" applyAlignment="1" applyBorder="1" applyFont="1" applyNumberFormat="1">
      <alignment vertical="center"/>
    </xf>
    <xf borderId="41" fillId="2" fontId="1" numFmtId="0" xfId="0" applyAlignment="1" applyBorder="1" applyFont="1">
      <alignment vertical="center"/>
    </xf>
    <xf borderId="42" fillId="2" fontId="1" numFmtId="2" xfId="0" applyAlignment="1" applyBorder="1" applyFont="1" applyNumberFormat="1">
      <alignment vertical="center"/>
    </xf>
    <xf borderId="42" fillId="2" fontId="1" numFmtId="164" xfId="0" applyAlignment="1" applyBorder="1" applyFont="1" applyNumberFormat="1">
      <alignment vertical="center"/>
    </xf>
    <xf borderId="42" fillId="0" fontId="1" numFmtId="2" xfId="0" applyAlignment="1" applyBorder="1" applyFont="1" applyNumberFormat="1">
      <alignment vertical="center"/>
    </xf>
    <xf borderId="43" fillId="2" fontId="1" numFmtId="165" xfId="0" applyAlignment="1" applyBorder="1" applyFont="1" applyNumberFormat="1">
      <alignment vertical="center"/>
    </xf>
    <xf borderId="1" fillId="2" fontId="1" numFmtId="171" xfId="0" applyAlignment="1" applyBorder="1" applyFont="1" applyNumberFormat="1">
      <alignment vertical="center"/>
    </xf>
    <xf borderId="1" fillId="2" fontId="1" numFmtId="172" xfId="0" applyAlignment="1" applyBorder="1" applyFont="1" applyNumberFormat="1">
      <alignment vertical="center"/>
    </xf>
    <xf borderId="42" fillId="9" fontId="4" numFmtId="0" xfId="0" applyAlignment="1" applyBorder="1" applyFont="1">
      <alignment readingOrder="0" shrinkToFit="0" vertical="center" wrapText="1"/>
    </xf>
    <xf borderId="42" fillId="2" fontId="2" numFmtId="2" xfId="0" applyAlignment="1" applyBorder="1" applyFont="1" applyNumberFormat="1">
      <alignment horizontal="center" vertical="center"/>
    </xf>
    <xf borderId="42" fillId="2" fontId="12" numFmtId="2" xfId="0" applyAlignment="1" applyBorder="1" applyFont="1" applyNumberFormat="1">
      <alignment horizontal="center" vertical="center"/>
    </xf>
    <xf borderId="41" fillId="9" fontId="13" numFmtId="0" xfId="0" applyAlignment="1" applyBorder="1" applyFont="1">
      <alignment horizontal="left" readingOrder="1" vertical="center"/>
    </xf>
    <xf borderId="42" fillId="9" fontId="13" numFmtId="0" xfId="0" applyAlignment="1" applyBorder="1" applyFont="1">
      <alignment horizontal="left" readingOrder="1" shrinkToFit="0" vertical="center" wrapText="1"/>
    </xf>
    <xf borderId="42" fillId="9" fontId="13" numFmtId="0" xfId="0" applyAlignment="1" applyBorder="1" applyFont="1">
      <alignment horizontal="center" readingOrder="1" shrinkToFit="0" vertical="center" wrapText="1"/>
    </xf>
    <xf borderId="42" fillId="9" fontId="13" numFmtId="2" xfId="0" applyAlignment="1" applyBorder="1" applyFont="1" applyNumberFormat="1">
      <alignment horizontal="center" readingOrder="1" vertical="center"/>
    </xf>
    <xf borderId="42" fillId="9" fontId="13" numFmtId="0" xfId="0" applyAlignment="1" applyBorder="1" applyFont="1">
      <alignment horizontal="center" readingOrder="1" vertical="center"/>
    </xf>
    <xf borderId="42" fillId="9" fontId="12" numFmtId="2" xfId="0" applyAlignment="1" applyBorder="1" applyFont="1" applyNumberFormat="1">
      <alignment horizontal="center" readingOrder="1" vertical="center"/>
    </xf>
    <xf borderId="42" fillId="9" fontId="13" numFmtId="164" xfId="0" applyAlignment="1" applyBorder="1" applyFont="1" applyNumberFormat="1">
      <alignment horizontal="center" readingOrder="1" vertical="center"/>
    </xf>
    <xf borderId="42" fillId="9" fontId="13" numFmtId="0" xfId="0" applyAlignment="1" applyBorder="1" applyFont="1">
      <alignment horizontal="right" readingOrder="1" vertical="center"/>
    </xf>
    <xf borderId="43" fillId="9" fontId="13" numFmtId="0" xfId="0" applyAlignment="1" applyBorder="1" applyFont="1">
      <alignment horizontal="right" readingOrder="1" vertical="center"/>
    </xf>
    <xf borderId="1" fillId="14" fontId="2" numFmtId="0" xfId="0" applyAlignment="1" applyBorder="1" applyFill="1" applyFont="1">
      <alignment vertical="center"/>
    </xf>
    <xf borderId="1" fillId="14" fontId="2" numFmtId="165" xfId="0" applyAlignment="1" applyBorder="1" applyFont="1" applyNumberFormat="1">
      <alignment vertical="center"/>
    </xf>
    <xf borderId="1" fillId="6" fontId="2" numFmtId="0" xfId="0" applyAlignment="1" applyBorder="1" applyFont="1">
      <alignment vertical="center"/>
    </xf>
    <xf borderId="34" fillId="14" fontId="12" numFmtId="165" xfId="0" applyAlignment="1" applyBorder="1" applyFont="1" applyNumberFormat="1">
      <alignment vertical="center"/>
    </xf>
    <xf borderId="35" fillId="14" fontId="11" numFmtId="165" xfId="0" applyAlignment="1" applyBorder="1" applyFont="1" applyNumberFormat="1">
      <alignment vertical="center"/>
    </xf>
    <xf borderId="36" fillId="14" fontId="2" numFmtId="165" xfId="0" applyAlignment="1" applyBorder="1" applyFont="1" applyNumberFormat="1">
      <alignment vertical="center"/>
    </xf>
    <xf borderId="37" fillId="14" fontId="11" numFmtId="165" xfId="0" applyAlignment="1" applyBorder="1" applyFont="1" applyNumberFormat="1">
      <alignment vertical="center"/>
    </xf>
    <xf borderId="38" fillId="14" fontId="11" numFmtId="165" xfId="0" applyAlignment="1" applyBorder="1" applyFont="1" applyNumberFormat="1">
      <alignment vertical="center"/>
    </xf>
    <xf borderId="1" fillId="6" fontId="2" numFmtId="165" xfId="0" applyAlignment="1" applyBorder="1" applyFont="1" applyNumberFormat="1">
      <alignment vertical="center"/>
    </xf>
    <xf borderId="39" fillId="14" fontId="12" numFmtId="165" xfId="0" applyAlignment="1" applyBorder="1" applyFont="1" applyNumberFormat="1">
      <alignment vertical="center"/>
    </xf>
    <xf borderId="1" fillId="14" fontId="2" numFmtId="165" xfId="0" applyAlignment="1" applyBorder="1" applyFont="1" applyNumberFormat="1">
      <alignment shrinkToFit="0" vertical="center" wrapText="1"/>
    </xf>
    <xf borderId="41" fillId="11" fontId="13" numFmtId="0" xfId="0" applyAlignment="1" applyBorder="1" applyFont="1">
      <alignment horizontal="left" readingOrder="1" vertical="center"/>
    </xf>
    <xf borderId="42" fillId="11" fontId="13" numFmtId="0" xfId="0" applyAlignment="1" applyBorder="1" applyFont="1">
      <alignment horizontal="left" readingOrder="1" shrinkToFit="0" vertical="center" wrapText="1"/>
    </xf>
    <xf borderId="42" fillId="11" fontId="13" numFmtId="0" xfId="0" applyAlignment="1" applyBorder="1" applyFont="1">
      <alignment horizontal="center" readingOrder="1" shrinkToFit="0" vertical="center" wrapText="1"/>
    </xf>
    <xf borderId="42" fillId="11" fontId="13" numFmtId="2" xfId="0" applyAlignment="1" applyBorder="1" applyFont="1" applyNumberFormat="1">
      <alignment horizontal="center" readingOrder="1" shrinkToFit="0" vertical="center" wrapText="1"/>
    </xf>
    <xf borderId="42" fillId="11" fontId="13" numFmtId="0" xfId="0" applyAlignment="1" applyBorder="1" applyFont="1">
      <alignment horizontal="center" readingOrder="1" vertical="center"/>
    </xf>
    <xf borderId="42" fillId="11" fontId="13" numFmtId="2" xfId="0" applyAlignment="1" applyBorder="1" applyFont="1" applyNumberFormat="1">
      <alignment horizontal="center" readingOrder="1" vertical="center"/>
    </xf>
    <xf borderId="42" fillId="11" fontId="12" numFmtId="2" xfId="0" applyAlignment="1" applyBorder="1" applyFont="1" applyNumberFormat="1">
      <alignment horizontal="center" readingOrder="1" vertical="center"/>
    </xf>
    <xf borderId="42" fillId="11" fontId="13" numFmtId="164" xfId="0" applyAlignment="1" applyBorder="1" applyFont="1" applyNumberFormat="1">
      <alignment horizontal="center" readingOrder="1" vertical="center"/>
    </xf>
    <xf borderId="42" fillId="11" fontId="13" numFmtId="168" xfId="0" applyAlignment="1" applyBorder="1" applyFont="1" applyNumberFormat="1">
      <alignment horizontal="right" readingOrder="1" vertical="center"/>
    </xf>
    <xf borderId="43" fillId="11" fontId="13" numFmtId="168" xfId="0" applyAlignment="1" applyBorder="1" applyFont="1" applyNumberFormat="1">
      <alignment horizontal="right" readingOrder="1" vertical="center"/>
    </xf>
    <xf borderId="1" fillId="14" fontId="10" numFmtId="165" xfId="0" applyAlignment="1" applyBorder="1" applyFont="1" applyNumberFormat="1">
      <alignment vertical="center"/>
    </xf>
    <xf borderId="42" fillId="0" fontId="13" numFmtId="0" xfId="0" applyAlignment="1" applyBorder="1" applyFont="1">
      <alignment readingOrder="0" shrinkToFit="0" vertical="center" wrapText="1"/>
    </xf>
    <xf borderId="42" fillId="0" fontId="13" numFmtId="0" xfId="0" applyAlignment="1" applyBorder="1" applyFont="1">
      <alignment horizontal="center" shrinkToFit="0" vertical="center" wrapText="1"/>
    </xf>
    <xf borderId="42" fillId="2" fontId="13" numFmtId="2" xfId="0" applyAlignment="1" applyBorder="1" applyFont="1" applyNumberFormat="1">
      <alignment horizontal="center" readingOrder="1" vertical="center"/>
    </xf>
    <xf borderId="42" fillId="2" fontId="13" numFmtId="0" xfId="0" applyAlignment="1" applyBorder="1" applyFont="1">
      <alignment horizontal="center" readingOrder="1" vertical="center"/>
    </xf>
    <xf borderId="42" fillId="0" fontId="13" numFmtId="0" xfId="0" applyAlignment="1" applyBorder="1" applyFont="1">
      <alignment horizontal="center" readingOrder="1" vertical="center"/>
    </xf>
    <xf borderId="42" fillId="0" fontId="13" numFmtId="2" xfId="0" applyAlignment="1" applyBorder="1" applyFont="1" applyNumberFormat="1">
      <alignment horizontal="center" readingOrder="1" vertical="center"/>
    </xf>
    <xf borderId="42" fillId="2" fontId="12" numFmtId="164" xfId="0" applyAlignment="1" applyBorder="1" applyFont="1" applyNumberFormat="1">
      <alignment horizontal="center" readingOrder="1" vertical="center"/>
    </xf>
    <xf borderId="42" fillId="2" fontId="12" numFmtId="0" xfId="0" applyAlignment="1" applyBorder="1" applyFont="1">
      <alignment horizontal="center" readingOrder="1" vertical="center"/>
    </xf>
    <xf borderId="42" fillId="14" fontId="2" numFmtId="165" xfId="0" applyAlignment="1" applyBorder="1" applyFont="1" applyNumberFormat="1">
      <alignment horizontal="right" vertical="center"/>
    </xf>
    <xf borderId="42" fillId="14" fontId="9" numFmtId="166" xfId="0" applyAlignment="1" applyBorder="1" applyFont="1" applyNumberFormat="1">
      <alignment horizontal="right" vertical="center"/>
    </xf>
    <xf borderId="43" fillId="14" fontId="2" numFmtId="165" xfId="0" applyAlignment="1" applyBorder="1" applyFont="1" applyNumberFormat="1">
      <alignment horizontal="right" vertical="center"/>
    </xf>
    <xf borderId="1" fillId="14" fontId="2" numFmtId="171" xfId="0" applyAlignment="1" applyBorder="1" applyFont="1" applyNumberFormat="1">
      <alignment horizontal="center" vertical="center"/>
    </xf>
    <xf borderId="1" fillId="14" fontId="2" numFmtId="174" xfId="0" applyAlignment="1" applyBorder="1" applyFont="1" applyNumberFormat="1">
      <alignment horizontal="center" vertical="center"/>
    </xf>
    <xf borderId="42" fillId="2" fontId="13" numFmtId="0" xfId="0" applyAlignment="1" applyBorder="1" applyFont="1">
      <alignment horizontal="left" readingOrder="1" shrinkToFit="0" vertical="center" wrapText="1"/>
    </xf>
    <xf borderId="42" fillId="0" fontId="2" numFmtId="164" xfId="0" applyAlignment="1" applyBorder="1" applyFont="1" applyNumberFormat="1">
      <alignment horizontal="center" vertical="center"/>
    </xf>
    <xf borderId="42" fillId="2" fontId="13" numFmtId="2" xfId="0" applyAlignment="1" applyBorder="1" applyFont="1" applyNumberFormat="1">
      <alignment horizontal="center" readingOrder="1" shrinkToFit="0" vertical="center" wrapText="1"/>
    </xf>
    <xf borderId="42" fillId="2" fontId="13" numFmtId="0" xfId="0" applyAlignment="1" applyBorder="1" applyFont="1">
      <alignment horizontal="center" readingOrder="1" shrinkToFit="0" vertical="center" wrapText="1"/>
    </xf>
    <xf borderId="42" fillId="0" fontId="13" numFmtId="0" xfId="0" applyAlignment="1" applyBorder="1" applyFont="1">
      <alignment horizontal="center" vertical="center"/>
    </xf>
    <xf borderId="42" fillId="0" fontId="13" numFmtId="164" xfId="0" applyAlignment="1" applyBorder="1" applyFont="1" applyNumberFormat="1">
      <alignment horizontal="center" readingOrder="1" vertical="center"/>
    </xf>
    <xf borderId="42" fillId="0" fontId="12" numFmtId="2" xfId="0" applyAlignment="1" applyBorder="1" applyFont="1" applyNumberFormat="1">
      <alignment horizontal="center" readingOrder="1" vertical="center"/>
    </xf>
    <xf borderId="41" fillId="2" fontId="13" numFmtId="0" xfId="0" applyAlignment="1" applyBorder="1" applyFont="1">
      <alignment horizontal="left" readingOrder="1" vertical="center"/>
    </xf>
    <xf borderId="1" fillId="2" fontId="11" numFmtId="165" xfId="0" applyAlignment="1" applyBorder="1" applyFont="1" applyNumberFormat="1">
      <alignment horizontal="right" vertical="center"/>
    </xf>
    <xf borderId="42" fillId="2" fontId="2" numFmtId="0" xfId="0" applyAlignment="1" applyBorder="1" applyFont="1">
      <alignment readingOrder="0" shrinkToFit="0" vertical="center" wrapText="1"/>
    </xf>
    <xf borderId="42" fillId="2" fontId="2" numFmtId="2" xfId="0" applyAlignment="1" applyBorder="1" applyFont="1" applyNumberFormat="1">
      <alignment horizontal="center" readingOrder="0" vertical="center"/>
    </xf>
    <xf borderId="42" fillId="2" fontId="2" numFmtId="0" xfId="0" applyAlignment="1" applyBorder="1" applyFont="1">
      <alignment shrinkToFit="0" vertical="center" wrapText="1"/>
    </xf>
    <xf borderId="50" fillId="2" fontId="1" numFmtId="165" xfId="0" applyAlignment="1" applyBorder="1" applyFont="1" applyNumberFormat="1">
      <alignment vertical="center"/>
    </xf>
    <xf borderId="51" fillId="2" fontId="1" numFmtId="165" xfId="0" applyAlignment="1" applyBorder="1" applyFont="1" applyNumberFormat="1">
      <alignment vertical="center"/>
    </xf>
    <xf borderId="52" fillId="2" fontId="1" numFmtId="165" xfId="0" applyAlignment="1" applyBorder="1" applyFont="1" applyNumberFormat="1">
      <alignment vertical="center"/>
    </xf>
    <xf borderId="53" fillId="2" fontId="1" numFmtId="165" xfId="0" applyAlignment="1" applyBorder="1" applyFont="1" applyNumberFormat="1">
      <alignment vertical="center"/>
    </xf>
    <xf borderId="54" fillId="2" fontId="1" numFmtId="165" xfId="0" applyAlignment="1" applyBorder="1" applyFont="1" applyNumberFormat="1">
      <alignment vertical="center"/>
    </xf>
    <xf borderId="55" fillId="2" fontId="1" numFmtId="165" xfId="0" applyAlignment="1" applyBorder="1" applyFont="1" applyNumberFormat="1">
      <alignment vertical="center"/>
    </xf>
    <xf borderId="40" fillId="7" fontId="1" numFmtId="0" xfId="0" applyAlignment="1" applyBorder="1" applyFont="1">
      <alignment vertical="center"/>
    </xf>
    <xf borderId="42" fillId="9" fontId="2" numFmtId="0" xfId="0" applyAlignment="1" applyBorder="1" applyFont="1">
      <alignment shrinkToFit="0" vertical="center" wrapText="1"/>
    </xf>
    <xf borderId="42" fillId="9" fontId="1" numFmtId="165" xfId="0" applyAlignment="1" applyBorder="1" applyFont="1" applyNumberFormat="1">
      <alignment vertical="center"/>
    </xf>
    <xf borderId="42" fillId="9" fontId="1" numFmtId="166" xfId="0" applyAlignment="1" applyBorder="1" applyFont="1" applyNumberFormat="1">
      <alignment vertical="center"/>
    </xf>
    <xf borderId="43" fillId="9" fontId="1" numFmtId="165" xfId="0" applyAlignment="1" applyBorder="1" applyFont="1" applyNumberFormat="1">
      <alignment vertical="center"/>
    </xf>
    <xf borderId="42" fillId="0" fontId="2" numFmtId="2" xfId="0" applyAlignment="1" applyBorder="1" applyFont="1" applyNumberFormat="1">
      <alignment horizontal="center" shrinkToFit="0" vertical="center" wrapText="1"/>
    </xf>
    <xf borderId="42" fillId="0" fontId="2" numFmtId="2" xfId="0" applyAlignment="1" applyBorder="1" applyFont="1" applyNumberFormat="1">
      <alignment horizontal="center" readingOrder="0" shrinkToFit="0" vertical="center" wrapText="1"/>
    </xf>
    <xf borderId="42" fillId="0" fontId="13" numFmtId="0" xfId="0" applyAlignment="1" applyBorder="1" applyFont="1">
      <alignment horizontal="center" readingOrder="0" shrinkToFit="0" vertical="center" wrapText="1"/>
    </xf>
    <xf borderId="42" fillId="0" fontId="1" numFmtId="164" xfId="0" applyAlignment="1" applyBorder="1" applyFont="1" applyNumberFormat="1">
      <alignment vertical="center"/>
    </xf>
    <xf borderId="42" fillId="11" fontId="14" numFmtId="0" xfId="0" applyAlignment="1" applyBorder="1" applyFont="1">
      <alignment horizontal="center" readingOrder="1" shrinkToFit="0" vertical="center" wrapText="1"/>
    </xf>
    <xf borderId="42" fillId="2" fontId="2" numFmtId="2" xfId="0" applyAlignment="1" applyBorder="1" applyFont="1" applyNumberFormat="1">
      <alignment horizontal="right" vertical="center"/>
    </xf>
    <xf borderId="56" fillId="2" fontId="1" numFmtId="0" xfId="0" applyAlignment="1" applyBorder="1" applyFont="1">
      <alignment vertical="center"/>
    </xf>
    <xf borderId="57" fillId="2" fontId="1" numFmtId="0" xfId="0" applyAlignment="1" applyBorder="1" applyFont="1">
      <alignment vertical="center"/>
    </xf>
    <xf borderId="57" fillId="2" fontId="1" numFmtId="2" xfId="0" applyAlignment="1" applyBorder="1" applyFont="1" applyNumberFormat="1">
      <alignment vertical="center"/>
    </xf>
    <xf borderId="57" fillId="2" fontId="1" numFmtId="166" xfId="0" applyAlignment="1" applyBorder="1" applyFont="1" applyNumberFormat="1">
      <alignment vertical="center"/>
    </xf>
    <xf borderId="57" fillId="2" fontId="1" numFmtId="164" xfId="0" applyAlignment="1" applyBorder="1" applyFont="1" applyNumberFormat="1">
      <alignment vertical="center"/>
    </xf>
    <xf borderId="57" fillId="2" fontId="1" numFmtId="165" xfId="0" applyAlignment="1" applyBorder="1" applyFont="1" applyNumberFormat="1">
      <alignment vertical="center"/>
    </xf>
    <xf borderId="58" fillId="2" fontId="1" numFmtId="165" xfId="0" applyAlignment="1" applyBorder="1" applyFont="1" applyNumberFormat="1">
      <alignment vertical="center"/>
    </xf>
    <xf borderId="1" fillId="6" fontId="1" numFmtId="166" xfId="0" applyAlignment="1" applyBorder="1" applyFont="1" applyNumberFormat="1">
      <alignment vertical="center"/>
    </xf>
    <xf borderId="42" fillId="4" fontId="4" numFmtId="0" xfId="0" applyAlignment="1" applyBorder="1" applyFont="1">
      <alignment readingOrder="0" shrinkToFit="0" vertical="center" wrapText="1"/>
    </xf>
    <xf borderId="59" fillId="9" fontId="2" numFmtId="0" xfId="0" applyAlignment="1" applyBorder="1" applyFont="1">
      <alignment readingOrder="0" shrinkToFit="0" vertical="center" wrapText="1"/>
    </xf>
    <xf borderId="59" fillId="9" fontId="1" numFmtId="0" xfId="0" applyAlignment="1" applyBorder="1" applyFont="1">
      <alignment vertical="center"/>
    </xf>
    <xf borderId="59" fillId="9" fontId="1" numFmtId="2" xfId="0" applyAlignment="1" applyBorder="1" applyFont="1" applyNumberFormat="1">
      <alignment vertical="center"/>
    </xf>
    <xf borderId="59" fillId="9" fontId="1" numFmtId="166" xfId="0" applyAlignment="1" applyBorder="1" applyFont="1" applyNumberFormat="1">
      <alignment vertical="center"/>
    </xf>
    <xf borderId="59" fillId="9" fontId="1" numFmtId="164" xfId="0" applyAlignment="1" applyBorder="1" applyFont="1" applyNumberFormat="1">
      <alignment vertical="center"/>
    </xf>
    <xf borderId="59" fillId="9" fontId="1" numFmtId="165" xfId="0" applyAlignment="1" applyBorder="1" applyFont="1" applyNumberFormat="1">
      <alignment vertical="center"/>
    </xf>
    <xf borderId="60" fillId="9" fontId="1" numFmtId="165" xfId="0" applyAlignment="1" applyBorder="1" applyFont="1" applyNumberFormat="1">
      <alignment vertical="center"/>
    </xf>
    <xf borderId="0" fillId="10" fontId="1" numFmtId="165" xfId="0" applyAlignment="1" applyFont="1" applyNumberFormat="1">
      <alignment vertical="center"/>
    </xf>
    <xf borderId="0" fillId="2" fontId="1" numFmtId="165" xfId="0" applyAlignment="1" applyFont="1" applyNumberFormat="1">
      <alignment vertical="center"/>
    </xf>
    <xf borderId="61" fillId="10" fontId="1" numFmtId="166" xfId="0" applyAlignment="1" applyBorder="1" applyFont="1" applyNumberFormat="1">
      <alignment vertical="center"/>
    </xf>
    <xf borderId="62" fillId="10" fontId="1" numFmtId="165" xfId="0" applyAlignment="1" applyBorder="1" applyFont="1" applyNumberFormat="1">
      <alignment vertical="center"/>
    </xf>
    <xf borderId="63" fillId="10" fontId="1" numFmtId="166" xfId="0" applyAlignment="1" applyBorder="1" applyFont="1" applyNumberFormat="1">
      <alignment vertical="center"/>
    </xf>
    <xf borderId="64" fillId="10" fontId="1" numFmtId="165" xfId="0" applyAlignment="1" applyBorder="1" applyFont="1" applyNumberFormat="1">
      <alignment vertical="center"/>
    </xf>
    <xf borderId="63" fillId="10" fontId="1" numFmtId="165" xfId="0" applyAlignment="1" applyBorder="1" applyFont="1" applyNumberFormat="1">
      <alignment vertical="center"/>
    </xf>
    <xf borderId="61" fillId="10" fontId="1" numFmtId="165" xfId="0" applyAlignment="1" applyBorder="1" applyFont="1" applyNumberFormat="1">
      <alignment vertical="center"/>
    </xf>
    <xf borderId="0" fillId="2" fontId="1" numFmtId="0" xfId="0" applyAlignment="1" applyFont="1">
      <alignment vertical="center"/>
    </xf>
    <xf borderId="65" fillId="11" fontId="2" numFmtId="0" xfId="0" applyAlignment="1" applyBorder="1" applyFont="1">
      <alignment readingOrder="0" shrinkToFit="0" vertical="center" wrapText="1"/>
    </xf>
    <xf borderId="65" fillId="11" fontId="1" numFmtId="0" xfId="0" applyAlignment="1" applyBorder="1" applyFont="1">
      <alignment vertical="center"/>
    </xf>
    <xf borderId="65" fillId="11" fontId="1" numFmtId="2" xfId="0" applyAlignment="1" applyBorder="1" applyFont="1" applyNumberFormat="1">
      <alignment vertical="center"/>
    </xf>
    <xf borderId="65" fillId="11" fontId="1" numFmtId="166" xfId="0" applyAlignment="1" applyBorder="1" applyFont="1" applyNumberFormat="1">
      <alignment vertical="center"/>
    </xf>
    <xf borderId="65" fillId="11" fontId="2" numFmtId="2" xfId="0" applyAlignment="1" applyBorder="1" applyFont="1" applyNumberFormat="1">
      <alignment horizontal="center" readingOrder="0" vertical="center"/>
    </xf>
    <xf borderId="65" fillId="11" fontId="1" numFmtId="164" xfId="0" applyAlignment="1" applyBorder="1" applyFont="1" applyNumberFormat="1">
      <alignment vertical="center"/>
    </xf>
    <xf borderId="65" fillId="11" fontId="2" numFmtId="166" xfId="0" applyAlignment="1" applyBorder="1" applyFont="1" applyNumberFormat="1">
      <alignment horizontal="center" readingOrder="0" vertical="center"/>
    </xf>
    <xf borderId="61" fillId="6" fontId="1" numFmtId="166" xfId="0" applyAlignment="1" applyBorder="1" applyFont="1" applyNumberFormat="1">
      <alignment vertical="center"/>
    </xf>
    <xf borderId="65" fillId="0" fontId="2" numFmtId="0" xfId="0" applyAlignment="1" applyBorder="1" applyFont="1">
      <alignment readingOrder="0" shrinkToFit="0" vertical="center" wrapText="1"/>
    </xf>
    <xf borderId="65" fillId="0" fontId="2" numFmtId="0" xfId="0" applyAlignment="1" applyBorder="1" applyFont="1">
      <alignment horizontal="center" readingOrder="0" vertical="center"/>
    </xf>
    <xf borderId="65" fillId="2" fontId="1" numFmtId="0" xfId="0" applyAlignment="1" applyBorder="1" applyFont="1">
      <alignment vertical="center"/>
    </xf>
    <xf borderId="65" fillId="2" fontId="2" numFmtId="0" xfId="0" applyAlignment="1" applyBorder="1" applyFont="1">
      <alignment horizontal="center" readingOrder="0" vertical="center"/>
    </xf>
    <xf borderId="65" fillId="0" fontId="1" numFmtId="2" xfId="0" applyAlignment="1" applyBorder="1" applyFont="1" applyNumberFormat="1">
      <alignment vertical="center"/>
    </xf>
    <xf borderId="65" fillId="0" fontId="2" numFmtId="166" xfId="0" applyAlignment="1" applyBorder="1" applyFont="1" applyNumberFormat="1">
      <alignment horizontal="center" readingOrder="0" vertical="center"/>
    </xf>
    <xf borderId="65" fillId="0" fontId="2" numFmtId="2" xfId="0" applyAlignment="1" applyBorder="1" applyFont="1" applyNumberFormat="1">
      <alignment horizontal="center" readingOrder="0" vertical="center"/>
    </xf>
    <xf borderId="65" fillId="0" fontId="12" numFmtId="2" xfId="0" applyAlignment="1" applyBorder="1" applyFont="1" applyNumberFormat="1">
      <alignment horizontal="center" readingOrder="0" vertical="center"/>
    </xf>
    <xf borderId="65" fillId="2" fontId="12" numFmtId="164" xfId="0" applyAlignment="1" applyBorder="1" applyFont="1" applyNumberFormat="1">
      <alignment horizontal="center" readingOrder="0" vertical="center"/>
    </xf>
    <xf borderId="65" fillId="2" fontId="12" numFmtId="0" xfId="0" applyAlignment="1" applyBorder="1" applyFont="1">
      <alignment horizontal="center" readingOrder="0" vertical="center"/>
    </xf>
    <xf borderId="65" fillId="2" fontId="1" numFmtId="165" xfId="0" applyAlignment="1" applyBorder="1" applyFont="1" applyNumberFormat="1">
      <alignment vertical="center"/>
    </xf>
    <xf borderId="66" fillId="2" fontId="1" numFmtId="165" xfId="0" applyAlignment="1" applyBorder="1" applyFont="1" applyNumberFormat="1">
      <alignment vertical="center"/>
    </xf>
    <xf borderId="61" fillId="2" fontId="1" numFmtId="166" xfId="0" applyAlignment="1" applyBorder="1" applyFont="1" applyNumberFormat="1">
      <alignment vertical="center"/>
    </xf>
    <xf borderId="67" fillId="2" fontId="1" numFmtId="165" xfId="0" applyAlignment="1" applyBorder="1" applyFont="1" applyNumberFormat="1">
      <alignment vertical="center"/>
    </xf>
    <xf borderId="61" fillId="2" fontId="1" numFmtId="165" xfId="0" applyAlignment="1" applyBorder="1" applyFont="1" applyNumberFormat="1">
      <alignment vertical="center"/>
    </xf>
    <xf borderId="61" fillId="6" fontId="1" numFmtId="165" xfId="0" applyAlignment="1" applyBorder="1" applyFont="1" applyNumberFormat="1">
      <alignment vertical="center"/>
    </xf>
    <xf borderId="1" fillId="14" fontId="2" numFmtId="169" xfId="0" applyAlignment="1" applyBorder="1" applyFont="1" applyNumberFormat="1">
      <alignment horizontal="center" vertical="center"/>
    </xf>
    <xf borderId="65" fillId="8" fontId="11" numFmtId="165" xfId="0" applyAlignment="1" applyBorder="1" applyFont="1" applyNumberFormat="1">
      <alignment horizontal="center" readingOrder="0" vertical="center"/>
    </xf>
    <xf borderId="65" fillId="2" fontId="2" numFmtId="165" xfId="0" applyAlignment="1" applyBorder="1" applyFont="1" applyNumberFormat="1">
      <alignment horizontal="right" readingOrder="0" vertical="center"/>
    </xf>
    <xf borderId="68" fillId="2" fontId="2" numFmtId="165" xfId="0" applyAlignment="1" applyBorder="1" applyFont="1" applyNumberFormat="1">
      <alignment horizontal="right" readingOrder="0" vertical="center"/>
    </xf>
    <xf borderId="65" fillId="8" fontId="1" numFmtId="165" xfId="0" applyAlignment="1" applyBorder="1" applyFont="1" applyNumberFormat="1">
      <alignment horizontal="center" readingOrder="0" vertical="center"/>
    </xf>
    <xf borderId="0" fillId="2" fontId="2" numFmtId="165" xfId="0" applyAlignment="1" applyFont="1" applyNumberFormat="1">
      <alignment horizontal="center" readingOrder="0" vertical="center"/>
    </xf>
    <xf borderId="0" fillId="2" fontId="2" numFmtId="165" xfId="0" applyAlignment="1" applyFont="1" applyNumberFormat="1">
      <alignment horizontal="right" readingOrder="0" vertical="center"/>
    </xf>
    <xf borderId="69" fillId="2" fontId="1" numFmtId="0" xfId="0" applyAlignment="1" applyBorder="1" applyFont="1">
      <alignment vertical="center"/>
    </xf>
    <xf borderId="70" fillId="2" fontId="1" numFmtId="165" xfId="0" applyAlignment="1" applyBorder="1" applyFont="1" applyNumberFormat="1">
      <alignment vertical="center"/>
    </xf>
    <xf borderId="71" fillId="15" fontId="1" numFmtId="165" xfId="0" applyAlignment="1" applyBorder="1" applyFill="1" applyFont="1" applyNumberFormat="1">
      <alignment vertical="center"/>
    </xf>
    <xf borderId="71" fillId="15" fontId="4" numFmtId="165" xfId="0" applyAlignment="1" applyBorder="1" applyFont="1" applyNumberFormat="1">
      <alignment horizontal="right" vertical="center"/>
    </xf>
    <xf borderId="72" fillId="2" fontId="1" numFmtId="165" xfId="0" applyAlignment="1" applyBorder="1" applyFont="1" applyNumberFormat="1">
      <alignment vertical="center"/>
    </xf>
    <xf borderId="73" fillId="2" fontId="1" numFmtId="165" xfId="0" applyAlignment="1" applyBorder="1" applyFont="1" applyNumberFormat="1">
      <alignment vertical="center"/>
    </xf>
    <xf borderId="1" fillId="16" fontId="6" numFmtId="9" xfId="0" applyAlignment="1" applyBorder="1" applyFill="1" applyFont="1" applyNumberFormat="1">
      <alignment horizontal="center" vertical="center"/>
    </xf>
    <xf borderId="1" fillId="2" fontId="2" numFmtId="169" xfId="0" applyAlignment="1" applyBorder="1" applyFont="1" applyNumberFormat="1">
      <alignment horizontal="right" vertical="center"/>
    </xf>
    <xf borderId="74" fillId="3" fontId="1" numFmtId="166" xfId="0" applyAlignment="1" applyBorder="1" applyFont="1" applyNumberFormat="1">
      <alignment vertical="center"/>
    </xf>
    <xf borderId="74" fillId="3" fontId="1" numFmtId="2" xfId="0" applyAlignment="1" applyBorder="1" applyFont="1" applyNumberFormat="1">
      <alignment vertical="center"/>
    </xf>
    <xf borderId="74" fillId="3" fontId="1" numFmtId="164" xfId="0" applyAlignment="1" applyBorder="1" applyFont="1" applyNumberFormat="1">
      <alignment vertical="center"/>
    </xf>
    <xf borderId="74" fillId="3" fontId="1" numFmtId="165" xfId="0" applyAlignment="1" applyBorder="1" applyFont="1" applyNumberFormat="1">
      <alignment vertical="center"/>
    </xf>
    <xf borderId="74" fillId="3" fontId="4" numFmtId="165" xfId="0" applyAlignment="1" applyBorder="1" applyFont="1" applyNumberFormat="1">
      <alignment horizontal="right" vertical="center"/>
    </xf>
    <xf borderId="74" fillId="3" fontId="4" numFmtId="166" xfId="0" applyAlignment="1" applyBorder="1" applyFont="1" applyNumberFormat="1">
      <alignment horizontal="right" vertical="center"/>
    </xf>
    <xf borderId="1" fillId="2" fontId="1" numFmtId="175" xfId="0" applyAlignment="1" applyBorder="1" applyFont="1" applyNumberFormat="1">
      <alignment vertical="center"/>
    </xf>
    <xf borderId="1" fillId="2" fontId="1" numFmtId="9" xfId="0" applyAlignment="1" applyBorder="1" applyFont="1" applyNumberFormat="1">
      <alignment vertical="center"/>
    </xf>
    <xf borderId="74" fillId="4" fontId="7" numFmtId="9" xfId="0" applyAlignment="1" applyBorder="1" applyFont="1" applyNumberFormat="1">
      <alignment horizontal="right" vertical="center"/>
    </xf>
    <xf borderId="1" fillId="2" fontId="12" numFmtId="165" xfId="0" applyAlignment="1" applyBorder="1" applyFont="1" applyNumberFormat="1">
      <alignment horizontal="center" vertical="center"/>
    </xf>
    <xf borderId="75" fillId="2" fontId="15" numFmtId="0" xfId="0" applyAlignment="1" applyBorder="1" applyFont="1">
      <alignment shrinkToFit="0" vertical="center" wrapText="1"/>
    </xf>
    <xf borderId="76" fillId="2" fontId="1" numFmtId="0" xfId="0" applyAlignment="1" applyBorder="1" applyFont="1">
      <alignment vertical="center"/>
    </xf>
    <xf borderId="77" fillId="2" fontId="1" numFmtId="2" xfId="0" applyAlignment="1" applyBorder="1" applyFont="1" applyNumberFormat="1">
      <alignment vertical="center"/>
    </xf>
    <xf borderId="77" fillId="2" fontId="1" numFmtId="0" xfId="0" applyAlignment="1" applyBorder="1" applyFont="1">
      <alignment vertical="center"/>
    </xf>
    <xf borderId="77" fillId="2" fontId="1" numFmtId="166" xfId="0" applyAlignment="1" applyBorder="1" applyFont="1" applyNumberFormat="1">
      <alignment vertical="center"/>
    </xf>
    <xf borderId="77" fillId="2" fontId="1" numFmtId="165" xfId="0" applyAlignment="1" applyBorder="1" applyFont="1" applyNumberFormat="1">
      <alignment vertical="center"/>
    </xf>
    <xf borderId="78" fillId="2" fontId="1" numFmtId="164" xfId="0" applyAlignment="1" applyBorder="1" applyFont="1" applyNumberFormat="1">
      <alignment vertical="center"/>
    </xf>
    <xf borderId="75" fillId="2" fontId="4" numFmtId="165" xfId="0" applyAlignment="1" applyBorder="1" applyFont="1" applyNumberFormat="1">
      <alignment horizontal="right" vertical="center"/>
    </xf>
    <xf borderId="78" fillId="2" fontId="4" numFmtId="165" xfId="0" applyAlignment="1" applyBorder="1" applyFont="1" applyNumberFormat="1">
      <alignment horizontal="right" vertical="center"/>
    </xf>
    <xf borderId="1" fillId="2" fontId="2" numFmtId="166" xfId="0" applyAlignment="1" applyBorder="1" applyFont="1" applyNumberFormat="1">
      <alignment horizontal="right" vertical="center"/>
    </xf>
    <xf borderId="1" fillId="2" fontId="7" numFmtId="165" xfId="0" applyAlignment="1" applyBorder="1" applyFont="1" applyNumberFormat="1">
      <alignment horizontal="center" vertical="center"/>
    </xf>
    <xf borderId="1" fillId="2" fontId="1" numFmtId="176" xfId="0" applyAlignment="1" applyBorder="1" applyFont="1" applyNumberFormat="1">
      <alignment vertical="center"/>
    </xf>
    <xf borderId="79" fillId="17" fontId="2" numFmtId="0" xfId="0" applyAlignment="1" applyBorder="1" applyFill="1" applyFont="1">
      <alignment shrinkToFit="0" vertical="center" wrapText="1"/>
    </xf>
    <xf borderId="80" fillId="17" fontId="1" numFmtId="0" xfId="0" applyAlignment="1" applyBorder="1" applyFont="1">
      <alignment vertical="center"/>
    </xf>
    <xf borderId="1" fillId="17" fontId="1" numFmtId="2" xfId="0" applyAlignment="1" applyBorder="1" applyFont="1" applyNumberFormat="1">
      <alignment vertical="center"/>
    </xf>
    <xf borderId="1" fillId="17" fontId="1" numFmtId="0" xfId="0" applyAlignment="1" applyBorder="1" applyFont="1">
      <alignment vertical="center"/>
    </xf>
    <xf borderId="42" fillId="15" fontId="2" numFmtId="166" xfId="0" applyAlignment="1" applyBorder="1" applyFont="1" applyNumberFormat="1">
      <alignment horizontal="center" vertical="center"/>
    </xf>
    <xf borderId="42" fillId="15" fontId="2" numFmtId="166" xfId="0" applyAlignment="1" applyBorder="1" applyFont="1" applyNumberFormat="1">
      <alignment horizontal="center" shrinkToFit="0" vertical="center" wrapText="1"/>
    </xf>
    <xf borderId="42" fillId="15" fontId="16" numFmtId="176" xfId="0" applyAlignment="1" applyBorder="1" applyFont="1" applyNumberFormat="1">
      <alignment horizontal="center" vertical="center"/>
    </xf>
    <xf borderId="42" fillId="15" fontId="16" numFmtId="2" xfId="0" applyAlignment="1" applyBorder="1" applyFont="1" applyNumberFormat="1">
      <alignment horizontal="center" vertical="center"/>
    </xf>
    <xf borderId="42" fillId="15" fontId="16" numFmtId="2" xfId="0" applyAlignment="1" applyBorder="1" applyFont="1" applyNumberFormat="1">
      <alignment horizontal="center" shrinkToFit="0" vertical="center" wrapText="1"/>
    </xf>
    <xf borderId="81" fillId="17" fontId="4" numFmtId="164" xfId="0" applyAlignment="1" applyBorder="1" applyFont="1" applyNumberFormat="1">
      <alignment horizontal="center" vertical="center"/>
    </xf>
    <xf borderId="1" fillId="2" fontId="2" numFmtId="177" xfId="0" applyAlignment="1" applyBorder="1" applyFont="1" applyNumberFormat="1">
      <alignment horizontal="right" vertical="center"/>
    </xf>
    <xf borderId="79" fillId="2" fontId="2" numFmtId="165" xfId="0" applyAlignment="1" applyBorder="1" applyFont="1" applyNumberFormat="1">
      <alignment horizontal="right" vertical="center"/>
    </xf>
    <xf borderId="81" fillId="2" fontId="2" numFmtId="165" xfId="0" applyAlignment="1" applyBorder="1" applyFont="1" applyNumberFormat="1">
      <alignment horizontal="right" vertical="center"/>
    </xf>
    <xf borderId="79" fillId="2" fontId="1" numFmtId="165" xfId="0" applyAlignment="1" applyBorder="1" applyFont="1" applyNumberFormat="1">
      <alignment vertical="center"/>
    </xf>
    <xf borderId="81" fillId="2" fontId="1" numFmtId="165" xfId="0" applyAlignment="1" applyBorder="1" applyFont="1" applyNumberFormat="1">
      <alignment vertical="center"/>
    </xf>
    <xf borderId="1" fillId="2" fontId="2" numFmtId="176" xfId="0" applyAlignment="1" applyBorder="1" applyFont="1" applyNumberFormat="1">
      <alignment horizontal="right" vertical="center"/>
    </xf>
    <xf borderId="1" fillId="2" fontId="5" numFmtId="165" xfId="0" applyAlignment="1" applyBorder="1" applyFont="1" applyNumberFormat="1">
      <alignment horizontal="center" vertical="center"/>
    </xf>
    <xf borderId="1" fillId="2" fontId="12" numFmtId="165" xfId="0" applyAlignment="1" applyBorder="1" applyFont="1" applyNumberFormat="1">
      <alignment vertical="center"/>
    </xf>
    <xf borderId="79" fillId="2" fontId="16" numFmtId="0" xfId="0" applyAlignment="1" applyBorder="1" applyFont="1">
      <alignment shrinkToFit="0" vertical="center" wrapText="1"/>
    </xf>
    <xf borderId="80" fillId="2" fontId="1" numFmtId="0" xfId="0" applyAlignment="1" applyBorder="1" applyFont="1">
      <alignment vertical="center"/>
    </xf>
    <xf borderId="1" fillId="2" fontId="2" numFmtId="166" xfId="0" applyAlignment="1" applyBorder="1" applyFont="1" applyNumberFormat="1">
      <alignment horizontal="center" vertical="center"/>
    </xf>
    <xf borderId="1" fillId="2" fontId="2" numFmtId="2" xfId="0" applyAlignment="1" applyBorder="1" applyFont="1" applyNumberFormat="1">
      <alignment horizontal="center" vertical="center"/>
    </xf>
    <xf borderId="81" fillId="2" fontId="1" numFmtId="164" xfId="0" applyAlignment="1" applyBorder="1" applyFont="1" applyNumberFormat="1">
      <alignment vertical="center"/>
    </xf>
    <xf borderId="1" fillId="2" fontId="1" numFmtId="177" xfId="0" applyAlignment="1" applyBorder="1" applyFont="1" applyNumberFormat="1">
      <alignment vertical="center"/>
    </xf>
    <xf borderId="1" fillId="2" fontId="2" numFmtId="9" xfId="0" applyAlignment="1" applyBorder="1" applyFont="1" applyNumberFormat="1">
      <alignment horizontal="right" vertical="center"/>
    </xf>
    <xf borderId="1" fillId="2" fontId="2" numFmtId="165" xfId="0" applyAlignment="1" applyBorder="1" applyFont="1" applyNumberFormat="1">
      <alignment horizontal="center" vertical="center"/>
    </xf>
    <xf borderId="1" fillId="8" fontId="7" numFmtId="165" xfId="0" applyAlignment="1" applyBorder="1" applyFont="1" applyNumberFormat="1">
      <alignment vertical="center"/>
    </xf>
    <xf borderId="1" fillId="8" fontId="1" numFmtId="165" xfId="0" applyAlignment="1" applyBorder="1" applyFont="1" applyNumberFormat="1">
      <alignment vertical="center"/>
    </xf>
    <xf borderId="1" fillId="8" fontId="1" numFmtId="10" xfId="0" applyAlignment="1" applyBorder="1" applyFont="1" applyNumberFormat="1">
      <alignment vertical="center"/>
    </xf>
    <xf borderId="1" fillId="8" fontId="6" numFmtId="165" xfId="0" applyAlignment="1" applyBorder="1" applyFont="1" applyNumberFormat="1">
      <alignment horizontal="right" vertical="center"/>
    </xf>
    <xf borderId="79" fillId="2" fontId="8" numFmtId="0" xfId="0" applyAlignment="1" applyBorder="1" applyFont="1">
      <alignment shrinkToFit="0" vertical="center" wrapText="1"/>
    </xf>
    <xf borderId="1" fillId="8" fontId="1" numFmtId="166" xfId="0" applyAlignment="1" applyBorder="1" applyFont="1" applyNumberFormat="1">
      <alignment vertical="center"/>
    </xf>
    <xf borderId="1" fillId="8" fontId="1" numFmtId="2" xfId="0" applyAlignment="1" applyBorder="1" applyFont="1" applyNumberFormat="1">
      <alignment vertical="center"/>
    </xf>
    <xf borderId="23" fillId="2" fontId="1" numFmtId="165" xfId="0" applyAlignment="1" applyBorder="1" applyFont="1" applyNumberFormat="1">
      <alignment vertical="center"/>
    </xf>
    <xf borderId="82" fillId="2" fontId="2" numFmtId="165" xfId="0" applyAlignment="1" applyBorder="1" applyFont="1" applyNumberFormat="1">
      <alignment horizontal="right" vertical="center"/>
    </xf>
    <xf borderId="1" fillId="2" fontId="17" numFmtId="165" xfId="0" applyAlignment="1" applyBorder="1" applyFont="1" applyNumberFormat="1">
      <alignment horizontal="right" vertical="center"/>
    </xf>
    <xf borderId="79" fillId="18" fontId="2" numFmtId="0" xfId="0" applyAlignment="1" applyBorder="1" applyFill="1" applyFont="1">
      <alignment shrinkToFit="0" vertical="center" wrapText="1"/>
    </xf>
    <xf borderId="80" fillId="18" fontId="1" numFmtId="0" xfId="0" applyAlignment="1" applyBorder="1" applyFont="1">
      <alignment vertical="center"/>
    </xf>
    <xf borderId="1" fillId="18" fontId="1" numFmtId="2" xfId="0" applyAlignment="1" applyBorder="1" applyFont="1" applyNumberFormat="1">
      <alignment vertical="center"/>
    </xf>
    <xf borderId="1" fillId="18" fontId="1" numFmtId="0" xfId="0" applyAlignment="1" applyBorder="1" applyFont="1">
      <alignment vertical="center"/>
    </xf>
    <xf borderId="1" fillId="18" fontId="2" numFmtId="165" xfId="0" applyAlignment="1" applyBorder="1" applyFont="1" applyNumberFormat="1">
      <alignment horizontal="right" vertical="center"/>
    </xf>
    <xf borderId="1" fillId="18" fontId="2" numFmtId="165" xfId="0" applyAlignment="1" applyBorder="1" applyFont="1" applyNumberFormat="1">
      <alignment horizontal="center" vertical="center"/>
    </xf>
    <xf borderId="1" fillId="18" fontId="2" numFmtId="2" xfId="0" applyAlignment="1" applyBorder="1" applyFont="1" applyNumberFormat="1">
      <alignment horizontal="center" vertical="center"/>
    </xf>
    <xf borderId="81" fillId="18" fontId="16" numFmtId="164" xfId="0" applyAlignment="1" applyBorder="1" applyFont="1" applyNumberFormat="1">
      <alignment horizontal="center" vertical="center"/>
    </xf>
    <xf borderId="1" fillId="2" fontId="2" numFmtId="175" xfId="0" applyAlignment="1" applyBorder="1" applyFont="1" applyNumberFormat="1">
      <alignment horizontal="right" shrinkToFit="0" vertical="center" wrapText="1"/>
    </xf>
    <xf borderId="1" fillId="2" fontId="2" numFmtId="175" xfId="0" applyAlignment="1" applyBorder="1" applyFont="1" applyNumberFormat="1">
      <alignment horizontal="center" shrinkToFit="0" vertical="center" wrapText="1"/>
    </xf>
    <xf borderId="1" fillId="2" fontId="2" numFmtId="2" xfId="0" applyAlignment="1" applyBorder="1" applyFont="1" applyNumberFormat="1">
      <alignment horizontal="center" shrinkToFit="0" vertical="center" wrapText="1"/>
    </xf>
    <xf borderId="79" fillId="2" fontId="1" numFmtId="0" xfId="0" applyAlignment="1" applyBorder="1" applyFont="1">
      <alignment vertical="center"/>
    </xf>
    <xf borderId="1" fillId="2" fontId="1" numFmtId="178" xfId="0" applyAlignment="1" applyBorder="1" applyFont="1" applyNumberFormat="1">
      <alignment vertical="center"/>
    </xf>
    <xf borderId="83" fillId="3" fontId="4" numFmtId="165" xfId="0" applyAlignment="1" applyBorder="1" applyFont="1" applyNumberFormat="1">
      <alignment vertical="center"/>
    </xf>
    <xf borderId="84" fillId="3" fontId="4" numFmtId="165" xfId="0" applyAlignment="1" applyBorder="1" applyFont="1" applyNumberFormat="1">
      <alignment horizontal="right" vertical="center"/>
    </xf>
    <xf borderId="1" fillId="2" fontId="1" numFmtId="10" xfId="0" applyAlignment="1" applyBorder="1" applyFont="1" applyNumberFormat="1">
      <alignment vertical="center"/>
    </xf>
    <xf borderId="81" fillId="17" fontId="18" numFmtId="164" xfId="0" applyAlignment="1" applyBorder="1" applyFont="1" applyNumberFormat="1">
      <alignment horizontal="center" vertical="center"/>
    </xf>
    <xf borderId="1" fillId="8" fontId="2" numFmtId="175" xfId="0" applyAlignment="1" applyBorder="1" applyFont="1" applyNumberFormat="1">
      <alignment horizontal="right" shrinkToFit="0" vertical="center" wrapText="1"/>
    </xf>
    <xf borderId="1" fillId="2" fontId="2" numFmtId="176" xfId="0" applyAlignment="1" applyBorder="1" applyFont="1" applyNumberFormat="1">
      <alignment horizontal="center" vertical="center"/>
    </xf>
    <xf borderId="31" fillId="0" fontId="4" numFmtId="166" xfId="0" applyAlignment="1" applyBorder="1" applyFont="1" applyNumberFormat="1">
      <alignment vertical="center"/>
    </xf>
    <xf borderId="32" fillId="0" fontId="4" numFmtId="165" xfId="0" applyAlignment="1" applyBorder="1" applyFont="1" applyNumberFormat="1">
      <alignment vertical="center"/>
    </xf>
    <xf borderId="32" fillId="0" fontId="4" numFmtId="165" xfId="0" applyAlignment="1" applyBorder="1" applyFont="1" applyNumberFormat="1">
      <alignment horizontal="center" vertical="center"/>
    </xf>
    <xf borderId="32" fillId="0" fontId="16" numFmtId="165" xfId="0" applyAlignment="1" applyBorder="1" applyFont="1" applyNumberFormat="1">
      <alignment horizontal="center" vertical="center"/>
    </xf>
    <xf borderId="85" fillId="0" fontId="1" numFmtId="165" xfId="0" applyAlignment="1" applyBorder="1" applyFont="1" applyNumberFormat="1">
      <alignment vertical="center"/>
    </xf>
    <xf borderId="33" fillId="0" fontId="2" numFmtId="165" xfId="0" applyAlignment="1" applyBorder="1" applyFont="1" applyNumberFormat="1">
      <alignment vertical="center"/>
    </xf>
    <xf borderId="1" fillId="8" fontId="2" numFmtId="165" xfId="0" applyAlignment="1" applyBorder="1" applyFont="1" applyNumberFormat="1">
      <alignment horizontal="center" shrinkToFit="0" vertical="center" wrapText="1"/>
    </xf>
    <xf borderId="1" fillId="8" fontId="2" numFmtId="2" xfId="0" applyAlignment="1" applyBorder="1" applyFont="1" applyNumberFormat="1">
      <alignment horizontal="center" shrinkToFit="0" vertical="center" wrapText="1"/>
    </xf>
    <xf borderId="1" fillId="2" fontId="2" numFmtId="9" xfId="0" applyAlignment="1" applyBorder="1" applyFont="1" applyNumberFormat="1">
      <alignment horizontal="center" vertical="center"/>
    </xf>
    <xf borderId="41" fillId="0" fontId="2" numFmtId="166" xfId="0" applyAlignment="1" applyBorder="1" applyFont="1" applyNumberFormat="1">
      <alignment vertical="center"/>
    </xf>
    <xf borderId="42" fillId="0" fontId="2" numFmtId="165" xfId="0" applyAlignment="1" applyBorder="1" applyFont="1" applyNumberFormat="1">
      <alignment horizontal="right" vertical="center"/>
    </xf>
    <xf borderId="42" fillId="0" fontId="1" numFmtId="9" xfId="0" applyAlignment="1" applyBorder="1" applyFont="1" applyNumberFormat="1">
      <alignment vertical="center"/>
    </xf>
    <xf borderId="42" fillId="0" fontId="16" numFmtId="165" xfId="0" applyAlignment="1" applyBorder="1" applyFont="1" applyNumberFormat="1">
      <alignment horizontal="right" vertical="center"/>
    </xf>
    <xf borderId="42" fillId="0" fontId="1" numFmtId="165" xfId="0" applyAlignment="1" applyBorder="1" applyFont="1" applyNumberFormat="1">
      <alignment vertical="center"/>
    </xf>
    <xf borderId="86" fillId="0" fontId="1" numFmtId="165" xfId="0" applyAlignment="1" applyBorder="1" applyFont="1" applyNumberFormat="1">
      <alignment vertical="center"/>
    </xf>
    <xf borderId="43" fillId="0" fontId="1" numFmtId="165" xfId="0" applyAlignment="1" applyBorder="1" applyFont="1" applyNumberFormat="1">
      <alignment vertical="center"/>
    </xf>
    <xf borderId="1" fillId="8" fontId="11" numFmtId="166" xfId="0" applyAlignment="1" applyBorder="1" applyFont="1" applyNumberFormat="1">
      <alignment horizontal="center" vertical="center"/>
    </xf>
    <xf borderId="1" fillId="8" fontId="11" numFmtId="2" xfId="0" applyAlignment="1" applyBorder="1" applyFont="1" applyNumberFormat="1">
      <alignment horizontal="center" vertical="center"/>
    </xf>
    <xf borderId="42" fillId="0" fontId="19" numFmtId="165" xfId="0" applyAlignment="1" applyBorder="1" applyFont="1" applyNumberFormat="1">
      <alignment horizontal="right" vertical="center"/>
    </xf>
    <xf borderId="42" fillId="2" fontId="1" numFmtId="9" xfId="0" applyAlignment="1" applyBorder="1" applyFont="1" applyNumberFormat="1">
      <alignment vertical="center"/>
    </xf>
    <xf borderId="87" fillId="0" fontId="4" numFmtId="166" xfId="0" applyAlignment="1" applyBorder="1" applyFont="1" applyNumberFormat="1">
      <alignment vertical="center"/>
    </xf>
    <xf borderId="88" fillId="0" fontId="2" numFmtId="165" xfId="0" applyAlignment="1" applyBorder="1" applyFont="1" applyNumberFormat="1">
      <alignment horizontal="right" vertical="center"/>
    </xf>
    <xf borderId="89" fillId="3" fontId="6" numFmtId="9" xfId="0" applyAlignment="1" applyBorder="1" applyFont="1" applyNumberFormat="1">
      <alignment horizontal="right" vertical="center"/>
    </xf>
    <xf borderId="88" fillId="0" fontId="4" numFmtId="165" xfId="0" applyAlignment="1" applyBorder="1" applyFont="1" applyNumberFormat="1">
      <alignment horizontal="right" vertical="center"/>
    </xf>
    <xf borderId="90" fillId="2" fontId="1" numFmtId="165" xfId="0" applyAlignment="1" applyBorder="1" applyFont="1" applyNumberFormat="1">
      <alignment vertical="center"/>
    </xf>
    <xf borderId="91" fillId="2" fontId="4" numFmtId="165" xfId="0" applyAlignment="1" applyBorder="1" applyFont="1" applyNumberFormat="1">
      <alignment horizontal="right" vertical="center"/>
    </xf>
    <xf borderId="1" fillId="8" fontId="4" numFmtId="9" xfId="0" applyAlignment="1" applyBorder="1" applyFont="1" applyNumberFormat="1">
      <alignment horizontal="right" vertical="center"/>
    </xf>
    <xf borderId="1" fillId="8" fontId="4" numFmtId="165" xfId="0" applyAlignment="1" applyBorder="1" applyFont="1" applyNumberFormat="1">
      <alignment horizontal="right" vertical="center"/>
    </xf>
    <xf borderId="79" fillId="17" fontId="16" numFmtId="0" xfId="0" applyAlignment="1" applyBorder="1" applyFont="1">
      <alignment shrinkToFit="0" vertical="center" wrapText="1"/>
    </xf>
    <xf borderId="42" fillId="15" fontId="2" numFmtId="2" xfId="0" applyAlignment="1" applyBorder="1" applyFont="1" applyNumberFormat="1">
      <alignment horizontal="center" vertical="center"/>
    </xf>
    <xf borderId="42" fillId="15" fontId="1" numFmtId="2" xfId="0" applyAlignment="1" applyBorder="1" applyFont="1" applyNumberFormat="1">
      <alignment vertical="center"/>
    </xf>
    <xf borderId="1" fillId="8" fontId="6" numFmtId="0" xfId="0" applyAlignment="1" applyBorder="1" applyFont="1">
      <alignment horizontal="right" vertical="center"/>
    </xf>
    <xf borderId="1" fillId="8" fontId="11" numFmtId="165" xfId="0" applyAlignment="1" applyBorder="1" applyFont="1" applyNumberFormat="1">
      <alignment vertical="center"/>
    </xf>
    <xf borderId="31" fillId="2" fontId="2" numFmtId="165" xfId="0" applyAlignment="1" applyBorder="1" applyFont="1" applyNumberFormat="1">
      <alignment horizontal="right" vertical="center"/>
    </xf>
    <xf borderId="33" fillId="2" fontId="2" numFmtId="165" xfId="0" applyAlignment="1" applyBorder="1" applyFont="1" applyNumberFormat="1">
      <alignment horizontal="right" vertical="center"/>
    </xf>
    <xf borderId="1" fillId="8" fontId="2" numFmtId="166" xfId="0" applyAlignment="1" applyBorder="1" applyFont="1" applyNumberFormat="1">
      <alignment horizontal="center" vertical="center"/>
    </xf>
    <xf borderId="1" fillId="8" fontId="2" numFmtId="2" xfId="0" applyAlignment="1" applyBorder="1" applyFont="1" applyNumberFormat="1">
      <alignment horizontal="center" vertical="center"/>
    </xf>
    <xf borderId="31" fillId="2" fontId="2" numFmtId="165" xfId="0" applyAlignment="1" applyBorder="1" applyFont="1" applyNumberFormat="1">
      <alignment vertical="center"/>
    </xf>
    <xf borderId="33" fillId="2" fontId="2" numFmtId="165" xfId="0" applyAlignment="1" applyBorder="1" applyFont="1" applyNumberFormat="1">
      <alignment horizontal="right" shrinkToFit="0" vertical="center" wrapText="1"/>
    </xf>
    <xf borderId="1" fillId="2" fontId="2" numFmtId="9" xfId="0" applyAlignment="1" applyBorder="1" applyFont="1" applyNumberFormat="1">
      <alignment horizontal="center" shrinkToFit="0" vertical="center" wrapText="1"/>
    </xf>
    <xf borderId="41" fillId="2" fontId="2" numFmtId="165" xfId="0" applyAlignment="1" applyBorder="1" applyFont="1" applyNumberFormat="1">
      <alignment horizontal="right" vertical="center"/>
    </xf>
    <xf borderId="41" fillId="2" fontId="2" numFmtId="165" xfId="0" applyAlignment="1" applyBorder="1" applyFont="1" applyNumberFormat="1">
      <alignment vertical="center"/>
    </xf>
    <xf borderId="43" fillId="2" fontId="2" numFmtId="165" xfId="0" applyAlignment="1" applyBorder="1" applyFont="1" applyNumberFormat="1">
      <alignment horizontal="right" shrinkToFit="0" vertical="center" wrapText="1"/>
    </xf>
    <xf borderId="42" fillId="15" fontId="1" numFmtId="166" xfId="0" applyAlignment="1" applyBorder="1" applyFont="1" applyNumberFormat="1">
      <alignment vertical="center"/>
    </xf>
    <xf borderId="43" fillId="2" fontId="20" numFmtId="165" xfId="0" applyAlignment="1" applyBorder="1" applyFont="1" applyNumberFormat="1">
      <alignment horizontal="right" shrinkToFit="0" vertical="center" wrapText="1"/>
    </xf>
    <xf borderId="87" fillId="19" fontId="4" numFmtId="165" xfId="0" applyAlignment="1" applyBorder="1" applyFill="1" applyFont="1" applyNumberFormat="1">
      <alignment vertical="center"/>
    </xf>
    <xf borderId="91" fillId="19" fontId="4" numFmtId="165" xfId="0" applyAlignment="1" applyBorder="1" applyFont="1" applyNumberFormat="1">
      <alignment horizontal="right" shrinkToFit="0" vertical="center" wrapText="1"/>
    </xf>
    <xf quotePrefix="1" borderId="1" fillId="2" fontId="4" numFmtId="166" xfId="0" applyAlignment="1" applyBorder="1" applyFont="1" applyNumberFormat="1">
      <alignment horizontal="center" shrinkToFit="0" vertical="center" wrapText="1"/>
    </xf>
    <xf borderId="41" fillId="2" fontId="2" numFmtId="9" xfId="0" applyAlignment="1" applyBorder="1" applyFont="1" applyNumberFormat="1">
      <alignment horizontal="right" vertical="center"/>
    </xf>
    <xf borderId="87" fillId="19" fontId="4" numFmtId="165" xfId="0" applyAlignment="1" applyBorder="1" applyFont="1" applyNumberFormat="1">
      <alignment horizontal="right" vertical="center"/>
    </xf>
    <xf borderId="91" fillId="19" fontId="4" numFmtId="166" xfId="0" applyAlignment="1" applyBorder="1" applyFont="1" applyNumberFormat="1">
      <alignment horizontal="right" vertical="center"/>
    </xf>
    <xf borderId="42" fillId="2" fontId="12" numFmtId="179" xfId="0" applyAlignment="1" applyBorder="1" applyFont="1" applyNumberFormat="1">
      <alignment horizontal="right" vertical="center"/>
    </xf>
    <xf borderId="1" fillId="18" fontId="2" numFmtId="166" xfId="0" applyAlignment="1" applyBorder="1" applyFont="1" applyNumberFormat="1">
      <alignment horizontal="right" vertical="center"/>
    </xf>
    <xf borderId="1" fillId="18" fontId="2" numFmtId="166" xfId="0" applyAlignment="1" applyBorder="1" applyFont="1" applyNumberFormat="1">
      <alignment horizontal="center" vertical="center"/>
    </xf>
    <xf borderId="31" fillId="2" fontId="1" numFmtId="165" xfId="0" applyAlignment="1" applyBorder="1" applyFont="1" applyNumberFormat="1">
      <alignment vertical="center"/>
    </xf>
    <xf borderId="32" fillId="2" fontId="2" numFmtId="165" xfId="0" applyAlignment="1" applyBorder="1" applyFont="1" applyNumberFormat="1">
      <alignment horizontal="center" vertical="center"/>
    </xf>
    <xf borderId="33" fillId="2" fontId="2" numFmtId="165" xfId="0" applyAlignment="1" applyBorder="1" applyFont="1" applyNumberFormat="1">
      <alignment horizontal="center" vertical="center"/>
    </xf>
    <xf borderId="33" fillId="2" fontId="2" numFmtId="166" xfId="0" applyAlignment="1" applyBorder="1" applyFont="1" applyNumberFormat="1">
      <alignment horizontal="center" vertical="center"/>
    </xf>
    <xf borderId="74" fillId="19" fontId="2" numFmtId="166" xfId="0" applyAlignment="1" applyBorder="1" applyFont="1" applyNumberFormat="1">
      <alignment horizontal="right" vertical="center"/>
    </xf>
    <xf borderId="1" fillId="2" fontId="2" numFmtId="166" xfId="0" applyAlignment="1" applyBorder="1" applyFont="1" applyNumberFormat="1">
      <alignment vertical="center"/>
    </xf>
    <xf borderId="0" fillId="10" fontId="1" numFmtId="166" xfId="0" applyAlignment="1" applyFont="1" applyNumberFormat="1">
      <alignment vertical="center"/>
    </xf>
    <xf borderId="42" fillId="10" fontId="1" numFmtId="166" xfId="0" applyAlignment="1" applyBorder="1" applyFont="1" applyNumberFormat="1">
      <alignment vertical="center"/>
    </xf>
    <xf borderId="42" fillId="2" fontId="12" numFmtId="180" xfId="0" applyAlignment="1" applyBorder="1" applyFont="1" applyNumberFormat="1">
      <alignment horizontal="right" vertical="center"/>
    </xf>
    <xf borderId="42" fillId="2" fontId="12" numFmtId="176" xfId="0" applyAlignment="1" applyBorder="1" applyFont="1" applyNumberFormat="1">
      <alignment horizontal="right" vertical="center"/>
    </xf>
    <xf borderId="24" fillId="2" fontId="2" numFmtId="165" xfId="0" applyAlignment="1" applyBorder="1" applyFont="1" applyNumberFormat="1">
      <alignment vertical="center"/>
    </xf>
    <xf borderId="92" fillId="2" fontId="2" numFmtId="166" xfId="0" applyAlignment="1" applyBorder="1" applyFont="1" applyNumberFormat="1">
      <alignment horizontal="right" vertical="center"/>
    </xf>
    <xf borderId="43" fillId="2" fontId="2" numFmtId="165" xfId="0" applyAlignment="1" applyBorder="1" applyFont="1" applyNumberFormat="1">
      <alignment horizontal="center" vertical="center"/>
    </xf>
    <xf borderId="87" fillId="8" fontId="6" numFmtId="165" xfId="0" applyAlignment="1" applyBorder="1" applyFont="1" applyNumberFormat="1">
      <alignment horizontal="right" vertical="center"/>
    </xf>
    <xf borderId="91" fillId="8" fontId="6" numFmtId="166" xfId="0" applyAlignment="1" applyBorder="1" applyFont="1" applyNumberFormat="1">
      <alignment horizontal="right" vertical="center"/>
    </xf>
    <xf borderId="74" fillId="8" fontId="6" numFmtId="166" xfId="0" applyAlignment="1" applyBorder="1" applyFont="1" applyNumberFormat="1">
      <alignment horizontal="right" vertical="center"/>
    </xf>
    <xf borderId="42" fillId="8" fontId="2" numFmtId="176" xfId="0" applyAlignment="1" applyBorder="1" applyFont="1" applyNumberFormat="1">
      <alignment horizontal="right" vertical="center"/>
    </xf>
    <xf borderId="92" fillId="2" fontId="2" numFmtId="165" xfId="0" applyAlignment="1" applyBorder="1" applyFont="1" applyNumberFormat="1">
      <alignment horizontal="right" vertical="center"/>
    </xf>
    <xf borderId="43" fillId="2" fontId="1" numFmtId="181" xfId="0" applyAlignment="1" applyBorder="1" applyFont="1" applyNumberFormat="1">
      <alignment vertical="center"/>
    </xf>
    <xf borderId="93" fillId="2" fontId="4" numFmtId="0" xfId="0" applyAlignment="1" applyBorder="1" applyFont="1">
      <alignment vertical="center"/>
    </xf>
    <xf borderId="94" fillId="2" fontId="4" numFmtId="166" xfId="0" applyAlignment="1" applyBorder="1" applyFont="1" applyNumberFormat="1">
      <alignment horizontal="right" vertical="center"/>
    </xf>
    <xf borderId="74" fillId="19" fontId="4" numFmtId="165" xfId="0" applyAlignment="1" applyBorder="1" applyFont="1" applyNumberFormat="1">
      <alignment horizontal="center" vertical="center"/>
    </xf>
    <xf borderId="91" fillId="19" fontId="4" numFmtId="165" xfId="0" applyAlignment="1" applyBorder="1" applyFont="1" applyNumberFormat="1">
      <alignment horizontal="center" shrinkToFit="0" vertical="center" wrapText="1"/>
    </xf>
    <xf borderId="1" fillId="2" fontId="4" numFmtId="0" xfId="0" applyAlignment="1" applyBorder="1" applyFont="1">
      <alignment shrinkToFit="0" vertical="center" wrapText="1"/>
    </xf>
    <xf borderId="32" fillId="10" fontId="2" numFmtId="166" xfId="0" applyAlignment="1" applyBorder="1" applyFont="1" applyNumberFormat="1">
      <alignment horizontal="center" vertical="center"/>
    </xf>
    <xf borderId="32" fillId="2" fontId="1" numFmtId="176" xfId="0" applyAlignment="1" applyBorder="1" applyFont="1" applyNumberFormat="1">
      <alignment vertical="center"/>
    </xf>
    <xf borderId="0" fillId="0" fontId="1" numFmtId="0" xfId="0" applyAlignment="1" applyFont="1">
      <alignment vertical="center"/>
    </xf>
    <xf borderId="1" fillId="8" fontId="2" numFmtId="166" xfId="0" applyAlignment="1" applyBorder="1" applyFont="1" applyNumberFormat="1">
      <alignment horizontal="center" shrinkToFit="0" vertical="center" wrapText="1"/>
    </xf>
    <xf borderId="1" fillId="2" fontId="2" numFmtId="165" xfId="0" applyAlignment="1" applyBorder="1" applyFont="1" applyNumberFormat="1">
      <alignment horizontal="center" shrinkToFit="0" vertical="center" wrapText="1"/>
    </xf>
    <xf borderId="87" fillId="2" fontId="1" numFmtId="0" xfId="0" applyAlignment="1" applyBorder="1" applyFont="1">
      <alignment vertical="center"/>
    </xf>
    <xf borderId="89" fillId="2" fontId="1" numFmtId="165" xfId="0" applyAlignment="1" applyBorder="1" applyFont="1" applyNumberFormat="1">
      <alignment vertical="center"/>
    </xf>
    <xf borderId="89" fillId="2" fontId="2" numFmtId="165" xfId="0" applyAlignment="1" applyBorder="1" applyFont="1" applyNumberFormat="1">
      <alignment horizontal="center" shrinkToFit="0" vertical="center" wrapText="1"/>
    </xf>
    <xf borderId="89" fillId="2" fontId="2" numFmtId="166" xfId="0" applyAlignment="1" applyBorder="1" applyFont="1" applyNumberFormat="1">
      <alignment horizontal="center" shrinkToFit="0" vertical="center" wrapText="1"/>
    </xf>
    <xf borderId="89" fillId="2" fontId="2" numFmtId="165" xfId="0" applyAlignment="1" applyBorder="1" applyFont="1" applyNumberFormat="1">
      <alignment vertical="center"/>
    </xf>
    <xf borderId="89" fillId="2" fontId="12" numFmtId="166" xfId="0" applyAlignment="1" applyBorder="1" applyFont="1" applyNumberFormat="1">
      <alignment horizontal="center" vertical="center"/>
    </xf>
    <xf borderId="89" fillId="2" fontId="2" numFmtId="166" xfId="0" applyAlignment="1" applyBorder="1" applyFont="1" applyNumberFormat="1">
      <alignment vertical="center"/>
    </xf>
    <xf borderId="89" fillId="2" fontId="2" numFmtId="166" xfId="0" applyAlignment="1" applyBorder="1" applyFont="1" applyNumberFormat="1">
      <alignment horizontal="center" vertical="center"/>
    </xf>
    <xf borderId="89" fillId="2" fontId="2" numFmtId="176" xfId="0" applyAlignment="1" applyBorder="1" applyFont="1" applyNumberFormat="1">
      <alignment horizontal="center" vertical="center"/>
    </xf>
    <xf borderId="91" fillId="2" fontId="12" numFmtId="165" xfId="0" applyAlignment="1" applyBorder="1" applyFont="1" applyNumberFormat="1">
      <alignment horizontal="center" shrinkToFit="0" vertical="center" wrapText="1"/>
    </xf>
    <xf borderId="95" fillId="20" fontId="2" numFmtId="0" xfId="0" applyAlignment="1" applyBorder="1" applyFill="1" applyFont="1">
      <alignment horizontal="right" shrinkToFit="0" vertical="center" wrapText="1"/>
    </xf>
    <xf borderId="96" fillId="20" fontId="2" numFmtId="165" xfId="0" applyAlignment="1" applyBorder="1" applyFont="1" applyNumberFormat="1">
      <alignment horizontal="right" shrinkToFit="0" vertical="center" wrapText="1"/>
    </xf>
    <xf borderId="96" fillId="20" fontId="1" numFmtId="166" xfId="0" applyAlignment="1" applyBorder="1" applyFont="1" applyNumberFormat="1">
      <alignment vertical="center"/>
    </xf>
    <xf borderId="96" fillId="20" fontId="2" numFmtId="166" xfId="0" applyAlignment="1" applyBorder="1" applyFont="1" applyNumberFormat="1">
      <alignment horizontal="center" shrinkToFit="0" vertical="center" wrapText="1"/>
    </xf>
    <xf borderId="96" fillId="20" fontId="2" numFmtId="165" xfId="0" applyAlignment="1" applyBorder="1" applyFont="1" applyNumberFormat="1">
      <alignment horizontal="right" vertical="center"/>
    </xf>
    <xf borderId="97" fillId="8" fontId="1" numFmtId="166" xfId="0" applyAlignment="1" applyBorder="1" applyFont="1" applyNumberFormat="1">
      <alignment vertical="center"/>
    </xf>
    <xf borderId="96" fillId="20" fontId="2" numFmtId="176" xfId="0" applyAlignment="1" applyBorder="1" applyFont="1" applyNumberFormat="1">
      <alignment horizontal="center" vertical="center"/>
    </xf>
    <xf borderId="98" fillId="20" fontId="1" numFmtId="165" xfId="0" applyAlignment="1" applyBorder="1" applyFont="1" applyNumberFormat="1">
      <alignment vertical="center"/>
    </xf>
    <xf borderId="96" fillId="20" fontId="1" numFmtId="165" xfId="0" applyAlignment="1" applyBorder="1" applyFont="1" applyNumberFormat="1">
      <alignment vertical="center"/>
    </xf>
    <xf borderId="41" fillId="21" fontId="2" numFmtId="0" xfId="0" applyAlignment="1" applyBorder="1" applyFill="1" applyFont="1">
      <alignment horizontal="right" shrinkToFit="0" vertical="center" wrapText="1"/>
    </xf>
    <xf borderId="42" fillId="21" fontId="2" numFmtId="165" xfId="0" applyAlignment="1" applyBorder="1" applyFont="1" applyNumberFormat="1">
      <alignment horizontal="right" shrinkToFit="0" vertical="center" wrapText="1"/>
    </xf>
    <xf borderId="42" fillId="21" fontId="2" numFmtId="166" xfId="0" applyAlignment="1" applyBorder="1" applyFont="1" applyNumberFormat="1">
      <alignment horizontal="right" shrinkToFit="0" vertical="center" wrapText="1"/>
    </xf>
    <xf borderId="42" fillId="21" fontId="2" numFmtId="166" xfId="0" applyAlignment="1" applyBorder="1" applyFont="1" applyNumberFormat="1">
      <alignment horizontal="center" shrinkToFit="0" vertical="center" wrapText="1"/>
    </xf>
    <xf borderId="42" fillId="21" fontId="2" numFmtId="165" xfId="0" applyAlignment="1" applyBorder="1" applyFont="1" applyNumberFormat="1">
      <alignment horizontal="right" vertical="center"/>
    </xf>
    <xf borderId="42" fillId="21" fontId="12" numFmtId="166" xfId="0" applyAlignment="1" applyBorder="1" applyFont="1" applyNumberFormat="1">
      <alignment horizontal="center" vertical="center"/>
    </xf>
    <xf borderId="42" fillId="21" fontId="2" numFmtId="166" xfId="0" applyAlignment="1" applyBorder="1" applyFont="1" applyNumberFormat="1">
      <alignment horizontal="center" vertical="center"/>
    </xf>
    <xf borderId="42" fillId="21" fontId="2" numFmtId="176" xfId="0" applyAlignment="1" applyBorder="1" applyFont="1" applyNumberFormat="1">
      <alignment horizontal="center" vertical="center"/>
    </xf>
    <xf borderId="43" fillId="21" fontId="12" numFmtId="165" xfId="0" applyAlignment="1" applyBorder="1" applyFont="1" applyNumberFormat="1">
      <alignment horizontal="center" shrinkToFit="0" vertical="center" wrapText="1"/>
    </xf>
    <xf borderId="42" fillId="21" fontId="1" numFmtId="165" xfId="0" applyAlignment="1" applyBorder="1" applyFont="1" applyNumberFormat="1">
      <alignment vertical="center"/>
    </xf>
    <xf borderId="42" fillId="21" fontId="1" numFmtId="166" xfId="0" applyAlignment="1" applyBorder="1" applyFont="1" applyNumberFormat="1">
      <alignment vertical="center"/>
    </xf>
    <xf borderId="42" fillId="21" fontId="1" numFmtId="176" xfId="0" applyAlignment="1" applyBorder="1" applyFont="1" applyNumberFormat="1">
      <alignment vertical="center"/>
    </xf>
    <xf borderId="43" fillId="21" fontId="1" numFmtId="165" xfId="0" applyAlignment="1" applyBorder="1" applyFont="1" applyNumberFormat="1">
      <alignment vertical="center"/>
    </xf>
    <xf borderId="79" fillId="18" fontId="16" numFmtId="0" xfId="0" applyAlignment="1" applyBorder="1" applyFont="1">
      <alignment shrinkToFit="0" vertical="center" wrapText="1"/>
    </xf>
    <xf borderId="1" fillId="18" fontId="2" numFmtId="178" xfId="0" applyAlignment="1" applyBorder="1" applyFont="1" applyNumberFormat="1">
      <alignment horizontal="center" vertical="center"/>
    </xf>
    <xf borderId="1" fillId="18" fontId="2" numFmtId="175" xfId="0" applyAlignment="1" applyBorder="1" applyFont="1" applyNumberFormat="1">
      <alignment horizontal="center" shrinkToFit="0" vertical="center" wrapText="1"/>
    </xf>
    <xf borderId="42" fillId="21" fontId="2" numFmtId="165" xfId="0" applyAlignment="1" applyBorder="1" applyFont="1" applyNumberFormat="1">
      <alignment horizontal="right" readingOrder="0" shrinkToFit="0" vertical="center" wrapText="1"/>
    </xf>
    <xf borderId="79" fillId="18" fontId="1" numFmtId="0" xfId="0" applyAlignment="1" applyBorder="1" applyFont="1">
      <alignment vertical="center"/>
    </xf>
    <xf borderId="1" fillId="18" fontId="2" numFmtId="175" xfId="0" applyAlignment="1" applyBorder="1" applyFont="1" applyNumberFormat="1">
      <alignment horizontal="center" vertical="center"/>
    </xf>
    <xf borderId="1" fillId="18" fontId="1" numFmtId="166" xfId="0" applyAlignment="1" applyBorder="1" applyFont="1" applyNumberFormat="1">
      <alignment vertical="center"/>
    </xf>
    <xf borderId="1" fillId="18" fontId="2" numFmtId="182" xfId="0" applyAlignment="1" applyBorder="1" applyFont="1" applyNumberFormat="1">
      <alignment horizontal="center" vertical="center"/>
    </xf>
    <xf borderId="1" fillId="18" fontId="2" numFmtId="183" xfId="0" applyAlignment="1" applyBorder="1" applyFont="1" applyNumberFormat="1">
      <alignment horizontal="center" vertical="center"/>
    </xf>
    <xf borderId="0" fillId="0" fontId="1" numFmtId="165" xfId="0" applyAlignment="1" applyFont="1" applyNumberFormat="1">
      <alignment vertical="center"/>
    </xf>
    <xf borderId="41" fillId="21" fontId="1" numFmtId="0" xfId="0" applyAlignment="1" applyBorder="1" applyFont="1">
      <alignment vertical="center"/>
    </xf>
    <xf borderId="79" fillId="2" fontId="4" numFmtId="0" xfId="0" applyAlignment="1" applyBorder="1" applyFont="1">
      <alignment shrinkToFit="0" vertical="center" wrapText="1"/>
    </xf>
    <xf borderId="1" fillId="18" fontId="1" numFmtId="165" xfId="0" applyAlignment="1" applyBorder="1" applyFont="1" applyNumberFormat="1">
      <alignment vertical="center"/>
    </xf>
    <xf borderId="81" fillId="18" fontId="1" numFmtId="164" xfId="0" applyAlignment="1" applyBorder="1" applyFont="1" applyNumberFormat="1">
      <alignment vertical="center"/>
    </xf>
    <xf borderId="1" fillId="18" fontId="1" numFmtId="175" xfId="0" applyAlignment="1" applyBorder="1" applyFont="1" applyNumberFormat="1">
      <alignment vertical="center"/>
    </xf>
    <xf borderId="41" fillId="21" fontId="2" numFmtId="165" xfId="0" applyAlignment="1" applyBorder="1" applyFont="1" applyNumberFormat="1">
      <alignment horizontal="right" shrinkToFit="0" vertical="center" wrapText="1"/>
    </xf>
    <xf borderId="41" fillId="21" fontId="1" numFmtId="165" xfId="0" applyAlignment="1" applyBorder="1" applyFont="1" applyNumberFormat="1">
      <alignment vertical="center"/>
    </xf>
    <xf borderId="79" fillId="18" fontId="1" numFmtId="10" xfId="0" applyAlignment="1" applyBorder="1" applyFont="1" applyNumberFormat="1">
      <alignment vertical="center"/>
    </xf>
    <xf borderId="80" fillId="18" fontId="1" numFmtId="10" xfId="0" applyAlignment="1" applyBorder="1" applyFont="1" applyNumberFormat="1">
      <alignment vertical="center"/>
    </xf>
    <xf borderId="1" fillId="18" fontId="1" numFmtId="10" xfId="0" applyAlignment="1" applyBorder="1" applyFont="1" applyNumberFormat="1">
      <alignment vertical="center"/>
    </xf>
    <xf borderId="1" fillId="17" fontId="1" numFmtId="165" xfId="0" applyAlignment="1" applyBorder="1" applyFont="1" applyNumberFormat="1">
      <alignment vertical="center"/>
    </xf>
    <xf borderId="1" fillId="17" fontId="1" numFmtId="176" xfId="0" applyAlignment="1" applyBorder="1" applyFont="1" applyNumberFormat="1">
      <alignment vertical="center"/>
    </xf>
    <xf borderId="1" fillId="17" fontId="16" numFmtId="2" xfId="0" applyAlignment="1" applyBorder="1" applyFont="1" applyNumberFormat="1">
      <alignment horizontal="center" vertical="center"/>
    </xf>
    <xf borderId="79" fillId="18" fontId="16" numFmtId="176" xfId="0" applyAlignment="1" applyBorder="1" applyFont="1" applyNumberFormat="1">
      <alignment shrinkToFit="0" vertical="center" wrapText="1"/>
    </xf>
    <xf borderId="80" fillId="18" fontId="1" numFmtId="176" xfId="0" applyAlignment="1" applyBorder="1" applyFont="1" applyNumberFormat="1">
      <alignment vertical="center"/>
    </xf>
    <xf borderId="1" fillId="18" fontId="1" numFmtId="176" xfId="0" applyAlignment="1" applyBorder="1" applyFont="1" applyNumberFormat="1">
      <alignment vertical="center"/>
    </xf>
    <xf borderId="79" fillId="18" fontId="1" numFmtId="176" xfId="0" applyAlignment="1" applyBorder="1" applyFont="1" applyNumberFormat="1">
      <alignment vertical="center"/>
    </xf>
    <xf borderId="70" fillId="10" fontId="4" numFmtId="176" xfId="0" applyAlignment="1" applyBorder="1" applyFont="1" applyNumberFormat="1">
      <alignment shrinkToFit="0" vertical="center" wrapText="1"/>
    </xf>
    <xf borderId="99" fillId="10" fontId="1" numFmtId="176" xfId="0" applyAlignment="1" applyBorder="1" applyFont="1" applyNumberFormat="1">
      <alignment vertical="center"/>
    </xf>
    <xf borderId="100" fillId="10" fontId="1" numFmtId="2" xfId="0" applyAlignment="1" applyBorder="1" applyFont="1" applyNumberFormat="1">
      <alignment vertical="center"/>
    </xf>
    <xf borderId="100" fillId="10" fontId="1" numFmtId="166" xfId="0" applyAlignment="1" applyBorder="1" applyFont="1" applyNumberFormat="1">
      <alignment vertical="center"/>
    </xf>
    <xf borderId="100" fillId="10" fontId="1" numFmtId="165" xfId="0" applyAlignment="1" applyBorder="1" applyFont="1" applyNumberFormat="1">
      <alignment vertical="center"/>
    </xf>
    <xf borderId="100" fillId="10" fontId="1" numFmtId="10" xfId="0" applyAlignment="1" applyBorder="1" applyFont="1" applyNumberFormat="1">
      <alignment vertical="center"/>
    </xf>
    <xf borderId="100" fillId="10" fontId="1" numFmtId="176" xfId="0" applyAlignment="1" applyBorder="1" applyFont="1" applyNumberFormat="1">
      <alignment vertical="center"/>
    </xf>
    <xf borderId="74" fillId="10" fontId="4" numFmtId="164" xfId="0" applyAlignment="1" applyBorder="1" applyFont="1" applyNumberFormat="1">
      <alignment horizontal="center" shrinkToFit="0" vertical="center" wrapText="1"/>
    </xf>
    <xf borderId="42" fillId="2" fontId="4" numFmtId="0" xfId="0" applyAlignment="1" applyBorder="1" applyFont="1">
      <alignment horizontal="center" shrinkToFit="0" vertical="center" wrapText="1"/>
    </xf>
    <xf borderId="42" fillId="21" fontId="1" numFmtId="0" xfId="0" applyAlignment="1" applyBorder="1" applyFont="1">
      <alignment vertical="center"/>
    </xf>
    <xf borderId="42" fillId="18" fontId="1" numFmtId="0" xfId="0" applyAlignment="1" applyBorder="1" applyFont="1">
      <alignment vertical="center"/>
    </xf>
    <xf borderId="42" fillId="2" fontId="4" numFmtId="0" xfId="0" applyAlignment="1" applyBorder="1" applyFont="1">
      <alignment horizontal="right" shrinkToFit="0" vertical="center" wrapText="1"/>
    </xf>
    <xf borderId="42" fillId="2" fontId="1" numFmtId="176" xfId="0" applyAlignment="1" applyBorder="1" applyFont="1" applyNumberFormat="1">
      <alignment vertical="center"/>
    </xf>
    <xf borderId="42" fillId="18" fontId="1" numFmtId="165" xfId="0" applyAlignment="1" applyBorder="1" applyFont="1" applyNumberFormat="1">
      <alignment vertical="center"/>
    </xf>
    <xf borderId="42" fillId="2" fontId="2" numFmtId="0" xfId="0" applyAlignment="1" applyBorder="1" applyFont="1">
      <alignment horizontal="right" shrinkToFit="0" vertical="center" wrapText="1"/>
    </xf>
    <xf borderId="42" fillId="2" fontId="2" numFmtId="165" xfId="0" applyAlignment="1" applyBorder="1" applyFont="1" applyNumberFormat="1">
      <alignment horizontal="right" shrinkToFit="0" vertical="center" wrapText="1"/>
    </xf>
    <xf borderId="42" fillId="2" fontId="21" numFmtId="165" xfId="0" applyAlignment="1" applyBorder="1" applyFont="1" applyNumberFormat="1">
      <alignment horizontal="right" shrinkToFit="0" vertical="center" wrapText="1"/>
    </xf>
    <xf borderId="42" fillId="10" fontId="4" numFmtId="0" xfId="0" applyAlignment="1" applyBorder="1" applyFont="1">
      <alignment horizontal="right" shrinkToFit="0" vertical="center" wrapText="1"/>
    </xf>
    <xf borderId="42" fillId="10" fontId="1" numFmtId="0" xfId="0" applyAlignment="1" applyBorder="1" applyFont="1">
      <alignment vertical="center"/>
    </xf>
    <xf borderId="42" fillId="10" fontId="1" numFmtId="2" xfId="0" applyAlignment="1" applyBorder="1" applyFont="1" applyNumberFormat="1">
      <alignment vertical="center"/>
    </xf>
    <xf borderId="42" fillId="10" fontId="4" numFmtId="165" xfId="0" applyAlignment="1" applyBorder="1" applyFont="1" applyNumberFormat="1">
      <alignment horizontal="right" shrinkToFit="0" vertical="center" wrapText="1"/>
    </xf>
    <xf borderId="42" fillId="10" fontId="1" numFmtId="165" xfId="0" applyAlignment="1" applyBorder="1" applyFont="1" applyNumberFormat="1">
      <alignment vertical="center"/>
    </xf>
    <xf borderId="89" fillId="2" fontId="1" numFmtId="166" xfId="0" applyAlignment="1" applyBorder="1" applyFont="1" applyNumberFormat="1">
      <alignment vertical="center"/>
    </xf>
    <xf borderId="89" fillId="10" fontId="2" numFmtId="166" xfId="0" applyAlignment="1" applyBorder="1" applyFont="1" applyNumberFormat="1">
      <alignment horizontal="center" shrinkToFit="0" vertical="center" wrapText="1"/>
    </xf>
    <xf borderId="101" fillId="2" fontId="1" numFmtId="166" xfId="0" applyAlignment="1" applyBorder="1" applyFont="1" applyNumberFormat="1">
      <alignment vertical="center"/>
    </xf>
    <xf borderId="31" fillId="10" fontId="22" numFmtId="184" xfId="0" applyAlignment="1" applyBorder="1" applyFont="1" applyNumberFormat="1">
      <alignment horizontal="center" vertical="center"/>
    </xf>
    <xf borderId="32" fillId="10" fontId="12" numFmtId="166" xfId="0" applyAlignment="1" applyBorder="1" applyFont="1" applyNumberFormat="1">
      <alignment horizontal="center" vertical="center"/>
    </xf>
    <xf borderId="33" fillId="10" fontId="12" numFmtId="176" xfId="0" applyAlignment="1" applyBorder="1" applyFont="1" applyNumberFormat="1">
      <alignment horizontal="center" vertical="center"/>
    </xf>
    <xf borderId="102" fillId="2" fontId="2" numFmtId="165" xfId="0" applyAlignment="1" applyBorder="1" applyFont="1" applyNumberFormat="1">
      <alignment horizontal="center" shrinkToFit="0" vertical="center" wrapText="1"/>
    </xf>
    <xf borderId="31" fillId="10" fontId="1" numFmtId="184" xfId="0" applyAlignment="1" applyBorder="1" applyFont="1" applyNumberFormat="1">
      <alignment vertical="center"/>
    </xf>
    <xf borderId="42" fillId="22" fontId="2" numFmtId="165" xfId="0" applyAlignment="1" applyBorder="1" applyFill="1" applyFont="1" applyNumberFormat="1">
      <alignment horizontal="right" shrinkToFit="0" vertical="center" wrapText="1"/>
    </xf>
    <xf borderId="42" fillId="2" fontId="8" numFmtId="10" xfId="0" applyAlignment="1" applyBorder="1" applyFont="1" applyNumberFormat="1">
      <alignment horizontal="right" shrinkToFit="0" vertical="center" wrapText="1"/>
    </xf>
    <xf borderId="42" fillId="2" fontId="1" numFmtId="10" xfId="0" applyAlignment="1" applyBorder="1" applyFont="1" applyNumberFormat="1">
      <alignment vertical="center"/>
    </xf>
    <xf borderId="42" fillId="2" fontId="7" numFmtId="165" xfId="0" applyAlignment="1" applyBorder="1" applyFont="1" applyNumberFormat="1">
      <alignment horizontal="right" shrinkToFit="0" vertical="center" wrapText="1"/>
    </xf>
    <xf borderId="42" fillId="8" fontId="4" numFmtId="0" xfId="0" applyAlignment="1" applyBorder="1" applyFont="1">
      <alignment horizontal="right" shrinkToFit="0" vertical="center" wrapText="1"/>
    </xf>
    <xf borderId="42" fillId="8" fontId="1" numFmtId="0" xfId="0" applyAlignment="1" applyBorder="1" applyFont="1">
      <alignment vertical="center"/>
    </xf>
    <xf borderId="42" fillId="8" fontId="1" numFmtId="2" xfId="0" applyAlignment="1" applyBorder="1" applyFont="1" applyNumberFormat="1">
      <alignment vertical="center"/>
    </xf>
    <xf borderId="42" fillId="8" fontId="4" numFmtId="165" xfId="0" applyAlignment="1" applyBorder="1" applyFont="1" applyNumberFormat="1">
      <alignment horizontal="right" shrinkToFit="0" vertical="center" wrapText="1"/>
    </xf>
    <xf borderId="42" fillId="2" fontId="2" numFmtId="176" xfId="0" applyAlignment="1" applyBorder="1" applyFont="1" applyNumberFormat="1">
      <alignment horizontal="right" shrinkToFit="0" vertical="center" wrapText="1"/>
    </xf>
    <xf borderId="1" fillId="2" fontId="2" numFmtId="10" xfId="0" applyAlignment="1" applyBorder="1" applyFont="1" applyNumberFormat="1">
      <alignment horizontal="center" shrinkToFit="0" vertical="center" wrapText="1"/>
    </xf>
    <xf borderId="42" fillId="2" fontId="23" numFmtId="165" xfId="0" applyAlignment="1" applyBorder="1" applyFont="1" applyNumberFormat="1">
      <alignment horizontal="center" vertical="center"/>
    </xf>
    <xf borderId="42" fillId="23" fontId="4" numFmtId="166" xfId="0" applyAlignment="1" applyBorder="1" applyFill="1" applyFont="1" applyNumberFormat="1">
      <alignment horizontal="right" shrinkToFit="0" vertical="center" wrapText="1"/>
    </xf>
    <xf borderId="42" fillId="23" fontId="1" numFmtId="166" xfId="0" applyAlignment="1" applyBorder="1" applyFont="1" applyNumberFormat="1">
      <alignment vertical="center"/>
    </xf>
    <xf borderId="42" fillId="23" fontId="1" numFmtId="2" xfId="0" applyAlignment="1" applyBorder="1" applyFont="1" applyNumberFormat="1">
      <alignment vertical="center"/>
    </xf>
    <xf borderId="42" fillId="23" fontId="4" numFmtId="165" xfId="0" applyAlignment="1" applyBorder="1" applyFont="1" applyNumberFormat="1">
      <alignment horizontal="center" vertical="center"/>
    </xf>
    <xf borderId="1" fillId="2" fontId="7" numFmtId="166" xfId="0" applyAlignment="1" applyBorder="1" applyFont="1" applyNumberFormat="1">
      <alignment horizontal="center" shrinkToFit="0" vertical="center" wrapText="1"/>
    </xf>
    <xf borderId="42" fillId="2" fontId="2" numFmtId="181" xfId="0" applyAlignment="1" applyBorder="1" applyFont="1" applyNumberFormat="1">
      <alignment horizontal="right" shrinkToFit="0" vertical="center" wrapText="1"/>
    </xf>
    <xf borderId="42" fillId="2" fontId="2" numFmtId="169" xfId="0" applyAlignment="1" applyBorder="1" applyFont="1" applyNumberFormat="1">
      <alignment horizontal="right" shrinkToFit="0" vertical="center" wrapText="1"/>
    </xf>
    <xf borderId="42" fillId="2" fontId="2" numFmtId="184" xfId="0" applyAlignment="1" applyBorder="1" applyFont="1" applyNumberFormat="1">
      <alignment horizontal="center" shrinkToFit="0" vertical="center" wrapText="1"/>
    </xf>
    <xf borderId="42" fillId="2" fontId="7" numFmtId="185" xfId="0" applyAlignment="1" applyBorder="1" applyFont="1" applyNumberFormat="1">
      <alignment horizontal="center" shrinkToFit="0" vertical="center" wrapText="1"/>
    </xf>
    <xf borderId="74" fillId="0" fontId="2" numFmtId="186" xfId="0" applyAlignment="1" applyBorder="1" applyFont="1" applyNumberFormat="1">
      <alignment horizontal="center" vertical="center"/>
    </xf>
    <xf borderId="42" fillId="2" fontId="1" numFmtId="2" xfId="0" applyAlignment="1" applyBorder="1" applyFont="1" applyNumberFormat="1">
      <alignment readingOrder="0" vertical="center"/>
    </xf>
    <xf borderId="1" fillId="2" fontId="1" numFmtId="49" xfId="0" applyAlignment="1" applyBorder="1" applyFont="1" applyNumberFormat="1">
      <alignment vertical="center"/>
    </xf>
    <xf borderId="0" fillId="0" fontId="1" numFmtId="0" xfId="0" applyAlignment="1" applyFont="1">
      <alignment horizontal="right" vertical="center"/>
    </xf>
    <xf borderId="41" fillId="21" fontId="2" numFmtId="0" xfId="0" applyAlignment="1" applyBorder="1" applyFont="1">
      <alignment horizontal="right" readingOrder="0" shrinkToFit="0" vertical="center" wrapText="1"/>
    </xf>
    <xf borderId="0" fillId="2" fontId="1" numFmtId="2" xfId="0" applyAlignment="1" applyFont="1" applyNumberFormat="1">
      <alignment vertical="center"/>
    </xf>
    <xf borderId="0" fillId="2" fontId="1" numFmtId="164" xfId="0" applyAlignment="1" applyFont="1" applyNumberFormat="1">
      <alignment vertical="center"/>
    </xf>
    <xf borderId="0" fillId="0" fontId="24" numFmtId="0" xfId="0" applyAlignment="1" applyFont="1">
      <alignment horizontal="center" shrinkToFit="0" vertical="center" wrapText="0"/>
    </xf>
    <xf borderId="1" fillId="2" fontId="2" numFmtId="0" xfId="0" applyAlignment="1" applyBorder="1" applyFont="1">
      <alignment vertical="center"/>
    </xf>
    <xf borderId="1" fillId="2" fontId="2" numFmtId="170" xfId="0" applyAlignment="1" applyBorder="1" applyFont="1" applyNumberFormat="1">
      <alignment vertical="center"/>
    </xf>
    <xf borderId="1" fillId="2" fontId="2" numFmtId="0" xfId="0" applyAlignment="1" applyBorder="1" applyFont="1">
      <alignment horizontal="center" vertical="center"/>
    </xf>
    <xf borderId="1" fillId="2" fontId="2" numFmtId="0" xfId="0" applyAlignment="1" applyBorder="1" applyFont="1">
      <alignment shrinkToFit="0" vertical="center" wrapText="1"/>
    </xf>
    <xf borderId="1" fillId="2" fontId="2" numFmtId="2" xfId="0" applyAlignment="1" applyBorder="1" applyFont="1" applyNumberFormat="1">
      <alignment vertical="center"/>
    </xf>
    <xf borderId="1" fillId="2" fontId="2" numFmtId="164" xfId="0" applyAlignment="1" applyBorder="1" applyFont="1" applyNumberFormat="1">
      <alignment vertical="center"/>
    </xf>
    <xf borderId="103" fillId="2" fontId="2" numFmtId="0" xfId="0" applyAlignment="1" applyBorder="1" applyFont="1">
      <alignment vertical="center"/>
    </xf>
    <xf borderId="0" fillId="0" fontId="11" numFmtId="165" xfId="0" applyAlignment="1" applyFont="1" applyNumberFormat="1">
      <alignment horizontal="center" vertical="center"/>
    </xf>
    <xf borderId="0" fillId="2" fontId="11" numFmtId="165" xfId="0" applyAlignment="1" applyFont="1" applyNumberFormat="1">
      <alignment horizontal="center" vertical="center"/>
    </xf>
    <xf borderId="0" fillId="2" fontId="11" numFmtId="0" xfId="0" applyAlignment="1" applyFont="1">
      <alignment vertical="center"/>
    </xf>
    <xf borderId="80" fillId="2" fontId="2" numFmtId="165" xfId="0" applyAlignment="1" applyBorder="1" applyFont="1" applyNumberFormat="1">
      <alignment vertical="center"/>
    </xf>
    <xf borderId="1" fillId="2" fontId="2" numFmtId="165" xfId="0" applyAlignment="1" applyBorder="1" applyFont="1" applyNumberFormat="1">
      <alignment vertical="center"/>
    </xf>
    <xf borderId="1" fillId="2" fontId="2" numFmtId="4" xfId="0" applyAlignment="1" applyBorder="1" applyFont="1" applyNumberFormat="1">
      <alignment vertical="center"/>
    </xf>
    <xf borderId="0" fillId="2" fontId="2" numFmtId="0" xfId="0" applyAlignment="1" applyFont="1">
      <alignment vertical="center"/>
    </xf>
    <xf borderId="2" fillId="2" fontId="2" numFmtId="0" xfId="0" applyAlignment="1" applyBorder="1" applyFont="1">
      <alignment vertical="center"/>
    </xf>
    <xf borderId="1" fillId="4" fontId="2" numFmtId="170" xfId="0" applyAlignment="1" applyBorder="1" applyFont="1" applyNumberFormat="1">
      <alignment vertical="center"/>
    </xf>
    <xf borderId="1" fillId="4" fontId="2" numFmtId="0" xfId="0" applyAlignment="1" applyBorder="1" applyFont="1">
      <alignment horizontal="center" vertical="center"/>
    </xf>
    <xf borderId="1" fillId="4" fontId="2" numFmtId="0" xfId="0" applyAlignment="1" applyBorder="1" applyFont="1">
      <alignment shrinkToFit="0" vertical="center" wrapText="1"/>
    </xf>
    <xf borderId="1" fillId="4" fontId="2" numFmtId="0" xfId="0" applyAlignment="1" applyBorder="1" applyFont="1">
      <alignment vertical="center"/>
    </xf>
    <xf borderId="1" fillId="2" fontId="2" numFmtId="165" xfId="0" applyAlignment="1" applyBorder="1" applyFont="1" applyNumberFormat="1">
      <alignment shrinkToFit="0" vertical="center" wrapText="1"/>
    </xf>
    <xf borderId="104" fillId="2" fontId="2" numFmtId="4" xfId="0" applyAlignment="1" applyBorder="1" applyFont="1" applyNumberFormat="1">
      <alignment vertical="center"/>
    </xf>
    <xf borderId="104" fillId="2" fontId="2" numFmtId="165" xfId="0" applyAlignment="1" applyBorder="1" applyFont="1" applyNumberFormat="1">
      <alignment vertical="center"/>
    </xf>
    <xf borderId="104" fillId="2" fontId="2" numFmtId="0" xfId="0" applyAlignment="1" applyBorder="1" applyFont="1">
      <alignment vertical="center"/>
    </xf>
    <xf borderId="10" fillId="2" fontId="4" numFmtId="170" xfId="0" applyAlignment="1" applyBorder="1" applyFont="1" applyNumberFormat="1">
      <alignment horizontal="center" shrinkToFit="0" vertical="center" wrapText="1"/>
    </xf>
    <xf borderId="16" fillId="2" fontId="2" numFmtId="0" xfId="0" applyAlignment="1" applyBorder="1" applyFont="1">
      <alignment vertical="center"/>
    </xf>
    <xf borderId="80" fillId="2" fontId="2" numFmtId="0" xfId="0" applyAlignment="1" applyBorder="1" applyFont="1">
      <alignment vertical="center"/>
    </xf>
    <xf borderId="26" fillId="2" fontId="2" numFmtId="165" xfId="0" applyAlignment="1" applyBorder="1" applyFont="1" applyNumberFormat="1">
      <alignment vertical="center"/>
    </xf>
    <xf borderId="27" fillId="2" fontId="2" numFmtId="165" xfId="0" applyAlignment="1" applyBorder="1" applyFont="1" applyNumberFormat="1">
      <alignment vertical="center"/>
    </xf>
    <xf borderId="28" fillId="2" fontId="2" numFmtId="165" xfId="0" applyAlignment="1" applyBorder="1" applyFont="1" applyNumberFormat="1">
      <alignment horizontal="center" vertical="center"/>
    </xf>
    <xf borderId="29" fillId="2" fontId="2" numFmtId="165" xfId="0" applyAlignment="1" applyBorder="1" applyFont="1" applyNumberFormat="1">
      <alignment vertical="center"/>
    </xf>
    <xf borderId="31" fillId="2" fontId="2" numFmtId="0" xfId="0" applyAlignment="1" applyBorder="1" applyFont="1">
      <alignment vertical="center"/>
    </xf>
    <xf borderId="32" fillId="2" fontId="2" numFmtId="0" xfId="0" applyAlignment="1" applyBorder="1" applyFont="1">
      <alignment vertical="center"/>
    </xf>
    <xf borderId="32" fillId="2" fontId="2" numFmtId="170" xfId="0" applyAlignment="1" applyBorder="1" applyFont="1" applyNumberFormat="1">
      <alignment vertical="center"/>
    </xf>
    <xf borderId="32" fillId="2" fontId="2" numFmtId="0" xfId="0" applyAlignment="1" applyBorder="1" applyFont="1">
      <alignment horizontal="center" vertical="center"/>
    </xf>
    <xf borderId="32" fillId="2" fontId="2" numFmtId="0" xfId="0" applyAlignment="1" applyBorder="1" applyFont="1">
      <alignment shrinkToFit="0" vertical="center" wrapText="1"/>
    </xf>
    <xf borderId="32" fillId="2" fontId="2" numFmtId="2" xfId="0" applyAlignment="1" applyBorder="1" applyFont="1" applyNumberFormat="1">
      <alignment vertical="center"/>
    </xf>
    <xf borderId="32" fillId="2" fontId="2" numFmtId="164" xfId="0" applyAlignment="1" applyBorder="1" applyFont="1" applyNumberFormat="1">
      <alignment vertical="center"/>
    </xf>
    <xf borderId="32" fillId="2" fontId="2" numFmtId="166" xfId="0" applyAlignment="1" applyBorder="1" applyFont="1" applyNumberFormat="1">
      <alignment vertical="center"/>
    </xf>
    <xf borderId="32" fillId="2" fontId="2" numFmtId="165" xfId="0" applyAlignment="1" applyBorder="1" applyFont="1" applyNumberFormat="1">
      <alignment shrinkToFit="0" vertical="center" wrapText="1"/>
    </xf>
    <xf borderId="32" fillId="2" fontId="2" numFmtId="165" xfId="0" applyAlignment="1" applyBorder="1" applyFont="1" applyNumberFormat="1">
      <alignment vertical="center"/>
    </xf>
    <xf borderId="33" fillId="2" fontId="2" numFmtId="165" xfId="0" applyAlignment="1" applyBorder="1" applyFont="1" applyNumberFormat="1">
      <alignment vertical="center"/>
    </xf>
    <xf borderId="34" fillId="2" fontId="2" numFmtId="165" xfId="0" applyAlignment="1" applyBorder="1" applyFont="1" applyNumberFormat="1">
      <alignment vertical="center"/>
    </xf>
    <xf borderId="35" fillId="2" fontId="2" numFmtId="165" xfId="0" applyAlignment="1" applyBorder="1" applyFont="1" applyNumberFormat="1">
      <alignment vertical="center"/>
    </xf>
    <xf borderId="36" fillId="2" fontId="2" numFmtId="166" xfId="0" applyAlignment="1" applyBorder="1" applyFont="1" applyNumberFormat="1">
      <alignment vertical="center"/>
    </xf>
    <xf borderId="37" fillId="2" fontId="2" numFmtId="165" xfId="0" applyAlignment="1" applyBorder="1" applyFont="1" applyNumberFormat="1">
      <alignment horizontal="center" vertical="center"/>
    </xf>
    <xf borderId="38" fillId="2" fontId="2" numFmtId="165" xfId="0" applyAlignment="1" applyBorder="1" applyFont="1" applyNumberFormat="1">
      <alignment vertical="center"/>
    </xf>
    <xf borderId="39" fillId="2" fontId="2" numFmtId="165" xfId="0" applyAlignment="1" applyBorder="1" applyFont="1" applyNumberFormat="1">
      <alignment vertical="center"/>
    </xf>
    <xf borderId="1" fillId="0" fontId="24" numFmtId="0" xfId="0" applyAlignment="1" applyBorder="1" applyFont="1">
      <alignment horizontal="center" shrinkToFit="0" vertical="center" wrapText="0"/>
    </xf>
    <xf borderId="41" fillId="4" fontId="4" numFmtId="0" xfId="0" applyAlignment="1" applyBorder="1" applyFont="1">
      <alignment horizontal="right" readingOrder="0" vertical="center"/>
    </xf>
    <xf borderId="42" fillId="4" fontId="2" numFmtId="0" xfId="0" applyAlignment="1" applyBorder="1" applyFont="1">
      <alignment vertical="center"/>
    </xf>
    <xf borderId="42" fillId="4" fontId="2" numFmtId="170" xfId="0" applyAlignment="1" applyBorder="1" applyFont="1" applyNumberFormat="1">
      <alignment vertical="center"/>
    </xf>
    <xf borderId="42" fillId="4" fontId="6" numFmtId="187" xfId="0" applyAlignment="1" applyBorder="1" applyFont="1" applyNumberFormat="1">
      <alignment horizontal="center" vertical="center"/>
    </xf>
    <xf borderId="42" fillId="4" fontId="2" numFmtId="0" xfId="0" applyAlignment="1" applyBorder="1" applyFont="1">
      <alignment shrinkToFit="0" vertical="center" wrapText="1"/>
    </xf>
    <xf borderId="42" fillId="4" fontId="2" numFmtId="2" xfId="0" applyAlignment="1" applyBorder="1" applyFont="1" applyNumberFormat="1">
      <alignment vertical="center"/>
    </xf>
    <xf borderId="42" fillId="4" fontId="2" numFmtId="0" xfId="0" applyAlignment="1" applyBorder="1" applyFont="1">
      <alignment horizontal="center" vertical="center"/>
    </xf>
    <xf borderId="42" fillId="4" fontId="2" numFmtId="164" xfId="0" applyAlignment="1" applyBorder="1" applyFont="1" applyNumberFormat="1">
      <alignment vertical="center"/>
    </xf>
    <xf borderId="42" fillId="4" fontId="2" numFmtId="166" xfId="0" applyAlignment="1" applyBorder="1" applyFont="1" applyNumberFormat="1">
      <alignment vertical="center"/>
    </xf>
    <xf borderId="42" fillId="4" fontId="2" numFmtId="165" xfId="0" applyAlignment="1" applyBorder="1" applyFont="1" applyNumberFormat="1">
      <alignment horizontal="center" vertical="center"/>
    </xf>
    <xf borderId="42" fillId="4" fontId="2" numFmtId="165" xfId="0" applyAlignment="1" applyBorder="1" applyFont="1" applyNumberFormat="1">
      <alignment vertical="center"/>
    </xf>
    <xf borderId="43" fillId="4" fontId="2" numFmtId="165" xfId="0" applyAlignment="1" applyBorder="1" applyFont="1" applyNumberFormat="1">
      <alignment vertical="center"/>
    </xf>
    <xf borderId="34" fillId="4" fontId="2" numFmtId="165" xfId="0" applyAlignment="1" applyBorder="1" applyFont="1" applyNumberFormat="1">
      <alignment vertical="center"/>
    </xf>
    <xf borderId="35" fillId="4" fontId="2" numFmtId="165" xfId="0" applyAlignment="1" applyBorder="1" applyFont="1" applyNumberFormat="1">
      <alignment vertical="center"/>
    </xf>
    <xf borderId="36" fillId="4" fontId="2" numFmtId="165" xfId="0" applyAlignment="1" applyBorder="1" applyFont="1" applyNumberFormat="1">
      <alignment vertical="center"/>
    </xf>
    <xf borderId="37" fillId="4" fontId="2" numFmtId="165" xfId="0" applyAlignment="1" applyBorder="1" applyFont="1" applyNumberFormat="1">
      <alignment horizontal="center" vertical="center"/>
    </xf>
    <xf borderId="38" fillId="4" fontId="2" numFmtId="165" xfId="0" applyAlignment="1" applyBorder="1" applyFont="1" applyNumberFormat="1">
      <alignment vertical="center"/>
    </xf>
    <xf borderId="1" fillId="4" fontId="2" numFmtId="165" xfId="0" applyAlignment="1" applyBorder="1" applyFont="1" applyNumberFormat="1">
      <alignment vertical="center"/>
    </xf>
    <xf borderId="39" fillId="4" fontId="2" numFmtId="165" xfId="0" applyAlignment="1" applyBorder="1" applyFont="1" applyNumberFormat="1">
      <alignment vertical="center"/>
    </xf>
    <xf borderId="0" fillId="2" fontId="2" numFmtId="165" xfId="0" applyAlignment="1" applyFont="1" applyNumberFormat="1">
      <alignment vertical="center"/>
    </xf>
    <xf borderId="41" fillId="9" fontId="4" numFmtId="0" xfId="0" applyAlignment="1" applyBorder="1" applyFont="1">
      <alignment horizontal="right" readingOrder="0" vertical="center"/>
    </xf>
    <xf borderId="42" fillId="9" fontId="2" numFmtId="0" xfId="0" applyAlignment="1" applyBorder="1" applyFont="1">
      <alignment vertical="center"/>
    </xf>
    <xf borderId="42" fillId="9" fontId="2" numFmtId="170" xfId="0" applyAlignment="1" applyBorder="1" applyFont="1" applyNumberFormat="1">
      <alignment vertical="center"/>
    </xf>
    <xf borderId="42" fillId="9" fontId="6" numFmtId="187" xfId="0" applyAlignment="1" applyBorder="1" applyFont="1" applyNumberFormat="1">
      <alignment horizontal="center" vertical="center"/>
    </xf>
    <xf borderId="42" fillId="9" fontId="2" numFmtId="0" xfId="0" applyAlignment="1" applyBorder="1" applyFont="1">
      <alignment vertical="center"/>
    </xf>
    <xf borderId="42" fillId="9" fontId="2" numFmtId="0" xfId="0" applyAlignment="1" applyBorder="1" applyFont="1">
      <alignment horizontal="center" vertical="center"/>
    </xf>
    <xf borderId="42" fillId="9" fontId="2" numFmtId="2" xfId="0" applyAlignment="1" applyBorder="1" applyFont="1" applyNumberFormat="1">
      <alignment vertical="center"/>
    </xf>
    <xf borderId="42" fillId="9" fontId="2" numFmtId="164" xfId="0" applyAlignment="1" applyBorder="1" applyFont="1" applyNumberFormat="1">
      <alignment vertical="center"/>
    </xf>
    <xf borderId="42" fillId="9" fontId="2" numFmtId="165" xfId="0" applyAlignment="1" applyBorder="1" applyFont="1" applyNumberFormat="1">
      <alignment horizontal="center" vertical="center"/>
    </xf>
    <xf borderId="42" fillId="9" fontId="2" numFmtId="166" xfId="0" applyAlignment="1" applyBorder="1" applyFont="1" applyNumberFormat="1">
      <alignment vertical="center"/>
    </xf>
    <xf borderId="42" fillId="9" fontId="2" numFmtId="165" xfId="0" applyAlignment="1" applyBorder="1" applyFont="1" applyNumberFormat="1">
      <alignment vertical="center"/>
    </xf>
    <xf borderId="43" fillId="9" fontId="2" numFmtId="165" xfId="0" applyAlignment="1" applyBorder="1" applyFont="1" applyNumberFormat="1">
      <alignment vertical="center"/>
    </xf>
    <xf borderId="1" fillId="10" fontId="2" numFmtId="169" xfId="0" applyAlignment="1" applyBorder="1" applyFont="1" applyNumberFormat="1">
      <alignment vertical="center"/>
    </xf>
    <xf borderId="1" fillId="10" fontId="2" numFmtId="165" xfId="0" applyAlignment="1" applyBorder="1" applyFont="1" applyNumberFormat="1">
      <alignment vertical="center"/>
    </xf>
    <xf borderId="1" fillId="10" fontId="2" numFmtId="165" xfId="0" applyAlignment="1" applyBorder="1" applyFont="1" applyNumberFormat="1">
      <alignment horizontal="center" vertical="center"/>
    </xf>
    <xf borderId="1" fillId="10" fontId="2" numFmtId="0" xfId="0" applyAlignment="1" applyBorder="1" applyFont="1">
      <alignment vertical="center"/>
    </xf>
    <xf borderId="34" fillId="10" fontId="2" numFmtId="165" xfId="0" applyAlignment="1" applyBorder="1" applyFont="1" applyNumberFormat="1">
      <alignment vertical="center"/>
    </xf>
    <xf borderId="35" fillId="10" fontId="2" numFmtId="165" xfId="0" applyAlignment="1" applyBorder="1" applyFont="1" applyNumberFormat="1">
      <alignment vertical="center"/>
    </xf>
    <xf borderId="36" fillId="10" fontId="2" numFmtId="165" xfId="0" applyAlignment="1" applyBorder="1" applyFont="1" applyNumberFormat="1">
      <alignment vertical="center"/>
    </xf>
    <xf borderId="37" fillId="10" fontId="2" numFmtId="165" xfId="0" applyAlignment="1" applyBorder="1" applyFont="1" applyNumberFormat="1">
      <alignment horizontal="center" vertical="center"/>
    </xf>
    <xf borderId="38" fillId="10" fontId="2" numFmtId="165" xfId="0" applyAlignment="1" applyBorder="1" applyFont="1" applyNumberFormat="1">
      <alignment vertical="center"/>
    </xf>
    <xf borderId="39" fillId="10" fontId="2" numFmtId="165" xfId="0" applyAlignment="1" applyBorder="1" applyFont="1" applyNumberFormat="1">
      <alignment vertical="center"/>
    </xf>
    <xf borderId="41" fillId="11" fontId="2" numFmtId="0" xfId="0" applyAlignment="1" applyBorder="1" applyFont="1">
      <alignment vertical="center"/>
    </xf>
    <xf borderId="42" fillId="11" fontId="2" numFmtId="0" xfId="0" applyAlignment="1" applyBorder="1" applyFont="1">
      <alignment vertical="center"/>
    </xf>
    <xf borderId="42" fillId="11" fontId="2" numFmtId="170" xfId="0" applyAlignment="1" applyBorder="1" applyFont="1" applyNumberFormat="1">
      <alignment vertical="center"/>
    </xf>
    <xf borderId="42" fillId="11" fontId="6" numFmtId="187" xfId="0" applyAlignment="1" applyBorder="1" applyFont="1" applyNumberFormat="1">
      <alignment horizontal="center" vertical="center"/>
    </xf>
    <xf borderId="42" fillId="11" fontId="2" numFmtId="0" xfId="0" applyAlignment="1" applyBorder="1" applyFont="1">
      <alignment vertical="center"/>
    </xf>
    <xf borderId="42" fillId="11" fontId="2" numFmtId="2" xfId="0" applyAlignment="1" applyBorder="1" applyFont="1" applyNumberFormat="1">
      <alignment vertical="center"/>
    </xf>
    <xf borderId="42" fillId="11" fontId="2" numFmtId="164" xfId="0" applyAlignment="1" applyBorder="1" applyFont="1" applyNumberFormat="1">
      <alignment vertical="center"/>
    </xf>
    <xf borderId="42" fillId="8" fontId="2" numFmtId="165" xfId="0" applyAlignment="1" applyBorder="1" applyFont="1" applyNumberFormat="1">
      <alignment vertical="center"/>
    </xf>
    <xf borderId="42" fillId="11" fontId="2" numFmtId="168" xfId="0" applyAlignment="1" applyBorder="1" applyFont="1" applyNumberFormat="1">
      <alignment horizontal="center" vertical="center"/>
    </xf>
    <xf borderId="47" fillId="12" fontId="11" numFmtId="165" xfId="0" applyAlignment="1" applyBorder="1" applyFont="1" applyNumberFormat="1">
      <alignment horizontal="center" vertical="center"/>
    </xf>
    <xf borderId="1" fillId="0" fontId="24" numFmtId="0" xfId="0" applyAlignment="1" applyBorder="1" applyFont="1">
      <alignment shrinkToFit="0" vertical="center" wrapText="0"/>
    </xf>
    <xf borderId="41" fillId="0" fontId="2" numFmtId="0" xfId="0" applyAlignment="1" applyBorder="1" applyFont="1">
      <alignment vertical="center"/>
    </xf>
    <xf borderId="42" fillId="0" fontId="2" numFmtId="0" xfId="0" applyAlignment="1" applyBorder="1" applyFont="1">
      <alignment horizontal="center" shrinkToFit="0" vertical="center" wrapText="1"/>
    </xf>
    <xf borderId="42" fillId="2" fontId="2" numFmtId="170" xfId="0" applyAlignment="1" applyBorder="1" applyFont="1" applyNumberFormat="1">
      <alignment horizontal="center" vertical="center"/>
    </xf>
    <xf borderId="42" fillId="0" fontId="6" numFmtId="187" xfId="0" applyAlignment="1" applyBorder="1" applyFont="1" applyNumberFormat="1">
      <alignment horizontal="center" readingOrder="0" vertical="center"/>
    </xf>
    <xf borderId="42" fillId="2" fontId="2" numFmtId="0" xfId="0" applyAlignment="1" applyBorder="1" applyFont="1">
      <alignment horizontal="center" readingOrder="0" shrinkToFit="0" vertical="center" wrapText="1"/>
    </xf>
    <xf borderId="42" fillId="2" fontId="2" numFmtId="166" xfId="0" applyAlignment="1" applyBorder="1" applyFont="1" applyNumberFormat="1">
      <alignment vertical="center"/>
    </xf>
    <xf borderId="42" fillId="2" fontId="2" numFmtId="165" xfId="0" applyAlignment="1" applyBorder="1" applyFont="1" applyNumberFormat="1">
      <alignment vertical="center"/>
    </xf>
    <xf borderId="1" fillId="2" fontId="2" numFmtId="169" xfId="0" applyAlignment="1" applyBorder="1" applyFont="1" applyNumberFormat="1">
      <alignment vertical="center"/>
    </xf>
    <xf borderId="1" fillId="2" fontId="2" numFmtId="171" xfId="0" applyAlignment="1" applyBorder="1" applyFont="1" applyNumberFormat="1">
      <alignment vertical="center"/>
    </xf>
    <xf borderId="1" fillId="2" fontId="2" numFmtId="172" xfId="0" applyAlignment="1" applyBorder="1" applyFont="1" applyNumberFormat="1">
      <alignment vertical="center"/>
    </xf>
    <xf borderId="1" fillId="2" fontId="2" numFmtId="173" xfId="0" applyAlignment="1" applyBorder="1" applyFont="1" applyNumberFormat="1">
      <alignment vertical="center"/>
    </xf>
    <xf borderId="36" fillId="2" fontId="2" numFmtId="165" xfId="0" applyAlignment="1" applyBorder="1" applyFont="1" applyNumberFormat="1">
      <alignment vertical="center"/>
    </xf>
    <xf borderId="37" fillId="2" fontId="2" numFmtId="165" xfId="0" applyAlignment="1" applyBorder="1" applyFont="1" applyNumberFormat="1">
      <alignment vertical="center"/>
    </xf>
    <xf borderId="42" fillId="0" fontId="2" numFmtId="0" xfId="0" applyAlignment="1" applyBorder="1" applyFont="1">
      <alignment shrinkToFit="0" vertical="center" wrapText="1"/>
    </xf>
    <xf borderId="42" fillId="0" fontId="6" numFmtId="187" xfId="0" applyAlignment="1" applyBorder="1" applyFont="1" applyNumberFormat="1">
      <alignment horizontal="center" vertical="center"/>
    </xf>
    <xf borderId="42" fillId="2" fontId="2" numFmtId="0" xfId="0" applyAlignment="1" applyBorder="1" applyFont="1">
      <alignment vertical="center"/>
    </xf>
    <xf borderId="42" fillId="0" fontId="2" numFmtId="0" xfId="0" applyAlignment="1" applyBorder="1" applyFont="1">
      <alignment vertical="center"/>
    </xf>
    <xf borderId="42" fillId="0" fontId="2" numFmtId="0" xfId="0" applyAlignment="1" applyBorder="1" applyFont="1">
      <alignment vertical="center"/>
    </xf>
    <xf borderId="1" fillId="0" fontId="24" numFmtId="0" xfId="0" applyAlignment="1" applyBorder="1" applyFont="1">
      <alignment readingOrder="0" shrinkToFit="0" vertical="center" wrapText="0"/>
    </xf>
    <xf borderId="42" fillId="0" fontId="2" numFmtId="2" xfId="0" applyAlignment="1" applyBorder="1" applyFont="1" applyNumberFormat="1">
      <alignment vertical="center"/>
    </xf>
    <xf borderId="50" fillId="2" fontId="2" numFmtId="165" xfId="0" applyAlignment="1" applyBorder="1" applyFont="1" applyNumberFormat="1">
      <alignment vertical="center"/>
    </xf>
    <xf borderId="51" fillId="2" fontId="2" numFmtId="165" xfId="0" applyAlignment="1" applyBorder="1" applyFont="1" applyNumberFormat="1">
      <alignment vertical="center"/>
    </xf>
    <xf borderId="52" fillId="2" fontId="2" numFmtId="165" xfId="0" applyAlignment="1" applyBorder="1" applyFont="1" applyNumberFormat="1">
      <alignment vertical="center"/>
    </xf>
    <xf borderId="53" fillId="2" fontId="2" numFmtId="165" xfId="0" applyAlignment="1" applyBorder="1" applyFont="1" applyNumberFormat="1">
      <alignment vertical="center"/>
    </xf>
    <xf borderId="54" fillId="2" fontId="2" numFmtId="165" xfId="0" applyAlignment="1" applyBorder="1" applyFont="1" applyNumberFormat="1">
      <alignment vertical="center"/>
    </xf>
    <xf borderId="55" fillId="2" fontId="2" numFmtId="165" xfId="0" applyAlignment="1" applyBorder="1" applyFont="1" applyNumberFormat="1">
      <alignment vertical="center"/>
    </xf>
    <xf borderId="42" fillId="2" fontId="2" numFmtId="164" xfId="0" applyAlignment="1" applyBorder="1" applyFont="1" applyNumberFormat="1">
      <alignment vertical="center"/>
    </xf>
    <xf borderId="42" fillId="2" fontId="2" numFmtId="2" xfId="0" applyAlignment="1" applyBorder="1" applyFont="1" applyNumberFormat="1">
      <alignment vertical="center"/>
    </xf>
    <xf borderId="43" fillId="2" fontId="2" numFmtId="165" xfId="0" applyAlignment="1" applyBorder="1" applyFont="1" applyNumberFormat="1">
      <alignment vertical="center"/>
    </xf>
    <xf borderId="41" fillId="9" fontId="4" numFmtId="0" xfId="0" applyAlignment="1" applyBorder="1" applyFont="1">
      <alignment horizontal="right" vertical="center"/>
    </xf>
    <xf borderId="37" fillId="10" fontId="2" numFmtId="165" xfId="0" applyAlignment="1" applyBorder="1" applyFont="1" applyNumberFormat="1">
      <alignment vertical="center"/>
    </xf>
    <xf borderId="1" fillId="0" fontId="24" numFmtId="0" xfId="0" applyAlignment="1" applyBorder="1" applyFont="1">
      <alignment horizontal="center" readingOrder="0" shrinkToFit="0" vertical="center" wrapText="0"/>
    </xf>
    <xf borderId="41" fillId="2" fontId="2" numFmtId="0" xfId="0" applyAlignment="1" applyBorder="1" applyFont="1">
      <alignment vertical="center"/>
    </xf>
    <xf borderId="42" fillId="2" fontId="6" numFmtId="187" xfId="0" applyAlignment="1" applyBorder="1" applyFont="1" applyNumberFormat="1">
      <alignment horizontal="center" shrinkToFit="0" vertical="center" wrapText="1"/>
    </xf>
    <xf borderId="41" fillId="2" fontId="2" numFmtId="0" xfId="0" applyAlignment="1" applyBorder="1" applyFont="1">
      <alignment shrinkToFit="0" vertical="center" wrapText="1"/>
    </xf>
    <xf borderId="42" fillId="2" fontId="2" numFmtId="170" xfId="0" applyAlignment="1" applyBorder="1" applyFont="1" applyNumberFormat="1">
      <alignment horizontal="center" shrinkToFit="0" vertical="center" wrapText="1"/>
    </xf>
    <xf borderId="42" fillId="2" fontId="6" numFmtId="187" xfId="0" applyAlignment="1" applyBorder="1" applyFont="1" applyNumberFormat="1">
      <alignment horizontal="center" vertical="center"/>
    </xf>
    <xf borderId="42" fillId="2" fontId="2" numFmtId="170" xfId="0" applyAlignment="1" applyBorder="1" applyFont="1" applyNumberFormat="1">
      <alignment vertical="center"/>
    </xf>
    <xf borderId="41" fillId="9" fontId="2" numFmtId="0" xfId="0" applyAlignment="1" applyBorder="1" applyFont="1">
      <alignment vertical="center"/>
    </xf>
    <xf borderId="42" fillId="11" fontId="2" numFmtId="168" xfId="0" applyAlignment="1" applyBorder="1" applyFont="1" applyNumberFormat="1">
      <alignment vertical="center"/>
    </xf>
    <xf borderId="42" fillId="0" fontId="2" numFmtId="170" xfId="0" applyAlignment="1" applyBorder="1" applyFont="1" applyNumberFormat="1">
      <alignment vertical="center"/>
    </xf>
    <xf borderId="1" fillId="0" fontId="4" numFmtId="0" xfId="0" applyAlignment="1" applyBorder="1" applyFont="1">
      <alignment horizontal="center" shrinkToFit="0" vertical="center" wrapText="0"/>
    </xf>
    <xf borderId="41" fillId="11" fontId="2" numFmtId="0" xfId="0" applyAlignment="1" applyBorder="1" applyFont="1">
      <alignment vertical="center"/>
    </xf>
    <xf borderId="42" fillId="11" fontId="2" numFmtId="0" xfId="0" applyAlignment="1" applyBorder="1" applyFont="1">
      <alignment horizontal="center" vertical="center"/>
    </xf>
    <xf borderId="1" fillId="0" fontId="4" numFmtId="0" xfId="0" applyAlignment="1" applyBorder="1" applyFont="1">
      <alignment readingOrder="0" shrinkToFit="0" vertical="center" wrapText="0"/>
    </xf>
    <xf borderId="42" fillId="0" fontId="12" numFmtId="2" xfId="0" applyAlignment="1" applyBorder="1" applyFont="1" applyNumberFormat="1">
      <alignment horizontal="center" readingOrder="0" vertical="center"/>
    </xf>
    <xf borderId="1" fillId="2" fontId="2" numFmtId="174" xfId="0" applyAlignment="1" applyBorder="1" applyFont="1" applyNumberFormat="1">
      <alignment vertical="center"/>
    </xf>
    <xf borderId="1" fillId="0" fontId="4" numFmtId="0" xfId="0" applyAlignment="1" applyBorder="1" applyFont="1">
      <alignment shrinkToFit="0" vertical="center" wrapText="0"/>
    </xf>
    <xf borderId="42" fillId="2" fontId="6" numFmtId="188" xfId="0" applyAlignment="1" applyBorder="1" applyFont="1" applyNumberFormat="1">
      <alignment horizontal="center" vertical="center"/>
    </xf>
    <xf borderId="42" fillId="2" fontId="2" numFmtId="0" xfId="0" applyAlignment="1" applyBorder="1" applyFont="1">
      <alignment shrinkToFit="0" vertical="center" wrapText="1"/>
    </xf>
    <xf borderId="57" fillId="2" fontId="2" numFmtId="0" xfId="0" applyAlignment="1" applyBorder="1" applyFont="1">
      <alignment vertical="center"/>
    </xf>
    <xf borderId="57" fillId="2" fontId="2" numFmtId="0" xfId="0" applyAlignment="1" applyBorder="1" applyFont="1">
      <alignment vertical="center"/>
    </xf>
    <xf borderId="57" fillId="2" fontId="2" numFmtId="2" xfId="0" applyAlignment="1" applyBorder="1" applyFont="1" applyNumberFormat="1">
      <alignment vertical="center"/>
    </xf>
    <xf borderId="57" fillId="2" fontId="6" numFmtId="187" xfId="0" applyAlignment="1" applyBorder="1" applyFont="1" applyNumberFormat="1">
      <alignment horizontal="center" vertical="center"/>
    </xf>
    <xf borderId="57" fillId="2" fontId="2" numFmtId="0" xfId="0" applyAlignment="1" applyBorder="1" applyFont="1">
      <alignment shrinkToFit="0" vertical="center" wrapText="1"/>
    </xf>
    <xf borderId="57" fillId="2" fontId="2" numFmtId="166" xfId="0" applyAlignment="1" applyBorder="1" applyFont="1" applyNumberFormat="1">
      <alignment vertical="center"/>
    </xf>
    <xf borderId="57" fillId="2" fontId="2" numFmtId="165" xfId="0" applyAlignment="1" applyBorder="1" applyFont="1" applyNumberFormat="1">
      <alignment vertical="center"/>
    </xf>
    <xf borderId="58" fillId="2" fontId="2" numFmtId="165" xfId="0" applyAlignment="1" applyBorder="1" applyFont="1" applyNumberFormat="1">
      <alignment vertical="center"/>
    </xf>
    <xf borderId="1" fillId="0" fontId="4" numFmtId="0" xfId="0" applyAlignment="1" applyBorder="1" applyFont="1">
      <alignment horizontal="center" shrinkToFit="0" vertical="center" wrapText="0"/>
    </xf>
    <xf borderId="42" fillId="9" fontId="1" numFmtId="0" xfId="0" applyAlignment="1" applyBorder="1" applyFont="1">
      <alignment vertical="center"/>
    </xf>
    <xf borderId="42" fillId="9" fontId="1" numFmtId="170" xfId="0" applyAlignment="1" applyBorder="1" applyFont="1" applyNumberFormat="1">
      <alignment vertical="center"/>
    </xf>
    <xf borderId="42" fillId="9" fontId="1" numFmtId="187" xfId="0" applyAlignment="1" applyBorder="1" applyFont="1" applyNumberFormat="1">
      <alignment vertical="center"/>
    </xf>
    <xf borderId="41" fillId="11" fontId="1" numFmtId="0" xfId="0" applyAlignment="1" applyBorder="1" applyFont="1">
      <alignment vertical="center"/>
    </xf>
    <xf borderId="42" fillId="11" fontId="1" numFmtId="0" xfId="0" applyAlignment="1" applyBorder="1" applyFont="1">
      <alignment vertical="center"/>
    </xf>
    <xf borderId="42" fillId="11" fontId="1" numFmtId="170" xfId="0" applyAlignment="1" applyBorder="1" applyFont="1" applyNumberFormat="1">
      <alignment vertical="center"/>
    </xf>
    <xf borderId="42" fillId="11" fontId="1" numFmtId="187" xfId="0" applyAlignment="1" applyBorder="1" applyFont="1" applyNumberFormat="1">
      <alignment vertical="center"/>
    </xf>
    <xf borderId="42" fillId="2" fontId="6" numFmtId="187" xfId="0" applyAlignment="1" applyBorder="1" applyFont="1" applyNumberFormat="1">
      <alignment horizontal="center" readingOrder="0" vertical="center"/>
    </xf>
    <xf borderId="42" fillId="2" fontId="1" numFmtId="170" xfId="0" applyAlignment="1" applyBorder="1" applyFont="1" applyNumberFormat="1">
      <alignment vertical="center"/>
    </xf>
    <xf borderId="42" fillId="0" fontId="1" numFmtId="187" xfId="0" applyAlignment="1" applyBorder="1" applyFont="1" applyNumberFormat="1">
      <alignment vertical="center"/>
    </xf>
    <xf borderId="42" fillId="0" fontId="1" numFmtId="0" xfId="0" applyAlignment="1" applyBorder="1" applyFont="1">
      <alignment vertical="center"/>
    </xf>
    <xf borderId="42" fillId="2" fontId="2" numFmtId="170" xfId="0" applyAlignment="1" applyBorder="1" applyFont="1" applyNumberFormat="1">
      <alignment horizontal="center" readingOrder="0" vertical="center"/>
    </xf>
    <xf borderId="42" fillId="2" fontId="1" numFmtId="187" xfId="0" applyAlignment="1" applyBorder="1" applyFont="1" applyNumberFormat="1">
      <alignment vertical="center"/>
    </xf>
    <xf borderId="42" fillId="2" fontId="1" numFmtId="0" xfId="0" applyAlignment="1" applyBorder="1" applyFont="1">
      <alignment vertical="center"/>
    </xf>
    <xf borderId="42" fillId="2" fontId="2" numFmtId="0" xfId="0" applyAlignment="1" applyBorder="1" applyFont="1">
      <alignment vertical="center"/>
    </xf>
    <xf borderId="42" fillId="2" fontId="12" numFmtId="2" xfId="0" applyAlignment="1" applyBorder="1" applyFont="1" applyNumberFormat="1">
      <alignment horizontal="center" readingOrder="0" vertical="center"/>
    </xf>
    <xf borderId="42" fillId="2" fontId="12" numFmtId="0" xfId="0" applyAlignment="1" applyBorder="1" applyFont="1">
      <alignment horizontal="center" vertical="center"/>
    </xf>
    <xf borderId="41" fillId="4" fontId="4" numFmtId="0" xfId="0" applyAlignment="1" applyBorder="1" applyFont="1">
      <alignment horizontal="right" vertical="center"/>
    </xf>
    <xf borderId="1" fillId="4" fontId="2" numFmtId="169" xfId="0" applyAlignment="1" applyBorder="1" applyFont="1" applyNumberFormat="1">
      <alignment vertical="center"/>
    </xf>
    <xf borderId="37" fillId="4" fontId="2" numFmtId="165" xfId="0" applyAlignment="1" applyBorder="1" applyFont="1" applyNumberFormat="1">
      <alignment vertical="center"/>
    </xf>
    <xf borderId="41" fillId="9" fontId="4" numFmtId="0" xfId="0" applyAlignment="1" applyBorder="1" applyFont="1">
      <alignment horizontal="right" vertical="center"/>
    </xf>
    <xf borderId="41" fillId="0" fontId="2" numFmtId="0" xfId="0" applyAlignment="1" applyBorder="1" applyFont="1">
      <alignment vertical="center"/>
    </xf>
    <xf borderId="41" fillId="0" fontId="2" numFmtId="0" xfId="0" applyAlignment="1" applyBorder="1" applyFont="1">
      <alignment readingOrder="0" vertical="center"/>
    </xf>
    <xf borderId="42" fillId="0" fontId="2" numFmtId="0" xfId="0" applyAlignment="1" applyBorder="1" applyFont="1">
      <alignment readingOrder="0" vertical="center"/>
    </xf>
    <xf borderId="41" fillId="2" fontId="2" numFmtId="0" xfId="0" applyAlignment="1" applyBorder="1" applyFont="1">
      <alignment shrinkToFit="0" vertical="center" wrapText="1"/>
    </xf>
    <xf borderId="42" fillId="11" fontId="2" numFmtId="0" xfId="0" applyAlignment="1" applyBorder="1" applyFont="1">
      <alignment shrinkToFit="0" vertical="center" wrapText="1"/>
    </xf>
    <xf borderId="41" fillId="2" fontId="25" numFmtId="0" xfId="0" applyAlignment="1" applyBorder="1" applyFont="1">
      <alignment vertical="center"/>
    </xf>
    <xf borderId="42" fillId="0" fontId="25" numFmtId="0" xfId="0" applyAlignment="1" applyBorder="1" applyFont="1">
      <alignment shrinkToFit="0" vertical="center" wrapText="1"/>
    </xf>
    <xf borderId="42" fillId="0" fontId="25" numFmtId="0" xfId="0" applyAlignment="1" applyBorder="1" applyFont="1">
      <alignment horizontal="center" shrinkToFit="0" vertical="center" wrapText="1"/>
    </xf>
    <xf borderId="42" fillId="0" fontId="25" numFmtId="0" xfId="0" applyAlignment="1" applyBorder="1" applyFont="1">
      <alignment horizontal="center" vertical="center"/>
    </xf>
    <xf borderId="42" fillId="0" fontId="25" numFmtId="2" xfId="0" applyAlignment="1" applyBorder="1" applyFont="1" applyNumberFormat="1">
      <alignment horizontal="center" vertical="center"/>
    </xf>
    <xf borderId="42" fillId="2" fontId="25" numFmtId="2" xfId="0" applyAlignment="1" applyBorder="1" applyFont="1" applyNumberFormat="1">
      <alignment horizontal="center" vertical="center"/>
    </xf>
    <xf borderId="42" fillId="8" fontId="6" numFmtId="0" xfId="0" applyAlignment="1" applyBorder="1" applyFont="1">
      <alignment horizontal="center" vertical="center"/>
    </xf>
    <xf borderId="42" fillId="8" fontId="25" numFmtId="165" xfId="0" applyAlignment="1" applyBorder="1" applyFont="1" applyNumberFormat="1">
      <alignment horizontal="center" vertical="center"/>
    </xf>
    <xf borderId="42" fillId="2" fontId="25" numFmtId="165" xfId="0" applyAlignment="1" applyBorder="1" applyFont="1" applyNumberFormat="1">
      <alignment horizontal="center" vertical="center"/>
    </xf>
    <xf borderId="43" fillId="2" fontId="25" numFmtId="165" xfId="0" applyAlignment="1" applyBorder="1" applyFont="1" applyNumberFormat="1">
      <alignment horizontal="right" vertical="center"/>
    </xf>
    <xf borderId="42" fillId="9" fontId="4" numFmtId="0" xfId="0" applyAlignment="1" applyBorder="1" applyFont="1">
      <alignment shrinkToFit="0" vertical="center" wrapText="1"/>
    </xf>
    <xf borderId="42" fillId="8" fontId="2" numFmtId="165" xfId="0" applyAlignment="1" applyBorder="1" applyFont="1" applyNumberFormat="1">
      <alignment horizontal="right" vertical="center"/>
    </xf>
    <xf borderId="65" fillId="2" fontId="2" numFmtId="0" xfId="0" applyAlignment="1" applyBorder="1" applyFont="1">
      <alignment shrinkToFit="0" vertical="center" wrapText="1"/>
    </xf>
    <xf borderId="65" fillId="0" fontId="2" numFmtId="2" xfId="0" applyAlignment="1" applyBorder="1" applyFont="1" applyNumberFormat="1">
      <alignment vertical="center"/>
    </xf>
    <xf borderId="42" fillId="0" fontId="2" numFmtId="166" xfId="0" applyAlignment="1" applyBorder="1" applyFont="1" applyNumberFormat="1">
      <alignment horizontal="center" vertical="center"/>
    </xf>
    <xf borderId="61" fillId="6" fontId="2" numFmtId="166" xfId="0" applyAlignment="1" applyBorder="1" applyFont="1" applyNumberFormat="1">
      <alignment vertical="center"/>
    </xf>
    <xf borderId="66" fillId="2" fontId="2" numFmtId="165" xfId="0" applyAlignment="1" applyBorder="1" applyFont="1" applyNumberFormat="1">
      <alignment vertical="center"/>
    </xf>
    <xf borderId="61" fillId="2" fontId="2" numFmtId="166" xfId="0" applyAlignment="1" applyBorder="1" applyFont="1" applyNumberFormat="1">
      <alignment vertical="center"/>
    </xf>
    <xf borderId="67" fillId="2" fontId="2" numFmtId="165" xfId="0" applyAlignment="1" applyBorder="1" applyFont="1" applyNumberFormat="1">
      <alignment horizontal="center" vertical="center"/>
    </xf>
    <xf borderId="61" fillId="2" fontId="2" numFmtId="165" xfId="0" applyAlignment="1" applyBorder="1" applyFont="1" applyNumberFormat="1">
      <alignment vertical="center"/>
    </xf>
    <xf borderId="61" fillId="6" fontId="2" numFmtId="165" xfId="0" applyAlignment="1" applyBorder="1" applyFont="1" applyNumberFormat="1">
      <alignment vertical="center"/>
    </xf>
    <xf borderId="69" fillId="2" fontId="2" numFmtId="0" xfId="0" applyAlignment="1" applyBorder="1" applyFont="1">
      <alignment vertical="center"/>
    </xf>
    <xf borderId="70" fillId="2" fontId="2" numFmtId="165" xfId="0" applyAlignment="1" applyBorder="1" applyFont="1" applyNumberFormat="1">
      <alignment shrinkToFit="0" vertical="center" wrapText="1"/>
    </xf>
    <xf borderId="71" fillId="15" fontId="2" numFmtId="165" xfId="0" applyAlignment="1" applyBorder="1" applyFont="1" applyNumberFormat="1">
      <alignment horizontal="center" vertical="center"/>
    </xf>
    <xf borderId="72" fillId="2" fontId="2" numFmtId="165" xfId="0" applyAlignment="1" applyBorder="1" applyFont="1" applyNumberFormat="1">
      <alignment vertical="center"/>
    </xf>
    <xf borderId="73" fillId="2" fontId="2" numFmtId="165" xfId="0" applyAlignment="1" applyBorder="1" applyFont="1" applyNumberFormat="1">
      <alignment vertical="center"/>
    </xf>
    <xf borderId="74" fillId="3" fontId="2" numFmtId="166" xfId="0" applyAlignment="1" applyBorder="1" applyFont="1" applyNumberFormat="1">
      <alignment vertical="center"/>
    </xf>
    <xf borderId="74" fillId="3" fontId="2" numFmtId="170" xfId="0" applyAlignment="1" applyBorder="1" applyFont="1" applyNumberFormat="1">
      <alignment vertical="center"/>
    </xf>
    <xf borderId="74" fillId="3" fontId="2" numFmtId="166" xfId="0" applyAlignment="1" applyBorder="1" applyFont="1" applyNumberFormat="1">
      <alignment horizontal="center" vertical="center"/>
    </xf>
    <xf borderId="74" fillId="3" fontId="2" numFmtId="166" xfId="0" applyAlignment="1" applyBorder="1" applyFont="1" applyNumberFormat="1">
      <alignment shrinkToFit="0" vertical="center" wrapText="1"/>
    </xf>
    <xf borderId="74" fillId="3" fontId="2" numFmtId="2" xfId="0" applyAlignment="1" applyBorder="1" applyFont="1" applyNumberFormat="1">
      <alignment vertical="center"/>
    </xf>
    <xf borderId="74" fillId="3" fontId="2" numFmtId="164" xfId="0" applyAlignment="1" applyBorder="1" applyFont="1" applyNumberFormat="1">
      <alignment vertical="center"/>
    </xf>
    <xf borderId="74" fillId="3" fontId="2" numFmtId="165" xfId="0" applyAlignment="1" applyBorder="1" applyFont="1" applyNumberFormat="1">
      <alignment horizontal="center" vertical="center"/>
    </xf>
    <xf borderId="74" fillId="3" fontId="2" numFmtId="165" xfId="0" applyAlignment="1" applyBorder="1" applyFont="1" applyNumberFormat="1">
      <alignment vertical="center"/>
    </xf>
    <xf borderId="74" fillId="3" fontId="4" numFmtId="165" xfId="0" applyAlignment="1" applyBorder="1" applyFont="1" applyNumberFormat="1">
      <alignment horizontal="center" vertical="center"/>
    </xf>
    <xf borderId="74" fillId="3" fontId="4" numFmtId="166" xfId="0" applyAlignment="1" applyBorder="1" applyFont="1" applyNumberFormat="1">
      <alignment horizontal="center" vertical="center"/>
    </xf>
    <xf borderId="1" fillId="2" fontId="2" numFmtId="175" xfId="0" applyAlignment="1" applyBorder="1" applyFont="1" applyNumberFormat="1">
      <alignment vertical="center"/>
    </xf>
    <xf borderId="1" fillId="2" fontId="2" numFmtId="9" xfId="0" applyAlignment="1" applyBorder="1" applyFont="1" applyNumberFormat="1">
      <alignment vertical="center"/>
    </xf>
    <xf borderId="75" fillId="2" fontId="4" numFmtId="0" xfId="0" applyAlignment="1" applyBorder="1" applyFont="1">
      <alignment shrinkToFit="0" vertical="center" wrapText="1"/>
    </xf>
    <xf borderId="76" fillId="2" fontId="2" numFmtId="0" xfId="0" applyAlignment="1" applyBorder="1" applyFont="1">
      <alignment vertical="center"/>
    </xf>
    <xf borderId="77" fillId="2" fontId="2" numFmtId="170" xfId="0" applyAlignment="1" applyBorder="1" applyFont="1" applyNumberFormat="1">
      <alignment vertical="center"/>
    </xf>
    <xf borderId="77" fillId="2" fontId="2" numFmtId="0" xfId="0" applyAlignment="1" applyBorder="1" applyFont="1">
      <alignment horizontal="center" vertical="center"/>
    </xf>
    <xf borderId="77" fillId="2" fontId="2" numFmtId="0" xfId="0" applyAlignment="1" applyBorder="1" applyFont="1">
      <alignment shrinkToFit="0" vertical="center" wrapText="1"/>
    </xf>
    <xf borderId="77" fillId="2" fontId="2" numFmtId="0" xfId="0" applyAlignment="1" applyBorder="1" applyFont="1">
      <alignment vertical="center"/>
    </xf>
    <xf borderId="77" fillId="2" fontId="2" numFmtId="166" xfId="0" applyAlignment="1" applyBorder="1" applyFont="1" applyNumberFormat="1">
      <alignment vertical="center"/>
    </xf>
    <xf borderId="77" fillId="2" fontId="2" numFmtId="165" xfId="0" applyAlignment="1" applyBorder="1" applyFont="1" applyNumberFormat="1">
      <alignment vertical="center"/>
    </xf>
    <xf borderId="77" fillId="2" fontId="2" numFmtId="165" xfId="0" applyAlignment="1" applyBorder="1" applyFont="1" applyNumberFormat="1">
      <alignment horizontal="center" vertical="center"/>
    </xf>
    <xf borderId="77" fillId="2" fontId="2" numFmtId="2" xfId="0" applyAlignment="1" applyBorder="1" applyFont="1" applyNumberFormat="1">
      <alignment vertical="center"/>
    </xf>
    <xf borderId="78" fillId="2" fontId="2" numFmtId="189" xfId="0" applyAlignment="1" applyBorder="1" applyFont="1" applyNumberFormat="1">
      <alignment vertical="center"/>
    </xf>
    <xf borderId="75" fillId="2" fontId="4" numFmtId="165" xfId="0" applyAlignment="1" applyBorder="1" applyFont="1" applyNumberFormat="1">
      <alignment horizontal="center" vertical="center"/>
    </xf>
    <xf borderId="1" fillId="2" fontId="2" numFmtId="176" xfId="0" applyAlignment="1" applyBorder="1" applyFont="1" applyNumberFormat="1">
      <alignment vertical="center"/>
    </xf>
    <xf borderId="80" fillId="17" fontId="2" numFmtId="0" xfId="0" applyAlignment="1" applyBorder="1" applyFont="1">
      <alignment vertical="center"/>
    </xf>
    <xf borderId="1" fillId="17" fontId="2" numFmtId="170" xfId="0" applyAlignment="1" applyBorder="1" applyFont="1" applyNumberFormat="1">
      <alignment vertical="center"/>
    </xf>
    <xf borderId="1" fillId="17" fontId="2" numFmtId="0" xfId="0" applyAlignment="1" applyBorder="1" applyFont="1">
      <alignment horizontal="center" vertical="center"/>
    </xf>
    <xf borderId="1" fillId="17" fontId="2" numFmtId="0" xfId="0" applyAlignment="1" applyBorder="1" applyFont="1">
      <alignment shrinkToFit="0" vertical="center" wrapText="1"/>
    </xf>
    <xf borderId="1" fillId="17" fontId="2" numFmtId="0" xfId="0" applyAlignment="1" applyBorder="1" applyFont="1">
      <alignment vertical="center"/>
    </xf>
    <xf borderId="81" fillId="17" fontId="4" numFmtId="189" xfId="0" applyAlignment="1" applyBorder="1" applyFont="1" applyNumberFormat="1">
      <alignment horizontal="center" vertical="center"/>
    </xf>
    <xf borderId="1" fillId="2" fontId="2" numFmtId="0" xfId="0" applyAlignment="1" applyBorder="1" applyFont="1">
      <alignment horizontal="center" readingOrder="0" vertical="center"/>
    </xf>
    <xf borderId="1" fillId="2" fontId="2" numFmtId="177" xfId="0" applyAlignment="1" applyBorder="1" applyFont="1" applyNumberFormat="1">
      <alignment horizontal="right" readingOrder="0" shrinkToFit="0" vertical="center" wrapText="1"/>
    </xf>
    <xf borderId="79" fillId="2" fontId="2" numFmtId="165" xfId="0" applyAlignment="1" applyBorder="1" applyFont="1" applyNumberFormat="1">
      <alignment horizontal="center" vertical="center"/>
    </xf>
    <xf borderId="79" fillId="2" fontId="2" numFmtId="165" xfId="0" applyAlignment="1" applyBorder="1" applyFont="1" applyNumberFormat="1">
      <alignment vertical="center"/>
    </xf>
    <xf borderId="81" fillId="2" fontId="2" numFmtId="165" xfId="0" applyAlignment="1" applyBorder="1" applyFont="1" applyNumberFormat="1">
      <alignment vertical="center"/>
    </xf>
    <xf borderId="1" fillId="2" fontId="11" numFmtId="165" xfId="0" applyAlignment="1" applyBorder="1" applyFont="1" applyNumberFormat="1">
      <alignment horizontal="center" vertical="center"/>
    </xf>
    <xf borderId="81" fillId="2" fontId="2" numFmtId="189" xfId="0" applyAlignment="1" applyBorder="1" applyFont="1" applyNumberFormat="1">
      <alignment vertical="center"/>
    </xf>
    <xf borderId="1" fillId="2" fontId="2" numFmtId="177" xfId="0" applyAlignment="1" applyBorder="1" applyFont="1" applyNumberFormat="1">
      <alignment shrinkToFit="0" vertical="center" wrapText="1"/>
    </xf>
    <xf borderId="81" fillId="2" fontId="2" numFmtId="165" xfId="0" applyAlignment="1" applyBorder="1" applyFont="1" applyNumberFormat="1">
      <alignment readingOrder="0" vertical="center"/>
    </xf>
    <xf borderId="1" fillId="8" fontId="2" numFmtId="165" xfId="0" applyAlignment="1" applyBorder="1" applyFont="1" applyNumberFormat="1">
      <alignment vertical="center"/>
    </xf>
    <xf borderId="1" fillId="8" fontId="2" numFmtId="10" xfId="0" applyAlignment="1" applyBorder="1" applyFont="1" applyNumberFormat="1">
      <alignment vertical="center"/>
    </xf>
    <xf borderId="1" fillId="8" fontId="6" numFmtId="165" xfId="0" applyAlignment="1" applyBorder="1" applyFont="1" applyNumberFormat="1">
      <alignment horizontal="center" vertical="center"/>
    </xf>
    <xf borderId="1" fillId="8" fontId="2" numFmtId="166" xfId="0" applyAlignment="1" applyBorder="1" applyFont="1" applyNumberFormat="1">
      <alignment vertical="center"/>
    </xf>
    <xf borderId="1" fillId="8" fontId="2" numFmtId="2" xfId="0" applyAlignment="1" applyBorder="1" applyFont="1" applyNumberFormat="1">
      <alignment vertical="center"/>
    </xf>
    <xf borderId="23" fillId="2" fontId="2" numFmtId="165" xfId="0" applyAlignment="1" applyBorder="1" applyFont="1" applyNumberFormat="1">
      <alignment horizontal="center" vertical="center"/>
    </xf>
    <xf borderId="23" fillId="2" fontId="2" numFmtId="165" xfId="0" applyAlignment="1" applyBorder="1" applyFont="1" applyNumberFormat="1">
      <alignment vertical="center"/>
    </xf>
    <xf borderId="1" fillId="2" fontId="26" numFmtId="165" xfId="0" applyAlignment="1" applyBorder="1" applyFont="1" applyNumberFormat="1">
      <alignment horizontal="center" vertical="center"/>
    </xf>
    <xf borderId="80" fillId="18" fontId="2" numFmtId="0" xfId="0" applyAlignment="1" applyBorder="1" applyFont="1">
      <alignment vertical="center"/>
    </xf>
    <xf borderId="1" fillId="18" fontId="2" numFmtId="170" xfId="0" applyAlignment="1" applyBorder="1" applyFont="1" applyNumberFormat="1">
      <alignment vertical="center"/>
    </xf>
    <xf borderId="1" fillId="18" fontId="2" numFmtId="0" xfId="0" applyAlignment="1" applyBorder="1" applyFont="1">
      <alignment horizontal="center" vertical="center"/>
    </xf>
    <xf borderId="1" fillId="18" fontId="2" numFmtId="0" xfId="0" applyAlignment="1" applyBorder="1" applyFont="1">
      <alignment shrinkToFit="0" vertical="center" wrapText="1"/>
    </xf>
    <xf borderId="1" fillId="18" fontId="2" numFmtId="0" xfId="0" applyAlignment="1" applyBorder="1" applyFont="1">
      <alignment vertical="center"/>
    </xf>
    <xf borderId="81" fillId="18" fontId="16" numFmtId="189" xfId="0" applyAlignment="1" applyBorder="1" applyFont="1" applyNumberFormat="1">
      <alignment horizontal="center" vertical="center"/>
    </xf>
    <xf borderId="1" fillId="18" fontId="2" numFmtId="2" xfId="0" applyAlignment="1" applyBorder="1" applyFont="1" applyNumberFormat="1">
      <alignment vertical="center"/>
    </xf>
    <xf borderId="79" fillId="2" fontId="2" numFmtId="0" xfId="0" applyAlignment="1" applyBorder="1" applyFont="1">
      <alignment vertical="center"/>
    </xf>
    <xf borderId="1" fillId="2" fontId="2" numFmtId="178" xfId="0" applyAlignment="1" applyBorder="1" applyFont="1" applyNumberFormat="1">
      <alignment vertical="center"/>
    </xf>
    <xf borderId="1" fillId="2" fontId="2" numFmtId="175" xfId="0" applyAlignment="1" applyBorder="1" applyFont="1" applyNumberFormat="1">
      <alignment horizontal="center" vertical="center"/>
    </xf>
    <xf borderId="83" fillId="3" fontId="4" numFmtId="165" xfId="0" applyAlignment="1" applyBorder="1" applyFont="1" applyNumberFormat="1">
      <alignment horizontal="center" vertical="center"/>
    </xf>
    <xf borderId="1" fillId="2" fontId="2" numFmtId="10" xfId="0" applyAlignment="1" applyBorder="1" applyFont="1" applyNumberFormat="1">
      <alignment vertical="center"/>
    </xf>
    <xf borderId="0" fillId="0" fontId="24" numFmtId="0" xfId="0" applyAlignment="1" applyFont="1">
      <alignment horizontal="center" readingOrder="0" shrinkToFit="0" vertical="center" wrapText="0"/>
    </xf>
    <xf borderId="81" fillId="17" fontId="18" numFmtId="189" xfId="0" applyAlignment="1" applyBorder="1" applyFont="1" applyNumberFormat="1">
      <alignment horizontal="center" vertical="center"/>
    </xf>
    <xf borderId="1" fillId="8" fontId="2" numFmtId="175" xfId="0" applyAlignment="1" applyBorder="1" applyFont="1" applyNumberFormat="1">
      <alignment horizontal="right" readingOrder="0" shrinkToFit="0" vertical="center" wrapText="1"/>
    </xf>
    <xf borderId="1" fillId="2" fontId="2" numFmtId="2" xfId="0" applyAlignment="1" applyBorder="1" applyFont="1" applyNumberFormat="1">
      <alignment horizontal="center" readingOrder="0" vertical="center"/>
    </xf>
    <xf borderId="31" fillId="0" fontId="4" numFmtId="166" xfId="0" applyAlignment="1" applyBorder="1" applyFont="1" applyNumberFormat="1">
      <alignment shrinkToFit="0" vertical="center" wrapText="1"/>
    </xf>
    <xf borderId="85" fillId="0" fontId="2" numFmtId="165" xfId="0" applyAlignment="1" applyBorder="1" applyFont="1" applyNumberFormat="1">
      <alignment vertical="center"/>
    </xf>
    <xf borderId="33" fillId="0" fontId="2" numFmtId="165" xfId="0" applyAlignment="1" applyBorder="1" applyFont="1" applyNumberFormat="1">
      <alignment horizontal="center" vertical="center"/>
    </xf>
    <xf borderId="41" fillId="0" fontId="2" numFmtId="166" xfId="0" applyAlignment="1" applyBorder="1" applyFont="1" applyNumberFormat="1">
      <alignment shrinkToFit="0" vertical="center" wrapText="1"/>
    </xf>
    <xf borderId="42" fillId="0" fontId="2" numFmtId="165" xfId="0" applyAlignment="1" applyBorder="1" applyFont="1" applyNumberFormat="1">
      <alignment horizontal="center" vertical="center"/>
    </xf>
    <xf borderId="42" fillId="0" fontId="2" numFmtId="9" xfId="0" applyAlignment="1" applyBorder="1" applyFont="1" applyNumberFormat="1">
      <alignment vertical="center"/>
    </xf>
    <xf borderId="42" fillId="0" fontId="2" numFmtId="165" xfId="0" applyAlignment="1" applyBorder="1" applyFont="1" applyNumberFormat="1">
      <alignment vertical="center"/>
    </xf>
    <xf borderId="86" fillId="0" fontId="2" numFmtId="165" xfId="0" applyAlignment="1" applyBorder="1" applyFont="1" applyNumberFormat="1">
      <alignment vertical="center"/>
    </xf>
    <xf borderId="43" fillId="0" fontId="2" numFmtId="165" xfId="0" applyAlignment="1" applyBorder="1" applyFont="1" applyNumberFormat="1">
      <alignment horizontal="center" vertical="center"/>
    </xf>
    <xf borderId="1" fillId="8" fontId="11" numFmtId="166" xfId="0" applyAlignment="1" applyBorder="1" applyFont="1" applyNumberFormat="1">
      <alignment horizontal="center" readingOrder="0" vertical="center"/>
    </xf>
    <xf borderId="1" fillId="8" fontId="11" numFmtId="2" xfId="0" applyAlignment="1" applyBorder="1" applyFont="1" applyNumberFormat="1">
      <alignment horizontal="center" readingOrder="0" vertical="center"/>
    </xf>
    <xf borderId="42" fillId="0" fontId="27" numFmtId="165" xfId="0" applyAlignment="1" applyBorder="1" applyFont="1" applyNumberFormat="1">
      <alignment horizontal="center" vertical="center"/>
    </xf>
    <xf borderId="42" fillId="2" fontId="2" numFmtId="9" xfId="0" applyAlignment="1" applyBorder="1" applyFont="1" applyNumberFormat="1">
      <alignment vertical="center"/>
    </xf>
    <xf borderId="87" fillId="0" fontId="4" numFmtId="166" xfId="0" applyAlignment="1" applyBorder="1" applyFont="1" applyNumberFormat="1">
      <alignment shrinkToFit="0" vertical="center" wrapText="1"/>
    </xf>
    <xf borderId="88" fillId="0" fontId="2" numFmtId="165" xfId="0" applyAlignment="1" applyBorder="1" applyFont="1" applyNumberFormat="1">
      <alignment horizontal="center" vertical="center"/>
    </xf>
    <xf borderId="90" fillId="2" fontId="2" numFmtId="165" xfId="0" applyAlignment="1" applyBorder="1" applyFont="1" applyNumberFormat="1">
      <alignment vertical="center"/>
    </xf>
    <xf borderId="91" fillId="2" fontId="4" numFmtId="165" xfId="0" applyAlignment="1" applyBorder="1" applyFont="1" applyNumberFormat="1">
      <alignment horizontal="center" vertical="center"/>
    </xf>
    <xf borderId="42" fillId="15" fontId="2" numFmtId="166" xfId="0" applyAlignment="1" applyBorder="1" applyFont="1" applyNumberFormat="1">
      <alignment horizontal="center" readingOrder="0" vertical="center"/>
    </xf>
    <xf borderId="42" fillId="15" fontId="2" numFmtId="2" xfId="0" applyAlignment="1" applyBorder="1" applyFont="1" applyNumberFormat="1">
      <alignment vertical="center"/>
    </xf>
    <xf borderId="1" fillId="2" fontId="2" numFmtId="165" xfId="0" applyAlignment="1" applyBorder="1" applyFont="1" applyNumberFormat="1">
      <alignment horizontal="center" readingOrder="0" vertical="center"/>
    </xf>
    <xf borderId="1" fillId="2" fontId="2" numFmtId="176" xfId="0" applyAlignment="1" applyBorder="1" applyFont="1" applyNumberFormat="1">
      <alignment shrinkToFit="0" vertical="center" wrapText="1"/>
    </xf>
    <xf borderId="1" fillId="8" fontId="2" numFmtId="166" xfId="0" applyAlignment="1" applyBorder="1" applyFont="1" applyNumberFormat="1">
      <alignment horizontal="center" readingOrder="0" vertical="center"/>
    </xf>
    <xf borderId="1" fillId="8" fontId="2" numFmtId="2" xfId="0" applyAlignment="1" applyBorder="1" applyFont="1" applyNumberFormat="1">
      <alignment horizontal="center" readingOrder="0" vertical="center"/>
    </xf>
    <xf borderId="1" fillId="2" fontId="11" numFmtId="165" xfId="0" applyAlignment="1" applyBorder="1" applyFont="1" applyNumberFormat="1">
      <alignment horizontal="right" shrinkToFit="0" vertical="center" wrapText="1"/>
    </xf>
    <xf borderId="31" fillId="2" fontId="2" numFmtId="165" xfId="0" applyAlignment="1" applyBorder="1" applyFont="1" applyNumberFormat="1">
      <alignment horizontal="center" vertical="center"/>
    </xf>
    <xf borderId="41" fillId="2" fontId="2" numFmtId="165" xfId="0" applyAlignment="1" applyBorder="1" applyFont="1" applyNumberFormat="1">
      <alignment horizontal="center" vertical="center"/>
    </xf>
    <xf borderId="1" fillId="2" fontId="2" numFmtId="166" xfId="0" applyAlignment="1" applyBorder="1" applyFont="1" applyNumberFormat="1">
      <alignment horizontal="right" readingOrder="0" vertical="center"/>
    </xf>
    <xf borderId="42" fillId="15" fontId="2" numFmtId="166" xfId="0" applyAlignment="1" applyBorder="1" applyFont="1" applyNumberFormat="1">
      <alignment vertical="center"/>
    </xf>
    <xf borderId="1" fillId="2" fontId="7" numFmtId="165" xfId="0" applyAlignment="1" applyBorder="1" applyFont="1" applyNumberFormat="1">
      <alignment horizontal="center" shrinkToFit="0" vertical="center" wrapText="1"/>
    </xf>
    <xf borderId="87" fillId="19" fontId="4" numFmtId="165" xfId="0" applyAlignment="1" applyBorder="1" applyFont="1" applyNumberFormat="1">
      <alignment horizontal="center" vertical="center"/>
    </xf>
    <xf borderId="41" fillId="2" fontId="2" numFmtId="9" xfId="0" applyAlignment="1" applyBorder="1" applyFont="1" applyNumberFormat="1">
      <alignment horizontal="right" readingOrder="0" vertical="center"/>
    </xf>
    <xf borderId="31" fillId="2" fontId="2" numFmtId="165" xfId="0" applyAlignment="1" applyBorder="1" applyFont="1" applyNumberFormat="1">
      <alignment shrinkToFit="0" vertical="center" wrapText="1"/>
    </xf>
    <xf borderId="0" fillId="10" fontId="2" numFmtId="166" xfId="0" applyAlignment="1" applyFont="1" applyNumberFormat="1">
      <alignment vertical="center"/>
    </xf>
    <xf borderId="42" fillId="10" fontId="2" numFmtId="166" xfId="0" applyAlignment="1" applyBorder="1" applyFont="1" applyNumberFormat="1">
      <alignment horizontal="center" vertical="center"/>
    </xf>
    <xf borderId="24" fillId="2" fontId="2" numFmtId="165" xfId="0" applyAlignment="1" applyBorder="1" applyFont="1" applyNumberFormat="1">
      <alignment shrinkToFit="0" vertical="center" wrapText="1"/>
    </xf>
    <xf borderId="92" fillId="2" fontId="2" numFmtId="166" xfId="0" applyAlignment="1" applyBorder="1" applyFont="1" applyNumberFormat="1">
      <alignment horizontal="center" vertical="center"/>
    </xf>
    <xf borderId="43" fillId="2" fontId="2" numFmtId="181" xfId="0" applyAlignment="1" applyBorder="1" applyFont="1" applyNumberFormat="1">
      <alignment vertical="center"/>
    </xf>
    <xf borderId="93" fillId="2" fontId="4" numFmtId="0" xfId="0" applyAlignment="1" applyBorder="1" applyFont="1">
      <alignment shrinkToFit="0" vertical="center" wrapText="1"/>
    </xf>
    <xf borderId="94" fillId="2" fontId="4" numFmtId="166" xfId="0" applyAlignment="1" applyBorder="1" applyFont="1" applyNumberFormat="1">
      <alignment horizontal="center" vertical="center"/>
    </xf>
    <xf borderId="104" fillId="2" fontId="2" numFmtId="0" xfId="0" applyAlignment="1" applyBorder="1" applyFont="1">
      <alignment horizontal="center" vertical="center"/>
    </xf>
    <xf borderId="104" fillId="2" fontId="2" numFmtId="166" xfId="0" applyAlignment="1" applyBorder="1" applyFont="1" applyNumberFormat="1">
      <alignment vertical="center"/>
    </xf>
    <xf borderId="104" fillId="2" fontId="4" numFmtId="0" xfId="0" applyAlignment="1" applyBorder="1" applyFont="1">
      <alignment shrinkToFit="0" vertical="center" wrapText="1"/>
    </xf>
    <xf borderId="103" fillId="2" fontId="2" numFmtId="165" xfId="0" applyAlignment="1" applyBorder="1" applyFont="1" applyNumberFormat="1">
      <alignment horizontal="center" vertical="center"/>
    </xf>
    <xf borderId="105" fillId="2" fontId="28" numFmtId="0" xfId="0" applyAlignment="1" applyBorder="1" applyFont="1">
      <alignment horizontal="center" readingOrder="0" vertical="center"/>
    </xf>
    <xf borderId="106" fillId="2" fontId="2" numFmtId="166" xfId="0" applyAlignment="1" applyBorder="1" applyFont="1" applyNumberFormat="1">
      <alignment vertical="center"/>
    </xf>
    <xf borderId="107" fillId="2" fontId="2" numFmtId="0" xfId="0" applyAlignment="1" applyBorder="1" applyFont="1">
      <alignment shrinkToFit="0" vertical="center" wrapText="1"/>
    </xf>
    <xf borderId="32" fillId="2" fontId="2" numFmtId="176" xfId="0" applyAlignment="1" applyBorder="1" applyFont="1" applyNumberFormat="1">
      <alignment vertical="center"/>
    </xf>
    <xf borderId="107" fillId="2" fontId="2" numFmtId="0" xfId="0" applyAlignment="1" applyBorder="1" applyFont="1">
      <alignment vertical="center"/>
    </xf>
    <xf borderId="103" fillId="2" fontId="2" numFmtId="165" xfId="0" applyAlignment="1" applyBorder="1" applyFont="1" applyNumberFormat="1">
      <alignment horizontal="center" shrinkToFit="0" vertical="center" wrapText="1"/>
    </xf>
    <xf borderId="108" fillId="2" fontId="2" numFmtId="0" xfId="0" applyAlignment="1" applyBorder="1" applyFont="1">
      <alignment horizontal="center" vertical="center"/>
    </xf>
    <xf borderId="109" fillId="2" fontId="2" numFmtId="166" xfId="0" applyAlignment="1" applyBorder="1" applyFont="1" applyNumberFormat="1">
      <alignment vertical="center"/>
    </xf>
    <xf borderId="88" fillId="2" fontId="2" numFmtId="0" xfId="0" applyAlignment="1" applyBorder="1" applyFont="1">
      <alignment horizontal="center" shrinkToFit="0" vertical="center" wrapText="1"/>
    </xf>
    <xf borderId="89" fillId="2" fontId="2" numFmtId="165" xfId="0" applyAlignment="1" applyBorder="1" applyFont="1" applyNumberFormat="1">
      <alignment horizontal="center" vertical="center"/>
    </xf>
    <xf borderId="89" fillId="2" fontId="12" numFmtId="165" xfId="0" applyAlignment="1" applyBorder="1" applyFont="1" applyNumberFormat="1">
      <alignment horizontal="center" shrinkToFit="0" vertical="center" wrapText="1"/>
    </xf>
    <xf borderId="88" fillId="2" fontId="2" numFmtId="0" xfId="0" applyAlignment="1" applyBorder="1" applyFont="1">
      <alignment vertical="center"/>
    </xf>
    <xf borderId="110" fillId="24" fontId="7" numFmtId="165" xfId="0" applyAlignment="1" applyBorder="1" applyFill="1" applyFont="1" applyNumberFormat="1">
      <alignment horizontal="center" readingOrder="0" shrinkToFit="0" vertical="center" wrapText="1"/>
    </xf>
    <xf borderId="111" fillId="0" fontId="7" numFmtId="165" xfId="0" applyAlignment="1" applyBorder="1" applyFont="1" applyNumberFormat="1">
      <alignment horizontal="center" vertical="center"/>
    </xf>
    <xf borderId="112" fillId="20" fontId="2" numFmtId="0" xfId="0" applyAlignment="1" applyBorder="1" applyFont="1">
      <alignment horizontal="right" shrinkToFit="0" vertical="center" wrapText="1"/>
    </xf>
    <xf borderId="96" fillId="20" fontId="2" numFmtId="165" xfId="0" applyAlignment="1" applyBorder="1" applyFont="1" applyNumberFormat="1">
      <alignment horizontal="center" shrinkToFit="0" vertical="center" wrapText="1"/>
    </xf>
    <xf borderId="96" fillId="20" fontId="2" numFmtId="166" xfId="0" applyAlignment="1" applyBorder="1" applyFont="1" applyNumberFormat="1">
      <alignment vertical="center"/>
    </xf>
    <xf borderId="97" fillId="8" fontId="2" numFmtId="166" xfId="0" applyAlignment="1" applyBorder="1" applyFont="1" applyNumberFormat="1">
      <alignment vertical="center"/>
    </xf>
    <xf borderId="96" fillId="20" fontId="2" numFmtId="165" xfId="0" applyAlignment="1" applyBorder="1" applyFont="1" applyNumberFormat="1">
      <alignment vertical="center"/>
    </xf>
    <xf borderId="113" fillId="24" fontId="7" numFmtId="165" xfId="0" applyAlignment="1" applyBorder="1" applyFont="1" applyNumberFormat="1">
      <alignment horizontal="center" readingOrder="0" shrinkToFit="0" vertical="center" wrapText="1"/>
    </xf>
    <xf borderId="114" fillId="0" fontId="7" numFmtId="165" xfId="0" applyAlignment="1" applyBorder="1" applyFont="1" applyNumberFormat="1">
      <alignment horizontal="center" vertical="center"/>
    </xf>
    <xf borderId="42" fillId="21" fontId="2" numFmtId="165" xfId="0" applyAlignment="1" applyBorder="1" applyFont="1" applyNumberFormat="1">
      <alignment vertical="center"/>
    </xf>
    <xf borderId="42" fillId="21" fontId="6" numFmtId="165" xfId="0" applyAlignment="1" applyBorder="1" applyFont="1" applyNumberFormat="1">
      <alignment horizontal="center" shrinkToFit="0" vertical="center" wrapText="1"/>
    </xf>
    <xf borderId="98" fillId="20" fontId="2" numFmtId="165" xfId="0" applyAlignment="1" applyBorder="1" applyFont="1" applyNumberFormat="1">
      <alignment vertical="center"/>
    </xf>
    <xf borderId="115" fillId="2" fontId="2" numFmtId="0" xfId="0" applyAlignment="1" applyBorder="1" applyFont="1">
      <alignment horizontal="center" vertical="center"/>
    </xf>
    <xf borderId="116" fillId="0" fontId="2" numFmtId="0" xfId="0" applyAlignment="1" applyBorder="1" applyFont="1">
      <alignment horizontal="center" vertical="center"/>
    </xf>
    <xf borderId="59" fillId="21" fontId="2" numFmtId="0" xfId="0" applyAlignment="1" applyBorder="1" applyFont="1">
      <alignment horizontal="right" shrinkToFit="0" vertical="center" wrapText="1"/>
    </xf>
    <xf borderId="42" fillId="21" fontId="2" numFmtId="165" xfId="0" applyAlignment="1" applyBorder="1" applyFont="1" applyNumberFormat="1">
      <alignment horizontal="center" readingOrder="0" shrinkToFit="0" vertical="center" wrapText="1"/>
    </xf>
    <xf borderId="42" fillId="21" fontId="12" numFmtId="165" xfId="0" applyAlignment="1" applyBorder="1" applyFont="1" applyNumberFormat="1">
      <alignment horizontal="center" shrinkToFit="0" vertical="center" wrapText="1"/>
    </xf>
    <xf borderId="42" fillId="21" fontId="2" numFmtId="165" xfId="0" applyAlignment="1" applyBorder="1" applyFont="1" applyNumberFormat="1">
      <alignment horizontal="center" shrinkToFit="0" vertical="center" wrapText="1"/>
    </xf>
    <xf borderId="117" fillId="0" fontId="29" numFmtId="0" xfId="0" applyAlignment="1" applyBorder="1" applyFont="1">
      <alignment horizontal="center" vertical="center"/>
    </xf>
    <xf borderId="118" fillId="0" fontId="2" numFmtId="0" xfId="0" applyAlignment="1" applyBorder="1" applyFont="1">
      <alignment horizontal="center" vertical="center"/>
    </xf>
    <xf borderId="42" fillId="21" fontId="2" numFmtId="166" xfId="0" applyAlignment="1" applyBorder="1" applyFont="1" applyNumberFormat="1">
      <alignment vertical="center"/>
    </xf>
    <xf borderId="42" fillId="21" fontId="2" numFmtId="176" xfId="0" applyAlignment="1" applyBorder="1" applyFont="1" applyNumberFormat="1">
      <alignment vertical="center"/>
    </xf>
    <xf borderId="110" fillId="2" fontId="2" numFmtId="49" xfId="0" applyAlignment="1" applyBorder="1" applyFont="1" applyNumberFormat="1">
      <alignment horizontal="center" vertical="center"/>
    </xf>
    <xf borderId="111" fillId="20" fontId="2" numFmtId="0" xfId="0" applyAlignment="1" applyBorder="1" applyFont="1">
      <alignment horizontal="right" shrinkToFit="0" vertical="center" wrapText="1"/>
    </xf>
    <xf borderId="115" fillId="2" fontId="2" numFmtId="49" xfId="0" applyAlignment="1" applyBorder="1" applyFont="1" applyNumberFormat="1">
      <alignment horizontal="center" vertical="center"/>
    </xf>
    <xf borderId="119" fillId="20" fontId="2" numFmtId="0" xfId="0" applyAlignment="1" applyBorder="1" applyFont="1">
      <alignment horizontal="right" shrinkToFit="0" vertical="center" wrapText="1"/>
    </xf>
    <xf borderId="116" fillId="20" fontId="2" numFmtId="0" xfId="0" applyAlignment="1" applyBorder="1" applyFont="1">
      <alignment horizontal="right" shrinkToFit="0" vertical="center" wrapText="1"/>
    </xf>
    <xf borderId="59" fillId="21" fontId="2" numFmtId="0" xfId="0" applyAlignment="1" applyBorder="1" applyFont="1">
      <alignment horizontal="right" readingOrder="0" shrinkToFit="0" vertical="center" wrapText="1"/>
    </xf>
    <xf borderId="120" fillId="20" fontId="2" numFmtId="0" xfId="0" applyAlignment="1" applyBorder="1" applyFont="1">
      <alignment horizontal="right" shrinkToFit="0" vertical="center" wrapText="1"/>
    </xf>
    <xf borderId="1" fillId="18" fontId="2" numFmtId="175" xfId="0" applyAlignment="1" applyBorder="1" applyFont="1" applyNumberFormat="1">
      <alignment horizontal="center" readingOrder="0" shrinkToFit="0" vertical="center" wrapText="1"/>
    </xf>
    <xf borderId="42" fillId="21" fontId="2" numFmtId="165" xfId="0" applyAlignment="1" applyBorder="1" applyFont="1" applyNumberFormat="1">
      <alignment horizontal="center" readingOrder="0" vertical="center"/>
    </xf>
    <xf borderId="79" fillId="18" fontId="2" numFmtId="0" xfId="0" applyAlignment="1" applyBorder="1" applyFont="1">
      <alignment vertical="center"/>
    </xf>
    <xf borderId="0" fillId="2" fontId="28" numFmtId="166" xfId="0" applyAlignment="1" applyFont="1" applyNumberFormat="1">
      <alignment horizontal="center" readingOrder="0" vertical="center"/>
    </xf>
    <xf borderId="1" fillId="18" fontId="2" numFmtId="165" xfId="0" applyAlignment="1" applyBorder="1" applyFont="1" applyNumberFormat="1">
      <alignment horizontal="center" readingOrder="0" vertical="center"/>
    </xf>
    <xf borderId="1" fillId="18" fontId="2" numFmtId="182" xfId="0" applyAlignment="1" applyBorder="1" applyFont="1" applyNumberFormat="1">
      <alignment horizontal="center" readingOrder="0" vertical="center"/>
    </xf>
    <xf borderId="103" fillId="2" fontId="2" numFmtId="165" xfId="0" applyAlignment="1" applyBorder="1" applyFont="1" applyNumberFormat="1">
      <alignment vertical="center"/>
    </xf>
    <xf borderId="1" fillId="2" fontId="2" numFmtId="2" xfId="0" applyAlignment="1" applyBorder="1" applyFont="1" applyNumberFormat="1">
      <alignment readingOrder="0" vertical="center"/>
    </xf>
    <xf borderId="79" fillId="18" fontId="16" numFmtId="0" xfId="0" applyAlignment="1" applyBorder="1" applyFont="1">
      <alignment readingOrder="0" shrinkToFit="0" vertical="center" wrapText="1"/>
    </xf>
    <xf borderId="1" fillId="18" fontId="2" numFmtId="166" xfId="0" applyAlignment="1" applyBorder="1" applyFont="1" applyNumberFormat="1">
      <alignment horizontal="center" readingOrder="0" vertical="center"/>
    </xf>
    <xf borderId="1" fillId="18" fontId="2" numFmtId="175" xfId="0" applyAlignment="1" applyBorder="1" applyFont="1" applyNumberFormat="1">
      <alignment horizontal="center" readingOrder="0" vertical="center"/>
    </xf>
    <xf borderId="41" fillId="21" fontId="2" numFmtId="0" xfId="0" applyAlignment="1" applyBorder="1" applyFont="1">
      <alignment vertical="center"/>
    </xf>
    <xf borderId="121" fillId="20" fontId="2" numFmtId="0" xfId="0" applyAlignment="1" applyBorder="1" applyFont="1">
      <alignment horizontal="right" shrinkToFit="0" vertical="center" wrapText="1"/>
    </xf>
    <xf borderId="41" fillId="21" fontId="2" numFmtId="165" xfId="0" applyAlignment="1" applyBorder="1" applyFont="1" applyNumberFormat="1">
      <alignment vertical="center"/>
    </xf>
    <xf borderId="117" fillId="2" fontId="2" numFmtId="165" xfId="0" applyAlignment="1" applyBorder="1" applyFont="1" applyNumberFormat="1">
      <alignment vertical="center"/>
    </xf>
    <xf borderId="118" fillId="2" fontId="2" numFmtId="165" xfId="0" applyAlignment="1" applyBorder="1" applyFont="1" applyNumberFormat="1">
      <alignment vertical="center"/>
    </xf>
    <xf borderId="59" fillId="2" fontId="2" numFmtId="165" xfId="0" applyAlignment="1" applyBorder="1" applyFont="1" applyNumberFormat="1">
      <alignment vertical="center"/>
    </xf>
    <xf borderId="101" fillId="2" fontId="2" numFmtId="166" xfId="0" applyAlignment="1" applyBorder="1" applyFont="1" applyNumberFormat="1">
      <alignment vertical="center"/>
    </xf>
    <xf borderId="31" fillId="10" fontId="2" numFmtId="184" xfId="0" applyAlignment="1" applyBorder="1" applyFont="1" applyNumberFormat="1">
      <alignment vertical="center"/>
    </xf>
    <xf borderId="69" fillId="2" fontId="2" numFmtId="165" xfId="0" applyAlignment="1" applyBorder="1" applyFont="1" applyNumberFormat="1">
      <alignment vertical="center"/>
    </xf>
    <xf borderId="1" fillId="18" fontId="2" numFmtId="166" xfId="0" applyAlignment="1" applyBorder="1" applyFont="1" applyNumberFormat="1">
      <alignment vertical="center"/>
    </xf>
    <xf borderId="81" fillId="18" fontId="2" numFmtId="189" xfId="0" applyAlignment="1" applyBorder="1" applyFont="1" applyNumberFormat="1">
      <alignment vertical="center"/>
    </xf>
    <xf borderId="79" fillId="2" fontId="4" numFmtId="0" xfId="0" applyAlignment="1" applyBorder="1" applyFont="1">
      <alignment readingOrder="0" shrinkToFit="0" vertical="center" wrapText="1"/>
    </xf>
    <xf borderId="1" fillId="18" fontId="2" numFmtId="175" xfId="0" applyAlignment="1" applyBorder="1" applyFont="1" applyNumberFormat="1">
      <alignment vertical="center"/>
    </xf>
    <xf borderId="42" fillId="21" fontId="2" numFmtId="165" xfId="0" applyAlignment="1" applyBorder="1" applyFont="1" applyNumberFormat="1">
      <alignment horizontal="center" vertical="center"/>
    </xf>
    <xf borderId="79" fillId="18" fontId="2" numFmtId="10" xfId="0" applyAlignment="1" applyBorder="1" applyFont="1" applyNumberFormat="1">
      <alignment vertical="center"/>
    </xf>
    <xf borderId="80" fillId="18" fontId="2" numFmtId="10" xfId="0" applyAlignment="1" applyBorder="1" applyFont="1" applyNumberFormat="1">
      <alignment vertical="center"/>
    </xf>
    <xf borderId="1" fillId="18" fontId="2" numFmtId="10" xfId="0" applyAlignment="1" applyBorder="1" applyFont="1" applyNumberFormat="1">
      <alignment horizontal="center" vertical="center"/>
    </xf>
    <xf borderId="1" fillId="18" fontId="2" numFmtId="10" xfId="0" applyAlignment="1" applyBorder="1" applyFont="1" applyNumberFormat="1">
      <alignment shrinkToFit="0" vertical="center" wrapText="1"/>
    </xf>
    <xf borderId="1" fillId="18" fontId="2" numFmtId="10" xfId="0" applyAlignment="1" applyBorder="1" applyFont="1" applyNumberFormat="1">
      <alignment vertical="center"/>
    </xf>
    <xf borderId="80" fillId="17" fontId="2" numFmtId="0" xfId="0" applyAlignment="1" applyBorder="1" applyFont="1">
      <alignment horizontal="center" readingOrder="0" shrinkToFit="0" vertical="center" wrapText="1"/>
    </xf>
    <xf borderId="1" fillId="17" fontId="2" numFmtId="170" xfId="0" applyAlignment="1" applyBorder="1" applyFont="1" applyNumberFormat="1">
      <alignment horizontal="center" readingOrder="0" shrinkToFit="0" vertical="center" wrapText="1"/>
    </xf>
    <xf borderId="1" fillId="17" fontId="2" numFmtId="0" xfId="0" applyAlignment="1" applyBorder="1" applyFont="1">
      <alignment horizontal="center" readingOrder="0" shrinkToFit="0" vertical="center" wrapText="1"/>
    </xf>
    <xf borderId="1" fillId="17" fontId="2" numFmtId="165" xfId="0" applyAlignment="1" applyBorder="1" applyFont="1" applyNumberFormat="1">
      <alignment shrinkToFit="0" vertical="center" wrapText="1"/>
    </xf>
    <xf borderId="1" fillId="17" fontId="2" numFmtId="176" xfId="0" applyAlignment="1" applyBorder="1" applyFont="1" applyNumberFormat="1">
      <alignment horizontal="center" shrinkToFit="0" vertical="center" wrapText="1"/>
    </xf>
    <xf borderId="1" fillId="17" fontId="2" numFmtId="2" xfId="0" applyAlignment="1" applyBorder="1" applyFont="1" applyNumberFormat="1">
      <alignment shrinkToFit="0" vertical="center" wrapText="1"/>
    </xf>
    <xf borderId="1" fillId="17" fontId="16" numFmtId="2" xfId="0" applyAlignment="1" applyBorder="1" applyFont="1" applyNumberFormat="1">
      <alignment horizontal="center" shrinkToFit="0" vertical="center" wrapText="1"/>
    </xf>
    <xf borderId="81" fillId="17" fontId="18" numFmtId="189" xfId="0" applyAlignment="1" applyBorder="1" applyFont="1" applyNumberFormat="1">
      <alignment horizontal="center" shrinkToFit="0" vertical="center" wrapText="1"/>
    </xf>
    <xf borderId="103" fillId="2" fontId="2" numFmtId="0" xfId="0" applyAlignment="1" applyBorder="1" applyFont="1">
      <alignment shrinkToFit="0" vertical="center" wrapText="1"/>
    </xf>
    <xf borderId="115" fillId="2" fontId="2" numFmtId="49" xfId="0" applyAlignment="1" applyBorder="1" applyFont="1" applyNumberFormat="1">
      <alignment horizontal="center" shrinkToFit="0" vertical="center" wrapText="1"/>
    </xf>
    <xf borderId="69" fillId="2" fontId="2" numFmtId="165" xfId="0" applyAlignment="1" applyBorder="1" applyFont="1" applyNumberFormat="1">
      <alignment shrinkToFit="0" vertical="center" wrapText="1"/>
    </xf>
    <xf borderId="1" fillId="2" fontId="2" numFmtId="166" xfId="0" applyAlignment="1" applyBorder="1" applyFont="1" applyNumberFormat="1">
      <alignment shrinkToFit="0" vertical="center" wrapText="1"/>
    </xf>
    <xf borderId="31" fillId="10" fontId="22" numFmtId="184" xfId="0" applyAlignment="1" applyBorder="1" applyFont="1" applyNumberFormat="1">
      <alignment horizontal="center" shrinkToFit="0" vertical="center" wrapText="1"/>
    </xf>
    <xf borderId="32" fillId="10" fontId="12" numFmtId="166" xfId="0" applyAlignment="1" applyBorder="1" applyFont="1" applyNumberFormat="1">
      <alignment horizontal="center" shrinkToFit="0" vertical="center" wrapText="1"/>
    </xf>
    <xf borderId="33" fillId="10" fontId="12" numFmtId="176" xfId="0" applyAlignment="1" applyBorder="1" applyFont="1" applyNumberFormat="1">
      <alignment horizontal="center" shrinkToFit="0" vertical="center" wrapText="1"/>
    </xf>
    <xf borderId="0" fillId="2" fontId="2" numFmtId="165" xfId="0" applyAlignment="1" applyFont="1" applyNumberFormat="1">
      <alignment shrinkToFit="0" vertical="center" wrapText="1"/>
    </xf>
    <xf borderId="79" fillId="18" fontId="16" numFmtId="0" xfId="0" applyAlignment="1" applyBorder="1" applyFont="1">
      <alignment shrinkToFit="0" vertical="center" wrapText="1"/>
    </xf>
    <xf borderId="80" fillId="18" fontId="2" numFmtId="0" xfId="0" applyAlignment="1" applyBorder="1" applyFont="1">
      <alignment vertical="center"/>
    </xf>
    <xf borderId="1" fillId="18" fontId="2" numFmtId="0" xfId="0" applyAlignment="1" applyBorder="1" applyFont="1">
      <alignment horizontal="center" vertical="center"/>
    </xf>
    <xf borderId="1" fillId="18" fontId="2" numFmtId="0" xfId="0" applyAlignment="1" applyBorder="1" applyFont="1">
      <alignment shrinkToFit="0" vertical="center" wrapText="1"/>
    </xf>
    <xf borderId="1" fillId="18" fontId="2" numFmtId="0" xfId="0" applyAlignment="1" applyBorder="1" applyFont="1">
      <alignment vertical="center"/>
    </xf>
    <xf borderId="118" fillId="0" fontId="2" numFmtId="165" xfId="0" applyAlignment="1" applyBorder="1" applyFont="1" applyNumberFormat="1">
      <alignment vertical="center"/>
    </xf>
    <xf borderId="80" fillId="18" fontId="2" numFmtId="176" xfId="0" applyAlignment="1" applyBorder="1" applyFont="1" applyNumberFormat="1">
      <alignment vertical="center"/>
    </xf>
    <xf borderId="1" fillId="18" fontId="2" numFmtId="176" xfId="0" applyAlignment="1" applyBorder="1" applyFont="1" applyNumberFormat="1">
      <alignment horizontal="center" vertical="center"/>
    </xf>
    <xf borderId="1" fillId="18" fontId="2" numFmtId="176" xfId="0" applyAlignment="1" applyBorder="1" applyFont="1" applyNumberFormat="1">
      <alignment shrinkToFit="0" vertical="center" wrapText="1"/>
    </xf>
    <xf borderId="1" fillId="18" fontId="2" numFmtId="176" xfId="0" applyAlignment="1" applyBorder="1" applyFont="1" applyNumberFormat="1">
      <alignment vertical="center"/>
    </xf>
    <xf borderId="79" fillId="18" fontId="2" numFmtId="176" xfId="0" applyAlignment="1" applyBorder="1" applyFont="1" applyNumberFormat="1">
      <alignment vertical="center"/>
    </xf>
    <xf borderId="1" fillId="18" fontId="2" numFmtId="166" xfId="0" applyAlignment="1" applyBorder="1" applyFont="1" applyNumberFormat="1">
      <alignment shrinkToFit="0" vertical="center" wrapText="1"/>
    </xf>
    <xf borderId="79" fillId="18" fontId="2" numFmtId="0" xfId="0" applyAlignment="1" applyBorder="1" applyFont="1">
      <alignment vertical="center"/>
    </xf>
    <xf borderId="1" fillId="18" fontId="2" numFmtId="165" xfId="0" applyAlignment="1" applyBorder="1" applyFont="1" applyNumberFormat="1">
      <alignment vertical="center"/>
    </xf>
    <xf borderId="1" fillId="8" fontId="2" numFmtId="189" xfId="0" applyAlignment="1" applyBorder="1" applyFont="1" applyNumberFormat="1">
      <alignment vertical="center"/>
    </xf>
    <xf borderId="99" fillId="10" fontId="2" numFmtId="176" xfId="0" applyAlignment="1" applyBorder="1" applyFont="1" applyNumberFormat="1">
      <alignment vertical="center"/>
    </xf>
    <xf borderId="100" fillId="10" fontId="2" numFmtId="170" xfId="0" applyAlignment="1" applyBorder="1" applyFont="1" applyNumberFormat="1">
      <alignment vertical="center"/>
    </xf>
    <xf borderId="100" fillId="10" fontId="2" numFmtId="166" xfId="0" applyAlignment="1" applyBorder="1" applyFont="1" applyNumberFormat="1">
      <alignment horizontal="center" vertical="center"/>
    </xf>
    <xf borderId="100" fillId="10" fontId="2" numFmtId="166" xfId="0" applyAlignment="1" applyBorder="1" applyFont="1" applyNumberFormat="1">
      <alignment shrinkToFit="0" vertical="center" wrapText="1"/>
    </xf>
    <xf borderId="100" fillId="10" fontId="2" numFmtId="166" xfId="0" applyAlignment="1" applyBorder="1" applyFont="1" applyNumberFormat="1">
      <alignment vertical="center"/>
    </xf>
    <xf borderId="100" fillId="10" fontId="2" numFmtId="165" xfId="0" applyAlignment="1" applyBorder="1" applyFont="1" applyNumberFormat="1">
      <alignment vertical="center"/>
    </xf>
    <xf borderId="100" fillId="10" fontId="2" numFmtId="10" xfId="0" applyAlignment="1" applyBorder="1" applyFont="1" applyNumberFormat="1">
      <alignment vertical="center"/>
    </xf>
    <xf borderId="100" fillId="10" fontId="2" numFmtId="176" xfId="0" applyAlignment="1" applyBorder="1" applyFont="1" applyNumberFormat="1">
      <alignment horizontal="center" vertical="center"/>
    </xf>
    <xf borderId="100" fillId="10" fontId="2" numFmtId="2" xfId="0" applyAlignment="1" applyBorder="1" applyFont="1" applyNumberFormat="1">
      <alignment vertical="center"/>
    </xf>
    <xf borderId="74" fillId="10" fontId="4" numFmtId="189" xfId="0" applyAlignment="1" applyBorder="1" applyFont="1" applyNumberFormat="1">
      <alignment horizontal="center" shrinkToFit="0" vertical="center" wrapText="1"/>
    </xf>
    <xf borderId="42" fillId="21" fontId="2" numFmtId="0" xfId="0" applyAlignment="1" applyBorder="1" applyFont="1">
      <alignment vertical="center"/>
    </xf>
    <xf borderId="42" fillId="18" fontId="2" numFmtId="0" xfId="0" applyAlignment="1" applyBorder="1" applyFont="1">
      <alignment horizontal="center" vertical="center"/>
    </xf>
    <xf borderId="42" fillId="21" fontId="12" numFmtId="166" xfId="0" applyAlignment="1" applyBorder="1" applyFont="1" applyNumberFormat="1">
      <alignment horizontal="center" shrinkToFit="0" vertical="center" wrapText="1"/>
    </xf>
    <xf borderId="42" fillId="21" fontId="2" numFmtId="176" xfId="0" applyAlignment="1" applyBorder="1" applyFont="1" applyNumberFormat="1">
      <alignment horizontal="center" shrinkToFit="0" vertical="center" wrapText="1"/>
    </xf>
    <xf borderId="42" fillId="2" fontId="2" numFmtId="176" xfId="0" applyAlignment="1" applyBorder="1" applyFont="1" applyNumberFormat="1">
      <alignment vertical="center"/>
    </xf>
    <xf borderId="42" fillId="18" fontId="2" numFmtId="165" xfId="0" applyAlignment="1" applyBorder="1" applyFont="1" applyNumberFormat="1">
      <alignment horizontal="center" vertical="center"/>
    </xf>
    <xf borderId="0" fillId="0" fontId="2" numFmtId="165" xfId="0" applyAlignment="1" applyFont="1" applyNumberFormat="1">
      <alignment vertical="center"/>
    </xf>
    <xf borderId="42" fillId="10" fontId="2" numFmtId="0" xfId="0" applyAlignment="1" applyBorder="1" applyFont="1">
      <alignment vertical="center"/>
    </xf>
    <xf borderId="42" fillId="10" fontId="2" numFmtId="170" xfId="0" applyAlignment="1" applyBorder="1" applyFont="1" applyNumberFormat="1">
      <alignment vertical="center"/>
    </xf>
    <xf borderId="42" fillId="10" fontId="2" numFmtId="0" xfId="0" applyAlignment="1" applyBorder="1" applyFont="1">
      <alignment horizontal="center" vertical="center"/>
    </xf>
    <xf borderId="42" fillId="10" fontId="2" numFmtId="0" xfId="0" applyAlignment="1" applyBorder="1" applyFont="1">
      <alignment shrinkToFit="0" vertical="center" wrapText="1"/>
    </xf>
    <xf borderId="42" fillId="10" fontId="2" numFmtId="165" xfId="0" applyAlignment="1" applyBorder="1" applyFont="1" applyNumberFormat="1">
      <alignment vertical="center"/>
    </xf>
    <xf borderId="42" fillId="10" fontId="2" numFmtId="165" xfId="0" applyAlignment="1" applyBorder="1" applyFont="1" applyNumberFormat="1">
      <alignment horizontal="center" vertical="center"/>
    </xf>
    <xf borderId="42" fillId="2" fontId="8" numFmtId="10" xfId="0" applyAlignment="1" applyBorder="1" applyFont="1" applyNumberFormat="1">
      <alignment horizontal="right" readingOrder="0" shrinkToFit="0" vertical="center" wrapText="1"/>
    </xf>
    <xf borderId="42" fillId="2" fontId="2" numFmtId="10" xfId="0" applyAlignment="1" applyBorder="1" applyFont="1" applyNumberFormat="1">
      <alignment vertical="center"/>
    </xf>
    <xf borderId="42" fillId="2" fontId="2" numFmtId="10" xfId="0" applyAlignment="1" applyBorder="1" applyFont="1" applyNumberFormat="1">
      <alignment horizontal="center" vertical="center"/>
    </xf>
    <xf borderId="42" fillId="2" fontId="2" numFmtId="10" xfId="0" applyAlignment="1" applyBorder="1" applyFont="1" applyNumberFormat="1">
      <alignment shrinkToFit="0" vertical="center" wrapText="1"/>
    </xf>
    <xf borderId="42" fillId="8" fontId="2" numFmtId="0" xfId="0" applyAlignment="1" applyBorder="1" applyFont="1">
      <alignment vertical="center"/>
    </xf>
    <xf borderId="42" fillId="8" fontId="2" numFmtId="170" xfId="0" applyAlignment="1" applyBorder="1" applyFont="1" applyNumberFormat="1">
      <alignment vertical="center"/>
    </xf>
    <xf borderId="42" fillId="8" fontId="2" numFmtId="0" xfId="0" applyAlignment="1" applyBorder="1" applyFont="1">
      <alignment horizontal="center" vertical="center"/>
    </xf>
    <xf borderId="42" fillId="8" fontId="2" numFmtId="0" xfId="0" applyAlignment="1" applyBorder="1" applyFont="1">
      <alignment shrinkToFit="0" vertical="center" wrapText="1"/>
    </xf>
    <xf borderId="42" fillId="2" fontId="2" numFmtId="176" xfId="0" applyAlignment="1" applyBorder="1" applyFont="1" applyNumberFormat="1">
      <alignment horizontal="center" vertical="center"/>
    </xf>
    <xf borderId="42" fillId="2" fontId="2" numFmtId="176" xfId="0" applyAlignment="1" applyBorder="1" applyFont="1" applyNumberFormat="1">
      <alignment shrinkToFit="0" vertical="center" wrapText="1"/>
    </xf>
    <xf borderId="42" fillId="2" fontId="2" numFmtId="166" xfId="0" applyAlignment="1" applyBorder="1" applyFont="1" applyNumberFormat="1">
      <alignment horizontal="center" vertical="center"/>
    </xf>
    <xf borderId="42" fillId="2" fontId="2" numFmtId="166" xfId="0" applyAlignment="1" applyBorder="1" applyFont="1" applyNumberFormat="1">
      <alignment shrinkToFit="0" vertical="center" wrapText="1"/>
    </xf>
    <xf borderId="42" fillId="23" fontId="2" numFmtId="166" xfId="0" applyAlignment="1" applyBorder="1" applyFont="1" applyNumberFormat="1">
      <alignment vertical="center"/>
    </xf>
    <xf borderId="42" fillId="23" fontId="2" numFmtId="170" xfId="0" applyAlignment="1" applyBorder="1" applyFont="1" applyNumberFormat="1">
      <alignment vertical="center"/>
    </xf>
    <xf borderId="42" fillId="23" fontId="2" numFmtId="166" xfId="0" applyAlignment="1" applyBorder="1" applyFont="1" applyNumberFormat="1">
      <alignment horizontal="center" vertical="center"/>
    </xf>
    <xf borderId="42" fillId="23" fontId="2" numFmtId="166" xfId="0" applyAlignment="1" applyBorder="1" applyFont="1" applyNumberFormat="1">
      <alignment shrinkToFit="0" vertical="center" wrapText="1"/>
    </xf>
    <xf borderId="86" fillId="21" fontId="12" numFmtId="165" xfId="0" applyAlignment="1" applyBorder="1" applyFont="1" applyNumberFormat="1">
      <alignment horizontal="center" shrinkToFit="0" vertical="center" wrapText="1"/>
    </xf>
    <xf borderId="112" fillId="20" fontId="2" numFmtId="0" xfId="0" applyAlignment="1" applyBorder="1" applyFont="1">
      <alignment horizontal="right" readingOrder="0" shrinkToFit="0" vertical="center" wrapText="1"/>
    </xf>
    <xf borderId="97" fillId="8" fontId="2" numFmtId="166" xfId="0" applyAlignment="1" applyBorder="1" applyFont="1" applyNumberFormat="1">
      <alignment readingOrder="0" vertical="center"/>
    </xf>
    <xf borderId="122" fillId="2" fontId="2" numFmtId="9" xfId="0" applyAlignment="1" applyBorder="1" applyFont="1" applyNumberFormat="1">
      <alignment horizontal="center" vertical="center"/>
    </xf>
    <xf borderId="123" fillId="2" fontId="2" numFmtId="9" xfId="0" applyAlignment="1" applyBorder="1" applyFont="1" applyNumberFormat="1">
      <alignment vertical="center"/>
    </xf>
    <xf borderId="124" fillId="2" fontId="2" numFmtId="165" xfId="0" applyAlignment="1" applyBorder="1" applyFont="1" applyNumberFormat="1">
      <alignment shrinkToFit="0" vertical="center" wrapText="1"/>
    </xf>
    <xf borderId="125" fillId="2" fontId="2" numFmtId="165" xfId="0" applyAlignment="1" applyBorder="1" applyFont="1" applyNumberFormat="1">
      <alignment horizontal="center" vertical="center"/>
    </xf>
    <xf borderId="125" fillId="2" fontId="2" numFmtId="166" xfId="0" applyAlignment="1" applyBorder="1" applyFont="1" applyNumberFormat="1">
      <alignment vertical="center"/>
    </xf>
    <xf borderId="125" fillId="10" fontId="2" numFmtId="166" xfId="0" applyAlignment="1" applyBorder="1" applyFont="1" applyNumberFormat="1">
      <alignment horizontal="center" shrinkToFit="0" vertical="center" wrapText="1"/>
    </xf>
    <xf borderId="125" fillId="2" fontId="2" numFmtId="165" xfId="0" applyAlignment="1" applyBorder="1" applyFont="1" applyNumberFormat="1">
      <alignment vertical="center"/>
    </xf>
    <xf borderId="126" fillId="2" fontId="2" numFmtId="166" xfId="0" applyAlignment="1" applyBorder="1" applyFont="1" applyNumberFormat="1">
      <alignment vertical="center"/>
    </xf>
    <xf borderId="127" fillId="10" fontId="22" numFmtId="184" xfId="0" applyAlignment="1" applyBorder="1" applyFont="1" applyNumberFormat="1">
      <alignment horizontal="center" vertical="center"/>
    </xf>
    <xf borderId="128" fillId="10" fontId="12" numFmtId="166" xfId="0" applyAlignment="1" applyBorder="1" applyFont="1" applyNumberFormat="1">
      <alignment horizontal="center" vertical="center"/>
    </xf>
    <xf borderId="129" fillId="10" fontId="12" numFmtId="176" xfId="0" applyAlignment="1" applyBorder="1" applyFont="1" applyNumberFormat="1">
      <alignment horizontal="center" vertical="center"/>
    </xf>
    <xf borderId="130" fillId="2" fontId="2" numFmtId="165" xfId="0" applyAlignment="1" applyBorder="1" applyFont="1" applyNumberFormat="1">
      <alignment horizontal="center" shrinkToFit="0" vertical="center" wrapText="1"/>
    </xf>
    <xf borderId="69" fillId="2" fontId="2" numFmtId="9" xfId="0" applyAlignment="1" applyBorder="1" applyFont="1" applyNumberFormat="1">
      <alignment horizontal="center" vertical="center"/>
    </xf>
    <xf borderId="69" fillId="2" fontId="2" numFmtId="9" xfId="0" applyAlignment="1" applyBorder="1" applyFont="1" applyNumberFormat="1">
      <alignment vertical="center"/>
    </xf>
    <xf borderId="69" fillId="2" fontId="2" numFmtId="165" xfId="0" applyAlignment="1" applyBorder="1" applyFont="1" applyNumberFormat="1">
      <alignment horizontal="center" vertical="center"/>
    </xf>
    <xf borderId="69" fillId="2" fontId="2" numFmtId="166" xfId="0" applyAlignment="1" applyBorder="1" applyFont="1" applyNumberFormat="1">
      <alignment vertical="center"/>
    </xf>
    <xf borderId="131" fillId="10" fontId="22" numFmtId="184" xfId="0" applyAlignment="1" applyBorder="1" applyFont="1" applyNumberFormat="1">
      <alignment horizontal="center" vertical="center"/>
    </xf>
    <xf borderId="132" fillId="10" fontId="12" numFmtId="166" xfId="0" applyAlignment="1" applyBorder="1" applyFont="1" applyNumberFormat="1">
      <alignment horizontal="center" vertical="center"/>
    </xf>
    <xf borderId="133" fillId="10" fontId="12" numFmtId="176" xfId="0" applyAlignment="1" applyBorder="1" applyFont="1" applyNumberFormat="1">
      <alignment horizontal="center" vertical="center"/>
    </xf>
    <xf borderId="0" fillId="0" fontId="29" numFmtId="0" xfId="0" applyAlignment="1" applyFont="1">
      <alignment vertical="center"/>
    </xf>
    <xf borderId="0" fillId="0" fontId="29" numFmtId="0" xfId="0" applyAlignment="1" applyFont="1">
      <alignment horizontal="center" vertical="center"/>
    </xf>
    <xf borderId="0" fillId="2" fontId="2" numFmtId="0" xfId="0" applyAlignment="1" applyFont="1">
      <alignment horizontal="center" vertical="center"/>
    </xf>
    <xf borderId="0" fillId="2" fontId="2" numFmtId="170" xfId="0" applyAlignment="1" applyFont="1" applyNumberFormat="1">
      <alignment vertical="center"/>
    </xf>
    <xf borderId="0" fillId="2" fontId="2" numFmtId="0" xfId="0" applyAlignment="1" applyFont="1">
      <alignment shrinkToFit="0" vertical="center" wrapText="1"/>
    </xf>
    <xf borderId="0" fillId="2" fontId="2" numFmtId="2" xfId="0" applyAlignment="1" applyFont="1" applyNumberFormat="1">
      <alignment vertical="center"/>
    </xf>
    <xf borderId="0" fillId="2" fontId="2" numFmtId="164" xfId="0" applyAlignment="1" applyFont="1" applyNumberFormat="1">
      <alignment vertical="center"/>
    </xf>
    <xf borderId="0" fillId="2" fontId="2" numFmtId="165" xfId="0" applyAlignment="1" applyFont="1" applyNumberFormat="1">
      <alignment horizontal="center" vertical="center"/>
    </xf>
    <xf borderId="0" fillId="0" fontId="4" numFmtId="0" xfId="0" applyAlignment="1" applyFont="1">
      <alignment horizontal="center" shrinkToFit="0" vertical="center" wrapText="0"/>
    </xf>
    <xf borderId="1" fillId="2" fontId="2" numFmtId="190" xfId="0" applyAlignment="1" applyBorder="1" applyFont="1" applyNumberFormat="1">
      <alignment horizontal="center" vertical="center"/>
    </xf>
    <xf borderId="1" fillId="2" fontId="30" numFmtId="0" xfId="0" applyAlignment="1" applyBorder="1" applyFont="1">
      <alignment readingOrder="0" shrinkToFit="0" vertical="center" wrapText="1"/>
    </xf>
    <xf borderId="1" fillId="4" fontId="2" numFmtId="190" xfId="0" applyAlignment="1" applyBorder="1" applyFont="1" applyNumberFormat="1">
      <alignment horizontal="center" vertical="center"/>
    </xf>
    <xf borderId="10" fillId="2" fontId="4" numFmtId="190" xfId="0" applyAlignment="1" applyBorder="1" applyFont="1" applyNumberFormat="1">
      <alignment horizontal="center" shrinkToFit="0" vertical="center" wrapText="1"/>
    </xf>
    <xf borderId="32" fillId="2" fontId="2" numFmtId="190" xfId="0" applyAlignment="1" applyBorder="1" applyFont="1" applyNumberFormat="1">
      <alignment horizontal="center" vertical="center"/>
    </xf>
    <xf borderId="1" fillId="8" fontId="4" numFmtId="0" xfId="0" applyAlignment="1" applyBorder="1" applyFont="1">
      <alignment horizontal="center" shrinkToFit="0" vertical="center" wrapText="0"/>
    </xf>
    <xf borderId="42" fillId="4" fontId="6" numFmtId="190" xfId="0" applyAlignment="1" applyBorder="1" applyFont="1" applyNumberFormat="1">
      <alignment horizontal="center" vertical="center"/>
    </xf>
    <xf borderId="42" fillId="8" fontId="11" numFmtId="165" xfId="0" applyAlignment="1" applyBorder="1" applyFont="1" applyNumberFormat="1">
      <alignment horizontal="center" readingOrder="0" vertical="center"/>
    </xf>
    <xf borderId="42" fillId="9" fontId="6" numFmtId="190" xfId="0" applyAlignment="1" applyBorder="1" applyFont="1" applyNumberFormat="1">
      <alignment horizontal="center" vertical="center"/>
    </xf>
    <xf borderId="42" fillId="11" fontId="6" numFmtId="190" xfId="0" applyAlignment="1" applyBorder="1" applyFont="1" applyNumberFormat="1">
      <alignment horizontal="center" vertical="center"/>
    </xf>
    <xf borderId="42" fillId="0" fontId="6" numFmtId="190" xfId="0" applyAlignment="1" applyBorder="1" applyFont="1" applyNumberFormat="1">
      <alignment horizontal="center" readingOrder="0" vertical="center"/>
    </xf>
    <xf borderId="42" fillId="0" fontId="6" numFmtId="190" xfId="0" applyAlignment="1" applyBorder="1" applyFont="1" applyNumberFormat="1">
      <alignment horizontal="center" vertical="center"/>
    </xf>
    <xf borderId="1" fillId="8" fontId="4" numFmtId="0" xfId="0" applyAlignment="1" applyBorder="1" applyFont="1">
      <alignment horizontal="center" readingOrder="0" shrinkToFit="0" vertical="center" wrapText="0"/>
    </xf>
    <xf borderId="42" fillId="2" fontId="6" numFmtId="190" xfId="0" applyAlignment="1" applyBorder="1" applyFont="1" applyNumberFormat="1">
      <alignment horizontal="center" vertical="center"/>
    </xf>
    <xf borderId="42" fillId="11" fontId="1" numFmtId="190" xfId="0" applyAlignment="1" applyBorder="1" applyFont="1" applyNumberFormat="1">
      <alignment vertical="center"/>
    </xf>
    <xf borderId="1" fillId="2" fontId="1" numFmtId="174" xfId="0" applyAlignment="1" applyBorder="1" applyFont="1" applyNumberFormat="1">
      <alignment vertical="center"/>
    </xf>
    <xf borderId="42" fillId="0" fontId="1" numFmtId="190" xfId="0" applyAlignment="1" applyBorder="1" applyFont="1" applyNumberFormat="1">
      <alignment vertical="center"/>
    </xf>
    <xf borderId="1" fillId="8" fontId="1" numFmtId="0" xfId="0" applyAlignment="1" applyBorder="1" applyFont="1">
      <alignment vertical="center"/>
    </xf>
    <xf borderId="42" fillId="2" fontId="1" numFmtId="190" xfId="0" applyAlignment="1" applyBorder="1" applyFont="1" applyNumberFormat="1">
      <alignment vertical="center"/>
    </xf>
    <xf borderId="42" fillId="9" fontId="1" numFmtId="190" xfId="0" applyAlignment="1" applyBorder="1" applyFont="1" applyNumberFormat="1">
      <alignment vertical="center"/>
    </xf>
    <xf borderId="1" fillId="8" fontId="4" numFmtId="0" xfId="0" applyAlignment="1" applyBorder="1" applyFont="1">
      <alignment horizontal="center" shrinkToFit="0" wrapText="0"/>
    </xf>
    <xf borderId="41" fillId="11" fontId="1" numFmtId="0" xfId="0" applyBorder="1" applyFont="1"/>
    <xf borderId="42" fillId="11" fontId="2" numFmtId="0" xfId="0" applyAlignment="1" applyBorder="1" applyFont="1">
      <alignment readingOrder="0" shrinkToFit="0" wrapText="1"/>
    </xf>
    <xf borderId="42" fillId="11" fontId="1" numFmtId="0" xfId="0" applyBorder="1" applyFont="1"/>
    <xf borderId="42" fillId="11" fontId="1" numFmtId="170" xfId="0" applyBorder="1" applyFont="1" applyNumberFormat="1"/>
    <xf borderId="42" fillId="11" fontId="1" numFmtId="190" xfId="0" applyBorder="1" applyFont="1" applyNumberFormat="1"/>
    <xf borderId="42" fillId="11" fontId="2" numFmtId="2" xfId="0" applyAlignment="1" applyBorder="1" applyFont="1" applyNumberFormat="1">
      <alignment horizontal="center"/>
    </xf>
    <xf borderId="42" fillId="11" fontId="1" numFmtId="2" xfId="0" applyBorder="1" applyFont="1" applyNumberFormat="1"/>
    <xf borderId="42" fillId="11" fontId="1" numFmtId="164" xfId="0" applyBorder="1" applyFont="1" applyNumberFormat="1"/>
    <xf borderId="42" fillId="8" fontId="1" numFmtId="165" xfId="0" applyBorder="1" applyFont="1" applyNumberFormat="1"/>
    <xf borderId="42" fillId="11" fontId="2" numFmtId="168" xfId="0" applyAlignment="1" applyBorder="1" applyFont="1" applyNumberFormat="1">
      <alignment horizontal="center"/>
    </xf>
    <xf borderId="42" fillId="11" fontId="2" numFmtId="168" xfId="0" applyAlignment="1" applyBorder="1" applyFont="1" applyNumberFormat="1">
      <alignment horizontal="right"/>
    </xf>
    <xf borderId="43" fillId="11" fontId="2" numFmtId="168" xfId="0" applyAlignment="1" applyBorder="1" applyFont="1" applyNumberFormat="1">
      <alignment horizontal="right"/>
    </xf>
    <xf borderId="1" fillId="2" fontId="10" numFmtId="165" xfId="0" applyAlignment="1" applyBorder="1" applyFont="1" applyNumberFormat="1">
      <alignment horizontal="center"/>
    </xf>
    <xf borderId="1" fillId="2" fontId="2" numFmtId="165" xfId="0" applyAlignment="1" applyBorder="1" applyFont="1" applyNumberFormat="1">
      <alignment horizontal="right"/>
    </xf>
    <xf borderId="1" fillId="2" fontId="1" numFmtId="165" xfId="0" applyBorder="1" applyFont="1" applyNumberFormat="1"/>
    <xf borderId="1" fillId="6" fontId="1" numFmtId="0" xfId="0" applyBorder="1" applyFont="1"/>
    <xf borderId="44" fillId="12" fontId="2" numFmtId="165" xfId="0" applyAlignment="1" applyBorder="1" applyFont="1" applyNumberFormat="1">
      <alignment horizontal="right"/>
    </xf>
    <xf borderId="45" fillId="12" fontId="2" numFmtId="165" xfId="0" applyAlignment="1" applyBorder="1" applyFont="1" applyNumberFormat="1">
      <alignment horizontal="right"/>
    </xf>
    <xf borderId="0" fillId="2" fontId="1" numFmtId="165" xfId="0" applyFont="1" applyNumberFormat="1"/>
    <xf borderId="42" fillId="2" fontId="2" numFmtId="0" xfId="0" applyAlignment="1" applyBorder="1" applyFont="1">
      <alignment shrinkToFit="0" wrapText="1"/>
    </xf>
    <xf borderId="42" fillId="2" fontId="2" numFmtId="0" xfId="0" applyAlignment="1" applyBorder="1" applyFont="1">
      <alignment readingOrder="0" shrinkToFit="0" wrapText="1"/>
    </xf>
    <xf borderId="42" fillId="0" fontId="2" numFmtId="0" xfId="0" applyAlignment="1" applyBorder="1" applyFont="1">
      <alignment horizontal="center" shrinkToFit="0" wrapText="1"/>
    </xf>
    <xf borderId="42" fillId="2" fontId="1" numFmtId="170" xfId="0" applyBorder="1" applyFont="1" applyNumberFormat="1"/>
    <xf borderId="42" fillId="2" fontId="1" numFmtId="190" xfId="0" applyBorder="1" applyFont="1" applyNumberFormat="1"/>
    <xf borderId="42" fillId="2" fontId="1" numFmtId="0" xfId="0" applyBorder="1" applyFont="1"/>
    <xf borderId="42" fillId="0" fontId="2" numFmtId="0" xfId="0" applyAlignment="1" applyBorder="1" applyFont="1">
      <alignment horizontal="center"/>
    </xf>
    <xf borderId="42" fillId="2" fontId="1" numFmtId="2" xfId="0" applyBorder="1" applyFont="1" applyNumberFormat="1"/>
    <xf borderId="42" fillId="0" fontId="12" numFmtId="2" xfId="0" applyAlignment="1" applyBorder="1" applyFont="1" applyNumberFormat="1">
      <alignment horizontal="center"/>
    </xf>
    <xf borderId="42" fillId="2" fontId="12" numFmtId="164" xfId="0" applyAlignment="1" applyBorder="1" applyFont="1" applyNumberFormat="1">
      <alignment horizontal="center"/>
    </xf>
    <xf borderId="42" fillId="2" fontId="12" numFmtId="2" xfId="0" applyAlignment="1" applyBorder="1" applyFont="1" applyNumberFormat="1">
      <alignment horizontal="center"/>
    </xf>
    <xf borderId="42" fillId="2" fontId="12" numFmtId="0" xfId="0" applyAlignment="1" applyBorder="1" applyFont="1">
      <alignment horizontal="center"/>
    </xf>
    <xf borderId="42" fillId="2" fontId="2" numFmtId="2" xfId="0" applyAlignment="1" applyBorder="1" applyFont="1" applyNumberFormat="1">
      <alignment horizontal="center"/>
    </xf>
    <xf borderId="42" fillId="8" fontId="11" numFmtId="165" xfId="0" applyAlignment="1" applyBorder="1" applyFont="1" applyNumberFormat="1">
      <alignment horizontal="center" readingOrder="0"/>
    </xf>
    <xf borderId="42" fillId="2" fontId="2" numFmtId="165" xfId="0" applyAlignment="1" applyBorder="1" applyFont="1" applyNumberFormat="1">
      <alignment horizontal="center"/>
    </xf>
    <xf borderId="42" fillId="2" fontId="1" numFmtId="166" xfId="0" applyBorder="1" applyFont="1" applyNumberFormat="1"/>
    <xf borderId="42" fillId="2" fontId="1" numFmtId="165" xfId="0" applyBorder="1" applyFont="1" applyNumberFormat="1"/>
    <xf borderId="43" fillId="2" fontId="2" numFmtId="165" xfId="0" applyAlignment="1" applyBorder="1" applyFont="1" applyNumberFormat="1">
      <alignment horizontal="right"/>
    </xf>
    <xf borderId="1" fillId="2" fontId="1" numFmtId="169" xfId="0" applyBorder="1" applyFont="1" applyNumberFormat="1"/>
    <xf borderId="1" fillId="2" fontId="2" numFmtId="165" xfId="0" applyAlignment="1" applyBorder="1" applyFont="1" applyNumberFormat="1">
      <alignment horizontal="center"/>
    </xf>
    <xf borderId="50" fillId="2" fontId="1" numFmtId="165" xfId="0" applyBorder="1" applyFont="1" applyNumberFormat="1"/>
    <xf borderId="51" fillId="2" fontId="1" numFmtId="165" xfId="0" applyBorder="1" applyFont="1" applyNumberFormat="1"/>
    <xf borderId="52" fillId="2" fontId="1" numFmtId="165" xfId="0" applyBorder="1" applyFont="1" applyNumberFormat="1"/>
    <xf borderId="53" fillId="2" fontId="1" numFmtId="165" xfId="0" applyBorder="1" applyFont="1" applyNumberFormat="1"/>
    <xf borderId="54" fillId="2" fontId="1" numFmtId="165" xfId="0" applyBorder="1" applyFont="1" applyNumberFormat="1"/>
    <xf borderId="1" fillId="6" fontId="1" numFmtId="165" xfId="0" applyBorder="1" applyFont="1" applyNumberFormat="1"/>
    <xf borderId="55" fillId="2" fontId="1" numFmtId="165" xfId="0" applyBorder="1" applyFont="1" applyNumberFormat="1"/>
    <xf borderId="1" fillId="8" fontId="1" numFmtId="0" xfId="0" applyBorder="1" applyFont="1"/>
    <xf borderId="41" fillId="2" fontId="1" numFmtId="0" xfId="0" applyBorder="1" applyFont="1"/>
    <xf borderId="42" fillId="0" fontId="1" numFmtId="0" xfId="0" applyBorder="1" applyFont="1"/>
    <xf borderId="42" fillId="0" fontId="1" numFmtId="2" xfId="0" applyBorder="1" applyFont="1" applyNumberFormat="1"/>
    <xf borderId="42" fillId="2" fontId="1" numFmtId="164" xfId="0" applyBorder="1" applyFont="1" applyNumberFormat="1"/>
    <xf borderId="43" fillId="2" fontId="1" numFmtId="165" xfId="0" applyBorder="1" applyFont="1" applyNumberFormat="1"/>
    <xf borderId="34" fillId="2" fontId="1" numFmtId="165" xfId="0" applyBorder="1" applyFont="1" applyNumberFormat="1"/>
    <xf borderId="35" fillId="2" fontId="1" numFmtId="165" xfId="0" applyBorder="1" applyFont="1" applyNumberFormat="1"/>
    <xf borderId="36" fillId="2" fontId="1" numFmtId="165" xfId="0" applyBorder="1" applyFont="1" applyNumberFormat="1"/>
    <xf borderId="37" fillId="2" fontId="1" numFmtId="165" xfId="0" applyBorder="1" applyFont="1" applyNumberFormat="1"/>
    <xf borderId="38" fillId="2" fontId="1" numFmtId="165" xfId="0" applyBorder="1" applyFont="1" applyNumberFormat="1"/>
    <xf borderId="39" fillId="2" fontId="1" numFmtId="165" xfId="0" applyBorder="1" applyFont="1" applyNumberFormat="1"/>
    <xf borderId="41" fillId="9" fontId="4" numFmtId="0" xfId="0" applyAlignment="1" applyBorder="1" applyFont="1">
      <alignment horizontal="right"/>
    </xf>
    <xf borderId="42" fillId="9" fontId="4" numFmtId="0" xfId="0" applyAlignment="1" applyBorder="1" applyFont="1">
      <alignment readingOrder="0" shrinkToFit="0" wrapText="1"/>
    </xf>
    <xf borderId="42" fillId="9" fontId="1" numFmtId="0" xfId="0" applyBorder="1" applyFont="1"/>
    <xf borderId="42" fillId="9" fontId="1" numFmtId="170" xfId="0" applyBorder="1" applyFont="1" applyNumberFormat="1"/>
    <xf borderId="42" fillId="9" fontId="1" numFmtId="190" xfId="0" applyBorder="1" applyFont="1" applyNumberFormat="1"/>
    <xf borderId="42" fillId="9" fontId="1" numFmtId="2" xfId="0" applyBorder="1" applyFont="1" applyNumberFormat="1"/>
    <xf borderId="42" fillId="9" fontId="1" numFmtId="164" xfId="0" applyBorder="1" applyFont="1" applyNumberFormat="1"/>
    <xf borderId="42" fillId="9" fontId="1" numFmtId="165" xfId="0" applyBorder="1" applyFont="1" applyNumberFormat="1"/>
    <xf borderId="42" fillId="9" fontId="1" numFmtId="166" xfId="0" applyBorder="1" applyFont="1" applyNumberFormat="1"/>
    <xf borderId="43" fillId="9" fontId="1" numFmtId="165" xfId="0" applyBorder="1" applyFont="1" applyNumberFormat="1"/>
    <xf borderId="42" fillId="0" fontId="2" numFmtId="0" xfId="0" applyAlignment="1" applyBorder="1" applyFont="1">
      <alignment horizontal="center" readingOrder="0" shrinkToFit="0" wrapText="1"/>
    </xf>
    <xf borderId="42" fillId="0" fontId="12" numFmtId="2" xfId="0" applyAlignment="1" applyBorder="1" applyFont="1" applyNumberFormat="1">
      <alignment horizontal="center" readingOrder="0"/>
    </xf>
    <xf borderId="42" fillId="2" fontId="1" numFmtId="0" xfId="0" applyBorder="1" applyFont="1"/>
    <xf borderId="65" fillId="2" fontId="2" numFmtId="0" xfId="0" applyAlignment="1" applyBorder="1" applyFont="1">
      <alignment readingOrder="0" shrinkToFit="0" vertical="center" wrapText="1"/>
    </xf>
    <xf borderId="65" fillId="0" fontId="2" numFmtId="0" xfId="0" applyAlignment="1" applyBorder="1" applyFont="1">
      <alignment vertical="center"/>
    </xf>
    <xf borderId="65" fillId="2" fontId="2" numFmtId="0" xfId="0" applyAlignment="1" applyBorder="1" applyFont="1">
      <alignment horizontal="center" vertical="center"/>
    </xf>
    <xf borderId="65" fillId="2" fontId="2" numFmtId="0" xfId="0" applyAlignment="1" applyBorder="1" applyFont="1">
      <alignment vertical="center"/>
    </xf>
    <xf borderId="1" fillId="0" fontId="4" numFmtId="0" xfId="0" applyAlignment="1" applyBorder="1" applyFont="1">
      <alignment horizontal="center" readingOrder="0" shrinkToFit="0" vertical="center" wrapText="0"/>
    </xf>
    <xf borderId="71" fillId="15" fontId="2" numFmtId="190" xfId="0" applyAlignment="1" applyBorder="1" applyFont="1" applyNumberFormat="1">
      <alignment horizontal="center" vertical="center"/>
    </xf>
    <xf borderId="74" fillId="3" fontId="2" numFmtId="190" xfId="0" applyAlignment="1" applyBorder="1" applyFont="1" applyNumberFormat="1">
      <alignment horizontal="center" vertical="center"/>
    </xf>
    <xf borderId="77" fillId="2" fontId="2" numFmtId="190" xfId="0" applyAlignment="1" applyBorder="1" applyFont="1" applyNumberFormat="1">
      <alignment horizontal="center" vertical="center"/>
    </xf>
    <xf borderId="1" fillId="17" fontId="2" numFmtId="190" xfId="0" applyAlignment="1" applyBorder="1" applyFont="1" applyNumberFormat="1">
      <alignment horizontal="center" vertical="center"/>
    </xf>
    <xf borderId="1" fillId="18" fontId="2" numFmtId="190" xfId="0" applyAlignment="1" applyBorder="1" applyFont="1" applyNumberFormat="1">
      <alignment horizontal="center" vertical="center"/>
    </xf>
    <xf borderId="0" fillId="0" fontId="4" numFmtId="0" xfId="0" applyAlignment="1" applyFont="1">
      <alignment horizontal="center" readingOrder="0" shrinkToFit="0" vertical="center" wrapText="0"/>
    </xf>
    <xf borderId="0" fillId="2" fontId="28" numFmtId="0" xfId="0" applyAlignment="1" applyFont="1">
      <alignment horizontal="center" readingOrder="0" vertical="center"/>
    </xf>
    <xf borderId="1" fillId="18" fontId="2" numFmtId="2" xfId="0" applyAlignment="1" applyBorder="1" applyFont="1" applyNumberFormat="1">
      <alignment horizontal="center" readingOrder="0" vertical="center"/>
    </xf>
    <xf borderId="1" fillId="17" fontId="2" numFmtId="190" xfId="0" applyAlignment="1" applyBorder="1" applyFont="1" applyNumberFormat="1">
      <alignment horizontal="center" readingOrder="0" shrinkToFit="0" vertical="center" wrapText="1"/>
    </xf>
    <xf borderId="100" fillId="10" fontId="2" numFmtId="190" xfId="0" applyAlignment="1" applyBorder="1" applyFont="1" applyNumberFormat="1">
      <alignment horizontal="center" vertical="center"/>
    </xf>
    <xf borderId="42" fillId="2" fontId="2" numFmtId="190" xfId="0" applyAlignment="1" applyBorder="1" applyFont="1" applyNumberFormat="1">
      <alignment horizontal="center" vertical="center"/>
    </xf>
    <xf borderId="42" fillId="10" fontId="2" numFmtId="190" xfId="0" applyAlignment="1" applyBorder="1" applyFont="1" applyNumberFormat="1">
      <alignment horizontal="center" vertical="center"/>
    </xf>
    <xf borderId="42" fillId="8" fontId="2" numFmtId="190" xfId="0" applyAlignment="1" applyBorder="1" applyFont="1" applyNumberFormat="1">
      <alignment horizontal="center" vertical="center"/>
    </xf>
    <xf borderId="42" fillId="23" fontId="2" numFmtId="190" xfId="0" applyAlignment="1" applyBorder="1" applyFont="1" applyNumberFormat="1">
      <alignment horizontal="center" vertical="center"/>
    </xf>
    <xf borderId="0" fillId="2" fontId="2" numFmtId="190" xfId="0" applyAlignment="1" applyFont="1" applyNumberFormat="1">
      <alignment horizontal="center" vertical="center"/>
    </xf>
    <xf borderId="42" fillId="0" fontId="4" numFmtId="0" xfId="0" applyAlignment="1" applyBorder="1" applyFont="1">
      <alignment horizontal="center" readingOrder="0" shrinkToFit="0" vertical="center" wrapText="1"/>
    </xf>
    <xf borderId="42" fillId="0" fontId="4" numFmtId="189" xfId="0" applyAlignment="1" applyBorder="1" applyFont="1" applyNumberFormat="1">
      <alignment horizontal="center" vertical="center"/>
    </xf>
    <xf borderId="42" fillId="0" fontId="4" numFmtId="0" xfId="0" applyAlignment="1" applyBorder="1" applyFont="1">
      <alignment horizontal="center" vertical="center"/>
    </xf>
    <xf borderId="42" fillId="25" fontId="4" numFmtId="189" xfId="0" applyAlignment="1" applyBorder="1" applyFill="1" applyFont="1" applyNumberFormat="1">
      <alignment horizontal="center" vertical="center"/>
    </xf>
    <xf borderId="59" fillId="0" fontId="4" numFmtId="191" xfId="0" applyAlignment="1" applyBorder="1" applyFont="1" applyNumberFormat="1">
      <alignment horizontal="center" vertical="center"/>
    </xf>
    <xf borderId="134" fillId="0" fontId="31" numFmtId="0" xfId="0" applyAlignment="1" applyBorder="1" applyFont="1">
      <alignment vertical="center"/>
    </xf>
    <xf borderId="0" fillId="0" fontId="31" numFmtId="0" xfId="0" applyAlignment="1" applyFont="1">
      <alignment vertical="center"/>
    </xf>
    <xf borderId="0" fillId="0" fontId="28" numFmtId="0" xfId="0" applyAlignment="1" applyFont="1">
      <alignment horizontal="center" readingOrder="0" vertical="center"/>
    </xf>
    <xf borderId="0" fillId="0" fontId="28" numFmtId="0" xfId="0" applyAlignment="1" applyFont="1">
      <alignment readingOrder="0" vertical="bottom"/>
    </xf>
    <xf borderId="0" fillId="0" fontId="28" numFmtId="0" xfId="0" applyAlignment="1" applyFont="1">
      <alignment readingOrder="0" vertical="center"/>
    </xf>
    <xf borderId="135" fillId="0" fontId="2" numFmtId="0" xfId="0" applyAlignment="1" applyBorder="1" applyFont="1">
      <alignment readingOrder="0" shrinkToFit="0" vertical="center" wrapText="1"/>
    </xf>
    <xf borderId="135" fillId="0" fontId="2" numFmtId="189" xfId="0" applyAlignment="1" applyBorder="1" applyFont="1" applyNumberFormat="1">
      <alignment horizontal="center" vertical="center"/>
    </xf>
    <xf borderId="136" fillId="25" fontId="2" numFmtId="189" xfId="0" applyAlignment="1" applyBorder="1" applyFont="1" applyNumberFormat="1">
      <alignment horizontal="center" vertical="center"/>
    </xf>
    <xf borderId="135" fillId="0" fontId="2" numFmtId="191" xfId="0" applyAlignment="1" applyBorder="1" applyFont="1" applyNumberFormat="1">
      <alignment horizontal="center" vertical="center"/>
    </xf>
    <xf borderId="97" fillId="25" fontId="2" numFmtId="189" xfId="0" applyAlignment="1" applyBorder="1" applyFont="1" applyNumberFormat="1">
      <alignment horizontal="center" vertical="center"/>
    </xf>
    <xf borderId="0" fillId="0" fontId="32" numFmtId="0" xfId="0" applyAlignment="1" applyFont="1">
      <alignment horizontal="center" readingOrder="0" vertical="center"/>
    </xf>
    <xf borderId="42" fillId="0" fontId="32" numFmtId="189" xfId="0" applyAlignment="1" applyBorder="1" applyFont="1" applyNumberFormat="1">
      <alignment readingOrder="0" vertical="center"/>
    </xf>
    <xf borderId="0" fillId="0" fontId="32" numFmtId="170" xfId="0" applyAlignment="1" applyFont="1" applyNumberFormat="1">
      <alignment readingOrder="0" vertical="center"/>
    </xf>
    <xf borderId="135" fillId="0" fontId="2" numFmtId="189" xfId="0" applyAlignment="1" applyBorder="1" applyFont="1" applyNumberFormat="1">
      <alignment horizontal="center" readingOrder="0" vertical="center"/>
    </xf>
    <xf borderId="135" fillId="0" fontId="2" numFmtId="191" xfId="0" applyAlignment="1" applyBorder="1" applyFont="1" applyNumberFormat="1">
      <alignment horizontal="center" readingOrder="0" vertical="center"/>
    </xf>
    <xf borderId="97" fillId="25" fontId="2" numFmtId="189" xfId="0" applyAlignment="1" applyBorder="1" applyFont="1" applyNumberFormat="1">
      <alignment horizontal="center" readingOrder="0" vertical="center"/>
    </xf>
    <xf borderId="97" fillId="25" fontId="2" numFmtId="165" xfId="0" applyAlignment="1" applyBorder="1" applyFont="1" applyNumberFormat="1">
      <alignment horizontal="center" readingOrder="0" vertical="center"/>
    </xf>
    <xf borderId="97" fillId="25" fontId="2" numFmtId="165" xfId="0" applyAlignment="1" applyBorder="1" applyFont="1" applyNumberFormat="1">
      <alignment horizontal="center" vertical="center"/>
    </xf>
    <xf borderId="135" fillId="0" fontId="2" numFmtId="165" xfId="0" applyAlignment="1" applyBorder="1" applyFont="1" applyNumberFormat="1">
      <alignment horizontal="center" readingOrder="0" vertical="center"/>
    </xf>
    <xf borderId="0" fillId="0" fontId="31" numFmtId="0" xfId="0" applyAlignment="1" applyFont="1">
      <alignment horizontal="center" vertical="center"/>
    </xf>
    <xf borderId="0" fillId="0" fontId="31" numFmtId="170" xfId="0" applyAlignment="1" applyFont="1" applyNumberFormat="1">
      <alignment vertical="center"/>
    </xf>
    <xf borderId="0" fillId="0" fontId="32" numFmtId="189" xfId="0" applyAlignment="1" applyFont="1" applyNumberFormat="1">
      <alignment readingOrder="0" vertical="center"/>
    </xf>
    <xf borderId="136" fillId="25" fontId="2" numFmtId="189" xfId="0" applyAlignment="1" applyBorder="1" applyFont="1" applyNumberFormat="1">
      <alignment horizontal="center" readingOrder="0" vertical="center"/>
    </xf>
    <xf borderId="135" fillId="0" fontId="2" numFmtId="0" xfId="0" applyAlignment="1" applyBorder="1" applyFont="1">
      <alignment horizontal="center" readingOrder="0" vertical="center"/>
    </xf>
    <xf borderId="0" fillId="0" fontId="28" numFmtId="0" xfId="0" applyAlignment="1" applyFont="1">
      <alignment horizontal="center" readingOrder="0" vertical="bottom"/>
    </xf>
    <xf borderId="0" fillId="0" fontId="1" numFmtId="0" xfId="0" applyAlignment="1" applyFont="1">
      <alignment vertical="bottom"/>
    </xf>
    <xf borderId="0" fillId="0" fontId="28" numFmtId="0" xfId="0" applyAlignment="1" applyFont="1">
      <alignment horizontal="center" vertical="bottom"/>
    </xf>
    <xf borderId="0" fillId="0" fontId="32" numFmtId="0" xfId="0" applyAlignment="1" applyFont="1">
      <alignment horizontal="center" vertical="bottom"/>
    </xf>
    <xf borderId="0" fillId="0" fontId="32" numFmtId="170" xfId="0" applyAlignment="1" applyFont="1" applyNumberFormat="1">
      <alignment horizontal="right" vertical="bottom"/>
    </xf>
    <xf borderId="135" fillId="25" fontId="2" numFmtId="189" xfId="0" applyAlignment="1" applyBorder="1" applyFont="1" applyNumberFormat="1">
      <alignment horizontal="center" readingOrder="0" vertical="center"/>
    </xf>
    <xf borderId="137" fillId="0" fontId="2" numFmtId="191" xfId="0" applyAlignment="1" applyBorder="1" applyFont="1" applyNumberFormat="1">
      <alignment horizontal="center" vertical="center"/>
    </xf>
    <xf borderId="137" fillId="0" fontId="2" numFmtId="191" xfId="0" applyAlignment="1" applyBorder="1" applyFont="1" applyNumberFormat="1">
      <alignment horizontal="center" readingOrder="0" vertical="center"/>
    </xf>
    <xf borderId="0" fillId="0" fontId="28" numFmtId="0" xfId="0" applyAlignment="1" applyFont="1">
      <alignment horizontal="right" vertical="bottom"/>
    </xf>
    <xf borderId="0" fillId="0" fontId="28" numFmtId="170" xfId="0" applyAlignment="1" applyFont="1" applyNumberFormat="1">
      <alignment horizontal="right" vertical="bottom"/>
    </xf>
    <xf borderId="0" fillId="0" fontId="4" numFmtId="191" xfId="0" applyAlignment="1" applyFont="1" applyNumberFormat="1">
      <alignment horizontal="center" vertical="center"/>
    </xf>
    <xf borderId="135" fillId="0" fontId="2" numFmtId="0" xfId="0" applyAlignment="1" applyBorder="1" applyFont="1">
      <alignment shrinkToFit="0" vertical="center" wrapText="1"/>
    </xf>
    <xf borderId="0" fillId="0" fontId="33" numFmtId="189" xfId="0" applyAlignment="1" applyFont="1" applyNumberFormat="1">
      <alignment readingOrder="0"/>
    </xf>
    <xf borderId="0" fillId="0" fontId="31" numFmtId="189" xfId="0" applyAlignment="1" applyFont="1" applyNumberFormat="1">
      <alignment readingOrder="0" vertical="center"/>
    </xf>
    <xf borderId="0" fillId="0" fontId="33" numFmtId="0" xfId="0" applyAlignment="1" applyFont="1">
      <alignment vertical="center"/>
    </xf>
    <xf borderId="0" fillId="0" fontId="33" numFmtId="0" xfId="0" applyAlignment="1" applyFont="1">
      <alignment horizontal="center" vertical="center"/>
    </xf>
    <xf borderId="0" fillId="0" fontId="33" numFmtId="170" xfId="0" applyAlignment="1" applyFont="1" applyNumberFormat="1">
      <alignment vertical="center"/>
    </xf>
    <xf borderId="0" fillId="0" fontId="33" numFmtId="191" xfId="0" applyAlignment="1" applyFont="1" applyNumberFormat="1">
      <alignment vertical="center"/>
    </xf>
    <xf borderId="0" fillId="0" fontId="33" numFmtId="0" xfId="0" applyAlignment="1" applyFont="1">
      <alignment shrinkToFit="0" vertical="center" wrapText="1"/>
    </xf>
    <xf borderId="137" fillId="0" fontId="32" numFmtId="0" xfId="0" applyAlignment="1" applyBorder="1" applyFont="1">
      <alignment vertical="center"/>
    </xf>
    <xf borderId="59" fillId="0" fontId="28" numFmtId="0" xfId="0" applyAlignment="1" applyBorder="1" applyFont="1">
      <alignment vertical="center"/>
    </xf>
    <xf borderId="59" fillId="25" fontId="28" numFmtId="189" xfId="0" applyAlignment="1" applyBorder="1" applyFont="1" applyNumberFormat="1">
      <alignment horizontal="center" vertical="center"/>
    </xf>
    <xf borderId="59" fillId="0" fontId="28" numFmtId="0" xfId="0" applyAlignment="1" applyBorder="1" applyFont="1">
      <alignment readingOrder="0" shrinkToFit="0" vertical="center" wrapText="1"/>
    </xf>
    <xf borderId="42" fillId="25" fontId="28" numFmtId="189" xfId="0" applyAlignment="1" applyBorder="1" applyFont="1" applyNumberFormat="1">
      <alignment horizontal="center" vertical="center"/>
    </xf>
    <xf borderId="42" fillId="0" fontId="28" numFmtId="0" xfId="0" applyAlignment="1" applyBorder="1" applyFont="1">
      <alignment horizontal="center" vertical="center"/>
    </xf>
    <xf borderId="42" fillId="26" fontId="34" numFmtId="0" xfId="0" applyAlignment="1" applyBorder="1" applyFill="1" applyFont="1">
      <alignment horizontal="center" vertical="center"/>
    </xf>
    <xf borderId="42" fillId="27" fontId="34" numFmtId="0" xfId="0" applyAlignment="1" applyBorder="1" applyFill="1" applyFont="1">
      <alignment horizontal="center" vertical="center"/>
    </xf>
    <xf borderId="0" fillId="0" fontId="28" numFmtId="0" xfId="0" applyAlignment="1" applyFont="1">
      <alignment vertical="center"/>
    </xf>
    <xf borderId="0" fillId="0" fontId="32" numFmtId="0" xfId="0" applyAlignment="1" applyFont="1">
      <alignment vertical="center"/>
    </xf>
    <xf borderId="137" fillId="0" fontId="32" numFmtId="2" xfId="0" applyAlignment="1" applyBorder="1" applyFont="1" applyNumberFormat="1">
      <alignment vertical="center"/>
    </xf>
    <xf borderId="137" fillId="25" fontId="32" numFmtId="189" xfId="0" applyAlignment="1" applyBorder="1" applyFont="1" applyNumberFormat="1">
      <alignment horizontal="center" vertical="center"/>
    </xf>
    <xf borderId="137" fillId="0" fontId="32" numFmtId="2" xfId="0" applyAlignment="1" applyBorder="1" applyFont="1" applyNumberFormat="1">
      <alignment shrinkToFit="0" vertical="center" wrapText="1"/>
    </xf>
    <xf borderId="135" fillId="25" fontId="32" numFmtId="189" xfId="0" applyAlignment="1" applyBorder="1" applyFont="1" applyNumberFormat="1">
      <alignment vertical="center"/>
    </xf>
    <xf borderId="135" fillId="0" fontId="32" numFmtId="0" xfId="0" applyAlignment="1" applyBorder="1" applyFont="1">
      <alignment vertical="center"/>
    </xf>
    <xf borderId="135" fillId="0" fontId="32" numFmtId="0" xfId="0" applyAlignment="1" applyBorder="1" applyFont="1">
      <alignment horizontal="center" vertical="center"/>
    </xf>
    <xf borderId="134" fillId="26" fontId="35" numFmtId="0" xfId="0" applyAlignment="1" applyBorder="1" applyFont="1">
      <alignment vertical="center"/>
    </xf>
    <xf borderId="135" fillId="0" fontId="32" numFmtId="189" xfId="0" applyAlignment="1" applyBorder="1" applyFont="1" applyNumberFormat="1">
      <alignment readingOrder="0" vertical="center"/>
    </xf>
    <xf borderId="135" fillId="0" fontId="32" numFmtId="189" xfId="0" applyAlignment="1" applyBorder="1" applyFont="1" applyNumberFormat="1">
      <alignment horizontal="right" readingOrder="0" vertical="center"/>
    </xf>
    <xf borderId="0" fillId="0" fontId="32" numFmtId="0" xfId="0" applyAlignment="1" applyFont="1">
      <alignment vertical="center"/>
    </xf>
    <xf borderId="135" fillId="28" fontId="32" numFmtId="189" xfId="0" applyAlignment="1" applyBorder="1" applyFill="1" applyFont="1" applyNumberFormat="1">
      <alignment horizontal="center" vertical="center"/>
    </xf>
    <xf borderId="42" fillId="0" fontId="32" numFmtId="0" xfId="0" applyAlignment="1" applyBorder="1" applyFont="1">
      <alignment vertical="center"/>
    </xf>
    <xf borderId="42" fillId="0" fontId="32" numFmtId="0" xfId="0" applyAlignment="1" applyBorder="1" applyFont="1">
      <alignment readingOrder="0" shrinkToFit="0" vertical="center" wrapText="0"/>
    </xf>
    <xf borderId="134" fillId="26" fontId="34" numFmtId="0" xfId="0" applyAlignment="1" applyBorder="1" applyFont="1">
      <alignment vertical="center"/>
    </xf>
    <xf borderId="135" fillId="0" fontId="32" numFmtId="0" xfId="0" applyAlignment="1" applyBorder="1" applyFont="1">
      <alignment horizontal="center" vertical="center"/>
    </xf>
    <xf borderId="0" fillId="0" fontId="32" numFmtId="0" xfId="0" applyAlignment="1" applyFont="1">
      <alignment readingOrder="0" vertical="center"/>
    </xf>
    <xf borderId="42" fillId="0" fontId="32" numFmtId="0" xfId="0" applyAlignment="1" applyBorder="1" applyFont="1">
      <alignment readingOrder="0" vertical="center"/>
    </xf>
    <xf borderId="42" fillId="0" fontId="32" numFmtId="0" xfId="0" applyAlignment="1" applyBorder="1" applyFont="1">
      <alignment readingOrder="0" shrinkToFit="0" vertical="center" wrapText="1"/>
    </xf>
    <xf borderId="0" fillId="0" fontId="32" numFmtId="189" xfId="0" applyAlignment="1" applyFont="1" applyNumberFormat="1">
      <alignment vertical="center"/>
    </xf>
    <xf borderId="42" fillId="0" fontId="32" numFmtId="189" xfId="0" applyAlignment="1" applyBorder="1" applyFont="1" applyNumberFormat="1">
      <alignment vertical="center"/>
    </xf>
    <xf borderId="0" fillId="0" fontId="32" numFmtId="0" xfId="0" applyAlignment="1" applyFont="1">
      <alignment shrinkToFit="0" vertical="center" wrapText="0"/>
    </xf>
    <xf borderId="137" fillId="0" fontId="32" numFmtId="0" xfId="0" applyAlignment="1" applyBorder="1" applyFont="1">
      <alignment readingOrder="0" vertical="center"/>
    </xf>
    <xf borderId="137" fillId="0" fontId="32" numFmtId="0" xfId="0" applyAlignment="1" applyBorder="1" applyFont="1">
      <alignment horizontal="left" readingOrder="1" vertical="center"/>
    </xf>
    <xf borderId="137" fillId="25" fontId="32" numFmtId="0" xfId="0" applyAlignment="1" applyBorder="1" applyFont="1">
      <alignment horizontal="center" vertical="center"/>
    </xf>
    <xf borderId="137" fillId="25" fontId="32" numFmtId="189" xfId="0" applyAlignment="1" applyBorder="1" applyFont="1" applyNumberFormat="1">
      <alignment horizontal="center" readingOrder="0" vertical="center"/>
    </xf>
    <xf borderId="135" fillId="0" fontId="32" numFmtId="189" xfId="0" applyAlignment="1" applyBorder="1" applyFont="1" applyNumberFormat="1">
      <alignment vertical="center"/>
    </xf>
    <xf borderId="135" fillId="0" fontId="32" numFmtId="0" xfId="0" applyAlignment="1" applyBorder="1" applyFont="1">
      <alignment vertical="center"/>
    </xf>
    <xf borderId="0" fillId="0" fontId="1" numFmtId="0" xfId="0" applyAlignment="1" applyFont="1">
      <alignment vertical="center"/>
    </xf>
    <xf borderId="135" fillId="0" fontId="32" numFmtId="0" xfId="0" applyAlignment="1" applyBorder="1" applyFont="1">
      <alignment vertical="center"/>
    </xf>
    <xf borderId="137" fillId="0" fontId="32" numFmtId="0" xfId="0" applyAlignment="1" applyBorder="1" applyFont="1">
      <alignment shrinkToFit="0" vertical="center" wrapText="1"/>
    </xf>
    <xf borderId="0" fillId="29" fontId="32" numFmtId="0" xfId="0" applyAlignment="1" applyFill="1" applyFont="1">
      <alignment vertical="center"/>
    </xf>
    <xf borderId="0" fillId="0" fontId="36" numFmtId="0" xfId="0" applyAlignment="1" applyFont="1">
      <alignment vertical="center"/>
    </xf>
    <xf borderId="0" fillId="0" fontId="37" numFmtId="0" xfId="0" applyAlignment="1" applyFont="1">
      <alignment vertical="center"/>
    </xf>
    <xf borderId="0" fillId="0" fontId="38" numFmtId="0" xfId="0" applyAlignment="1" applyFont="1">
      <alignment vertical="center"/>
    </xf>
    <xf borderId="0" fillId="0" fontId="37" numFmtId="0" xfId="0" applyAlignment="1" applyFont="1">
      <alignment horizontal="left" readingOrder="0" vertical="center"/>
    </xf>
    <xf borderId="0" fillId="0" fontId="39" numFmtId="0" xfId="0" applyAlignment="1" applyFont="1">
      <alignment readingOrder="0" vertical="center"/>
    </xf>
    <xf borderId="0" fillId="0" fontId="40" numFmtId="0" xfId="0" applyAlignment="1" applyFont="1">
      <alignment horizontal="center" readingOrder="0" vertical="top"/>
    </xf>
    <xf borderId="138" fillId="0" fontId="41" numFmtId="0" xfId="0" applyAlignment="1" applyBorder="1" applyFont="1">
      <alignment horizontal="center" readingOrder="0" vertical="top"/>
    </xf>
    <xf borderId="138" fillId="0" fontId="3" numFmtId="0" xfId="0" applyBorder="1" applyFont="1"/>
    <xf borderId="0" fillId="0" fontId="42" numFmtId="0" xfId="0" applyAlignment="1" applyFont="1">
      <alignment horizontal="right" readingOrder="0" vertical="bottom"/>
    </xf>
    <xf borderId="0" fillId="0" fontId="39" numFmtId="192" xfId="0" applyAlignment="1" applyFont="1" applyNumberFormat="1">
      <alignment horizontal="left" readingOrder="0" shrinkToFit="0" vertical="center" wrapText="0"/>
    </xf>
    <xf borderId="0" fillId="0" fontId="29" numFmtId="0" xfId="0" applyAlignment="1" applyFont="1">
      <alignment readingOrder="0" vertical="center"/>
    </xf>
    <xf borderId="0" fillId="0" fontId="37" numFmtId="0" xfId="0" applyAlignment="1" applyFont="1">
      <alignment readingOrder="0" vertical="center"/>
    </xf>
    <xf borderId="0" fillId="0" fontId="37" numFmtId="0" xfId="0" applyAlignment="1" applyFont="1">
      <alignment vertical="center"/>
    </xf>
    <xf borderId="0" fillId="0" fontId="37" numFmtId="0" xfId="0" applyAlignment="1" applyFont="1">
      <alignment horizontal="center" vertical="center"/>
    </xf>
    <xf borderId="0" fillId="2" fontId="43" numFmtId="0" xfId="0" applyAlignment="1" applyFont="1">
      <alignment horizontal="right" readingOrder="0" vertical="center"/>
    </xf>
    <xf borderId="0" fillId="2" fontId="44" numFmtId="0" xfId="0" applyAlignment="1" applyFont="1">
      <alignment horizontal="center"/>
    </xf>
    <xf borderId="0" fillId="0" fontId="2" numFmtId="0" xfId="0" applyFont="1"/>
    <xf borderId="0" fillId="0" fontId="45" numFmtId="0" xfId="0" applyAlignment="1" applyFont="1">
      <alignment vertical="center"/>
    </xf>
    <xf borderId="0" fillId="0" fontId="46" numFmtId="0" xfId="0" applyAlignment="1" applyFont="1">
      <alignment vertical="center"/>
    </xf>
    <xf borderId="0" fillId="0" fontId="36" numFmtId="0" xfId="0" applyAlignment="1" applyFont="1">
      <alignment horizontal="left" vertical="center"/>
    </xf>
    <xf borderId="139" fillId="0" fontId="37" numFmtId="0" xfId="0" applyAlignment="1" applyBorder="1" applyFont="1">
      <alignment shrinkToFit="0" vertical="center" wrapText="1"/>
    </xf>
    <xf borderId="140" fillId="0" fontId="3" numFmtId="0" xfId="0" applyBorder="1" applyFont="1"/>
    <xf borderId="141" fillId="0" fontId="3" numFmtId="0" xfId="0" applyBorder="1" applyFont="1"/>
    <xf borderId="139" fillId="0" fontId="39" numFmtId="0" xfId="0" applyAlignment="1" applyBorder="1" applyFont="1">
      <alignment horizontal="left" shrinkToFit="0" vertical="center" wrapText="1"/>
    </xf>
    <xf borderId="0" fillId="0" fontId="36" numFmtId="166" xfId="0" applyAlignment="1" applyFont="1" applyNumberFormat="1">
      <alignment vertical="center"/>
    </xf>
    <xf borderId="139" fillId="0" fontId="37" numFmtId="166" xfId="0" applyAlignment="1" applyBorder="1" applyFont="1" applyNumberFormat="1">
      <alignment shrinkToFit="0" vertical="center" wrapText="1"/>
    </xf>
    <xf borderId="0" fillId="0" fontId="36" numFmtId="0" xfId="0" applyAlignment="1" applyFont="1">
      <alignment readingOrder="0" vertical="center"/>
    </xf>
    <xf borderId="142" fillId="0" fontId="29" numFmtId="0" xfId="0" applyAlignment="1" applyBorder="1" applyFont="1">
      <alignment vertical="center"/>
    </xf>
    <xf borderId="0" fillId="8" fontId="47" numFmtId="0" xfId="0" applyAlignment="1" applyFont="1">
      <alignment readingOrder="0" vertical="center"/>
    </xf>
    <xf borderId="0" fillId="8" fontId="29" numFmtId="0" xfId="0" applyAlignment="1" applyFont="1">
      <alignment horizontal="center" vertical="center"/>
    </xf>
    <xf borderId="0" fillId="8" fontId="29" numFmtId="0" xfId="0" applyAlignment="1" applyFont="1">
      <alignment vertical="center"/>
    </xf>
    <xf quotePrefix="1" borderId="0" fillId="8" fontId="29" numFmtId="0" xfId="0" applyAlignment="1" applyFont="1">
      <alignment horizontal="center" readingOrder="0" vertical="center"/>
    </xf>
    <xf borderId="0" fillId="8" fontId="46" numFmtId="193" xfId="0" applyAlignment="1" applyFont="1" applyNumberFormat="1">
      <alignment horizontal="left" shrinkToFit="0" vertical="center" wrapText="0"/>
    </xf>
    <xf borderId="0" fillId="0" fontId="47" numFmtId="0" xfId="0" applyAlignment="1" applyFont="1">
      <alignment vertical="center"/>
    </xf>
    <xf borderId="0" fillId="0" fontId="39" numFmtId="0" xfId="0" applyAlignment="1" applyFont="1">
      <alignment vertical="center"/>
    </xf>
    <xf borderId="0" fillId="0" fontId="48" numFmtId="0" xfId="0" applyAlignment="1" applyFont="1">
      <alignment vertical="center"/>
    </xf>
    <xf borderId="0" fillId="2" fontId="44" numFmtId="0" xfId="0" applyAlignment="1" applyFont="1">
      <alignment horizontal="center" readingOrder="0" vertical="center"/>
    </xf>
    <xf borderId="1" fillId="0" fontId="4" numFmtId="0" xfId="0" applyAlignment="1" applyBorder="1" applyFont="1">
      <alignment horizontal="center" vertical="center"/>
    </xf>
    <xf borderId="0" fillId="0" fontId="37" numFmtId="0" xfId="0" applyAlignment="1" applyFont="1">
      <alignment readingOrder="0" shrinkToFit="0" vertical="center" wrapText="1"/>
    </xf>
    <xf borderId="0" fillId="0" fontId="37" numFmtId="0" xfId="0" applyAlignment="1" applyFont="1">
      <alignment readingOrder="0" vertical="center"/>
    </xf>
    <xf borderId="0" fillId="0" fontId="49" numFmtId="0" xfId="0" applyAlignment="1" applyFont="1">
      <alignment readingOrder="0" vertical="center"/>
    </xf>
    <xf borderId="0" fillId="0" fontId="32" numFmtId="189" xfId="0" applyAlignment="1" applyFont="1" applyNumberFormat="1">
      <alignment horizontal="center" vertical="center"/>
    </xf>
    <xf borderId="0" fillId="0" fontId="32" numFmtId="0" xfId="0" applyAlignment="1" applyFont="1">
      <alignment horizontal="center" vertical="center"/>
    </xf>
    <xf borderId="0" fillId="0" fontId="32" numFmtId="189" xfId="0" applyAlignment="1" applyFont="1" applyNumberFormat="1">
      <alignment shrinkToFit="0" vertical="center" wrapText="1"/>
    </xf>
    <xf borderId="0" fillId="0" fontId="32" numFmtId="0" xfId="0" applyAlignment="1" applyFont="1">
      <alignment shrinkToFit="0" vertical="center" wrapText="1"/>
    </xf>
    <xf borderId="0" fillId="0" fontId="28" numFmtId="0" xfId="0" applyAlignment="1" applyFont="1">
      <alignment horizontal="left" readingOrder="0" shrinkToFit="0" vertical="center" wrapText="1"/>
    </xf>
    <xf borderId="86" fillId="7" fontId="28" numFmtId="189" xfId="0" applyAlignment="1" applyBorder="1" applyFont="1" applyNumberFormat="1">
      <alignment horizontal="center" readingOrder="0" vertical="center"/>
    </xf>
    <xf borderId="143" fillId="0" fontId="3" numFmtId="0" xfId="0" applyBorder="1" applyFont="1"/>
    <xf borderId="59" fillId="0" fontId="3" numFmtId="0" xfId="0" applyBorder="1" applyFont="1"/>
    <xf borderId="86" fillId="13" fontId="28" numFmtId="189" xfId="0" applyAlignment="1" applyBorder="1" applyFont="1" applyNumberFormat="1">
      <alignment horizontal="center" readingOrder="0" shrinkToFit="0" vertical="center" wrapText="1"/>
    </xf>
    <xf borderId="42" fillId="7" fontId="28" numFmtId="0" xfId="0" applyAlignment="1" applyBorder="1" applyFont="1">
      <alignment horizontal="center" readingOrder="0" vertical="center"/>
    </xf>
    <xf borderId="86" fillId="13" fontId="28" numFmtId="189" xfId="0" applyAlignment="1" applyBorder="1" applyFont="1" applyNumberFormat="1">
      <alignment horizontal="center" readingOrder="0" vertical="center"/>
    </xf>
    <xf borderId="86" fillId="7" fontId="28" numFmtId="0" xfId="0" applyAlignment="1" applyBorder="1" applyFont="1">
      <alignment horizontal="center" readingOrder="0" vertical="center"/>
    </xf>
    <xf borderId="42" fillId="26" fontId="34" numFmtId="189" xfId="0" applyAlignment="1" applyBorder="1" applyFont="1" applyNumberFormat="1">
      <alignment horizontal="center" readingOrder="0" shrinkToFit="0" vertical="center" wrapText="1"/>
    </xf>
    <xf borderId="42" fillId="26" fontId="34" numFmtId="0" xfId="0" applyAlignment="1" applyBorder="1" applyFont="1">
      <alignment horizontal="center" readingOrder="0" shrinkToFit="0" vertical="center" wrapText="1"/>
    </xf>
    <xf borderId="42" fillId="26" fontId="34" numFmtId="194" xfId="0" applyAlignment="1" applyBorder="1" applyFont="1" applyNumberFormat="1">
      <alignment horizontal="center" vertical="center"/>
    </xf>
    <xf borderId="42" fillId="26" fontId="34" numFmtId="0" xfId="0" applyAlignment="1" applyBorder="1" applyFont="1">
      <alignment horizontal="center" shrinkToFit="0" vertical="center" wrapText="1"/>
    </xf>
    <xf borderId="42" fillId="26" fontId="34" numFmtId="189" xfId="0" applyAlignment="1" applyBorder="1" applyFont="1" applyNumberFormat="1">
      <alignment horizontal="center" shrinkToFit="0" vertical="center" wrapText="1"/>
    </xf>
    <xf borderId="42" fillId="0" fontId="32" numFmtId="0" xfId="0" applyAlignment="1" applyBorder="1" applyFont="1">
      <alignment horizontal="center" readingOrder="0" shrinkToFit="0" vertical="center" wrapText="1"/>
    </xf>
    <xf borderId="42" fillId="0" fontId="32" numFmtId="195" xfId="0" applyAlignment="1" applyBorder="1" applyFont="1" applyNumberFormat="1">
      <alignment horizontal="center" readingOrder="0" vertical="center"/>
    </xf>
    <xf borderId="42" fillId="0" fontId="32" numFmtId="0" xfId="0" applyAlignment="1" applyBorder="1" applyFont="1">
      <alignment horizontal="center" readingOrder="0" vertical="center"/>
    </xf>
    <xf borderId="0" fillId="0" fontId="1" numFmtId="195" xfId="0" applyAlignment="1" applyFont="1" applyNumberFormat="1">
      <alignment vertical="center"/>
    </xf>
    <xf borderId="42" fillId="30" fontId="32" numFmtId="196" xfId="0" applyAlignment="1" applyBorder="1" applyFill="1" applyFont="1" applyNumberFormat="1">
      <alignment horizontal="center" vertical="center"/>
    </xf>
    <xf borderId="42" fillId="30" fontId="32" numFmtId="195" xfId="0" applyAlignment="1" applyBorder="1" applyFont="1" applyNumberFormat="1">
      <alignment horizontal="center" vertical="center"/>
    </xf>
    <xf borderId="42" fillId="30" fontId="2" numFmtId="0" xfId="0" applyAlignment="1" applyBorder="1" applyFont="1">
      <alignment horizontal="center" shrinkToFit="0" vertical="center" wrapText="1"/>
    </xf>
    <xf borderId="42" fillId="30" fontId="32" numFmtId="0" xfId="0" applyAlignment="1" applyBorder="1" applyFont="1">
      <alignment horizontal="center" shrinkToFit="0" vertical="center" wrapText="1"/>
    </xf>
    <xf borderId="42" fillId="0" fontId="32" numFmtId="0" xfId="0" applyAlignment="1" applyBorder="1" applyFont="1">
      <alignment horizontal="center" shrinkToFit="0" vertical="center" wrapText="1"/>
    </xf>
    <xf borderId="42" fillId="0" fontId="32" numFmtId="0" xfId="0" applyAlignment="1" applyBorder="1" applyFont="1">
      <alignment horizontal="center" shrinkToFit="0" vertical="center" wrapText="1"/>
    </xf>
    <xf borderId="42" fillId="0" fontId="32" numFmtId="195" xfId="0" applyAlignment="1" applyBorder="1" applyFont="1" applyNumberFormat="1">
      <alignment horizontal="center" vertical="center"/>
    </xf>
    <xf borderId="42" fillId="0" fontId="32" numFmtId="0" xfId="0" applyAlignment="1" applyBorder="1" applyFont="1">
      <alignment horizontal="center" vertical="center"/>
    </xf>
    <xf borderId="0" fillId="26" fontId="34" numFmtId="0" xfId="0" applyAlignment="1" applyFont="1">
      <alignment horizontal="center" readingOrder="0" shrinkToFit="0" vertical="center" wrapText="1"/>
    </xf>
    <xf borderId="132" fillId="26" fontId="34" numFmtId="0" xfId="0" applyAlignment="1" applyBorder="1" applyFont="1">
      <alignment horizontal="center" shrinkToFit="0" vertical="center" wrapText="1"/>
    </xf>
    <xf borderId="42" fillId="0" fontId="32" numFmtId="0" xfId="0" applyAlignment="1" applyBorder="1" applyFont="1">
      <alignment shrinkToFit="0" vertical="center" wrapText="1"/>
    </xf>
    <xf borderId="42" fillId="30" fontId="32" numFmtId="0" xfId="0" applyAlignment="1" applyBorder="1" applyFont="1">
      <alignment horizontal="center" readingOrder="0" vertical="center"/>
    </xf>
    <xf borderId="42" fillId="30" fontId="32" numFmtId="195" xfId="0" applyAlignment="1" applyBorder="1" applyFont="1" applyNumberFormat="1">
      <alignment horizontal="center" readingOrder="0" vertical="center"/>
    </xf>
    <xf borderId="0" fillId="0" fontId="1" numFmtId="0" xfId="0" applyAlignment="1" applyFont="1">
      <alignment shrinkToFit="0" vertical="center" wrapText="1"/>
    </xf>
    <xf borderId="0" fillId="0" fontId="28" numFmtId="0" xfId="0" applyAlignment="1" applyFont="1">
      <alignment readingOrder="0" shrinkToFit="0" vertical="center" wrapText="1"/>
    </xf>
    <xf borderId="0" fillId="0" fontId="1" numFmtId="189" xfId="0" applyAlignment="1" applyFont="1" applyNumberFormat="1">
      <alignment vertical="center"/>
    </xf>
    <xf borderId="42" fillId="0" fontId="4" numFmtId="164" xfId="0" applyAlignment="1" applyBorder="1" applyFont="1" applyNumberFormat="1">
      <alignment horizontal="center" vertical="center"/>
    </xf>
    <xf borderId="42" fillId="0" fontId="4" numFmtId="0" xfId="0" applyAlignment="1" applyBorder="1" applyFont="1">
      <alignment horizontal="center" vertical="center"/>
    </xf>
    <xf borderId="144" fillId="0" fontId="1" numFmtId="0" xfId="0" applyAlignment="1" applyBorder="1" applyFont="1">
      <alignment vertical="center"/>
    </xf>
    <xf borderId="144" fillId="0" fontId="2" numFmtId="0" xfId="0" applyAlignment="1" applyBorder="1" applyFont="1">
      <alignment horizontal="left" vertical="center"/>
    </xf>
    <xf borderId="144" fillId="0" fontId="2" numFmtId="0" xfId="0" applyAlignment="1" applyBorder="1" applyFont="1">
      <alignment horizontal="center" vertical="center"/>
    </xf>
    <xf borderId="0" fillId="0" fontId="2" numFmtId="0" xfId="0" applyAlignment="1" applyFont="1">
      <alignment horizontal="left" shrinkToFit="0" vertical="center" wrapText="1"/>
    </xf>
    <xf borderId="0" fillId="0" fontId="4" numFmtId="0" xfId="0" applyAlignment="1" applyFont="1">
      <alignment horizontal="center" vertical="center"/>
    </xf>
    <xf borderId="0" fillId="0" fontId="4" numFmtId="0" xfId="0" applyAlignment="1" applyFont="1">
      <alignment horizontal="center" shrinkToFit="0" vertical="center" wrapText="1"/>
    </xf>
    <xf borderId="132" fillId="0" fontId="4" numFmtId="0" xfId="0" applyAlignment="1" applyBorder="1" applyFont="1">
      <alignment vertical="center"/>
    </xf>
    <xf borderId="132" fillId="0" fontId="4" numFmtId="0" xfId="0" applyAlignment="1" applyBorder="1" applyFont="1">
      <alignment horizontal="left" vertical="center"/>
    </xf>
    <xf borderId="132" fillId="0" fontId="4" numFmtId="0" xfId="0" applyAlignment="1" applyBorder="1" applyFont="1">
      <alignment horizontal="center" vertical="center"/>
    </xf>
    <xf borderId="0" fillId="0" fontId="2" numFmtId="0" xfId="0" applyAlignment="1" applyFont="1">
      <alignment horizontal="left" readingOrder="0" shrinkToFit="0" vertical="center" wrapText="1"/>
    </xf>
    <xf quotePrefix="1" borderId="0" fillId="0" fontId="2" numFmtId="0" xfId="0" applyAlignment="1" applyFont="1">
      <alignment horizontal="center" vertical="center"/>
    </xf>
    <xf borderId="0" fillId="0" fontId="50" numFmtId="0" xfId="0" applyAlignment="1" applyFont="1">
      <alignment horizontal="center" vertical="center"/>
    </xf>
    <xf borderId="0" fillId="0" fontId="2" numFmtId="0" xfId="0" applyAlignment="1" applyFont="1">
      <alignment horizontal="center" shrinkToFit="0" vertical="center" wrapText="1"/>
    </xf>
    <xf borderId="42" fillId="0" fontId="2" numFmtId="0" xfId="0" applyAlignment="1" applyBorder="1" applyFont="1">
      <alignment horizontal="left" vertical="center"/>
    </xf>
    <xf borderId="0" fillId="0" fontId="2" numFmtId="0" xfId="0" applyAlignment="1" applyFont="1">
      <alignment horizontal="left" vertical="center"/>
    </xf>
    <xf borderId="0" fillId="0" fontId="2" numFmtId="0" xfId="0" applyAlignment="1" applyFont="1">
      <alignment horizontal="left" readingOrder="0" vertical="center"/>
    </xf>
    <xf borderId="0" fillId="0" fontId="2" numFmtId="164" xfId="0" applyAlignment="1" applyFont="1" applyNumberFormat="1">
      <alignment horizontal="center" vertical="center"/>
    </xf>
    <xf borderId="42" fillId="0" fontId="32" numFmtId="196" xfId="0" applyAlignment="1" applyBorder="1" applyFont="1" applyNumberFormat="1">
      <alignment horizontal="center" vertical="center"/>
    </xf>
    <xf borderId="42" fillId="30" fontId="2" numFmtId="0" xfId="0" applyAlignment="1" applyBorder="1" applyFont="1">
      <alignment horizontal="center" vertical="center"/>
    </xf>
    <xf borderId="42" fillId="0" fontId="32" numFmtId="196" xfId="0" applyAlignment="1" applyBorder="1" applyFont="1" applyNumberFormat="1">
      <alignment horizontal="center" readingOrder="0" vertical="center"/>
    </xf>
    <xf borderId="42" fillId="0" fontId="51" numFmtId="195" xfId="0" applyAlignment="1" applyBorder="1" applyFont="1" applyNumberFormat="1">
      <alignment horizontal="center" vertical="center"/>
    </xf>
    <xf borderId="42" fillId="0" fontId="51" numFmtId="0" xfId="0" applyAlignment="1" applyBorder="1" applyFont="1">
      <alignment horizontal="center" vertical="center"/>
    </xf>
    <xf borderId="42" fillId="0" fontId="51" numFmtId="0" xfId="0" applyAlignment="1" applyBorder="1" applyFont="1">
      <alignment horizontal="center" readingOrder="0" shrinkToFit="0" vertical="center" wrapText="1"/>
    </xf>
    <xf borderId="42" fillId="0" fontId="51" numFmtId="0" xfId="0" applyAlignment="1" applyBorder="1" applyFont="1">
      <alignment horizontal="center" shrinkToFit="0" vertical="center" wrapText="1"/>
    </xf>
    <xf borderId="42" fillId="0" fontId="51" numFmtId="0" xfId="0" applyAlignment="1" applyBorder="1" applyFont="1">
      <alignment horizontal="center" shrinkToFit="0" vertical="center" wrapText="1"/>
    </xf>
    <xf borderId="0" fillId="0" fontId="32" numFmtId="0" xfId="0" applyAlignment="1" applyFont="1">
      <alignment shrinkToFit="0" vertical="center" wrapText="0"/>
    </xf>
    <xf borderId="0" fillId="26" fontId="34" numFmtId="0" xfId="0" applyAlignment="1" applyFont="1">
      <alignment horizontal="center" readingOrder="0" shrinkToFit="0" vertical="center" wrapText="0"/>
    </xf>
    <xf borderId="42" fillId="0" fontId="32" numFmtId="0" xfId="0" applyAlignment="1" applyBorder="1" applyFont="1">
      <alignment shrinkToFit="0" vertical="center" wrapText="0"/>
    </xf>
    <xf borderId="0" fillId="0" fontId="1" numFmtId="0" xfId="0" applyAlignment="1" applyFont="1">
      <alignment shrinkToFit="0" vertical="center" wrapText="0"/>
    </xf>
    <xf borderId="0" fillId="26" fontId="34" numFmtId="0" xfId="0" applyAlignment="1" applyFont="1">
      <alignment horizontal="center" shrinkToFit="0" vertical="center" wrapText="0"/>
    </xf>
    <xf borderId="0" fillId="0" fontId="32" numFmtId="0" xfId="0" applyAlignment="1" applyFont="1">
      <alignment horizontal="center" shrinkToFit="0" vertical="center" wrapText="1"/>
    </xf>
    <xf borderId="0" fillId="26" fontId="34" numFmtId="0" xfId="0" applyAlignment="1" applyFont="1">
      <alignment horizontal="center" readingOrder="0" vertical="center"/>
    </xf>
    <xf borderId="0" fillId="26" fontId="34" numFmtId="0" xfId="0" applyAlignment="1" applyFont="1">
      <alignment horizontal="center" shrinkToFit="0" vertical="center" wrapText="1"/>
    </xf>
    <xf borderId="0" fillId="26" fontId="34" numFmtId="194" xfId="0" applyAlignment="1" applyFont="1" applyNumberFormat="1">
      <alignment horizontal="center" vertical="center"/>
    </xf>
    <xf borderId="0" fillId="26" fontId="34" numFmtId="0" xfId="0" applyAlignment="1" applyFont="1">
      <alignment horizontal="center" vertical="center"/>
    </xf>
    <xf borderId="42" fillId="0" fontId="32" numFmtId="194" xfId="0" applyAlignment="1" applyBorder="1" applyFont="1" applyNumberFormat="1">
      <alignment horizontal="center" vertical="center"/>
    </xf>
    <xf borderId="42" fillId="0" fontId="32" numFmtId="0" xfId="0" applyAlignment="1" applyBorder="1" applyFont="1">
      <alignment horizontal="center" vertical="center"/>
    </xf>
    <xf borderId="0" fillId="0" fontId="32" numFmtId="0" xfId="0" applyAlignment="1" applyFont="1">
      <alignment horizontal="left" readingOrder="0" vertical="center"/>
    </xf>
    <xf borderId="0" fillId="0" fontId="32" numFmtId="0" xfId="0" applyAlignment="1" applyFont="1">
      <alignment horizontal="left" shrinkToFit="0" vertical="center" wrapText="1"/>
    </xf>
    <xf borderId="0" fillId="8" fontId="32" numFmtId="0" xfId="0" applyAlignment="1" applyFont="1">
      <alignment vertical="center"/>
    </xf>
    <xf borderId="42" fillId="30" fontId="51" numFmtId="195" xfId="0" applyAlignment="1" applyBorder="1" applyFont="1" applyNumberFormat="1">
      <alignment horizontal="center" readingOrder="0" vertical="center"/>
    </xf>
    <xf borderId="42" fillId="30" fontId="51" numFmtId="0" xfId="0" applyAlignment="1" applyBorder="1" applyFont="1">
      <alignment horizontal="center" readingOrder="0" vertical="center"/>
    </xf>
    <xf borderId="42" fillId="0" fontId="11" numFmtId="0" xfId="0" applyAlignment="1" applyBorder="1" applyFont="1">
      <alignment horizontal="center" vertical="center"/>
    </xf>
    <xf borderId="0" fillId="0" fontId="51" numFmtId="0" xfId="0" applyAlignment="1" applyFont="1">
      <alignment vertical="center"/>
    </xf>
    <xf borderId="0" fillId="0" fontId="28" numFmtId="0" xfId="0" applyAlignment="1" applyFont="1">
      <alignment readingOrder="0"/>
    </xf>
    <xf borderId="0" fillId="0" fontId="28" numFmtId="0" xfId="0" applyFont="1"/>
    <xf borderId="0" fillId="0" fontId="32" numFmtId="0" xfId="0" applyAlignment="1" applyFont="1">
      <alignment readingOrder="0"/>
    </xf>
    <xf borderId="42" fillId="0" fontId="32" numFmtId="0" xfId="0" applyAlignment="1" applyBorder="1" applyFont="1">
      <alignment readingOrder="0"/>
    </xf>
    <xf borderId="0" fillId="0" fontId="32" numFmtId="0" xfId="0" applyFont="1"/>
    <xf borderId="42" fillId="11" fontId="1" numFmtId="0" xfId="0" applyAlignment="1" applyBorder="1" applyFont="1">
      <alignment horizontal="center" vertical="center"/>
    </xf>
    <xf borderId="1" fillId="2" fontId="1" numFmtId="173" xfId="0" applyAlignment="1" applyBorder="1" applyFont="1" applyNumberFormat="1">
      <alignment vertical="center"/>
    </xf>
    <xf borderId="42" fillId="0" fontId="1" numFmtId="0" xfId="0" applyAlignment="1" applyBorder="1" applyFont="1">
      <alignment horizontal="center" vertical="center"/>
    </xf>
    <xf borderId="41" fillId="2" fontId="1" numFmtId="0" xfId="0" applyAlignment="1" applyBorder="1" applyFont="1">
      <alignment vertical="center"/>
    </xf>
    <xf borderId="42" fillId="11" fontId="4" numFmtId="0" xfId="0" applyAlignment="1" applyBorder="1" applyFont="1">
      <alignment horizontal="center" vertical="center"/>
    </xf>
    <xf borderId="42" fillId="2" fontId="2" numFmtId="2" xfId="0" applyAlignment="1" applyBorder="1" applyFont="1" applyNumberFormat="1">
      <alignment horizontal="center" shrinkToFit="0" vertical="center" wrapText="1"/>
    </xf>
    <xf borderId="41" fillId="9" fontId="1" numFmtId="0" xfId="0" applyAlignment="1" applyBorder="1" applyFont="1">
      <alignment vertical="center"/>
    </xf>
    <xf borderId="42" fillId="9" fontId="1" numFmtId="0" xfId="0" applyAlignment="1" applyBorder="1" applyFont="1">
      <alignment horizontal="center" vertical="center"/>
    </xf>
    <xf borderId="1" fillId="10" fontId="1" numFmtId="169" xfId="0" applyAlignment="1" applyBorder="1" applyFont="1" applyNumberFormat="1">
      <alignment vertical="center"/>
    </xf>
    <xf borderId="42" fillId="11" fontId="1" numFmtId="168" xfId="0" applyAlignment="1" applyBorder="1" applyFont="1" applyNumberFormat="1">
      <alignment vertical="center"/>
    </xf>
    <xf borderId="42" fillId="0" fontId="1" numFmtId="170" xfId="0" applyAlignment="1" applyBorder="1" applyFont="1" applyNumberFormat="1">
      <alignment vertical="center"/>
    </xf>
    <xf borderId="42" fillId="8" fontId="1" numFmtId="165" xfId="0" applyAlignment="1" applyBorder="1" applyFont="1" applyNumberFormat="1">
      <alignment horizontal="right" vertical="center"/>
    </xf>
    <xf borderId="42" fillId="2" fontId="1" numFmtId="0" xfId="0" applyAlignment="1" applyBorder="1" applyFont="1">
      <alignment horizontal="center" vertical="center"/>
    </xf>
    <xf borderId="57" fillId="2" fontId="1" numFmtId="0" xfId="0" applyAlignment="1" applyBorder="1" applyFont="1">
      <alignment vertical="center"/>
    </xf>
    <xf borderId="1" fillId="0" fontId="4" numFmtId="0" xfId="0" applyAlignment="1" applyBorder="1" applyFont="1">
      <alignment horizontal="center" readingOrder="0" vertical="center"/>
    </xf>
    <xf borderId="42" fillId="11" fontId="2" numFmtId="0" xfId="0" applyAlignment="1" applyBorder="1" applyFont="1">
      <alignment shrinkToFit="0" wrapText="1"/>
    </xf>
    <xf borderId="1" fillId="2" fontId="2" numFmtId="169" xfId="0" applyAlignment="1" applyBorder="1" applyFont="1" applyNumberFormat="1">
      <alignment horizontal="center"/>
    </xf>
    <xf borderId="46" fillId="2" fontId="2" numFmtId="165" xfId="0" applyAlignment="1" applyBorder="1" applyFont="1" applyNumberFormat="1">
      <alignment horizontal="right"/>
    </xf>
    <xf borderId="47" fillId="12" fontId="11" numFmtId="165" xfId="0" applyAlignment="1" applyBorder="1" applyFont="1" applyNumberFormat="1">
      <alignment horizontal="center"/>
    </xf>
    <xf borderId="48" fillId="12" fontId="11" numFmtId="165" xfId="0" applyAlignment="1" applyBorder="1" applyFont="1" applyNumberFormat="1">
      <alignment horizontal="right"/>
    </xf>
    <xf borderId="49" fillId="12" fontId="12" numFmtId="165" xfId="0" applyAlignment="1" applyBorder="1" applyFont="1" applyNumberFormat="1">
      <alignment horizontal="right"/>
    </xf>
    <xf borderId="41" fillId="2" fontId="2" numFmtId="0" xfId="0" applyBorder="1" applyFont="1"/>
    <xf borderId="42" fillId="0" fontId="2" numFmtId="0" xfId="0" applyAlignment="1" applyBorder="1" applyFont="1">
      <alignment shrinkToFit="0" wrapText="1"/>
    </xf>
    <xf borderId="42" fillId="0" fontId="2" numFmtId="0" xfId="0" applyAlignment="1" applyBorder="1" applyFont="1">
      <alignment horizontal="center" shrinkToFit="0" wrapText="1"/>
    </xf>
    <xf borderId="42" fillId="0" fontId="1" numFmtId="170" xfId="0" applyBorder="1" applyFont="1" applyNumberFormat="1"/>
    <xf borderId="42" fillId="0" fontId="2" numFmtId="2" xfId="0" applyAlignment="1" applyBorder="1" applyFont="1" applyNumberFormat="1">
      <alignment horizontal="center" readingOrder="0"/>
    </xf>
    <xf borderId="42" fillId="2" fontId="12" numFmtId="2" xfId="0" applyAlignment="1" applyBorder="1" applyFont="1" applyNumberFormat="1">
      <alignment horizontal="center" readingOrder="0"/>
    </xf>
    <xf borderId="42" fillId="2" fontId="12" numFmtId="0" xfId="0" applyAlignment="1" applyBorder="1" applyFont="1">
      <alignment horizontal="center" readingOrder="0"/>
    </xf>
    <xf borderId="42" fillId="2" fontId="2" numFmtId="2" xfId="0" applyAlignment="1" applyBorder="1" applyFont="1" applyNumberFormat="1">
      <alignment horizontal="right"/>
    </xf>
    <xf borderId="42" fillId="8" fontId="11" numFmtId="165" xfId="0" applyAlignment="1" applyBorder="1" applyFont="1" applyNumberFormat="1">
      <alignment horizontal="center"/>
    </xf>
    <xf borderId="1" fillId="2" fontId="1" numFmtId="171" xfId="0" applyBorder="1" applyFont="1" applyNumberFormat="1"/>
    <xf borderId="42" fillId="0" fontId="2" numFmtId="2" xfId="0" applyAlignment="1" applyBorder="1" applyFont="1" applyNumberFormat="1">
      <alignment horizontal="center"/>
    </xf>
    <xf borderId="42" fillId="0" fontId="1" numFmtId="0" xfId="0" applyBorder="1" applyFont="1"/>
    <xf borderId="42" fillId="2" fontId="2" numFmtId="170" xfId="0" applyAlignment="1" applyBorder="1" applyFont="1" applyNumberFormat="1">
      <alignment horizontal="center"/>
    </xf>
    <xf borderId="92" fillId="2" fontId="2" numFmtId="165" xfId="0" applyAlignment="1" applyBorder="1" applyFont="1" applyNumberFormat="1">
      <alignment horizontal="center" vertical="center"/>
    </xf>
    <xf borderId="105" fillId="2" fontId="4" numFmtId="0" xfId="0" applyAlignment="1" applyBorder="1" applyFont="1">
      <alignment horizontal="center" readingOrder="0" vertical="center"/>
    </xf>
    <xf borderId="0" fillId="2" fontId="4" numFmtId="0" xfId="0" applyAlignment="1" applyFont="1">
      <alignment horizontal="center" readingOrder="0" vertical="center"/>
    </xf>
    <xf borderId="3" fillId="2" fontId="2" numFmtId="165" xfId="0" applyAlignment="1" applyBorder="1" applyFont="1" applyNumberFormat="1">
      <alignment vertical="center"/>
    </xf>
    <xf borderId="117" fillId="0" fontId="2" numFmtId="0" xfId="0" applyAlignment="1" applyBorder="1" applyFont="1">
      <alignment horizontal="center" vertical="center"/>
    </xf>
    <xf borderId="1" fillId="2" fontId="2" numFmtId="189" xfId="0" applyAlignment="1" applyBorder="1" applyFont="1" applyNumberFormat="1">
      <alignment vertical="center"/>
    </xf>
    <xf borderId="0" fillId="2" fontId="4" numFmtId="0" xfId="0" applyAlignment="1" applyFont="1">
      <alignment horizontal="center" readingOrder="0" shrinkToFit="0" vertical="center" wrapText="1"/>
    </xf>
    <xf borderId="4" fillId="2" fontId="2" numFmtId="165" xfId="0" applyAlignment="1" applyBorder="1" applyFont="1" applyNumberFormat="1">
      <alignment vertical="center"/>
    </xf>
    <xf borderId="145" fillId="2" fontId="2" numFmtId="165" xfId="0" applyAlignment="1" applyBorder="1" applyFont="1" applyNumberFormat="1">
      <alignment vertical="center"/>
    </xf>
    <xf borderId="0" fillId="0" fontId="2" numFmtId="0" xfId="0" applyAlignment="1" applyFont="1">
      <alignment vertical="center"/>
    </xf>
    <xf borderId="0" fillId="0" fontId="2" numFmtId="0" xfId="0" applyAlignment="1" applyFont="1">
      <alignment horizontal="center" vertical="center"/>
    </xf>
  </cellXfs>
  <cellStyles count="1">
    <cellStyle xfId="0" name="Normal" builtinId="0"/>
  </cellStyles>
  <dxfs count="10">
    <dxf>
      <font>
        <b/>
        <color rgb="FFFF0000"/>
      </font>
      <fill>
        <patternFill patternType="none"/>
      </fill>
      <border/>
    </dxf>
    <dxf>
      <font>
        <b/>
        <color rgb="FFFF0000"/>
      </font>
      <fill>
        <patternFill patternType="solid">
          <fgColor rgb="FFF7CAAC"/>
          <bgColor rgb="FFF7CAAC"/>
        </patternFill>
      </fill>
      <border/>
    </dxf>
    <dxf>
      <font>
        <color rgb="FFFFFFFF"/>
      </font>
      <fill>
        <patternFill patternType="solid">
          <fgColor rgb="FF128937"/>
          <bgColor rgb="FF128937"/>
        </patternFill>
      </fill>
      <border/>
    </dxf>
    <dxf>
      <font>
        <color rgb="FFFFFFFF"/>
      </font>
      <fill>
        <patternFill patternType="solid">
          <fgColor rgb="FFFF0000"/>
          <bgColor rgb="FFFF0000"/>
        </patternFill>
      </fill>
      <border/>
    </dxf>
    <dxf>
      <font>
        <b/>
        <color rgb="FFFF0000"/>
      </font>
      <fill>
        <patternFill patternType="solid">
          <fgColor rgb="FFFFFF00"/>
          <bgColor rgb="FFFFFF00"/>
        </patternFill>
      </fill>
      <border/>
    </dxf>
    <dxf>
      <font>
        <strike/>
        <color rgb="FFFF0000"/>
      </font>
      <fill>
        <patternFill patternType="none"/>
      </fill>
      <border/>
    </dxf>
    <dxf>
      <font>
        <b/>
        <color rgb="FF0000FF"/>
      </font>
      <fill>
        <patternFill patternType="none"/>
      </fill>
      <border/>
    </dxf>
    <dxf>
      <font>
        <b/>
      </font>
      <fill>
        <patternFill patternType="solid">
          <fgColor rgb="FFFFFFFF"/>
          <bgColor rgb="FFFFFFFF"/>
        </patternFill>
      </fill>
      <border/>
    </dxf>
    <dxf>
      <font>
        <b/>
        <color rgb="FF000000"/>
      </font>
      <fill>
        <patternFill patternType="solid">
          <fgColor rgb="FFFF9900"/>
          <bgColor rgb="FFFF9900"/>
        </patternFill>
      </fill>
      <border/>
    </dxf>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jpg"/><Relationship Id="rId3" Type="http://schemas.openxmlformats.org/officeDocument/2006/relationships/image" Target="../media/image3.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1104900</xdr:colOff>
      <xdr:row>0</xdr:row>
      <xdr:rowOff>47625</xdr:rowOff>
    </xdr:from>
    <xdr:ext cx="885825" cy="800100"/>
    <xdr:grpSp>
      <xdr:nvGrpSpPr>
        <xdr:cNvPr id="2" name="Shape 2" title="Drawing"/>
        <xdr:cNvGrpSpPr/>
      </xdr:nvGrpSpPr>
      <xdr:grpSpPr>
        <a:xfrm>
          <a:off x="152400" y="152400"/>
          <a:ext cx="866775" cy="781050"/>
          <a:chOff x="152400" y="152400"/>
          <a:chExt cx="866775" cy="781050"/>
        </a:xfrm>
      </xdr:grpSpPr>
      <xdr:pic>
        <xdr:nvPicPr>
          <xdr:cNvPr id="3" name="Shape 3"/>
          <xdr:cNvPicPr preferRelativeResize="0"/>
        </xdr:nvPicPr>
        <xdr:blipFill>
          <a:blip r:embed="rId1">
            <a:alphaModFix/>
          </a:blip>
          <a:stretch>
            <a:fillRect/>
          </a:stretch>
        </xdr:blipFill>
        <xdr:spPr>
          <a:xfrm>
            <a:off x="152400" y="152400"/>
            <a:ext cx="866775" cy="781050"/>
          </a:xfrm>
          <a:prstGeom prst="rect">
            <a:avLst/>
          </a:prstGeom>
          <a:noFill/>
          <a:ln>
            <a:noFill/>
          </a:ln>
        </xdr:spPr>
      </xdr:pic>
    </xdr:grpSp>
    <xdr:clientData fLocksWithSheet="0"/>
  </xdr:oneCellAnchor>
  <xdr:oneCellAnchor>
    <xdr:from>
      <xdr:col>0</xdr:col>
      <xdr:colOff>342900</xdr:colOff>
      <xdr:row>100</xdr:row>
      <xdr:rowOff>114300</xdr:rowOff>
    </xdr:from>
    <xdr:ext cx="9344025" cy="1504950"/>
    <xdr:pic>
      <xdr:nvPicPr>
        <xdr:cNvPr id="0" name="image1.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419100</xdr:colOff>
      <xdr:row>124</xdr:row>
      <xdr:rowOff>57150</xdr:rowOff>
    </xdr:from>
    <xdr:ext cx="5905500" cy="4676775"/>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266700</xdr:colOff>
      <xdr:row>151</xdr:row>
      <xdr:rowOff>66675</xdr:rowOff>
    </xdr:from>
    <xdr:ext cx="6229350" cy="5057775"/>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FF9900"/>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lhmanagement.co.nz/"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3.xml"/><Relationship Id="rId3"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fitToPage="1"/>
  </sheetPr>
  <sheetViews>
    <sheetView workbookViewId="0">
      <pane ySplit="17.0" topLeftCell="A18" activePane="bottomLeft" state="frozen"/>
      <selection activeCell="B19" sqref="B19" pane="bottomLeft"/>
    </sheetView>
  </sheetViews>
  <sheetFormatPr customHeight="1" defaultColWidth="14.43" defaultRowHeight="15.0" outlineLevelCol="2"/>
  <cols>
    <col customWidth="1" min="1" max="1" width="3.0"/>
    <col customWidth="1" min="2" max="2" width="21.71"/>
    <col customWidth="1" min="3" max="3" width="69.57"/>
    <col customWidth="1" min="4" max="4" width="20.57"/>
    <col customWidth="1" min="5" max="5" width="7.86"/>
    <col customWidth="1" min="6" max="6" width="9.57" outlineLevel="1"/>
    <col customWidth="1" min="7" max="7" width="15.43" outlineLevel="1"/>
    <col customWidth="1" min="8" max="8" width="6.57" outlineLevel="1"/>
    <col customWidth="1" min="9" max="9" width="12.0" outlineLevel="2"/>
    <col customWidth="1" min="10" max="10" width="12.57" outlineLevel="2"/>
    <col customWidth="1" min="11" max="11" width="10.43" outlineLevel="1"/>
    <col customWidth="1" min="12" max="12" width="11.71" outlineLevel="1"/>
    <col customWidth="1" min="13" max="13" width="12.29" outlineLevel="1"/>
    <col customWidth="1" min="14" max="14" width="14.71" outlineLevel="1"/>
    <col customWidth="1" min="15" max="15" width="10.0" outlineLevel="1"/>
    <col customWidth="1" min="16" max="16" width="10.57" outlineLevel="1"/>
    <col customWidth="1" min="17" max="17" width="15.29"/>
    <col customWidth="1" min="18" max="18" width="22.0" outlineLevel="1"/>
    <col customWidth="1" min="19" max="19" width="13.71" outlineLevel="1"/>
    <col customWidth="1" min="20" max="20" width="16.14" outlineLevel="1"/>
    <col customWidth="1" min="21" max="21" width="17.29" outlineLevel="1"/>
    <col customWidth="1" min="22" max="22" width="18.57" outlineLevel="1"/>
    <col customWidth="1" min="23" max="23" width="17.86" outlineLevel="1"/>
    <col customWidth="1" min="24" max="24" width="18.57" outlineLevel="1"/>
    <col customWidth="1" min="25" max="25" width="11.57" outlineLevel="1"/>
    <col customWidth="1" min="26" max="26" width="16.57" outlineLevel="1"/>
    <col customWidth="1" min="27" max="27" width="16.86" outlineLevel="1"/>
    <col customWidth="1" min="28" max="28" width="14.0" outlineLevel="1"/>
    <col customWidth="1" min="29" max="29" width="20.86" outlineLevel="1"/>
    <col customWidth="1" min="30" max="30" width="17.29" outlineLevel="1"/>
    <col customWidth="1" min="31" max="31" width="15.86" outlineLevel="1"/>
    <col customWidth="1" min="32" max="32" width="8.86" outlineLevel="1"/>
    <col customWidth="1" min="33" max="33" width="16.0" outlineLevel="1"/>
    <col customWidth="1" min="34" max="34" width="17.86" outlineLevel="1"/>
    <col customWidth="1" min="35" max="35" width="18.57" outlineLevel="1"/>
    <col customWidth="1" min="36" max="36" width="10.43"/>
    <col customWidth="1" min="37" max="37" width="28.43"/>
    <col customWidth="1" min="38" max="38" width="9.29"/>
    <col customWidth="1" min="39" max="42" width="20.57"/>
    <col customWidth="1" min="43" max="43" width="7.14"/>
    <col customWidth="1" min="44" max="44" width="5.43"/>
    <col customWidth="1" min="45" max="45" width="17.86"/>
    <col customWidth="1" min="46" max="46" width="18.57"/>
    <col customWidth="1" min="47" max="47" width="7.14"/>
    <col customWidth="1" min="48" max="48" width="8.57"/>
    <col customWidth="1" min="49" max="49" width="9.29"/>
    <col customWidth="1" min="50" max="60" width="9.14"/>
  </cols>
  <sheetData>
    <row r="1" ht="12.75" customHeight="1">
      <c r="A1" s="1"/>
      <c r="B1" s="2"/>
      <c r="C1" s="2"/>
      <c r="D1" s="2"/>
      <c r="E1" s="3"/>
      <c r="F1" s="2"/>
      <c r="G1" s="2"/>
      <c r="H1" s="2"/>
      <c r="I1" s="2"/>
      <c r="J1" s="2"/>
      <c r="K1" s="2"/>
      <c r="L1" s="3"/>
      <c r="M1" s="3"/>
      <c r="N1" s="4"/>
      <c r="O1" s="2"/>
      <c r="P1" s="2"/>
      <c r="Q1" s="2"/>
      <c r="R1" s="5"/>
      <c r="S1" s="5"/>
      <c r="T1" s="2"/>
      <c r="U1" s="5"/>
      <c r="V1" s="5"/>
      <c r="W1" s="5"/>
      <c r="X1" s="2"/>
      <c r="Y1" s="5"/>
      <c r="Z1" s="5"/>
      <c r="AA1" s="5"/>
      <c r="AB1" s="5"/>
      <c r="AC1" s="2"/>
      <c r="AD1" s="5"/>
      <c r="AE1" s="5"/>
      <c r="AF1" s="6"/>
      <c r="AG1" s="5"/>
      <c r="AH1" s="5"/>
      <c r="AI1" s="5"/>
      <c r="AJ1" s="5"/>
      <c r="AK1" s="5"/>
      <c r="AL1" s="2"/>
      <c r="AM1" s="7"/>
      <c r="AN1" s="5"/>
      <c r="AO1" s="2"/>
      <c r="AP1" s="2"/>
      <c r="AQ1" s="2"/>
      <c r="AR1" s="2"/>
      <c r="AS1" s="2"/>
      <c r="AT1" s="2"/>
      <c r="AU1" s="2"/>
      <c r="AV1" s="2"/>
      <c r="AW1" s="2"/>
      <c r="AX1" s="2"/>
      <c r="AY1" s="2"/>
      <c r="AZ1" s="2"/>
      <c r="BA1" s="2"/>
      <c r="BB1" s="2"/>
      <c r="BC1" s="2"/>
      <c r="BD1" s="2"/>
      <c r="BE1" s="2"/>
      <c r="BF1" s="2"/>
      <c r="BG1" s="2"/>
      <c r="BH1" s="2"/>
    </row>
    <row r="2" ht="12.75" customHeight="1">
      <c r="A2" s="8">
        <v>1.0</v>
      </c>
      <c r="B2" s="9"/>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2"/>
      <c r="AM2" s="7"/>
      <c r="AN2" s="5"/>
      <c r="AO2" s="2"/>
      <c r="AP2" s="2"/>
      <c r="AQ2" s="2"/>
      <c r="AR2" s="2"/>
      <c r="AS2" s="2"/>
      <c r="AT2" s="2"/>
      <c r="AU2" s="2"/>
      <c r="AV2" s="2"/>
      <c r="AW2" s="2"/>
      <c r="AX2" s="2"/>
      <c r="AY2" s="2"/>
      <c r="AZ2" s="2"/>
      <c r="BA2" s="2"/>
      <c r="BB2" s="2"/>
      <c r="BC2" s="2"/>
      <c r="BD2" s="2"/>
      <c r="BE2" s="2"/>
      <c r="BF2" s="2"/>
      <c r="BG2" s="2"/>
      <c r="BH2" s="2"/>
    </row>
    <row r="3" ht="12.75" customHeight="1">
      <c r="A3" s="8">
        <v>1.0</v>
      </c>
      <c r="B3" s="11"/>
      <c r="AL3" s="2"/>
      <c r="AM3" s="7"/>
      <c r="AN3" s="5"/>
      <c r="AO3" s="2"/>
      <c r="AP3" s="2"/>
      <c r="AQ3" s="2"/>
      <c r="AR3" s="2"/>
      <c r="AS3" s="2"/>
      <c r="AT3" s="2"/>
      <c r="AU3" s="2"/>
      <c r="AV3" s="2"/>
      <c r="AW3" s="2"/>
      <c r="AX3" s="2"/>
      <c r="AY3" s="2"/>
      <c r="AZ3" s="2"/>
      <c r="BA3" s="2"/>
      <c r="BB3" s="2"/>
      <c r="BC3" s="2"/>
      <c r="BD3" s="2"/>
      <c r="BE3" s="2"/>
      <c r="BF3" s="2"/>
      <c r="BG3" s="2"/>
      <c r="BH3" s="2"/>
    </row>
    <row r="4" ht="12.75" customHeight="1">
      <c r="A4" s="8">
        <v>1.0</v>
      </c>
      <c r="B4" s="11"/>
      <c r="AL4" s="2"/>
      <c r="AM4" s="7"/>
      <c r="AN4" s="5"/>
      <c r="AO4" s="2"/>
      <c r="AP4" s="2"/>
      <c r="AQ4" s="2"/>
      <c r="AR4" s="2"/>
      <c r="AS4" s="2"/>
      <c r="AT4" s="2"/>
      <c r="AU4" s="2"/>
      <c r="AV4" s="2"/>
      <c r="AW4" s="2"/>
      <c r="AX4" s="2"/>
      <c r="AY4" s="2"/>
      <c r="AZ4" s="2"/>
      <c r="BA4" s="2"/>
      <c r="BB4" s="2"/>
      <c r="BC4" s="2"/>
      <c r="BD4" s="2"/>
      <c r="BE4" s="2"/>
      <c r="BF4" s="2"/>
      <c r="BG4" s="2"/>
      <c r="BH4" s="2"/>
    </row>
    <row r="5" ht="12.75" customHeight="1">
      <c r="A5" s="8">
        <v>1.0</v>
      </c>
      <c r="B5" s="11"/>
      <c r="AL5" s="2"/>
      <c r="AM5" s="7"/>
      <c r="AN5" s="5"/>
      <c r="AO5" s="2"/>
      <c r="AP5" s="2"/>
      <c r="AQ5" s="2"/>
      <c r="AR5" s="2"/>
      <c r="AS5" s="2"/>
      <c r="AT5" s="2"/>
      <c r="AU5" s="2"/>
      <c r="AV5" s="2"/>
      <c r="AW5" s="2"/>
      <c r="AX5" s="2"/>
      <c r="AY5" s="2"/>
      <c r="AZ5" s="2"/>
      <c r="BA5" s="2"/>
      <c r="BB5" s="2"/>
      <c r="BC5" s="2"/>
      <c r="BD5" s="2"/>
      <c r="BE5" s="2"/>
      <c r="BF5" s="2"/>
      <c r="BG5" s="2"/>
      <c r="BH5" s="2"/>
    </row>
    <row r="6" ht="12.75" customHeight="1">
      <c r="A6" s="8">
        <v>1.0</v>
      </c>
      <c r="B6" s="11"/>
      <c r="AL6" s="2"/>
      <c r="AM6" s="7"/>
      <c r="AN6" s="5"/>
      <c r="AO6" s="2"/>
      <c r="AP6" s="2"/>
      <c r="AQ6" s="2"/>
      <c r="AR6" s="2"/>
      <c r="AS6" s="2"/>
      <c r="AT6" s="2"/>
      <c r="AU6" s="2"/>
      <c r="AV6" s="2"/>
      <c r="AW6" s="2"/>
      <c r="AX6" s="2"/>
      <c r="AY6" s="2"/>
      <c r="AZ6" s="2"/>
      <c r="BA6" s="2"/>
      <c r="BB6" s="2"/>
      <c r="BC6" s="2"/>
      <c r="BD6" s="2"/>
      <c r="BE6" s="2"/>
      <c r="BF6" s="2"/>
      <c r="BG6" s="2"/>
      <c r="BH6" s="2"/>
    </row>
    <row r="7" ht="12.75" customHeight="1">
      <c r="A7" s="8">
        <v>1.0</v>
      </c>
      <c r="B7" s="11"/>
      <c r="AL7" s="2"/>
      <c r="AM7" s="7"/>
      <c r="AN7" s="5"/>
      <c r="AO7" s="2"/>
      <c r="AP7" s="2"/>
      <c r="AQ7" s="2"/>
      <c r="AR7" s="2"/>
      <c r="AS7" s="2"/>
      <c r="AT7" s="2"/>
      <c r="AU7" s="2"/>
      <c r="AV7" s="2"/>
      <c r="AW7" s="2"/>
      <c r="AX7" s="2"/>
      <c r="AY7" s="2"/>
      <c r="AZ7" s="2"/>
      <c r="BA7" s="2"/>
      <c r="BB7" s="2"/>
      <c r="BC7" s="2"/>
      <c r="BD7" s="2"/>
      <c r="BE7" s="2"/>
      <c r="BF7" s="2"/>
      <c r="BG7" s="2"/>
      <c r="BH7" s="2"/>
    </row>
    <row r="8" ht="12.75" customHeight="1">
      <c r="A8" s="8">
        <v>1.0</v>
      </c>
      <c r="B8" s="12" t="s">
        <v>0</v>
      </c>
      <c r="C8" s="13" t="s">
        <v>1</v>
      </c>
      <c r="D8" s="2"/>
      <c r="E8" s="3"/>
      <c r="F8" s="2"/>
      <c r="G8" s="2"/>
      <c r="H8" s="2"/>
      <c r="I8" s="2"/>
      <c r="J8" s="2"/>
      <c r="K8" s="14" t="s">
        <v>2</v>
      </c>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2"/>
      <c r="AM8" s="7"/>
      <c r="AN8" s="5"/>
      <c r="AO8" s="2"/>
      <c r="AP8" s="2"/>
      <c r="AQ8" s="2"/>
      <c r="AR8" s="2"/>
      <c r="AS8" s="2"/>
      <c r="AT8" s="2"/>
      <c r="AU8" s="2"/>
      <c r="AV8" s="2"/>
      <c r="AW8" s="2"/>
      <c r="AX8" s="2"/>
      <c r="AY8" s="2"/>
      <c r="AZ8" s="2"/>
      <c r="BA8" s="2"/>
      <c r="BB8" s="2"/>
      <c r="BC8" s="2"/>
      <c r="BD8" s="2"/>
      <c r="BE8" s="2"/>
      <c r="BF8" s="2"/>
      <c r="BG8" s="2"/>
      <c r="BH8" s="2"/>
    </row>
    <row r="9" ht="12.75" customHeight="1">
      <c r="A9" s="8">
        <v>1.0</v>
      </c>
      <c r="B9" s="12" t="s">
        <v>3</v>
      </c>
      <c r="C9" s="2"/>
      <c r="D9" s="2"/>
      <c r="E9" s="3"/>
      <c r="F9" s="2"/>
      <c r="G9" s="2"/>
      <c r="H9" s="2"/>
      <c r="I9" s="2"/>
      <c r="J9" s="2"/>
      <c r="K9" s="16"/>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2"/>
      <c r="AM9" s="7"/>
      <c r="AN9" s="5"/>
      <c r="AO9" s="2"/>
      <c r="AP9" s="2"/>
      <c r="AQ9" s="2"/>
      <c r="AR9" s="2"/>
      <c r="AS9" s="2"/>
      <c r="AT9" s="2"/>
      <c r="AU9" s="2"/>
      <c r="AV9" s="2"/>
      <c r="AW9" s="2"/>
      <c r="AX9" s="2"/>
      <c r="AY9" s="2"/>
      <c r="AZ9" s="2"/>
      <c r="BA9" s="2"/>
      <c r="BB9" s="2"/>
      <c r="BC9" s="2"/>
      <c r="BD9" s="2"/>
      <c r="BE9" s="2"/>
      <c r="BF9" s="2"/>
      <c r="BG9" s="2"/>
      <c r="BH9" s="2"/>
    </row>
    <row r="10" ht="12.75" customHeight="1">
      <c r="A10" s="1"/>
      <c r="B10" s="2"/>
      <c r="C10" s="18" t="s">
        <v>4</v>
      </c>
      <c r="D10" s="19" t="s">
        <v>5</v>
      </c>
      <c r="E10" s="20"/>
      <c r="F10" s="21"/>
      <c r="G10" s="21"/>
      <c r="H10" s="21"/>
      <c r="I10" s="22">
        <v>1.0</v>
      </c>
      <c r="J10" s="2"/>
      <c r="K10" s="2"/>
      <c r="L10" s="3"/>
      <c r="M10" s="3"/>
      <c r="N10" s="4"/>
      <c r="O10" s="2"/>
      <c r="P10" s="2"/>
      <c r="Q10" s="2"/>
      <c r="R10" s="5"/>
      <c r="S10" s="5"/>
      <c r="T10" s="2"/>
      <c r="U10" s="5"/>
      <c r="V10" s="5"/>
      <c r="W10" s="5"/>
      <c r="X10" s="2"/>
      <c r="Y10" s="5"/>
      <c r="Z10" s="5"/>
      <c r="AA10" s="5"/>
      <c r="AB10" s="5"/>
      <c r="AC10" s="2"/>
      <c r="AD10" s="5"/>
      <c r="AE10" s="5"/>
      <c r="AF10" s="6"/>
      <c r="AG10" s="5"/>
      <c r="AH10" s="5"/>
      <c r="AI10" s="5"/>
      <c r="AJ10" s="5"/>
      <c r="AK10" s="5"/>
      <c r="AL10" s="2"/>
      <c r="AM10" s="7"/>
      <c r="AN10" s="5"/>
      <c r="AO10" s="2"/>
      <c r="AP10" s="2"/>
      <c r="AQ10" s="2"/>
      <c r="AR10" s="2"/>
      <c r="AS10" s="2"/>
      <c r="AT10" s="2"/>
      <c r="AU10" s="2"/>
      <c r="AV10" s="2"/>
      <c r="AW10" s="2"/>
      <c r="AX10" s="2"/>
      <c r="AY10" s="2"/>
      <c r="AZ10" s="2"/>
      <c r="BA10" s="2"/>
      <c r="BB10" s="2"/>
      <c r="BC10" s="2"/>
      <c r="BD10" s="2"/>
      <c r="BE10" s="2"/>
      <c r="BF10" s="2"/>
      <c r="BG10" s="2"/>
      <c r="BH10" s="2"/>
    </row>
    <row r="11" ht="12.75" customHeight="1">
      <c r="A11" s="8">
        <v>1.0</v>
      </c>
      <c r="B11" s="23" t="s">
        <v>6</v>
      </c>
      <c r="C11" s="23" t="s">
        <v>7</v>
      </c>
      <c r="D11" s="24" t="s">
        <v>8</v>
      </c>
      <c r="E11" s="25" t="s">
        <v>9</v>
      </c>
      <c r="F11" s="24" t="s">
        <v>10</v>
      </c>
      <c r="G11" s="24" t="s">
        <v>11</v>
      </c>
      <c r="H11" s="24" t="s">
        <v>12</v>
      </c>
      <c r="I11" s="24" t="s">
        <v>13</v>
      </c>
      <c r="J11" s="26" t="s">
        <v>14</v>
      </c>
      <c r="K11" s="23" t="s">
        <v>15</v>
      </c>
      <c r="L11" s="27" t="s">
        <v>16</v>
      </c>
      <c r="M11" s="28" t="s">
        <v>17</v>
      </c>
      <c r="N11" s="29"/>
      <c r="O11" s="29"/>
      <c r="P11" s="30"/>
      <c r="Q11" s="23" t="s">
        <v>18</v>
      </c>
      <c r="R11" s="31" t="s">
        <v>19</v>
      </c>
      <c r="S11" s="29"/>
      <c r="T11" s="30"/>
      <c r="U11" s="32"/>
      <c r="V11" s="31" t="s">
        <v>20</v>
      </c>
      <c r="W11" s="30"/>
      <c r="X11" s="2"/>
      <c r="Y11" s="5"/>
      <c r="Z11" s="5"/>
      <c r="AA11" s="5"/>
      <c r="AB11" s="5"/>
      <c r="AC11" s="33"/>
      <c r="AD11" s="34" t="s">
        <v>21</v>
      </c>
      <c r="AE11" s="35" t="s">
        <v>22</v>
      </c>
      <c r="AF11" s="36" t="s">
        <v>23</v>
      </c>
      <c r="AG11" s="37" t="s">
        <v>24</v>
      </c>
      <c r="AH11" s="38" t="s">
        <v>25</v>
      </c>
      <c r="AI11" s="39"/>
      <c r="AJ11" s="40" t="s">
        <v>26</v>
      </c>
      <c r="AK11" s="40" t="s">
        <v>27</v>
      </c>
      <c r="AL11" s="2"/>
      <c r="AM11" s="41" t="s">
        <v>18</v>
      </c>
      <c r="AN11" s="40" t="s">
        <v>28</v>
      </c>
      <c r="AO11" s="40" t="s">
        <v>29</v>
      </c>
      <c r="AP11" s="40" t="s">
        <v>30</v>
      </c>
      <c r="AQ11" s="2"/>
      <c r="AR11" s="2"/>
      <c r="AS11" s="2"/>
      <c r="AT11" s="2"/>
      <c r="AU11" s="2"/>
      <c r="AV11" s="2"/>
      <c r="AW11" s="2"/>
      <c r="AX11" s="2"/>
      <c r="AY11" s="2"/>
      <c r="AZ11" s="2"/>
      <c r="BA11" s="2"/>
      <c r="BB11" s="2"/>
      <c r="BC11" s="2"/>
      <c r="BD11" s="2"/>
      <c r="BE11" s="2"/>
      <c r="BF11" s="2"/>
      <c r="BG11" s="2"/>
      <c r="BH11" s="2"/>
    </row>
    <row r="12" ht="28.5" customHeight="1">
      <c r="A12" s="8">
        <v>1.0</v>
      </c>
      <c r="B12" s="42"/>
      <c r="C12" s="42"/>
      <c r="D12" s="43"/>
      <c r="E12" s="43"/>
      <c r="F12" s="43"/>
      <c r="G12" s="43"/>
      <c r="H12" s="43"/>
      <c r="I12" s="43"/>
      <c r="J12" s="44"/>
      <c r="K12" s="42"/>
      <c r="L12" s="45" t="s">
        <v>31</v>
      </c>
      <c r="M12" s="46" t="s">
        <v>18</v>
      </c>
      <c r="N12" s="47" t="s">
        <v>32</v>
      </c>
      <c r="O12" s="48">
        <v>0.0</v>
      </c>
      <c r="P12" s="49" t="s">
        <v>15</v>
      </c>
      <c r="Q12" s="42"/>
      <c r="R12" s="50" t="s">
        <v>26</v>
      </c>
      <c r="S12" s="51" t="s">
        <v>27</v>
      </c>
      <c r="T12" s="51" t="s">
        <v>33</v>
      </c>
      <c r="U12" s="50" t="s">
        <v>26</v>
      </c>
      <c r="V12" s="50" t="s">
        <v>27</v>
      </c>
      <c r="W12" s="51" t="s">
        <v>34</v>
      </c>
      <c r="X12" s="2"/>
      <c r="Y12" s="5"/>
      <c r="Z12" s="5"/>
      <c r="AA12" s="5"/>
      <c r="AB12" s="5"/>
      <c r="AC12" s="33"/>
      <c r="AD12" s="52"/>
      <c r="AE12" s="53"/>
      <c r="AF12" s="54">
        <f>SUM(AF13)</f>
        <v>0</v>
      </c>
      <c r="AG12" s="55"/>
      <c r="AH12" s="56"/>
      <c r="AI12" s="39"/>
      <c r="AJ12" s="57"/>
      <c r="AK12" s="57"/>
      <c r="AL12" s="2"/>
      <c r="AM12" s="57"/>
      <c r="AN12" s="57"/>
      <c r="AO12" s="57"/>
      <c r="AP12" s="57"/>
      <c r="AQ12" s="2"/>
      <c r="AR12" s="2"/>
      <c r="AS12" s="2"/>
      <c r="AT12" s="2"/>
      <c r="AU12" s="2"/>
      <c r="AV12" s="2"/>
      <c r="AW12" s="2"/>
      <c r="AX12" s="2"/>
      <c r="AY12" s="2"/>
      <c r="AZ12" s="2"/>
      <c r="BA12" s="2"/>
      <c r="BB12" s="2"/>
      <c r="BC12" s="2"/>
      <c r="BD12" s="2"/>
      <c r="BE12" s="2"/>
      <c r="BF12" s="2"/>
      <c r="BG12" s="2"/>
      <c r="BH12" s="2"/>
    </row>
    <row r="13" ht="12.75" customHeight="1">
      <c r="A13" s="8">
        <v>1.0</v>
      </c>
      <c r="B13" s="58"/>
      <c r="C13" s="59"/>
      <c r="D13" s="59"/>
      <c r="E13" s="60"/>
      <c r="F13" s="59"/>
      <c r="G13" s="59"/>
      <c r="H13" s="59"/>
      <c r="I13" s="59"/>
      <c r="J13" s="59"/>
      <c r="K13" s="59"/>
      <c r="L13" s="60"/>
      <c r="M13" s="60"/>
      <c r="N13" s="61"/>
      <c r="O13" s="59"/>
      <c r="P13" s="59"/>
      <c r="Q13" s="62"/>
      <c r="R13" s="63"/>
      <c r="S13" s="63"/>
      <c r="T13" s="62"/>
      <c r="U13" s="63"/>
      <c r="V13" s="63"/>
      <c r="W13" s="64"/>
      <c r="X13" s="2"/>
      <c r="Y13" s="5"/>
      <c r="Z13" s="5"/>
      <c r="AA13" s="5"/>
      <c r="AB13" s="5"/>
      <c r="AC13" s="33"/>
      <c r="AD13" s="65"/>
      <c r="AE13" s="66"/>
      <c r="AF13" s="67"/>
      <c r="AG13" s="68"/>
      <c r="AH13" s="69"/>
      <c r="AI13" s="39"/>
      <c r="AJ13" s="70"/>
      <c r="AK13" s="70"/>
      <c r="AL13" s="2"/>
      <c r="AM13" s="7"/>
      <c r="AN13" s="5"/>
      <c r="AO13" s="2"/>
      <c r="AP13" s="2"/>
      <c r="AQ13" s="2"/>
      <c r="AR13" s="2"/>
      <c r="AS13" s="2"/>
      <c r="AT13" s="2"/>
      <c r="AU13" s="2"/>
      <c r="AV13" s="2"/>
      <c r="AW13" s="2"/>
      <c r="AX13" s="2"/>
      <c r="AY13" s="2"/>
      <c r="AZ13" s="2"/>
      <c r="BA13" s="2"/>
      <c r="BB13" s="2"/>
      <c r="BC13" s="2"/>
      <c r="BD13" s="2"/>
      <c r="BE13" s="2"/>
      <c r="BF13" s="2"/>
      <c r="BG13" s="2"/>
      <c r="BH13" s="2"/>
    </row>
    <row r="14" ht="12.75" customHeight="1">
      <c r="A14" s="71">
        <v>1.0</v>
      </c>
      <c r="B14" s="72"/>
      <c r="C14" s="73" t="s">
        <v>35</v>
      </c>
      <c r="D14" s="74"/>
      <c r="E14" s="75"/>
      <c r="F14" s="74"/>
      <c r="G14" s="74"/>
      <c r="H14" s="74"/>
      <c r="I14" s="75"/>
      <c r="J14" s="74"/>
      <c r="K14" s="74"/>
      <c r="L14" s="75"/>
      <c r="M14" s="75"/>
      <c r="N14" s="76"/>
      <c r="O14" s="74"/>
      <c r="P14" s="74"/>
      <c r="Q14" s="77"/>
      <c r="R14" s="78"/>
      <c r="S14" s="78"/>
      <c r="T14" s="77"/>
      <c r="U14" s="78"/>
      <c r="V14" s="78"/>
      <c r="W14" s="79"/>
      <c r="X14" s="21"/>
      <c r="Y14" s="5"/>
      <c r="Z14" s="5"/>
      <c r="AA14" s="5"/>
      <c r="AB14" s="5"/>
      <c r="AC14" s="21"/>
      <c r="AD14" s="80"/>
      <c r="AE14" s="81"/>
      <c r="AF14" s="82"/>
      <c r="AG14" s="83"/>
      <c r="AH14" s="84"/>
      <c r="AI14" s="85"/>
      <c r="AJ14" s="86"/>
      <c r="AK14" s="86"/>
      <c r="AL14" s="5"/>
      <c r="AM14" s="7"/>
      <c r="AN14" s="5"/>
      <c r="AO14" s="5"/>
      <c r="AP14" s="5"/>
      <c r="AQ14" s="5"/>
      <c r="AR14" s="5"/>
      <c r="AS14" s="5"/>
      <c r="AT14" s="5"/>
      <c r="AU14" s="5"/>
      <c r="AV14" s="5"/>
      <c r="AW14" s="5"/>
      <c r="AX14" s="5"/>
      <c r="AY14" s="5"/>
      <c r="AZ14" s="5"/>
      <c r="BA14" s="5"/>
      <c r="BB14" s="5"/>
      <c r="BC14" s="5"/>
      <c r="BD14" s="5"/>
      <c r="BE14" s="5"/>
      <c r="BF14" s="5"/>
      <c r="BG14" s="5"/>
      <c r="BH14" s="5"/>
    </row>
    <row r="15" ht="12.75" customHeight="1">
      <c r="A15" s="87">
        <v>1.0</v>
      </c>
      <c r="B15" s="88"/>
      <c r="C15" s="89" t="s">
        <v>36</v>
      </c>
      <c r="D15" s="90"/>
      <c r="E15" s="91"/>
      <c r="F15" s="90"/>
      <c r="G15" s="90"/>
      <c r="H15" s="90"/>
      <c r="I15" s="90"/>
      <c r="J15" s="90"/>
      <c r="K15" s="90"/>
      <c r="L15" s="91"/>
      <c r="M15" s="91"/>
      <c r="N15" s="92"/>
      <c r="O15" s="90"/>
      <c r="P15" s="90"/>
      <c r="Q15" s="90"/>
      <c r="R15" s="90"/>
      <c r="S15" s="90"/>
      <c r="T15" s="90"/>
      <c r="U15" s="90"/>
      <c r="V15" s="90"/>
      <c r="W15" s="93"/>
      <c r="X15" s="94"/>
      <c r="Y15" s="5"/>
      <c r="Z15" s="5"/>
      <c r="AA15" s="5"/>
      <c r="AB15" s="5"/>
      <c r="AC15" s="94"/>
      <c r="AD15" s="95"/>
      <c r="AE15" s="96"/>
      <c r="AF15" s="97"/>
      <c r="AG15" s="98"/>
      <c r="AH15" s="99"/>
      <c r="AI15" s="100"/>
      <c r="AJ15" s="101"/>
      <c r="AK15" s="101"/>
      <c r="AL15" s="5"/>
      <c r="AM15" s="7"/>
      <c r="AN15" s="5"/>
      <c r="AO15" s="5"/>
      <c r="AP15" s="5"/>
      <c r="AQ15" s="5"/>
      <c r="AR15" s="5"/>
      <c r="AS15" s="5"/>
      <c r="AT15" s="5"/>
      <c r="AU15" s="5"/>
      <c r="AV15" s="5"/>
      <c r="AW15" s="5"/>
      <c r="AX15" s="5"/>
      <c r="AY15" s="5"/>
      <c r="AZ15" s="5"/>
      <c r="BA15" s="5"/>
      <c r="BB15" s="5"/>
      <c r="BC15" s="5"/>
      <c r="BD15" s="5"/>
      <c r="BE15" s="5"/>
      <c r="BF15" s="5"/>
      <c r="BG15" s="5"/>
      <c r="BH15" s="5"/>
    </row>
    <row r="16">
      <c r="A16" s="87">
        <v>1.0</v>
      </c>
      <c r="B16" s="102"/>
      <c r="C16" s="103" t="s">
        <v>37</v>
      </c>
      <c r="D16" s="104"/>
      <c r="E16" s="105"/>
      <c r="F16" s="104"/>
      <c r="G16" s="104"/>
      <c r="H16" s="104"/>
      <c r="I16" s="104"/>
      <c r="J16" s="104"/>
      <c r="K16" s="104"/>
      <c r="L16" s="106" t="str">
        <f>Q16</f>
        <v>#REF!</v>
      </c>
      <c r="M16" s="105"/>
      <c r="N16" s="107"/>
      <c r="O16" s="104"/>
      <c r="P16" s="104"/>
      <c r="Q16" s="106" t="str">
        <f>Q17</f>
        <v>#REF!</v>
      </c>
      <c r="R16" s="108"/>
      <c r="S16" s="109" t="str">
        <f>T16/Q16</f>
        <v>#REF!</v>
      </c>
      <c r="T16" s="109" t="str">
        <f>SUM(S17:S35)</f>
        <v>#REF!</v>
      </c>
      <c r="U16" s="108" t="str">
        <f>iferror(if(B16="",,VLOOKUP(B16,Data!$B$2:$F905,5,0)),"")</f>
        <v/>
      </c>
      <c r="V16" s="109" t="str">
        <f>W16/Q16</f>
        <v>#REF!</v>
      </c>
      <c r="W16" s="110" t="str">
        <f>SUM(W17:W35)</f>
        <v>#REF!</v>
      </c>
      <c r="X16" s="111" t="str">
        <f>W16/$AC$176/$W$183/$X$173</f>
        <v>#REF!</v>
      </c>
      <c r="Y16" s="112" t="str">
        <f>(T16+W16)=(SUM(AB17:AB34))</f>
        <v>#REF!</v>
      </c>
      <c r="Z16" s="113" t="str">
        <f>(T16+W16)-(SUM(AB17:AB34))</f>
        <v>#REF!</v>
      </c>
      <c r="AA16" s="5"/>
      <c r="AB16" s="5"/>
      <c r="AC16" s="33"/>
      <c r="AD16" s="114" t="str">
        <f>W16+T16</f>
        <v>#REF!</v>
      </c>
      <c r="AE16" s="115" t="str">
        <f>AD16</f>
        <v>#REF!</v>
      </c>
      <c r="AF16" s="116" t="str">
        <f>AE16/$AE$151</f>
        <v>#REF!</v>
      </c>
      <c r="AG16" s="117" t="str">
        <f>AF16*$AG$158</f>
        <v>#REF!</v>
      </c>
      <c r="AH16" s="118" t="str">
        <f>AF16*$AG$161</f>
        <v>#REF!</v>
      </c>
      <c r="AI16" s="39"/>
      <c r="AJ16" s="119" t="str">
        <f>ROUND(AK16/L16,2)</f>
        <v>#REF!</v>
      </c>
      <c r="AK16" s="119" t="str">
        <f>ROUND(AH16+AG16+AD16,2)</f>
        <v>#REF!</v>
      </c>
      <c r="AL16" s="5"/>
      <c r="AM16" s="105"/>
      <c r="AN16" s="120"/>
      <c r="AO16" s="105"/>
      <c r="AP16" s="120"/>
      <c r="AQ16" s="5"/>
      <c r="AR16" s="5"/>
      <c r="AS16" s="5"/>
      <c r="AT16" s="5"/>
      <c r="AU16" s="5"/>
      <c r="AV16" s="5"/>
      <c r="AW16" s="5"/>
      <c r="AX16" s="5"/>
      <c r="AY16" s="5"/>
      <c r="AZ16" s="5"/>
      <c r="BA16" s="5"/>
      <c r="BB16" s="5"/>
      <c r="BC16" s="5"/>
      <c r="BD16" s="5"/>
      <c r="BE16" s="5"/>
      <c r="BF16" s="5"/>
      <c r="BG16" s="5"/>
      <c r="BH16" s="5"/>
    </row>
    <row r="17">
      <c r="A17" s="121"/>
      <c r="B17" s="122" t="s">
        <v>38</v>
      </c>
      <c r="C17" s="123" t="s">
        <v>39</v>
      </c>
      <c r="D17" s="124" t="s">
        <v>40</v>
      </c>
      <c r="E17" s="125" t="str">
        <f>IFERROR(__xludf.DUMMYFUNCTION("IF($B$17:$B379="""","""",
  VLOOKUP(
    $B$17:$B379,
    QUERY(
      IMPORTRANGE(""1Ag27m9YF5mMfJh2E6NipJDFvPLlDI1p-s_1XEnzMHcc"",""Merge!F2:R""),
      ""select Col1, Col11"",
      0
    ),
    2,
    FALSE
  )
)
"),"#REF!")</f>
        <v>#REF!</v>
      </c>
      <c r="F17" s="126" t="str">
        <f>IFERROR(__xludf.DUMMYFUNCTION("IFERROR(REGEXEXTRACT(C17,""@\s*(\d+)\s*deg"")&amp;""°"","""")
"),"9°")</f>
        <v>9°</v>
      </c>
      <c r="G17" s="127"/>
      <c r="H17" s="128" t="str">
        <f>IFERROR(__xludf.DUMMYFUNCTION("IFERROR(REGEXEXTRACT(C17, ""(\d*\.\d+)mm""), """")"),"0.55")</f>
        <v>0.55</v>
      </c>
      <c r="I17" s="129"/>
      <c r="J17" s="126" t="s">
        <v>14</v>
      </c>
      <c r="K17" s="130" t="s">
        <v>41</v>
      </c>
      <c r="L17" s="131">
        <v>602.91</v>
      </c>
      <c r="M17" s="132" t="str">
        <f>L17*E17</f>
        <v>#REF!</v>
      </c>
      <c r="N17" s="133">
        <f>IFERROR(__xludf.DUMMYFUNCTION("ARRAYFORMULA(IF(
    (B17:B148&lt;&gt;"""") * (F17:F148=""""),
    1,
    IF(
      F17:F148="""",
      """",
      IFERROR(1/COS(RADIANS(REGEXEXTRACT(F17:F148,""(\d+)""))))
    )
  ))"),1.0124651257880029)</f>
        <v>1.012465126</v>
      </c>
      <c r="O17" s="134">
        <v>1.0</v>
      </c>
      <c r="P17" s="134">
        <v>1.0</v>
      </c>
      <c r="Q17" s="135" t="str">
        <f>M17*N17*O17*P17</f>
        <v>#REF!</v>
      </c>
      <c r="R17" s="136" t="str">
        <f t="array" ref="R17:R148">iferror(if(B17:B148="",,VLOOKUP(B17:B148,Data!$B$2:$K905,9,0)),"")</f>
        <v/>
      </c>
      <c r="S17" s="137" t="str">
        <f>R17*Q17</f>
        <v>#REF!</v>
      </c>
      <c r="T17" s="138"/>
      <c r="U17" s="136" t="str">
        <f t="array" ref="U17:U148">iferror(if(B17:B148="",,VLOOKUP(B17:B148,Data!$B$2:$K905,10,0)),"")</f>
        <v/>
      </c>
      <c r="V17" s="139"/>
      <c r="W17" s="140" t="str">
        <f>U17*Q17</f>
        <v>#REF!</v>
      </c>
      <c r="X17" s="111" t="str">
        <f>W17/$AC$176/$W$183/Y17</f>
        <v>#REF!</v>
      </c>
      <c r="Y17" s="141">
        <v>10.0</v>
      </c>
      <c r="Z17" s="142" t="str">
        <f>Q17/X17</f>
        <v>#REF!</v>
      </c>
      <c r="AA17" s="143">
        <f>27*15/60/8</f>
        <v>0.84375</v>
      </c>
      <c r="AB17" s="113" t="str">
        <f t="shared" ref="AB17:AB34" si="1">W17+S17</f>
        <v>#REF!</v>
      </c>
      <c r="AC17" s="33"/>
      <c r="AD17" s="65"/>
      <c r="AE17" s="66"/>
      <c r="AF17" s="144"/>
      <c r="AG17" s="68"/>
      <c r="AH17" s="69"/>
      <c r="AI17" s="39"/>
      <c r="AJ17" s="70"/>
      <c r="AK17" s="70"/>
      <c r="AL17" s="5"/>
      <c r="AM17" s="145" t="str">
        <f t="array" ref="AM17:AM148">IFERROR(
   IF(B17:B148="","",
IF(D17:D148="Rain Head",L17:L148,
IF(D17:D148="R-Accessories",L17:L148,
IF(D17:D148="R-AdvFixing",L17:L148,
IF(D17:D148="R-Angle Bar",L17:L148,
IF(D17:D148="R-Butyl",L17:L148/12,
IF(D17:D148="R-Comb Filler",L17:L148,
IF(D17:D148="R-Dektite",L17:L148,
IF(D17:D148="R-Dektite Fix",L17:L148*(ROUNDUP(E17:E148/0.05,0)+1),
IF(D17:D148="R-Dektite Seal",L17:L148*(E17:E148/8),
IF(D17:D148="R-DP",L17:L148,
IF(D17:D148="R-DPC",L17:L148,
IF(D17:D148="R-DPBracket",L17:L148,
IF(D17:D148="R-EavesGut",L17:L148,
IF(D17:D148="R-EGBracket",ROUNDUP(L17:L148/E17:E148,0)+1,
IF(D17:D148="R-EGBracketFixing",ROUNDUP(L17:L148*E17:E148,0)+1,
IF(D17:D148="R-ExpFoam",L17:L148,
IF(D17:D148="R-Fascia",L17:L148,
IF(D17:D148="R-FasciaBracket",ROUNDUP(L17:L148/E17:E148,0)+1,
IF(D17:D148="R-FasciaBracketFixing",ROUNDUP(L17:L148/0.6,0)+1,
IF(D17:D148="R-FFBottom",L17:L148,
IF(D17:D148="R-FFSide",L17:L148,
IF(D17:D148="R-FFTop",L17:L148,
IF(D17:D148="R-Fixings",ROUNDUP(L17:L148*6,0)+1,
IF(D17:D148="R-Flashing",L17:L148,
IF(D17:D148="R-GenFix",ROUNDUP(L17:L148/0.6,0)+1,
IF(D17:D148="R-Insulation",L17:L148,
IF(D17:D148="R-KS",VLOOKUP(B17:B148,Data!B2:H905,6,0)*L17:L148,
IF(D17:D148="R-KSFixing",ROUNDUP(L17:L148*6,0)+1,
IF(D17:D148="R-LM",L17:L148,
IF(D17:D148="R-m2",L17:L148*E17:E148,
IF(D17:D148="R-OF",L17:L148,
IF(D17:D148="R-OP",L17:L148,
IF(D17:D148="R-OPFixing",L17:L148*10,
IF(D17:D148="R-OPSeal",(L17:L148*3.14*E17:E148)/8,
IF(D17:D148="R-PanFlashing",L17:L148,
IF(D17:D148="R-PanFlash Fix",ROUNDUP((L17:L148*E17:E148)*8,0)+1,
IF(D17:D148="R-Post",L17:L148/E17:E148,
IF(D17:D148="R-PostFix",L17:L148,
IF(D17:D148="R-Perforated ",ROUNDUP(L17:L148/E17:E148,0),
IF(D17:D148="R-PerforatedFix",ROUNDUP(L17:L148*8,0)+1,
IF(D17:D148="R-Rail",L17:L148,
IF(D17:D148="R-Rainhead",L17:L148,
IF(D17:D148="R-Ridge Vent",(L17:L148/(VLOOKUP(B17:B148,Data!B2:H905,6,0))),
IF(D17:D148="R-Rivets",ROUNDUP(((L17:L148/5.7)+1)*(E17:E148/0.05),0),
IF(D17:D148="R-RivetsEa",L17:L148,
IF(D17:D148="R-RoofClips",ROUNDUP(L17:L148/E17:E148,0)+1,
IF(D17:D148="R-Safety Mesh",L17:L148,
IF(D17:D148="R-Scupper",L17:L148,
IF(D17:D148="R-Sheeting",VLOOKUP(B17:B148,Data!B2:H905,6,0)*L17:L148,
IF(D17:D148="R-Silicone",(ROUNDDOWN((L17:L148/5.7)+2,0)*E17:E148)/8,
IF(D17:D148="R-Silicone LM",L17:L148/8,
IF(D17:D148="R-SumpFixing",ROUNDUP((L17:L148*E17:E148)/0.05,0)+1,
IF(D17:D148="R-SumpSeal",(L17:L148*E17:E148)/8,
IF(D17:D148="R-Sump",L17:L148,
IF(D17:D148="R-Takeoff ea",L17:L148,
IF(D17:D148="R-Takeoff LM",L17:L148,
IF(D17:D148="R-Takeoff m2",L17:L148*E17:E148,
IF(D17:D148="R-Takeoff m3",L17:L148*E17:E148*H17:H148,
IF(D17:D148="R-Timber ea",ROUNDUP(L17:L148/E17:E148,0)+1,
IF(D17:D148="R-Timber LM",L17:L148,
IF(D17:D148="R-Timber m2",L17:L148*E17:E148,
IF(D17:D148="R-Timber eaFix",L17:L148*E17:E148,
IF(D17:D148="R-TimberLMFix",ROUNDUP(L17:L148/1,0)+1,
IF(D17:D148="R-Timberm2Fix",ROUNDUP(L17:L148*5,0)+1,
IF(D17:D148="R-TopHatFixings",ROUNDUP(L17:L148/0.6,0)*2,
IF(D17:D148="R-Trimmer/Packer",L17:L148,
IF(D17:D148="R-TS",VLOOKUP(B17:B148,Data!B2:H905,6,0)*L17:L148,
IF(D17:D148="R-TSFixing",(ROUNDUP(L17:L148/0.6,0)+1)*2,
IF(D17:D148="R-TSLapSeal",L17:L148,
IF(D17:D148="R-TSPurlinStrip",L17:L148/E17:E148,
IF(D17:D148="R-TSStitching",L17:L148*2,
IF(D17:D148="R-TPO",L17:L148,
IF(D17:D148="R-TPO Gutter",L17:L148,
IF(D17:D148="R-TU/TD",L17:L148,
IF(D17:D148="R-UBracket",ROUNDUP(L17:L148/E17:E148,0)+1,
IF(D17:D148="R-UBracketFix",ROUNDUP(L17:L148*E17:E148,0)+1,
IF(D17:D148="R-Underlay",(L17:L148/(VLOOKUP(B17:B148,Data!B2:H905,6,0)-0.15))*0.15+L17:L148,
IF(D17:D148="R-UTape",L17:L148/E17:E148/H17:H148,
IF(D17:D148="R-Vent",(L17:L148/(VLOOKUP(B17:B148,Data!B2:H905,6,0))),
IF(D17:D148="R-Valley Gutter",L17:L148,
IF(D17:D148="R-VapBarrier",(L17:L148/(E17:E148-0.15))*0.15+L17:L148,
IF(D17:D148="R-Washer",L17:L148,
IF(D17:D148="R-ZFlashingFix",(L17:L148/E17:E148)*2,
IF(D17:D148="W-Comb Filler",L17:L148,
IF(D17:D148="W-DPC",L17:L148,
IF(D17:D148="W-Fixings",ROUNDUP(L17:L148*6,0)+1,
IF(D17:D148="W-Flashing",L17:L148,
IF(D17:D148="W-GenFix",ROUNDUP(L17:L148/0.6,0)+1,
IF(D17:D148="W-KS",VLOOKUP(B17:B148,Data!B2:H905,6,0)*L17:L148,
IF(D17:D148="W-KSFixing",ROUNDUP(L17:L148*6,0)+1,
IF(D17:D148="W-RAB",L17:L148,
IF(D17:D148="W-RABFix",ROUNDUP(L17:L148*E17:E148,0)+1,
IF(D17:D148="W-Rivets",ROUNDUP(((L17:L148/5.7)+1)*(E17:E148/0.05),0),
IF(D17:D148="W-Silicone",(ROUNDDOWN((L17:L148/5.7)+2,0)*E17:E148)/8,
IF(D17:D148="W-Silicone LM",L17:L148/8,
IF(D17:D148="W-Sheeting",VLOOKUP(B17:B148,Data!B2:H905,6,0)*L17:L148,
IF(D17:D148="W-Silicone",(ROUNDDOWN((L17:L148/5.7)+2,0)*E17:E148)/8,
IF(D17:D148="W-Silicone LM",L17:L148/8,
IF(D17:D148="W-Takeoff ea",L17:L148,
IF(D17:D148="W-Takeoff LM",L17:L148,
IF(D17:D148="W-Takeoff m2",L17:L148*E17:E148,
IF(D17:D148="W-Timber LM",L17:L148,
IF(D17:D148="W-Timber m2",L17:L148*E17:E148,
IF(D17:D148="W-TimberLMFix",ROUNDUP(L17:L148/1,0)+1,
IF(D17:D148="W-Timberm2Fix",ROUNDUP(L17:L148*5,0)+1,
IF(D17:D148="W-TopHatFixings",ROUNDUP(L17:L148/0.6,0)*2,
IF(D17:D148="W-Trimmer/Packer",L17:L148,
IF(D17:D148="W-TimberLMFix",ROUNDUP(L17:L148/0.6,0)+1,
IF(D17:D148="W-Timberm2Fix",ROUNDUP(L17:L148*8,0)+1,
IF(D17:D148="W-Underlay",(L17:L148/(VLOOKUP(B17:B148,Data!B2:H905,6,0)-0.15))*0.15+L17:L148,
IF(D17:D148="W-UTape",L17:L148/E17:E148/H17:H148,
IF(D17:D148="W-Vent",(L17:L148/(VLOOKUP(B17:B148,Data!B2:H905,6,0))),
0
    ))))))))))))))))))))))))))))))))))))))))))))))))))))))))))))))))))))))))))))))))))))))))))))))))))))))))))))))))),
  ""
 )</f>
        <v/>
      </c>
      <c r="AN17" s="146" t="str">
        <f t="array" ref="AN17:AN148">if(B17:B148="",,if(M17:M148=AM17:AM148,"Matched","Mismatched"))</f>
        <v>#REF!</v>
      </c>
      <c r="AO17" s="145" t="str">
        <f t="array" ref="AO17:AO148">if(AM17:AM148="","",AM17:AM148-M17:M148)</f>
        <v/>
      </c>
      <c r="AP17" s="139"/>
      <c r="AQ17" s="5"/>
      <c r="AR17" s="5"/>
      <c r="AS17" s="5"/>
      <c r="AT17" s="5"/>
      <c r="AU17" s="5"/>
      <c r="AV17" s="5"/>
      <c r="AW17" s="5"/>
      <c r="AX17" s="5"/>
      <c r="AY17" s="5"/>
      <c r="AZ17" s="5"/>
      <c r="BA17" s="5"/>
      <c r="BB17" s="5"/>
      <c r="BC17" s="5"/>
      <c r="BD17" s="5"/>
      <c r="BE17" s="5"/>
      <c r="BF17" s="5"/>
      <c r="BG17" s="5"/>
      <c r="BH17" s="5"/>
    </row>
    <row r="18">
      <c r="A18" s="147"/>
      <c r="B18" s="122"/>
      <c r="C18" s="123"/>
      <c r="D18" s="148"/>
      <c r="E18" s="126"/>
      <c r="F18" s="126"/>
      <c r="G18" s="149"/>
      <c r="H18" s="127"/>
      <c r="I18" s="127"/>
      <c r="J18" s="126"/>
      <c r="K18" s="126" t="s">
        <v>42</v>
      </c>
      <c r="L18" s="131"/>
      <c r="M18" s="150"/>
      <c r="N18" s="151" t="str">
        <f>IFERROR(__xludf.DUMMYFUNCTION("""COMPUTED_VALUE"""),"")</f>
        <v/>
      </c>
      <c r="O18" s="134"/>
      <c r="P18" s="134"/>
      <c r="Q18" s="135"/>
      <c r="R18" s="136"/>
      <c r="S18" s="137"/>
      <c r="T18" s="138"/>
      <c r="U18" s="136"/>
      <c r="V18" s="139"/>
      <c r="W18" s="140"/>
      <c r="X18" s="2"/>
      <c r="Y18" s="5"/>
      <c r="Z18" s="5"/>
      <c r="AA18" s="5"/>
      <c r="AB18" s="113">
        <f t="shared" si="1"/>
        <v>0</v>
      </c>
      <c r="AC18" s="33"/>
      <c r="AD18" s="65"/>
      <c r="AE18" s="66"/>
      <c r="AF18" s="144"/>
      <c r="AG18" s="68"/>
      <c r="AH18" s="69"/>
      <c r="AI18" s="39"/>
      <c r="AJ18" s="70"/>
      <c r="AK18" s="70"/>
      <c r="AL18" s="5"/>
      <c r="AM18" s="135" t="s">
        <v>42</v>
      </c>
      <c r="AN18" s="152"/>
      <c r="AO18" s="135" t="s">
        <v>42</v>
      </c>
      <c r="AP18" s="139"/>
      <c r="AQ18" s="5"/>
      <c r="AR18" s="5"/>
      <c r="AS18" s="5"/>
      <c r="AT18" s="5"/>
      <c r="AU18" s="5"/>
      <c r="AV18" s="5"/>
      <c r="AW18" s="5"/>
      <c r="AX18" s="5"/>
      <c r="AY18" s="5"/>
      <c r="AZ18" s="5"/>
      <c r="BA18" s="5"/>
      <c r="BB18" s="5"/>
      <c r="BC18" s="5"/>
      <c r="BD18" s="5"/>
      <c r="BE18" s="5"/>
      <c r="BF18" s="5"/>
      <c r="BG18" s="5"/>
      <c r="BH18" s="5"/>
    </row>
    <row r="19">
      <c r="A19" s="147"/>
      <c r="B19" s="122" t="s">
        <v>43</v>
      </c>
      <c r="C19" s="123" t="s">
        <v>44</v>
      </c>
      <c r="D19" s="148" t="s">
        <v>45</v>
      </c>
      <c r="E19" s="126"/>
      <c r="F19" s="126" t="str">
        <f>F59</f>
        <v>9°</v>
      </c>
      <c r="G19" s="149"/>
      <c r="H19" s="127"/>
      <c r="I19" s="127"/>
      <c r="J19" s="126" t="s">
        <v>14</v>
      </c>
      <c r="K19" s="126" t="s">
        <v>41</v>
      </c>
      <c r="L19" s="131">
        <v>539.5</v>
      </c>
      <c r="M19" s="150">
        <f t="shared" ref="M19:M20" si="2">L19</f>
        <v>539.5</v>
      </c>
      <c r="N19" s="151">
        <f>IFERROR(__xludf.DUMMYFUNCTION("""COMPUTED_VALUE"""),1.0124651257880029)</f>
        <v>1.012465126</v>
      </c>
      <c r="O19" s="134">
        <v>1.0</v>
      </c>
      <c r="P19" s="134">
        <v>1.0</v>
      </c>
      <c r="Q19" s="135">
        <f t="shared" ref="Q19:Q20" si="3">M19*N19*O19*P19</f>
        <v>546.2249354</v>
      </c>
      <c r="R19" s="136" t="s">
        <v>42</v>
      </c>
      <c r="S19" s="137">
        <f t="shared" ref="S19:S20" si="4">R19*Q19</f>
        <v>0</v>
      </c>
      <c r="T19" s="138"/>
      <c r="U19" s="136" t="s">
        <v>42</v>
      </c>
      <c r="V19" s="139"/>
      <c r="W19" s="140">
        <f t="shared" ref="W19:W20" si="5">U19*Q19</f>
        <v>0</v>
      </c>
      <c r="X19" s="2"/>
      <c r="Y19" s="5"/>
      <c r="Z19" s="5"/>
      <c r="AA19" s="5"/>
      <c r="AB19" s="113">
        <f t="shared" si="1"/>
        <v>0</v>
      </c>
      <c r="AC19" s="33"/>
      <c r="AD19" s="65"/>
      <c r="AE19" s="66"/>
      <c r="AF19" s="144"/>
      <c r="AG19" s="68"/>
      <c r="AH19" s="69"/>
      <c r="AI19" s="39"/>
      <c r="AJ19" s="70"/>
      <c r="AK19" s="70"/>
      <c r="AL19" s="5"/>
      <c r="AM19" s="135">
        <v>539.5</v>
      </c>
      <c r="AN19" s="152" t="s">
        <v>46</v>
      </c>
      <c r="AO19" s="135">
        <v>0.0</v>
      </c>
      <c r="AP19" s="139"/>
      <c r="AQ19" s="5"/>
      <c r="AR19" s="5"/>
      <c r="AS19" s="5"/>
      <c r="AT19" s="5"/>
      <c r="AU19" s="5"/>
      <c r="AV19" s="5"/>
      <c r="AW19" s="5"/>
      <c r="AX19" s="5"/>
      <c r="AY19" s="5"/>
      <c r="AZ19" s="5"/>
      <c r="BA19" s="5"/>
      <c r="BB19" s="5"/>
      <c r="BC19" s="5"/>
      <c r="BD19" s="5"/>
      <c r="BE19" s="5"/>
      <c r="BF19" s="5"/>
      <c r="BG19" s="5"/>
      <c r="BH19" s="5"/>
    </row>
    <row r="20">
      <c r="A20" s="147"/>
      <c r="B20" s="122" t="s">
        <v>47</v>
      </c>
      <c r="C20" s="123" t="s">
        <v>48</v>
      </c>
      <c r="D20" s="148" t="s">
        <v>45</v>
      </c>
      <c r="E20" s="126"/>
      <c r="F20" s="126" t="str">
        <f>F19</f>
        <v>9°</v>
      </c>
      <c r="G20" s="149"/>
      <c r="H20" s="127"/>
      <c r="I20" s="127"/>
      <c r="J20" s="126" t="s">
        <v>14</v>
      </c>
      <c r="K20" s="126" t="s">
        <v>41</v>
      </c>
      <c r="L20" s="135">
        <f>M19</f>
        <v>539.5</v>
      </c>
      <c r="M20" s="150">
        <f t="shared" si="2"/>
        <v>539.5</v>
      </c>
      <c r="N20" s="151">
        <f>IFERROR(__xludf.DUMMYFUNCTION("""COMPUTED_VALUE"""),1.0124651257880029)</f>
        <v>1.012465126</v>
      </c>
      <c r="O20" s="134">
        <v>1.0</v>
      </c>
      <c r="P20" s="134">
        <v>1.0</v>
      </c>
      <c r="Q20" s="135">
        <f t="shared" si="3"/>
        <v>546.2249354</v>
      </c>
      <c r="R20" s="136" t="s">
        <v>42</v>
      </c>
      <c r="S20" s="137">
        <f t="shared" si="4"/>
        <v>0</v>
      </c>
      <c r="T20" s="138"/>
      <c r="U20" s="136" t="s">
        <v>42</v>
      </c>
      <c r="V20" s="139"/>
      <c r="W20" s="140">
        <f t="shared" si="5"/>
        <v>0</v>
      </c>
      <c r="X20" s="2"/>
      <c r="Y20" s="5"/>
      <c r="Z20" s="5"/>
      <c r="AA20" s="5"/>
      <c r="AB20" s="113">
        <f t="shared" si="1"/>
        <v>0</v>
      </c>
      <c r="AC20" s="33"/>
      <c r="AD20" s="65"/>
      <c r="AE20" s="66"/>
      <c r="AF20" s="144"/>
      <c r="AG20" s="68"/>
      <c r="AH20" s="69"/>
      <c r="AI20" s="39"/>
      <c r="AJ20" s="70"/>
      <c r="AK20" s="70"/>
      <c r="AL20" s="5"/>
      <c r="AM20" s="135">
        <v>539.5</v>
      </c>
      <c r="AN20" s="152" t="s">
        <v>46</v>
      </c>
      <c r="AO20" s="135">
        <v>0.0</v>
      </c>
      <c r="AP20" s="139"/>
      <c r="AQ20" s="5"/>
      <c r="AR20" s="5"/>
      <c r="AS20" s="5"/>
      <c r="AT20" s="5"/>
      <c r="AU20" s="5"/>
      <c r="AV20" s="5"/>
      <c r="AW20" s="5"/>
      <c r="AX20" s="5"/>
      <c r="AY20" s="5"/>
      <c r="AZ20" s="5"/>
      <c r="BA20" s="5"/>
      <c r="BB20" s="5"/>
      <c r="BC20" s="5"/>
      <c r="BD20" s="5"/>
      <c r="BE20" s="5"/>
      <c r="BF20" s="5"/>
      <c r="BG20" s="5"/>
      <c r="BH20" s="5"/>
    </row>
    <row r="21" ht="12.75" customHeight="1">
      <c r="A21" s="147"/>
      <c r="B21" s="122"/>
      <c r="C21" s="123"/>
      <c r="D21" s="148"/>
      <c r="E21" s="126"/>
      <c r="F21" s="126"/>
      <c r="G21" s="129"/>
      <c r="H21" s="128"/>
      <c r="I21" s="127"/>
      <c r="J21" s="126"/>
      <c r="K21" s="126" t="s">
        <v>42</v>
      </c>
      <c r="L21" s="135"/>
      <c r="M21" s="150"/>
      <c r="N21" s="151" t="str">
        <f>IFERROR(__xludf.DUMMYFUNCTION("""COMPUTED_VALUE"""),"")</f>
        <v/>
      </c>
      <c r="O21" s="134"/>
      <c r="P21" s="134"/>
      <c r="Q21" s="135"/>
      <c r="R21" s="136"/>
      <c r="S21" s="137"/>
      <c r="T21" s="138"/>
      <c r="U21" s="136"/>
      <c r="V21" s="139"/>
      <c r="W21" s="140"/>
      <c r="X21" s="2"/>
      <c r="Y21" s="5"/>
      <c r="Z21" s="5"/>
      <c r="AA21" s="5"/>
      <c r="AB21" s="113">
        <f t="shared" si="1"/>
        <v>0</v>
      </c>
      <c r="AC21" s="33"/>
      <c r="AD21" s="65"/>
      <c r="AE21" s="66"/>
      <c r="AF21" s="144"/>
      <c r="AG21" s="68"/>
      <c r="AH21" s="69"/>
      <c r="AI21" s="39"/>
      <c r="AJ21" s="70"/>
      <c r="AK21" s="70"/>
      <c r="AL21" s="5"/>
      <c r="AM21" s="135" t="s">
        <v>42</v>
      </c>
      <c r="AN21" s="152"/>
      <c r="AO21" s="135" t="s">
        <v>42</v>
      </c>
      <c r="AP21" s="139"/>
      <c r="AQ21" s="5"/>
      <c r="AR21" s="5"/>
      <c r="AS21" s="5"/>
      <c r="AT21" s="5"/>
      <c r="AU21" s="5"/>
      <c r="AV21" s="5"/>
      <c r="AW21" s="5"/>
      <c r="AX21" s="5"/>
      <c r="AY21" s="5"/>
      <c r="AZ21" s="5"/>
      <c r="BA21" s="5"/>
      <c r="BB21" s="5"/>
      <c r="BC21" s="5"/>
      <c r="BD21" s="5"/>
      <c r="BE21" s="5"/>
      <c r="BF21" s="5"/>
      <c r="BG21" s="5"/>
      <c r="BH21" s="5"/>
    </row>
    <row r="22" ht="12.75" customHeight="1">
      <c r="A22" s="147"/>
      <c r="B22" s="122" t="s">
        <v>49</v>
      </c>
      <c r="C22" s="123" t="s">
        <v>50</v>
      </c>
      <c r="D22" s="148" t="s">
        <v>51</v>
      </c>
      <c r="E22" s="126"/>
      <c r="F22" s="126" t="str">
        <f>F17</f>
        <v>9°</v>
      </c>
      <c r="G22" s="129"/>
      <c r="H22" s="128" t="str">
        <f>IFERROR(__xludf.DUMMYFUNCTION("IFERROR(REGEXEXTRACT(C22, ""(\d*\.\d+)mm""), """")"),"")</f>
        <v/>
      </c>
      <c r="I22" s="127"/>
      <c r="J22" s="126" t="s">
        <v>14</v>
      </c>
      <c r="K22" s="126" t="s">
        <v>52</v>
      </c>
      <c r="L22" s="135">
        <f>M28</f>
        <v>676.68</v>
      </c>
      <c r="M22" s="150">
        <v>676.68</v>
      </c>
      <c r="N22" s="151">
        <f>IFERROR(__xludf.DUMMYFUNCTION("""COMPUTED_VALUE"""),1.0124651257880029)</f>
        <v>1.012465126</v>
      </c>
      <c r="O22" s="134">
        <v>1.0</v>
      </c>
      <c r="P22" s="134">
        <v>1.0</v>
      </c>
      <c r="Q22" s="135">
        <f>M22*N22*O22*P22</f>
        <v>685.1149013</v>
      </c>
      <c r="R22" s="136" t="s">
        <v>42</v>
      </c>
      <c r="S22" s="137">
        <f>R22*Q22</f>
        <v>0</v>
      </c>
      <c r="T22" s="138"/>
      <c r="U22" s="136" t="s">
        <v>42</v>
      </c>
      <c r="V22" s="139"/>
      <c r="W22" s="140">
        <f>U22*Q22</f>
        <v>0</v>
      </c>
      <c r="X22" s="2"/>
      <c r="Y22" s="5"/>
      <c r="Z22" s="5"/>
      <c r="AA22" s="5"/>
      <c r="AB22" s="113">
        <f t="shared" si="1"/>
        <v>0</v>
      </c>
      <c r="AC22" s="33"/>
      <c r="AD22" s="65"/>
      <c r="AE22" s="66"/>
      <c r="AF22" s="144"/>
      <c r="AG22" s="68"/>
      <c r="AH22" s="69"/>
      <c r="AI22" s="39"/>
      <c r="AJ22" s="70"/>
      <c r="AK22" s="70"/>
      <c r="AL22" s="5"/>
      <c r="AM22" s="135">
        <v>676.68</v>
      </c>
      <c r="AN22" s="152" t="s">
        <v>46</v>
      </c>
      <c r="AO22" s="135">
        <v>0.0</v>
      </c>
      <c r="AP22" s="139"/>
      <c r="AQ22" s="5"/>
      <c r="AR22" s="5"/>
      <c r="AS22" s="5"/>
      <c r="AT22" s="5"/>
      <c r="AU22" s="5"/>
      <c r="AV22" s="5"/>
      <c r="AW22" s="5"/>
      <c r="AX22" s="5"/>
      <c r="AY22" s="5"/>
      <c r="AZ22" s="5"/>
      <c r="BA22" s="5"/>
      <c r="BB22" s="5"/>
      <c r="BC22" s="5"/>
      <c r="BD22" s="5"/>
      <c r="BE22" s="5"/>
      <c r="BF22" s="5"/>
      <c r="BG22" s="5"/>
      <c r="BH22" s="5"/>
    </row>
    <row r="23" ht="12.75" customHeight="1">
      <c r="A23" s="147"/>
      <c r="B23" s="122" t="s">
        <v>53</v>
      </c>
      <c r="C23" s="123" t="s">
        <v>54</v>
      </c>
      <c r="D23" s="148" t="s">
        <v>51</v>
      </c>
      <c r="E23" s="126"/>
      <c r="F23" s="126" t="str">
        <f t="shared" ref="F23:F24" si="6">F22</f>
        <v>9°</v>
      </c>
      <c r="G23" s="129"/>
      <c r="H23" s="128"/>
      <c r="I23" s="127"/>
      <c r="J23" s="126" t="s">
        <v>14</v>
      </c>
      <c r="K23" s="126" t="s">
        <v>55</v>
      </c>
      <c r="L23" s="135">
        <f>M28</f>
        <v>676.68</v>
      </c>
      <c r="M23" s="150">
        <v>676.68</v>
      </c>
      <c r="N23" s="151">
        <f>IFERROR(__xludf.DUMMYFUNCTION("""COMPUTED_VALUE"""),1.0124651257880029)</f>
        <v>1.012465126</v>
      </c>
      <c r="O23" s="134"/>
      <c r="P23" s="134"/>
      <c r="Q23" s="135"/>
      <c r="R23" s="136" t="s">
        <v>42</v>
      </c>
      <c r="S23" s="137"/>
      <c r="T23" s="138"/>
      <c r="U23" s="136" t="s">
        <v>42</v>
      </c>
      <c r="V23" s="139"/>
      <c r="W23" s="140"/>
      <c r="X23" s="2"/>
      <c r="Y23" s="5"/>
      <c r="Z23" s="5"/>
      <c r="AA23" s="5"/>
      <c r="AB23" s="113">
        <f t="shared" si="1"/>
        <v>0</v>
      </c>
      <c r="AC23" s="33"/>
      <c r="AD23" s="65"/>
      <c r="AE23" s="66"/>
      <c r="AF23" s="144"/>
      <c r="AG23" s="68"/>
      <c r="AH23" s="69"/>
      <c r="AI23" s="39"/>
      <c r="AJ23" s="70"/>
      <c r="AK23" s="70"/>
      <c r="AL23" s="5"/>
      <c r="AM23" s="135">
        <v>676.68</v>
      </c>
      <c r="AN23" s="152" t="s">
        <v>46</v>
      </c>
      <c r="AO23" s="135">
        <v>0.0</v>
      </c>
      <c r="AP23" s="139"/>
      <c r="AQ23" s="5"/>
      <c r="AR23" s="5"/>
      <c r="AS23" s="5"/>
      <c r="AT23" s="5"/>
      <c r="AU23" s="5"/>
      <c r="AV23" s="5"/>
      <c r="AW23" s="5"/>
      <c r="AX23" s="5"/>
      <c r="AY23" s="5"/>
      <c r="AZ23" s="5"/>
      <c r="BA23" s="5"/>
      <c r="BB23" s="5"/>
      <c r="BC23" s="5"/>
      <c r="BD23" s="5"/>
      <c r="BE23" s="5"/>
      <c r="BF23" s="5"/>
      <c r="BG23" s="5"/>
      <c r="BH23" s="5"/>
    </row>
    <row r="24" ht="12.75" customHeight="1">
      <c r="A24" s="147"/>
      <c r="B24" s="122" t="s">
        <v>56</v>
      </c>
      <c r="C24" s="123" t="s">
        <v>57</v>
      </c>
      <c r="D24" s="148" t="s">
        <v>51</v>
      </c>
      <c r="E24" s="126"/>
      <c r="F24" s="126" t="str">
        <f t="shared" si="6"/>
        <v>9°</v>
      </c>
      <c r="G24" s="129"/>
      <c r="H24" s="128"/>
      <c r="I24" s="127"/>
      <c r="J24" s="126" t="s">
        <v>14</v>
      </c>
      <c r="K24" s="126" t="s">
        <v>52</v>
      </c>
      <c r="L24" s="135">
        <f>M28</f>
        <v>676.68</v>
      </c>
      <c r="M24" s="150">
        <v>676.68</v>
      </c>
      <c r="N24" s="151">
        <f>IFERROR(__xludf.DUMMYFUNCTION("""COMPUTED_VALUE"""),1.0124651257880029)</f>
        <v>1.012465126</v>
      </c>
      <c r="O24" s="134"/>
      <c r="P24" s="134"/>
      <c r="Q24" s="135"/>
      <c r="R24" s="136" t="s">
        <v>42</v>
      </c>
      <c r="S24" s="137"/>
      <c r="T24" s="138"/>
      <c r="U24" s="136" t="s">
        <v>42</v>
      </c>
      <c r="V24" s="139"/>
      <c r="W24" s="140"/>
      <c r="X24" s="2"/>
      <c r="Y24" s="5"/>
      <c r="Z24" s="5"/>
      <c r="AA24" s="5"/>
      <c r="AB24" s="113">
        <f t="shared" si="1"/>
        <v>0</v>
      </c>
      <c r="AC24" s="33"/>
      <c r="AD24" s="65"/>
      <c r="AE24" s="66"/>
      <c r="AF24" s="144"/>
      <c r="AG24" s="68"/>
      <c r="AH24" s="69"/>
      <c r="AI24" s="39"/>
      <c r="AJ24" s="70"/>
      <c r="AK24" s="70"/>
      <c r="AL24" s="5"/>
      <c r="AM24" s="135">
        <v>676.68</v>
      </c>
      <c r="AN24" s="152" t="s">
        <v>46</v>
      </c>
      <c r="AO24" s="135">
        <v>0.0</v>
      </c>
      <c r="AP24" s="139"/>
      <c r="AQ24" s="5"/>
      <c r="AR24" s="5"/>
      <c r="AS24" s="5"/>
      <c r="AT24" s="5"/>
      <c r="AU24" s="5"/>
      <c r="AV24" s="5"/>
      <c r="AW24" s="5"/>
      <c r="AX24" s="5"/>
      <c r="AY24" s="5"/>
      <c r="AZ24" s="5"/>
      <c r="BA24" s="5"/>
      <c r="BB24" s="5"/>
      <c r="BC24" s="5"/>
      <c r="BD24" s="5"/>
      <c r="BE24" s="5"/>
      <c r="BF24" s="5"/>
      <c r="BG24" s="5"/>
      <c r="BH24" s="5"/>
    </row>
    <row r="25">
      <c r="A25" s="147"/>
      <c r="B25" s="122"/>
      <c r="C25" s="123"/>
      <c r="D25" s="148"/>
      <c r="E25" s="126"/>
      <c r="F25" s="153"/>
      <c r="G25" s="149"/>
      <c r="H25" s="128"/>
      <c r="I25" s="127"/>
      <c r="J25" s="126"/>
      <c r="K25" s="126" t="s">
        <v>42</v>
      </c>
      <c r="L25" s="131"/>
      <c r="M25" s="150"/>
      <c r="N25" s="151" t="str">
        <f>IFERROR(__xludf.DUMMYFUNCTION("""COMPUTED_VALUE"""),"")</f>
        <v/>
      </c>
      <c r="O25" s="134"/>
      <c r="P25" s="134"/>
      <c r="Q25" s="135"/>
      <c r="R25" s="136"/>
      <c r="S25" s="137"/>
      <c r="T25" s="138"/>
      <c r="U25" s="136"/>
      <c r="V25" s="139"/>
      <c r="W25" s="140"/>
      <c r="X25" s="2"/>
      <c r="Y25" s="5"/>
      <c r="Z25" s="5"/>
      <c r="AA25" s="5"/>
      <c r="AB25" s="113">
        <f t="shared" si="1"/>
        <v>0</v>
      </c>
      <c r="AC25" s="33"/>
      <c r="AD25" s="65"/>
      <c r="AE25" s="66"/>
      <c r="AF25" s="144"/>
      <c r="AG25" s="68"/>
      <c r="AH25" s="69"/>
      <c r="AI25" s="39"/>
      <c r="AJ25" s="70"/>
      <c r="AK25" s="70"/>
      <c r="AL25" s="5"/>
      <c r="AM25" s="135" t="s">
        <v>42</v>
      </c>
      <c r="AN25" s="152"/>
      <c r="AO25" s="135" t="s">
        <v>42</v>
      </c>
      <c r="AP25" s="139"/>
      <c r="AQ25" s="5"/>
      <c r="AR25" s="5"/>
      <c r="AS25" s="5"/>
      <c r="AT25" s="5"/>
      <c r="AU25" s="5"/>
      <c r="AV25" s="5"/>
      <c r="AW25" s="5"/>
      <c r="AX25" s="5"/>
      <c r="AY25" s="5"/>
      <c r="AZ25" s="5"/>
      <c r="BA25" s="5"/>
      <c r="BB25" s="5"/>
      <c r="BC25" s="5"/>
      <c r="BD25" s="5"/>
      <c r="BE25" s="5"/>
      <c r="BF25" s="5"/>
      <c r="BG25" s="5"/>
      <c r="BH25" s="5"/>
    </row>
    <row r="26">
      <c r="A26" s="147"/>
      <c r="B26" s="122" t="s">
        <v>58</v>
      </c>
      <c r="C26" s="123" t="s">
        <v>59</v>
      </c>
      <c r="D26" s="148" t="s">
        <v>60</v>
      </c>
      <c r="E26" s="126"/>
      <c r="F26" s="153"/>
      <c r="G26" s="149"/>
      <c r="H26" s="128"/>
      <c r="I26" s="127"/>
      <c r="J26" s="126" t="s">
        <v>14</v>
      </c>
      <c r="K26" s="126" t="s">
        <v>55</v>
      </c>
      <c r="L26" s="131">
        <v>676.68</v>
      </c>
      <c r="M26" s="150">
        <v>676.68</v>
      </c>
      <c r="N26" s="151">
        <f>IFERROR(__xludf.DUMMYFUNCTION("""COMPUTED_VALUE"""),1.0)</f>
        <v>1</v>
      </c>
      <c r="O26" s="134">
        <v>1.0</v>
      </c>
      <c r="P26" s="134">
        <v>1.0</v>
      </c>
      <c r="Q26" s="135">
        <f>M26*N26*O26*P26</f>
        <v>676.68</v>
      </c>
      <c r="R26" s="136" t="s">
        <v>42</v>
      </c>
      <c r="S26" s="137">
        <f>R26*Q26</f>
        <v>0</v>
      </c>
      <c r="T26" s="138"/>
      <c r="U26" s="136" t="s">
        <v>42</v>
      </c>
      <c r="V26" s="139"/>
      <c r="W26" s="140">
        <f>U26*Q26</f>
        <v>0</v>
      </c>
      <c r="X26" s="2"/>
      <c r="Y26" s="5"/>
      <c r="Z26" s="5"/>
      <c r="AA26" s="5"/>
      <c r="AB26" s="113">
        <f t="shared" si="1"/>
        <v>0</v>
      </c>
      <c r="AC26" s="33"/>
      <c r="AD26" s="65"/>
      <c r="AE26" s="66"/>
      <c r="AF26" s="144"/>
      <c r="AG26" s="68"/>
      <c r="AH26" s="69"/>
      <c r="AI26" s="39"/>
      <c r="AJ26" s="70"/>
      <c r="AK26" s="70"/>
      <c r="AL26" s="5"/>
      <c r="AM26" s="135">
        <v>676.68</v>
      </c>
      <c r="AN26" s="152" t="s">
        <v>46</v>
      </c>
      <c r="AO26" s="135">
        <v>0.0</v>
      </c>
      <c r="AP26" s="139"/>
      <c r="AQ26" s="5"/>
      <c r="AR26" s="5"/>
      <c r="AS26" s="5"/>
      <c r="AT26" s="5"/>
      <c r="AU26" s="5"/>
      <c r="AV26" s="5"/>
      <c r="AW26" s="5"/>
      <c r="AX26" s="5"/>
      <c r="AY26" s="5"/>
      <c r="AZ26" s="5"/>
      <c r="BA26" s="5"/>
      <c r="BB26" s="5"/>
      <c r="BC26" s="5"/>
      <c r="BD26" s="5"/>
      <c r="BE26" s="5"/>
      <c r="BF26" s="5"/>
      <c r="BG26" s="5"/>
      <c r="BH26" s="5"/>
    </row>
    <row r="27">
      <c r="A27" s="147"/>
      <c r="B27" s="154"/>
      <c r="C27" s="123"/>
      <c r="D27" s="148"/>
      <c r="E27" s="153"/>
      <c r="F27" s="126"/>
      <c r="G27" s="149"/>
      <c r="H27" s="128"/>
      <c r="I27" s="155"/>
      <c r="J27" s="126"/>
      <c r="K27" s="126" t="s">
        <v>42</v>
      </c>
      <c r="L27" s="135"/>
      <c r="M27" s="150"/>
      <c r="N27" s="151" t="str">
        <f>IFERROR(__xludf.DUMMYFUNCTION("""COMPUTED_VALUE"""),"")</f>
        <v/>
      </c>
      <c r="O27" s="134"/>
      <c r="P27" s="134"/>
      <c r="Q27" s="135"/>
      <c r="R27" s="136"/>
      <c r="S27" s="137"/>
      <c r="T27" s="138"/>
      <c r="U27" s="136"/>
      <c r="V27" s="139"/>
      <c r="W27" s="140"/>
      <c r="X27" s="2"/>
      <c r="Y27" s="5"/>
      <c r="Z27" s="5"/>
      <c r="AA27" s="5"/>
      <c r="AB27" s="113">
        <f t="shared" si="1"/>
        <v>0</v>
      </c>
      <c r="AC27" s="33"/>
      <c r="AD27" s="65"/>
      <c r="AE27" s="66"/>
      <c r="AF27" s="144"/>
      <c r="AG27" s="68"/>
      <c r="AH27" s="69"/>
      <c r="AI27" s="39"/>
      <c r="AJ27" s="70"/>
      <c r="AK27" s="70"/>
      <c r="AL27" s="5"/>
      <c r="AM27" s="135" t="s">
        <v>42</v>
      </c>
      <c r="AN27" s="152"/>
      <c r="AO27" s="135" t="s">
        <v>42</v>
      </c>
      <c r="AP27" s="139"/>
      <c r="AQ27" s="5"/>
      <c r="AR27" s="5"/>
      <c r="AS27" s="5"/>
      <c r="AT27" s="5"/>
      <c r="AU27" s="5"/>
      <c r="AV27" s="5"/>
      <c r="AW27" s="5"/>
      <c r="AX27" s="5"/>
      <c r="AY27" s="5"/>
      <c r="AZ27" s="5"/>
      <c r="BA27" s="5"/>
      <c r="BB27" s="5"/>
      <c r="BC27" s="5"/>
      <c r="BD27" s="5"/>
      <c r="BE27" s="5"/>
      <c r="BF27" s="5"/>
      <c r="BG27" s="5"/>
      <c r="BH27" s="5"/>
    </row>
    <row r="28">
      <c r="A28" s="147"/>
      <c r="B28" s="154" t="s">
        <v>61</v>
      </c>
      <c r="C28" s="123" t="s">
        <v>62</v>
      </c>
      <c r="D28" s="148" t="s">
        <v>63</v>
      </c>
      <c r="E28" s="153">
        <v>1.0</v>
      </c>
      <c r="F28" s="126"/>
      <c r="G28" s="149"/>
      <c r="H28" s="128"/>
      <c r="I28" s="155"/>
      <c r="J28" s="126" t="s">
        <v>14</v>
      </c>
      <c r="K28" s="126" t="s">
        <v>52</v>
      </c>
      <c r="L28" s="135">
        <f>M26</f>
        <v>676.68</v>
      </c>
      <c r="M28" s="150">
        <f>L28/E28</f>
        <v>676.68</v>
      </c>
      <c r="N28" s="151">
        <f>IFERROR(__xludf.DUMMYFUNCTION("""COMPUTED_VALUE"""),1.0)</f>
        <v>1</v>
      </c>
      <c r="O28" s="134">
        <v>1.0</v>
      </c>
      <c r="P28" s="134">
        <v>1.0</v>
      </c>
      <c r="Q28" s="135">
        <f t="shared" ref="Q28:Q29" si="7">M28*N28*O28*P28</f>
        <v>676.68</v>
      </c>
      <c r="R28" s="136" t="s">
        <v>42</v>
      </c>
      <c r="S28" s="137">
        <f t="shared" ref="S28:S29" si="8">R28*Q28</f>
        <v>0</v>
      </c>
      <c r="T28" s="138"/>
      <c r="U28" s="136" t="s">
        <v>42</v>
      </c>
      <c r="V28" s="139"/>
      <c r="W28" s="140">
        <f t="shared" ref="W28:W29" si="9">U28*Q28</f>
        <v>0</v>
      </c>
      <c r="X28" s="2"/>
      <c r="Y28" s="5"/>
      <c r="Z28" s="5"/>
      <c r="AA28" s="5"/>
      <c r="AB28" s="113">
        <f t="shared" si="1"/>
        <v>0</v>
      </c>
      <c r="AC28" s="33"/>
      <c r="AD28" s="65"/>
      <c r="AE28" s="66"/>
      <c r="AF28" s="144"/>
      <c r="AG28" s="68"/>
      <c r="AH28" s="69"/>
      <c r="AI28" s="39"/>
      <c r="AJ28" s="70"/>
      <c r="AK28" s="70"/>
      <c r="AL28" s="5"/>
      <c r="AM28" s="135">
        <v>676.68</v>
      </c>
      <c r="AN28" s="152" t="s">
        <v>46</v>
      </c>
      <c r="AO28" s="135">
        <v>0.0</v>
      </c>
      <c r="AP28" s="139"/>
      <c r="AQ28" s="5"/>
      <c r="AR28" s="5"/>
      <c r="AS28" s="5"/>
      <c r="AT28" s="5"/>
      <c r="AU28" s="5"/>
      <c r="AV28" s="5"/>
      <c r="AW28" s="5"/>
      <c r="AX28" s="5"/>
      <c r="AY28" s="5"/>
      <c r="AZ28" s="5"/>
      <c r="BA28" s="5"/>
      <c r="BB28" s="5"/>
      <c r="BC28" s="5"/>
      <c r="BD28" s="5"/>
      <c r="BE28" s="5"/>
      <c r="BF28" s="5"/>
      <c r="BG28" s="5"/>
      <c r="BH28" s="5"/>
    </row>
    <row r="29">
      <c r="A29" s="147"/>
      <c r="B29" s="122" t="s">
        <v>64</v>
      </c>
      <c r="C29" s="123" t="s">
        <v>65</v>
      </c>
      <c r="D29" s="148" t="s">
        <v>66</v>
      </c>
      <c r="E29" s="153"/>
      <c r="F29" s="126"/>
      <c r="G29" s="149"/>
      <c r="H29" s="128"/>
      <c r="I29" s="127"/>
      <c r="J29" s="126" t="s">
        <v>14</v>
      </c>
      <c r="K29" s="126" t="s">
        <v>52</v>
      </c>
      <c r="L29" s="135">
        <f>M28</f>
        <v>676.68</v>
      </c>
      <c r="M29" s="150">
        <v>676.68</v>
      </c>
      <c r="N29" s="151">
        <f>IFERROR(__xludf.DUMMYFUNCTION("""COMPUTED_VALUE"""),1.0)</f>
        <v>1</v>
      </c>
      <c r="O29" s="134">
        <v>1.0</v>
      </c>
      <c r="P29" s="156">
        <v>2.0</v>
      </c>
      <c r="Q29" s="135">
        <f t="shared" si="7"/>
        <v>1353.36</v>
      </c>
      <c r="R29" s="136" t="s">
        <v>42</v>
      </c>
      <c r="S29" s="137">
        <f t="shared" si="8"/>
        <v>0</v>
      </c>
      <c r="T29" s="138"/>
      <c r="U29" s="136" t="s">
        <v>42</v>
      </c>
      <c r="V29" s="139"/>
      <c r="W29" s="140">
        <f t="shared" si="9"/>
        <v>0</v>
      </c>
      <c r="X29" s="2"/>
      <c r="Y29" s="5"/>
      <c r="Z29" s="5"/>
      <c r="AA29" s="5"/>
      <c r="AB29" s="113">
        <f t="shared" si="1"/>
        <v>0</v>
      </c>
      <c r="AC29" s="33"/>
      <c r="AD29" s="65"/>
      <c r="AE29" s="66"/>
      <c r="AF29" s="144"/>
      <c r="AG29" s="68"/>
      <c r="AH29" s="69"/>
      <c r="AI29" s="39"/>
      <c r="AJ29" s="70"/>
      <c r="AK29" s="70"/>
      <c r="AL29" s="5"/>
      <c r="AM29" s="135">
        <v>676.68</v>
      </c>
      <c r="AN29" s="152" t="s">
        <v>46</v>
      </c>
      <c r="AO29" s="135">
        <v>0.0</v>
      </c>
      <c r="AP29" s="139"/>
      <c r="AQ29" s="5"/>
      <c r="AR29" s="5"/>
      <c r="AS29" s="5"/>
      <c r="AT29" s="5"/>
      <c r="AU29" s="5"/>
      <c r="AV29" s="5"/>
      <c r="AW29" s="5"/>
      <c r="AX29" s="5"/>
      <c r="AY29" s="5"/>
      <c r="AZ29" s="5"/>
      <c r="BA29" s="5"/>
      <c r="BB29" s="5"/>
      <c r="BC29" s="5"/>
      <c r="BD29" s="5"/>
      <c r="BE29" s="5"/>
      <c r="BF29" s="5"/>
      <c r="BG29" s="5"/>
      <c r="BH29" s="5"/>
    </row>
    <row r="30">
      <c r="A30" s="147"/>
      <c r="B30" s="122"/>
      <c r="C30" s="123"/>
      <c r="D30" s="148"/>
      <c r="E30" s="126"/>
      <c r="F30" s="126"/>
      <c r="G30" s="149"/>
      <c r="H30" s="128"/>
      <c r="I30" s="127"/>
      <c r="J30" s="126"/>
      <c r="K30" s="126" t="s">
        <v>42</v>
      </c>
      <c r="L30" s="135"/>
      <c r="M30" s="150"/>
      <c r="N30" s="151" t="str">
        <f>IFERROR(__xludf.DUMMYFUNCTION("""COMPUTED_VALUE"""),"")</f>
        <v/>
      </c>
      <c r="O30" s="134"/>
      <c r="P30" s="134"/>
      <c r="Q30" s="135"/>
      <c r="R30" s="136"/>
      <c r="S30" s="137"/>
      <c r="T30" s="138"/>
      <c r="U30" s="136"/>
      <c r="V30" s="139"/>
      <c r="W30" s="140"/>
      <c r="X30" s="2"/>
      <c r="Y30" s="5"/>
      <c r="Z30" s="5"/>
      <c r="AA30" s="5"/>
      <c r="AB30" s="113">
        <f t="shared" si="1"/>
        <v>0</v>
      </c>
      <c r="AC30" s="33"/>
      <c r="AD30" s="65"/>
      <c r="AE30" s="66"/>
      <c r="AF30" s="144"/>
      <c r="AG30" s="68"/>
      <c r="AH30" s="69"/>
      <c r="AI30" s="39"/>
      <c r="AJ30" s="70"/>
      <c r="AK30" s="70"/>
      <c r="AL30" s="5"/>
      <c r="AM30" s="135" t="s">
        <v>42</v>
      </c>
      <c r="AN30" s="152"/>
      <c r="AO30" s="135" t="s">
        <v>42</v>
      </c>
      <c r="AP30" s="139"/>
      <c r="AQ30" s="5"/>
      <c r="AR30" s="5"/>
      <c r="AS30" s="5"/>
      <c r="AT30" s="5"/>
      <c r="AU30" s="5"/>
      <c r="AV30" s="5"/>
      <c r="AW30" s="5"/>
      <c r="AX30" s="5"/>
      <c r="AY30" s="5"/>
      <c r="AZ30" s="5"/>
      <c r="BA30" s="5"/>
      <c r="BB30" s="5"/>
      <c r="BC30" s="5"/>
      <c r="BD30" s="5"/>
      <c r="BE30" s="5"/>
      <c r="BF30" s="5"/>
      <c r="BG30" s="5"/>
      <c r="BH30" s="5"/>
    </row>
    <row r="31">
      <c r="A31" s="147"/>
      <c r="B31" s="122" t="s">
        <v>67</v>
      </c>
      <c r="C31" s="123" t="s">
        <v>68</v>
      </c>
      <c r="D31" s="148" t="s">
        <v>69</v>
      </c>
      <c r="E31" s="126"/>
      <c r="F31" s="126"/>
      <c r="G31" s="149"/>
      <c r="H31" s="128"/>
      <c r="I31" s="127"/>
      <c r="J31" s="126" t="s">
        <v>14</v>
      </c>
      <c r="K31" s="126" t="s">
        <v>55</v>
      </c>
      <c r="L31" s="135">
        <f>M26</f>
        <v>676.68</v>
      </c>
      <c r="M31" s="150">
        <f>L31</f>
        <v>676.68</v>
      </c>
      <c r="N31" s="151">
        <f>IFERROR(__xludf.DUMMYFUNCTION("""COMPUTED_VALUE"""),1.0)</f>
        <v>1</v>
      </c>
      <c r="O31" s="134">
        <v>1.0</v>
      </c>
      <c r="P31" s="134">
        <v>1.0</v>
      </c>
      <c r="Q31" s="135">
        <f>M31*N31*O31*P31</f>
        <v>676.68</v>
      </c>
      <c r="R31" s="136" t="s">
        <v>42</v>
      </c>
      <c r="S31" s="137">
        <f>R31*Q31</f>
        <v>0</v>
      </c>
      <c r="T31" s="138"/>
      <c r="U31" s="136" t="s">
        <v>42</v>
      </c>
      <c r="V31" s="139"/>
      <c r="W31" s="140">
        <f>U31*Q31</f>
        <v>0</v>
      </c>
      <c r="X31" s="2"/>
      <c r="Y31" s="5"/>
      <c r="Z31" s="5"/>
      <c r="AA31" s="5"/>
      <c r="AB31" s="113">
        <f t="shared" si="1"/>
        <v>0</v>
      </c>
      <c r="AC31" s="33"/>
      <c r="AD31" s="65"/>
      <c r="AE31" s="66"/>
      <c r="AF31" s="144"/>
      <c r="AG31" s="68"/>
      <c r="AH31" s="69"/>
      <c r="AI31" s="39"/>
      <c r="AJ31" s="70"/>
      <c r="AK31" s="70"/>
      <c r="AL31" s="5"/>
      <c r="AM31" s="135">
        <v>676.68</v>
      </c>
      <c r="AN31" s="152" t="s">
        <v>46</v>
      </c>
      <c r="AO31" s="135">
        <v>0.0</v>
      </c>
      <c r="AP31" s="139"/>
      <c r="AQ31" s="5"/>
      <c r="AR31" s="5"/>
      <c r="AS31" s="5"/>
      <c r="AT31" s="5"/>
      <c r="AU31" s="5"/>
      <c r="AV31" s="5"/>
      <c r="AW31" s="5"/>
      <c r="AX31" s="5"/>
      <c r="AY31" s="5"/>
      <c r="AZ31" s="5"/>
      <c r="BA31" s="5"/>
      <c r="BB31" s="5"/>
      <c r="BC31" s="5"/>
      <c r="BD31" s="5"/>
      <c r="BE31" s="5"/>
      <c r="BF31" s="5"/>
      <c r="BG31" s="5"/>
      <c r="BH31" s="5"/>
    </row>
    <row r="32">
      <c r="A32" s="147"/>
      <c r="B32" s="122"/>
      <c r="C32" s="123"/>
      <c r="D32" s="124"/>
      <c r="E32" s="125"/>
      <c r="F32" s="153"/>
      <c r="G32" s="127"/>
      <c r="H32" s="125"/>
      <c r="I32" s="129"/>
      <c r="J32" s="126"/>
      <c r="K32" s="126" t="s">
        <v>42</v>
      </c>
      <c r="L32" s="135"/>
      <c r="M32" s="150"/>
      <c r="N32" s="151" t="str">
        <f>IFERROR(__xludf.DUMMYFUNCTION("""COMPUTED_VALUE"""),"")</f>
        <v/>
      </c>
      <c r="O32" s="134"/>
      <c r="P32" s="134"/>
      <c r="Q32" s="135"/>
      <c r="R32" s="136"/>
      <c r="S32" s="137"/>
      <c r="T32" s="138"/>
      <c r="U32" s="136"/>
      <c r="V32" s="139"/>
      <c r="W32" s="140"/>
      <c r="X32" s="2"/>
      <c r="Y32" s="5"/>
      <c r="Z32" s="5"/>
      <c r="AA32" s="5"/>
      <c r="AB32" s="113">
        <f t="shared" si="1"/>
        <v>0</v>
      </c>
      <c r="AC32" s="33"/>
      <c r="AD32" s="65"/>
      <c r="AE32" s="66"/>
      <c r="AF32" s="144"/>
      <c r="AG32" s="68"/>
      <c r="AH32" s="69"/>
      <c r="AI32" s="39"/>
      <c r="AJ32" s="70"/>
      <c r="AK32" s="70"/>
      <c r="AL32" s="5"/>
      <c r="AM32" s="135" t="s">
        <v>42</v>
      </c>
      <c r="AN32" s="152"/>
      <c r="AO32" s="135" t="s">
        <v>42</v>
      </c>
      <c r="AP32" s="139"/>
      <c r="AQ32" s="5"/>
      <c r="AR32" s="5"/>
      <c r="AS32" s="5"/>
      <c r="AT32" s="5"/>
      <c r="AU32" s="5"/>
      <c r="AV32" s="5"/>
      <c r="AW32" s="5"/>
      <c r="AX32" s="5"/>
      <c r="AY32" s="5"/>
      <c r="AZ32" s="5"/>
      <c r="BA32" s="5"/>
      <c r="BB32" s="5"/>
      <c r="BC32" s="5"/>
      <c r="BD32" s="5"/>
      <c r="BE32" s="5"/>
      <c r="BF32" s="5"/>
      <c r="BG32" s="5"/>
      <c r="BH32" s="5"/>
    </row>
    <row r="33">
      <c r="A33" s="147"/>
      <c r="B33" s="122" t="s">
        <v>70</v>
      </c>
      <c r="C33" s="123" t="s">
        <v>71</v>
      </c>
      <c r="D33" s="124" t="s">
        <v>40</v>
      </c>
      <c r="E33" s="125" t="str">
        <f>IFERROR(__xludf.DUMMYFUNCTION("IF($B$17:$B379="""","""",
  VLOOKUP(
    $B$17:$B379,
    QUERY(
      IMPORTRANGE(""1Ag27m9YF5mMfJh2E6NipJDFvPLlDI1p-s_1XEnzMHcc"",""Merge!F2:R""),
      ""select Col1, Col11"",
      0
    ),
    2,
    FALSE
  )
)
"),"#REF!")</f>
        <v>#REF!</v>
      </c>
      <c r="F33" s="153" t="s">
        <v>72</v>
      </c>
      <c r="G33" s="127"/>
      <c r="H33" s="125">
        <v>0.55</v>
      </c>
      <c r="I33" s="129"/>
      <c r="J33" s="126" t="s">
        <v>14</v>
      </c>
      <c r="K33" s="126" t="s">
        <v>41</v>
      </c>
      <c r="L33" s="135">
        <f>L17</f>
        <v>602.91</v>
      </c>
      <c r="M33" s="150" t="str">
        <f>L33*E33</f>
        <v>#REF!</v>
      </c>
      <c r="N33" s="151">
        <f>IFERROR(__xludf.DUMMYFUNCTION("""COMPUTED_VALUE"""),1.0124651257880029)</f>
        <v>1.012465126</v>
      </c>
      <c r="O33" s="134">
        <v>1.0</v>
      </c>
      <c r="P33" s="134">
        <v>1.0</v>
      </c>
      <c r="Q33" s="135" t="str">
        <f t="shared" ref="Q33:Q34" si="10">M33*N33*O33*P33</f>
        <v>#REF!</v>
      </c>
      <c r="R33" s="136" t="s">
        <v>42</v>
      </c>
      <c r="S33" s="137" t="str">
        <f t="shared" ref="S33:S34" si="11">R33*Q33</f>
        <v>#REF!</v>
      </c>
      <c r="T33" s="138"/>
      <c r="U33" s="136" t="s">
        <v>42</v>
      </c>
      <c r="V33" s="139"/>
      <c r="W33" s="140" t="str">
        <f t="shared" ref="W33:W34" si="12">U33*Q33</f>
        <v>#REF!</v>
      </c>
      <c r="X33" s="2"/>
      <c r="Y33" s="5"/>
      <c r="Z33" s="5"/>
      <c r="AA33" s="5"/>
      <c r="AB33" s="113" t="str">
        <f t="shared" si="1"/>
        <v>#REF!</v>
      </c>
      <c r="AC33" s="33"/>
      <c r="AD33" s="65"/>
      <c r="AE33" s="66"/>
      <c r="AF33" s="144"/>
      <c r="AG33" s="68"/>
      <c r="AH33" s="69"/>
      <c r="AI33" s="39"/>
      <c r="AJ33" s="70"/>
      <c r="AK33" s="70"/>
      <c r="AL33" s="5"/>
      <c r="AM33" s="135" t="s">
        <v>42</v>
      </c>
      <c r="AN33" s="152" t="e">
        <v>#REF!</v>
      </c>
      <c r="AO33" s="135" t="s">
        <v>42</v>
      </c>
      <c r="AP33" s="139"/>
      <c r="AQ33" s="5"/>
      <c r="AR33" s="5"/>
      <c r="AS33" s="5"/>
      <c r="AT33" s="5"/>
      <c r="AU33" s="5"/>
      <c r="AV33" s="5"/>
      <c r="AW33" s="5"/>
      <c r="AX33" s="5"/>
      <c r="AY33" s="5"/>
      <c r="AZ33" s="5"/>
      <c r="BA33" s="5"/>
      <c r="BB33" s="5"/>
      <c r="BC33" s="5"/>
      <c r="BD33" s="5"/>
      <c r="BE33" s="5"/>
      <c r="BF33" s="5"/>
      <c r="BG33" s="5"/>
      <c r="BH33" s="5"/>
    </row>
    <row r="34">
      <c r="A34" s="147"/>
      <c r="B34" s="122" t="s">
        <v>73</v>
      </c>
      <c r="C34" s="123" t="s">
        <v>74</v>
      </c>
      <c r="D34" s="148"/>
      <c r="E34" s="153"/>
      <c r="F34" s="126"/>
      <c r="G34" s="149"/>
      <c r="H34" s="128"/>
      <c r="I34" s="155"/>
      <c r="J34" s="126" t="s">
        <v>14</v>
      </c>
      <c r="K34" s="126" t="s">
        <v>52</v>
      </c>
      <c r="L34" s="135">
        <v>676.68</v>
      </c>
      <c r="M34" s="150">
        <v>676.68</v>
      </c>
      <c r="N34" s="151">
        <f>IFERROR(__xludf.DUMMYFUNCTION("""COMPUTED_VALUE"""),1.0)</f>
        <v>1</v>
      </c>
      <c r="O34" s="134">
        <v>1.0</v>
      </c>
      <c r="P34" s="134">
        <v>1.0</v>
      </c>
      <c r="Q34" s="135">
        <f t="shared" si="10"/>
        <v>676.68</v>
      </c>
      <c r="R34" s="136" t="s">
        <v>42</v>
      </c>
      <c r="S34" s="137">
        <f t="shared" si="11"/>
        <v>0</v>
      </c>
      <c r="T34" s="138"/>
      <c r="U34" s="136" t="s">
        <v>42</v>
      </c>
      <c r="V34" s="139"/>
      <c r="W34" s="140">
        <f t="shared" si="12"/>
        <v>0</v>
      </c>
      <c r="X34" s="2"/>
      <c r="Y34" s="5"/>
      <c r="Z34" s="5"/>
      <c r="AA34" s="5"/>
      <c r="AB34" s="113">
        <f t="shared" si="1"/>
        <v>0</v>
      </c>
      <c r="AC34" s="33"/>
      <c r="AD34" s="65"/>
      <c r="AE34" s="66"/>
      <c r="AF34" s="144"/>
      <c r="AG34" s="68"/>
      <c r="AH34" s="69"/>
      <c r="AI34" s="39"/>
      <c r="AJ34" s="70"/>
      <c r="AK34" s="70"/>
      <c r="AL34" s="5"/>
      <c r="AM34" s="135">
        <v>0.0</v>
      </c>
      <c r="AN34" s="152" t="s">
        <v>75</v>
      </c>
      <c r="AO34" s="135">
        <v>-676.68</v>
      </c>
      <c r="AP34" s="139"/>
      <c r="AQ34" s="5"/>
      <c r="AR34" s="5"/>
      <c r="AS34" s="5"/>
      <c r="AT34" s="5"/>
      <c r="AU34" s="5"/>
      <c r="AV34" s="5"/>
      <c r="AW34" s="5"/>
      <c r="AX34" s="5"/>
      <c r="AY34" s="5"/>
      <c r="AZ34" s="5"/>
      <c r="BA34" s="5"/>
      <c r="BB34" s="5"/>
      <c r="BC34" s="5"/>
      <c r="BD34" s="5"/>
      <c r="BE34" s="5"/>
      <c r="BF34" s="5"/>
      <c r="BG34" s="5"/>
      <c r="BH34" s="5"/>
    </row>
    <row r="35">
      <c r="A35" s="147"/>
      <c r="B35" s="154"/>
      <c r="C35" s="123"/>
      <c r="D35" s="124"/>
      <c r="E35" s="125"/>
      <c r="F35" s="126"/>
      <c r="G35" s="149"/>
      <c r="H35" s="128"/>
      <c r="I35" s="127"/>
      <c r="J35" s="126"/>
      <c r="K35" s="126" t="s">
        <v>42</v>
      </c>
      <c r="L35" s="135"/>
      <c r="M35" s="150"/>
      <c r="N35" s="151" t="str">
        <f>IFERROR(__xludf.DUMMYFUNCTION("""COMPUTED_VALUE"""),"")</f>
        <v/>
      </c>
      <c r="O35" s="134"/>
      <c r="P35" s="134"/>
      <c r="Q35" s="135"/>
      <c r="R35" s="136"/>
      <c r="S35" s="137"/>
      <c r="T35" s="138"/>
      <c r="U35" s="136"/>
      <c r="V35" s="139"/>
      <c r="W35" s="140"/>
      <c r="X35" s="2"/>
      <c r="Y35" s="5"/>
      <c r="Z35" s="5"/>
      <c r="AA35" s="5"/>
      <c r="AB35" s="113"/>
      <c r="AC35" s="33"/>
      <c r="AD35" s="65"/>
      <c r="AE35" s="66"/>
      <c r="AF35" s="144"/>
      <c r="AG35" s="68"/>
      <c r="AH35" s="69"/>
      <c r="AI35" s="39"/>
      <c r="AJ35" s="70"/>
      <c r="AK35" s="70"/>
      <c r="AL35" s="5"/>
      <c r="AM35" s="135" t="s">
        <v>42</v>
      </c>
      <c r="AN35" s="152"/>
      <c r="AO35" s="135" t="s">
        <v>42</v>
      </c>
      <c r="AP35" s="139"/>
      <c r="AQ35" s="5"/>
      <c r="AR35" s="5"/>
      <c r="AS35" s="5"/>
      <c r="AT35" s="5"/>
      <c r="AU35" s="5"/>
      <c r="AV35" s="5"/>
      <c r="AW35" s="5"/>
      <c r="AX35" s="5"/>
      <c r="AY35" s="5"/>
      <c r="AZ35" s="5"/>
      <c r="BA35" s="5"/>
      <c r="BB35" s="5"/>
      <c r="BC35" s="5"/>
      <c r="BD35" s="5"/>
      <c r="BE35" s="5"/>
      <c r="BF35" s="5"/>
      <c r="BG35" s="5"/>
      <c r="BH35" s="5"/>
    </row>
    <row r="36">
      <c r="A36" s="147">
        <v>1.0</v>
      </c>
      <c r="B36" s="102"/>
      <c r="C36" s="157" t="s">
        <v>37</v>
      </c>
      <c r="D36" s="104"/>
      <c r="E36" s="105"/>
      <c r="F36" s="104"/>
      <c r="G36" s="104"/>
      <c r="H36" s="104"/>
      <c r="I36" s="104"/>
      <c r="J36" s="104"/>
      <c r="K36" s="104" t="s">
        <v>42</v>
      </c>
      <c r="L36" s="106" t="str">
        <f>Q36</f>
        <v>#REF!</v>
      </c>
      <c r="M36" s="105" t="s">
        <v>42</v>
      </c>
      <c r="N36" s="107" t="str">
        <f>IFERROR(__xludf.DUMMYFUNCTION("""COMPUTED_VALUE"""),"")</f>
        <v/>
      </c>
      <c r="O36" s="104"/>
      <c r="P36" s="104"/>
      <c r="Q36" s="106" t="str">
        <f>Q37</f>
        <v>#REF!</v>
      </c>
      <c r="R36" s="108"/>
      <c r="S36" s="109" t="str">
        <f>T36/Q36</f>
        <v>#REF!</v>
      </c>
      <c r="T36" s="109" t="str">
        <f>SUM(S37:S55)</f>
        <v>#REF!</v>
      </c>
      <c r="U36" s="136"/>
      <c r="V36" s="109" t="str">
        <f>W36/Q36</f>
        <v>#REF!</v>
      </c>
      <c r="W36" s="110" t="str">
        <f>SUM(W37:W55)</f>
        <v>#REF!</v>
      </c>
      <c r="X36" s="111" t="str">
        <f>W36/$AC$176/$W$183/$X$173</f>
        <v>#REF!</v>
      </c>
      <c r="Y36" s="112" t="str">
        <f>(T36+W36)=(SUM(AB37:AB55))</f>
        <v>#REF!</v>
      </c>
      <c r="Z36" s="113" t="str">
        <f>(T36+W36)-(SUM(AB37:AB55))</f>
        <v>#REF!</v>
      </c>
      <c r="AA36" s="5"/>
      <c r="AB36" s="5"/>
      <c r="AC36" s="33"/>
      <c r="AD36" s="114" t="str">
        <f>W36+T36</f>
        <v>#REF!</v>
      </c>
      <c r="AE36" s="115" t="str">
        <f>AD36</f>
        <v>#REF!</v>
      </c>
      <c r="AF36" s="116" t="str">
        <f>AE36/$AE$151</f>
        <v>#REF!</v>
      </c>
      <c r="AG36" s="117" t="str">
        <f>AF36*$AG$158</f>
        <v>#REF!</v>
      </c>
      <c r="AH36" s="118" t="str">
        <f>AF36*$AG$161</f>
        <v>#REF!</v>
      </c>
      <c r="AI36" s="39"/>
      <c r="AJ36" s="119" t="str">
        <f>ROUND(AK36/L36,2)</f>
        <v>#REF!</v>
      </c>
      <c r="AK36" s="119" t="str">
        <f>ROUND(AH36+AG36+AD36,2)</f>
        <v>#REF!</v>
      </c>
      <c r="AL36" s="5"/>
      <c r="AM36" s="135" t="s">
        <v>42</v>
      </c>
      <c r="AN36" s="152"/>
      <c r="AO36" s="135" t="s">
        <v>42</v>
      </c>
      <c r="AP36" s="139"/>
      <c r="AQ36" s="5"/>
      <c r="AR36" s="5"/>
      <c r="AS36" s="5"/>
      <c r="AT36" s="5"/>
      <c r="AU36" s="5"/>
      <c r="AV36" s="5"/>
      <c r="AW36" s="5"/>
      <c r="AX36" s="5"/>
      <c r="AY36" s="5"/>
      <c r="AZ36" s="5"/>
      <c r="BA36" s="5"/>
      <c r="BB36" s="5"/>
      <c r="BC36" s="5"/>
      <c r="BD36" s="5"/>
      <c r="BE36" s="5"/>
      <c r="BF36" s="5"/>
      <c r="BG36" s="5"/>
      <c r="BH36" s="5"/>
    </row>
    <row r="37">
      <c r="A37" s="147"/>
      <c r="B37" s="154" t="s">
        <v>38</v>
      </c>
      <c r="C37" s="123" t="s">
        <v>76</v>
      </c>
      <c r="D37" s="124" t="s">
        <v>40</v>
      </c>
      <c r="E37" s="125" t="str">
        <f>IFERROR(__xludf.DUMMYFUNCTION("IF($B$17:$B379="""","""",
  VLOOKUP(
    $B$17:$B379,
    QUERY(
      IMPORTRANGE(""1Ag27m9YF5mMfJh2E6NipJDFvPLlDI1p-s_1XEnzMHcc"",""Merge!F2:R""),
      ""select Col1, Col11"",
      0
    ),
    2,
    FALSE
  )
)
"),"#REF!")</f>
        <v>#REF!</v>
      </c>
      <c r="F37" s="126" t="str">
        <f>IFERROR(__xludf.DUMMYFUNCTION("IFERROR(REGEXEXTRACT(C37,""@\s*(\d+)\s*deg"")&amp;""°"","""")
"),"5°")</f>
        <v>5°</v>
      </c>
      <c r="G37" s="127"/>
      <c r="H37" s="128" t="str">
        <f>IFERROR(__xludf.DUMMYFUNCTION("IFERROR(REGEXEXTRACT(C37, ""(\d*\.\d+)mm""), """")"),"0.55")</f>
        <v>0.55</v>
      </c>
      <c r="I37" s="129"/>
      <c r="J37" s="126" t="s">
        <v>14</v>
      </c>
      <c r="K37" s="126" t="s">
        <v>41</v>
      </c>
      <c r="L37" s="135">
        <v>1029.42</v>
      </c>
      <c r="M37" s="150" t="str">
        <f>L37*E37</f>
        <v>#REF!</v>
      </c>
      <c r="N37" s="151">
        <f>IFERROR(__xludf.DUMMYFUNCTION("""COMPUTED_VALUE"""),1.0038198375433474)</f>
        <v>1.003819838</v>
      </c>
      <c r="O37" s="134">
        <v>1.0</v>
      </c>
      <c r="P37" s="134">
        <v>1.0</v>
      </c>
      <c r="Q37" s="135" t="str">
        <f>M37*N37*O37*P37</f>
        <v>#REF!</v>
      </c>
      <c r="R37" s="136" t="s">
        <v>42</v>
      </c>
      <c r="S37" s="137" t="str">
        <f>R37*Q37</f>
        <v>#REF!</v>
      </c>
      <c r="T37" s="138"/>
      <c r="U37" s="136" t="s">
        <v>42</v>
      </c>
      <c r="V37" s="139"/>
      <c r="W37" s="140" t="str">
        <f>U37*Q37</f>
        <v>#REF!</v>
      </c>
      <c r="X37" s="111" t="str">
        <f>W37/$AC$176/$W$183/Y37</f>
        <v>#REF!</v>
      </c>
      <c r="Y37" s="141">
        <v>10.0</v>
      </c>
      <c r="Z37" s="142" t="str">
        <f>Q37/X37</f>
        <v>#REF!</v>
      </c>
      <c r="AA37" s="143">
        <f>27*15/60/8</f>
        <v>0.84375</v>
      </c>
      <c r="AB37" s="113" t="str">
        <f t="shared" ref="AB37:AB54" si="13">W37+S37</f>
        <v>#REF!</v>
      </c>
      <c r="AC37" s="33"/>
      <c r="AD37" s="65"/>
      <c r="AE37" s="66"/>
      <c r="AF37" s="144"/>
      <c r="AG37" s="68"/>
      <c r="AH37" s="69"/>
      <c r="AI37" s="39"/>
      <c r="AJ37" s="70"/>
      <c r="AK37" s="70"/>
      <c r="AL37" s="5"/>
      <c r="AM37" s="135" t="s">
        <v>42</v>
      </c>
      <c r="AN37" s="152" t="e">
        <v>#REF!</v>
      </c>
      <c r="AO37" s="135" t="s">
        <v>42</v>
      </c>
      <c r="AP37" s="139"/>
      <c r="AQ37" s="5"/>
      <c r="AR37" s="5"/>
      <c r="AS37" s="5"/>
      <c r="AT37" s="5"/>
      <c r="AU37" s="5"/>
      <c r="AV37" s="5"/>
      <c r="AW37" s="5"/>
      <c r="AX37" s="5"/>
      <c r="AY37" s="5"/>
      <c r="AZ37" s="5"/>
      <c r="BA37" s="5"/>
      <c r="BB37" s="5"/>
      <c r="BC37" s="5"/>
      <c r="BD37" s="5"/>
      <c r="BE37" s="5"/>
      <c r="BF37" s="5"/>
      <c r="BG37" s="5"/>
      <c r="BH37" s="5"/>
    </row>
    <row r="38" ht="12.75" customHeight="1">
      <c r="A38" s="147"/>
      <c r="B38" s="154"/>
      <c r="C38" s="158"/>
      <c r="D38" s="124"/>
      <c r="E38" s="129"/>
      <c r="F38" s="126"/>
      <c r="G38" s="127"/>
      <c r="H38" s="127"/>
      <c r="I38" s="127"/>
      <c r="J38" s="126"/>
      <c r="K38" s="126" t="s">
        <v>42</v>
      </c>
      <c r="L38" s="131"/>
      <c r="M38" s="150"/>
      <c r="N38" s="151" t="str">
        <f>IFERROR(__xludf.DUMMYFUNCTION("""COMPUTED_VALUE"""),"")</f>
        <v/>
      </c>
      <c r="O38" s="134"/>
      <c r="P38" s="134"/>
      <c r="Q38" s="135"/>
      <c r="R38" s="136"/>
      <c r="S38" s="137"/>
      <c r="T38" s="138"/>
      <c r="U38" s="136"/>
      <c r="V38" s="139"/>
      <c r="W38" s="140"/>
      <c r="X38" s="159"/>
      <c r="Y38" s="5"/>
      <c r="Z38" s="5"/>
      <c r="AA38" s="5"/>
      <c r="AB38" s="113">
        <f t="shared" si="13"/>
        <v>0</v>
      </c>
      <c r="AC38" s="33"/>
      <c r="AD38" s="65"/>
      <c r="AE38" s="66"/>
      <c r="AF38" s="144"/>
      <c r="AG38" s="68"/>
      <c r="AH38" s="69"/>
      <c r="AI38" s="39"/>
      <c r="AJ38" s="70"/>
      <c r="AK38" s="70"/>
      <c r="AL38" s="5"/>
      <c r="AM38" s="135" t="s">
        <v>42</v>
      </c>
      <c r="AN38" s="152"/>
      <c r="AO38" s="135" t="s">
        <v>42</v>
      </c>
      <c r="AP38" s="139"/>
      <c r="AQ38" s="5"/>
      <c r="AR38" s="5"/>
      <c r="AS38" s="5"/>
      <c r="AT38" s="5"/>
      <c r="AU38" s="5"/>
      <c r="AV38" s="5"/>
      <c r="AW38" s="5"/>
      <c r="AX38" s="5"/>
      <c r="AY38" s="5"/>
      <c r="AZ38" s="5"/>
      <c r="BA38" s="5"/>
      <c r="BB38" s="5"/>
      <c r="BC38" s="5"/>
      <c r="BD38" s="5"/>
      <c r="BE38" s="5"/>
      <c r="BF38" s="5"/>
      <c r="BG38" s="5"/>
      <c r="BH38" s="5"/>
    </row>
    <row r="39" ht="12.75" customHeight="1">
      <c r="A39" s="147"/>
      <c r="B39" s="154" t="s">
        <v>43</v>
      </c>
      <c r="C39" s="158" t="s">
        <v>44</v>
      </c>
      <c r="D39" s="124" t="s">
        <v>45</v>
      </c>
      <c r="E39" s="129"/>
      <c r="F39" s="126" t="str">
        <f>F61</f>
        <v>5°</v>
      </c>
      <c r="G39" s="127"/>
      <c r="H39" s="127"/>
      <c r="I39" s="127"/>
      <c r="J39" s="126" t="s">
        <v>14</v>
      </c>
      <c r="K39" s="126" t="s">
        <v>41</v>
      </c>
      <c r="L39" s="131">
        <v>921.66</v>
      </c>
      <c r="M39" s="150">
        <v>921.66</v>
      </c>
      <c r="N39" s="151">
        <f>IFERROR(__xludf.DUMMYFUNCTION("""COMPUTED_VALUE"""),1.0038198375433474)</f>
        <v>1.003819838</v>
      </c>
      <c r="O39" s="134">
        <v>1.0</v>
      </c>
      <c r="P39" s="134">
        <v>1.0</v>
      </c>
      <c r="Q39" s="135">
        <f t="shared" ref="Q39:Q40" si="14">M39*N39*O39*P39</f>
        <v>925.1805915</v>
      </c>
      <c r="R39" s="136" t="s">
        <v>42</v>
      </c>
      <c r="S39" s="137">
        <f t="shared" ref="S39:S40" si="15">R39*Q39</f>
        <v>0</v>
      </c>
      <c r="T39" s="138"/>
      <c r="U39" s="136" t="s">
        <v>42</v>
      </c>
      <c r="V39" s="139"/>
      <c r="W39" s="140">
        <f t="shared" ref="W39:W40" si="16">U39*Q39</f>
        <v>0</v>
      </c>
      <c r="X39" s="159"/>
      <c r="Y39" s="5"/>
      <c r="Z39" s="5"/>
      <c r="AA39" s="5"/>
      <c r="AB39" s="113">
        <f t="shared" si="13"/>
        <v>0</v>
      </c>
      <c r="AC39" s="33"/>
      <c r="AD39" s="65"/>
      <c r="AE39" s="66"/>
      <c r="AF39" s="144"/>
      <c r="AG39" s="68"/>
      <c r="AH39" s="69"/>
      <c r="AI39" s="39"/>
      <c r="AJ39" s="70"/>
      <c r="AK39" s="70"/>
      <c r="AL39" s="5"/>
      <c r="AM39" s="135">
        <v>921.66</v>
      </c>
      <c r="AN39" s="152" t="s">
        <v>46</v>
      </c>
      <c r="AO39" s="135">
        <v>0.0</v>
      </c>
      <c r="AP39" s="139"/>
      <c r="AQ39" s="5"/>
      <c r="AR39" s="5"/>
      <c r="AS39" s="5"/>
      <c r="AT39" s="5"/>
      <c r="AU39" s="5"/>
      <c r="AV39" s="5"/>
      <c r="AW39" s="5"/>
      <c r="AX39" s="5"/>
      <c r="AY39" s="5"/>
      <c r="AZ39" s="5"/>
      <c r="BA39" s="5"/>
      <c r="BB39" s="5"/>
      <c r="BC39" s="5"/>
      <c r="BD39" s="5"/>
      <c r="BE39" s="5"/>
      <c r="BF39" s="5"/>
      <c r="BG39" s="5"/>
      <c r="BH39" s="5"/>
    </row>
    <row r="40" ht="12.75" customHeight="1">
      <c r="A40" s="147"/>
      <c r="B40" s="154" t="s">
        <v>47</v>
      </c>
      <c r="C40" s="158" t="s">
        <v>48</v>
      </c>
      <c r="D40" s="124" t="s">
        <v>45</v>
      </c>
      <c r="E40" s="129"/>
      <c r="F40" s="126" t="str">
        <f>F39</f>
        <v>5°</v>
      </c>
      <c r="G40" s="127"/>
      <c r="H40" s="127"/>
      <c r="I40" s="127"/>
      <c r="J40" s="126" t="s">
        <v>14</v>
      </c>
      <c r="K40" s="126" t="s">
        <v>41</v>
      </c>
      <c r="L40" s="135">
        <f>M39</f>
        <v>921.66</v>
      </c>
      <c r="M40" s="150">
        <v>921.66</v>
      </c>
      <c r="N40" s="151">
        <f>IFERROR(__xludf.DUMMYFUNCTION("""COMPUTED_VALUE"""),1.0038198375433474)</f>
        <v>1.003819838</v>
      </c>
      <c r="O40" s="134">
        <v>1.0</v>
      </c>
      <c r="P40" s="134">
        <v>1.0</v>
      </c>
      <c r="Q40" s="135">
        <f t="shared" si="14"/>
        <v>925.1805915</v>
      </c>
      <c r="R40" s="136" t="s">
        <v>42</v>
      </c>
      <c r="S40" s="137">
        <f t="shared" si="15"/>
        <v>0</v>
      </c>
      <c r="T40" s="138"/>
      <c r="U40" s="136" t="s">
        <v>42</v>
      </c>
      <c r="V40" s="139"/>
      <c r="W40" s="140">
        <f t="shared" si="16"/>
        <v>0</v>
      </c>
      <c r="X40" s="159"/>
      <c r="Y40" s="5"/>
      <c r="Z40" s="5"/>
      <c r="AA40" s="5"/>
      <c r="AB40" s="113">
        <f t="shared" si="13"/>
        <v>0</v>
      </c>
      <c r="AC40" s="33"/>
      <c r="AD40" s="65"/>
      <c r="AE40" s="66"/>
      <c r="AF40" s="144"/>
      <c r="AG40" s="68"/>
      <c r="AH40" s="69"/>
      <c r="AI40" s="39"/>
      <c r="AJ40" s="70"/>
      <c r="AK40" s="70"/>
      <c r="AL40" s="5"/>
      <c r="AM40" s="135">
        <v>921.66</v>
      </c>
      <c r="AN40" s="152" t="s">
        <v>46</v>
      </c>
      <c r="AO40" s="135">
        <v>0.0</v>
      </c>
      <c r="AP40" s="139"/>
      <c r="AQ40" s="5"/>
      <c r="AR40" s="5"/>
      <c r="AS40" s="5"/>
      <c r="AT40" s="5"/>
      <c r="AU40" s="5"/>
      <c r="AV40" s="5"/>
      <c r="AW40" s="5"/>
      <c r="AX40" s="5"/>
      <c r="AY40" s="5"/>
      <c r="AZ40" s="5"/>
      <c r="BA40" s="5"/>
      <c r="BB40" s="5"/>
      <c r="BC40" s="5"/>
      <c r="BD40" s="5"/>
      <c r="BE40" s="5"/>
      <c r="BF40" s="5"/>
      <c r="BG40" s="5"/>
      <c r="BH40" s="5"/>
    </row>
    <row r="41" ht="12.75" customHeight="1">
      <c r="A41" s="147"/>
      <c r="B41" s="154"/>
      <c r="C41" s="158"/>
      <c r="D41" s="124"/>
      <c r="E41" s="129"/>
      <c r="F41" s="126"/>
      <c r="G41" s="129"/>
      <c r="H41" s="127"/>
      <c r="I41" s="127"/>
      <c r="J41" s="126"/>
      <c r="K41" s="126" t="s">
        <v>42</v>
      </c>
      <c r="L41" s="135"/>
      <c r="M41" s="150"/>
      <c r="N41" s="151" t="str">
        <f>IFERROR(__xludf.DUMMYFUNCTION("""COMPUTED_VALUE"""),"")</f>
        <v/>
      </c>
      <c r="O41" s="134"/>
      <c r="P41" s="134"/>
      <c r="Q41" s="135"/>
      <c r="R41" s="136"/>
      <c r="S41" s="137"/>
      <c r="T41" s="138"/>
      <c r="U41" s="136"/>
      <c r="V41" s="139"/>
      <c r="W41" s="140"/>
      <c r="X41" s="159"/>
      <c r="Y41" s="5"/>
      <c r="Z41" s="5"/>
      <c r="AA41" s="5"/>
      <c r="AB41" s="113">
        <f t="shared" si="13"/>
        <v>0</v>
      </c>
      <c r="AC41" s="33"/>
      <c r="AD41" s="65"/>
      <c r="AE41" s="66"/>
      <c r="AF41" s="144"/>
      <c r="AG41" s="68"/>
      <c r="AH41" s="69"/>
      <c r="AI41" s="39"/>
      <c r="AJ41" s="70"/>
      <c r="AK41" s="70"/>
      <c r="AL41" s="5"/>
      <c r="AM41" s="135" t="s">
        <v>42</v>
      </c>
      <c r="AN41" s="152"/>
      <c r="AO41" s="135" t="s">
        <v>42</v>
      </c>
      <c r="AP41" s="139"/>
      <c r="AQ41" s="5"/>
      <c r="AR41" s="5"/>
      <c r="AS41" s="5"/>
      <c r="AT41" s="5"/>
      <c r="AU41" s="5"/>
      <c r="AV41" s="5"/>
      <c r="AW41" s="5"/>
      <c r="AX41" s="5"/>
      <c r="AY41" s="5"/>
      <c r="AZ41" s="5"/>
      <c r="BA41" s="5"/>
      <c r="BB41" s="5"/>
      <c r="BC41" s="5"/>
      <c r="BD41" s="5"/>
      <c r="BE41" s="5"/>
      <c r="BF41" s="5"/>
      <c r="BG41" s="5"/>
      <c r="BH41" s="5"/>
    </row>
    <row r="42" ht="12.75" customHeight="1">
      <c r="A42" s="147"/>
      <c r="B42" s="122" t="s">
        <v>49</v>
      </c>
      <c r="C42" s="123" t="s">
        <v>50</v>
      </c>
      <c r="D42" s="148" t="s">
        <v>51</v>
      </c>
      <c r="E42" s="129"/>
      <c r="F42" s="126" t="str">
        <f>F40</f>
        <v>5°</v>
      </c>
      <c r="G42" s="129"/>
      <c r="H42" s="127"/>
      <c r="I42" s="127"/>
      <c r="J42" s="126" t="s">
        <v>14</v>
      </c>
      <c r="K42" s="126" t="s">
        <v>52</v>
      </c>
      <c r="L42" s="135">
        <v>1071.41</v>
      </c>
      <c r="M42" s="150">
        <v>1071.41</v>
      </c>
      <c r="N42" s="151">
        <f>IFERROR(__xludf.DUMMYFUNCTION("""COMPUTED_VALUE"""),1.0038198375433474)</f>
        <v>1.003819838</v>
      </c>
      <c r="O42" s="134"/>
      <c r="P42" s="134"/>
      <c r="Q42" s="135"/>
      <c r="R42" s="136" t="s">
        <v>42</v>
      </c>
      <c r="S42" s="137"/>
      <c r="T42" s="138"/>
      <c r="U42" s="136" t="s">
        <v>42</v>
      </c>
      <c r="V42" s="139"/>
      <c r="W42" s="140"/>
      <c r="X42" s="159"/>
      <c r="Y42" s="5"/>
      <c r="Z42" s="5"/>
      <c r="AA42" s="5"/>
      <c r="AB42" s="113">
        <f t="shared" si="13"/>
        <v>0</v>
      </c>
      <c r="AC42" s="33"/>
      <c r="AD42" s="65"/>
      <c r="AE42" s="66"/>
      <c r="AF42" s="144"/>
      <c r="AG42" s="68"/>
      <c r="AH42" s="69"/>
      <c r="AI42" s="39"/>
      <c r="AJ42" s="70"/>
      <c r="AK42" s="70"/>
      <c r="AL42" s="5"/>
      <c r="AM42" s="135">
        <v>1071.41</v>
      </c>
      <c r="AN42" s="152" t="s">
        <v>46</v>
      </c>
      <c r="AO42" s="135">
        <v>0.0</v>
      </c>
      <c r="AP42" s="139"/>
      <c r="AQ42" s="5"/>
      <c r="AR42" s="5"/>
      <c r="AS42" s="5"/>
      <c r="AT42" s="5"/>
      <c r="AU42" s="5"/>
      <c r="AV42" s="5"/>
      <c r="AW42" s="5"/>
      <c r="AX42" s="5"/>
      <c r="AY42" s="5"/>
      <c r="AZ42" s="5"/>
      <c r="BA42" s="5"/>
      <c r="BB42" s="5"/>
      <c r="BC42" s="5"/>
      <c r="BD42" s="5"/>
      <c r="BE42" s="5"/>
      <c r="BF42" s="5"/>
      <c r="BG42" s="5"/>
      <c r="BH42" s="5"/>
    </row>
    <row r="43" ht="12.75" customHeight="1">
      <c r="A43" s="147"/>
      <c r="B43" s="122" t="s">
        <v>53</v>
      </c>
      <c r="C43" s="123" t="s">
        <v>54</v>
      </c>
      <c r="D43" s="148" t="s">
        <v>51</v>
      </c>
      <c r="E43" s="129"/>
      <c r="F43" s="126" t="str">
        <f t="shared" ref="F43:F44" si="17">F42</f>
        <v>5°</v>
      </c>
      <c r="G43" s="129"/>
      <c r="H43" s="127" t="str">
        <f>IFERROR(__xludf.DUMMYFUNCTION("IFERROR(REGEXEXTRACT(C43, ""(\d*\.\d+)mm""), """")"),"")</f>
        <v/>
      </c>
      <c r="I43" s="127"/>
      <c r="J43" s="126" t="s">
        <v>14</v>
      </c>
      <c r="K43" s="126" t="s">
        <v>55</v>
      </c>
      <c r="L43" s="135">
        <f>M48</f>
        <v>1071.41</v>
      </c>
      <c r="M43" s="150">
        <f>M48</f>
        <v>1071.41</v>
      </c>
      <c r="N43" s="151">
        <f>IFERROR(__xludf.DUMMYFUNCTION("""COMPUTED_VALUE"""),1.0038198375433474)</f>
        <v>1.003819838</v>
      </c>
      <c r="O43" s="134">
        <v>1.0</v>
      </c>
      <c r="P43" s="134">
        <v>1.0</v>
      </c>
      <c r="Q43" s="135">
        <f>M43*N43*O43*P43</f>
        <v>1075.502612</v>
      </c>
      <c r="R43" s="136" t="s">
        <v>42</v>
      </c>
      <c r="S43" s="137">
        <f>R43*Q43</f>
        <v>0</v>
      </c>
      <c r="T43" s="138"/>
      <c r="U43" s="136" t="s">
        <v>42</v>
      </c>
      <c r="V43" s="139"/>
      <c r="W43" s="140">
        <f>U43*Q43</f>
        <v>0</v>
      </c>
      <c r="X43" s="159"/>
      <c r="Y43" s="5"/>
      <c r="Z43" s="5"/>
      <c r="AA43" s="5"/>
      <c r="AB43" s="113">
        <f t="shared" si="13"/>
        <v>0</v>
      </c>
      <c r="AC43" s="33"/>
      <c r="AD43" s="65"/>
      <c r="AE43" s="66"/>
      <c r="AF43" s="144"/>
      <c r="AG43" s="68"/>
      <c r="AH43" s="69"/>
      <c r="AI43" s="39"/>
      <c r="AJ43" s="70"/>
      <c r="AK43" s="70"/>
      <c r="AL43" s="5"/>
      <c r="AM43" s="135">
        <v>1071.41</v>
      </c>
      <c r="AN43" s="152" t="s">
        <v>46</v>
      </c>
      <c r="AO43" s="135">
        <v>0.0</v>
      </c>
      <c r="AP43" s="139"/>
      <c r="AQ43" s="5"/>
      <c r="AR43" s="5"/>
      <c r="AS43" s="5"/>
      <c r="AT43" s="5"/>
      <c r="AU43" s="5"/>
      <c r="AV43" s="5"/>
      <c r="AW43" s="5"/>
      <c r="AX43" s="5"/>
      <c r="AY43" s="5"/>
      <c r="AZ43" s="5"/>
      <c r="BA43" s="5"/>
      <c r="BB43" s="5"/>
      <c r="BC43" s="5"/>
      <c r="BD43" s="5"/>
      <c r="BE43" s="5"/>
      <c r="BF43" s="5"/>
      <c r="BG43" s="5"/>
      <c r="BH43" s="5"/>
    </row>
    <row r="44" ht="12.75" customHeight="1">
      <c r="A44" s="147"/>
      <c r="B44" s="122" t="s">
        <v>56</v>
      </c>
      <c r="C44" s="123" t="s">
        <v>57</v>
      </c>
      <c r="D44" s="148" t="s">
        <v>51</v>
      </c>
      <c r="E44" s="129"/>
      <c r="F44" s="126" t="str">
        <f t="shared" si="17"/>
        <v>5°</v>
      </c>
      <c r="G44" s="129"/>
      <c r="H44" s="127"/>
      <c r="I44" s="127"/>
      <c r="J44" s="126" t="s">
        <v>14</v>
      </c>
      <c r="K44" s="126" t="s">
        <v>52</v>
      </c>
      <c r="L44" s="135">
        <v>1071.41</v>
      </c>
      <c r="M44" s="150">
        <v>1071.41</v>
      </c>
      <c r="N44" s="151">
        <f>IFERROR(__xludf.DUMMYFUNCTION("""COMPUTED_VALUE"""),1.0038198375433474)</f>
        <v>1.003819838</v>
      </c>
      <c r="O44" s="134"/>
      <c r="P44" s="134"/>
      <c r="Q44" s="135"/>
      <c r="R44" s="136" t="s">
        <v>42</v>
      </c>
      <c r="S44" s="137"/>
      <c r="T44" s="138"/>
      <c r="U44" s="136" t="s">
        <v>42</v>
      </c>
      <c r="V44" s="139"/>
      <c r="W44" s="140"/>
      <c r="X44" s="159"/>
      <c r="Y44" s="5"/>
      <c r="Z44" s="5"/>
      <c r="AA44" s="5"/>
      <c r="AB44" s="113">
        <f t="shared" si="13"/>
        <v>0</v>
      </c>
      <c r="AC44" s="33"/>
      <c r="AD44" s="65"/>
      <c r="AE44" s="66"/>
      <c r="AF44" s="144"/>
      <c r="AG44" s="68"/>
      <c r="AH44" s="69"/>
      <c r="AI44" s="39"/>
      <c r="AJ44" s="70"/>
      <c r="AK44" s="70"/>
      <c r="AL44" s="5"/>
      <c r="AM44" s="135">
        <v>1071.41</v>
      </c>
      <c r="AN44" s="152" t="s">
        <v>46</v>
      </c>
      <c r="AO44" s="135">
        <v>0.0</v>
      </c>
      <c r="AP44" s="139"/>
      <c r="AQ44" s="5"/>
      <c r="AR44" s="5"/>
      <c r="AS44" s="5"/>
      <c r="AT44" s="5"/>
      <c r="AU44" s="5"/>
      <c r="AV44" s="5"/>
      <c r="AW44" s="5"/>
      <c r="AX44" s="5"/>
      <c r="AY44" s="5"/>
      <c r="AZ44" s="5"/>
      <c r="BA44" s="5"/>
      <c r="BB44" s="5"/>
      <c r="BC44" s="5"/>
      <c r="BD44" s="5"/>
      <c r="BE44" s="5"/>
      <c r="BF44" s="5"/>
      <c r="BG44" s="5"/>
      <c r="BH44" s="5"/>
    </row>
    <row r="45" ht="12.75" customHeight="1">
      <c r="A45" s="147"/>
      <c r="B45" s="154"/>
      <c r="C45" s="158"/>
      <c r="D45" s="124"/>
      <c r="E45" s="129"/>
      <c r="F45" s="129"/>
      <c r="G45" s="127"/>
      <c r="H45" s="127"/>
      <c r="I45" s="127"/>
      <c r="J45" s="126"/>
      <c r="K45" s="126" t="s">
        <v>42</v>
      </c>
      <c r="L45" s="131"/>
      <c r="M45" s="150"/>
      <c r="N45" s="151" t="str">
        <f>IFERROR(__xludf.DUMMYFUNCTION("""COMPUTED_VALUE"""),"")</f>
        <v/>
      </c>
      <c r="O45" s="134"/>
      <c r="P45" s="134"/>
      <c r="Q45" s="135"/>
      <c r="R45" s="136"/>
      <c r="S45" s="137"/>
      <c r="T45" s="138"/>
      <c r="U45" s="136"/>
      <c r="V45" s="139"/>
      <c r="W45" s="140"/>
      <c r="X45" s="159"/>
      <c r="Y45" s="5"/>
      <c r="Z45" s="5"/>
      <c r="AA45" s="5"/>
      <c r="AB45" s="113">
        <f t="shared" si="13"/>
        <v>0</v>
      </c>
      <c r="AC45" s="33"/>
      <c r="AD45" s="65"/>
      <c r="AE45" s="66"/>
      <c r="AF45" s="144"/>
      <c r="AG45" s="68"/>
      <c r="AH45" s="69"/>
      <c r="AI45" s="39"/>
      <c r="AJ45" s="70"/>
      <c r="AK45" s="70"/>
      <c r="AL45" s="5"/>
      <c r="AM45" s="135" t="s">
        <v>42</v>
      </c>
      <c r="AN45" s="152"/>
      <c r="AO45" s="135" t="s">
        <v>42</v>
      </c>
      <c r="AP45" s="139"/>
      <c r="AQ45" s="5"/>
      <c r="AR45" s="5"/>
      <c r="AS45" s="5"/>
      <c r="AT45" s="5"/>
      <c r="AU45" s="5"/>
      <c r="AV45" s="5"/>
      <c r="AW45" s="5"/>
      <c r="AX45" s="5"/>
      <c r="AY45" s="5"/>
      <c r="AZ45" s="5"/>
      <c r="BA45" s="5"/>
      <c r="BB45" s="5"/>
      <c r="BC45" s="5"/>
      <c r="BD45" s="5"/>
      <c r="BE45" s="5"/>
      <c r="BF45" s="5"/>
      <c r="BG45" s="5"/>
      <c r="BH45" s="5"/>
    </row>
    <row r="46" ht="12.75" customHeight="1">
      <c r="A46" s="147"/>
      <c r="B46" s="154" t="s">
        <v>58</v>
      </c>
      <c r="C46" s="158" t="s">
        <v>59</v>
      </c>
      <c r="D46" s="124" t="s">
        <v>60</v>
      </c>
      <c r="E46" s="129"/>
      <c r="F46" s="129"/>
      <c r="G46" s="127"/>
      <c r="H46" s="127"/>
      <c r="I46" s="127"/>
      <c r="J46" s="126" t="s">
        <v>14</v>
      </c>
      <c r="K46" s="126" t="s">
        <v>55</v>
      </c>
      <c r="L46" s="131">
        <v>1071.41</v>
      </c>
      <c r="M46" s="150">
        <v>1071.41</v>
      </c>
      <c r="N46" s="151">
        <f>IFERROR(__xludf.DUMMYFUNCTION("""COMPUTED_VALUE"""),1.0)</f>
        <v>1</v>
      </c>
      <c r="O46" s="134">
        <v>1.0</v>
      </c>
      <c r="P46" s="134">
        <v>1.0</v>
      </c>
      <c r="Q46" s="135">
        <f>M46*N46*O46*P46</f>
        <v>1071.41</v>
      </c>
      <c r="R46" s="136" t="s">
        <v>42</v>
      </c>
      <c r="S46" s="137">
        <f>R46*Q46</f>
        <v>0</v>
      </c>
      <c r="T46" s="138"/>
      <c r="U46" s="136" t="s">
        <v>42</v>
      </c>
      <c r="V46" s="139"/>
      <c r="W46" s="140">
        <f>U46*Q46</f>
        <v>0</v>
      </c>
      <c r="X46" s="159"/>
      <c r="Y46" s="5"/>
      <c r="Z46" s="5"/>
      <c r="AA46" s="5"/>
      <c r="AB46" s="113">
        <f t="shared" si="13"/>
        <v>0</v>
      </c>
      <c r="AC46" s="33"/>
      <c r="AD46" s="65"/>
      <c r="AE46" s="66"/>
      <c r="AF46" s="144"/>
      <c r="AG46" s="68"/>
      <c r="AH46" s="69"/>
      <c r="AI46" s="39"/>
      <c r="AJ46" s="70"/>
      <c r="AK46" s="70"/>
      <c r="AL46" s="5"/>
      <c r="AM46" s="135">
        <v>1071.41</v>
      </c>
      <c r="AN46" s="152" t="s">
        <v>46</v>
      </c>
      <c r="AO46" s="135">
        <v>0.0</v>
      </c>
      <c r="AP46" s="139"/>
      <c r="AQ46" s="5"/>
      <c r="AR46" s="5"/>
      <c r="AS46" s="5"/>
      <c r="AT46" s="5"/>
      <c r="AU46" s="5"/>
      <c r="AV46" s="5"/>
      <c r="AW46" s="5"/>
      <c r="AX46" s="5"/>
      <c r="AY46" s="5"/>
      <c r="AZ46" s="5"/>
      <c r="BA46" s="5"/>
      <c r="BB46" s="5"/>
      <c r="BC46" s="5"/>
      <c r="BD46" s="5"/>
      <c r="BE46" s="5"/>
      <c r="BF46" s="5"/>
      <c r="BG46" s="5"/>
      <c r="BH46" s="5"/>
    </row>
    <row r="47" ht="12.75" customHeight="1">
      <c r="A47" s="147"/>
      <c r="B47" s="154"/>
      <c r="C47" s="158"/>
      <c r="D47" s="124"/>
      <c r="E47" s="153"/>
      <c r="F47" s="129"/>
      <c r="G47" s="127"/>
      <c r="H47" s="127"/>
      <c r="I47" s="127"/>
      <c r="J47" s="126"/>
      <c r="K47" s="126" t="s">
        <v>42</v>
      </c>
      <c r="L47" s="135"/>
      <c r="M47" s="150"/>
      <c r="N47" s="151" t="str">
        <f>IFERROR(__xludf.DUMMYFUNCTION("""COMPUTED_VALUE"""),"")</f>
        <v/>
      </c>
      <c r="O47" s="134"/>
      <c r="P47" s="134"/>
      <c r="Q47" s="135"/>
      <c r="R47" s="136"/>
      <c r="S47" s="137"/>
      <c r="T47" s="138"/>
      <c r="U47" s="136"/>
      <c r="V47" s="139"/>
      <c r="W47" s="140"/>
      <c r="X47" s="159"/>
      <c r="Y47" s="5"/>
      <c r="Z47" s="5"/>
      <c r="AA47" s="5"/>
      <c r="AB47" s="113">
        <f t="shared" si="13"/>
        <v>0</v>
      </c>
      <c r="AC47" s="33"/>
      <c r="AD47" s="65"/>
      <c r="AE47" s="66"/>
      <c r="AF47" s="144"/>
      <c r="AG47" s="68"/>
      <c r="AH47" s="69"/>
      <c r="AI47" s="39"/>
      <c r="AJ47" s="70"/>
      <c r="AK47" s="70"/>
      <c r="AL47" s="5"/>
      <c r="AM47" s="135" t="s">
        <v>42</v>
      </c>
      <c r="AN47" s="152"/>
      <c r="AO47" s="135" t="s">
        <v>42</v>
      </c>
      <c r="AP47" s="139"/>
      <c r="AQ47" s="5"/>
      <c r="AR47" s="5"/>
      <c r="AS47" s="5"/>
      <c r="AT47" s="5"/>
      <c r="AU47" s="5"/>
      <c r="AV47" s="5"/>
      <c r="AW47" s="5"/>
      <c r="AX47" s="5"/>
      <c r="AY47" s="5"/>
      <c r="AZ47" s="5"/>
      <c r="BA47" s="5"/>
      <c r="BB47" s="5"/>
      <c r="BC47" s="5"/>
      <c r="BD47" s="5"/>
      <c r="BE47" s="5"/>
      <c r="BF47" s="5"/>
      <c r="BG47" s="5"/>
      <c r="BH47" s="5"/>
    </row>
    <row r="48" ht="12.75" customHeight="1">
      <c r="A48" s="147"/>
      <c r="B48" s="154" t="s">
        <v>61</v>
      </c>
      <c r="C48" s="158" t="s">
        <v>62</v>
      </c>
      <c r="D48" s="124" t="s">
        <v>63</v>
      </c>
      <c r="E48" s="153">
        <v>1.0</v>
      </c>
      <c r="F48" s="129"/>
      <c r="G48" s="127"/>
      <c r="H48" s="127"/>
      <c r="I48" s="127"/>
      <c r="J48" s="126" t="s">
        <v>14</v>
      </c>
      <c r="K48" s="126" t="s">
        <v>52</v>
      </c>
      <c r="L48" s="135">
        <f>M46</f>
        <v>1071.41</v>
      </c>
      <c r="M48" s="150">
        <f>L48/E48</f>
        <v>1071.41</v>
      </c>
      <c r="N48" s="151">
        <f>IFERROR(__xludf.DUMMYFUNCTION("""COMPUTED_VALUE"""),1.0)</f>
        <v>1</v>
      </c>
      <c r="O48" s="134">
        <v>1.0</v>
      </c>
      <c r="P48" s="134">
        <v>1.0</v>
      </c>
      <c r="Q48" s="135">
        <f t="shared" ref="Q48:Q49" si="18">M48*N48*O48*P48</f>
        <v>1071.41</v>
      </c>
      <c r="R48" s="136" t="s">
        <v>42</v>
      </c>
      <c r="S48" s="137">
        <f t="shared" ref="S48:S49" si="19">R48*Q48</f>
        <v>0</v>
      </c>
      <c r="T48" s="138"/>
      <c r="U48" s="136" t="s">
        <v>42</v>
      </c>
      <c r="V48" s="139"/>
      <c r="W48" s="140">
        <f t="shared" ref="W48:W49" si="20">U48*Q48</f>
        <v>0</v>
      </c>
      <c r="X48" s="159"/>
      <c r="Y48" s="5"/>
      <c r="Z48" s="5"/>
      <c r="AA48" s="5"/>
      <c r="AB48" s="113">
        <f t="shared" si="13"/>
        <v>0</v>
      </c>
      <c r="AC48" s="33"/>
      <c r="AD48" s="65"/>
      <c r="AE48" s="66"/>
      <c r="AF48" s="144"/>
      <c r="AG48" s="68"/>
      <c r="AH48" s="69"/>
      <c r="AI48" s="39"/>
      <c r="AJ48" s="70"/>
      <c r="AK48" s="70"/>
      <c r="AL48" s="5"/>
      <c r="AM48" s="135">
        <v>1071.41</v>
      </c>
      <c r="AN48" s="152" t="s">
        <v>46</v>
      </c>
      <c r="AO48" s="135">
        <v>0.0</v>
      </c>
      <c r="AP48" s="139"/>
      <c r="AQ48" s="5"/>
      <c r="AR48" s="5"/>
      <c r="AS48" s="5"/>
      <c r="AT48" s="5"/>
      <c r="AU48" s="5"/>
      <c r="AV48" s="5"/>
      <c r="AW48" s="5"/>
      <c r="AX48" s="5"/>
      <c r="AY48" s="5"/>
      <c r="AZ48" s="5"/>
      <c r="BA48" s="5"/>
      <c r="BB48" s="5"/>
      <c r="BC48" s="5"/>
      <c r="BD48" s="5"/>
      <c r="BE48" s="5"/>
      <c r="BF48" s="5"/>
      <c r="BG48" s="5"/>
      <c r="BH48" s="5"/>
    </row>
    <row r="49">
      <c r="A49" s="147"/>
      <c r="B49" s="154" t="str">
        <f>IFERROR(__xludf.DUMMYFUNCTION("IFERROR(
  IF(C49="""","""",
    IF(OR(REGEXMATCH(D49,""(?i)-Flashing""), REGEXMATCH(D49,""(?i)-EavesGut""), REGEXMATCH(D49,""(?i)Valley"")),
        ""DR"" &amp;
        TEXT(
            ROUNDUP(
                MIN(
                    VALUE(MID(C49, FIND("&amp;"""("",C49)+1, FIND(""/"",C49)-FIND(""("",C49)-1)),
                    1200
                ) / 50, 0
            ) * 50, ""0""
        ) &amp;
        MID(C49, FIND(""/"",C49)+1, FIND("")"",C49)-FIND(""/"",C49)-1) &amp;
        TEXT(H49*100,""0"") &amp;
        I49,"&amp;"
    IF(AND(D49=""Roof Sheet"", REGEXMATCH(C49,""(?i)KS\d{4}[A-Z]{2}"")),
       REGEXEXTRACT(C49,""(?i)KS\d{4}[A-Z]{2}""),
    IF(AND(REGEXMATCH(D49,""(?i)-DP""), REGEXMATCH(C49,""(?i)Downpipe"")),
       ""dp"" &amp; REGEXEXTRACT(C49,""(\d+)"") &amp; ""mm"",
  "&amp;"  IF(AND(REGEXMATCH(D49,""(?i)Bracket""), REGEXMATCH(C49,""(?i)Bracket"")),
       ""Brkt"" &amp; REGEXEXTRACT(C49,""(\d+)"") &amp; ""mm"",
    IF(AND(REGEXMATCH(D49,""(?i)-OP""), REGEXMATCH(C49,""(?i)pops"")),
       ""op"" &amp; REGEXEXTRACT(C49,""(\d+)"") &amp; ""mm"""&amp;",
    IF(OR(D49=""R-FFTop"", D49=""R-FFBottom"", D49=""R-FFSide""),
        IF(REGEXMATCH(C49,""(?i)Profiled.*Top|Top.*Profiled""),""pfft"",
        IF(REGEXMATCH(C49,""(?i)Profiled.*Bottom|Bottom.*Profiled""),""pffb"",
        IF(REGEXMATCH(C49,""(?i)Squ"&amp;"are""),""sff"",""""))),
    IF(REGEXMATCH(D49,""(?i)-Rivets""),""Rvt"",
    IF(REGEXMATCH(D49,""(?i)Silicone""),""300ml"",
    IF(REGEXMATCH(D49,""(?i)R-Butyl""),""300ml"",
    IF(REGEXMATCH(D49,""(?i)Fix""),""GenFix"",
    IF(AND(REGEXMATCH(C49,""(?i)Tim"&amp;"ber""), REGEXMATCH(D49,""(?i)Timber"")),""tp"",
    IF(AND(REGEXMATCH(C49,""(?i)Vent G1275""), REGEXMATCH(D49,""(?i)Comb FIller"")),""CFV1275"",
    IF(REGEXMATCH(C49,""(?i)DPC""),""dpc"",
    IF(REGEXMATCH(C49,""(?i)Concealed Clips""),""ConClips"",
    I"&amp;"F(REGEXMATCH(D49,""(?i)-Takeoff ea""),""Takeoff ea"",
    IF(REGEXMATCH(D49,""(?i)-Takeoff LM""),""Takeoff LM"",
    IF(REGEXMATCH(D49,""(?i)-Takeoff m2""),""Takeoff m2"",
    IF(D49=""R-TU/TD"",""TU/TD"","""")))))))))))))))))
  )))"),"GenFix")</f>
        <v>GenFix</v>
      </c>
      <c r="C49" s="158" t="s">
        <v>77</v>
      </c>
      <c r="D49" s="124" t="s">
        <v>66</v>
      </c>
      <c r="E49" s="129"/>
      <c r="F49" s="129"/>
      <c r="G49" s="127"/>
      <c r="H49" s="127"/>
      <c r="I49" s="127"/>
      <c r="J49" s="126" t="s">
        <v>14</v>
      </c>
      <c r="K49" s="126" t="s">
        <v>52</v>
      </c>
      <c r="L49" s="135">
        <f>M48</f>
        <v>1071.41</v>
      </c>
      <c r="M49" s="150">
        <f>M48</f>
        <v>1071.41</v>
      </c>
      <c r="N49" s="151">
        <f>IFERROR(__xludf.DUMMYFUNCTION("""COMPUTED_VALUE"""),1.0)</f>
        <v>1</v>
      </c>
      <c r="O49" s="134">
        <v>1.0</v>
      </c>
      <c r="P49" s="134">
        <v>2.0</v>
      </c>
      <c r="Q49" s="135">
        <f t="shared" si="18"/>
        <v>2142.82</v>
      </c>
      <c r="R49" s="136" t="s">
        <v>42</v>
      </c>
      <c r="S49" s="137">
        <f t="shared" si="19"/>
        <v>0</v>
      </c>
      <c r="T49" s="138"/>
      <c r="U49" s="136" t="s">
        <v>42</v>
      </c>
      <c r="V49" s="139"/>
      <c r="W49" s="140">
        <f t="shared" si="20"/>
        <v>0</v>
      </c>
      <c r="X49" s="159"/>
      <c r="Y49" s="5"/>
      <c r="Z49" s="5"/>
      <c r="AA49" s="5"/>
      <c r="AB49" s="113">
        <f t="shared" si="13"/>
        <v>0</v>
      </c>
      <c r="AC49" s="33"/>
      <c r="AD49" s="65"/>
      <c r="AE49" s="66"/>
      <c r="AF49" s="144"/>
      <c r="AG49" s="68"/>
      <c r="AH49" s="69"/>
      <c r="AI49" s="39"/>
      <c r="AJ49" s="70"/>
      <c r="AK49" s="70"/>
      <c r="AL49" s="5"/>
      <c r="AM49" s="135">
        <v>1071.41</v>
      </c>
      <c r="AN49" s="152" t="s">
        <v>46</v>
      </c>
      <c r="AO49" s="135">
        <v>0.0</v>
      </c>
      <c r="AP49" s="139"/>
      <c r="AQ49" s="5"/>
      <c r="AR49" s="5"/>
      <c r="AS49" s="5"/>
      <c r="AT49" s="5"/>
      <c r="AU49" s="5"/>
      <c r="AV49" s="5"/>
      <c r="AW49" s="5"/>
      <c r="AX49" s="5"/>
      <c r="AY49" s="5"/>
      <c r="AZ49" s="5"/>
      <c r="BA49" s="5"/>
      <c r="BB49" s="5"/>
      <c r="BC49" s="5"/>
      <c r="BD49" s="5"/>
      <c r="BE49" s="5"/>
      <c r="BF49" s="5"/>
      <c r="BG49" s="5"/>
      <c r="BH49" s="5"/>
    </row>
    <row r="50" ht="12.75" customHeight="1">
      <c r="A50" s="147"/>
      <c r="B50" s="154"/>
      <c r="C50" s="158"/>
      <c r="D50" s="124"/>
      <c r="E50" s="129"/>
      <c r="F50" s="129"/>
      <c r="G50" s="127"/>
      <c r="H50" s="127"/>
      <c r="I50" s="127"/>
      <c r="J50" s="126"/>
      <c r="K50" s="126" t="s">
        <v>42</v>
      </c>
      <c r="L50" s="135"/>
      <c r="M50" s="150"/>
      <c r="N50" s="151" t="str">
        <f>IFERROR(__xludf.DUMMYFUNCTION("""COMPUTED_VALUE"""),"")</f>
        <v/>
      </c>
      <c r="O50" s="134"/>
      <c r="P50" s="134"/>
      <c r="Q50" s="135"/>
      <c r="R50" s="136"/>
      <c r="S50" s="137"/>
      <c r="T50" s="138"/>
      <c r="U50" s="136"/>
      <c r="V50" s="139"/>
      <c r="W50" s="140"/>
      <c r="X50" s="159"/>
      <c r="Y50" s="5"/>
      <c r="Z50" s="5"/>
      <c r="AA50" s="5"/>
      <c r="AB50" s="113">
        <f t="shared" si="13"/>
        <v>0</v>
      </c>
      <c r="AC50" s="33"/>
      <c r="AD50" s="65"/>
      <c r="AE50" s="66"/>
      <c r="AF50" s="144"/>
      <c r="AG50" s="68"/>
      <c r="AH50" s="69"/>
      <c r="AI50" s="39"/>
      <c r="AJ50" s="70"/>
      <c r="AK50" s="70"/>
      <c r="AL50" s="5"/>
      <c r="AM50" s="135" t="s">
        <v>42</v>
      </c>
      <c r="AN50" s="152"/>
      <c r="AO50" s="135" t="s">
        <v>42</v>
      </c>
      <c r="AP50" s="139"/>
      <c r="AQ50" s="5"/>
      <c r="AR50" s="5"/>
      <c r="AS50" s="5"/>
      <c r="AT50" s="5"/>
      <c r="AU50" s="5"/>
      <c r="AV50" s="5"/>
      <c r="AW50" s="5"/>
      <c r="AX50" s="5"/>
      <c r="AY50" s="5"/>
      <c r="AZ50" s="5"/>
      <c r="BA50" s="5"/>
      <c r="BB50" s="5"/>
      <c r="BC50" s="5"/>
      <c r="BD50" s="5"/>
      <c r="BE50" s="5"/>
      <c r="BF50" s="5"/>
      <c r="BG50" s="5"/>
      <c r="BH50" s="5"/>
    </row>
    <row r="51" ht="12.75" customHeight="1">
      <c r="A51" s="147"/>
      <c r="B51" s="154" t="s">
        <v>67</v>
      </c>
      <c r="C51" s="158" t="s">
        <v>68</v>
      </c>
      <c r="D51" s="124" t="s">
        <v>69</v>
      </c>
      <c r="E51" s="129"/>
      <c r="F51" s="129"/>
      <c r="G51" s="127"/>
      <c r="H51" s="127"/>
      <c r="I51" s="127"/>
      <c r="J51" s="126" t="s">
        <v>14</v>
      </c>
      <c r="K51" s="126" t="s">
        <v>55</v>
      </c>
      <c r="L51" s="135">
        <f>M46</f>
        <v>1071.41</v>
      </c>
      <c r="M51" s="150">
        <f>M46</f>
        <v>1071.41</v>
      </c>
      <c r="N51" s="151">
        <f>IFERROR(__xludf.DUMMYFUNCTION("""COMPUTED_VALUE"""),1.0)</f>
        <v>1</v>
      </c>
      <c r="O51" s="134">
        <v>1.0</v>
      </c>
      <c r="P51" s="134">
        <v>1.0</v>
      </c>
      <c r="Q51" s="135">
        <f>M51*N51*O51*P51</f>
        <v>1071.41</v>
      </c>
      <c r="R51" s="136" t="s">
        <v>42</v>
      </c>
      <c r="S51" s="137">
        <f>R51*Q51</f>
        <v>0</v>
      </c>
      <c r="T51" s="138"/>
      <c r="U51" s="136" t="s">
        <v>42</v>
      </c>
      <c r="V51" s="139"/>
      <c r="W51" s="140">
        <f>U51*Q51</f>
        <v>0</v>
      </c>
      <c r="X51" s="159"/>
      <c r="Y51" s="5"/>
      <c r="Z51" s="5"/>
      <c r="AA51" s="5"/>
      <c r="AB51" s="113">
        <f t="shared" si="13"/>
        <v>0</v>
      </c>
      <c r="AC51" s="33"/>
      <c r="AD51" s="65"/>
      <c r="AE51" s="66"/>
      <c r="AF51" s="144"/>
      <c r="AG51" s="68"/>
      <c r="AH51" s="69"/>
      <c r="AI51" s="39"/>
      <c r="AJ51" s="70"/>
      <c r="AK51" s="70"/>
      <c r="AL51" s="5"/>
      <c r="AM51" s="135">
        <v>1071.41</v>
      </c>
      <c r="AN51" s="152" t="s">
        <v>46</v>
      </c>
      <c r="AO51" s="135">
        <v>0.0</v>
      </c>
      <c r="AP51" s="139"/>
      <c r="AQ51" s="5"/>
      <c r="AR51" s="5"/>
      <c r="AS51" s="5"/>
      <c r="AT51" s="5"/>
      <c r="AU51" s="5"/>
      <c r="AV51" s="5"/>
      <c r="AW51" s="5"/>
      <c r="AX51" s="5"/>
      <c r="AY51" s="5"/>
      <c r="AZ51" s="5"/>
      <c r="BA51" s="5"/>
      <c r="BB51" s="5"/>
      <c r="BC51" s="5"/>
      <c r="BD51" s="5"/>
      <c r="BE51" s="5"/>
      <c r="BF51" s="5"/>
      <c r="BG51" s="5"/>
      <c r="BH51" s="5"/>
    </row>
    <row r="52" ht="12.75" customHeight="1">
      <c r="A52" s="147"/>
      <c r="B52" s="160"/>
      <c r="C52" s="129"/>
      <c r="D52" s="129"/>
      <c r="E52" s="129"/>
      <c r="F52" s="129"/>
      <c r="G52" s="127"/>
      <c r="H52" s="127"/>
      <c r="I52" s="127"/>
      <c r="J52" s="129"/>
      <c r="K52" s="127" t="s">
        <v>42</v>
      </c>
      <c r="L52" s="161"/>
      <c r="M52" s="161"/>
      <c r="N52" s="162" t="str">
        <f>IFERROR(__xludf.DUMMYFUNCTION("""COMPUTED_VALUE"""),"")</f>
        <v/>
      </c>
      <c r="O52" s="127"/>
      <c r="P52" s="127"/>
      <c r="Q52" s="163"/>
      <c r="R52" s="136"/>
      <c r="S52" s="139"/>
      <c r="T52" s="138"/>
      <c r="U52" s="136"/>
      <c r="V52" s="139"/>
      <c r="W52" s="164"/>
      <c r="X52" s="159"/>
      <c r="Y52" s="165"/>
      <c r="Z52" s="166"/>
      <c r="AA52" s="5"/>
      <c r="AB52" s="113">
        <f t="shared" si="13"/>
        <v>0</v>
      </c>
      <c r="AC52" s="33"/>
      <c r="AD52" s="65"/>
      <c r="AE52" s="66"/>
      <c r="AF52" s="144"/>
      <c r="AG52" s="68"/>
      <c r="AH52" s="69"/>
      <c r="AI52" s="39"/>
      <c r="AJ52" s="70"/>
      <c r="AK52" s="70"/>
      <c r="AL52" s="5"/>
      <c r="AM52" s="135" t="s">
        <v>42</v>
      </c>
      <c r="AN52" s="152"/>
      <c r="AO52" s="135" t="s">
        <v>42</v>
      </c>
      <c r="AP52" s="139"/>
      <c r="AQ52" s="5"/>
      <c r="AR52" s="5"/>
      <c r="AS52" s="5"/>
      <c r="AT52" s="5"/>
      <c r="AU52" s="5"/>
      <c r="AV52" s="5"/>
      <c r="AW52" s="5"/>
      <c r="AX52" s="5"/>
      <c r="AY52" s="5"/>
      <c r="AZ52" s="5"/>
      <c r="BA52" s="5"/>
      <c r="BB52" s="5"/>
      <c r="BC52" s="5"/>
      <c r="BD52" s="5"/>
      <c r="BE52" s="5"/>
      <c r="BF52" s="5"/>
      <c r="BG52" s="5"/>
      <c r="BH52" s="5"/>
    </row>
    <row r="53">
      <c r="A53" s="147"/>
      <c r="B53" s="122" t="s">
        <v>70</v>
      </c>
      <c r="C53" s="123" t="s">
        <v>71</v>
      </c>
      <c r="D53" s="124" t="s">
        <v>40</v>
      </c>
      <c r="E53" s="125" t="str">
        <f>IFERROR(__xludf.DUMMYFUNCTION("IF($B$17:$B379="""","""",
  VLOOKUP(
    $B$17:$B379,
    QUERY(
      IMPORTRANGE(""1Ag27m9YF5mMfJh2E6NipJDFvPLlDI1p-s_1XEnzMHcc"",""Merge!F2:R""),
      ""select Col1, Col11"",
      0
    ),
    2,
    FALSE
  )
)
"),"#REF!")</f>
        <v>#REF!</v>
      </c>
      <c r="F53" s="153" t="str">
        <f>F37</f>
        <v>5°</v>
      </c>
      <c r="G53" s="127"/>
      <c r="H53" s="125">
        <v>0.55</v>
      </c>
      <c r="I53" s="129"/>
      <c r="J53" s="126" t="s">
        <v>14</v>
      </c>
      <c r="K53" s="126" t="s">
        <v>41</v>
      </c>
      <c r="L53" s="135">
        <f>L37</f>
        <v>1029.42</v>
      </c>
      <c r="M53" s="150" t="str">
        <f>L53*E53</f>
        <v>#REF!</v>
      </c>
      <c r="N53" s="151">
        <f>IFERROR(__xludf.DUMMYFUNCTION("""COMPUTED_VALUE"""),1.0038198375433474)</f>
        <v>1.003819838</v>
      </c>
      <c r="O53" s="134">
        <v>1.0</v>
      </c>
      <c r="P53" s="134">
        <v>1.0</v>
      </c>
      <c r="Q53" s="135" t="str">
        <f t="shared" ref="Q53:Q54" si="21">M53*N53*O53*P53</f>
        <v>#REF!</v>
      </c>
      <c r="R53" s="136" t="s">
        <v>42</v>
      </c>
      <c r="S53" s="137" t="str">
        <f t="shared" ref="S53:S54" si="22">R53*Q53</f>
        <v>#REF!</v>
      </c>
      <c r="T53" s="138"/>
      <c r="U53" s="136" t="s">
        <v>42</v>
      </c>
      <c r="V53" s="139"/>
      <c r="W53" s="140" t="str">
        <f t="shared" ref="W53:W54" si="23">U53*Q53</f>
        <v>#REF!</v>
      </c>
      <c r="X53" s="2"/>
      <c r="Y53" s="5"/>
      <c r="Z53" s="5"/>
      <c r="AA53" s="5"/>
      <c r="AB53" s="113" t="str">
        <f t="shared" si="13"/>
        <v>#REF!</v>
      </c>
      <c r="AC53" s="33"/>
      <c r="AD53" s="65"/>
      <c r="AE53" s="66"/>
      <c r="AF53" s="144"/>
      <c r="AG53" s="68"/>
      <c r="AH53" s="69"/>
      <c r="AI53" s="39"/>
      <c r="AJ53" s="70"/>
      <c r="AK53" s="70"/>
      <c r="AL53" s="5"/>
      <c r="AM53" s="135" t="s">
        <v>42</v>
      </c>
      <c r="AN53" s="152" t="e">
        <v>#REF!</v>
      </c>
      <c r="AO53" s="135" t="s">
        <v>42</v>
      </c>
      <c r="AP53" s="139"/>
      <c r="AQ53" s="5"/>
      <c r="AR53" s="5"/>
      <c r="AS53" s="5"/>
      <c r="AT53" s="5"/>
      <c r="AU53" s="5"/>
      <c r="AV53" s="5"/>
      <c r="AW53" s="5"/>
      <c r="AX53" s="5"/>
      <c r="AY53" s="5"/>
      <c r="AZ53" s="5"/>
      <c r="BA53" s="5"/>
      <c r="BB53" s="5"/>
      <c r="BC53" s="5"/>
      <c r="BD53" s="5"/>
      <c r="BE53" s="5"/>
      <c r="BF53" s="5"/>
      <c r="BG53" s="5"/>
      <c r="BH53" s="5"/>
    </row>
    <row r="54">
      <c r="A54" s="147"/>
      <c r="B54" s="122" t="s">
        <v>73</v>
      </c>
      <c r="C54" s="123" t="s">
        <v>74</v>
      </c>
      <c r="D54" s="148"/>
      <c r="E54" s="153"/>
      <c r="F54" s="126"/>
      <c r="G54" s="149"/>
      <c r="H54" s="128"/>
      <c r="I54" s="155"/>
      <c r="J54" s="126" t="s">
        <v>14</v>
      </c>
      <c r="K54" s="126" t="s">
        <v>52</v>
      </c>
      <c r="L54" s="135">
        <v>1071.41</v>
      </c>
      <c r="M54" s="150">
        <v>1071.41</v>
      </c>
      <c r="N54" s="151">
        <f>IFERROR(__xludf.DUMMYFUNCTION("""COMPUTED_VALUE"""),1.0)</f>
        <v>1</v>
      </c>
      <c r="O54" s="134">
        <v>1.0</v>
      </c>
      <c r="P54" s="134">
        <v>1.0</v>
      </c>
      <c r="Q54" s="135">
        <f t="shared" si="21"/>
        <v>1071.41</v>
      </c>
      <c r="R54" s="136" t="s">
        <v>42</v>
      </c>
      <c r="S54" s="137">
        <f t="shared" si="22"/>
        <v>0</v>
      </c>
      <c r="T54" s="138"/>
      <c r="U54" s="136" t="s">
        <v>42</v>
      </c>
      <c r="V54" s="139"/>
      <c r="W54" s="140">
        <f t="shared" si="23"/>
        <v>0</v>
      </c>
      <c r="X54" s="2"/>
      <c r="Y54" s="5"/>
      <c r="Z54" s="5"/>
      <c r="AA54" s="5"/>
      <c r="AB54" s="113">
        <f t="shared" si="13"/>
        <v>0</v>
      </c>
      <c r="AC54" s="33"/>
      <c r="AD54" s="65"/>
      <c r="AE54" s="66"/>
      <c r="AF54" s="144"/>
      <c r="AG54" s="68"/>
      <c r="AH54" s="69"/>
      <c r="AI54" s="39"/>
      <c r="AJ54" s="70"/>
      <c r="AK54" s="70"/>
      <c r="AL54" s="5"/>
      <c r="AM54" s="135">
        <v>0.0</v>
      </c>
      <c r="AN54" s="152" t="s">
        <v>75</v>
      </c>
      <c r="AO54" s="135">
        <v>-1071.41</v>
      </c>
      <c r="AP54" s="139"/>
      <c r="AQ54" s="5"/>
      <c r="AR54" s="5"/>
      <c r="AS54" s="5"/>
      <c r="AT54" s="5"/>
      <c r="AU54" s="5"/>
      <c r="AV54" s="5"/>
      <c r="AW54" s="5"/>
      <c r="AX54" s="5"/>
      <c r="AY54" s="5"/>
      <c r="AZ54" s="5"/>
      <c r="BA54" s="5"/>
      <c r="BB54" s="5"/>
      <c r="BC54" s="5"/>
      <c r="BD54" s="5"/>
      <c r="BE54" s="5"/>
      <c r="BF54" s="5"/>
      <c r="BG54" s="5"/>
      <c r="BH54" s="5"/>
    </row>
    <row r="55" ht="12.75" customHeight="1">
      <c r="A55" s="147"/>
      <c r="B55" s="160"/>
      <c r="C55" s="129"/>
      <c r="D55" s="129"/>
      <c r="E55" s="129"/>
      <c r="F55" s="129"/>
      <c r="G55" s="127"/>
      <c r="H55" s="127"/>
      <c r="I55" s="127"/>
      <c r="J55" s="129"/>
      <c r="K55" s="127" t="s">
        <v>42</v>
      </c>
      <c r="L55" s="161"/>
      <c r="M55" s="161" t="s">
        <v>42</v>
      </c>
      <c r="N55" s="162" t="str">
        <f>IFERROR(__xludf.DUMMYFUNCTION("""COMPUTED_VALUE"""),"")</f>
        <v/>
      </c>
      <c r="O55" s="127"/>
      <c r="P55" s="127"/>
      <c r="Q55" s="163"/>
      <c r="R55" s="136"/>
      <c r="S55" s="139"/>
      <c r="T55" s="138"/>
      <c r="U55" s="136"/>
      <c r="V55" s="139"/>
      <c r="W55" s="164"/>
      <c r="X55" s="159"/>
      <c r="Y55" s="165"/>
      <c r="Z55" s="166"/>
      <c r="AA55" s="5"/>
      <c r="AB55" s="5"/>
      <c r="AC55" s="33"/>
      <c r="AD55" s="65"/>
      <c r="AE55" s="66"/>
      <c r="AF55" s="144"/>
      <c r="AG55" s="68"/>
      <c r="AH55" s="69"/>
      <c r="AI55" s="39"/>
      <c r="AJ55" s="70"/>
      <c r="AK55" s="70"/>
      <c r="AL55" s="5"/>
      <c r="AM55" s="135" t="s">
        <v>42</v>
      </c>
      <c r="AN55" s="152"/>
      <c r="AO55" s="135" t="s">
        <v>42</v>
      </c>
      <c r="AP55" s="139"/>
      <c r="AQ55" s="5"/>
      <c r="AR55" s="5"/>
      <c r="AS55" s="5"/>
      <c r="AT55" s="5"/>
      <c r="AU55" s="5"/>
      <c r="AV55" s="5"/>
      <c r="AW55" s="5"/>
      <c r="AX55" s="5"/>
      <c r="AY55" s="5"/>
      <c r="AZ55" s="5"/>
      <c r="BA55" s="5"/>
      <c r="BB55" s="5"/>
      <c r="BC55" s="5"/>
      <c r="BD55" s="5"/>
      <c r="BE55" s="5"/>
      <c r="BF55" s="5"/>
      <c r="BG55" s="5"/>
      <c r="BH55" s="5"/>
    </row>
    <row r="56" ht="12.75" customHeight="1">
      <c r="A56" s="87">
        <v>1.0</v>
      </c>
      <c r="B56" s="88"/>
      <c r="C56" s="167" t="s">
        <v>78</v>
      </c>
      <c r="D56" s="90"/>
      <c r="E56" s="91"/>
      <c r="F56" s="90"/>
      <c r="G56" s="90"/>
      <c r="H56" s="90"/>
      <c r="I56" s="90"/>
      <c r="J56" s="90"/>
      <c r="K56" s="90" t="s">
        <v>42</v>
      </c>
      <c r="L56" s="91"/>
      <c r="M56" s="91"/>
      <c r="N56" s="92" t="str">
        <f>IFERROR(__xludf.DUMMYFUNCTION("""COMPUTED_VALUE"""),"")</f>
        <v/>
      </c>
      <c r="O56" s="90"/>
      <c r="P56" s="90"/>
      <c r="Q56" s="90"/>
      <c r="R56" s="136"/>
      <c r="S56" s="90"/>
      <c r="T56" s="90"/>
      <c r="U56" s="136"/>
      <c r="V56" s="90"/>
      <c r="W56" s="93"/>
      <c r="X56" s="94"/>
      <c r="Y56" s="5"/>
      <c r="Z56" s="5"/>
      <c r="AA56" s="5"/>
      <c r="AB56" s="5"/>
      <c r="AC56" s="94"/>
      <c r="AD56" s="95"/>
      <c r="AE56" s="96"/>
      <c r="AF56" s="97"/>
      <c r="AG56" s="98"/>
      <c r="AH56" s="99"/>
      <c r="AI56" s="100"/>
      <c r="AJ56" s="101"/>
      <c r="AK56" s="101"/>
      <c r="AL56" s="5"/>
      <c r="AM56" s="7" t="s">
        <v>42</v>
      </c>
      <c r="AN56" s="5"/>
      <c r="AO56" s="5" t="s">
        <v>42</v>
      </c>
      <c r="AP56" s="5"/>
      <c r="AQ56" s="5"/>
      <c r="AR56" s="5"/>
      <c r="AS56" s="5"/>
      <c r="AT56" s="5"/>
      <c r="AU56" s="5"/>
      <c r="AV56" s="5"/>
      <c r="AW56" s="5"/>
      <c r="AX56" s="5"/>
      <c r="AY56" s="5"/>
      <c r="AZ56" s="5"/>
      <c r="BA56" s="5"/>
      <c r="BB56" s="5"/>
      <c r="BC56" s="5"/>
      <c r="BD56" s="5"/>
      <c r="BE56" s="5"/>
      <c r="BF56" s="5"/>
      <c r="BG56" s="5"/>
      <c r="BH56" s="5"/>
    </row>
    <row r="57">
      <c r="A57" s="87">
        <v>1.0</v>
      </c>
      <c r="B57" s="102"/>
      <c r="C57" s="103" t="s">
        <v>79</v>
      </c>
      <c r="D57" s="104"/>
      <c r="E57" s="105"/>
      <c r="F57" s="104"/>
      <c r="G57" s="104"/>
      <c r="H57" s="104"/>
      <c r="I57" s="104"/>
      <c r="J57" s="104"/>
      <c r="K57" s="104" t="s">
        <v>42</v>
      </c>
      <c r="L57" s="106" t="str">
        <f>Q57</f>
        <v>#REF!</v>
      </c>
      <c r="M57" s="105"/>
      <c r="N57" s="107" t="str">
        <f>IFERROR(__xludf.DUMMYFUNCTION("""COMPUTED_VALUE"""),"")</f>
        <v/>
      </c>
      <c r="O57" s="104"/>
      <c r="P57" s="104"/>
      <c r="Q57" s="106" t="str">
        <f>Q58</f>
        <v>#REF!</v>
      </c>
      <c r="R57" s="136"/>
      <c r="S57" s="109" t="str">
        <f>T57/Q57</f>
        <v>#REF!</v>
      </c>
      <c r="T57" s="109" t="str">
        <f>SUM(S58:S62)</f>
        <v>#REF!</v>
      </c>
      <c r="U57" s="136"/>
      <c r="V57" s="109" t="str">
        <f>W57/Q57</f>
        <v>#REF!</v>
      </c>
      <c r="W57" s="110" t="str">
        <f>SUM(W58:W62)</f>
        <v>#REF!</v>
      </c>
      <c r="X57" s="111" t="str">
        <f>W57/$AC$176/$W$183/$X$173</f>
        <v>#REF!</v>
      </c>
      <c r="Y57" s="112" t="str">
        <f>(T57+W57)=(SUM(AB58:AB62))</f>
        <v>#REF!</v>
      </c>
      <c r="Z57" s="113" t="str">
        <f>(T57+W57)-(SUM(AB58:AB62))</f>
        <v>#REF!</v>
      </c>
      <c r="AA57" s="5"/>
      <c r="AB57" s="5"/>
      <c r="AC57" s="33"/>
      <c r="AD57" s="114" t="str">
        <f>W57+T57</f>
        <v>#REF!</v>
      </c>
      <c r="AE57" s="115" t="str">
        <f>AD57</f>
        <v>#REF!</v>
      </c>
      <c r="AF57" s="116" t="str">
        <f>AE57/$AE$151</f>
        <v>#REF!</v>
      </c>
      <c r="AG57" s="117" t="str">
        <f>AF57*$AG$158</f>
        <v>#REF!</v>
      </c>
      <c r="AH57" s="118" t="str">
        <f>AF57*$AG$161</f>
        <v>#REF!</v>
      </c>
      <c r="AI57" s="39"/>
      <c r="AJ57" s="119" t="str">
        <f>ROUND(AK57/L57,2)</f>
        <v>#REF!</v>
      </c>
      <c r="AK57" s="119" t="str">
        <f>ROUND(AH57+AG57+AD57,2)</f>
        <v>#REF!</v>
      </c>
      <c r="AL57" s="5"/>
      <c r="AM57" s="105" t="s">
        <v>42</v>
      </c>
      <c r="AN57" s="120"/>
      <c r="AO57" s="105" t="s">
        <v>42</v>
      </c>
      <c r="AP57" s="120"/>
      <c r="AQ57" s="5"/>
      <c r="AR57" s="5"/>
      <c r="AS57" s="5"/>
      <c r="AT57" s="5"/>
      <c r="AU57" s="5"/>
      <c r="AV57" s="5"/>
      <c r="AW57" s="5"/>
      <c r="AX57" s="5"/>
      <c r="AY57" s="5"/>
      <c r="AZ57" s="5"/>
      <c r="BA57" s="5"/>
      <c r="BB57" s="5"/>
      <c r="BC57" s="5"/>
      <c r="BD57" s="5"/>
      <c r="BE57" s="5"/>
      <c r="BF57" s="5"/>
      <c r="BG57" s="5"/>
      <c r="BH57" s="5"/>
    </row>
    <row r="58">
      <c r="A58" s="147"/>
      <c r="B58" s="154" t="s">
        <v>80</v>
      </c>
      <c r="C58" s="123" t="s">
        <v>81</v>
      </c>
      <c r="D58" s="124" t="s">
        <v>82</v>
      </c>
      <c r="E58" s="125" t="str">
        <f>IFERROR(__xludf.DUMMYFUNCTION("IF($B$17:$B379="""","""",
  VLOOKUP(
    $B$17:$B379,
    QUERY(
      IMPORTRANGE(""1Ag27m9YF5mMfJh2E6NipJDFvPLlDI1p-s_1XEnzMHcc"",""Merge!F2:R""),
      ""select Col1, Col11"",
      0
    ),
    2,
    FALSE
  )
)
"),"#REF!")</f>
        <v>#REF!</v>
      </c>
      <c r="F58" s="126" t="str">
        <f>F17</f>
        <v>9°</v>
      </c>
      <c r="G58" s="149" t="s">
        <v>83</v>
      </c>
      <c r="H58" s="128" t="str">
        <f>IFERROR(__xludf.DUMMYFUNCTION("IFERROR(REGEXEXTRACT(C58, ""(\d*\.\d+)mm""), """")"),"")</f>
        <v/>
      </c>
      <c r="I58" s="127"/>
      <c r="J58" s="126" t="s">
        <v>14</v>
      </c>
      <c r="K58" s="126" t="s">
        <v>41</v>
      </c>
      <c r="L58" s="135" t="str">
        <f>M17</f>
        <v>#REF!</v>
      </c>
      <c r="M58" s="150" t="str">
        <f>(M17/(E58-0.15))*0.15+M17</f>
        <v>#REF!</v>
      </c>
      <c r="N58" s="151">
        <f>IFERROR(__xludf.DUMMYFUNCTION("""COMPUTED_VALUE"""),1.0124651257880029)</f>
        <v>1.012465126</v>
      </c>
      <c r="O58" s="134">
        <v>1.0</v>
      </c>
      <c r="P58" s="134">
        <v>1.0</v>
      </c>
      <c r="Q58" s="135" t="str">
        <f t="shared" ref="Q58:Q61" si="25">M58*N58*O58*P58</f>
        <v>#REF!</v>
      </c>
      <c r="R58" s="136" t="s">
        <v>42</v>
      </c>
      <c r="S58" s="137" t="str">
        <f t="shared" ref="S58:S61" si="26">R58*Q58</f>
        <v>#REF!</v>
      </c>
      <c r="T58" s="138"/>
      <c r="U58" s="136" t="s">
        <v>42</v>
      </c>
      <c r="V58" s="139"/>
      <c r="W58" s="140" t="str">
        <f t="shared" ref="W58:W61" si="27">U58*Q58</f>
        <v>#REF!</v>
      </c>
      <c r="X58" s="2"/>
      <c r="Y58" s="5"/>
      <c r="Z58" s="5"/>
      <c r="AA58" s="5"/>
      <c r="AB58" s="113" t="str">
        <f t="shared" ref="AB58:AB62" si="28">W58+S58</f>
        <v>#REF!</v>
      </c>
      <c r="AC58" s="33"/>
      <c r="AD58" s="65"/>
      <c r="AE58" s="66"/>
      <c r="AF58" s="144"/>
      <c r="AG58" s="68"/>
      <c r="AH58" s="69"/>
      <c r="AI58" s="39"/>
      <c r="AJ58" s="70"/>
      <c r="AK58" s="70"/>
      <c r="AL58" s="5"/>
      <c r="AM58" s="135" t="s">
        <v>42</v>
      </c>
      <c r="AN58" s="152" t="e">
        <v>#REF!</v>
      </c>
      <c r="AO58" s="135" t="s">
        <v>42</v>
      </c>
      <c r="AP58" s="139"/>
      <c r="AQ58" s="5"/>
      <c r="AR58" s="5"/>
      <c r="AS58" s="5"/>
      <c r="AT58" s="5"/>
      <c r="AU58" s="5"/>
      <c r="AV58" s="5"/>
      <c r="AW58" s="5"/>
      <c r="AX58" s="5"/>
      <c r="AY58" s="5"/>
      <c r="AZ58" s="5"/>
      <c r="BA58" s="5"/>
      <c r="BB58" s="5"/>
      <c r="BC58" s="5"/>
      <c r="BD58" s="5"/>
      <c r="BE58" s="5"/>
      <c r="BF58" s="5"/>
      <c r="BG58" s="5"/>
      <c r="BH58" s="5"/>
    </row>
    <row r="59" ht="12.75" customHeight="1">
      <c r="A59" s="147"/>
      <c r="B59" s="122" t="s">
        <v>84</v>
      </c>
      <c r="C59" s="123" t="s">
        <v>85</v>
      </c>
      <c r="D59" s="124" t="s">
        <v>86</v>
      </c>
      <c r="E59" s="126" t="str">
        <f t="shared" ref="E59:F59" si="24">E58</f>
        <v>#REF!</v>
      </c>
      <c r="F59" s="126" t="str">
        <f t="shared" si="24"/>
        <v>9°</v>
      </c>
      <c r="G59" s="127"/>
      <c r="H59" s="125" t="str">
        <f>IFERROR(__xludf.DUMMYFUNCTION("IF($B$17:$B379="""","""",
  VLOOKUP(
    $B$17:$B379,
    QUERY(
      IMPORTRANGE(""1Ag27m9YF5mMfJh2E6NipJDFvPLlDI1p-s_1XEnzMHcc"",""Merge!F2:R""),
      ""select Col1, Col11"",
      0
    ),
    2,
    FALSE
  )
)
"),"#REF!")</f>
        <v>#REF!</v>
      </c>
      <c r="I59" s="127"/>
      <c r="J59" s="126" t="s">
        <v>87</v>
      </c>
      <c r="K59" s="128" t="s">
        <v>52</v>
      </c>
      <c r="L59" s="168" t="str">
        <f>M58</f>
        <v>#REF!</v>
      </c>
      <c r="M59" s="169" t="str">
        <f>M58/E59/H59</f>
        <v>#REF!</v>
      </c>
      <c r="N59" s="151">
        <f>IFERROR(__xludf.DUMMYFUNCTION("""COMPUTED_VALUE"""),1.0124651257880029)</f>
        <v>1.012465126</v>
      </c>
      <c r="O59" s="134">
        <v>1.0</v>
      </c>
      <c r="P59" s="134">
        <v>1.0</v>
      </c>
      <c r="Q59" s="135" t="str">
        <f t="shared" si="25"/>
        <v>#REF!</v>
      </c>
      <c r="R59" s="136" t="s">
        <v>42</v>
      </c>
      <c r="S59" s="137" t="str">
        <f t="shared" si="26"/>
        <v>#REF!</v>
      </c>
      <c r="T59" s="138"/>
      <c r="U59" s="136" t="s">
        <v>42</v>
      </c>
      <c r="V59" s="139"/>
      <c r="W59" s="140" t="str">
        <f t="shared" si="27"/>
        <v>#REF!</v>
      </c>
      <c r="X59" s="159"/>
      <c r="Y59" s="165"/>
      <c r="Z59" s="166"/>
      <c r="AA59" s="5"/>
      <c r="AB59" s="113" t="str">
        <f t="shared" si="28"/>
        <v>#REF!</v>
      </c>
      <c r="AC59" s="33"/>
      <c r="AD59" s="65"/>
      <c r="AE59" s="66"/>
      <c r="AF59" s="144"/>
      <c r="AG59" s="68"/>
      <c r="AH59" s="69"/>
      <c r="AI59" s="39"/>
      <c r="AJ59" s="70"/>
      <c r="AK59" s="70"/>
      <c r="AL59" s="5"/>
      <c r="AM59" s="135" t="s">
        <v>42</v>
      </c>
      <c r="AN59" s="152" t="e">
        <v>#REF!</v>
      </c>
      <c r="AO59" s="135" t="s">
        <v>42</v>
      </c>
      <c r="AP59" s="139"/>
      <c r="AQ59" s="5"/>
      <c r="AR59" s="5"/>
      <c r="AS59" s="5"/>
      <c r="AT59" s="5"/>
      <c r="AU59" s="5"/>
      <c r="AV59" s="5"/>
      <c r="AW59" s="5"/>
      <c r="AX59" s="5"/>
      <c r="AY59" s="5"/>
      <c r="AZ59" s="5"/>
      <c r="BA59" s="5"/>
      <c r="BB59" s="5"/>
      <c r="BC59" s="5"/>
      <c r="BD59" s="5"/>
      <c r="BE59" s="5"/>
      <c r="BF59" s="5"/>
      <c r="BG59" s="5"/>
      <c r="BH59" s="5"/>
    </row>
    <row r="60" ht="12.75" customHeight="1">
      <c r="A60" s="147"/>
      <c r="B60" s="154" t="s">
        <v>80</v>
      </c>
      <c r="C60" s="158" t="s">
        <v>81</v>
      </c>
      <c r="D60" s="124" t="s">
        <v>82</v>
      </c>
      <c r="E60" s="125" t="str">
        <f>IFERROR(__xludf.DUMMYFUNCTION("IF($B$17:$B379="""","""",
  VLOOKUP(
    $B$17:$B379,
    QUERY(
      IMPORTRANGE(""1Ag27m9YF5mMfJh2E6NipJDFvPLlDI1p-s_1XEnzMHcc"",""Merge!F2:R""),
      ""select Col1, Col11"",
      0
    ),
    2,
    FALSE
  )
)
"),"#REF!")</f>
        <v>#REF!</v>
      </c>
      <c r="F60" s="153" t="s">
        <v>88</v>
      </c>
      <c r="G60" s="149" t="s">
        <v>83</v>
      </c>
      <c r="H60" s="128" t="str">
        <f>IFERROR(__xludf.DUMMYFUNCTION("IFERROR(REGEXEXTRACT(C60, ""(\d*\.\d+)mm""), """")"),"")</f>
        <v/>
      </c>
      <c r="I60" s="127"/>
      <c r="J60" s="126" t="s">
        <v>14</v>
      </c>
      <c r="K60" s="126" t="s">
        <v>41</v>
      </c>
      <c r="L60" s="135">
        <f>M43</f>
        <v>1071.41</v>
      </c>
      <c r="M60" s="150">
        <v>1352.790404040404</v>
      </c>
      <c r="N60" s="151">
        <f>IFERROR(__xludf.DUMMYFUNCTION("""COMPUTED_VALUE"""),1.0038198375433474)</f>
        <v>1.003819838</v>
      </c>
      <c r="O60" s="134">
        <v>1.0</v>
      </c>
      <c r="P60" s="134">
        <v>1.0</v>
      </c>
      <c r="Q60" s="135">
        <f t="shared" si="25"/>
        <v>1357.957844</v>
      </c>
      <c r="R60" s="136" t="s">
        <v>42</v>
      </c>
      <c r="S60" s="137">
        <f t="shared" si="26"/>
        <v>0</v>
      </c>
      <c r="T60" s="138"/>
      <c r="U60" s="136" t="s">
        <v>42</v>
      </c>
      <c r="V60" s="139"/>
      <c r="W60" s="140">
        <f t="shared" si="27"/>
        <v>0</v>
      </c>
      <c r="X60" s="159"/>
      <c r="Y60" s="5"/>
      <c r="Z60" s="5"/>
      <c r="AA60" s="5"/>
      <c r="AB60" s="113">
        <f t="shared" si="28"/>
        <v>0</v>
      </c>
      <c r="AC60" s="33"/>
      <c r="AD60" s="65"/>
      <c r="AE60" s="66"/>
      <c r="AF60" s="144"/>
      <c r="AG60" s="68"/>
      <c r="AH60" s="69"/>
      <c r="AI60" s="39"/>
      <c r="AJ60" s="70"/>
      <c r="AK60" s="70"/>
      <c r="AL60" s="5"/>
      <c r="AM60" s="135" t="s">
        <v>42</v>
      </c>
      <c r="AN60" s="152" t="s">
        <v>75</v>
      </c>
      <c r="AO60" s="135" t="s">
        <v>42</v>
      </c>
      <c r="AP60" s="139"/>
      <c r="AQ60" s="5"/>
      <c r="AR60" s="5"/>
      <c r="AS60" s="5"/>
      <c r="AT60" s="5"/>
      <c r="AU60" s="5"/>
      <c r="AV60" s="5"/>
      <c r="AW60" s="5"/>
      <c r="AX60" s="5"/>
      <c r="AY60" s="5"/>
      <c r="AZ60" s="5"/>
      <c r="BA60" s="5"/>
      <c r="BB60" s="5"/>
      <c r="BC60" s="5"/>
      <c r="BD60" s="5"/>
      <c r="BE60" s="5"/>
      <c r="BF60" s="5"/>
      <c r="BG60" s="5"/>
      <c r="BH60" s="5"/>
    </row>
    <row r="61" ht="12.75" customHeight="1">
      <c r="A61" s="147"/>
      <c r="B61" s="122" t="s">
        <v>84</v>
      </c>
      <c r="C61" s="123" t="s">
        <v>85</v>
      </c>
      <c r="D61" s="124" t="s">
        <v>86</v>
      </c>
      <c r="E61" s="126" t="str">
        <f t="shared" ref="E61:F61" si="29">E60</f>
        <v>#REF!</v>
      </c>
      <c r="F61" s="126" t="str">
        <f t="shared" si="29"/>
        <v>5°</v>
      </c>
      <c r="G61" s="127"/>
      <c r="H61" s="125" t="str">
        <f>IFERROR(__xludf.DUMMYFUNCTION("IF($B$17:$B379="""","""",
  VLOOKUP(
    $B$17:$B379,
    QUERY(
      IMPORTRANGE(""1Ag27m9YF5mMfJh2E6NipJDFvPLlDI1p-s_1XEnzMHcc"",""Merge!F2:R""),
      ""select Col1, Col11"",
      0
    ),
    2,
    FALSE
  )
)
"),"#REF!")</f>
        <v>#REF!</v>
      </c>
      <c r="I61" s="127"/>
      <c r="J61" s="126" t="s">
        <v>87</v>
      </c>
      <c r="K61" s="128" t="s">
        <v>52</v>
      </c>
      <c r="L61" s="168">
        <f>M60</f>
        <v>1352.790404</v>
      </c>
      <c r="M61" s="169" t="str">
        <f>M60/E61/H61</f>
        <v>#REF!</v>
      </c>
      <c r="N61" s="151">
        <f>IFERROR(__xludf.DUMMYFUNCTION("""COMPUTED_VALUE"""),1.0038198375433474)</f>
        <v>1.003819838</v>
      </c>
      <c r="O61" s="134">
        <v>1.0</v>
      </c>
      <c r="P61" s="134">
        <v>1.0</v>
      </c>
      <c r="Q61" s="135" t="str">
        <f t="shared" si="25"/>
        <v>#REF!</v>
      </c>
      <c r="R61" s="136" t="s">
        <v>42</v>
      </c>
      <c r="S61" s="137" t="str">
        <f t="shared" si="26"/>
        <v>#REF!</v>
      </c>
      <c r="T61" s="138"/>
      <c r="U61" s="136" t="s">
        <v>42</v>
      </c>
      <c r="V61" s="139"/>
      <c r="W61" s="140" t="str">
        <f t="shared" si="27"/>
        <v>#REF!</v>
      </c>
      <c r="X61" s="159"/>
      <c r="Y61" s="165"/>
      <c r="Z61" s="166"/>
      <c r="AA61" s="5"/>
      <c r="AB61" s="113" t="str">
        <f t="shared" si="28"/>
        <v>#REF!</v>
      </c>
      <c r="AC61" s="33"/>
      <c r="AD61" s="65"/>
      <c r="AE61" s="66"/>
      <c r="AF61" s="144"/>
      <c r="AG61" s="68"/>
      <c r="AH61" s="69"/>
      <c r="AI61" s="39"/>
      <c r="AJ61" s="70"/>
      <c r="AK61" s="70"/>
      <c r="AL61" s="5"/>
      <c r="AM61" s="135" t="s">
        <v>42</v>
      </c>
      <c r="AN61" s="152" t="e">
        <v>#REF!</v>
      </c>
      <c r="AO61" s="135" t="s">
        <v>42</v>
      </c>
      <c r="AP61" s="139"/>
      <c r="AQ61" s="5"/>
      <c r="AR61" s="5"/>
      <c r="AS61" s="5"/>
      <c r="AT61" s="5"/>
      <c r="AU61" s="5"/>
      <c r="AV61" s="5"/>
      <c r="AW61" s="5"/>
      <c r="AX61" s="5"/>
      <c r="AY61" s="5"/>
      <c r="AZ61" s="5"/>
      <c r="BA61" s="5"/>
      <c r="BB61" s="5"/>
      <c r="BC61" s="5"/>
      <c r="BD61" s="5"/>
      <c r="BE61" s="5"/>
      <c r="BF61" s="5"/>
      <c r="BG61" s="5"/>
      <c r="BH61" s="5"/>
    </row>
    <row r="62">
      <c r="A62" s="147"/>
      <c r="B62" s="154"/>
      <c r="C62" s="158"/>
      <c r="D62" s="124"/>
      <c r="E62" s="126"/>
      <c r="F62" s="126"/>
      <c r="G62" s="127"/>
      <c r="H62" s="127"/>
      <c r="I62" s="127"/>
      <c r="J62" s="126"/>
      <c r="K62" s="128" t="s">
        <v>42</v>
      </c>
      <c r="L62" s="168"/>
      <c r="M62" s="169"/>
      <c r="N62" s="151" t="str">
        <f>IFERROR(__xludf.DUMMYFUNCTION("""COMPUTED_VALUE"""),"")</f>
        <v/>
      </c>
      <c r="O62" s="134"/>
      <c r="P62" s="134"/>
      <c r="Q62" s="168"/>
      <c r="R62" s="136"/>
      <c r="S62" s="137"/>
      <c r="T62" s="138"/>
      <c r="U62" s="136"/>
      <c r="V62" s="139"/>
      <c r="W62" s="140"/>
      <c r="X62" s="111"/>
      <c r="Y62" s="141"/>
      <c r="Z62" s="142"/>
      <c r="AA62" s="5"/>
      <c r="AB62" s="113">
        <f t="shared" si="28"/>
        <v>0</v>
      </c>
      <c r="AC62" s="33"/>
      <c r="AD62" s="65"/>
      <c r="AE62" s="66"/>
      <c r="AF62" s="144"/>
      <c r="AG62" s="68"/>
      <c r="AH62" s="69"/>
      <c r="AI62" s="39"/>
      <c r="AJ62" s="70"/>
      <c r="AK62" s="70"/>
      <c r="AL62" s="5"/>
      <c r="AM62" s="135" t="s">
        <v>42</v>
      </c>
      <c r="AN62" s="152"/>
      <c r="AO62" s="135" t="s">
        <v>42</v>
      </c>
      <c r="AP62" s="139"/>
      <c r="AQ62" s="5"/>
      <c r="AR62" s="5"/>
      <c r="AS62" s="5"/>
      <c r="AT62" s="5"/>
      <c r="AU62" s="5"/>
      <c r="AV62" s="5"/>
      <c r="AW62" s="5"/>
      <c r="AX62" s="5"/>
      <c r="AY62" s="5"/>
      <c r="AZ62" s="5"/>
      <c r="BA62" s="5"/>
      <c r="BB62" s="5"/>
      <c r="BC62" s="5"/>
      <c r="BD62" s="5"/>
      <c r="BE62" s="5"/>
      <c r="BF62" s="5"/>
      <c r="BG62" s="5"/>
      <c r="BH62" s="5"/>
    </row>
    <row r="63" ht="12.75" customHeight="1">
      <c r="A63" s="87">
        <v>1.0</v>
      </c>
      <c r="B63" s="88"/>
      <c r="C63" s="167" t="s">
        <v>89</v>
      </c>
      <c r="D63" s="90"/>
      <c r="E63" s="91"/>
      <c r="F63" s="90"/>
      <c r="G63" s="90"/>
      <c r="H63" s="90"/>
      <c r="I63" s="90"/>
      <c r="J63" s="90"/>
      <c r="K63" s="90" t="s">
        <v>42</v>
      </c>
      <c r="L63" s="91"/>
      <c r="M63" s="91"/>
      <c r="N63" s="92" t="str">
        <f>IFERROR(__xludf.DUMMYFUNCTION("""COMPUTED_VALUE"""),"")</f>
        <v/>
      </c>
      <c r="O63" s="90"/>
      <c r="P63" s="90"/>
      <c r="Q63" s="90"/>
      <c r="R63" s="136"/>
      <c r="S63" s="90"/>
      <c r="T63" s="90"/>
      <c r="U63" s="136"/>
      <c r="V63" s="90"/>
      <c r="W63" s="93"/>
      <c r="X63" s="94"/>
      <c r="Y63" s="5"/>
      <c r="Z63" s="5"/>
      <c r="AA63" s="5"/>
      <c r="AB63" s="5"/>
      <c r="AC63" s="94"/>
      <c r="AD63" s="95"/>
      <c r="AE63" s="96"/>
      <c r="AF63" s="97"/>
      <c r="AG63" s="98"/>
      <c r="AH63" s="99"/>
      <c r="AI63" s="100"/>
      <c r="AJ63" s="101"/>
      <c r="AK63" s="101"/>
      <c r="AL63" s="5"/>
      <c r="AM63" s="7" t="s">
        <v>42</v>
      </c>
      <c r="AN63" s="5"/>
      <c r="AO63" s="5" t="s">
        <v>42</v>
      </c>
      <c r="AP63" s="5"/>
      <c r="AQ63" s="5"/>
      <c r="AR63" s="5"/>
      <c r="AS63" s="5"/>
      <c r="AT63" s="5"/>
      <c r="AU63" s="5"/>
      <c r="AV63" s="5"/>
      <c r="AW63" s="5"/>
      <c r="AX63" s="5"/>
      <c r="AY63" s="5"/>
      <c r="AZ63" s="5"/>
      <c r="BA63" s="5"/>
      <c r="BB63" s="5"/>
      <c r="BC63" s="5"/>
      <c r="BD63" s="5"/>
      <c r="BE63" s="5"/>
      <c r="BF63" s="5"/>
      <c r="BG63" s="5"/>
      <c r="BH63" s="5"/>
    </row>
    <row r="64">
      <c r="A64" s="87">
        <v>1.0</v>
      </c>
      <c r="B64" s="102"/>
      <c r="C64" s="103" t="s">
        <v>90</v>
      </c>
      <c r="D64" s="104"/>
      <c r="E64" s="105"/>
      <c r="F64" s="104"/>
      <c r="G64" s="104"/>
      <c r="H64" s="104"/>
      <c r="I64" s="104"/>
      <c r="J64" s="104"/>
      <c r="K64" s="104" t="s">
        <v>42</v>
      </c>
      <c r="L64" s="106" t="str">
        <f>Q64</f>
        <v>#REF!</v>
      </c>
      <c r="M64" s="105"/>
      <c r="N64" s="107" t="str">
        <f>IFERROR(__xludf.DUMMYFUNCTION("""COMPUTED_VALUE"""),"")</f>
        <v/>
      </c>
      <c r="O64" s="104"/>
      <c r="P64" s="104"/>
      <c r="Q64" s="106" t="str">
        <f>Q65</f>
        <v>#REF!</v>
      </c>
      <c r="R64" s="136"/>
      <c r="S64" s="109" t="str">
        <f>T64/Q64</f>
        <v>#REF!</v>
      </c>
      <c r="T64" s="109" t="str">
        <f>SUM(S65:S67)</f>
        <v>#REF!</v>
      </c>
      <c r="U64" s="136"/>
      <c r="V64" s="109" t="str">
        <f>W64/Q64</f>
        <v>#REF!</v>
      </c>
      <c r="W64" s="110" t="str">
        <f>SUM(W65:W67)</f>
        <v>#REF!</v>
      </c>
      <c r="X64" s="111" t="str">
        <f>W64/$AC$176/$W$183/$X$173</f>
        <v>#REF!</v>
      </c>
      <c r="Y64" s="112" t="str">
        <f>(T64+W64)=(SUM(AB65:AB67))</f>
        <v>#REF!</v>
      </c>
      <c r="Z64" s="113" t="str">
        <f>(T64+W64)-(SUM(AB65:AB67))</f>
        <v>#REF!</v>
      </c>
      <c r="AA64" s="5"/>
      <c r="AB64" s="5"/>
      <c r="AC64" s="33"/>
      <c r="AD64" s="114" t="str">
        <f>W64+T64</f>
        <v>#REF!</v>
      </c>
      <c r="AE64" s="115" t="str">
        <f>AD64</f>
        <v>#REF!</v>
      </c>
      <c r="AF64" s="116" t="str">
        <f>AE64/$AE$151</f>
        <v>#REF!</v>
      </c>
      <c r="AG64" s="117" t="str">
        <f>AF64*$AG$158</f>
        <v>#REF!</v>
      </c>
      <c r="AH64" s="118" t="str">
        <f>AF64*$AG$161</f>
        <v>#REF!</v>
      </c>
      <c r="AI64" s="39"/>
      <c r="AJ64" s="119" t="str">
        <f>ROUND(AK64/L64,2)</f>
        <v>#REF!</v>
      </c>
      <c r="AK64" s="119" t="str">
        <f>ROUND(AH64+AG64+AD64,2)</f>
        <v>#REF!</v>
      </c>
      <c r="AL64" s="5"/>
      <c r="AM64" s="105" t="s">
        <v>42</v>
      </c>
      <c r="AN64" s="120"/>
      <c r="AO64" s="105" t="s">
        <v>42</v>
      </c>
      <c r="AP64" s="120"/>
      <c r="AQ64" s="5"/>
      <c r="AR64" s="5"/>
      <c r="AS64" s="5"/>
      <c r="AT64" s="5"/>
      <c r="AU64" s="5"/>
      <c r="AV64" s="5"/>
      <c r="AW64" s="5"/>
      <c r="AX64" s="5"/>
      <c r="AY64" s="5"/>
      <c r="AZ64" s="5"/>
      <c r="BA64" s="5"/>
      <c r="BB64" s="5"/>
      <c r="BC64" s="5"/>
      <c r="BD64" s="5"/>
      <c r="BE64" s="5"/>
      <c r="BF64" s="5"/>
      <c r="BG64" s="5"/>
      <c r="BH64" s="5"/>
    </row>
    <row r="65">
      <c r="A65" s="147"/>
      <c r="B65" s="154" t="s">
        <v>91</v>
      </c>
      <c r="C65" s="158" t="s">
        <v>89</v>
      </c>
      <c r="D65" s="124" t="s">
        <v>92</v>
      </c>
      <c r="E65" s="126"/>
      <c r="F65" s="126" t="str">
        <f>F59</f>
        <v>9°</v>
      </c>
      <c r="G65" s="127"/>
      <c r="H65" s="127" t="str">
        <f>IFERROR(__xludf.DUMMYFUNCTION("IFERROR(REGEXEXTRACT(C65, ""(\d*\.\d+)mm""), """")"),"")</f>
        <v/>
      </c>
      <c r="I65" s="127"/>
      <c r="J65" s="126" t="s">
        <v>87</v>
      </c>
      <c r="K65" s="128" t="s">
        <v>41</v>
      </c>
      <c r="L65" s="168" t="str">
        <f>M58</f>
        <v>#REF!</v>
      </c>
      <c r="M65" s="169" t="str">
        <f>M58</f>
        <v>#REF!</v>
      </c>
      <c r="N65" s="151">
        <f>IFERROR(__xludf.DUMMYFUNCTION("""COMPUTED_VALUE"""),1.0124651257880029)</f>
        <v>1.012465126</v>
      </c>
      <c r="O65" s="134">
        <v>1.0</v>
      </c>
      <c r="P65" s="134">
        <v>1.0</v>
      </c>
      <c r="Q65" s="168" t="str">
        <f t="shared" ref="Q65:Q66" si="30">M65*N65*O65*P65</f>
        <v>#REF!</v>
      </c>
      <c r="R65" s="136" t="s">
        <v>42</v>
      </c>
      <c r="S65" s="137" t="str">
        <f t="shared" ref="S65:S66" si="31">R65*Q65</f>
        <v>#REF!</v>
      </c>
      <c r="T65" s="138"/>
      <c r="U65" s="136" t="s">
        <v>42</v>
      </c>
      <c r="V65" s="139"/>
      <c r="W65" s="140" t="str">
        <f t="shared" ref="W65:W66" si="32">U65*Q65</f>
        <v>#REF!</v>
      </c>
      <c r="X65" s="111" t="str">
        <f t="shared" ref="X65:X66" si="33">W65/$AC$176/$W$183/Y65</f>
        <v>#REF!</v>
      </c>
      <c r="Y65" s="141">
        <v>4.0</v>
      </c>
      <c r="Z65" s="142" t="str">
        <f t="shared" ref="Z65:Z66" si="34">Q65/X65</f>
        <v>#REF!</v>
      </c>
      <c r="AA65" s="5"/>
      <c r="AB65" s="113" t="str">
        <f t="shared" ref="AB65:AB67" si="35">W65+S65</f>
        <v>#REF!</v>
      </c>
      <c r="AC65" s="33"/>
      <c r="AD65" s="65"/>
      <c r="AE65" s="66"/>
      <c r="AF65" s="144"/>
      <c r="AG65" s="68"/>
      <c r="AH65" s="69"/>
      <c r="AI65" s="39"/>
      <c r="AJ65" s="70"/>
      <c r="AK65" s="70"/>
      <c r="AL65" s="5"/>
      <c r="AM65" s="135" t="s">
        <v>42</v>
      </c>
      <c r="AN65" s="152" t="e">
        <v>#REF!</v>
      </c>
      <c r="AO65" s="135" t="s">
        <v>42</v>
      </c>
      <c r="AP65" s="139"/>
      <c r="AQ65" s="5"/>
      <c r="AR65" s="5"/>
      <c r="AS65" s="5"/>
      <c r="AT65" s="5"/>
      <c r="AU65" s="5"/>
      <c r="AV65" s="5"/>
      <c r="AW65" s="5"/>
      <c r="AX65" s="5"/>
      <c r="AY65" s="5"/>
      <c r="AZ65" s="5"/>
      <c r="BA65" s="5"/>
      <c r="BB65" s="5"/>
      <c r="BC65" s="5"/>
      <c r="BD65" s="5"/>
      <c r="BE65" s="5"/>
      <c r="BF65" s="5"/>
      <c r="BG65" s="5"/>
      <c r="BH65" s="5"/>
    </row>
    <row r="66" ht="12.75" customHeight="1">
      <c r="A66" s="147"/>
      <c r="B66" s="154" t="s">
        <v>91</v>
      </c>
      <c r="C66" s="158" t="s">
        <v>89</v>
      </c>
      <c r="D66" s="124" t="s">
        <v>92</v>
      </c>
      <c r="E66" s="129"/>
      <c r="F66" s="126" t="str">
        <f>F61</f>
        <v>5°</v>
      </c>
      <c r="G66" s="127"/>
      <c r="H66" s="127" t="str">
        <f>IFERROR(__xludf.DUMMYFUNCTION("IFERROR(REGEXEXTRACT(C66, ""(\d*\.\d+)mm""), """")"),"")</f>
        <v/>
      </c>
      <c r="I66" s="127"/>
      <c r="J66" s="126" t="s">
        <v>87</v>
      </c>
      <c r="K66" s="128" t="s">
        <v>41</v>
      </c>
      <c r="L66" s="168">
        <f>M60</f>
        <v>1352.790404</v>
      </c>
      <c r="M66" s="169">
        <v>1352.790404040404</v>
      </c>
      <c r="N66" s="151">
        <f>IFERROR(__xludf.DUMMYFUNCTION("""COMPUTED_VALUE"""),1.0038198375433474)</f>
        <v>1.003819838</v>
      </c>
      <c r="O66" s="134">
        <v>1.0</v>
      </c>
      <c r="P66" s="134">
        <v>1.0</v>
      </c>
      <c r="Q66" s="168">
        <f t="shared" si="30"/>
        <v>1357.957844</v>
      </c>
      <c r="R66" s="136" t="s">
        <v>42</v>
      </c>
      <c r="S66" s="137">
        <f t="shared" si="31"/>
        <v>0</v>
      </c>
      <c r="T66" s="138"/>
      <c r="U66" s="136" t="s">
        <v>42</v>
      </c>
      <c r="V66" s="139"/>
      <c r="W66" s="140">
        <f t="shared" si="32"/>
        <v>0</v>
      </c>
      <c r="X66" s="111" t="str">
        <f t="shared" si="33"/>
        <v>#REF!</v>
      </c>
      <c r="Y66" s="141">
        <v>4.0</v>
      </c>
      <c r="Z66" s="142" t="str">
        <f t="shared" si="34"/>
        <v>#REF!</v>
      </c>
      <c r="AA66" s="5"/>
      <c r="AB66" s="113">
        <f t="shared" si="35"/>
        <v>0</v>
      </c>
      <c r="AC66" s="33"/>
      <c r="AD66" s="65"/>
      <c r="AE66" s="66"/>
      <c r="AF66" s="144"/>
      <c r="AG66" s="68"/>
      <c r="AH66" s="69"/>
      <c r="AI66" s="39"/>
      <c r="AJ66" s="70"/>
      <c r="AK66" s="70"/>
      <c r="AL66" s="5"/>
      <c r="AM66" s="135">
        <v>1352.790404040404</v>
      </c>
      <c r="AN66" s="152" t="s">
        <v>46</v>
      </c>
      <c r="AO66" s="135">
        <v>0.0</v>
      </c>
      <c r="AP66" s="139"/>
      <c r="AQ66" s="5"/>
      <c r="AR66" s="5"/>
      <c r="AS66" s="5"/>
      <c r="AT66" s="5"/>
      <c r="AU66" s="5"/>
      <c r="AV66" s="5"/>
      <c r="AW66" s="5"/>
      <c r="AX66" s="5"/>
      <c r="AY66" s="5"/>
      <c r="AZ66" s="5"/>
      <c r="BA66" s="5"/>
      <c r="BB66" s="5"/>
      <c r="BC66" s="5"/>
      <c r="BD66" s="5"/>
      <c r="BE66" s="5"/>
      <c r="BF66" s="5"/>
      <c r="BG66" s="5"/>
      <c r="BH66" s="5"/>
    </row>
    <row r="67" ht="12.75" customHeight="1">
      <c r="A67" s="147"/>
      <c r="B67" s="154"/>
      <c r="C67" s="158"/>
      <c r="D67" s="124"/>
      <c r="E67" s="126"/>
      <c r="F67" s="126"/>
      <c r="G67" s="127"/>
      <c r="H67" s="128"/>
      <c r="I67" s="127"/>
      <c r="J67" s="126"/>
      <c r="K67" s="125" t="s">
        <v>42</v>
      </c>
      <c r="L67" s="168"/>
      <c r="M67" s="169" t="s">
        <v>42</v>
      </c>
      <c r="N67" s="151" t="str">
        <f>IFERROR(__xludf.DUMMYFUNCTION("""COMPUTED_VALUE"""),"")</f>
        <v/>
      </c>
      <c r="O67" s="134"/>
      <c r="P67" s="134"/>
      <c r="Q67" s="135"/>
      <c r="R67" s="136"/>
      <c r="S67" s="137"/>
      <c r="T67" s="138"/>
      <c r="U67" s="136"/>
      <c r="V67" s="139"/>
      <c r="W67" s="140"/>
      <c r="X67" s="159"/>
      <c r="Y67" s="165"/>
      <c r="Z67" s="166"/>
      <c r="AA67" s="5"/>
      <c r="AB67" s="113">
        <f t="shared" si="35"/>
        <v>0</v>
      </c>
      <c r="AC67" s="33"/>
      <c r="AD67" s="65"/>
      <c r="AE67" s="66"/>
      <c r="AF67" s="144"/>
      <c r="AG67" s="68"/>
      <c r="AH67" s="69"/>
      <c r="AI67" s="39"/>
      <c r="AJ67" s="70"/>
      <c r="AK67" s="70"/>
      <c r="AL67" s="5"/>
      <c r="AM67" s="135" t="s">
        <v>42</v>
      </c>
      <c r="AN67" s="152"/>
      <c r="AO67" s="135" t="s">
        <v>42</v>
      </c>
      <c r="AP67" s="139"/>
      <c r="AQ67" s="5"/>
      <c r="AR67" s="5"/>
      <c r="AS67" s="5"/>
      <c r="AT67" s="5"/>
      <c r="AU67" s="5"/>
      <c r="AV67" s="5"/>
      <c r="AW67" s="5"/>
      <c r="AX67" s="5"/>
      <c r="AY67" s="5"/>
      <c r="AZ67" s="5"/>
      <c r="BA67" s="5"/>
      <c r="BB67" s="5"/>
      <c r="BC67" s="5"/>
      <c r="BD67" s="5"/>
      <c r="BE67" s="5"/>
      <c r="BF67" s="5"/>
      <c r="BG67" s="5"/>
      <c r="BH67" s="5"/>
    </row>
    <row r="68" ht="14.25" customHeight="1">
      <c r="A68" s="71">
        <v>1.0</v>
      </c>
      <c r="B68" s="170"/>
      <c r="C68" s="171" t="s">
        <v>93</v>
      </c>
      <c r="D68" s="172"/>
      <c r="E68" s="173"/>
      <c r="F68" s="174"/>
      <c r="G68" s="174"/>
      <c r="H68" s="174"/>
      <c r="I68" s="174"/>
      <c r="J68" s="174"/>
      <c r="K68" s="174" t="s">
        <v>42</v>
      </c>
      <c r="L68" s="173"/>
      <c r="M68" s="175" t="s">
        <v>42</v>
      </c>
      <c r="N68" s="176" t="str">
        <f>IFERROR(__xludf.DUMMYFUNCTION("""COMPUTED_VALUE"""),"")</f>
        <v/>
      </c>
      <c r="O68" s="174"/>
      <c r="P68" s="174"/>
      <c r="Q68" s="174"/>
      <c r="R68" s="136"/>
      <c r="S68" s="177"/>
      <c r="T68" s="177"/>
      <c r="U68" s="136"/>
      <c r="V68" s="177"/>
      <c r="W68" s="178"/>
      <c r="X68" s="179"/>
      <c r="Y68" s="180"/>
      <c r="Z68" s="180"/>
      <c r="AA68" s="180"/>
      <c r="AB68" s="180"/>
      <c r="AC68" s="181"/>
      <c r="AD68" s="182"/>
      <c r="AE68" s="183"/>
      <c r="AF68" s="184"/>
      <c r="AG68" s="185"/>
      <c r="AH68" s="186"/>
      <c r="AI68" s="187"/>
      <c r="AJ68" s="188"/>
      <c r="AK68" s="188"/>
      <c r="AL68" s="180"/>
      <c r="AM68" s="135" t="s">
        <v>42</v>
      </c>
      <c r="AN68" s="152"/>
      <c r="AO68" s="135" t="s">
        <v>42</v>
      </c>
      <c r="AP68" s="139"/>
      <c r="AQ68" s="189"/>
      <c r="AR68" s="189"/>
      <c r="AS68" s="180"/>
      <c r="AT68" s="180"/>
      <c r="AU68" s="180"/>
      <c r="AV68" s="180"/>
      <c r="AW68" s="180"/>
      <c r="AX68" s="180"/>
      <c r="AY68" s="180"/>
      <c r="AZ68" s="180"/>
      <c r="BA68" s="180"/>
      <c r="BB68" s="180"/>
      <c r="BC68" s="180"/>
      <c r="BD68" s="180"/>
      <c r="BE68" s="180"/>
      <c r="BF68" s="180"/>
      <c r="BG68" s="180"/>
      <c r="BH68" s="180"/>
    </row>
    <row r="69">
      <c r="A69" s="71">
        <v>1.0</v>
      </c>
      <c r="B69" s="190"/>
      <c r="C69" s="191" t="s">
        <v>94</v>
      </c>
      <c r="D69" s="192"/>
      <c r="E69" s="193"/>
      <c r="F69" s="192"/>
      <c r="G69" s="192"/>
      <c r="H69" s="194"/>
      <c r="I69" s="194"/>
      <c r="J69" s="194"/>
      <c r="K69" s="194" t="s">
        <v>42</v>
      </c>
      <c r="L69" s="195">
        <f>Q69</f>
        <v>56.39</v>
      </c>
      <c r="M69" s="196" t="s">
        <v>42</v>
      </c>
      <c r="N69" s="197" t="str">
        <f>IFERROR(__xludf.DUMMYFUNCTION("""COMPUTED_VALUE"""),"")</f>
        <v/>
      </c>
      <c r="O69" s="194"/>
      <c r="P69" s="194"/>
      <c r="Q69" s="195">
        <f>Q70</f>
        <v>56.39</v>
      </c>
      <c r="R69" s="136"/>
      <c r="S69" s="198">
        <f>T69/Q69</f>
        <v>0</v>
      </c>
      <c r="T69" s="198">
        <f>SUM(S70:S76)</f>
        <v>0</v>
      </c>
      <c r="U69" s="136"/>
      <c r="V69" s="198">
        <f>W69/Q69</f>
        <v>0</v>
      </c>
      <c r="W69" s="199">
        <f>SUM(W70:W76)</f>
        <v>0</v>
      </c>
      <c r="X69" s="111" t="str">
        <f>W69/$AC$176/$W$183/$X$173</f>
        <v>#REF!</v>
      </c>
      <c r="Y69" s="200" t="b">
        <f>(T69+W69)=(SUM(AB70:AB76))</f>
        <v>1</v>
      </c>
      <c r="Z69" s="180">
        <f>(T69+W69)-(SUM(AB70:AB76))</f>
        <v>0</v>
      </c>
      <c r="AA69" s="180"/>
      <c r="AB69" s="180"/>
      <c r="AC69" s="181"/>
      <c r="AD69" s="114">
        <f>W69+T69</f>
        <v>0</v>
      </c>
      <c r="AE69" s="115">
        <f>AD69</f>
        <v>0</v>
      </c>
      <c r="AF69" s="116" t="str">
        <f>AE69/$AE$151</f>
        <v>#REF!</v>
      </c>
      <c r="AG69" s="117" t="str">
        <f>AF69*$AG$158</f>
        <v>#REF!</v>
      </c>
      <c r="AH69" s="118" t="str">
        <f>AF69*$AG$161</f>
        <v>#REF!</v>
      </c>
      <c r="AI69" s="39"/>
      <c r="AJ69" s="119" t="str">
        <f>ROUND(AK69/L69,2)</f>
        <v>#REF!</v>
      </c>
      <c r="AK69" s="119" t="str">
        <f>ROUND(AH69+AG69+AD69,2)</f>
        <v>#REF!</v>
      </c>
      <c r="AL69" s="180"/>
      <c r="AM69" s="135" t="s">
        <v>42</v>
      </c>
      <c r="AN69" s="152"/>
      <c r="AO69" s="135" t="s">
        <v>42</v>
      </c>
      <c r="AP69" s="139"/>
      <c r="AQ69" s="189"/>
      <c r="AR69" s="189"/>
      <c r="AS69" s="180"/>
      <c r="AT69" s="180"/>
      <c r="AU69" s="180"/>
      <c r="AV69" s="180"/>
      <c r="AW69" s="180"/>
      <c r="AX69" s="180"/>
      <c r="AY69" s="180"/>
      <c r="AZ69" s="180"/>
      <c r="BA69" s="180"/>
      <c r="BB69" s="180"/>
      <c r="BC69" s="180"/>
      <c r="BD69" s="180"/>
      <c r="BE69" s="180"/>
      <c r="BF69" s="180"/>
      <c r="BG69" s="180"/>
      <c r="BH69" s="180"/>
    </row>
    <row r="70" ht="12.75" customHeight="1">
      <c r="A70" s="71"/>
      <c r="B70" s="154" t="str">
        <f>IFERROR(__xludf.DUMMYFUNCTION("IFERROR(
  IF(C70="""","""",
    IF(OR(REGEXMATCH(D70,""(?i)-Flashing""), REGEXMATCH(D70,""(?i)-EavesGut""), REGEXMATCH(D70,""(?i)Valley"")),
        ""DR"" &amp;
        TEXT(
            ROUNDUP(
                MIN(
                    VALUE(MID(C70, FIND("&amp;"""("",C70)+1, FIND(""/"",C70)-FIND(""("",C70)-1)),
                    1200
                ) / 50, 0
            ) * 50, ""0""
        ) &amp;
        MID(C70, FIND(""/"",C70)+1, FIND("")"",C70)-FIND(""/"",C70)-1) &amp;
        TEXT(H70*100,""0"") &amp;
        I70,"&amp;"
    IF(AND(D70=""Roof Sheet"", REGEXMATCH(C70,""(?i)KS\d{4}[A-Z]{2}"")),
       REGEXEXTRACT(C70,""(?i)KS\d{4}[A-Z]{2}""),
    IF(AND(REGEXMATCH(D70,""(?i)-DP""), REGEXMATCH(C70,""(?i)Downpipe"")),
       ""dp"" &amp; REGEXEXTRACT(C70,""(\d+)"") &amp; ""mm"",
  "&amp;"  IF(AND(REGEXMATCH(D70,""(?i)Bracket""), REGEXMATCH(C70,""(?i)Bracket"")),
       ""Brkt"" &amp; REGEXEXTRACT(C70,""(\d+)"") &amp; ""mm"",
    IF(AND(REGEXMATCH(D70,""(?i)-OP""), REGEXMATCH(C70,""(?i)pops"")),
       ""op"" &amp; REGEXEXTRACT(C70,""(\d+)"") &amp; ""mm"""&amp;",
    IF(OR(D70=""R-FFTop"", D70=""R-FFBottom"", D70=""R-FFSide""),
        IF(REGEXMATCH(C70,""(?i)Profiled.*Top|Top.*Profiled""),""pfft"",
        IF(REGEXMATCH(C70,""(?i)Profiled.*Bottom|Bottom.*Profiled""),""pffb"",
        IF(REGEXMATCH(C70,""(?i)Squ"&amp;"are""),""sff"",""""))),
    IF(REGEXMATCH(D70,""(?i)-Rivets""),""Rvt"",
    IF(REGEXMATCH(D70,""(?i)Silicone""),""300ml"",
    IF(REGEXMATCH(D70,""(?i)R-Butyl""),""300ml"",
    IF(REGEXMATCH(D70,""(?i)Fix""),""GenFix"",
    IF(AND(REGEXMATCH(C70,""(?i)Tim"&amp;"ber""), REGEXMATCH(D70,""(?i)Timber"")),""tp"",
    IF(AND(REGEXMATCH(C70,""(?i)Vent G1275""), REGEXMATCH(D70,""(?i)Comb FIller"")),""CFV1275"",
    IF(REGEXMATCH(C70,""(?i)DPC""),""dpc"",
    IF(REGEXMATCH(C70,""(?i)Concealed Clips""),""ConClips"",
    I"&amp;"F(REGEXMATCH(D70,""(?i)-Takeoff ea""),""Takeoff ea"",
    IF(REGEXMATCH(D70,""(?i)-Takeoff LM""),""Takeoff LM"",
    IF(REGEXMATCH(D70,""(?i)-Takeoff m2""),""Takeoff m2"",
    IF(D70=""R-TU/TD"",""TU/TD"","""")))))))))))))))))
  )))"),"DR7006B55Mag")</f>
        <v>DR7006B55Mag</v>
      </c>
      <c r="C70" s="201" t="s">
        <v>95</v>
      </c>
      <c r="D70" s="202" t="s">
        <v>96</v>
      </c>
      <c r="E70" s="203">
        <f>VALUE(MID(C70, FIND("(", C70)+1, FIND("/", C70)-FIND("(", C70)-1)) / 1000</f>
        <v>0.69</v>
      </c>
      <c r="F70" s="126" t="str">
        <f>IFERROR(__xludf.DUMMYFUNCTION("IFERROR(REGEXEXTRACT(C70,""@\s*(\d+)\s*deg"")&amp;""°"","""")
"),"")</f>
        <v/>
      </c>
      <c r="G70" s="204"/>
      <c r="H70" s="204" t="str">
        <f>IFERROR(__xludf.DUMMYFUNCTION("IFERROR(REGEXEXTRACT(C70, ""(\d*\.\d+)mm""), """")"),"0.55")</f>
        <v>0.55</v>
      </c>
      <c r="I70" s="204" t="s">
        <v>97</v>
      </c>
      <c r="J70" s="126" t="s">
        <v>14</v>
      </c>
      <c r="K70" s="205" t="s">
        <v>55</v>
      </c>
      <c r="L70" s="206">
        <v>56.39</v>
      </c>
      <c r="M70" s="150">
        <f>L70</f>
        <v>56.39</v>
      </c>
      <c r="N70" s="207">
        <f>IFERROR(__xludf.DUMMYFUNCTION("""COMPUTED_VALUE"""),1.0)</f>
        <v>1</v>
      </c>
      <c r="O70" s="208">
        <v>1.0</v>
      </c>
      <c r="P70" s="208">
        <v>1.0</v>
      </c>
      <c r="Q70" s="203">
        <f t="shared" ref="Q70:Q75" si="36">M70*N70*O70*P70</f>
        <v>56.39</v>
      </c>
      <c r="R70" s="136" t="s">
        <v>42</v>
      </c>
      <c r="S70" s="209">
        <f t="shared" ref="S70:S75" si="37">R70*Q70</f>
        <v>0</v>
      </c>
      <c r="T70" s="210"/>
      <c r="U70" s="136" t="s">
        <v>42</v>
      </c>
      <c r="V70" s="209"/>
      <c r="W70" s="211">
        <f t="shared" ref="W70:W75" si="38">U70*Q70</f>
        <v>0</v>
      </c>
      <c r="X70" s="111" t="str">
        <f>W70/$AC$176/$W$183/Y70</f>
        <v>#REF!</v>
      </c>
      <c r="Y70" s="212">
        <v>2.0</v>
      </c>
      <c r="Z70" s="213" t="str">
        <f>Q70/X70</f>
        <v>#REF!</v>
      </c>
      <c r="AA70" s="180"/>
      <c r="AB70" s="180">
        <f t="shared" ref="AB70:AB75" si="39">W70+S70</f>
        <v>0</v>
      </c>
      <c r="AC70" s="181"/>
      <c r="AD70" s="182"/>
      <c r="AE70" s="183"/>
      <c r="AF70" s="184"/>
      <c r="AG70" s="185"/>
      <c r="AH70" s="186"/>
      <c r="AI70" s="187"/>
      <c r="AJ70" s="188"/>
      <c r="AK70" s="188"/>
      <c r="AL70" s="180"/>
      <c r="AM70" s="135">
        <v>56.39</v>
      </c>
      <c r="AN70" s="152" t="s">
        <v>46</v>
      </c>
      <c r="AO70" s="135">
        <v>0.0</v>
      </c>
      <c r="AP70" s="139"/>
      <c r="AQ70" s="189"/>
      <c r="AR70" s="189"/>
      <c r="AS70" s="180"/>
      <c r="AT70" s="180"/>
      <c r="AU70" s="180"/>
      <c r="AV70" s="180"/>
      <c r="AW70" s="180"/>
      <c r="AX70" s="180"/>
      <c r="AY70" s="180"/>
      <c r="AZ70" s="180"/>
      <c r="BA70" s="180"/>
      <c r="BB70" s="180"/>
      <c r="BC70" s="180"/>
      <c r="BD70" s="180"/>
      <c r="BE70" s="180"/>
      <c r="BF70" s="180"/>
      <c r="BG70" s="180"/>
      <c r="BH70" s="180"/>
    </row>
    <row r="71" ht="12.75" customHeight="1">
      <c r="A71" s="71"/>
      <c r="B71" s="154" t="str">
        <f>IFERROR(__xludf.DUMMYFUNCTION("IFERROR(
  IF(C71="""","""",
    IF(OR(REGEXMATCH(D71,""(?i)-Flashing""), REGEXMATCH(D71,""(?i)-EavesGut""), REGEXMATCH(D71,""(?i)Valley"")),
        ""DR"" &amp;
        TEXT(
            ROUNDUP(
                MIN(
                    VALUE(MID(C71, FIND("&amp;"""("",C71)+1, FIND(""/"",C71)-FIND(""("",C71)-1)),
                    1200
                ) / 50, 0
            ) * 50, ""0""
        ) &amp;
        MID(C71, FIND(""/"",C71)+1, FIND("")"",C71)-FIND(""/"",C71)-1) &amp;
        TEXT(H71*100,""0"") &amp;
        I71,"&amp;"
    IF(AND(D71=""Roof Sheet"", REGEXMATCH(C71,""(?i)KS\d{4}[A-Z]{2}"")),
       REGEXEXTRACT(C71,""(?i)KS\d{4}[A-Z]{2}""),
    IF(AND(REGEXMATCH(D71,""(?i)-DP""), REGEXMATCH(C71,""(?i)Downpipe"")),
       ""dp"" &amp; REGEXEXTRACT(C71,""(\d+)"") &amp; ""mm"",
  "&amp;"  IF(AND(REGEXMATCH(D71,""(?i)Bracket""), REGEXMATCH(C71,""(?i)Bracket"")),
       ""Brkt"" &amp; REGEXEXTRACT(C71,""(\d+)"") &amp; ""mm"",
    IF(AND(REGEXMATCH(D71,""(?i)-OP""), REGEXMATCH(C71,""(?i)pops"")),
       ""op"" &amp; REGEXEXTRACT(C71,""(\d+)"") &amp; ""mm"""&amp;",
    IF(OR(D71=""R-FFTop"", D71=""R-FFBottom"", D71=""R-FFSide""),
        IF(REGEXMATCH(C71,""(?i)Profiled.*Top|Top.*Profiled""),""pfft"",
        IF(REGEXMATCH(C71,""(?i)Profiled.*Bottom|Bottom.*Profiled""),""pffb"",
        IF(REGEXMATCH(C71,""(?i)Squ"&amp;"are""),""sff"",""""))),
    IF(REGEXMATCH(D71,""(?i)-Rivets""),""Rvt"",
    IF(REGEXMATCH(D71,""(?i)Silicone""),""300ml"",
    IF(REGEXMATCH(D71,""(?i)R-Butyl""),""300ml"",
    IF(REGEXMATCH(D71,""(?i)Fix""),""GenFix"",
    IF(AND(REGEXMATCH(C71,""(?i)Tim"&amp;"ber""), REGEXMATCH(D71,""(?i)Timber"")),""tp"",
    IF(AND(REGEXMATCH(C71,""(?i)Vent G1275""), REGEXMATCH(D71,""(?i)Comb FIller"")),""CFV1275"",
    IF(REGEXMATCH(C71,""(?i)DPC""),""dpc"",
    IF(REGEXMATCH(C71,""(?i)Concealed Clips""),""ConClips"",
    I"&amp;"F(REGEXMATCH(D71,""(?i)-Takeoff ea""),""Takeoff ea"",
    IF(REGEXMATCH(D71,""(?i)-Takeoff LM""),""Takeoff LM"",
    IF(REGEXMATCH(D71,""(?i)-Takeoff m2""),""Takeoff m2"",
    IF(D71=""R-TU/TD"",""TU/TD"","""")))))))))))))))))
  )))"),"300ml")</f>
        <v>300ml</v>
      </c>
      <c r="C71" s="214" t="s">
        <v>98</v>
      </c>
      <c r="D71" s="202" t="s">
        <v>99</v>
      </c>
      <c r="E71" s="203">
        <f>E70</f>
        <v>0.69</v>
      </c>
      <c r="F71" s="204"/>
      <c r="G71" s="204"/>
      <c r="H71" s="204" t="str">
        <f>IFERROR(__xludf.DUMMYFUNCTION("IFERROR(REGEXEXTRACT(C71, ""(\d*\.\d+)mm""), """")"),"")</f>
        <v/>
      </c>
      <c r="I71" s="204"/>
      <c r="J71" s="205" t="s">
        <v>87</v>
      </c>
      <c r="K71" s="204" t="s">
        <v>52</v>
      </c>
      <c r="L71" s="206">
        <f>M70</f>
        <v>56.39</v>
      </c>
      <c r="M71" s="150">
        <f>(ROUNDDOWN((M70/5.7)+2,0)*E71)/8</f>
        <v>0.94875</v>
      </c>
      <c r="N71" s="207">
        <f>IFERROR(__xludf.DUMMYFUNCTION("""COMPUTED_VALUE"""),1.0)</f>
        <v>1</v>
      </c>
      <c r="O71" s="208">
        <v>1.0</v>
      </c>
      <c r="P71" s="208">
        <v>1.0</v>
      </c>
      <c r="Q71" s="203">
        <f t="shared" si="36"/>
        <v>0.94875</v>
      </c>
      <c r="R71" s="136" t="s">
        <v>42</v>
      </c>
      <c r="S71" s="209">
        <f t="shared" si="37"/>
        <v>0</v>
      </c>
      <c r="T71" s="210"/>
      <c r="U71" s="136" t="s">
        <v>42</v>
      </c>
      <c r="V71" s="209"/>
      <c r="W71" s="211">
        <f t="shared" si="38"/>
        <v>0</v>
      </c>
      <c r="X71" s="179"/>
      <c r="Y71" s="180"/>
      <c r="Z71" s="180"/>
      <c r="AA71" s="180"/>
      <c r="AB71" s="180">
        <f t="shared" si="39"/>
        <v>0</v>
      </c>
      <c r="AC71" s="181"/>
      <c r="AD71" s="182"/>
      <c r="AE71" s="183"/>
      <c r="AF71" s="184"/>
      <c r="AG71" s="185"/>
      <c r="AH71" s="186"/>
      <c r="AI71" s="187"/>
      <c r="AJ71" s="188"/>
      <c r="AK71" s="188"/>
      <c r="AL71" s="180"/>
      <c r="AM71" s="135">
        <v>0.94875</v>
      </c>
      <c r="AN71" s="152" t="s">
        <v>46</v>
      </c>
      <c r="AO71" s="135">
        <v>0.0</v>
      </c>
      <c r="AP71" s="139"/>
      <c r="AQ71" s="189"/>
      <c r="AR71" s="189"/>
      <c r="AS71" s="180"/>
      <c r="AT71" s="180"/>
      <c r="AU71" s="180"/>
      <c r="AV71" s="180"/>
      <c r="AW71" s="180"/>
      <c r="AX71" s="180"/>
      <c r="AY71" s="180"/>
      <c r="AZ71" s="180"/>
      <c r="BA71" s="180"/>
      <c r="BB71" s="180"/>
      <c r="BC71" s="180"/>
      <c r="BD71" s="180"/>
      <c r="BE71" s="180"/>
      <c r="BF71" s="180"/>
      <c r="BG71" s="180"/>
      <c r="BH71" s="180"/>
    </row>
    <row r="72" ht="12.75" customHeight="1">
      <c r="A72" s="71"/>
      <c r="B72" s="154" t="str">
        <f>IFERROR(__xludf.DUMMYFUNCTION("IFERROR(
  IF(C72="""","""",
    IF(OR(REGEXMATCH(D72,""(?i)-Flashing""), REGEXMATCH(D72,""(?i)-EavesGut""), REGEXMATCH(D72,""(?i)Valley"")),
        ""DR"" &amp;
        TEXT(
            ROUNDUP(
                MIN(
                    VALUE(MID(C72, FIND("&amp;"""("",C72)+1, FIND(""/"",C72)-FIND(""("",C72)-1)),
                    1200
                ) / 50, 0
            ) * 50, ""0""
        ) &amp;
        MID(C72, FIND(""/"",C72)+1, FIND("")"",C72)-FIND(""/"",C72)-1) &amp;
        TEXT(H72*100,""0"") &amp;
        I72,"&amp;"
    IF(AND(D72=""Roof Sheet"", REGEXMATCH(C72,""(?i)KS\d{4}[A-Z]{2}"")),
       REGEXEXTRACT(C72,""(?i)KS\d{4}[A-Z]{2}""),
    IF(AND(REGEXMATCH(D72,""(?i)-DP""), REGEXMATCH(C72,""(?i)Downpipe"")),
       ""dp"" &amp; REGEXEXTRACT(C72,""(\d+)"") &amp; ""mm"",
  "&amp;"  IF(AND(REGEXMATCH(D72,""(?i)Bracket""), REGEXMATCH(C72,""(?i)Bracket"")),
       ""Brkt"" &amp; REGEXEXTRACT(C72,""(\d+)"") &amp; ""mm"",
    IF(AND(REGEXMATCH(D72,""(?i)-OP""), REGEXMATCH(C72,""(?i)pops"")),
       ""op"" &amp; REGEXEXTRACT(C72,""(\d+)"") &amp; ""mm"""&amp;",
    IF(OR(D72=""R-FFTop"", D72=""R-FFBottom"", D72=""R-FFSide""),
        IF(REGEXMATCH(C72,""(?i)Profiled.*Top|Top.*Profiled""),""pfft"",
        IF(REGEXMATCH(C72,""(?i)Profiled.*Bottom|Bottom.*Profiled""),""pffb"",
        IF(REGEXMATCH(C72,""(?i)Squ"&amp;"are""),""sff"",""""))),
    IF(REGEXMATCH(D72,""(?i)-Rivets""),""Rvt"",
    IF(REGEXMATCH(D72,""(?i)Silicone""),""300ml"",
    IF(REGEXMATCH(D72,""(?i)R-Butyl""),""300ml"",
    IF(REGEXMATCH(D72,""(?i)Fix""),""GenFix"",
    IF(AND(REGEXMATCH(C72,""(?i)Tim"&amp;"ber""), REGEXMATCH(D72,""(?i)Timber"")),""tp"",
    IF(AND(REGEXMATCH(C72,""(?i)Vent G1275""), REGEXMATCH(D72,""(?i)Comb FIller"")),""CFV1275"",
    IF(REGEXMATCH(C72,""(?i)DPC""),""dpc"",
    IF(REGEXMATCH(C72,""(?i)Concealed Clips""),""ConClips"",
    I"&amp;"F(REGEXMATCH(D72,""(?i)-Takeoff ea""),""Takeoff ea"",
    IF(REGEXMATCH(D72,""(?i)-Takeoff LM""),""Takeoff LM"",
    IF(REGEXMATCH(D72,""(?i)-Takeoff m2""),""Takeoff m2"",
    IF(D72=""R-TU/TD"",""TU/TD"","""")))))))))))))))))
  )))"),"Rvt")</f>
        <v>Rvt</v>
      </c>
      <c r="C72" s="214" t="s">
        <v>100</v>
      </c>
      <c r="D72" s="202" t="s">
        <v>101</v>
      </c>
      <c r="E72" s="203">
        <f>E70</f>
        <v>0.69</v>
      </c>
      <c r="F72" s="204"/>
      <c r="G72" s="204"/>
      <c r="H72" s="204" t="str">
        <f>IFERROR(__xludf.DUMMYFUNCTION("IFERROR(REGEXEXTRACT(C72, ""(\d*\.\d+)mm""), """")"),"")</f>
        <v/>
      </c>
      <c r="I72" s="204"/>
      <c r="J72" s="205" t="s">
        <v>87</v>
      </c>
      <c r="K72" s="204" t="s">
        <v>52</v>
      </c>
      <c r="L72" s="206">
        <f>M70</f>
        <v>56.39</v>
      </c>
      <c r="M72" s="150">
        <f>ROUNDUP(((M70/5.7)+1)*(E72/0.05),0)</f>
        <v>151</v>
      </c>
      <c r="N72" s="207">
        <f>IFERROR(__xludf.DUMMYFUNCTION("""COMPUTED_VALUE"""),1.0)</f>
        <v>1</v>
      </c>
      <c r="O72" s="208">
        <v>1.0</v>
      </c>
      <c r="P72" s="208">
        <v>1.0</v>
      </c>
      <c r="Q72" s="203">
        <f t="shared" si="36"/>
        <v>151</v>
      </c>
      <c r="R72" s="136" t="s">
        <v>42</v>
      </c>
      <c r="S72" s="209">
        <f t="shared" si="37"/>
        <v>0</v>
      </c>
      <c r="T72" s="210"/>
      <c r="U72" s="136" t="s">
        <v>42</v>
      </c>
      <c r="V72" s="209"/>
      <c r="W72" s="211">
        <f t="shared" si="38"/>
        <v>0</v>
      </c>
      <c r="X72" s="179"/>
      <c r="Y72" s="180"/>
      <c r="Z72" s="180"/>
      <c r="AA72" s="180"/>
      <c r="AB72" s="180">
        <f t="shared" si="39"/>
        <v>0</v>
      </c>
      <c r="AC72" s="181"/>
      <c r="AD72" s="182"/>
      <c r="AE72" s="183"/>
      <c r="AF72" s="184"/>
      <c r="AG72" s="185"/>
      <c r="AH72" s="186"/>
      <c r="AI72" s="187"/>
      <c r="AJ72" s="188"/>
      <c r="AK72" s="188"/>
      <c r="AL72" s="180"/>
      <c r="AM72" s="135">
        <v>151.0</v>
      </c>
      <c r="AN72" s="152" t="s">
        <v>46</v>
      </c>
      <c r="AO72" s="135">
        <v>0.0</v>
      </c>
      <c r="AP72" s="139"/>
      <c r="AQ72" s="189"/>
      <c r="AR72" s="189"/>
      <c r="AS72" s="180"/>
      <c r="AT72" s="180"/>
      <c r="AU72" s="180"/>
      <c r="AV72" s="180"/>
      <c r="AW72" s="180"/>
      <c r="AX72" s="180"/>
      <c r="AY72" s="180"/>
      <c r="AZ72" s="180"/>
      <c r="BA72" s="180"/>
      <c r="BB72" s="180"/>
      <c r="BC72" s="180"/>
      <c r="BD72" s="180"/>
      <c r="BE72" s="180"/>
      <c r="BF72" s="180"/>
      <c r="BG72" s="180"/>
      <c r="BH72" s="180"/>
    </row>
    <row r="73" ht="12.75" customHeight="1">
      <c r="A73" s="71"/>
      <c r="B73" s="154" t="str">
        <f>IFERROR(__xludf.DUMMYFUNCTION("IFERROR(
  IF(C73="""","""",
    IF(OR(REGEXMATCH(D73,""(?i)-Flashing""), REGEXMATCH(D73,""(?i)-EavesGut""), REGEXMATCH(D73,""(?i)Valley"")),
        ""DR"" &amp;
        TEXT(
            ROUNDUP(
                MIN(
                    VALUE(MID(C73, FIND("&amp;"""("",C73)+1, FIND(""/"",C73)-FIND(""("",C73)-1)),
                    1200
                ) / 50, 0
            ) * 50, ""0""
        ) &amp;
        MID(C73, FIND(""/"",C73)+1, FIND("")"",C73)-FIND(""/"",C73)-1) &amp;
        TEXT(H73*100,""0"") &amp;
        I73,"&amp;"
    IF(AND(D73=""Roof Sheet"", REGEXMATCH(C73,""(?i)KS\d{4}[A-Z]{2}"")),
       REGEXEXTRACT(C73,""(?i)KS\d{4}[A-Z]{2}""),
    IF(AND(REGEXMATCH(D73,""(?i)-DP""), REGEXMATCH(C73,""(?i)Downpipe"")),
       ""dp"" &amp; REGEXEXTRACT(C73,""(\d+)"") &amp; ""mm"",
  "&amp;"  IF(AND(REGEXMATCH(D73,""(?i)Bracket""), REGEXMATCH(C73,""(?i)Bracket"")),
       ""Brkt"" &amp; REGEXEXTRACT(C73,""(\d+)"") &amp; ""mm"",
    IF(AND(REGEXMATCH(D73,""(?i)-OP""), REGEXMATCH(C73,""(?i)pops"")),
       ""op"" &amp; REGEXEXTRACT(C73,""(\d+)"") &amp; ""mm"""&amp;",
    IF(OR(D73=""R-FFTop"", D73=""R-FFBottom"", D73=""R-FFSide""),
        IF(REGEXMATCH(C73,""(?i)Profiled.*Top|Top.*Profiled""),""pfft"",
        IF(REGEXMATCH(C73,""(?i)Profiled.*Bottom|Bottom.*Profiled""),""pffb"",
        IF(REGEXMATCH(C73,""(?i)Squ"&amp;"are""),""sff"",""""))),
    IF(REGEXMATCH(D73,""(?i)-Rivets""),""Rvt"",
    IF(REGEXMATCH(D73,""(?i)Silicone""),""300ml"",
    IF(REGEXMATCH(D73,""(?i)R-Butyl""),""300ml"",
    IF(REGEXMATCH(D73,""(?i)Fix""),""GenFix"",
    IF(AND(REGEXMATCH(C73,""(?i)Tim"&amp;"ber""), REGEXMATCH(D73,""(?i)Timber"")),""tp"",
    IF(AND(REGEXMATCH(C73,""(?i)Vent G1275""), REGEXMATCH(D73,""(?i)Comb FIller"")),""CFV1275"",
    IF(REGEXMATCH(C73,""(?i)DPC""),""dpc"",
    IF(REGEXMATCH(C73,""(?i)Concealed Clips""),""ConClips"",
    I"&amp;"F(REGEXMATCH(D73,""(?i)-Takeoff ea""),""Takeoff ea"",
    IF(REGEXMATCH(D73,""(?i)-Takeoff LM""),""Takeoff LM"",
    IF(REGEXMATCH(D73,""(?i)-Takeoff m2""),""Takeoff m2"",
    IF(D73=""R-TU/TD"",""TU/TD"","""")))))))))))))))))
  )))"),"GenFix")</f>
        <v>GenFix</v>
      </c>
      <c r="C73" s="158" t="s">
        <v>102</v>
      </c>
      <c r="D73" s="124" t="s">
        <v>103</v>
      </c>
      <c r="E73" s="161"/>
      <c r="F73" s="168" t="str">
        <f>F72</f>
        <v/>
      </c>
      <c r="G73" s="129"/>
      <c r="H73" s="127"/>
      <c r="I73" s="127"/>
      <c r="J73" s="126" t="s">
        <v>87</v>
      </c>
      <c r="K73" s="126" t="s">
        <v>52</v>
      </c>
      <c r="L73" s="168">
        <f>M70</f>
        <v>56.39</v>
      </c>
      <c r="M73" s="150">
        <f>ROUNDUP(M70/0.6,0)+1</f>
        <v>95</v>
      </c>
      <c r="N73" s="215">
        <f>IFERROR(__xludf.DUMMYFUNCTION("""COMPUTED_VALUE"""),1.0)</f>
        <v>1</v>
      </c>
      <c r="O73" s="134">
        <v>1.0</v>
      </c>
      <c r="P73" s="134">
        <v>1.0</v>
      </c>
      <c r="Q73" s="168">
        <f t="shared" si="36"/>
        <v>95</v>
      </c>
      <c r="R73" s="136" t="s">
        <v>42</v>
      </c>
      <c r="S73" s="137">
        <f t="shared" si="37"/>
        <v>0</v>
      </c>
      <c r="T73" s="138"/>
      <c r="U73" s="136" t="s">
        <v>42</v>
      </c>
      <c r="V73" s="139"/>
      <c r="W73" s="140">
        <f t="shared" si="38"/>
        <v>0</v>
      </c>
      <c r="X73" s="2"/>
      <c r="Y73" s="5"/>
      <c r="Z73" s="5"/>
      <c r="AA73" s="5"/>
      <c r="AB73" s="180">
        <f t="shared" si="39"/>
        <v>0</v>
      </c>
      <c r="AC73" s="33"/>
      <c r="AD73" s="65"/>
      <c r="AE73" s="66"/>
      <c r="AF73" s="144"/>
      <c r="AG73" s="68"/>
      <c r="AH73" s="69"/>
      <c r="AI73" s="39"/>
      <c r="AJ73" s="70"/>
      <c r="AK73" s="70"/>
      <c r="AL73" s="5"/>
      <c r="AM73" s="135">
        <v>95.0</v>
      </c>
      <c r="AN73" s="152" t="s">
        <v>46</v>
      </c>
      <c r="AO73" s="135">
        <v>0.0</v>
      </c>
      <c r="AP73" s="139"/>
      <c r="AQ73" s="5"/>
      <c r="AR73" s="5"/>
      <c r="AS73" s="5"/>
      <c r="AT73" s="5"/>
      <c r="AU73" s="5"/>
      <c r="AV73" s="5"/>
      <c r="AW73" s="5"/>
      <c r="AX73" s="5"/>
      <c r="AY73" s="5"/>
      <c r="AZ73" s="5"/>
      <c r="BA73" s="5"/>
      <c r="BB73" s="5"/>
      <c r="BC73" s="5"/>
      <c r="BD73" s="5"/>
      <c r="BE73" s="5"/>
      <c r="BF73" s="5"/>
      <c r="BG73" s="5"/>
      <c r="BH73" s="5"/>
    </row>
    <row r="74" ht="12.75" customHeight="1">
      <c r="A74" s="71"/>
      <c r="B74" s="154" t="str">
        <f>IFERROR(__xludf.DUMMYFUNCTION("IFERROR(
  IF(C74="""","""",
    IF(OR(REGEXMATCH(D74,""(?i)-Flashing""), REGEXMATCH(D74,""(?i)-EavesGut""), REGEXMATCH(D74,""(?i)Valley"")),
        ""DR"" &amp;
        TEXT(
            ROUNDUP(
                MIN(
                    VALUE(MID(C74, FIND("&amp;"""("",C74)+1, FIND(""/"",C74)-FIND(""("",C74)-1)),
                    1200
                ) / 50, 0
            ) * 50, ""0""
        ) &amp;
        MID(C74, FIND(""/"",C74)+1, FIND("")"",C74)-FIND(""/"",C74)-1) &amp;
        TEXT(H74*100,""0"") &amp;
        I74,"&amp;"
    IF(AND(D74=""Roof Sheet"", REGEXMATCH(C74,""(?i)KS\d{4}[A-Z]{2}"")),
       REGEXEXTRACT(C74,""(?i)KS\d{4}[A-Z]{2}""),
    IF(AND(REGEXMATCH(D74,""(?i)-DP""), REGEXMATCH(C74,""(?i)Downpipe"")),
       ""dp"" &amp; REGEXEXTRACT(C74,""(\d+)"") &amp; ""mm"",
  "&amp;"  IF(AND(REGEXMATCH(D74,""(?i)Bracket""), REGEXMATCH(C74,""(?i)Bracket"")),
       ""Brkt"" &amp; REGEXEXTRACT(C74,""(\d+)"") &amp; ""mm"",
    IF(AND(REGEXMATCH(D74,""(?i)-OP""), REGEXMATCH(C74,""(?i)pops"")),
       ""op"" &amp; REGEXEXTRACT(C74,""(\d+)"") &amp; ""mm"""&amp;",
    IF(OR(D74=""R-FFTop"", D74=""R-FFBottom"", D74=""R-FFSide""),
        IF(REGEXMATCH(C74,""(?i)Profiled.*Top|Top.*Profiled""),""pfft"",
        IF(REGEXMATCH(C74,""(?i)Profiled.*Bottom|Bottom.*Profiled""),""pffb"",
        IF(REGEXMATCH(C74,""(?i)Squ"&amp;"are""),""sff"",""""))),
    IF(REGEXMATCH(D74,""(?i)-Rivets""),""Rvt"",
    IF(REGEXMATCH(D74,""(?i)Silicone""),""300ml"",
    IF(REGEXMATCH(D74,""(?i)R-Butyl""),""300ml"",
    IF(REGEXMATCH(D74,""(?i)Fix""),""GenFix"",
    IF(AND(REGEXMATCH(C74,""(?i)Tim"&amp;"ber""), REGEXMATCH(D74,""(?i)Timber"")),""tp"",
    IF(AND(REGEXMATCH(C74,""(?i)Vent G1275""), REGEXMATCH(D74,""(?i)Comb FIller"")),""CFV1275"",
    IF(REGEXMATCH(C74,""(?i)DPC""),""dpc"",
    IF(REGEXMATCH(C74,""(?i)Concealed Clips""),""ConClips"",
    I"&amp;"F(REGEXMATCH(D74,""(?i)-Takeoff ea""),""Takeoff ea"",
    IF(REGEXMATCH(D74,""(?i)-Takeoff LM""),""Takeoff LM"",
    IF(REGEXMATCH(D74,""(?i)-Takeoff m2""),""Takeoff m2"",
    IF(D74=""R-TU/TD"",""TU/TD"","""")))))))))))))))))
  )))"),"pfft")</f>
        <v>pfft</v>
      </c>
      <c r="C74" s="214" t="s">
        <v>104</v>
      </c>
      <c r="D74" s="202" t="s">
        <v>105</v>
      </c>
      <c r="E74" s="216"/>
      <c r="F74" s="217"/>
      <c r="G74" s="218"/>
      <c r="H74" s="204"/>
      <c r="I74" s="204"/>
      <c r="J74" s="205" t="s">
        <v>87</v>
      </c>
      <c r="K74" s="205" t="s">
        <v>55</v>
      </c>
      <c r="L74" s="203">
        <f>M70</f>
        <v>56.39</v>
      </c>
      <c r="M74" s="150">
        <f>M70</f>
        <v>56.39</v>
      </c>
      <c r="N74" s="219">
        <f>IFERROR(__xludf.DUMMYFUNCTION("""COMPUTED_VALUE"""),1.0)</f>
        <v>1</v>
      </c>
      <c r="O74" s="208">
        <v>1.0</v>
      </c>
      <c r="P74" s="208">
        <v>2.0</v>
      </c>
      <c r="Q74" s="203">
        <f t="shared" si="36"/>
        <v>112.78</v>
      </c>
      <c r="R74" s="136" t="s">
        <v>42</v>
      </c>
      <c r="S74" s="209">
        <f t="shared" si="37"/>
        <v>0</v>
      </c>
      <c r="T74" s="210"/>
      <c r="U74" s="136" t="s">
        <v>42</v>
      </c>
      <c r="V74" s="209"/>
      <c r="W74" s="211">
        <f t="shared" si="38"/>
        <v>0</v>
      </c>
      <c r="X74" s="179"/>
      <c r="Y74" s="180"/>
      <c r="Z74" s="180"/>
      <c r="AA74" s="180"/>
      <c r="AB74" s="180">
        <f t="shared" si="39"/>
        <v>0</v>
      </c>
      <c r="AC74" s="181"/>
      <c r="AD74" s="182"/>
      <c r="AE74" s="183"/>
      <c r="AF74" s="184"/>
      <c r="AG74" s="185"/>
      <c r="AH74" s="186"/>
      <c r="AI74" s="187"/>
      <c r="AJ74" s="188"/>
      <c r="AK74" s="188"/>
      <c r="AL74" s="180"/>
      <c r="AM74" s="135">
        <v>56.39</v>
      </c>
      <c r="AN74" s="152" t="s">
        <v>46</v>
      </c>
      <c r="AO74" s="135">
        <v>0.0</v>
      </c>
      <c r="AP74" s="139"/>
      <c r="AQ74" s="189"/>
      <c r="AR74" s="189"/>
      <c r="AS74" s="180"/>
      <c r="AT74" s="180"/>
      <c r="AU74" s="180"/>
      <c r="AV74" s="180"/>
      <c r="AW74" s="180"/>
      <c r="AX74" s="180"/>
      <c r="AY74" s="180"/>
      <c r="AZ74" s="180"/>
      <c r="BA74" s="180"/>
      <c r="BB74" s="180"/>
      <c r="BC74" s="180"/>
      <c r="BD74" s="180"/>
      <c r="BE74" s="180"/>
      <c r="BF74" s="180"/>
      <c r="BG74" s="180"/>
      <c r="BH74" s="180"/>
    </row>
    <row r="75" ht="12.75" customHeight="1">
      <c r="A75" s="71"/>
      <c r="B75" s="154" t="str">
        <f>IFERROR(__xludf.DUMMYFUNCTION("IFERROR(
  IF(C75="""","""",
    IF(OR(REGEXMATCH(D75,""(?i)-Flashing""), REGEXMATCH(D75,""(?i)-EavesGut""), REGEXMATCH(D75,""(?i)Valley"")),
        ""DR"" &amp;
        TEXT(
            ROUNDUP(
                MIN(
                    VALUE(MID(C75, FIND("&amp;"""("",C75)+1, FIND(""/"",C75)-FIND(""("",C75)-1)),
                    1200
                ) / 50, 0
            ) * 50, ""0""
        ) &amp;
        MID(C75, FIND(""/"",C75)+1, FIND("")"",C75)-FIND(""/"",C75)-1) &amp;
        TEXT(H75*100,""0"") &amp;
        I75,"&amp;"
    IF(AND(D75=""Roof Sheet"", REGEXMATCH(C75,""(?i)KS\d{4}[A-Z]{2}"")),
       REGEXEXTRACT(C75,""(?i)KS\d{4}[A-Z]{2}""),
    IF(AND(REGEXMATCH(D75,""(?i)-DP""), REGEXMATCH(C75,""(?i)Downpipe"")),
       ""dp"" &amp; REGEXEXTRACT(C75,""(\d+)"") &amp; ""mm"",
  "&amp;"  IF(AND(REGEXMATCH(D75,""(?i)Bracket""), REGEXMATCH(C75,""(?i)Bracket"")),
       ""Brkt"" &amp; REGEXEXTRACT(C75,""(\d+)"") &amp; ""mm"",
    IF(AND(REGEXMATCH(D75,""(?i)-OP""), REGEXMATCH(C75,""(?i)pops"")),
       ""op"" &amp; REGEXEXTRACT(C75,""(\d+)"") &amp; ""mm"""&amp;",
    IF(OR(D75=""R-FFTop"", D75=""R-FFBottom"", D75=""R-FFSide""),
        IF(REGEXMATCH(C75,""(?i)Profiled.*Top|Top.*Profiled""),""pfft"",
        IF(REGEXMATCH(C75,""(?i)Profiled.*Bottom|Bottom.*Profiled""),""pffb"",
        IF(REGEXMATCH(C75,""(?i)Squ"&amp;"are""),""sff"",""""))),
    IF(REGEXMATCH(D75,""(?i)-Rivets""),""Rvt"",
    IF(REGEXMATCH(D75,""(?i)Silicone""),""300ml"",
    IF(REGEXMATCH(D75,""(?i)R-Butyl""),""300ml"",
    IF(REGEXMATCH(D75,""(?i)Fix""),""GenFix"",
    IF(AND(REGEXMATCH(C75,""(?i)Tim"&amp;"ber""), REGEXMATCH(D75,""(?i)Timber"")),""tp"",
    IF(AND(REGEXMATCH(C75,""(?i)Vent G1275""), REGEXMATCH(D75,""(?i)Comb FIller"")),""CFV1275"",
    IF(REGEXMATCH(C75,""(?i)DPC""),""dpc"",
    IF(REGEXMATCH(C75,""(?i)Concealed Clips""),""ConClips"",
    I"&amp;"F(REGEXMATCH(D75,""(?i)-Takeoff ea""),""Takeoff ea"",
    IF(REGEXMATCH(D75,""(?i)-Takeoff LM""),""Takeoff LM"",
    IF(REGEXMATCH(D75,""(?i)-Takeoff m2""),""Takeoff m2"",
    IF(D75=""R-TU/TD"",""TU/TD"","""")))))))))))))))))
  )))"),"TU/TD")</f>
        <v>TU/TD</v>
      </c>
      <c r="C75" s="214" t="s">
        <v>106</v>
      </c>
      <c r="D75" s="202" t="s">
        <v>107</v>
      </c>
      <c r="E75" s="216"/>
      <c r="F75" s="217"/>
      <c r="G75" s="218"/>
      <c r="H75" s="204"/>
      <c r="I75" s="204"/>
      <c r="J75" s="205" t="s">
        <v>87</v>
      </c>
      <c r="K75" s="205" t="s">
        <v>55</v>
      </c>
      <c r="L75" s="203">
        <f>M70</f>
        <v>56.39</v>
      </c>
      <c r="M75" s="220">
        <f>M70</f>
        <v>56.39</v>
      </c>
      <c r="N75" s="207">
        <f>IFERROR(__xludf.DUMMYFUNCTION("""COMPUTED_VALUE"""),1.0)</f>
        <v>1</v>
      </c>
      <c r="O75" s="208">
        <v>1.0</v>
      </c>
      <c r="P75" s="208">
        <v>2.0</v>
      </c>
      <c r="Q75" s="203">
        <f t="shared" si="36"/>
        <v>112.78</v>
      </c>
      <c r="R75" s="136" t="s">
        <v>42</v>
      </c>
      <c r="S75" s="209">
        <f t="shared" si="37"/>
        <v>0</v>
      </c>
      <c r="T75" s="210"/>
      <c r="U75" s="136" t="s">
        <v>42</v>
      </c>
      <c r="V75" s="209"/>
      <c r="W75" s="211">
        <f t="shared" si="38"/>
        <v>0</v>
      </c>
      <c r="X75" s="179"/>
      <c r="Y75" s="180"/>
      <c r="Z75" s="180"/>
      <c r="AA75" s="180"/>
      <c r="AB75" s="180">
        <f t="shared" si="39"/>
        <v>0</v>
      </c>
      <c r="AC75" s="181"/>
      <c r="AD75" s="182"/>
      <c r="AE75" s="183"/>
      <c r="AF75" s="184"/>
      <c r="AG75" s="185"/>
      <c r="AH75" s="186"/>
      <c r="AI75" s="187"/>
      <c r="AJ75" s="188"/>
      <c r="AK75" s="188"/>
      <c r="AL75" s="180"/>
      <c r="AM75" s="135">
        <v>56.39</v>
      </c>
      <c r="AN75" s="152" t="s">
        <v>46</v>
      </c>
      <c r="AO75" s="135">
        <v>0.0</v>
      </c>
      <c r="AP75" s="139"/>
      <c r="AQ75" s="189"/>
      <c r="AR75" s="189"/>
      <c r="AS75" s="180"/>
      <c r="AT75" s="180"/>
      <c r="AU75" s="180"/>
      <c r="AV75" s="180"/>
      <c r="AW75" s="180"/>
      <c r="AX75" s="180"/>
      <c r="AY75" s="180"/>
      <c r="AZ75" s="180"/>
      <c r="BA75" s="180"/>
      <c r="BB75" s="180"/>
      <c r="BC75" s="180"/>
      <c r="BD75" s="180"/>
      <c r="BE75" s="180"/>
      <c r="BF75" s="180"/>
      <c r="BG75" s="180"/>
      <c r="BH75" s="180"/>
    </row>
    <row r="76" ht="12.75" customHeight="1">
      <c r="A76" s="71"/>
      <c r="B76" s="221"/>
      <c r="C76" s="214"/>
      <c r="D76" s="202"/>
      <c r="E76" s="203"/>
      <c r="F76" s="204"/>
      <c r="G76" s="204"/>
      <c r="H76" s="204"/>
      <c r="I76" s="204"/>
      <c r="J76" s="205"/>
      <c r="K76" s="204" t="s">
        <v>42</v>
      </c>
      <c r="L76" s="206"/>
      <c r="M76" s="220" t="s">
        <v>42</v>
      </c>
      <c r="N76" s="207" t="str">
        <f>IFERROR(__xludf.DUMMYFUNCTION("""COMPUTED_VALUE"""),"")</f>
        <v/>
      </c>
      <c r="O76" s="208"/>
      <c r="P76" s="208"/>
      <c r="Q76" s="203"/>
      <c r="R76" s="136"/>
      <c r="S76" s="209"/>
      <c r="T76" s="210"/>
      <c r="U76" s="136"/>
      <c r="V76" s="209"/>
      <c r="W76" s="211"/>
      <c r="X76" s="179"/>
      <c r="Y76" s="180"/>
      <c r="Z76" s="180"/>
      <c r="AA76" s="180"/>
      <c r="AB76" s="180"/>
      <c r="AC76" s="181"/>
      <c r="AD76" s="182"/>
      <c r="AE76" s="183"/>
      <c r="AF76" s="184"/>
      <c r="AG76" s="185"/>
      <c r="AH76" s="186"/>
      <c r="AI76" s="187"/>
      <c r="AJ76" s="188"/>
      <c r="AK76" s="188"/>
      <c r="AL76" s="180"/>
      <c r="AM76" s="135" t="s">
        <v>42</v>
      </c>
      <c r="AN76" s="152"/>
      <c r="AO76" s="135" t="s">
        <v>42</v>
      </c>
      <c r="AP76" s="139"/>
      <c r="AQ76" s="189"/>
      <c r="AR76" s="189"/>
      <c r="AS76" s="180"/>
      <c r="AT76" s="180"/>
      <c r="AU76" s="180"/>
      <c r="AV76" s="180"/>
      <c r="AW76" s="180"/>
      <c r="AX76" s="180"/>
      <c r="AY76" s="180"/>
      <c r="AZ76" s="180"/>
      <c r="BA76" s="180"/>
      <c r="BB76" s="180"/>
      <c r="BC76" s="180"/>
      <c r="BD76" s="180"/>
      <c r="BE76" s="180"/>
      <c r="BF76" s="180"/>
      <c r="BG76" s="180"/>
      <c r="BH76" s="180"/>
    </row>
    <row r="77">
      <c r="A77" s="71">
        <v>1.0</v>
      </c>
      <c r="B77" s="102"/>
      <c r="C77" s="103" t="s">
        <v>108</v>
      </c>
      <c r="D77" s="104"/>
      <c r="E77" s="105"/>
      <c r="F77" s="104"/>
      <c r="G77" s="104"/>
      <c r="H77" s="104"/>
      <c r="I77" s="104"/>
      <c r="J77" s="104"/>
      <c r="K77" s="104" t="s">
        <v>42</v>
      </c>
      <c r="L77" s="106">
        <f>Q77</f>
        <v>19.37858251</v>
      </c>
      <c r="M77" s="105" t="s">
        <v>42</v>
      </c>
      <c r="N77" s="107" t="str">
        <f>IFERROR(__xludf.DUMMYFUNCTION("""COMPUTED_VALUE"""),"")</f>
        <v/>
      </c>
      <c r="O77" s="104"/>
      <c r="P77" s="104"/>
      <c r="Q77" s="106">
        <f>Q78</f>
        <v>19.37858251</v>
      </c>
      <c r="R77" s="136"/>
      <c r="S77" s="109">
        <f>T77/Q77</f>
        <v>0</v>
      </c>
      <c r="T77" s="109">
        <f>SUM(S78:S82)</f>
        <v>0</v>
      </c>
      <c r="U77" s="136"/>
      <c r="V77" s="109">
        <f>W77/Q77</f>
        <v>0</v>
      </c>
      <c r="W77" s="110">
        <f>SUM(W78:W82)</f>
        <v>0</v>
      </c>
      <c r="X77" s="111" t="str">
        <f>W77/$AC$176/$W$183/$X$173</f>
        <v>#REF!</v>
      </c>
      <c r="Y77" s="112" t="b">
        <f>(T77+W77)=(SUM(AB78:AB82))</f>
        <v>1</v>
      </c>
      <c r="Z77" s="222">
        <f>(T77+W77)-(SUM(AB78:AB82))</f>
        <v>0</v>
      </c>
      <c r="AA77" s="5"/>
      <c r="AB77" s="5"/>
      <c r="AC77" s="33"/>
      <c r="AD77" s="114">
        <f>W77+T77</f>
        <v>0</v>
      </c>
      <c r="AE77" s="115">
        <f>AD77</f>
        <v>0</v>
      </c>
      <c r="AF77" s="116" t="str">
        <f>AE77/$AE$151</f>
        <v>#REF!</v>
      </c>
      <c r="AG77" s="117" t="str">
        <f>AF77*$AG$158</f>
        <v>#REF!</v>
      </c>
      <c r="AH77" s="118" t="str">
        <f>AF77*$AG$161</f>
        <v>#REF!</v>
      </c>
      <c r="AI77" s="39"/>
      <c r="AJ77" s="119" t="str">
        <f>ROUND(AK77/L77,2)</f>
        <v>#REF!</v>
      </c>
      <c r="AK77" s="119" t="str">
        <f>ROUND(AH77+AG77+AD77,2)</f>
        <v>#REF!</v>
      </c>
      <c r="AL77" s="5"/>
      <c r="AM77" s="135" t="s">
        <v>42</v>
      </c>
      <c r="AN77" s="152"/>
      <c r="AO77" s="135" t="s">
        <v>42</v>
      </c>
      <c r="AP77" s="139"/>
      <c r="AQ77" s="5"/>
      <c r="AR77" s="5"/>
      <c r="AS77" s="5"/>
      <c r="AT77" s="5"/>
      <c r="AU77" s="5"/>
      <c r="AV77" s="5"/>
      <c r="AW77" s="5"/>
      <c r="AX77" s="5"/>
      <c r="AY77" s="5"/>
      <c r="AZ77" s="5"/>
      <c r="BA77" s="5"/>
      <c r="BB77" s="5"/>
      <c r="BC77" s="5"/>
      <c r="BD77" s="5"/>
      <c r="BE77" s="5"/>
      <c r="BF77" s="5"/>
      <c r="BG77" s="5"/>
      <c r="BH77" s="5"/>
    </row>
    <row r="78">
      <c r="A78" s="71"/>
      <c r="B78" s="154" t="str">
        <f>IFERROR(__xludf.DUMMYFUNCTION("IFERROR(
  IF(C78="""","""",
    IF(OR(REGEXMATCH(D78,""(?i)-Flashing""), REGEXMATCH(D78,""(?i)-EavesGut""), REGEXMATCH(D78,""(?i)Valley"")),
        ""DR"" &amp;
        TEXT(
            ROUNDUP(
                MIN(
                    VALUE(MID(C78, FIND("&amp;"""("",C78)+1, FIND(""/"",C78)-FIND(""("",C78)-1)),
                    1200
                ) / 50, 0
            ) * 50, ""0""
        ) &amp;
        MID(C78, FIND(""/"",C78)+1, FIND("")"",C78)-FIND(""/"",C78)-1) &amp;
        TEXT(H78*100,""0"") &amp;
        I78,"&amp;"
    IF(AND(D78=""Roof Sheet"", REGEXMATCH(C78,""(?i)KS\d{4}[A-Z]{2}"")),
       REGEXEXTRACT(C78,""(?i)KS\d{4}[A-Z]{2}""),
    IF(AND(REGEXMATCH(D78,""(?i)-DP""), REGEXMATCH(C78,""(?i)Downpipe"")),
       ""dp"" &amp; REGEXEXTRACT(C78,""(\d+)"") &amp; ""mm"",
  "&amp;"  IF(AND(REGEXMATCH(D78,""(?i)Bracket""), REGEXMATCH(C78,""(?i)Bracket"")),
       ""Brkt"" &amp; REGEXEXTRACT(C78,""(\d+)"") &amp; ""mm"",
    IF(AND(REGEXMATCH(D78,""(?i)-OP""), REGEXMATCH(C78,""(?i)pops"")),
       ""op"" &amp; REGEXEXTRACT(C78,""(\d+)"") &amp; ""mm"""&amp;",
    IF(OR(D78=""R-FFTop"", D78=""R-FFBottom"", D78=""R-FFSide""),
        IF(REGEXMATCH(C78,""(?i)Profiled.*Top|Top.*Profiled""),""pfft"",
        IF(REGEXMATCH(C78,""(?i)Profiled.*Bottom|Bottom.*Profiled""),""pffb"",
        IF(REGEXMATCH(C78,""(?i)Squ"&amp;"are""),""sff"",""""))),
    IF(REGEXMATCH(D78,""(?i)-Rivets""),""Rvt"",
    IF(REGEXMATCH(D78,""(?i)Silicone""),""300ml"",
    IF(REGEXMATCH(D78,""(?i)R-Butyl""),""300ml"",
    IF(REGEXMATCH(D78,""(?i)Fix""),""GenFix"",
    IF(AND(REGEXMATCH(C78,""(?i)Tim"&amp;"ber""), REGEXMATCH(D78,""(?i)Timber"")),""tp"",
    IF(AND(REGEXMATCH(C78,""(?i)Vent G1275""), REGEXMATCH(D78,""(?i)Comb FIller"")),""CFV1275"",
    IF(REGEXMATCH(C78,""(?i)DPC""),""dpc"",
    IF(REGEXMATCH(C78,""(?i)Concealed Clips""),""ConClips"",
    I"&amp;"F(REGEXMATCH(D78,""(?i)-Takeoff ea""),""Takeoff ea"",
    IF(REGEXMATCH(D78,""(?i)-Takeoff LM""),""Takeoff LM"",
    IF(REGEXMATCH(D78,""(?i)-Takeoff m2""),""Takeoff m2"",
    IF(D78=""R-TU/TD"",""TU/TD"","""")))))))))))))))))
  )))"),"DR6003B55Mag")</f>
        <v>DR6003B55Mag</v>
      </c>
      <c r="C78" s="223" t="s">
        <v>109</v>
      </c>
      <c r="D78" s="124" t="s">
        <v>96</v>
      </c>
      <c r="E78" s="168">
        <f>VALUE(MID(C78, FIND("(", C78)+1, FIND("/", C78)-FIND("(", C78)-1)) / 1000</f>
        <v>0.57</v>
      </c>
      <c r="F78" s="218" t="str">
        <f>IFERROR(__xludf.DUMMYFUNCTION("IFERROR(REGEXEXTRACT(C78,""@\s*(\d+)\s*deg"")&amp;""°"","""")
"),"9°")</f>
        <v>9°</v>
      </c>
      <c r="G78" s="129"/>
      <c r="H78" s="128" t="str">
        <f>IFERROR(__xludf.DUMMYFUNCTION("IFERROR(REGEXEXTRACT(C78, ""(\d*\.\d+)mm""), """")"),"0.55")</f>
        <v>0.55</v>
      </c>
      <c r="I78" s="128" t="s">
        <v>97</v>
      </c>
      <c r="J78" s="126" t="s">
        <v>14</v>
      </c>
      <c r="K78" s="126" t="s">
        <v>55</v>
      </c>
      <c r="L78" s="224">
        <v>19.14</v>
      </c>
      <c r="M78" s="150">
        <f>L78</f>
        <v>19.14</v>
      </c>
      <c r="N78" s="215">
        <f>IFERROR(__xludf.DUMMYFUNCTION("""COMPUTED_VALUE"""),1.0124651257880029)</f>
        <v>1.012465126</v>
      </c>
      <c r="O78" s="134">
        <v>1.0</v>
      </c>
      <c r="P78" s="134">
        <v>1.0</v>
      </c>
      <c r="Q78" s="168">
        <f t="shared" ref="Q78:Q82" si="41">M78*N78*O78*P78</f>
        <v>19.37858251</v>
      </c>
      <c r="R78" s="136" t="s">
        <v>42</v>
      </c>
      <c r="S78" s="137">
        <f t="shared" ref="S78:S82" si="42">R78*Q78</f>
        <v>0</v>
      </c>
      <c r="T78" s="138"/>
      <c r="U78" s="136" t="s">
        <v>42</v>
      </c>
      <c r="V78" s="139"/>
      <c r="W78" s="140">
        <f t="shared" ref="W78:W82" si="43">U78*Q78</f>
        <v>0</v>
      </c>
      <c r="X78" s="111"/>
      <c r="Y78" s="5"/>
      <c r="Z78" s="5"/>
      <c r="AA78" s="5"/>
      <c r="AB78" s="180">
        <f t="shared" ref="AB78:AB82" si="44">W78+S78</f>
        <v>0</v>
      </c>
      <c r="AC78" s="33"/>
      <c r="AD78" s="65"/>
      <c r="AE78" s="66"/>
      <c r="AF78" s="144"/>
      <c r="AG78" s="68"/>
      <c r="AH78" s="69"/>
      <c r="AI78" s="39"/>
      <c r="AJ78" s="70"/>
      <c r="AK78" s="70"/>
      <c r="AL78" s="5"/>
      <c r="AM78" s="135">
        <v>19.14</v>
      </c>
      <c r="AN78" s="152" t="s">
        <v>46</v>
      </c>
      <c r="AO78" s="135">
        <v>0.0</v>
      </c>
      <c r="AP78" s="139"/>
      <c r="AQ78" s="5"/>
      <c r="AR78" s="5"/>
      <c r="AS78" s="5"/>
      <c r="AT78" s="5"/>
      <c r="AU78" s="5"/>
      <c r="AV78" s="5"/>
      <c r="AW78" s="5"/>
      <c r="AX78" s="5"/>
      <c r="AY78" s="5"/>
      <c r="AZ78" s="5"/>
      <c r="BA78" s="5"/>
      <c r="BB78" s="5"/>
      <c r="BC78" s="5"/>
      <c r="BD78" s="5"/>
      <c r="BE78" s="5"/>
      <c r="BF78" s="5"/>
      <c r="BG78" s="5"/>
      <c r="BH78" s="5"/>
    </row>
    <row r="79" ht="12.75" customHeight="1">
      <c r="A79" s="71"/>
      <c r="B79" s="154" t="str">
        <f>IFERROR(__xludf.DUMMYFUNCTION("IFERROR(
  IF(C79="""","""",
    IF(OR(REGEXMATCH(D79,""(?i)-Flashing""), REGEXMATCH(D79,""(?i)-EavesGut""), REGEXMATCH(D79,""(?i)Valley"")),
        ""DR"" &amp;
        TEXT(
            ROUNDUP(
                MIN(
                    VALUE(MID(C79, FIND("&amp;"""("",C79)+1, FIND(""/"",C79)-FIND(""("",C79)-1)),
                    1200
                ) / 50, 0
            ) * 50, ""0""
        ) &amp;
        MID(C79, FIND(""/"",C79)+1, FIND("")"",C79)-FIND(""/"",C79)-1) &amp;
        TEXT(H79*100,""0"") &amp;
        I79,"&amp;"
    IF(AND(D79=""Roof Sheet"", REGEXMATCH(C79,""(?i)KS\d{4}[A-Z]{2}"")),
       REGEXEXTRACT(C79,""(?i)KS\d{4}[A-Z]{2}""),
    IF(AND(REGEXMATCH(D79,""(?i)-DP""), REGEXMATCH(C79,""(?i)Downpipe"")),
       ""dp"" &amp; REGEXEXTRACT(C79,""(\d+)"") &amp; ""mm"",
  "&amp;"  IF(AND(REGEXMATCH(D79,""(?i)Bracket""), REGEXMATCH(C79,""(?i)Bracket"")),
       ""Brkt"" &amp; REGEXEXTRACT(C79,""(\d+)"") &amp; ""mm"",
    IF(AND(REGEXMATCH(D79,""(?i)-OP""), REGEXMATCH(C79,""(?i)pops"")),
       ""op"" &amp; REGEXEXTRACT(C79,""(\d+)"") &amp; ""mm"""&amp;",
    IF(OR(D79=""R-FFTop"", D79=""R-FFBottom"", D79=""R-FFSide""),
        IF(REGEXMATCH(C79,""(?i)Profiled.*Top|Top.*Profiled""),""pfft"",
        IF(REGEXMATCH(C79,""(?i)Profiled.*Bottom|Bottom.*Profiled""),""pffb"",
        IF(REGEXMATCH(C79,""(?i)Squ"&amp;"are""),""sff"",""""))),
    IF(REGEXMATCH(D79,""(?i)-Rivets""),""Rvt"",
    IF(REGEXMATCH(D79,""(?i)Silicone""),""300ml"",
    IF(REGEXMATCH(D79,""(?i)R-Butyl""),""300ml"",
    IF(REGEXMATCH(D79,""(?i)Fix""),""GenFix"",
    IF(AND(REGEXMATCH(C79,""(?i)Tim"&amp;"ber""), REGEXMATCH(D79,""(?i)Timber"")),""tp"",
    IF(AND(REGEXMATCH(C79,""(?i)Vent G1275""), REGEXMATCH(D79,""(?i)Comb FIller"")),""CFV1275"",
    IF(REGEXMATCH(C79,""(?i)DPC""),""dpc"",
    IF(REGEXMATCH(C79,""(?i)Concealed Clips""),""ConClips"",
    I"&amp;"F(REGEXMATCH(D79,""(?i)-Takeoff ea""),""Takeoff ea"",
    IF(REGEXMATCH(D79,""(?i)-Takeoff LM""),""Takeoff LM"",
    IF(REGEXMATCH(D79,""(?i)-Takeoff m2""),""Takeoff m2"",
    IF(D79=""R-TU/TD"",""TU/TD"","""")))))))))))))))))
  )))"),"300ml")</f>
        <v>300ml</v>
      </c>
      <c r="C79" s="225" t="s">
        <v>98</v>
      </c>
      <c r="D79" s="124" t="s">
        <v>99</v>
      </c>
      <c r="E79" s="168">
        <f t="shared" ref="E79:F79" si="40">E78</f>
        <v>0.57</v>
      </c>
      <c r="F79" s="168" t="str">
        <f t="shared" si="40"/>
        <v>9°</v>
      </c>
      <c r="G79" s="129"/>
      <c r="H79" s="127"/>
      <c r="I79" s="127"/>
      <c r="J79" s="126" t="s">
        <v>87</v>
      </c>
      <c r="K79" s="126" t="s">
        <v>52</v>
      </c>
      <c r="L79" s="168">
        <f>M78</f>
        <v>19.14</v>
      </c>
      <c r="M79" s="150">
        <f>(ROUNDDOWN((M78/5.7)+2,0)*E79)/8</f>
        <v>0.35625</v>
      </c>
      <c r="N79" s="215">
        <f>IFERROR(__xludf.DUMMYFUNCTION("""COMPUTED_VALUE"""),1.0124651257880029)</f>
        <v>1.012465126</v>
      </c>
      <c r="O79" s="134">
        <v>1.0</v>
      </c>
      <c r="P79" s="134">
        <v>1.0</v>
      </c>
      <c r="Q79" s="168">
        <f t="shared" si="41"/>
        <v>0.3606907011</v>
      </c>
      <c r="R79" s="136" t="s">
        <v>42</v>
      </c>
      <c r="S79" s="137">
        <f t="shared" si="42"/>
        <v>0</v>
      </c>
      <c r="T79" s="138"/>
      <c r="U79" s="136" t="s">
        <v>42</v>
      </c>
      <c r="V79" s="139"/>
      <c r="W79" s="140">
        <f t="shared" si="43"/>
        <v>0</v>
      </c>
      <c r="X79" s="2"/>
      <c r="Y79" s="5"/>
      <c r="Z79" s="5"/>
      <c r="AA79" s="5"/>
      <c r="AB79" s="180">
        <f t="shared" si="44"/>
        <v>0</v>
      </c>
      <c r="AC79" s="33"/>
      <c r="AD79" s="65"/>
      <c r="AE79" s="66"/>
      <c r="AF79" s="144"/>
      <c r="AG79" s="68"/>
      <c r="AH79" s="69"/>
      <c r="AI79" s="39"/>
      <c r="AJ79" s="70"/>
      <c r="AK79" s="70"/>
      <c r="AL79" s="5"/>
      <c r="AM79" s="135">
        <v>0.35624999999999996</v>
      </c>
      <c r="AN79" s="152" t="s">
        <v>46</v>
      </c>
      <c r="AO79" s="135">
        <v>0.0</v>
      </c>
      <c r="AP79" s="139"/>
      <c r="AQ79" s="5"/>
      <c r="AR79" s="5"/>
      <c r="AS79" s="5"/>
      <c r="AT79" s="5"/>
      <c r="AU79" s="5"/>
      <c r="AV79" s="5"/>
      <c r="AW79" s="5"/>
      <c r="AX79" s="5"/>
      <c r="AY79" s="5"/>
      <c r="AZ79" s="5"/>
      <c r="BA79" s="5"/>
      <c r="BB79" s="5"/>
      <c r="BC79" s="5"/>
      <c r="BD79" s="5"/>
      <c r="BE79" s="5"/>
      <c r="BF79" s="5"/>
      <c r="BG79" s="5"/>
      <c r="BH79" s="5"/>
    </row>
    <row r="80" ht="12.75" customHeight="1">
      <c r="A80" s="71"/>
      <c r="B80" s="154" t="str">
        <f>IFERROR(__xludf.DUMMYFUNCTION("IFERROR(
  IF(C80="""","""",
    IF(OR(REGEXMATCH(D80,""(?i)-Flashing""), REGEXMATCH(D80,""(?i)-EavesGut""), REGEXMATCH(D80,""(?i)Valley"")),
        ""DR"" &amp;
        TEXT(
            ROUNDUP(
                MIN(
                    VALUE(MID(C80, FIND("&amp;"""("",C80)+1, FIND(""/"",C80)-FIND(""("",C80)-1)),
                    1200
                ) / 50, 0
            ) * 50, ""0""
        ) &amp;
        MID(C80, FIND(""/"",C80)+1, FIND("")"",C80)-FIND(""/"",C80)-1) &amp;
        TEXT(H80*100,""0"") &amp;
        I80,"&amp;"
    IF(AND(D80=""Roof Sheet"", REGEXMATCH(C80,""(?i)KS\d{4}[A-Z]{2}"")),
       REGEXEXTRACT(C80,""(?i)KS\d{4}[A-Z]{2}""),
    IF(AND(REGEXMATCH(D80,""(?i)-DP""), REGEXMATCH(C80,""(?i)Downpipe"")),
       ""dp"" &amp; REGEXEXTRACT(C80,""(\d+)"") &amp; ""mm"",
  "&amp;"  IF(AND(REGEXMATCH(D80,""(?i)Bracket""), REGEXMATCH(C80,""(?i)Bracket"")),
       ""Brkt"" &amp; REGEXEXTRACT(C80,""(\d+)"") &amp; ""mm"",
    IF(AND(REGEXMATCH(D80,""(?i)-OP""), REGEXMATCH(C80,""(?i)pops"")),
       ""op"" &amp; REGEXEXTRACT(C80,""(\d+)"") &amp; ""mm"""&amp;",
    IF(OR(D80=""R-FFTop"", D80=""R-FFBottom"", D80=""R-FFSide""),
        IF(REGEXMATCH(C80,""(?i)Profiled.*Top|Top.*Profiled""),""pfft"",
        IF(REGEXMATCH(C80,""(?i)Profiled.*Bottom|Bottom.*Profiled""),""pffb"",
        IF(REGEXMATCH(C80,""(?i)Squ"&amp;"are""),""sff"",""""))),
    IF(REGEXMATCH(D80,""(?i)-Rivets""),""Rvt"",
    IF(REGEXMATCH(D80,""(?i)Silicone""),""300ml"",
    IF(REGEXMATCH(D80,""(?i)R-Butyl""),""300ml"",
    IF(REGEXMATCH(D80,""(?i)Fix""),""GenFix"",
    IF(AND(REGEXMATCH(C80,""(?i)Tim"&amp;"ber""), REGEXMATCH(D80,""(?i)Timber"")),""tp"",
    IF(AND(REGEXMATCH(C80,""(?i)Vent G1275""), REGEXMATCH(D80,""(?i)Comb FIller"")),""CFV1275"",
    IF(REGEXMATCH(C80,""(?i)DPC""),""dpc"",
    IF(REGEXMATCH(C80,""(?i)Concealed Clips""),""ConClips"",
    I"&amp;"F(REGEXMATCH(D80,""(?i)-Takeoff ea""),""Takeoff ea"",
    IF(REGEXMATCH(D80,""(?i)-Takeoff LM""),""Takeoff LM"",
    IF(REGEXMATCH(D80,""(?i)-Takeoff m2""),""Takeoff m2"",
    IF(D80=""R-TU/TD"",""TU/TD"","""")))))))))))))))))
  )))"),"Rvt")</f>
        <v>Rvt</v>
      </c>
      <c r="C80" s="225" t="s">
        <v>100</v>
      </c>
      <c r="D80" s="124" t="s">
        <v>101</v>
      </c>
      <c r="E80" s="168">
        <f>E78</f>
        <v>0.57</v>
      </c>
      <c r="F80" s="168" t="str">
        <f t="shared" ref="F80:F82" si="45">F79</f>
        <v>9°</v>
      </c>
      <c r="G80" s="129"/>
      <c r="H80" s="127"/>
      <c r="I80" s="127"/>
      <c r="J80" s="126" t="s">
        <v>87</v>
      </c>
      <c r="K80" s="126" t="s">
        <v>52</v>
      </c>
      <c r="L80" s="168">
        <f>M78</f>
        <v>19.14</v>
      </c>
      <c r="M80" s="150">
        <f>ROUNDUP(((M78/5.7)+1)*(E80/0.05),0)</f>
        <v>50</v>
      </c>
      <c r="N80" s="215">
        <f>IFERROR(__xludf.DUMMYFUNCTION("""COMPUTED_VALUE"""),1.0124651257880029)</f>
        <v>1.012465126</v>
      </c>
      <c r="O80" s="134">
        <v>1.0</v>
      </c>
      <c r="P80" s="134">
        <v>1.0</v>
      </c>
      <c r="Q80" s="168">
        <f t="shared" si="41"/>
        <v>50.62325629</v>
      </c>
      <c r="R80" s="136" t="s">
        <v>42</v>
      </c>
      <c r="S80" s="137">
        <f t="shared" si="42"/>
        <v>0</v>
      </c>
      <c r="T80" s="138"/>
      <c r="U80" s="136" t="s">
        <v>42</v>
      </c>
      <c r="V80" s="139"/>
      <c r="W80" s="140">
        <f t="shared" si="43"/>
        <v>0</v>
      </c>
      <c r="X80" s="2"/>
      <c r="Y80" s="5"/>
      <c r="Z80" s="5"/>
      <c r="AA80" s="5"/>
      <c r="AB80" s="180">
        <f t="shared" si="44"/>
        <v>0</v>
      </c>
      <c r="AC80" s="33"/>
      <c r="AD80" s="65"/>
      <c r="AE80" s="66"/>
      <c r="AF80" s="144"/>
      <c r="AG80" s="68"/>
      <c r="AH80" s="69"/>
      <c r="AI80" s="39"/>
      <c r="AJ80" s="70"/>
      <c r="AK80" s="70"/>
      <c r="AL80" s="5"/>
      <c r="AM80" s="135">
        <v>50.0</v>
      </c>
      <c r="AN80" s="152" t="s">
        <v>46</v>
      </c>
      <c r="AO80" s="135">
        <v>0.0</v>
      </c>
      <c r="AP80" s="139"/>
      <c r="AQ80" s="5"/>
      <c r="AR80" s="5"/>
      <c r="AS80" s="5"/>
      <c r="AT80" s="5"/>
      <c r="AU80" s="5"/>
      <c r="AV80" s="5"/>
      <c r="AW80" s="5"/>
      <c r="AX80" s="5"/>
      <c r="AY80" s="5"/>
      <c r="AZ80" s="5"/>
      <c r="BA80" s="5"/>
      <c r="BB80" s="5"/>
      <c r="BC80" s="5"/>
      <c r="BD80" s="5"/>
      <c r="BE80" s="5"/>
      <c r="BF80" s="5"/>
      <c r="BG80" s="5"/>
      <c r="BH80" s="5"/>
    </row>
    <row r="81" ht="12.75" customHeight="1">
      <c r="A81" s="71"/>
      <c r="B81" s="154" t="str">
        <f>IFERROR(__xludf.DUMMYFUNCTION("IFERROR(
  IF(C81="""","""",
    IF(OR(REGEXMATCH(D81,""(?i)-Flashing""), REGEXMATCH(D81,""(?i)-EavesGut""), REGEXMATCH(D81,""(?i)Valley"")),
        ""DR"" &amp;
        TEXT(
            ROUNDUP(
                MIN(
                    VALUE(MID(C81, FIND("&amp;"""("",C81)+1, FIND(""/"",C81)-FIND(""("",C81)-1)),
                    1200
                ) / 50, 0
            ) * 50, ""0""
        ) &amp;
        MID(C81, FIND(""/"",C81)+1, FIND("")"",C81)-FIND(""/"",C81)-1) &amp;
        TEXT(H81*100,""0"") &amp;
        I81,"&amp;"
    IF(AND(D81=""Roof Sheet"", REGEXMATCH(C81,""(?i)KS\d{4}[A-Z]{2}"")),
       REGEXEXTRACT(C81,""(?i)KS\d{4}[A-Z]{2}""),
    IF(AND(REGEXMATCH(D81,""(?i)-DP""), REGEXMATCH(C81,""(?i)Downpipe"")),
       ""dp"" &amp; REGEXEXTRACT(C81,""(\d+)"") &amp; ""mm"",
  "&amp;"  IF(AND(REGEXMATCH(D81,""(?i)Bracket""), REGEXMATCH(C81,""(?i)Bracket"")),
       ""Brkt"" &amp; REGEXEXTRACT(C81,""(\d+)"") &amp; ""mm"",
    IF(AND(REGEXMATCH(D81,""(?i)-OP""), REGEXMATCH(C81,""(?i)pops"")),
       ""op"" &amp; REGEXEXTRACT(C81,""(\d+)"") &amp; ""mm"""&amp;",
    IF(OR(D81=""R-FFTop"", D81=""R-FFBottom"", D81=""R-FFSide""),
        IF(REGEXMATCH(C81,""(?i)Profiled.*Top|Top.*Profiled""),""pfft"",
        IF(REGEXMATCH(C81,""(?i)Profiled.*Bottom|Bottom.*Profiled""),""pffb"",
        IF(REGEXMATCH(C81,""(?i)Squ"&amp;"are""),""sff"",""""))),
    IF(REGEXMATCH(D81,""(?i)-Rivets""),""Rvt"",
    IF(REGEXMATCH(D81,""(?i)Silicone""),""300ml"",
    IF(REGEXMATCH(D81,""(?i)R-Butyl""),""300ml"",
    IF(REGEXMATCH(D81,""(?i)Fix""),""GenFix"",
    IF(AND(REGEXMATCH(C81,""(?i)Tim"&amp;"ber""), REGEXMATCH(D81,""(?i)Timber"")),""tp"",
    IF(AND(REGEXMATCH(C81,""(?i)Vent G1275""), REGEXMATCH(D81,""(?i)Comb FIller"")),""CFV1275"",
    IF(REGEXMATCH(C81,""(?i)DPC""),""dpc"",
    IF(REGEXMATCH(C81,""(?i)Concealed Clips""),""ConClips"",
    I"&amp;"F(REGEXMATCH(D81,""(?i)-Takeoff ea""),""Takeoff ea"",
    IF(REGEXMATCH(D81,""(?i)-Takeoff LM""),""Takeoff LM"",
    IF(REGEXMATCH(D81,""(?i)-Takeoff m2""),""Takeoff m2"",
    IF(D81=""R-TU/TD"",""TU/TD"","""")))))))))))))))))
  )))"),"GenFix")</f>
        <v>GenFix</v>
      </c>
      <c r="C81" s="158" t="s">
        <v>102</v>
      </c>
      <c r="D81" s="124" t="s">
        <v>103</v>
      </c>
      <c r="E81" s="161"/>
      <c r="F81" s="168" t="str">
        <f t="shared" si="45"/>
        <v>9°</v>
      </c>
      <c r="G81" s="129"/>
      <c r="H81" s="127"/>
      <c r="I81" s="127"/>
      <c r="J81" s="126" t="s">
        <v>87</v>
      </c>
      <c r="K81" s="126" t="s">
        <v>52</v>
      </c>
      <c r="L81" s="168">
        <f>M78</f>
        <v>19.14</v>
      </c>
      <c r="M81" s="150">
        <f>ROUNDUP(M78/0.6,0)+1</f>
        <v>33</v>
      </c>
      <c r="N81" s="215">
        <f>IFERROR(__xludf.DUMMYFUNCTION("""COMPUTED_VALUE"""),1.0124651257880029)</f>
        <v>1.012465126</v>
      </c>
      <c r="O81" s="134">
        <v>1.0</v>
      </c>
      <c r="P81" s="134">
        <v>1.0</v>
      </c>
      <c r="Q81" s="168">
        <f t="shared" si="41"/>
        <v>33.41134915</v>
      </c>
      <c r="R81" s="136" t="s">
        <v>42</v>
      </c>
      <c r="S81" s="137">
        <f t="shared" si="42"/>
        <v>0</v>
      </c>
      <c r="T81" s="138"/>
      <c r="U81" s="136" t="s">
        <v>42</v>
      </c>
      <c r="V81" s="139"/>
      <c r="W81" s="140">
        <f t="shared" si="43"/>
        <v>0</v>
      </c>
      <c r="X81" s="2"/>
      <c r="Y81" s="5"/>
      <c r="Z81" s="5"/>
      <c r="AA81" s="5"/>
      <c r="AB81" s="180">
        <f t="shared" si="44"/>
        <v>0</v>
      </c>
      <c r="AC81" s="33"/>
      <c r="AD81" s="65"/>
      <c r="AE81" s="66"/>
      <c r="AF81" s="144"/>
      <c r="AG81" s="68"/>
      <c r="AH81" s="69"/>
      <c r="AI81" s="39"/>
      <c r="AJ81" s="70"/>
      <c r="AK81" s="70"/>
      <c r="AL81" s="5"/>
      <c r="AM81" s="135">
        <v>33.0</v>
      </c>
      <c r="AN81" s="152" t="s">
        <v>46</v>
      </c>
      <c r="AO81" s="135">
        <v>0.0</v>
      </c>
      <c r="AP81" s="139"/>
      <c r="AQ81" s="5"/>
      <c r="AR81" s="5"/>
      <c r="AS81" s="5"/>
      <c r="AT81" s="5"/>
      <c r="AU81" s="5"/>
      <c r="AV81" s="5"/>
      <c r="AW81" s="5"/>
      <c r="AX81" s="5"/>
      <c r="AY81" s="5"/>
      <c r="AZ81" s="5"/>
      <c r="BA81" s="5"/>
      <c r="BB81" s="5"/>
      <c r="BC81" s="5"/>
      <c r="BD81" s="5"/>
      <c r="BE81" s="5"/>
      <c r="BF81" s="5"/>
      <c r="BG81" s="5"/>
      <c r="BH81" s="5"/>
    </row>
    <row r="82" ht="12.75" customHeight="1">
      <c r="A82" s="71"/>
      <c r="B82" s="154" t="str">
        <f>IFERROR(__xludf.DUMMYFUNCTION("IFERROR(
  IF(C82="""","""",
    IF(OR(REGEXMATCH(D82,""(?i)-Flashing""), REGEXMATCH(D82,""(?i)-EavesGut""), REGEXMATCH(D82,""(?i)Valley"")),
        ""DR"" &amp;
        TEXT(
            ROUNDUP(
                MIN(
                    VALUE(MID(C82, FIND("&amp;"""("",C82)+1, FIND(""/"",C82)-FIND(""("",C82)-1)),
                    1200
                ) / 50, 0
            ) * 50, ""0""
        ) &amp;
        MID(C82, FIND(""/"",C82)+1, FIND("")"",C82)-FIND(""/"",C82)-1) &amp;
        TEXT(H82*100,""0"") &amp;
        I82,"&amp;"
    IF(AND(D82=""Roof Sheet"", REGEXMATCH(C82,""(?i)KS\d{4}[A-Z]{2}"")),
       REGEXEXTRACT(C82,""(?i)KS\d{4}[A-Z]{2}""),
    IF(AND(REGEXMATCH(D82,""(?i)-DP""), REGEXMATCH(C82,""(?i)Downpipe"")),
       ""dp"" &amp; REGEXEXTRACT(C82,""(\d+)"") &amp; ""mm"",
  "&amp;"  IF(AND(REGEXMATCH(D82,""(?i)Bracket""), REGEXMATCH(C82,""(?i)Bracket"")),
       ""Brkt"" &amp; REGEXEXTRACT(C82,""(\d+)"") &amp; ""mm"",
    IF(AND(REGEXMATCH(D82,""(?i)-OP""), REGEXMATCH(C82,""(?i)pops"")),
       ""op"" &amp; REGEXEXTRACT(C82,""(\d+)"") &amp; ""mm"""&amp;",
    IF(OR(D82=""R-FFTop"", D82=""R-FFBottom"", D82=""R-FFSide""),
        IF(REGEXMATCH(C82,""(?i)Profiled.*Top|Top.*Profiled""),""pfft"",
        IF(REGEXMATCH(C82,""(?i)Profiled.*Bottom|Bottom.*Profiled""),""pffb"",
        IF(REGEXMATCH(C82,""(?i)Squ"&amp;"are""),""sff"",""""))),
    IF(REGEXMATCH(D82,""(?i)-Rivets""),""Rvt"",
    IF(REGEXMATCH(D82,""(?i)Silicone""),""300ml"",
    IF(REGEXMATCH(D82,""(?i)R-Butyl""),""300ml"",
    IF(REGEXMATCH(D82,""(?i)Fix""),""GenFix"",
    IF(AND(REGEXMATCH(C82,""(?i)Tim"&amp;"ber""), REGEXMATCH(D82,""(?i)Timber"")),""tp"",
    IF(AND(REGEXMATCH(C82,""(?i)Vent G1275""), REGEXMATCH(D82,""(?i)Comb FIller"")),""CFV1275"",
    IF(REGEXMATCH(C82,""(?i)DPC""),""dpc"",
    IF(REGEXMATCH(C82,""(?i)Concealed Clips""),""ConClips"",
    I"&amp;"F(REGEXMATCH(D82,""(?i)-Takeoff ea""),""Takeoff ea"",
    IF(REGEXMATCH(D82,""(?i)-Takeoff LM""),""Takeoff LM"",
    IF(REGEXMATCH(D82,""(?i)-Takeoff m2""),""Takeoff m2"",
    IF(D82=""R-TU/TD"",""TU/TD"","""")))))))))))))))))
  )))"),"sff")</f>
        <v>sff</v>
      </c>
      <c r="C82" s="158" t="s">
        <v>110</v>
      </c>
      <c r="D82" s="124" t="s">
        <v>111</v>
      </c>
      <c r="E82" s="161"/>
      <c r="F82" s="168" t="str">
        <f t="shared" si="45"/>
        <v>9°</v>
      </c>
      <c r="G82" s="129"/>
      <c r="H82" s="127"/>
      <c r="I82" s="127"/>
      <c r="J82" s="126" t="s">
        <v>87</v>
      </c>
      <c r="K82" s="126" t="s">
        <v>55</v>
      </c>
      <c r="L82" s="168">
        <f>M78</f>
        <v>19.14</v>
      </c>
      <c r="M82" s="150">
        <f>M78</f>
        <v>19.14</v>
      </c>
      <c r="N82" s="215">
        <f>IFERROR(__xludf.DUMMYFUNCTION("""COMPUTED_VALUE"""),1.0124651257880029)</f>
        <v>1.012465126</v>
      </c>
      <c r="O82" s="134">
        <v>1.0</v>
      </c>
      <c r="P82" s="134">
        <v>1.0</v>
      </c>
      <c r="Q82" s="168">
        <f t="shared" si="41"/>
        <v>19.37858251</v>
      </c>
      <c r="R82" s="136" t="s">
        <v>42</v>
      </c>
      <c r="S82" s="137">
        <f t="shared" si="42"/>
        <v>0</v>
      </c>
      <c r="T82" s="138"/>
      <c r="U82" s="136" t="s">
        <v>42</v>
      </c>
      <c r="V82" s="139"/>
      <c r="W82" s="140">
        <f t="shared" si="43"/>
        <v>0</v>
      </c>
      <c r="X82" s="2"/>
      <c r="Y82" s="5"/>
      <c r="Z82" s="5"/>
      <c r="AA82" s="5"/>
      <c r="AB82" s="180">
        <f t="shared" si="44"/>
        <v>0</v>
      </c>
      <c r="AC82" s="33"/>
      <c r="AD82" s="65"/>
      <c r="AE82" s="66"/>
      <c r="AF82" s="144"/>
      <c r="AG82" s="68"/>
      <c r="AH82" s="69"/>
      <c r="AI82" s="39"/>
      <c r="AJ82" s="70"/>
      <c r="AK82" s="70"/>
      <c r="AL82" s="5"/>
      <c r="AM82" s="135">
        <v>19.14</v>
      </c>
      <c r="AN82" s="152" t="s">
        <v>46</v>
      </c>
      <c r="AO82" s="135">
        <v>0.0</v>
      </c>
      <c r="AP82" s="139"/>
      <c r="AQ82" s="5"/>
      <c r="AR82" s="5"/>
      <c r="AS82" s="5"/>
      <c r="AT82" s="5"/>
      <c r="AU82" s="5"/>
      <c r="AV82" s="5"/>
      <c r="AW82" s="5"/>
      <c r="AX82" s="5"/>
      <c r="AY82" s="5"/>
      <c r="AZ82" s="5"/>
      <c r="BA82" s="5"/>
      <c r="BB82" s="5"/>
      <c r="BC82" s="5"/>
      <c r="BD82" s="5"/>
      <c r="BE82" s="5"/>
      <c r="BF82" s="5"/>
      <c r="BG82" s="5"/>
      <c r="BH82" s="5"/>
    </row>
    <row r="83" ht="12.75" customHeight="1">
      <c r="A83" s="71"/>
      <c r="B83" s="160"/>
      <c r="C83" s="127"/>
      <c r="D83" s="129"/>
      <c r="E83" s="161"/>
      <c r="F83" s="127"/>
      <c r="G83" s="127"/>
      <c r="H83" s="127"/>
      <c r="I83" s="127"/>
      <c r="J83" s="129"/>
      <c r="K83" s="127" t="s">
        <v>42</v>
      </c>
      <c r="L83" s="163"/>
      <c r="M83" s="163" t="s">
        <v>42</v>
      </c>
      <c r="N83" s="162" t="str">
        <f>IFERROR(__xludf.DUMMYFUNCTION("""COMPUTED_VALUE"""),"")</f>
        <v/>
      </c>
      <c r="O83" s="127"/>
      <c r="P83" s="127"/>
      <c r="Q83" s="161"/>
      <c r="R83" s="136"/>
      <c r="S83" s="139"/>
      <c r="T83" s="138"/>
      <c r="U83" s="136"/>
      <c r="V83" s="139"/>
      <c r="W83" s="164"/>
      <c r="X83" s="2"/>
      <c r="Y83" s="5"/>
      <c r="Z83" s="5"/>
      <c r="AA83" s="5"/>
      <c r="AB83" s="5"/>
      <c r="AC83" s="33"/>
      <c r="AD83" s="226"/>
      <c r="AE83" s="227"/>
      <c r="AF83" s="228"/>
      <c r="AG83" s="229"/>
      <c r="AH83" s="230"/>
      <c r="AI83" s="39"/>
      <c r="AJ83" s="231"/>
      <c r="AK83" s="231"/>
      <c r="AL83" s="5"/>
      <c r="AM83" s="135" t="s">
        <v>42</v>
      </c>
      <c r="AN83" s="152"/>
      <c r="AO83" s="135" t="s">
        <v>42</v>
      </c>
      <c r="AP83" s="139"/>
      <c r="AQ83" s="5"/>
      <c r="AR83" s="5"/>
      <c r="AS83" s="5"/>
      <c r="AT83" s="5"/>
      <c r="AU83" s="5"/>
      <c r="AV83" s="5"/>
      <c r="AW83" s="5"/>
      <c r="AX83" s="5"/>
      <c r="AY83" s="5"/>
      <c r="AZ83" s="5"/>
      <c r="BA83" s="5"/>
      <c r="BB83" s="5"/>
      <c r="BC83" s="5"/>
      <c r="BD83" s="5"/>
      <c r="BE83" s="5"/>
      <c r="BF83" s="5"/>
      <c r="BG83" s="5"/>
      <c r="BH83" s="5"/>
    </row>
    <row r="84">
      <c r="A84" s="71">
        <v>1.0</v>
      </c>
      <c r="B84" s="102"/>
      <c r="C84" s="157" t="s">
        <v>108</v>
      </c>
      <c r="D84" s="104"/>
      <c r="E84" s="105"/>
      <c r="F84" s="104"/>
      <c r="G84" s="104"/>
      <c r="H84" s="104"/>
      <c r="I84" s="104"/>
      <c r="J84" s="104"/>
      <c r="K84" s="104" t="s">
        <v>42</v>
      </c>
      <c r="L84" s="106">
        <f>Q84</f>
        <v>32.80483229</v>
      </c>
      <c r="M84" s="105" t="s">
        <v>42</v>
      </c>
      <c r="N84" s="107" t="str">
        <f>IFERROR(__xludf.DUMMYFUNCTION("""COMPUTED_VALUE"""),"")</f>
        <v/>
      </c>
      <c r="O84" s="104"/>
      <c r="P84" s="104"/>
      <c r="Q84" s="106">
        <f>Q85</f>
        <v>32.80483229</v>
      </c>
      <c r="R84" s="108"/>
      <c r="S84" s="109">
        <f>T84/Q84</f>
        <v>0</v>
      </c>
      <c r="T84" s="109">
        <f>SUM(S85:S89)</f>
        <v>0</v>
      </c>
      <c r="U84" s="108"/>
      <c r="V84" s="109">
        <f>W84/Q84</f>
        <v>0</v>
      </c>
      <c r="W84" s="110">
        <f>SUM(W85:W89)</f>
        <v>0</v>
      </c>
      <c r="X84" s="111" t="str">
        <f>W84/$AC$176/$W$183/$X$173</f>
        <v>#REF!</v>
      </c>
      <c r="Y84" s="112" t="b">
        <f>(T84+W84)=(SUM(AB85:AB89))</f>
        <v>1</v>
      </c>
      <c r="Z84" s="222">
        <f>(T84+W84)-(SUM(AB85:AB89))</f>
        <v>0</v>
      </c>
      <c r="AA84" s="5"/>
      <c r="AB84" s="5"/>
      <c r="AC84" s="33"/>
      <c r="AD84" s="114">
        <f>W84+T84</f>
        <v>0</v>
      </c>
      <c r="AE84" s="115">
        <f>AD84</f>
        <v>0</v>
      </c>
      <c r="AF84" s="116" t="str">
        <f>AE84/$AE$151</f>
        <v>#REF!</v>
      </c>
      <c r="AG84" s="117" t="str">
        <f>AF84*$AG$158</f>
        <v>#REF!</v>
      </c>
      <c r="AH84" s="118" t="str">
        <f>AF84*$AG$161</f>
        <v>#REF!</v>
      </c>
      <c r="AI84" s="39"/>
      <c r="AJ84" s="119" t="str">
        <f>ROUND(AK84/L84,2)</f>
        <v>#REF!</v>
      </c>
      <c r="AK84" s="119" t="str">
        <f>ROUND(AH84+AG84+AD84,2)</f>
        <v>#REF!</v>
      </c>
      <c r="AL84" s="5"/>
      <c r="AM84" s="135" t="s">
        <v>42</v>
      </c>
      <c r="AN84" s="152"/>
      <c r="AO84" s="135" t="s">
        <v>42</v>
      </c>
      <c r="AP84" s="139"/>
      <c r="AQ84" s="5"/>
      <c r="AR84" s="5"/>
      <c r="AS84" s="5"/>
      <c r="AT84" s="5"/>
      <c r="AU84" s="5"/>
      <c r="AV84" s="5"/>
      <c r="AW84" s="5"/>
      <c r="AX84" s="5"/>
      <c r="AY84" s="5"/>
      <c r="AZ84" s="5"/>
      <c r="BA84" s="5"/>
      <c r="BB84" s="5"/>
      <c r="BC84" s="5"/>
      <c r="BD84" s="5"/>
      <c r="BE84" s="5"/>
      <c r="BF84" s="5"/>
      <c r="BG84" s="5"/>
      <c r="BH84" s="5"/>
    </row>
    <row r="85">
      <c r="A85" s="232"/>
      <c r="B85" s="154" t="str">
        <f>IFERROR(__xludf.DUMMYFUNCTION("IFERROR(
  IF(C85="""","""",
    IF(OR(REGEXMATCH(D85,""(?i)-Flashing""), REGEXMATCH(D85,""(?i)-EavesGut""), REGEXMATCH(D85,""(?i)Valley"")),
        ""DR"" &amp;
        TEXT(
            ROUNDUP(
                MIN(
                    VALUE(MID(C85, FIND("&amp;"""("",C85)+1, FIND(""/"",C85)-FIND(""("",C85)-1)),
                    1200
                ) / 50, 0
            ) * 50, ""0""
        ) &amp;
        MID(C85, FIND(""/"",C85)+1, FIND("")"",C85)-FIND(""/"",C85)-1) &amp;
        TEXT(H85*100,""0"") &amp;
        I85,"&amp;"
    IF(AND(D85=""Roof Sheet"", REGEXMATCH(C85,""(?i)KS\d{4}[A-Z]{2}"")),
       REGEXEXTRACT(C85,""(?i)KS\d{4}[A-Z]{2}""),
    IF(AND(REGEXMATCH(D85,""(?i)-DP""), REGEXMATCH(C85,""(?i)Downpipe"")),
       ""dp"" &amp; REGEXEXTRACT(C85,""(\d+)"") &amp; ""mm"",
  "&amp;"  IF(AND(REGEXMATCH(D85,""(?i)Bracket""), REGEXMATCH(C85,""(?i)Bracket"")),
       ""Brkt"" &amp; REGEXEXTRACT(C85,""(\d+)"") &amp; ""mm"",
    IF(AND(REGEXMATCH(D85,""(?i)-OP""), REGEXMATCH(C85,""(?i)pops"")),
       ""op"" &amp; REGEXEXTRACT(C85,""(\d+)"") &amp; ""mm"""&amp;",
    IF(OR(D85=""R-FFTop"", D85=""R-FFBottom"", D85=""R-FFSide""),
        IF(REGEXMATCH(C85,""(?i)Profiled.*Top|Top.*Profiled""),""pfft"",
        IF(REGEXMATCH(C85,""(?i)Profiled.*Bottom|Bottom.*Profiled""),""pffb"",
        IF(REGEXMATCH(C85,""(?i)Squ"&amp;"are""),""sff"",""""))),
    IF(REGEXMATCH(D85,""(?i)-Rivets""),""Rvt"",
    IF(REGEXMATCH(D85,""(?i)Silicone""),""300ml"",
    IF(REGEXMATCH(D85,""(?i)R-Butyl""),""300ml"",
    IF(REGEXMATCH(D85,""(?i)Fix""),""GenFix"",
    IF(AND(REGEXMATCH(C85,""(?i)Tim"&amp;"ber""), REGEXMATCH(D85,""(?i)Timber"")),""tp"",
    IF(AND(REGEXMATCH(C85,""(?i)Vent G1275""), REGEXMATCH(D85,""(?i)Comb FIller"")),""CFV1275"",
    IF(REGEXMATCH(C85,""(?i)DPC""),""dpc"",
    IF(REGEXMATCH(C85,""(?i)Concealed Clips""),""ConClips"",
    I"&amp;"F(REGEXMATCH(D85,""(?i)-Takeoff ea""),""Takeoff ea"",
    IF(REGEXMATCH(D85,""(?i)-Takeoff LM""),""Takeoff LM"",
    IF(REGEXMATCH(D85,""(?i)-Takeoff m2""),""Takeoff m2"",
    IF(D85=""R-TU/TD"",""TU/TD"","""")))))))))))))))))
  )))"),"DR6003B55Mag")</f>
        <v>DR6003B55Mag</v>
      </c>
      <c r="C85" s="223" t="s">
        <v>112</v>
      </c>
      <c r="D85" s="124" t="s">
        <v>96</v>
      </c>
      <c r="E85" s="168">
        <f>VALUE(MID(C85, FIND("(", C85)+1, FIND("/", C85)-FIND("(", C85)-1)) / 1000</f>
        <v>0.57</v>
      </c>
      <c r="F85" s="126" t="str">
        <f>IFERROR(__xludf.DUMMYFUNCTION("IFERROR(REGEXEXTRACT(C85,""@\s*(\d+)\s*deg"")&amp;""°"","""")
"),"5°")</f>
        <v>5°</v>
      </c>
      <c r="G85" s="129"/>
      <c r="H85" s="128" t="str">
        <f>IFERROR(__xludf.DUMMYFUNCTION("IFERROR(REGEXEXTRACT(C85, ""(\d*\.\d+)mm""), """")"),"0.55")</f>
        <v>0.55</v>
      </c>
      <c r="I85" s="128" t="s">
        <v>97</v>
      </c>
      <c r="J85" s="126" t="s">
        <v>14</v>
      </c>
      <c r="K85" s="126" t="s">
        <v>55</v>
      </c>
      <c r="L85" s="168">
        <v>32.68</v>
      </c>
      <c r="M85" s="150">
        <f>L85</f>
        <v>32.68</v>
      </c>
      <c r="N85" s="215">
        <f>IFERROR(__xludf.DUMMYFUNCTION("""COMPUTED_VALUE"""),1.0038198375433474)</f>
        <v>1.003819838</v>
      </c>
      <c r="O85" s="134">
        <v>1.0</v>
      </c>
      <c r="P85" s="134">
        <v>1.0</v>
      </c>
      <c r="Q85" s="168">
        <f t="shared" ref="Q85:Q89" si="47">M85*N85*O85*P85</f>
        <v>32.80483229</v>
      </c>
      <c r="R85" s="136" t="s">
        <v>42</v>
      </c>
      <c r="S85" s="137">
        <f t="shared" ref="S85:S89" si="48">R85*Q85</f>
        <v>0</v>
      </c>
      <c r="T85" s="138"/>
      <c r="U85" s="136" t="s">
        <v>42</v>
      </c>
      <c r="V85" s="139"/>
      <c r="W85" s="140">
        <f t="shared" ref="W85:W89" si="49">U85*Q85</f>
        <v>0</v>
      </c>
      <c r="X85" s="2"/>
      <c r="Y85" s="5"/>
      <c r="Z85" s="5"/>
      <c r="AA85" s="5"/>
      <c r="AB85" s="180">
        <f t="shared" ref="AB85:AB89" si="50">W85+S85</f>
        <v>0</v>
      </c>
      <c r="AC85" s="33"/>
      <c r="AD85" s="65"/>
      <c r="AE85" s="66"/>
      <c r="AF85" s="144"/>
      <c r="AG85" s="68"/>
      <c r="AH85" s="69"/>
      <c r="AI85" s="39"/>
      <c r="AJ85" s="70"/>
      <c r="AK85" s="70"/>
      <c r="AL85" s="5"/>
      <c r="AM85" s="135">
        <v>32.68</v>
      </c>
      <c r="AN85" s="152" t="s">
        <v>46</v>
      </c>
      <c r="AO85" s="135">
        <v>0.0</v>
      </c>
      <c r="AP85" s="139"/>
      <c r="AQ85" s="5"/>
      <c r="AR85" s="5"/>
      <c r="AS85" s="5"/>
      <c r="AT85" s="5"/>
      <c r="AU85" s="5"/>
      <c r="AV85" s="5"/>
      <c r="AW85" s="5"/>
      <c r="AX85" s="5"/>
      <c r="AY85" s="5"/>
      <c r="AZ85" s="5"/>
      <c r="BA85" s="5"/>
      <c r="BB85" s="5"/>
      <c r="BC85" s="5"/>
      <c r="BD85" s="5"/>
      <c r="BE85" s="5"/>
      <c r="BF85" s="5"/>
      <c r="BG85" s="5"/>
      <c r="BH85" s="5"/>
    </row>
    <row r="86" ht="12.75" customHeight="1">
      <c r="A86" s="232"/>
      <c r="B86" s="154" t="str">
        <f>IFERROR(__xludf.DUMMYFUNCTION("IFERROR(
  IF(C86="""","""",
    IF(OR(REGEXMATCH(D86,""(?i)-Flashing""), REGEXMATCH(D86,""(?i)-EavesGut""), REGEXMATCH(D86,""(?i)Valley"")),
        ""DR"" &amp;
        TEXT(
            ROUNDUP(
                MIN(
                    VALUE(MID(C86, FIND("&amp;"""("",C86)+1, FIND(""/"",C86)-FIND(""("",C86)-1)),
                    1200
                ) / 50, 0
            ) * 50, ""0""
        ) &amp;
        MID(C86, FIND(""/"",C86)+1, FIND("")"",C86)-FIND(""/"",C86)-1) &amp;
        TEXT(H86*100,""0"") &amp;
        I86,"&amp;"
    IF(AND(D86=""Roof Sheet"", REGEXMATCH(C86,""(?i)KS\d{4}[A-Z]{2}"")),
       REGEXEXTRACT(C86,""(?i)KS\d{4}[A-Z]{2}""),
    IF(AND(REGEXMATCH(D86,""(?i)-DP""), REGEXMATCH(C86,""(?i)Downpipe"")),
       ""dp"" &amp; REGEXEXTRACT(C86,""(\d+)"") &amp; ""mm"",
  "&amp;"  IF(AND(REGEXMATCH(D86,""(?i)Bracket""), REGEXMATCH(C86,""(?i)Bracket"")),
       ""Brkt"" &amp; REGEXEXTRACT(C86,""(\d+)"") &amp; ""mm"",
    IF(AND(REGEXMATCH(D86,""(?i)-OP""), REGEXMATCH(C86,""(?i)pops"")),
       ""op"" &amp; REGEXEXTRACT(C86,""(\d+)"") &amp; ""mm"""&amp;",
    IF(OR(D86=""R-FFTop"", D86=""R-FFBottom"", D86=""R-FFSide""),
        IF(REGEXMATCH(C86,""(?i)Profiled.*Top|Top.*Profiled""),""pfft"",
        IF(REGEXMATCH(C86,""(?i)Profiled.*Bottom|Bottom.*Profiled""),""pffb"",
        IF(REGEXMATCH(C86,""(?i)Squ"&amp;"are""),""sff"",""""))),
    IF(REGEXMATCH(D86,""(?i)-Rivets""),""Rvt"",
    IF(REGEXMATCH(D86,""(?i)Silicone""),""300ml"",
    IF(REGEXMATCH(D86,""(?i)R-Butyl""),""300ml"",
    IF(REGEXMATCH(D86,""(?i)Fix""),""GenFix"",
    IF(AND(REGEXMATCH(C86,""(?i)Tim"&amp;"ber""), REGEXMATCH(D86,""(?i)Timber"")),""tp"",
    IF(AND(REGEXMATCH(C86,""(?i)Vent G1275""), REGEXMATCH(D86,""(?i)Comb FIller"")),""CFV1275"",
    IF(REGEXMATCH(C86,""(?i)DPC""),""dpc"",
    IF(REGEXMATCH(C86,""(?i)Concealed Clips""),""ConClips"",
    I"&amp;"F(REGEXMATCH(D86,""(?i)-Takeoff ea""),""Takeoff ea"",
    IF(REGEXMATCH(D86,""(?i)-Takeoff LM""),""Takeoff LM"",
    IF(REGEXMATCH(D86,""(?i)-Takeoff m2""),""Takeoff m2"",
    IF(D86=""R-TU/TD"",""TU/TD"","""")))))))))))))))))
  )))"),"300ml")</f>
        <v>300ml</v>
      </c>
      <c r="C86" s="225" t="s">
        <v>98</v>
      </c>
      <c r="D86" s="124" t="s">
        <v>99</v>
      </c>
      <c r="E86" s="168">
        <f t="shared" ref="E86:F86" si="46">E85</f>
        <v>0.57</v>
      </c>
      <c r="F86" s="168" t="str">
        <f t="shared" si="46"/>
        <v>5°</v>
      </c>
      <c r="G86" s="129"/>
      <c r="H86" s="127"/>
      <c r="I86" s="127"/>
      <c r="J86" s="126" t="s">
        <v>87</v>
      </c>
      <c r="K86" s="126" t="s">
        <v>52</v>
      </c>
      <c r="L86" s="168">
        <f>M85</f>
        <v>32.68</v>
      </c>
      <c r="M86" s="150">
        <f>(ROUNDDOWN((M85/5.7)+2,0)*E86)/8</f>
        <v>0.49875</v>
      </c>
      <c r="N86" s="215">
        <f>IFERROR(__xludf.DUMMYFUNCTION("""COMPUTED_VALUE"""),1.0038198375433474)</f>
        <v>1.003819838</v>
      </c>
      <c r="O86" s="134">
        <v>1.0</v>
      </c>
      <c r="P86" s="134">
        <v>1.0</v>
      </c>
      <c r="Q86" s="168">
        <f t="shared" si="47"/>
        <v>0.500655144</v>
      </c>
      <c r="R86" s="136" t="s">
        <v>42</v>
      </c>
      <c r="S86" s="137">
        <f t="shared" si="48"/>
        <v>0</v>
      </c>
      <c r="T86" s="138"/>
      <c r="U86" s="108" t="s">
        <v>42</v>
      </c>
      <c r="V86" s="139"/>
      <c r="W86" s="140">
        <f t="shared" si="49"/>
        <v>0</v>
      </c>
      <c r="X86" s="2"/>
      <c r="Y86" s="5"/>
      <c r="Z86" s="5"/>
      <c r="AA86" s="5"/>
      <c r="AB86" s="180">
        <f t="shared" si="50"/>
        <v>0</v>
      </c>
      <c r="AC86" s="33"/>
      <c r="AD86" s="65"/>
      <c r="AE86" s="66"/>
      <c r="AF86" s="144"/>
      <c r="AG86" s="68"/>
      <c r="AH86" s="69"/>
      <c r="AI86" s="39"/>
      <c r="AJ86" s="70"/>
      <c r="AK86" s="70"/>
      <c r="AL86" s="5"/>
      <c r="AM86" s="135">
        <v>0.49874999999999997</v>
      </c>
      <c r="AN86" s="152" t="s">
        <v>46</v>
      </c>
      <c r="AO86" s="135">
        <v>0.0</v>
      </c>
      <c r="AP86" s="139"/>
      <c r="AQ86" s="5"/>
      <c r="AR86" s="5"/>
      <c r="AS86" s="5"/>
      <c r="AT86" s="5"/>
      <c r="AU86" s="5"/>
      <c r="AV86" s="5"/>
      <c r="AW86" s="5"/>
      <c r="AX86" s="5"/>
      <c r="AY86" s="5"/>
      <c r="AZ86" s="5"/>
      <c r="BA86" s="5"/>
      <c r="BB86" s="5"/>
      <c r="BC86" s="5"/>
      <c r="BD86" s="5"/>
      <c r="BE86" s="5"/>
      <c r="BF86" s="5"/>
      <c r="BG86" s="5"/>
      <c r="BH86" s="5"/>
    </row>
    <row r="87" ht="12.75" customHeight="1">
      <c r="A87" s="232"/>
      <c r="B87" s="154" t="str">
        <f>IFERROR(__xludf.DUMMYFUNCTION("IFERROR(
  IF(C87="""","""",
    IF(OR(REGEXMATCH(D87,""(?i)-Flashing""), REGEXMATCH(D87,""(?i)-EavesGut""), REGEXMATCH(D87,""(?i)Valley"")),
        ""DR"" &amp;
        TEXT(
            ROUNDUP(
                MIN(
                    VALUE(MID(C87, FIND("&amp;"""("",C87)+1, FIND(""/"",C87)-FIND(""("",C87)-1)),
                    1200
                ) / 50, 0
            ) * 50, ""0""
        ) &amp;
        MID(C87, FIND(""/"",C87)+1, FIND("")"",C87)-FIND(""/"",C87)-1) &amp;
        TEXT(H87*100,""0"") &amp;
        I87,"&amp;"
    IF(AND(D87=""Roof Sheet"", REGEXMATCH(C87,""(?i)KS\d{4}[A-Z]{2}"")),
       REGEXEXTRACT(C87,""(?i)KS\d{4}[A-Z]{2}""),
    IF(AND(REGEXMATCH(D87,""(?i)-DP""), REGEXMATCH(C87,""(?i)Downpipe"")),
       ""dp"" &amp; REGEXEXTRACT(C87,""(\d+)"") &amp; ""mm"",
  "&amp;"  IF(AND(REGEXMATCH(D87,""(?i)Bracket""), REGEXMATCH(C87,""(?i)Bracket"")),
       ""Brkt"" &amp; REGEXEXTRACT(C87,""(\d+)"") &amp; ""mm"",
    IF(AND(REGEXMATCH(D87,""(?i)-OP""), REGEXMATCH(C87,""(?i)pops"")),
       ""op"" &amp; REGEXEXTRACT(C87,""(\d+)"") &amp; ""mm"""&amp;",
    IF(OR(D87=""R-FFTop"", D87=""R-FFBottom"", D87=""R-FFSide""),
        IF(REGEXMATCH(C87,""(?i)Profiled.*Top|Top.*Profiled""),""pfft"",
        IF(REGEXMATCH(C87,""(?i)Profiled.*Bottom|Bottom.*Profiled""),""pffb"",
        IF(REGEXMATCH(C87,""(?i)Squ"&amp;"are""),""sff"",""""))),
    IF(REGEXMATCH(D87,""(?i)-Rivets""),""Rvt"",
    IF(REGEXMATCH(D87,""(?i)Silicone""),""300ml"",
    IF(REGEXMATCH(D87,""(?i)R-Butyl""),""300ml"",
    IF(REGEXMATCH(D87,""(?i)Fix""),""GenFix"",
    IF(AND(REGEXMATCH(C87,""(?i)Tim"&amp;"ber""), REGEXMATCH(D87,""(?i)Timber"")),""tp"",
    IF(AND(REGEXMATCH(C87,""(?i)Vent G1275""), REGEXMATCH(D87,""(?i)Comb FIller"")),""CFV1275"",
    IF(REGEXMATCH(C87,""(?i)DPC""),""dpc"",
    IF(REGEXMATCH(C87,""(?i)Concealed Clips""),""ConClips"",
    I"&amp;"F(REGEXMATCH(D87,""(?i)-Takeoff ea""),""Takeoff ea"",
    IF(REGEXMATCH(D87,""(?i)-Takeoff LM""),""Takeoff LM"",
    IF(REGEXMATCH(D87,""(?i)-Takeoff m2""),""Takeoff m2"",
    IF(D87=""R-TU/TD"",""TU/TD"","""")))))))))))))))))
  )))"),"Rvt")</f>
        <v>Rvt</v>
      </c>
      <c r="C87" s="225" t="s">
        <v>100</v>
      </c>
      <c r="D87" s="124" t="s">
        <v>101</v>
      </c>
      <c r="E87" s="168">
        <f>E85</f>
        <v>0.57</v>
      </c>
      <c r="F87" s="168" t="str">
        <f t="shared" ref="F87:F89" si="51">F86</f>
        <v>5°</v>
      </c>
      <c r="G87" s="129"/>
      <c r="H87" s="127"/>
      <c r="I87" s="127"/>
      <c r="J87" s="126" t="s">
        <v>87</v>
      </c>
      <c r="K87" s="126" t="s">
        <v>52</v>
      </c>
      <c r="L87" s="168">
        <f>M85</f>
        <v>32.68</v>
      </c>
      <c r="M87" s="150">
        <f>ROUNDUP(((M85/5.7)+1)*(E87/0.05),0)</f>
        <v>77</v>
      </c>
      <c r="N87" s="215">
        <f>IFERROR(__xludf.DUMMYFUNCTION("""COMPUTED_VALUE"""),1.0038198375433474)</f>
        <v>1.003819838</v>
      </c>
      <c r="O87" s="134">
        <v>1.0</v>
      </c>
      <c r="P87" s="134">
        <v>1.0</v>
      </c>
      <c r="Q87" s="168">
        <f t="shared" si="47"/>
        <v>77.29412749</v>
      </c>
      <c r="R87" s="136" t="s">
        <v>42</v>
      </c>
      <c r="S87" s="137">
        <f t="shared" si="48"/>
        <v>0</v>
      </c>
      <c r="T87" s="138"/>
      <c r="U87" s="108" t="s">
        <v>42</v>
      </c>
      <c r="V87" s="139"/>
      <c r="W87" s="140">
        <f t="shared" si="49"/>
        <v>0</v>
      </c>
      <c r="X87" s="2"/>
      <c r="Y87" s="5"/>
      <c r="Z87" s="5"/>
      <c r="AA87" s="5"/>
      <c r="AB87" s="180">
        <f t="shared" si="50"/>
        <v>0</v>
      </c>
      <c r="AC87" s="33"/>
      <c r="AD87" s="65"/>
      <c r="AE87" s="66"/>
      <c r="AF87" s="144"/>
      <c r="AG87" s="68"/>
      <c r="AH87" s="69"/>
      <c r="AI87" s="39"/>
      <c r="AJ87" s="70"/>
      <c r="AK87" s="70"/>
      <c r="AL87" s="5"/>
      <c r="AM87" s="135">
        <v>77.0</v>
      </c>
      <c r="AN87" s="152" t="s">
        <v>46</v>
      </c>
      <c r="AO87" s="135">
        <v>0.0</v>
      </c>
      <c r="AP87" s="139"/>
      <c r="AQ87" s="5"/>
      <c r="AR87" s="5"/>
      <c r="AS87" s="5"/>
      <c r="AT87" s="5"/>
      <c r="AU87" s="5"/>
      <c r="AV87" s="5"/>
      <c r="AW87" s="5"/>
      <c r="AX87" s="5"/>
      <c r="AY87" s="5"/>
      <c r="AZ87" s="5"/>
      <c r="BA87" s="5"/>
      <c r="BB87" s="5"/>
      <c r="BC87" s="5"/>
      <c r="BD87" s="5"/>
      <c r="BE87" s="5"/>
      <c r="BF87" s="5"/>
      <c r="BG87" s="5"/>
      <c r="BH87" s="5"/>
    </row>
    <row r="88" ht="12.75" customHeight="1">
      <c r="A88" s="232"/>
      <c r="B88" s="154" t="str">
        <f>IFERROR(__xludf.DUMMYFUNCTION("IFERROR(
  IF(C88="""","""",
    IF(OR(REGEXMATCH(D88,""(?i)-Flashing""), REGEXMATCH(D88,""(?i)-EavesGut""), REGEXMATCH(D88,""(?i)Valley"")),
        ""DR"" &amp;
        TEXT(
            ROUNDUP(
                MIN(
                    VALUE(MID(C88, FIND("&amp;"""("",C88)+1, FIND(""/"",C88)-FIND(""("",C88)-1)),
                    1200
                ) / 50, 0
            ) * 50, ""0""
        ) &amp;
        MID(C88, FIND(""/"",C88)+1, FIND("")"",C88)-FIND(""/"",C88)-1) &amp;
        TEXT(H88*100,""0"") &amp;
        I88,"&amp;"
    IF(AND(D88=""Roof Sheet"", REGEXMATCH(C88,""(?i)KS\d{4}[A-Z]{2}"")),
       REGEXEXTRACT(C88,""(?i)KS\d{4}[A-Z]{2}""),
    IF(AND(REGEXMATCH(D88,""(?i)-DP""), REGEXMATCH(C88,""(?i)Downpipe"")),
       ""dp"" &amp; REGEXEXTRACT(C88,""(\d+)"") &amp; ""mm"",
  "&amp;"  IF(AND(REGEXMATCH(D88,""(?i)Bracket""), REGEXMATCH(C88,""(?i)Bracket"")),
       ""Brkt"" &amp; REGEXEXTRACT(C88,""(\d+)"") &amp; ""mm"",
    IF(AND(REGEXMATCH(D88,""(?i)-OP""), REGEXMATCH(C88,""(?i)pops"")),
       ""op"" &amp; REGEXEXTRACT(C88,""(\d+)"") &amp; ""mm"""&amp;",
    IF(OR(D88=""R-FFTop"", D88=""R-FFBottom"", D88=""R-FFSide""),
        IF(REGEXMATCH(C88,""(?i)Profiled.*Top|Top.*Profiled""),""pfft"",
        IF(REGEXMATCH(C88,""(?i)Profiled.*Bottom|Bottom.*Profiled""),""pffb"",
        IF(REGEXMATCH(C88,""(?i)Squ"&amp;"are""),""sff"",""""))),
    IF(REGEXMATCH(D88,""(?i)-Rivets""),""Rvt"",
    IF(REGEXMATCH(D88,""(?i)Silicone""),""300ml"",
    IF(REGEXMATCH(D88,""(?i)R-Butyl""),""300ml"",
    IF(REGEXMATCH(D88,""(?i)Fix""),""GenFix"",
    IF(AND(REGEXMATCH(C88,""(?i)Tim"&amp;"ber""), REGEXMATCH(D88,""(?i)Timber"")),""tp"",
    IF(AND(REGEXMATCH(C88,""(?i)Vent G1275""), REGEXMATCH(D88,""(?i)Comb FIller"")),""CFV1275"",
    IF(REGEXMATCH(C88,""(?i)DPC""),""dpc"",
    IF(REGEXMATCH(C88,""(?i)Concealed Clips""),""ConClips"",
    I"&amp;"F(REGEXMATCH(D88,""(?i)-Takeoff ea""),""Takeoff ea"",
    IF(REGEXMATCH(D88,""(?i)-Takeoff LM""),""Takeoff LM"",
    IF(REGEXMATCH(D88,""(?i)-Takeoff m2""),""Takeoff m2"",
    IF(D88=""R-TU/TD"",""TU/TD"","""")))))))))))))))))
  )))"),"GenFix")</f>
        <v>GenFix</v>
      </c>
      <c r="C88" s="158" t="s">
        <v>102</v>
      </c>
      <c r="D88" s="124" t="s">
        <v>103</v>
      </c>
      <c r="E88" s="161"/>
      <c r="F88" s="168" t="str">
        <f t="shared" si="51"/>
        <v>5°</v>
      </c>
      <c r="G88" s="129"/>
      <c r="H88" s="127"/>
      <c r="I88" s="127"/>
      <c r="J88" s="126" t="s">
        <v>87</v>
      </c>
      <c r="K88" s="126" t="s">
        <v>52</v>
      </c>
      <c r="L88" s="168">
        <f>M85</f>
        <v>32.68</v>
      </c>
      <c r="M88" s="150">
        <f>ROUNDUP(M85/0.6,0)+1</f>
        <v>56</v>
      </c>
      <c r="N88" s="215">
        <f>IFERROR(__xludf.DUMMYFUNCTION("""COMPUTED_VALUE"""),1.0038198375433474)</f>
        <v>1.003819838</v>
      </c>
      <c r="O88" s="134">
        <v>1.0</v>
      </c>
      <c r="P88" s="134">
        <v>1.0</v>
      </c>
      <c r="Q88" s="168">
        <f t="shared" si="47"/>
        <v>56.2139109</v>
      </c>
      <c r="R88" s="136" t="s">
        <v>42</v>
      </c>
      <c r="S88" s="137">
        <f t="shared" si="48"/>
        <v>0</v>
      </c>
      <c r="T88" s="138"/>
      <c r="U88" s="108" t="s">
        <v>42</v>
      </c>
      <c r="V88" s="139"/>
      <c r="W88" s="140">
        <f t="shared" si="49"/>
        <v>0</v>
      </c>
      <c r="X88" s="2"/>
      <c r="Y88" s="5"/>
      <c r="Z88" s="5"/>
      <c r="AA88" s="5"/>
      <c r="AB88" s="180">
        <f t="shared" si="50"/>
        <v>0</v>
      </c>
      <c r="AC88" s="33"/>
      <c r="AD88" s="65"/>
      <c r="AE88" s="66"/>
      <c r="AF88" s="144"/>
      <c r="AG88" s="68"/>
      <c r="AH88" s="69"/>
      <c r="AI88" s="39"/>
      <c r="AJ88" s="70"/>
      <c r="AK88" s="70"/>
      <c r="AL88" s="5"/>
      <c r="AM88" s="135">
        <v>56.0</v>
      </c>
      <c r="AN88" s="152" t="s">
        <v>46</v>
      </c>
      <c r="AO88" s="135">
        <v>0.0</v>
      </c>
      <c r="AP88" s="139"/>
      <c r="AQ88" s="5"/>
      <c r="AR88" s="5"/>
      <c r="AS88" s="5"/>
      <c r="AT88" s="5"/>
      <c r="AU88" s="5"/>
      <c r="AV88" s="5"/>
      <c r="AW88" s="5"/>
      <c r="AX88" s="5"/>
      <c r="AY88" s="5"/>
      <c r="AZ88" s="5"/>
      <c r="BA88" s="5"/>
      <c r="BB88" s="5"/>
      <c r="BC88" s="5"/>
      <c r="BD88" s="5"/>
      <c r="BE88" s="5"/>
      <c r="BF88" s="5"/>
      <c r="BG88" s="5"/>
      <c r="BH88" s="5"/>
    </row>
    <row r="89" ht="12.75" customHeight="1">
      <c r="A89" s="232"/>
      <c r="B89" s="154" t="str">
        <f>IFERROR(__xludf.DUMMYFUNCTION("IFERROR(
  IF(C89="""","""",
    IF(OR(REGEXMATCH(D89,""(?i)-Flashing""), REGEXMATCH(D89,""(?i)-EavesGut""), REGEXMATCH(D89,""(?i)Valley"")),
        ""DR"" &amp;
        TEXT(
            ROUNDUP(
                MIN(
                    VALUE(MID(C89, FIND("&amp;"""("",C89)+1, FIND(""/"",C89)-FIND(""("",C89)-1)),
                    1200
                ) / 50, 0
            ) * 50, ""0""
        ) &amp;
        MID(C89, FIND(""/"",C89)+1, FIND("")"",C89)-FIND(""/"",C89)-1) &amp;
        TEXT(H89*100,""0"") &amp;
        I89,"&amp;"
    IF(AND(D89=""Roof Sheet"", REGEXMATCH(C89,""(?i)KS\d{4}[A-Z]{2}"")),
       REGEXEXTRACT(C89,""(?i)KS\d{4}[A-Z]{2}""),
    IF(AND(REGEXMATCH(D89,""(?i)-DP""), REGEXMATCH(C89,""(?i)Downpipe"")),
       ""dp"" &amp; REGEXEXTRACT(C89,""(\d+)"") &amp; ""mm"",
  "&amp;"  IF(AND(REGEXMATCH(D89,""(?i)Bracket""), REGEXMATCH(C89,""(?i)Bracket"")),
       ""Brkt"" &amp; REGEXEXTRACT(C89,""(\d+)"") &amp; ""mm"",
    IF(AND(REGEXMATCH(D89,""(?i)-OP""), REGEXMATCH(C89,""(?i)pops"")),
       ""op"" &amp; REGEXEXTRACT(C89,""(\d+)"") &amp; ""mm"""&amp;",
    IF(OR(D89=""R-FFTop"", D89=""R-FFBottom"", D89=""R-FFSide""),
        IF(REGEXMATCH(C89,""(?i)Profiled.*Top|Top.*Profiled""),""pfft"",
        IF(REGEXMATCH(C89,""(?i)Profiled.*Bottom|Bottom.*Profiled""),""pffb"",
        IF(REGEXMATCH(C89,""(?i)Squ"&amp;"are""),""sff"",""""))),
    IF(REGEXMATCH(D89,""(?i)-Rivets""),""Rvt"",
    IF(REGEXMATCH(D89,""(?i)Silicone""),""300ml"",
    IF(REGEXMATCH(D89,""(?i)R-Butyl""),""300ml"",
    IF(REGEXMATCH(D89,""(?i)Fix""),""GenFix"",
    IF(AND(REGEXMATCH(C89,""(?i)Tim"&amp;"ber""), REGEXMATCH(D89,""(?i)Timber"")),""tp"",
    IF(AND(REGEXMATCH(C89,""(?i)Vent G1275""), REGEXMATCH(D89,""(?i)Comb FIller"")),""CFV1275"",
    IF(REGEXMATCH(C89,""(?i)DPC""),""dpc"",
    IF(REGEXMATCH(C89,""(?i)Concealed Clips""),""ConClips"",
    I"&amp;"F(REGEXMATCH(D89,""(?i)-Takeoff ea""),""Takeoff ea"",
    IF(REGEXMATCH(D89,""(?i)-Takeoff LM""),""Takeoff LM"",
    IF(REGEXMATCH(D89,""(?i)-Takeoff m2""),""Takeoff m2"",
    IF(D89=""R-TU/TD"",""TU/TD"","""")))))))))))))))))
  )))"),"sff")</f>
        <v>sff</v>
      </c>
      <c r="C89" s="158" t="s">
        <v>110</v>
      </c>
      <c r="D89" s="124" t="s">
        <v>111</v>
      </c>
      <c r="E89" s="161"/>
      <c r="F89" s="168" t="str">
        <f t="shared" si="51"/>
        <v>5°</v>
      </c>
      <c r="G89" s="129"/>
      <c r="H89" s="127"/>
      <c r="I89" s="127"/>
      <c r="J89" s="126" t="s">
        <v>87</v>
      </c>
      <c r="K89" s="126" t="s">
        <v>55</v>
      </c>
      <c r="L89" s="168">
        <f>M85</f>
        <v>32.68</v>
      </c>
      <c r="M89" s="150">
        <f>M85</f>
        <v>32.68</v>
      </c>
      <c r="N89" s="215">
        <f>IFERROR(__xludf.DUMMYFUNCTION("""COMPUTED_VALUE"""),1.0038198375433474)</f>
        <v>1.003819838</v>
      </c>
      <c r="O89" s="134">
        <v>1.0</v>
      </c>
      <c r="P89" s="134">
        <v>1.0</v>
      </c>
      <c r="Q89" s="168">
        <f t="shared" si="47"/>
        <v>32.80483229</v>
      </c>
      <c r="R89" s="136" t="s">
        <v>42</v>
      </c>
      <c r="S89" s="137">
        <f t="shared" si="48"/>
        <v>0</v>
      </c>
      <c r="T89" s="138"/>
      <c r="U89" s="136" t="s">
        <v>42</v>
      </c>
      <c r="V89" s="139"/>
      <c r="W89" s="140">
        <f t="shared" si="49"/>
        <v>0</v>
      </c>
      <c r="X89" s="2"/>
      <c r="Y89" s="5"/>
      <c r="Z89" s="5"/>
      <c r="AA89" s="5"/>
      <c r="AB89" s="180">
        <f t="shared" si="50"/>
        <v>0</v>
      </c>
      <c r="AC89" s="33"/>
      <c r="AD89" s="65"/>
      <c r="AE89" s="66"/>
      <c r="AF89" s="144"/>
      <c r="AG89" s="68"/>
      <c r="AH89" s="69"/>
      <c r="AI89" s="39"/>
      <c r="AJ89" s="70"/>
      <c r="AK89" s="70"/>
      <c r="AL89" s="5"/>
      <c r="AM89" s="135">
        <v>32.68</v>
      </c>
      <c r="AN89" s="152" t="s">
        <v>46</v>
      </c>
      <c r="AO89" s="135">
        <v>0.0</v>
      </c>
      <c r="AP89" s="139"/>
      <c r="AQ89" s="5"/>
      <c r="AR89" s="5"/>
      <c r="AS89" s="5"/>
      <c r="AT89" s="5"/>
      <c r="AU89" s="5"/>
      <c r="AV89" s="5"/>
      <c r="AW89" s="5"/>
      <c r="AX89" s="5"/>
      <c r="AY89" s="5"/>
      <c r="AZ89" s="5"/>
      <c r="BA89" s="5"/>
      <c r="BB89" s="5"/>
      <c r="BC89" s="5"/>
      <c r="BD89" s="5"/>
      <c r="BE89" s="5"/>
      <c r="BF89" s="5"/>
      <c r="BG89" s="5"/>
      <c r="BH89" s="5"/>
    </row>
    <row r="90" ht="12.75" customHeight="1">
      <c r="A90" s="232"/>
      <c r="B90" s="160"/>
      <c r="C90" s="127"/>
      <c r="D90" s="129"/>
      <c r="E90" s="161"/>
      <c r="F90" s="127"/>
      <c r="G90" s="127"/>
      <c r="H90" s="127"/>
      <c r="I90" s="127"/>
      <c r="J90" s="129"/>
      <c r="K90" s="127" t="s">
        <v>42</v>
      </c>
      <c r="L90" s="168"/>
      <c r="M90" s="150" t="s">
        <v>42</v>
      </c>
      <c r="N90" s="162" t="str">
        <f>IFERROR(__xludf.DUMMYFUNCTION("""COMPUTED_VALUE"""),"")</f>
        <v/>
      </c>
      <c r="O90" s="127"/>
      <c r="P90" s="127"/>
      <c r="Q90" s="161"/>
      <c r="R90" s="108"/>
      <c r="S90" s="139"/>
      <c r="T90" s="138"/>
      <c r="U90" s="108"/>
      <c r="V90" s="139"/>
      <c r="W90" s="164"/>
      <c r="X90" s="2"/>
      <c r="Y90" s="5"/>
      <c r="Z90" s="5"/>
      <c r="AA90" s="5"/>
      <c r="AB90" s="5"/>
      <c r="AC90" s="33"/>
      <c r="AD90" s="226"/>
      <c r="AE90" s="227"/>
      <c r="AF90" s="228"/>
      <c r="AG90" s="229"/>
      <c r="AH90" s="230"/>
      <c r="AI90" s="39"/>
      <c r="AJ90" s="231"/>
      <c r="AK90" s="231"/>
      <c r="AL90" s="5"/>
      <c r="AM90" s="135" t="s">
        <v>42</v>
      </c>
      <c r="AN90" s="152"/>
      <c r="AO90" s="135" t="s">
        <v>42</v>
      </c>
      <c r="AP90" s="139"/>
      <c r="AQ90" s="5"/>
      <c r="AR90" s="5"/>
      <c r="AS90" s="5"/>
      <c r="AT90" s="5"/>
      <c r="AU90" s="5"/>
      <c r="AV90" s="5"/>
      <c r="AW90" s="5"/>
      <c r="AX90" s="5"/>
      <c r="AY90" s="5"/>
      <c r="AZ90" s="5"/>
      <c r="BA90" s="5"/>
      <c r="BB90" s="5"/>
      <c r="BC90" s="5"/>
      <c r="BD90" s="5"/>
      <c r="BE90" s="5"/>
      <c r="BF90" s="5"/>
      <c r="BG90" s="5"/>
      <c r="BH90" s="5"/>
    </row>
    <row r="91">
      <c r="A91" s="71">
        <v>1.0</v>
      </c>
      <c r="B91" s="190"/>
      <c r="C91" s="191" t="s">
        <v>113</v>
      </c>
      <c r="D91" s="192"/>
      <c r="E91" s="193"/>
      <c r="F91" s="192"/>
      <c r="G91" s="192"/>
      <c r="H91" s="194"/>
      <c r="I91" s="194"/>
      <c r="J91" s="194"/>
      <c r="K91" s="194" t="s">
        <v>42</v>
      </c>
      <c r="L91" s="195">
        <f>Q91</f>
        <v>112.78</v>
      </c>
      <c r="M91" s="196" t="s">
        <v>42</v>
      </c>
      <c r="N91" s="197" t="str">
        <f>IFERROR(__xludf.DUMMYFUNCTION("""COMPUTED_VALUE"""),"")</f>
        <v/>
      </c>
      <c r="O91" s="194"/>
      <c r="P91" s="194"/>
      <c r="Q91" s="195">
        <f>Q92</f>
        <v>112.78</v>
      </c>
      <c r="R91" s="136"/>
      <c r="S91" s="198">
        <f>T91/Q91</f>
        <v>0</v>
      </c>
      <c r="T91" s="198">
        <f>SUM(S92:S95)</f>
        <v>0</v>
      </c>
      <c r="U91" s="136"/>
      <c r="V91" s="198">
        <f>W91/Q91</f>
        <v>0</v>
      </c>
      <c r="W91" s="199">
        <f>SUM(W92:W95)</f>
        <v>0</v>
      </c>
      <c r="X91" s="111" t="str">
        <f>W91/$AC$176/$W$183/$X$173</f>
        <v>#REF!</v>
      </c>
      <c r="Y91" s="200" t="b">
        <f>(T91+W91)=(SUM(AB92:AB95))</f>
        <v>1</v>
      </c>
      <c r="Z91" s="180">
        <f>(T91+W91)-(SUM(AB92:AB95))</f>
        <v>0</v>
      </c>
      <c r="AA91" s="180"/>
      <c r="AB91" s="180"/>
      <c r="AC91" s="181"/>
      <c r="AD91" s="114">
        <f>W91+T91</f>
        <v>0</v>
      </c>
      <c r="AE91" s="115">
        <f>AD91</f>
        <v>0</v>
      </c>
      <c r="AF91" s="116" t="str">
        <f>AE91/$AE$151</f>
        <v>#REF!</v>
      </c>
      <c r="AG91" s="117" t="str">
        <f>AF91*$AG$158</f>
        <v>#REF!</v>
      </c>
      <c r="AH91" s="118" t="str">
        <f>AF91*$AG$161</f>
        <v>#REF!</v>
      </c>
      <c r="AI91" s="39"/>
      <c r="AJ91" s="119" t="str">
        <f>ROUND(AK91/L91,2)</f>
        <v>#REF!</v>
      </c>
      <c r="AK91" s="119" t="str">
        <f>ROUND(AH91+AG91+AD91,2)</f>
        <v>#REF!</v>
      </c>
      <c r="AL91" s="180"/>
      <c r="AM91" s="135" t="s">
        <v>42</v>
      </c>
      <c r="AN91" s="152"/>
      <c r="AO91" s="135" t="s">
        <v>42</v>
      </c>
      <c r="AP91" s="139"/>
      <c r="AQ91" s="189"/>
      <c r="AR91" s="189"/>
      <c r="AS91" s="180"/>
      <c r="AT91" s="180"/>
      <c r="AU91" s="180"/>
      <c r="AV91" s="180"/>
      <c r="AW91" s="180"/>
      <c r="AX91" s="180"/>
      <c r="AY91" s="180"/>
      <c r="AZ91" s="180"/>
      <c r="BA91" s="180"/>
      <c r="BB91" s="180"/>
      <c r="BC91" s="180"/>
      <c r="BD91" s="180"/>
      <c r="BE91" s="180"/>
      <c r="BF91" s="180"/>
      <c r="BG91" s="180"/>
      <c r="BH91" s="180"/>
    </row>
    <row r="92" ht="12.75" customHeight="1">
      <c r="A92" s="71"/>
      <c r="B92" s="154" t="str">
        <f>IFERROR(__xludf.DUMMYFUNCTION("IFERROR(
  IF(C92="""","""",
    IF(OR(REGEXMATCH(D92,""(?i)-Flashing""), REGEXMATCH(D92,""(?i)-EavesGut""), REGEXMATCH(D92,""(?i)Valley"")),
        ""DR"" &amp;
        TEXT(
            ROUNDUP(
                MIN(
                    VALUE(MID(C92, FIND("&amp;"""("",C92)+1, FIND(""/"",C92)-FIND(""("",C92)-1)),
                    1200
                ) / 50, 0
            ) * 50, ""0""
        ) &amp;
        MID(C92, FIND(""/"",C92)+1, FIND("")"",C92)-FIND(""/"",C92)-1) &amp;
        TEXT(H92*100,""0"") &amp;
        I92,"&amp;"
    IF(AND(D92=""Roof Sheet"", REGEXMATCH(C92,""(?i)KS\d{4}[A-Z]{2}"")),
       REGEXEXTRACT(C92,""(?i)KS\d{4}[A-Z]{2}""),
    IF(AND(REGEXMATCH(D92,""(?i)-DP""), REGEXMATCH(C92,""(?i)Downpipe"")),
       ""dp"" &amp; REGEXEXTRACT(C92,""(\d+)"") &amp; ""mm"",
  "&amp;"  IF(AND(REGEXMATCH(D92,""(?i)Bracket""), REGEXMATCH(C92,""(?i)Bracket"")),
       ""Brkt"" &amp; REGEXEXTRACT(C92,""(\d+)"") &amp; ""mm"",
    IF(AND(REGEXMATCH(D92,""(?i)-OP""), REGEXMATCH(C92,""(?i)pops"")),
       ""op"" &amp; REGEXEXTRACT(C92,""(\d+)"") &amp; ""mm"""&amp;",
    IF(OR(D92=""R-FFTop"", D92=""R-FFBottom"", D92=""R-FFSide""),
        IF(REGEXMATCH(C92,""(?i)Profiled.*Top|Top.*Profiled""),""pfft"",
        IF(REGEXMATCH(C92,""(?i)Profiled.*Bottom|Bottom.*Profiled""),""pffb"",
        IF(REGEXMATCH(C92,""(?i)Squ"&amp;"are""),""sff"",""""))),
    IF(REGEXMATCH(D92,""(?i)-Rivets""),""Rvt"",
    IF(REGEXMATCH(D92,""(?i)Silicone""),""300ml"",
    IF(REGEXMATCH(D92,""(?i)R-Butyl""),""300ml"",
    IF(REGEXMATCH(D92,""(?i)Fix""),""GenFix"",
    IF(AND(REGEXMATCH(C92,""(?i)Tim"&amp;"ber""), REGEXMATCH(D92,""(?i)Timber"")),""tp"",
    IF(AND(REGEXMATCH(C92,""(?i)Vent G1275""), REGEXMATCH(D92,""(?i)Comb FIller"")),""CFV1275"",
    IF(REGEXMATCH(C92,""(?i)DPC""),""dpc"",
    IF(REGEXMATCH(C92,""(?i)Concealed Clips""),""ConClips"",
    I"&amp;"F(REGEXMATCH(D92,""(?i)-Takeoff ea""),""Takeoff ea"",
    IF(REGEXMATCH(D92,""(?i)-Takeoff LM""),""Takeoff LM"",
    IF(REGEXMATCH(D92,""(?i)-Takeoff m2""),""Takeoff m2"",
    IF(D92=""R-TU/TD"",""TU/TD"","""")))))))))))))))))
  )))"),"DR7508B55Mag")</f>
        <v>DR7508B55Mag</v>
      </c>
      <c r="C92" s="201" t="s">
        <v>114</v>
      </c>
      <c r="D92" s="202" t="s">
        <v>96</v>
      </c>
      <c r="E92" s="203">
        <f>VALUE(MID(C92, FIND("(", C92)+1, FIND("/", C92)-FIND("(", C92)-1)) / 1000</f>
        <v>0.71</v>
      </c>
      <c r="F92" s="218" t="str">
        <f>IFERROR(__xludf.DUMMYFUNCTION("IFERROR(REGEXEXTRACT(C92,""@\s*(\d+)\s*deg"")&amp;""°"","""")
"),"")</f>
        <v/>
      </c>
      <c r="G92" s="204"/>
      <c r="H92" s="204" t="str">
        <f>IFERROR(__xludf.DUMMYFUNCTION("IFERROR(REGEXEXTRACT(C92, ""(\d*\.\d+)mm""), """")"),"0.55")</f>
        <v>0.55</v>
      </c>
      <c r="I92" s="204" t="s">
        <v>97</v>
      </c>
      <c r="J92" s="126" t="s">
        <v>14</v>
      </c>
      <c r="K92" s="205" t="s">
        <v>55</v>
      </c>
      <c r="L92" s="206">
        <f>L105</f>
        <v>112.78</v>
      </c>
      <c r="M92" s="150">
        <f>L92</f>
        <v>112.78</v>
      </c>
      <c r="N92" s="207">
        <f>IFERROR(__xludf.DUMMYFUNCTION("""COMPUTED_VALUE"""),1.0)</f>
        <v>1</v>
      </c>
      <c r="O92" s="208">
        <v>1.0</v>
      </c>
      <c r="P92" s="208">
        <v>1.0</v>
      </c>
      <c r="Q92" s="203">
        <f t="shared" ref="Q92:Q95" si="53">M92*N92*O92*P92</f>
        <v>112.78</v>
      </c>
      <c r="R92" s="136" t="s">
        <v>42</v>
      </c>
      <c r="S92" s="209">
        <f t="shared" ref="S92:S95" si="54">R92*Q92</f>
        <v>0</v>
      </c>
      <c r="T92" s="210"/>
      <c r="U92" s="136" t="s">
        <v>42</v>
      </c>
      <c r="V92" s="209"/>
      <c r="W92" s="211">
        <f t="shared" ref="W92:W95" si="55">U92*Q92</f>
        <v>0</v>
      </c>
      <c r="X92" s="111" t="str">
        <f>W92/$AC$176/$W$183/Y92</f>
        <v>#REF!</v>
      </c>
      <c r="Y92" s="212">
        <v>2.0</v>
      </c>
      <c r="Z92" s="213" t="str">
        <f>Q92/X92</f>
        <v>#REF!</v>
      </c>
      <c r="AA92" s="180"/>
      <c r="AB92" s="180">
        <f t="shared" ref="AB92:AB95" si="56">W92+S92</f>
        <v>0</v>
      </c>
      <c r="AC92" s="181"/>
      <c r="AD92" s="182"/>
      <c r="AE92" s="183"/>
      <c r="AF92" s="184"/>
      <c r="AG92" s="185"/>
      <c r="AH92" s="186"/>
      <c r="AI92" s="187"/>
      <c r="AJ92" s="188"/>
      <c r="AK92" s="188"/>
      <c r="AL92" s="180"/>
      <c r="AM92" s="135">
        <v>112.78</v>
      </c>
      <c r="AN92" s="152" t="s">
        <v>46</v>
      </c>
      <c r="AO92" s="135">
        <v>0.0</v>
      </c>
      <c r="AP92" s="139"/>
      <c r="AQ92" s="189"/>
      <c r="AR92" s="189"/>
      <c r="AS92" s="180"/>
      <c r="AT92" s="180"/>
      <c r="AU92" s="180"/>
      <c r="AV92" s="180"/>
      <c r="AW92" s="180"/>
      <c r="AX92" s="180"/>
      <c r="AY92" s="180"/>
      <c r="AZ92" s="180"/>
      <c r="BA92" s="180"/>
      <c r="BB92" s="180"/>
      <c r="BC92" s="180"/>
      <c r="BD92" s="180"/>
      <c r="BE92" s="180"/>
      <c r="BF92" s="180"/>
      <c r="BG92" s="180"/>
      <c r="BH92" s="180"/>
    </row>
    <row r="93" ht="12.75" customHeight="1">
      <c r="A93" s="71"/>
      <c r="B93" s="154" t="str">
        <f>IFERROR(__xludf.DUMMYFUNCTION("IFERROR(
  IF(C93="""","""",
    IF(OR(REGEXMATCH(D93,""(?i)-Flashing""), REGEXMATCH(D93,""(?i)-EavesGut""), REGEXMATCH(D93,""(?i)Valley"")),
        ""DR"" &amp;
        TEXT(
            ROUNDUP(
                MIN(
                    VALUE(MID(C93, FIND("&amp;"""("",C93)+1, FIND(""/"",C93)-FIND(""("",C93)-1)),
                    1200
                ) / 50, 0
            ) * 50, ""0""
        ) &amp;
        MID(C93, FIND(""/"",C93)+1, FIND("")"",C93)-FIND(""/"",C93)-1) &amp;
        TEXT(H93*100,""0"") &amp;
        I93,"&amp;"
    IF(AND(D93=""Roof Sheet"", REGEXMATCH(C93,""(?i)KS\d{4}[A-Z]{2}"")),
       REGEXEXTRACT(C93,""(?i)KS\d{4}[A-Z]{2}""),
    IF(AND(REGEXMATCH(D93,""(?i)-DP""), REGEXMATCH(C93,""(?i)Downpipe"")),
       ""dp"" &amp; REGEXEXTRACT(C93,""(\d+)"") &amp; ""mm"",
  "&amp;"  IF(AND(REGEXMATCH(D93,""(?i)Bracket""), REGEXMATCH(C93,""(?i)Bracket"")),
       ""Brkt"" &amp; REGEXEXTRACT(C93,""(\d+)"") &amp; ""mm"",
    IF(AND(REGEXMATCH(D93,""(?i)-OP""), REGEXMATCH(C93,""(?i)pops"")),
       ""op"" &amp; REGEXEXTRACT(C93,""(\d+)"") &amp; ""mm"""&amp;",
    IF(OR(D93=""R-FFTop"", D93=""R-FFBottom"", D93=""R-FFSide""),
        IF(REGEXMATCH(C93,""(?i)Profiled.*Top|Top.*Profiled""),""pfft"",
        IF(REGEXMATCH(C93,""(?i)Profiled.*Bottom|Bottom.*Profiled""),""pffb"",
        IF(REGEXMATCH(C93,""(?i)Squ"&amp;"are""),""sff"",""""))),
    IF(REGEXMATCH(D93,""(?i)-Rivets""),""Rvt"",
    IF(REGEXMATCH(D93,""(?i)Silicone""),""300ml"",
    IF(REGEXMATCH(D93,""(?i)R-Butyl""),""300ml"",
    IF(REGEXMATCH(D93,""(?i)Fix""),""GenFix"",
    IF(AND(REGEXMATCH(C93,""(?i)Tim"&amp;"ber""), REGEXMATCH(D93,""(?i)Timber"")),""tp"",
    IF(AND(REGEXMATCH(C93,""(?i)Vent G1275""), REGEXMATCH(D93,""(?i)Comb FIller"")),""CFV1275"",
    IF(REGEXMATCH(C93,""(?i)DPC""),""dpc"",
    IF(REGEXMATCH(C93,""(?i)Concealed Clips""),""ConClips"",
    I"&amp;"F(REGEXMATCH(D93,""(?i)-Takeoff ea""),""Takeoff ea"",
    IF(REGEXMATCH(D93,""(?i)-Takeoff LM""),""Takeoff LM"",
    IF(REGEXMATCH(D93,""(?i)-Takeoff m2""),""Takeoff m2"",
    IF(D93=""R-TU/TD"",""TU/TD"","""")))))))))))))))))
  )))"),"300ml")</f>
        <v>300ml</v>
      </c>
      <c r="C93" s="225" t="s">
        <v>98</v>
      </c>
      <c r="D93" s="124" t="s">
        <v>99</v>
      </c>
      <c r="E93" s="168">
        <f t="shared" ref="E93:F93" si="52">E92</f>
        <v>0.71</v>
      </c>
      <c r="F93" s="168" t="str">
        <f t="shared" si="52"/>
        <v/>
      </c>
      <c r="G93" s="129"/>
      <c r="H93" s="127"/>
      <c r="I93" s="127"/>
      <c r="J93" s="126" t="s">
        <v>87</v>
      </c>
      <c r="K93" s="126" t="s">
        <v>52</v>
      </c>
      <c r="L93" s="168">
        <f>M92</f>
        <v>112.78</v>
      </c>
      <c r="M93" s="150">
        <f>(ROUNDDOWN((M92/5.7)+2,0)*E93)/8</f>
        <v>1.86375</v>
      </c>
      <c r="N93" s="215">
        <f>IFERROR(__xludf.DUMMYFUNCTION("""COMPUTED_VALUE"""),1.0)</f>
        <v>1</v>
      </c>
      <c r="O93" s="134">
        <v>1.0</v>
      </c>
      <c r="P93" s="134">
        <v>1.0</v>
      </c>
      <c r="Q93" s="168">
        <f t="shared" si="53"/>
        <v>1.86375</v>
      </c>
      <c r="R93" s="136" t="s">
        <v>42</v>
      </c>
      <c r="S93" s="137">
        <f t="shared" si="54"/>
        <v>0</v>
      </c>
      <c r="T93" s="138"/>
      <c r="U93" s="136" t="s">
        <v>42</v>
      </c>
      <c r="V93" s="139"/>
      <c r="W93" s="140">
        <f t="shared" si="55"/>
        <v>0</v>
      </c>
      <c r="X93" s="2"/>
      <c r="Y93" s="5"/>
      <c r="Z93" s="5"/>
      <c r="AA93" s="5"/>
      <c r="AB93" s="180">
        <f t="shared" si="56"/>
        <v>0</v>
      </c>
      <c r="AC93" s="33"/>
      <c r="AD93" s="65"/>
      <c r="AE93" s="66"/>
      <c r="AF93" s="144"/>
      <c r="AG93" s="68"/>
      <c r="AH93" s="69"/>
      <c r="AI93" s="39"/>
      <c r="AJ93" s="70"/>
      <c r="AK93" s="70"/>
      <c r="AL93" s="5"/>
      <c r="AM93" s="135">
        <v>1.86375</v>
      </c>
      <c r="AN93" s="152" t="s">
        <v>46</v>
      </c>
      <c r="AO93" s="135">
        <v>0.0</v>
      </c>
      <c r="AP93" s="139"/>
      <c r="AQ93" s="5"/>
      <c r="AR93" s="5"/>
      <c r="AS93" s="5"/>
      <c r="AT93" s="5"/>
      <c r="AU93" s="5"/>
      <c r="AV93" s="5"/>
      <c r="AW93" s="5"/>
      <c r="AX93" s="5"/>
      <c r="AY93" s="5"/>
      <c r="AZ93" s="5"/>
      <c r="BA93" s="5"/>
      <c r="BB93" s="5"/>
      <c r="BC93" s="5"/>
      <c r="BD93" s="5"/>
      <c r="BE93" s="5"/>
      <c r="BF93" s="5"/>
      <c r="BG93" s="5"/>
      <c r="BH93" s="5"/>
    </row>
    <row r="94" ht="12.75" customHeight="1">
      <c r="A94" s="71"/>
      <c r="B94" s="154" t="str">
        <f>IFERROR(__xludf.DUMMYFUNCTION("IFERROR(
  IF(C94="""","""",
    IF(OR(REGEXMATCH(D94,""(?i)-Flashing""), REGEXMATCH(D94,""(?i)-EavesGut""), REGEXMATCH(D94,""(?i)Valley"")),
        ""DR"" &amp;
        TEXT(
            ROUNDUP(
                MIN(
                    VALUE(MID(C94, FIND("&amp;"""("",C94)+1, FIND(""/"",C94)-FIND(""("",C94)-1)),
                    1200
                ) / 50, 0
            ) * 50, ""0""
        ) &amp;
        MID(C94, FIND(""/"",C94)+1, FIND("")"",C94)-FIND(""/"",C94)-1) &amp;
        TEXT(H94*100,""0"") &amp;
        I94,"&amp;"
    IF(AND(D94=""Roof Sheet"", REGEXMATCH(C94,""(?i)KS\d{4}[A-Z]{2}"")),
       REGEXEXTRACT(C94,""(?i)KS\d{4}[A-Z]{2}""),
    IF(AND(REGEXMATCH(D94,""(?i)-DP""), REGEXMATCH(C94,""(?i)Downpipe"")),
       ""dp"" &amp; REGEXEXTRACT(C94,""(\d+)"") &amp; ""mm"",
  "&amp;"  IF(AND(REGEXMATCH(D94,""(?i)Bracket""), REGEXMATCH(C94,""(?i)Bracket"")),
       ""Brkt"" &amp; REGEXEXTRACT(C94,""(\d+)"") &amp; ""mm"",
    IF(AND(REGEXMATCH(D94,""(?i)-OP""), REGEXMATCH(C94,""(?i)pops"")),
       ""op"" &amp; REGEXEXTRACT(C94,""(\d+)"") &amp; ""mm"""&amp;",
    IF(OR(D94=""R-FFTop"", D94=""R-FFBottom"", D94=""R-FFSide""),
        IF(REGEXMATCH(C94,""(?i)Profiled.*Top|Top.*Profiled""),""pfft"",
        IF(REGEXMATCH(C94,""(?i)Profiled.*Bottom|Bottom.*Profiled""),""pffb"",
        IF(REGEXMATCH(C94,""(?i)Squ"&amp;"are""),""sff"",""""))),
    IF(REGEXMATCH(D94,""(?i)-Rivets""),""Rvt"",
    IF(REGEXMATCH(D94,""(?i)Silicone""),""300ml"",
    IF(REGEXMATCH(D94,""(?i)R-Butyl""),""300ml"",
    IF(REGEXMATCH(D94,""(?i)Fix""),""GenFix"",
    IF(AND(REGEXMATCH(C94,""(?i)Tim"&amp;"ber""), REGEXMATCH(D94,""(?i)Timber"")),""tp"",
    IF(AND(REGEXMATCH(C94,""(?i)Vent G1275""), REGEXMATCH(D94,""(?i)Comb FIller"")),""CFV1275"",
    IF(REGEXMATCH(C94,""(?i)DPC""),""dpc"",
    IF(REGEXMATCH(C94,""(?i)Concealed Clips""),""ConClips"",
    I"&amp;"F(REGEXMATCH(D94,""(?i)-Takeoff ea""),""Takeoff ea"",
    IF(REGEXMATCH(D94,""(?i)-Takeoff LM""),""Takeoff LM"",
    IF(REGEXMATCH(D94,""(?i)-Takeoff m2""),""Takeoff m2"",
    IF(D94=""R-TU/TD"",""TU/TD"","""")))))))))))))))))
  )))"),"Rvt")</f>
        <v>Rvt</v>
      </c>
      <c r="C94" s="225" t="s">
        <v>100</v>
      </c>
      <c r="D94" s="124" t="s">
        <v>101</v>
      </c>
      <c r="E94" s="168">
        <f>E92</f>
        <v>0.71</v>
      </c>
      <c r="F94" s="168" t="str">
        <f t="shared" ref="F94:F95" si="57">F93</f>
        <v/>
      </c>
      <c r="G94" s="129"/>
      <c r="H94" s="127"/>
      <c r="I94" s="127"/>
      <c r="J94" s="126" t="s">
        <v>87</v>
      </c>
      <c r="K94" s="126" t="s">
        <v>52</v>
      </c>
      <c r="L94" s="168">
        <f>M92</f>
        <v>112.78</v>
      </c>
      <c r="M94" s="150">
        <f>ROUNDUP(((M92/5.7)+1)*(E94/0.05),0)</f>
        <v>296</v>
      </c>
      <c r="N94" s="215">
        <f>IFERROR(__xludf.DUMMYFUNCTION("""COMPUTED_VALUE"""),1.0)</f>
        <v>1</v>
      </c>
      <c r="O94" s="134">
        <v>1.0</v>
      </c>
      <c r="P94" s="134">
        <v>1.0</v>
      </c>
      <c r="Q94" s="168">
        <f t="shared" si="53"/>
        <v>296</v>
      </c>
      <c r="R94" s="136" t="s">
        <v>42</v>
      </c>
      <c r="S94" s="137">
        <f t="shared" si="54"/>
        <v>0</v>
      </c>
      <c r="T94" s="138"/>
      <c r="U94" s="136" t="s">
        <v>42</v>
      </c>
      <c r="V94" s="139"/>
      <c r="W94" s="140">
        <f t="shared" si="55"/>
        <v>0</v>
      </c>
      <c r="X94" s="2"/>
      <c r="Y94" s="5"/>
      <c r="Z94" s="5"/>
      <c r="AA94" s="5"/>
      <c r="AB94" s="180">
        <f t="shared" si="56"/>
        <v>0</v>
      </c>
      <c r="AC94" s="33"/>
      <c r="AD94" s="65"/>
      <c r="AE94" s="66"/>
      <c r="AF94" s="144"/>
      <c r="AG94" s="68"/>
      <c r="AH94" s="69"/>
      <c r="AI94" s="39"/>
      <c r="AJ94" s="70"/>
      <c r="AK94" s="70"/>
      <c r="AL94" s="5"/>
      <c r="AM94" s="135">
        <v>296.0</v>
      </c>
      <c r="AN94" s="152" t="s">
        <v>46</v>
      </c>
      <c r="AO94" s="135">
        <v>0.0</v>
      </c>
      <c r="AP94" s="139"/>
      <c r="AQ94" s="5"/>
      <c r="AR94" s="5"/>
      <c r="AS94" s="5"/>
      <c r="AT94" s="5"/>
      <c r="AU94" s="5"/>
      <c r="AV94" s="5"/>
      <c r="AW94" s="5"/>
      <c r="AX94" s="5"/>
      <c r="AY94" s="5"/>
      <c r="AZ94" s="5"/>
      <c r="BA94" s="5"/>
      <c r="BB94" s="5"/>
      <c r="BC94" s="5"/>
      <c r="BD94" s="5"/>
      <c r="BE94" s="5"/>
      <c r="BF94" s="5"/>
      <c r="BG94" s="5"/>
      <c r="BH94" s="5"/>
    </row>
    <row r="95" ht="12.75" customHeight="1">
      <c r="A95" s="71"/>
      <c r="B95" s="154" t="str">
        <f>IFERROR(__xludf.DUMMYFUNCTION("IFERROR(
  IF(C95="""","""",
    IF(OR(REGEXMATCH(D95,""(?i)-Flashing""), REGEXMATCH(D95,""(?i)-EavesGut""), REGEXMATCH(D95,""(?i)Valley"")),
        ""DR"" &amp;
        TEXT(
            ROUNDUP(
                MIN(
                    VALUE(MID(C95, FIND("&amp;"""("",C95)+1, FIND(""/"",C95)-FIND(""("",C95)-1)),
                    1200
                ) / 50, 0
            ) * 50, ""0""
        ) &amp;
        MID(C95, FIND(""/"",C95)+1, FIND("")"",C95)-FIND(""/"",C95)-1) &amp;
        TEXT(H95*100,""0"") &amp;
        I95,"&amp;"
    IF(AND(D95=""Roof Sheet"", REGEXMATCH(C95,""(?i)KS\d{4}[A-Z]{2}"")),
       REGEXEXTRACT(C95,""(?i)KS\d{4}[A-Z]{2}""),
    IF(AND(REGEXMATCH(D95,""(?i)-DP""), REGEXMATCH(C95,""(?i)Downpipe"")),
       ""dp"" &amp; REGEXEXTRACT(C95,""(\d+)"") &amp; ""mm"",
  "&amp;"  IF(AND(REGEXMATCH(D95,""(?i)Bracket""), REGEXMATCH(C95,""(?i)Bracket"")),
       ""Brkt"" &amp; REGEXEXTRACT(C95,""(\d+)"") &amp; ""mm"",
    IF(AND(REGEXMATCH(D95,""(?i)-OP""), REGEXMATCH(C95,""(?i)pops"")),
       ""op"" &amp; REGEXEXTRACT(C95,""(\d+)"") &amp; ""mm"""&amp;",
    IF(OR(D95=""R-FFTop"", D95=""R-FFBottom"", D95=""R-FFSide""),
        IF(REGEXMATCH(C95,""(?i)Profiled.*Top|Top.*Profiled""),""pfft"",
        IF(REGEXMATCH(C95,""(?i)Profiled.*Bottom|Bottom.*Profiled""),""pffb"",
        IF(REGEXMATCH(C95,""(?i)Squ"&amp;"are""),""sff"",""""))),
    IF(REGEXMATCH(D95,""(?i)-Rivets""),""Rvt"",
    IF(REGEXMATCH(D95,""(?i)Silicone""),""300ml"",
    IF(REGEXMATCH(D95,""(?i)R-Butyl""),""300ml"",
    IF(REGEXMATCH(D95,""(?i)Fix""),""GenFix"",
    IF(AND(REGEXMATCH(C95,""(?i)Tim"&amp;"ber""), REGEXMATCH(D95,""(?i)Timber"")),""tp"",
    IF(AND(REGEXMATCH(C95,""(?i)Vent G1275""), REGEXMATCH(D95,""(?i)Comb FIller"")),""CFV1275"",
    IF(REGEXMATCH(C95,""(?i)DPC""),""dpc"",
    IF(REGEXMATCH(C95,""(?i)Concealed Clips""),""ConClips"",
    I"&amp;"F(REGEXMATCH(D95,""(?i)-Takeoff ea""),""Takeoff ea"",
    IF(REGEXMATCH(D95,""(?i)-Takeoff LM""),""Takeoff LM"",
    IF(REGEXMATCH(D95,""(?i)-Takeoff m2""),""Takeoff m2"",
    IF(D95=""R-TU/TD"",""TU/TD"","""")))))))))))))))))
  )))"),"GenFix")</f>
        <v>GenFix</v>
      </c>
      <c r="C95" s="158" t="s">
        <v>102</v>
      </c>
      <c r="D95" s="124" t="s">
        <v>103</v>
      </c>
      <c r="E95" s="161"/>
      <c r="F95" s="168" t="str">
        <f t="shared" si="57"/>
        <v/>
      </c>
      <c r="G95" s="129"/>
      <c r="H95" s="127"/>
      <c r="I95" s="127"/>
      <c r="J95" s="126" t="s">
        <v>87</v>
      </c>
      <c r="K95" s="126" t="s">
        <v>52</v>
      </c>
      <c r="L95" s="168">
        <f>M92</f>
        <v>112.78</v>
      </c>
      <c r="M95" s="150">
        <f>ROUNDUP(M92/0.6,0)+1</f>
        <v>189</v>
      </c>
      <c r="N95" s="215">
        <f>IFERROR(__xludf.DUMMYFUNCTION("""COMPUTED_VALUE"""),1.0)</f>
        <v>1</v>
      </c>
      <c r="O95" s="134">
        <v>1.0</v>
      </c>
      <c r="P95" s="134">
        <v>1.0</v>
      </c>
      <c r="Q95" s="168">
        <f t="shared" si="53"/>
        <v>189</v>
      </c>
      <c r="R95" s="136" t="s">
        <v>42</v>
      </c>
      <c r="S95" s="137">
        <f t="shared" si="54"/>
        <v>0</v>
      </c>
      <c r="T95" s="138"/>
      <c r="U95" s="136" t="s">
        <v>42</v>
      </c>
      <c r="V95" s="139"/>
      <c r="W95" s="140">
        <f t="shared" si="55"/>
        <v>0</v>
      </c>
      <c r="X95" s="2"/>
      <c r="Y95" s="5"/>
      <c r="Z95" s="5"/>
      <c r="AA95" s="5"/>
      <c r="AB95" s="180">
        <f t="shared" si="56"/>
        <v>0</v>
      </c>
      <c r="AC95" s="33"/>
      <c r="AD95" s="65"/>
      <c r="AE95" s="66"/>
      <c r="AF95" s="144"/>
      <c r="AG95" s="68"/>
      <c r="AH95" s="69"/>
      <c r="AI95" s="39"/>
      <c r="AJ95" s="70"/>
      <c r="AK95" s="70"/>
      <c r="AL95" s="5"/>
      <c r="AM95" s="135">
        <v>189.0</v>
      </c>
      <c r="AN95" s="152" t="s">
        <v>46</v>
      </c>
      <c r="AO95" s="135">
        <v>0.0</v>
      </c>
      <c r="AP95" s="139"/>
      <c r="AQ95" s="5"/>
      <c r="AR95" s="5"/>
      <c r="AS95" s="5"/>
      <c r="AT95" s="5"/>
      <c r="AU95" s="5"/>
      <c r="AV95" s="5"/>
      <c r="AW95" s="5"/>
      <c r="AX95" s="5"/>
      <c r="AY95" s="5"/>
      <c r="AZ95" s="5"/>
      <c r="BA95" s="5"/>
      <c r="BB95" s="5"/>
      <c r="BC95" s="5"/>
      <c r="BD95" s="5"/>
      <c r="BE95" s="5"/>
      <c r="BF95" s="5"/>
      <c r="BG95" s="5"/>
      <c r="BH95" s="5"/>
    </row>
    <row r="96" ht="12.75" customHeight="1">
      <c r="A96" s="71"/>
      <c r="B96" s="160"/>
      <c r="C96" s="127"/>
      <c r="D96" s="129"/>
      <c r="E96" s="161"/>
      <c r="F96" s="127"/>
      <c r="G96" s="127"/>
      <c r="H96" s="127"/>
      <c r="I96" s="127"/>
      <c r="J96" s="129"/>
      <c r="K96" s="127" t="s">
        <v>42</v>
      </c>
      <c r="L96" s="168"/>
      <c r="M96" s="150"/>
      <c r="N96" s="215" t="str">
        <f>IFERROR(__xludf.DUMMYFUNCTION("""COMPUTED_VALUE"""),"")</f>
        <v/>
      </c>
      <c r="O96" s="134"/>
      <c r="P96" s="134"/>
      <c r="Q96" s="168"/>
      <c r="R96" s="136"/>
      <c r="S96" s="139"/>
      <c r="T96" s="138"/>
      <c r="U96" s="136"/>
      <c r="V96" s="139"/>
      <c r="W96" s="164"/>
      <c r="X96" s="2"/>
      <c r="Y96" s="5"/>
      <c r="Z96" s="5"/>
      <c r="AA96" s="5"/>
      <c r="AB96" s="5"/>
      <c r="AC96" s="33"/>
      <c r="AD96" s="226"/>
      <c r="AE96" s="227"/>
      <c r="AF96" s="228"/>
      <c r="AG96" s="229"/>
      <c r="AH96" s="230"/>
      <c r="AI96" s="39"/>
      <c r="AJ96" s="231"/>
      <c r="AK96" s="231"/>
      <c r="AL96" s="5"/>
      <c r="AM96" s="135" t="s">
        <v>42</v>
      </c>
      <c r="AN96" s="152"/>
      <c r="AO96" s="135" t="s">
        <v>42</v>
      </c>
      <c r="AP96" s="139"/>
      <c r="AQ96" s="5"/>
      <c r="AR96" s="5"/>
      <c r="AS96" s="5"/>
      <c r="AT96" s="5"/>
      <c r="AU96" s="5"/>
      <c r="AV96" s="5"/>
      <c r="AW96" s="5"/>
      <c r="AX96" s="5"/>
      <c r="AY96" s="5"/>
      <c r="AZ96" s="5"/>
      <c r="BA96" s="5"/>
      <c r="BB96" s="5"/>
      <c r="BC96" s="5"/>
      <c r="BD96" s="5"/>
      <c r="BE96" s="5"/>
      <c r="BF96" s="5"/>
      <c r="BG96" s="5"/>
      <c r="BH96" s="5"/>
    </row>
    <row r="97">
      <c r="A97" s="71">
        <v>1.0</v>
      </c>
      <c r="B97" s="190"/>
      <c r="C97" s="191" t="s">
        <v>115</v>
      </c>
      <c r="D97" s="192"/>
      <c r="E97" s="193"/>
      <c r="F97" s="192"/>
      <c r="G97" s="192"/>
      <c r="H97" s="194"/>
      <c r="I97" s="194"/>
      <c r="J97" s="194"/>
      <c r="K97" s="194" t="s">
        <v>42</v>
      </c>
      <c r="L97" s="195">
        <f>Q97</f>
        <v>112.78</v>
      </c>
      <c r="M97" s="196" t="s">
        <v>42</v>
      </c>
      <c r="N97" s="197" t="str">
        <f>IFERROR(__xludf.DUMMYFUNCTION("""COMPUTED_VALUE"""),"")</f>
        <v/>
      </c>
      <c r="O97" s="194"/>
      <c r="P97" s="194"/>
      <c r="Q97" s="195">
        <f>Q98</f>
        <v>112.78</v>
      </c>
      <c r="R97" s="136"/>
      <c r="S97" s="198">
        <f>T97/Q97</f>
        <v>0</v>
      </c>
      <c r="T97" s="198">
        <f>SUM(S98:S102)</f>
        <v>0</v>
      </c>
      <c r="U97" s="136"/>
      <c r="V97" s="198">
        <f>W97/Q97</f>
        <v>0</v>
      </c>
      <c r="W97" s="199">
        <f>SUM(W98:W102)</f>
        <v>0</v>
      </c>
      <c r="X97" s="111" t="str">
        <f t="shared" ref="X97:X98" si="58">W97/$AC$176/$W$183/Y97</f>
        <v>#REF!</v>
      </c>
      <c r="Y97" s="200" t="b">
        <f>(T97+W97)=(SUM(AB98:AB102))</f>
        <v>1</v>
      </c>
      <c r="Z97" s="180">
        <f>(T97+W97)-(SUM(AB98:AB102))</f>
        <v>0</v>
      </c>
      <c r="AA97" s="180"/>
      <c r="AB97" s="180"/>
      <c r="AC97" s="181"/>
      <c r="AD97" s="114">
        <f>W97+T97</f>
        <v>0</v>
      </c>
      <c r="AE97" s="115">
        <f>AD97</f>
        <v>0</v>
      </c>
      <c r="AF97" s="116" t="str">
        <f>AE97/$AE$151</f>
        <v>#REF!</v>
      </c>
      <c r="AG97" s="117" t="str">
        <f>AF97*$AG$158</f>
        <v>#REF!</v>
      </c>
      <c r="AH97" s="118" t="str">
        <f>AF97*$AG$161</f>
        <v>#REF!</v>
      </c>
      <c r="AI97" s="39"/>
      <c r="AJ97" s="119" t="str">
        <f>ROUND(AK97/L97,2)</f>
        <v>#REF!</v>
      </c>
      <c r="AK97" s="119" t="str">
        <f>ROUND(AH97+AG97+AD97,2)</f>
        <v>#REF!</v>
      </c>
      <c r="AL97" s="180"/>
      <c r="AM97" s="135" t="s">
        <v>42</v>
      </c>
      <c r="AN97" s="152"/>
      <c r="AO97" s="135" t="s">
        <v>42</v>
      </c>
      <c r="AP97" s="139"/>
      <c r="AQ97" s="189"/>
      <c r="AR97" s="189"/>
      <c r="AS97" s="180"/>
      <c r="AT97" s="180"/>
      <c r="AU97" s="180"/>
      <c r="AV97" s="180"/>
      <c r="AW97" s="180"/>
      <c r="AX97" s="180"/>
      <c r="AY97" s="180"/>
      <c r="AZ97" s="180"/>
      <c r="BA97" s="180"/>
      <c r="BB97" s="180"/>
      <c r="BC97" s="180"/>
      <c r="BD97" s="180"/>
      <c r="BE97" s="180"/>
      <c r="BF97" s="180"/>
      <c r="BG97" s="180"/>
      <c r="BH97" s="180"/>
    </row>
    <row r="98" ht="12.75" customHeight="1">
      <c r="A98" s="71"/>
      <c r="B98" s="154" t="str">
        <f>IFERROR(__xludf.DUMMYFUNCTION("IFERROR(
  IF(C98="""","""",
    IF(OR(REGEXMATCH(D98,""(?i)-Flashing""), REGEXMATCH(D98,""(?i)-EavesGut""), REGEXMATCH(D98,""(?i)Valley"")),
        ""DR"" &amp;
        TEXT(
            ROUNDUP(
                MIN(
                    VALUE(MID(C98, FIND("&amp;"""("",C98)+1, FIND(""/"",C98)-FIND(""("",C98)-1)),
                    1200
                ) / 50, 0
            ) * 50, ""0""
        ) &amp;
        MID(C98, FIND(""/"",C98)+1, FIND("")"",C98)-FIND(""/"",C98)-1) &amp;
        TEXT(H98*100,""0"") &amp;
        I98,"&amp;"
    IF(AND(D98=""Roof Sheet"", REGEXMATCH(C98,""(?i)KS\d{4}[A-Z]{2}"")),
       REGEXEXTRACT(C98,""(?i)KS\d{4}[A-Z]{2}""),
    IF(AND(REGEXMATCH(D98,""(?i)-DP""), REGEXMATCH(C98,""(?i)Downpipe"")),
       ""dp"" &amp; REGEXEXTRACT(C98,""(\d+)"") &amp; ""mm"",
  "&amp;"  IF(AND(REGEXMATCH(D98,""(?i)Bracket""), REGEXMATCH(C98,""(?i)Bracket"")),
       ""Brkt"" &amp; REGEXEXTRACT(C98,""(\d+)"") &amp; ""mm"",
    IF(AND(REGEXMATCH(D98,""(?i)-OP""), REGEXMATCH(C98,""(?i)pops"")),
       ""op"" &amp; REGEXEXTRACT(C98,""(\d+)"") &amp; ""mm"""&amp;",
    IF(OR(D98=""R-FFTop"", D98=""R-FFBottom"", D98=""R-FFSide""),
        IF(REGEXMATCH(C98,""(?i)Profiled.*Top|Top.*Profiled""),""pfft"",
        IF(REGEXMATCH(C98,""(?i)Profiled.*Bottom|Bottom.*Profiled""),""pffb"",
        IF(REGEXMATCH(C98,""(?i)Squ"&amp;"are""),""sff"",""""))),
    IF(REGEXMATCH(D98,""(?i)-Rivets""),""Rvt"",
    IF(REGEXMATCH(D98,""(?i)Silicone""),""300ml"",
    IF(REGEXMATCH(D98,""(?i)R-Butyl""),""300ml"",
    IF(REGEXMATCH(D98,""(?i)Fix""),""GenFix"",
    IF(AND(REGEXMATCH(C98,""(?i)Tim"&amp;"ber""), REGEXMATCH(D98,""(?i)Timber"")),""tp"",
    IF(AND(REGEXMATCH(C98,""(?i)Vent G1275""), REGEXMATCH(D98,""(?i)Comb FIller"")),""CFV1275"",
    IF(REGEXMATCH(C98,""(?i)DPC""),""dpc"",
    IF(REGEXMATCH(C98,""(?i)Concealed Clips""),""ConClips"",
    I"&amp;"F(REGEXMATCH(D98,""(?i)-Takeoff ea""),""Takeoff ea"",
    IF(REGEXMATCH(D98,""(?i)-Takeoff LM""),""Takeoff LM"",
    IF(REGEXMATCH(D98,""(?i)-Takeoff m2""),""Takeoff m2"",
    IF(D98=""R-TU/TD"",""TU/TD"","""")))))))))))))))))
  )))"),"DR3503B55Mag")</f>
        <v>DR3503B55Mag</v>
      </c>
      <c r="C98" s="201" t="s">
        <v>116</v>
      </c>
      <c r="D98" s="202" t="s">
        <v>96</v>
      </c>
      <c r="E98" s="203">
        <f>VALUE(MID(C98, FIND("(", C98)+1, FIND("/", C98)-FIND("(", C98)-1)) / 1000</f>
        <v>0.32</v>
      </c>
      <c r="F98" s="218" t="str">
        <f>IFERROR(__xludf.DUMMYFUNCTION("IFERROR(REGEXEXTRACT(C98,""@\s*(\d+)\s*deg"")&amp;""°"","""")
"),"")</f>
        <v/>
      </c>
      <c r="G98" s="204"/>
      <c r="H98" s="204" t="str">
        <f>IFERROR(__xludf.DUMMYFUNCTION("IFERROR(REGEXEXTRACT(C98, ""(\d*\.\d+)mm""), """")"),"0.55")</f>
        <v>0.55</v>
      </c>
      <c r="I98" s="204" t="s">
        <v>97</v>
      </c>
      <c r="J98" s="126" t="s">
        <v>14</v>
      </c>
      <c r="K98" s="205" t="s">
        <v>55</v>
      </c>
      <c r="L98" s="206">
        <f>L105</f>
        <v>112.78</v>
      </c>
      <c r="M98" s="150">
        <f>L98</f>
        <v>112.78</v>
      </c>
      <c r="N98" s="207">
        <f>IFERROR(__xludf.DUMMYFUNCTION("""COMPUTED_VALUE"""),1.0)</f>
        <v>1</v>
      </c>
      <c r="O98" s="208">
        <v>1.0</v>
      </c>
      <c r="P98" s="208">
        <v>1.0</v>
      </c>
      <c r="Q98" s="203">
        <f t="shared" ref="Q98:Q101" si="60">M98*N98*O98*P98</f>
        <v>112.78</v>
      </c>
      <c r="R98" s="136" t="s">
        <v>42</v>
      </c>
      <c r="S98" s="137">
        <f t="shared" ref="S98:S101" si="61">R98*Q98</f>
        <v>0</v>
      </c>
      <c r="T98" s="210"/>
      <c r="U98" s="136" t="s">
        <v>42</v>
      </c>
      <c r="V98" s="209"/>
      <c r="W98" s="211">
        <f t="shared" ref="W98:W101" si="62">U98*Q98</f>
        <v>0</v>
      </c>
      <c r="X98" s="111" t="str">
        <f t="shared" si="58"/>
        <v>#REF!</v>
      </c>
      <c r="Y98" s="212">
        <v>2.0</v>
      </c>
      <c r="Z98" s="213" t="str">
        <f>Q98/X98</f>
        <v>#REF!</v>
      </c>
      <c r="AA98" s="180"/>
      <c r="AB98" s="180">
        <f t="shared" ref="AB98:AB102" si="63">W98+S98</f>
        <v>0</v>
      </c>
      <c r="AC98" s="181"/>
      <c r="AD98" s="182"/>
      <c r="AE98" s="183"/>
      <c r="AF98" s="184"/>
      <c r="AG98" s="185"/>
      <c r="AH98" s="186"/>
      <c r="AI98" s="187"/>
      <c r="AJ98" s="188"/>
      <c r="AK98" s="188"/>
      <c r="AL98" s="180"/>
      <c r="AM98" s="135">
        <v>112.78</v>
      </c>
      <c r="AN98" s="152" t="s">
        <v>46</v>
      </c>
      <c r="AO98" s="135">
        <v>0.0</v>
      </c>
      <c r="AP98" s="139"/>
      <c r="AQ98" s="189"/>
      <c r="AR98" s="189"/>
      <c r="AS98" s="180"/>
      <c r="AT98" s="180"/>
      <c r="AU98" s="180"/>
      <c r="AV98" s="180"/>
      <c r="AW98" s="180"/>
      <c r="AX98" s="180"/>
      <c r="AY98" s="180"/>
      <c r="AZ98" s="180"/>
      <c r="BA98" s="180"/>
      <c r="BB98" s="180"/>
      <c r="BC98" s="180"/>
      <c r="BD98" s="180"/>
      <c r="BE98" s="180"/>
      <c r="BF98" s="180"/>
      <c r="BG98" s="180"/>
      <c r="BH98" s="180"/>
    </row>
    <row r="99" ht="12.75" customHeight="1">
      <c r="A99" s="71"/>
      <c r="B99" s="154" t="str">
        <f>IFERROR(__xludf.DUMMYFUNCTION("IFERROR(
  IF(C99="""","""",
    IF(OR(REGEXMATCH(D99,""(?i)-Flashing""), REGEXMATCH(D99,""(?i)-EavesGut""), REGEXMATCH(D99,""(?i)Valley"")),
        ""DR"" &amp;
        TEXT(
            ROUNDUP(
                MIN(
                    VALUE(MID(C99, FIND("&amp;"""("",C99)+1, FIND(""/"",C99)-FIND(""("",C99)-1)),
                    1200
                ) / 50, 0
            ) * 50, ""0""
        ) &amp;
        MID(C99, FIND(""/"",C99)+1, FIND("")"",C99)-FIND(""/"",C99)-1) &amp;
        TEXT(H99*100,""0"") &amp;
        I99,"&amp;"
    IF(AND(D99=""Roof Sheet"", REGEXMATCH(C99,""(?i)KS\d{4}[A-Z]{2}"")),
       REGEXEXTRACT(C99,""(?i)KS\d{4}[A-Z]{2}""),
    IF(AND(REGEXMATCH(D99,""(?i)-DP""), REGEXMATCH(C99,""(?i)Downpipe"")),
       ""dp"" &amp; REGEXEXTRACT(C99,""(\d+)"") &amp; ""mm"",
  "&amp;"  IF(AND(REGEXMATCH(D99,""(?i)Bracket""), REGEXMATCH(C99,""(?i)Bracket"")),
       ""Brkt"" &amp; REGEXEXTRACT(C99,""(\d+)"") &amp; ""mm"",
    IF(AND(REGEXMATCH(D99,""(?i)-OP""), REGEXMATCH(C99,""(?i)pops"")),
       ""op"" &amp; REGEXEXTRACT(C99,""(\d+)"") &amp; ""mm"""&amp;",
    IF(OR(D99=""R-FFTop"", D99=""R-FFBottom"", D99=""R-FFSide""),
        IF(REGEXMATCH(C99,""(?i)Profiled.*Top|Top.*Profiled""),""pfft"",
        IF(REGEXMATCH(C99,""(?i)Profiled.*Bottom|Bottom.*Profiled""),""pffb"",
        IF(REGEXMATCH(C99,""(?i)Squ"&amp;"are""),""sff"",""""))),
    IF(REGEXMATCH(D99,""(?i)-Rivets""),""Rvt"",
    IF(REGEXMATCH(D99,""(?i)Silicone""),""300ml"",
    IF(REGEXMATCH(D99,""(?i)R-Butyl""),""300ml"",
    IF(REGEXMATCH(D99,""(?i)Fix""),""GenFix"",
    IF(AND(REGEXMATCH(C99,""(?i)Tim"&amp;"ber""), REGEXMATCH(D99,""(?i)Timber"")),""tp"",
    IF(AND(REGEXMATCH(C99,""(?i)Vent G1275""), REGEXMATCH(D99,""(?i)Comb FIller"")),""CFV1275"",
    IF(REGEXMATCH(C99,""(?i)DPC""),""dpc"",
    IF(REGEXMATCH(C99,""(?i)Concealed Clips""),""ConClips"",
    I"&amp;"F(REGEXMATCH(D99,""(?i)-Takeoff ea""),""Takeoff ea"",
    IF(REGEXMATCH(D99,""(?i)-Takeoff LM""),""Takeoff LM"",
    IF(REGEXMATCH(D99,""(?i)-Takeoff m2""),""Takeoff m2"",
    IF(D99=""R-TU/TD"",""TU/TD"","""")))))))))))))))))
  )))"),"300ml")</f>
        <v>300ml</v>
      </c>
      <c r="C99" s="225" t="s">
        <v>98</v>
      </c>
      <c r="D99" s="124" t="s">
        <v>99</v>
      </c>
      <c r="E99" s="168">
        <f t="shared" ref="E99:F99" si="59">E98</f>
        <v>0.32</v>
      </c>
      <c r="F99" s="168" t="str">
        <f t="shared" si="59"/>
        <v/>
      </c>
      <c r="G99" s="129"/>
      <c r="H99" s="127"/>
      <c r="I99" s="127"/>
      <c r="J99" s="126" t="s">
        <v>87</v>
      </c>
      <c r="K99" s="126" t="s">
        <v>52</v>
      </c>
      <c r="L99" s="168">
        <f>M98</f>
        <v>112.78</v>
      </c>
      <c r="M99" s="150">
        <f>(ROUNDDOWN((M98/5.7)+2,0)*E99)/8</f>
        <v>0.84</v>
      </c>
      <c r="N99" s="215">
        <f>IFERROR(__xludf.DUMMYFUNCTION("""COMPUTED_VALUE"""),1.0)</f>
        <v>1</v>
      </c>
      <c r="O99" s="134">
        <v>1.0</v>
      </c>
      <c r="P99" s="134">
        <v>1.0</v>
      </c>
      <c r="Q99" s="168">
        <f t="shared" si="60"/>
        <v>0.84</v>
      </c>
      <c r="R99" s="136" t="s">
        <v>42</v>
      </c>
      <c r="S99" s="137">
        <f t="shared" si="61"/>
        <v>0</v>
      </c>
      <c r="T99" s="138"/>
      <c r="U99" s="136" t="s">
        <v>42</v>
      </c>
      <c r="V99" s="139"/>
      <c r="W99" s="140">
        <f t="shared" si="62"/>
        <v>0</v>
      </c>
      <c r="X99" s="2"/>
      <c r="Y99" s="5"/>
      <c r="Z99" s="5"/>
      <c r="AA99" s="5"/>
      <c r="AB99" s="180">
        <f t="shared" si="63"/>
        <v>0</v>
      </c>
      <c r="AC99" s="33"/>
      <c r="AD99" s="65"/>
      <c r="AE99" s="66"/>
      <c r="AF99" s="144"/>
      <c r="AG99" s="68"/>
      <c r="AH99" s="69"/>
      <c r="AI99" s="39"/>
      <c r="AJ99" s="70"/>
      <c r="AK99" s="70"/>
      <c r="AL99" s="5"/>
      <c r="AM99" s="135">
        <v>0.84</v>
      </c>
      <c r="AN99" s="152" t="s">
        <v>46</v>
      </c>
      <c r="AO99" s="135">
        <v>0.0</v>
      </c>
      <c r="AP99" s="139"/>
      <c r="AQ99" s="5"/>
      <c r="AR99" s="5"/>
      <c r="AS99" s="5"/>
      <c r="AT99" s="5"/>
      <c r="AU99" s="5"/>
      <c r="AV99" s="5"/>
      <c r="AW99" s="5"/>
      <c r="AX99" s="5"/>
      <c r="AY99" s="5"/>
      <c r="AZ99" s="5"/>
      <c r="BA99" s="5"/>
      <c r="BB99" s="5"/>
      <c r="BC99" s="5"/>
      <c r="BD99" s="5"/>
      <c r="BE99" s="5"/>
      <c r="BF99" s="5"/>
      <c r="BG99" s="5"/>
      <c r="BH99" s="5"/>
    </row>
    <row r="100" ht="12.75" customHeight="1">
      <c r="A100" s="71"/>
      <c r="B100" s="154" t="str">
        <f>IFERROR(__xludf.DUMMYFUNCTION("IFERROR(
  IF(C100="""","""",
    IF(OR(REGEXMATCH(D100,""(?i)-Flashing""), REGEXMATCH(D100,""(?i)-EavesGut""), REGEXMATCH(D100,""(?i)Valley"")),
        ""DR"" &amp;
        TEXT(
            ROUNDUP(
                MIN(
                    VALUE(MID(C100, "&amp;"FIND(""("",C100)+1, FIND(""/"",C100)-FIND(""("",C100)-1)),
                    1200
                ) / 50, 0
            ) * 50, ""0""
        ) &amp;
        MID(C100, FIND(""/"",C100)+1, FIND("")"",C100)-FIND(""/"",C100)-1) &amp;
        TEXT(H100*100,""0"") &amp;"&amp;"
        I100,
    IF(AND(D100=""Roof Sheet"", REGEXMATCH(C100,""(?i)KS\d{4}[A-Z]{2}"")),
       REGEXEXTRACT(C100,""(?i)KS\d{4}[A-Z]{2}""),
    IF(AND(REGEXMATCH(D100,""(?i)-DP""), REGEXMATCH(C100,""(?i)Downpipe"")),
       ""dp"" &amp; REGEXEXTRACT(C100,""("&amp;"\d+)"") &amp; ""mm"",
    IF(AND(REGEXMATCH(D100,""(?i)Bracket""), REGEXMATCH(C100,""(?i)Bracket"")),
       ""Brkt"" &amp; REGEXEXTRACT(C100,""(\d+)"") &amp; ""mm"",
    IF(AND(REGEXMATCH(D100,""(?i)-OP""), REGEXMATCH(C100,""(?i)pops"")),
       ""op"" &amp; REGEXEXTRAC"&amp;"T(C100,""(\d+)"") &amp; ""mm"",
    IF(OR(D100=""R-FFTop"", D100=""R-FFBottom"", D100=""R-FFSide""),
        IF(REGEXMATCH(C100,""(?i)Profiled.*Top|Top.*Profiled""),""pfft"",
        IF(REGEXMATCH(C100,""(?i)Profiled.*Bottom|Bottom.*Profiled""),""pffb"",
    "&amp;"    IF(REGEXMATCH(C100,""(?i)Square""),""sff"",""""))),
    IF(REGEXMATCH(D100,""(?i)-Rivets""),""Rvt"",
    IF(REGEXMATCH(D100,""(?i)Silicone""),""300ml"",
    IF(REGEXMATCH(D100,""(?i)R-Butyl""),""300ml"",
    IF(REGEXMATCH(D100,""(?i)Fix""),""GenFix"","&amp;"
    IF(AND(REGEXMATCH(C100,""(?i)Timber""), REGEXMATCH(D100,""(?i)Timber"")),""tp"",
    IF(AND(REGEXMATCH(C100,""(?i)Vent G1275""), REGEXMATCH(D100,""(?i)Comb FIller"")),""CFV1275"",
    IF(REGEXMATCH(C100,""(?i)DPC""),""dpc"",
    IF(REGEXMATCH(C100,"""&amp;"(?i)Concealed Clips""),""ConClips"",
    IF(REGEXMATCH(D100,""(?i)-Takeoff ea""),""Takeoff ea"",
    IF(REGEXMATCH(D100,""(?i)-Takeoff LM""),""Takeoff LM"",
    IF(REGEXMATCH(D100,""(?i)-Takeoff m2""),""Takeoff m2"",
    IF(D100=""R-TU/TD"",""TU/TD"","""""&amp;")))))))))))))))))
  )))"),"Rvt")</f>
        <v>Rvt</v>
      </c>
      <c r="C100" s="225" t="s">
        <v>100</v>
      </c>
      <c r="D100" s="124" t="s">
        <v>101</v>
      </c>
      <c r="E100" s="168">
        <f>E98</f>
        <v>0.32</v>
      </c>
      <c r="F100" s="168" t="str">
        <f t="shared" ref="F100:F101" si="64">F99</f>
        <v/>
      </c>
      <c r="G100" s="129"/>
      <c r="H100" s="127"/>
      <c r="I100" s="127"/>
      <c r="J100" s="126" t="s">
        <v>87</v>
      </c>
      <c r="K100" s="126" t="s">
        <v>52</v>
      </c>
      <c r="L100" s="168">
        <f>M98</f>
        <v>112.78</v>
      </c>
      <c r="M100" s="150">
        <f>ROUNDUP(((M98/5.7)+1)*(E100/0.05),0)</f>
        <v>134</v>
      </c>
      <c r="N100" s="215">
        <f>IFERROR(__xludf.DUMMYFUNCTION("""COMPUTED_VALUE"""),1.0)</f>
        <v>1</v>
      </c>
      <c r="O100" s="134">
        <v>1.0</v>
      </c>
      <c r="P100" s="134">
        <v>1.0</v>
      </c>
      <c r="Q100" s="168">
        <f t="shared" si="60"/>
        <v>134</v>
      </c>
      <c r="R100" s="136" t="s">
        <v>42</v>
      </c>
      <c r="S100" s="137">
        <f t="shared" si="61"/>
        <v>0</v>
      </c>
      <c r="T100" s="138"/>
      <c r="U100" s="136" t="s">
        <v>42</v>
      </c>
      <c r="V100" s="139"/>
      <c r="W100" s="140">
        <f t="shared" si="62"/>
        <v>0</v>
      </c>
      <c r="X100" s="2"/>
      <c r="Y100" s="5"/>
      <c r="Z100" s="5"/>
      <c r="AA100" s="5"/>
      <c r="AB100" s="180">
        <f t="shared" si="63"/>
        <v>0</v>
      </c>
      <c r="AC100" s="33"/>
      <c r="AD100" s="65"/>
      <c r="AE100" s="66"/>
      <c r="AF100" s="144"/>
      <c r="AG100" s="68"/>
      <c r="AH100" s="69"/>
      <c r="AI100" s="39"/>
      <c r="AJ100" s="70"/>
      <c r="AK100" s="70"/>
      <c r="AL100" s="5"/>
      <c r="AM100" s="135">
        <v>134.0</v>
      </c>
      <c r="AN100" s="152" t="s">
        <v>46</v>
      </c>
      <c r="AO100" s="135">
        <v>0.0</v>
      </c>
      <c r="AP100" s="139"/>
      <c r="AQ100" s="5"/>
      <c r="AR100" s="5"/>
      <c r="AS100" s="5"/>
      <c r="AT100" s="5"/>
      <c r="AU100" s="5"/>
      <c r="AV100" s="5"/>
      <c r="AW100" s="5"/>
      <c r="AX100" s="5"/>
      <c r="AY100" s="5"/>
      <c r="AZ100" s="5"/>
      <c r="BA100" s="5"/>
      <c r="BB100" s="5"/>
      <c r="BC100" s="5"/>
      <c r="BD100" s="5"/>
      <c r="BE100" s="5"/>
      <c r="BF100" s="5"/>
      <c r="BG100" s="5"/>
      <c r="BH100" s="5"/>
    </row>
    <row r="101" ht="12.75" customHeight="1">
      <c r="A101" s="71"/>
      <c r="B101" s="154" t="str">
        <f>IFERROR(__xludf.DUMMYFUNCTION("IFERROR(
  IF(C101="""","""",
    IF(OR(REGEXMATCH(D101,""(?i)-Flashing""), REGEXMATCH(D101,""(?i)-EavesGut""), REGEXMATCH(D101,""(?i)Valley"")),
        ""DR"" &amp;
        TEXT(
            ROUNDUP(
                MIN(
                    VALUE(MID(C101, "&amp;"FIND(""("",C101)+1, FIND(""/"",C101)-FIND(""("",C101)-1)),
                    1200
                ) / 50, 0
            ) * 50, ""0""
        ) &amp;
        MID(C101, FIND(""/"",C101)+1, FIND("")"",C101)-FIND(""/"",C101)-1) &amp;
        TEXT(H101*100,""0"") &amp;"&amp;"
        I101,
    IF(AND(D101=""Roof Sheet"", REGEXMATCH(C101,""(?i)KS\d{4}[A-Z]{2}"")),
       REGEXEXTRACT(C101,""(?i)KS\d{4}[A-Z]{2}""),
    IF(AND(REGEXMATCH(D101,""(?i)-DP""), REGEXMATCH(C101,""(?i)Downpipe"")),
       ""dp"" &amp; REGEXEXTRACT(C101,""("&amp;"\d+)"") &amp; ""mm"",
    IF(AND(REGEXMATCH(D101,""(?i)Bracket""), REGEXMATCH(C101,""(?i)Bracket"")),
       ""Brkt"" &amp; REGEXEXTRACT(C101,""(\d+)"") &amp; ""mm"",
    IF(AND(REGEXMATCH(D101,""(?i)-OP""), REGEXMATCH(C101,""(?i)pops"")),
       ""op"" &amp; REGEXEXTRAC"&amp;"T(C101,""(\d+)"") &amp; ""mm"",
    IF(OR(D101=""R-FFTop"", D101=""R-FFBottom"", D101=""R-FFSide""),
        IF(REGEXMATCH(C101,""(?i)Profiled.*Top|Top.*Profiled""),""pfft"",
        IF(REGEXMATCH(C101,""(?i)Profiled.*Bottom|Bottom.*Profiled""),""pffb"",
    "&amp;"    IF(REGEXMATCH(C101,""(?i)Square""),""sff"",""""))),
    IF(REGEXMATCH(D101,""(?i)-Rivets""),""Rvt"",
    IF(REGEXMATCH(D101,""(?i)Silicone""),""300ml"",
    IF(REGEXMATCH(D101,""(?i)R-Butyl""),""300ml"",
    IF(REGEXMATCH(D101,""(?i)Fix""),""GenFix"","&amp;"
    IF(AND(REGEXMATCH(C101,""(?i)Timber""), REGEXMATCH(D101,""(?i)Timber"")),""tp"",
    IF(AND(REGEXMATCH(C101,""(?i)Vent G1275""), REGEXMATCH(D101,""(?i)Comb FIller"")),""CFV1275"",
    IF(REGEXMATCH(C101,""(?i)DPC""),""dpc"",
    IF(REGEXMATCH(C101,"""&amp;"(?i)Concealed Clips""),""ConClips"",
    IF(REGEXMATCH(D101,""(?i)-Takeoff ea""),""Takeoff ea"",
    IF(REGEXMATCH(D101,""(?i)-Takeoff LM""),""Takeoff LM"",
    IF(REGEXMATCH(D101,""(?i)-Takeoff m2""),""Takeoff m2"",
    IF(D101=""R-TU/TD"",""TU/TD"","""""&amp;")))))))))))))))))
  )))"),"GenFix")</f>
        <v>GenFix</v>
      </c>
      <c r="C101" s="158" t="s">
        <v>102</v>
      </c>
      <c r="D101" s="124" t="s">
        <v>103</v>
      </c>
      <c r="E101" s="161"/>
      <c r="F101" s="168" t="str">
        <f t="shared" si="64"/>
        <v/>
      </c>
      <c r="G101" s="129"/>
      <c r="H101" s="127"/>
      <c r="I101" s="127"/>
      <c r="J101" s="126" t="s">
        <v>87</v>
      </c>
      <c r="K101" s="126" t="s">
        <v>52</v>
      </c>
      <c r="L101" s="168">
        <f>M98</f>
        <v>112.78</v>
      </c>
      <c r="M101" s="150">
        <f>ROUNDUP(M98/0.6,0)+1</f>
        <v>189</v>
      </c>
      <c r="N101" s="215">
        <f>IFERROR(__xludf.DUMMYFUNCTION("""COMPUTED_VALUE"""),1.0)</f>
        <v>1</v>
      </c>
      <c r="O101" s="134">
        <v>1.0</v>
      </c>
      <c r="P101" s="134">
        <v>1.0</v>
      </c>
      <c r="Q101" s="168">
        <f t="shared" si="60"/>
        <v>189</v>
      </c>
      <c r="R101" s="136" t="s">
        <v>42</v>
      </c>
      <c r="S101" s="137">
        <f t="shared" si="61"/>
        <v>0</v>
      </c>
      <c r="T101" s="138"/>
      <c r="U101" s="136" t="s">
        <v>42</v>
      </c>
      <c r="V101" s="139"/>
      <c r="W101" s="140">
        <f t="shared" si="62"/>
        <v>0</v>
      </c>
      <c r="X101" s="2"/>
      <c r="Y101" s="5"/>
      <c r="Z101" s="5"/>
      <c r="AA101" s="5"/>
      <c r="AB101" s="180">
        <f t="shared" si="63"/>
        <v>0</v>
      </c>
      <c r="AC101" s="33"/>
      <c r="AD101" s="65"/>
      <c r="AE101" s="66"/>
      <c r="AF101" s="144"/>
      <c r="AG101" s="68"/>
      <c r="AH101" s="69"/>
      <c r="AI101" s="39"/>
      <c r="AJ101" s="70"/>
      <c r="AK101" s="70"/>
      <c r="AL101" s="5"/>
      <c r="AM101" s="135">
        <v>189.0</v>
      </c>
      <c r="AN101" s="152" t="s">
        <v>46</v>
      </c>
      <c r="AO101" s="135">
        <v>0.0</v>
      </c>
      <c r="AP101" s="139"/>
      <c r="AQ101" s="5"/>
      <c r="AR101" s="5"/>
      <c r="AS101" s="5"/>
      <c r="AT101" s="5"/>
      <c r="AU101" s="5"/>
      <c r="AV101" s="5"/>
      <c r="AW101" s="5"/>
      <c r="AX101" s="5"/>
      <c r="AY101" s="5"/>
      <c r="AZ101" s="5"/>
      <c r="BA101" s="5"/>
      <c r="BB101" s="5"/>
      <c r="BC101" s="5"/>
      <c r="BD101" s="5"/>
      <c r="BE101" s="5"/>
      <c r="BF101" s="5"/>
      <c r="BG101" s="5"/>
      <c r="BH101" s="5"/>
    </row>
    <row r="102" ht="12.75" customHeight="1">
      <c r="A102" s="71"/>
      <c r="B102" s="221"/>
      <c r="C102" s="214"/>
      <c r="D102" s="202"/>
      <c r="E102" s="203"/>
      <c r="F102" s="204"/>
      <c r="G102" s="204"/>
      <c r="H102" s="204"/>
      <c r="I102" s="204"/>
      <c r="J102" s="205"/>
      <c r="K102" s="204" t="s">
        <v>42</v>
      </c>
      <c r="L102" s="206"/>
      <c r="M102" s="150"/>
      <c r="N102" s="207" t="str">
        <f>IFERROR(__xludf.DUMMYFUNCTION("""COMPUTED_VALUE"""),"")</f>
        <v/>
      </c>
      <c r="O102" s="208"/>
      <c r="P102" s="208"/>
      <c r="Q102" s="203"/>
      <c r="R102" s="136"/>
      <c r="S102" s="209"/>
      <c r="T102" s="210"/>
      <c r="U102" s="136"/>
      <c r="V102" s="209"/>
      <c r="W102" s="211"/>
      <c r="X102" s="179"/>
      <c r="Y102" s="180"/>
      <c r="Z102" s="180"/>
      <c r="AA102" s="180"/>
      <c r="AB102" s="180">
        <f t="shared" si="63"/>
        <v>0</v>
      </c>
      <c r="AC102" s="181"/>
      <c r="AD102" s="182"/>
      <c r="AE102" s="183"/>
      <c r="AF102" s="184"/>
      <c r="AG102" s="185"/>
      <c r="AH102" s="186"/>
      <c r="AI102" s="187"/>
      <c r="AJ102" s="188"/>
      <c r="AK102" s="188"/>
      <c r="AL102" s="180"/>
      <c r="AM102" s="135" t="s">
        <v>42</v>
      </c>
      <c r="AN102" s="152"/>
      <c r="AO102" s="135" t="s">
        <v>42</v>
      </c>
      <c r="AP102" s="139"/>
      <c r="AQ102" s="189"/>
      <c r="AR102" s="189"/>
      <c r="AS102" s="180"/>
      <c r="AT102" s="180"/>
      <c r="AU102" s="180"/>
      <c r="AV102" s="180"/>
      <c r="AW102" s="180"/>
      <c r="AX102" s="180"/>
      <c r="AY102" s="180"/>
      <c r="AZ102" s="180"/>
      <c r="BA102" s="180"/>
      <c r="BB102" s="180"/>
      <c r="BC102" s="180"/>
      <c r="BD102" s="180"/>
      <c r="BE102" s="180"/>
      <c r="BF102" s="180"/>
      <c r="BG102" s="180"/>
      <c r="BH102" s="180"/>
    </row>
    <row r="103" ht="12.75" customHeight="1">
      <c r="A103" s="71">
        <v>1.0</v>
      </c>
      <c r="B103" s="88"/>
      <c r="C103" s="233" t="s">
        <v>117</v>
      </c>
      <c r="D103" s="90"/>
      <c r="E103" s="91"/>
      <c r="F103" s="90"/>
      <c r="G103" s="90"/>
      <c r="H103" s="90"/>
      <c r="I103" s="90"/>
      <c r="J103" s="90"/>
      <c r="K103" s="90" t="s">
        <v>42</v>
      </c>
      <c r="L103" s="91"/>
      <c r="M103" s="91" t="s">
        <v>42</v>
      </c>
      <c r="N103" s="92" t="str">
        <f>IFERROR(__xludf.DUMMYFUNCTION("""COMPUTED_VALUE"""),"")</f>
        <v/>
      </c>
      <c r="O103" s="90"/>
      <c r="P103" s="90"/>
      <c r="Q103" s="91"/>
      <c r="R103" s="136"/>
      <c r="S103" s="234"/>
      <c r="T103" s="235"/>
      <c r="U103" s="136"/>
      <c r="V103" s="234"/>
      <c r="W103" s="236"/>
      <c r="X103" s="2"/>
      <c r="Y103" s="5"/>
      <c r="Z103" s="5"/>
      <c r="AA103" s="5"/>
      <c r="AB103" s="180"/>
      <c r="AC103" s="33"/>
      <c r="AD103" s="65"/>
      <c r="AE103" s="66"/>
      <c r="AF103" s="144"/>
      <c r="AG103" s="68"/>
      <c r="AH103" s="69"/>
      <c r="AI103" s="39"/>
      <c r="AJ103" s="70"/>
      <c r="AK103" s="70"/>
      <c r="AL103" s="5"/>
      <c r="AM103" s="135" t="s">
        <v>42</v>
      </c>
      <c r="AN103" s="152"/>
      <c r="AO103" s="135" t="s">
        <v>42</v>
      </c>
      <c r="AP103" s="139"/>
      <c r="AQ103" s="5"/>
      <c r="AR103" s="5"/>
      <c r="AS103" s="5"/>
      <c r="AT103" s="5"/>
      <c r="AU103" s="5"/>
      <c r="AV103" s="5"/>
      <c r="AW103" s="5"/>
      <c r="AX103" s="5"/>
      <c r="AY103" s="5"/>
      <c r="AZ103" s="5"/>
      <c r="BA103" s="5"/>
      <c r="BB103" s="5"/>
      <c r="BC103" s="5"/>
      <c r="BD103" s="5"/>
      <c r="BE103" s="5"/>
      <c r="BF103" s="5"/>
      <c r="BG103" s="5"/>
      <c r="BH103" s="5"/>
    </row>
    <row r="104">
      <c r="A104" s="71">
        <v>1.0</v>
      </c>
      <c r="B104" s="102"/>
      <c r="C104" s="103" t="s">
        <v>118</v>
      </c>
      <c r="D104" s="104"/>
      <c r="E104" s="105"/>
      <c r="F104" s="104"/>
      <c r="G104" s="104"/>
      <c r="H104" s="104"/>
      <c r="I104" s="104"/>
      <c r="J104" s="104"/>
      <c r="K104" s="104" t="s">
        <v>42</v>
      </c>
      <c r="L104" s="106">
        <f>Q104</f>
        <v>112.78</v>
      </c>
      <c r="M104" s="105" t="s">
        <v>42</v>
      </c>
      <c r="N104" s="107" t="str">
        <f>IFERROR(__xludf.DUMMYFUNCTION("""COMPUTED_VALUE"""),"")</f>
        <v/>
      </c>
      <c r="O104" s="104"/>
      <c r="P104" s="104"/>
      <c r="Q104" s="106">
        <f>Q105</f>
        <v>112.78</v>
      </c>
      <c r="R104" s="136"/>
      <c r="S104" s="109">
        <f>T104/Q104</f>
        <v>0</v>
      </c>
      <c r="T104" s="109">
        <f>SUM(S105:S116)</f>
        <v>0</v>
      </c>
      <c r="U104" s="136"/>
      <c r="V104" s="109">
        <f>W104/Q104</f>
        <v>0</v>
      </c>
      <c r="W104" s="110">
        <f>SUM(W105:W116)</f>
        <v>0</v>
      </c>
      <c r="X104" s="111" t="str">
        <f>W104/$AC$176/$W$183/$X$173</f>
        <v>#REF!</v>
      </c>
      <c r="Y104" s="112" t="b">
        <f>(T104+W104)=(SUM(AB105:AB116))</f>
        <v>1</v>
      </c>
      <c r="Z104" s="113">
        <f>(T104+W104)-(SUM(AB105:AB116))</f>
        <v>0</v>
      </c>
      <c r="AA104" s="5"/>
      <c r="AB104" s="5"/>
      <c r="AC104" s="33"/>
      <c r="AD104" s="114">
        <f>W104+T104</f>
        <v>0</v>
      </c>
      <c r="AE104" s="115">
        <f>AD104</f>
        <v>0</v>
      </c>
      <c r="AF104" s="116" t="str">
        <f>AE104/$AE$151</f>
        <v>#REF!</v>
      </c>
      <c r="AG104" s="117" t="str">
        <f>AF104*$AG$158</f>
        <v>#REF!</v>
      </c>
      <c r="AH104" s="118" t="str">
        <f>AF104*$AG$161</f>
        <v>#REF!</v>
      </c>
      <c r="AI104" s="39"/>
      <c r="AJ104" s="119" t="str">
        <f>ROUND(AK104/L104,2)</f>
        <v>#REF!</v>
      </c>
      <c r="AK104" s="119" t="str">
        <f>ROUND(AH104+AG104+AD104,2)</f>
        <v>#REF!</v>
      </c>
      <c r="AL104" s="5"/>
      <c r="AM104" s="135" t="s">
        <v>42</v>
      </c>
      <c r="AN104" s="152"/>
      <c r="AO104" s="135" t="s">
        <v>42</v>
      </c>
      <c r="AP104" s="139"/>
      <c r="AQ104" s="5"/>
      <c r="AR104" s="5"/>
      <c r="AS104" s="5"/>
      <c r="AT104" s="5"/>
      <c r="AU104" s="5"/>
      <c r="AV104" s="5"/>
      <c r="AW104" s="5"/>
      <c r="AX104" s="5"/>
      <c r="AY104" s="5"/>
      <c r="AZ104" s="5"/>
      <c r="BA104" s="5"/>
      <c r="BB104" s="5"/>
      <c r="BC104" s="5"/>
      <c r="BD104" s="5"/>
      <c r="BE104" s="5"/>
      <c r="BF104" s="5"/>
      <c r="BG104" s="5"/>
      <c r="BH104" s="5"/>
    </row>
    <row r="105">
      <c r="A105" s="71"/>
      <c r="B105" s="154" t="str">
        <f>IFERROR(__xludf.DUMMYFUNCTION("IFERROR(
  IF(C105="""","""",
    IF(OR(REGEXMATCH(D105,""(?i)-Flashing""), REGEXMATCH(D105,""(?i)-EavesGut""), REGEXMATCH(D105,""(?i)Valley"")),
        ""DR"" &amp;
        TEXT(
            ROUNDUP(
                MIN(
                    VALUE(MID(C105, "&amp;"FIND(""("",C105)+1, FIND(""/"",C105)-FIND(""("",C105)-1)),
                    1200
                ) / 50, 0
            ) * 50, ""0""
        ) &amp;
        MID(C105, FIND(""/"",C105)+1, FIND("")"",C105)-FIND(""/"",C105)-1) &amp;
        TEXT(H105*100,""0"") &amp;"&amp;"
        I105,
    IF(AND(D105=""Roof Sheet"", REGEXMATCH(C105,""(?i)KS\d{4}[A-Z]{2}"")),
       REGEXEXTRACT(C105,""(?i)KS\d{4}[A-Z]{2}""),
    IF(AND(REGEXMATCH(D105,""(?i)-DP""), REGEXMATCH(C105,""(?i)Downpipe"")),
       ""dp"" &amp; REGEXEXTRACT(C105,""("&amp;"\d+)"") &amp; ""mm"",
    IF(AND(REGEXMATCH(D105,""(?i)Bracket""), REGEXMATCH(C105,""(?i)Bracket"")),
       ""Brkt"" &amp; REGEXEXTRACT(C105,""(\d+)"") &amp; ""mm"",
    IF(AND(REGEXMATCH(D105,""(?i)-OP""), REGEXMATCH(C105,""(?i)pops"")),
       ""op"" &amp; REGEXEXTRAC"&amp;"T(C105,""(\d+)"") &amp; ""mm"",
    IF(OR(D105=""R-FFTop"", D105=""R-FFBottom"", D105=""R-FFSide""),
        IF(REGEXMATCH(C105,""(?i)Profiled.*Top|Top.*Profiled""),""pfft"",
        IF(REGEXMATCH(C105,""(?i)Profiled.*Bottom|Bottom.*Profiled""),""pffb"",
    "&amp;"    IF(REGEXMATCH(C105,""(?i)Square""),""sff"",""""))),
    IF(REGEXMATCH(D105,""(?i)-Rivets""),""Rvt"",
    IF(REGEXMATCH(D105,""(?i)Silicone""),""300ml"",
    IF(REGEXMATCH(D105,""(?i)R-Butyl""),""300ml"",
    IF(REGEXMATCH(D105,""(?i)Fix""),""GenFix"","&amp;"
    IF(AND(REGEXMATCH(C105,""(?i)Timber""), REGEXMATCH(D105,""(?i)Timber"")),""tp"",
    IF(AND(REGEXMATCH(C105,""(?i)Vent G1275""), REGEXMATCH(D105,""(?i)Comb FIller"")),""CFV1275"",
    IF(REGEXMATCH(C105,""(?i)DPC""),""dpc"",
    IF(REGEXMATCH(C105,"""&amp;"(?i)Concealed Clips""),""ConClips"",
    IF(REGEXMATCH(D105,""(?i)-Takeoff ea""),""Takeoff ea"",
    IF(REGEXMATCH(D105,""(?i)-Takeoff LM""),""Takeoff LM"",
    IF(REGEXMATCH(D105,""(?i)-Takeoff m2""),""Takeoff m2"",
    IF(D105=""R-TU/TD"",""TU/TD"","""""&amp;")))))))))))))))))
  )))"),"DR6505B55Mag")</f>
        <v>DR6505B55Mag</v>
      </c>
      <c r="C105" s="223" t="s">
        <v>119</v>
      </c>
      <c r="D105" s="124" t="s">
        <v>120</v>
      </c>
      <c r="E105" s="237"/>
      <c r="F105" s="127"/>
      <c r="G105" s="129"/>
      <c r="H105" s="128" t="str">
        <f>IFERROR(__xludf.DUMMYFUNCTION("IFERROR(REGEXEXTRACT(C105, ""(\d*\.\d+)mm""), """")"),"0.55")</f>
        <v>0.55</v>
      </c>
      <c r="I105" s="128" t="s">
        <v>97</v>
      </c>
      <c r="J105" s="126" t="s">
        <v>14</v>
      </c>
      <c r="K105" s="126" t="s">
        <v>55</v>
      </c>
      <c r="L105" s="224">
        <v>112.78</v>
      </c>
      <c r="M105" s="150">
        <v>112.78</v>
      </c>
      <c r="N105" s="215">
        <f>IFERROR(__xludf.DUMMYFUNCTION("""COMPUTED_VALUE"""),1.0)</f>
        <v>1</v>
      </c>
      <c r="O105" s="134">
        <v>1.0</v>
      </c>
      <c r="P105" s="134">
        <v>1.0</v>
      </c>
      <c r="Q105" s="168">
        <f t="shared" ref="Q105:Q110" si="65">M105*N105*O105*P105</f>
        <v>112.78</v>
      </c>
      <c r="R105" s="136" t="s">
        <v>42</v>
      </c>
      <c r="S105" s="137">
        <f t="shared" ref="S105:S110" si="66">R105*Q105</f>
        <v>0</v>
      </c>
      <c r="T105" s="138"/>
      <c r="U105" s="136" t="s">
        <v>42</v>
      </c>
      <c r="V105" s="139"/>
      <c r="W105" s="140">
        <f t="shared" ref="W105:W110" si="67">U105*Q105</f>
        <v>0</v>
      </c>
      <c r="X105" s="2"/>
      <c r="Y105" s="5"/>
      <c r="Z105" s="5"/>
      <c r="AA105" s="5"/>
      <c r="AB105" s="113">
        <f t="shared" ref="AB105:AB116" si="68">W105+S105</f>
        <v>0</v>
      </c>
      <c r="AC105" s="33"/>
      <c r="AD105" s="226"/>
      <c r="AE105" s="227"/>
      <c r="AF105" s="228"/>
      <c r="AG105" s="229"/>
      <c r="AH105" s="230"/>
      <c r="AI105" s="39"/>
      <c r="AJ105" s="231"/>
      <c r="AK105" s="231"/>
      <c r="AL105" s="5"/>
      <c r="AM105" s="135">
        <v>112.78</v>
      </c>
      <c r="AN105" s="152" t="s">
        <v>46</v>
      </c>
      <c r="AO105" s="135">
        <v>0.0</v>
      </c>
      <c r="AP105" s="139"/>
      <c r="AQ105" s="5"/>
      <c r="AR105" s="5"/>
      <c r="AS105" s="5"/>
      <c r="AT105" s="5"/>
      <c r="AU105" s="5"/>
      <c r="AV105" s="5"/>
      <c r="AW105" s="5"/>
      <c r="AX105" s="5"/>
      <c r="AY105" s="5"/>
      <c r="AZ105" s="5"/>
      <c r="BA105" s="5"/>
      <c r="BB105" s="5"/>
      <c r="BC105" s="5"/>
      <c r="BD105" s="5"/>
      <c r="BE105" s="5"/>
      <c r="BF105" s="5"/>
      <c r="BG105" s="5"/>
      <c r="BH105" s="5"/>
    </row>
    <row r="106">
      <c r="A106" s="71"/>
      <c r="B106" s="154" t="str">
        <f>IFERROR(__xludf.DUMMYFUNCTION("IFERROR(
  IF(C106="""","""",
    IF(OR(REGEXMATCH(D106,""(?i)-Flashing""), REGEXMATCH(D106,""(?i)-EavesGut""), REGEXMATCH(D106,""(?i)Valley"")),
        ""DR"" &amp;
        TEXT(
            ROUNDUP(
                MIN(
                    VALUE(MID(C106, "&amp;"FIND(""("",C106)+1, FIND(""/"",C106)-FIND(""("",C106)-1)),
                    1200
                ) / 50, 0
            ) * 50, ""0""
        ) &amp;
        MID(C106, FIND(""/"",C106)+1, FIND("")"",C106)-FIND(""/"",C106)-1) &amp;
        TEXT(H106*100,""0"") &amp;"&amp;"
        I106,
    IF(AND(D106=""Roof Sheet"", REGEXMATCH(C106,""(?i)KS\d{4}[A-Z]{2}"")),
       REGEXEXTRACT(C106,""(?i)KS\d{4}[A-Z]{2}""),
    IF(AND(REGEXMATCH(D106,""(?i)-DP""), REGEXMATCH(C106,""(?i)Downpipe"")),
       ""dp"" &amp; REGEXEXTRACT(C106,""("&amp;"\d+)"") &amp; ""mm"",
    IF(AND(REGEXMATCH(D106,""(?i)Bracket""), REGEXMATCH(C106,""(?i)Bracket"")),
       ""Brkt"" &amp; REGEXEXTRACT(C106,""(\d+)"") &amp; ""mm"",
    IF(AND(REGEXMATCH(D106,""(?i)-OP""), REGEXMATCH(C106,""(?i)pops"")),
       ""op"" &amp; REGEXEXTRAC"&amp;"T(C106,""(\d+)"") &amp; ""mm"",
    IF(OR(D106=""R-FFTop"", D106=""R-FFBottom"", D106=""R-FFSide""),
        IF(REGEXMATCH(C106,""(?i)Profiled.*Top|Top.*Profiled""),""pfft"",
        IF(REGEXMATCH(C106,""(?i)Profiled.*Bottom|Bottom.*Profiled""),""pffb"",
    "&amp;"    IF(REGEXMATCH(C106,""(?i)Square""),""sff"",""""))),
    IF(REGEXMATCH(D106,""(?i)-Rivets""),""Rvt"",
    IF(REGEXMATCH(D106,""(?i)Silicone""),""300ml"",
    IF(REGEXMATCH(D106,""(?i)R-Butyl""),""300ml"",
    IF(REGEXMATCH(D106,""(?i)Fix""),""GenFix"","&amp;"
    IF(AND(REGEXMATCH(C106,""(?i)Timber""), REGEXMATCH(D106,""(?i)Timber"")),""tp"",
    IF(AND(REGEXMATCH(C106,""(?i)Vent G1275""), REGEXMATCH(D106,""(?i)Comb FIller"")),""CFV1275"",
    IF(REGEXMATCH(C106,""(?i)DPC""),""dpc"",
    IF(REGEXMATCH(C106,"""&amp;"(?i)Concealed Clips""),""ConClips"",
    IF(REGEXMATCH(D106,""(?i)-Takeoff ea""),""Takeoff ea"",
    IF(REGEXMATCH(D106,""(?i)-Takeoff LM""),""Takeoff LM"",
    IF(REGEXMATCH(D106,""(?i)-Takeoff m2""),""Takeoff m2"",
    IF(D106=""R-TU/TD"",""TU/TD"","""""&amp;")))))))))))))))))
  )))"),"Brkt300mm")</f>
        <v>Brkt300mm</v>
      </c>
      <c r="C106" s="123" t="s">
        <v>121</v>
      </c>
      <c r="D106" s="124" t="s">
        <v>122</v>
      </c>
      <c r="E106" s="238">
        <v>0.9</v>
      </c>
      <c r="F106" s="129"/>
      <c r="G106" s="129"/>
      <c r="H106" s="127"/>
      <c r="I106" s="127"/>
      <c r="J106" s="126" t="s">
        <v>87</v>
      </c>
      <c r="K106" s="126" t="s">
        <v>52</v>
      </c>
      <c r="L106" s="135">
        <f t="shared" ref="L106:L107" si="69">M105</f>
        <v>112.78</v>
      </c>
      <c r="M106" s="150">
        <f>ROUNDUP(M105/E106,0)+1</f>
        <v>127</v>
      </c>
      <c r="N106" s="151">
        <f>IFERROR(__xludf.DUMMYFUNCTION("""COMPUTED_VALUE"""),1.0)</f>
        <v>1</v>
      </c>
      <c r="O106" s="134">
        <v>1.0</v>
      </c>
      <c r="P106" s="134">
        <v>1.0</v>
      </c>
      <c r="Q106" s="168">
        <f t="shared" si="65"/>
        <v>127</v>
      </c>
      <c r="R106" s="136" t="s">
        <v>42</v>
      </c>
      <c r="S106" s="137">
        <f t="shared" si="66"/>
        <v>0</v>
      </c>
      <c r="T106" s="138"/>
      <c r="U106" s="136" t="s">
        <v>42</v>
      </c>
      <c r="V106" s="139"/>
      <c r="W106" s="140">
        <f t="shared" si="67"/>
        <v>0</v>
      </c>
      <c r="X106" s="2"/>
      <c r="Y106" s="5"/>
      <c r="Z106" s="5"/>
      <c r="AA106" s="5"/>
      <c r="AB106" s="113">
        <f t="shared" si="68"/>
        <v>0</v>
      </c>
      <c r="AC106" s="33"/>
      <c r="AD106" s="65"/>
      <c r="AE106" s="66"/>
      <c r="AF106" s="144"/>
      <c r="AG106" s="68"/>
      <c r="AH106" s="69"/>
      <c r="AI106" s="39"/>
      <c r="AJ106" s="70"/>
      <c r="AK106" s="70"/>
      <c r="AL106" s="5"/>
      <c r="AM106" s="135">
        <v>127.0</v>
      </c>
      <c r="AN106" s="152" t="s">
        <v>46</v>
      </c>
      <c r="AO106" s="135">
        <v>0.0</v>
      </c>
      <c r="AP106" s="139"/>
      <c r="AQ106" s="5"/>
      <c r="AR106" s="5"/>
      <c r="AS106" s="5"/>
      <c r="AT106" s="5"/>
      <c r="AU106" s="5"/>
      <c r="AV106" s="5"/>
      <c r="AW106" s="5"/>
      <c r="AX106" s="5"/>
      <c r="AY106" s="5"/>
      <c r="AZ106" s="5"/>
      <c r="BA106" s="5"/>
      <c r="BB106" s="5"/>
      <c r="BC106" s="5"/>
      <c r="BD106" s="5"/>
      <c r="BE106" s="5"/>
      <c r="BF106" s="5"/>
      <c r="BG106" s="5"/>
      <c r="BH106" s="5"/>
    </row>
    <row r="107" ht="12.75" customHeight="1">
      <c r="A107" s="71"/>
      <c r="B107" s="154" t="str">
        <f>IFERROR(__xludf.DUMMYFUNCTION("IFERROR(
  IF(C107="""","""",
    IF(OR(REGEXMATCH(D107,""(?i)-Flashing""), REGEXMATCH(D107,""(?i)-EavesGut""), REGEXMATCH(D107,""(?i)Valley"")),
        ""DR"" &amp;
        TEXT(
            ROUNDUP(
                MIN(
                    VALUE(MID(C107, "&amp;"FIND(""("",C107)+1, FIND(""/"",C107)-FIND(""("",C107)-1)),
                    1200
                ) / 50, 0
            ) * 50, ""0""
        ) &amp;
        MID(C107, FIND(""/"",C107)+1, FIND("")"",C107)-FIND(""/"",C107)-1) &amp;
        TEXT(H107*100,""0"") &amp;"&amp;"
        I107,
    IF(AND(D107=""Roof Sheet"", REGEXMATCH(C107,""(?i)KS\d{4}[A-Z]{2}"")),
       REGEXEXTRACT(C107,""(?i)KS\d{4}[A-Z]{2}""),
    IF(AND(REGEXMATCH(D107,""(?i)-DP""), REGEXMATCH(C107,""(?i)Downpipe"")),
       ""dp"" &amp; REGEXEXTRACT(C107,""("&amp;"\d+)"") &amp; ""mm"",
    IF(AND(REGEXMATCH(D107,""(?i)Bracket""), REGEXMATCH(C107,""(?i)Bracket"")),
       ""Brkt"" &amp; REGEXEXTRACT(C107,""(\d+)"") &amp; ""mm"",
    IF(AND(REGEXMATCH(D107,""(?i)-OP""), REGEXMATCH(C107,""(?i)pops"")),
       ""op"" &amp; REGEXEXTRAC"&amp;"T(C107,""(\d+)"") &amp; ""mm"",
    IF(OR(D107=""R-FFTop"", D107=""R-FFBottom"", D107=""R-FFSide""),
        IF(REGEXMATCH(C107,""(?i)Profiled.*Top|Top.*Profiled""),""pfft"",
        IF(REGEXMATCH(C107,""(?i)Profiled.*Bottom|Bottom.*Profiled""),""pffb"",
    "&amp;"    IF(REGEXMATCH(C107,""(?i)Square""),""sff"",""""))),
    IF(REGEXMATCH(D107,""(?i)-Rivets""),""Rvt"",
    IF(REGEXMATCH(D107,""(?i)Silicone""),""300ml"",
    IF(REGEXMATCH(D107,""(?i)R-Butyl""),""300ml"",
    IF(REGEXMATCH(D107,""(?i)Fix""),""GenFix"","&amp;"
    IF(AND(REGEXMATCH(C107,""(?i)Timber""), REGEXMATCH(D107,""(?i)Timber"")),""tp"",
    IF(AND(REGEXMATCH(C107,""(?i)Vent G1275""), REGEXMATCH(D107,""(?i)Comb FIller"")),""CFV1275"",
    IF(REGEXMATCH(C107,""(?i)DPC""),""dpc"",
    IF(REGEXMATCH(C107,"""&amp;"(?i)Concealed Clips""),""ConClips"",
    IF(REGEXMATCH(D107,""(?i)-Takeoff ea""),""Takeoff ea"",
    IF(REGEXMATCH(D107,""(?i)-Takeoff LM""),""Takeoff LM"",
    IF(REGEXMATCH(D107,""(?i)-Takeoff m2""),""Takeoff m2"",
    IF(D107=""R-TU/TD"",""TU/TD"","""""&amp;")))))))))))))))))
  )))"),"GenFix")</f>
        <v>GenFix</v>
      </c>
      <c r="C107" s="158" t="s">
        <v>102</v>
      </c>
      <c r="D107" s="124" t="s">
        <v>123</v>
      </c>
      <c r="E107" s="238">
        <v>3.0</v>
      </c>
      <c r="F107" s="129"/>
      <c r="G107" s="129"/>
      <c r="H107" s="127"/>
      <c r="I107" s="127"/>
      <c r="J107" s="126" t="s">
        <v>87</v>
      </c>
      <c r="K107" s="126" t="s">
        <v>52</v>
      </c>
      <c r="L107" s="135">
        <f t="shared" si="69"/>
        <v>127</v>
      </c>
      <c r="M107" s="150">
        <f>ROUNDUP(M106*E107,0)+1</f>
        <v>382</v>
      </c>
      <c r="N107" s="151">
        <f>IFERROR(__xludf.DUMMYFUNCTION("""COMPUTED_VALUE"""),1.0)</f>
        <v>1</v>
      </c>
      <c r="O107" s="134">
        <v>1.0</v>
      </c>
      <c r="P107" s="134">
        <v>1.0</v>
      </c>
      <c r="Q107" s="168">
        <f t="shared" si="65"/>
        <v>382</v>
      </c>
      <c r="R107" s="136" t="s">
        <v>42</v>
      </c>
      <c r="S107" s="137">
        <f t="shared" si="66"/>
        <v>0</v>
      </c>
      <c r="T107" s="138"/>
      <c r="U107" s="136" t="s">
        <v>42</v>
      </c>
      <c r="V107" s="139"/>
      <c r="W107" s="140">
        <f t="shared" si="67"/>
        <v>0</v>
      </c>
      <c r="X107" s="2"/>
      <c r="Y107" s="5"/>
      <c r="Z107" s="5"/>
      <c r="AA107" s="5"/>
      <c r="AB107" s="113">
        <f t="shared" si="68"/>
        <v>0</v>
      </c>
      <c r="AC107" s="33"/>
      <c r="AD107" s="65"/>
      <c r="AE107" s="66"/>
      <c r="AF107" s="144"/>
      <c r="AG107" s="68"/>
      <c r="AH107" s="69"/>
      <c r="AI107" s="39"/>
      <c r="AJ107" s="70"/>
      <c r="AK107" s="70"/>
      <c r="AL107" s="5"/>
      <c r="AM107" s="135">
        <v>382.0</v>
      </c>
      <c r="AN107" s="152" t="s">
        <v>46</v>
      </c>
      <c r="AO107" s="135">
        <v>0.0</v>
      </c>
      <c r="AP107" s="139"/>
      <c r="AQ107" s="5"/>
      <c r="AR107" s="5"/>
      <c r="AS107" s="5"/>
      <c r="AT107" s="5"/>
      <c r="AU107" s="5"/>
      <c r="AV107" s="5"/>
      <c r="AW107" s="5"/>
      <c r="AX107" s="5"/>
      <c r="AY107" s="5"/>
      <c r="AZ107" s="5"/>
      <c r="BA107" s="5"/>
      <c r="BB107" s="5"/>
      <c r="BC107" s="5"/>
      <c r="BD107" s="5"/>
      <c r="BE107" s="5"/>
      <c r="BF107" s="5"/>
      <c r="BG107" s="5"/>
      <c r="BH107" s="5"/>
    </row>
    <row r="108" ht="12.75" customHeight="1">
      <c r="A108" s="71"/>
      <c r="B108" s="154" t="str">
        <f>IFERROR(__xludf.DUMMYFUNCTION("IFERROR(
  IF(C108="""","""",
    IF(OR(REGEXMATCH(D108,""(?i)-Flashing""), REGEXMATCH(D108,""(?i)-EavesGut""), REGEXMATCH(D108,""(?i)Valley"")),
        ""DR"" &amp;
        TEXT(
            ROUNDUP(
                MIN(
                    VALUE(MID(C108, "&amp;"FIND(""("",C108)+1, FIND(""/"",C108)-FIND(""("",C108)-1)),
                    1200
                ) / 50, 0
            ) * 50, ""0""
        ) &amp;
        MID(C108, FIND(""/"",C108)+1, FIND("")"",C108)-FIND(""/"",C108)-1) &amp;
        TEXT(H108*100,""0"") &amp;"&amp;"
        I108,
    IF(AND(D108=""Roof Sheet"", REGEXMATCH(C108,""(?i)KS\d{4}[A-Z]{2}"")),
       REGEXEXTRACT(C108,""(?i)KS\d{4}[A-Z]{2}""),
    IF(AND(REGEXMATCH(D108,""(?i)-DP""), REGEXMATCH(C108,""(?i)Downpipe"")),
       ""dp"" &amp; REGEXEXTRACT(C108,""("&amp;"\d+)"") &amp; ""mm"",
    IF(AND(REGEXMATCH(D108,""(?i)Bracket""), REGEXMATCH(C108,""(?i)Bracket"")),
       ""Brkt"" &amp; REGEXEXTRACT(C108,""(\d+)"") &amp; ""mm"",
    IF(AND(REGEXMATCH(D108,""(?i)-OP""), REGEXMATCH(C108,""(?i)pops"")),
       ""op"" &amp; REGEXEXTRAC"&amp;"T(C108,""(\d+)"") &amp; ""mm"",
    IF(OR(D108=""R-FFTop"", D108=""R-FFBottom"", D108=""R-FFSide""),
        IF(REGEXMATCH(C108,""(?i)Profiled.*Top|Top.*Profiled""),""pfft"",
        IF(REGEXMATCH(C108,""(?i)Profiled.*Bottom|Bottom.*Profiled""),""pffb"",
    "&amp;"    IF(REGEXMATCH(C108,""(?i)Square""),""sff"",""""))),
    IF(REGEXMATCH(D108,""(?i)-Rivets""),""Rvt"",
    IF(REGEXMATCH(D108,""(?i)Silicone""),""300ml"",
    IF(REGEXMATCH(D108,""(?i)R-Butyl""),""300ml"",
    IF(REGEXMATCH(D108,""(?i)Fix""),""GenFix"","&amp;"
    IF(AND(REGEXMATCH(C108,""(?i)Timber""), REGEXMATCH(D108,""(?i)Timber"")),""tp"",
    IF(AND(REGEXMATCH(C108,""(?i)Vent G1275""), REGEXMATCH(D108,""(?i)Comb FIller"")),""CFV1275"",
    IF(REGEXMATCH(C108,""(?i)DPC""),""dpc"",
    IF(REGEXMATCH(C108,"""&amp;"(?i)Concealed Clips""),""ConClips"",
    IF(REGEXMATCH(D108,""(?i)-Takeoff ea""),""Takeoff ea"",
    IF(REGEXMATCH(D108,""(?i)-Takeoff LM""),""Takeoff LM"",
    IF(REGEXMATCH(D108,""(?i)-Takeoff m2""),""Takeoff m2"",
    IF(D108=""R-TU/TD"",""TU/TD"","""""&amp;")))))))))))))))))
  )))"),"Rvt")</f>
        <v>Rvt</v>
      </c>
      <c r="C108" s="214" t="s">
        <v>100</v>
      </c>
      <c r="D108" s="239" t="s">
        <v>124</v>
      </c>
      <c r="E108" s="203">
        <f>E106</f>
        <v>0.9</v>
      </c>
      <c r="F108" s="204"/>
      <c r="G108" s="204"/>
      <c r="H108" s="204" t="str">
        <f>IFERROR(__xludf.DUMMYFUNCTION("IFERROR(REGEXEXTRACT(C108, ""(\d*\.\d+)mm""), """")"),"")</f>
        <v/>
      </c>
      <c r="I108" s="204"/>
      <c r="J108" s="205" t="s">
        <v>87</v>
      </c>
      <c r="K108" s="204" t="s">
        <v>52</v>
      </c>
      <c r="L108" s="206">
        <f>M106</f>
        <v>127</v>
      </c>
      <c r="M108" s="220">
        <v>127.0</v>
      </c>
      <c r="N108" s="207">
        <f>IFERROR(__xludf.DUMMYFUNCTION("""COMPUTED_VALUE"""),1.0)</f>
        <v>1</v>
      </c>
      <c r="O108" s="208">
        <v>1.0</v>
      </c>
      <c r="P108" s="208">
        <v>1.0</v>
      </c>
      <c r="Q108" s="203">
        <f t="shared" si="65"/>
        <v>127</v>
      </c>
      <c r="R108" s="136" t="s">
        <v>42</v>
      </c>
      <c r="S108" s="137">
        <f t="shared" si="66"/>
        <v>0</v>
      </c>
      <c r="T108" s="210"/>
      <c r="U108" s="136" t="s">
        <v>42</v>
      </c>
      <c r="V108" s="209"/>
      <c r="W108" s="211">
        <f t="shared" si="67"/>
        <v>0</v>
      </c>
      <c r="X108" s="179"/>
      <c r="Y108" s="180"/>
      <c r="Z108" s="180"/>
      <c r="AA108" s="180"/>
      <c r="AB108" s="113">
        <f t="shared" si="68"/>
        <v>0</v>
      </c>
      <c r="AC108" s="181"/>
      <c r="AD108" s="182"/>
      <c r="AE108" s="183"/>
      <c r="AF108" s="184"/>
      <c r="AG108" s="185"/>
      <c r="AH108" s="186"/>
      <c r="AI108" s="187"/>
      <c r="AJ108" s="188"/>
      <c r="AK108" s="188"/>
      <c r="AL108" s="180"/>
      <c r="AM108" s="135">
        <v>127.0</v>
      </c>
      <c r="AN108" s="152" t="s">
        <v>46</v>
      </c>
      <c r="AO108" s="135">
        <v>0.0</v>
      </c>
      <c r="AP108" s="139"/>
      <c r="AQ108" s="189"/>
      <c r="AR108" s="189"/>
      <c r="AS108" s="180"/>
      <c r="AT108" s="180"/>
      <c r="AU108" s="180"/>
      <c r="AV108" s="180"/>
      <c r="AW108" s="180"/>
      <c r="AX108" s="180"/>
      <c r="AY108" s="180"/>
      <c r="AZ108" s="180"/>
      <c r="BA108" s="180"/>
      <c r="BB108" s="180"/>
      <c r="BC108" s="180"/>
      <c r="BD108" s="180"/>
      <c r="BE108" s="180"/>
      <c r="BF108" s="180"/>
      <c r="BG108" s="180"/>
      <c r="BH108" s="180"/>
    </row>
    <row r="109" ht="12.75" customHeight="1">
      <c r="A109" s="71"/>
      <c r="B109" s="154" t="str">
        <f>IFERROR(__xludf.DUMMYFUNCTION("IFERROR(
  IF(C109="""","""",
    IF(OR(REGEXMATCH(D109,""(?i)-Flashing""), REGEXMATCH(D109,""(?i)-EavesGut""), REGEXMATCH(D109,""(?i)Valley"")),
        ""DR"" &amp;
        TEXT(
            ROUNDUP(
                MIN(
                    VALUE(MID(C109, "&amp;"FIND(""("",C109)+1, FIND(""/"",C109)-FIND(""("",C109)-1)),
                    1200
                ) / 50, 0
            ) * 50, ""0""
        ) &amp;
        MID(C109, FIND(""/"",C109)+1, FIND("")"",C109)-FIND(""/"",C109)-1) &amp;
        TEXT(H109*100,""0"") &amp;"&amp;"
        I109,
    IF(AND(D109=""Roof Sheet"", REGEXMATCH(C109,""(?i)KS\d{4}[A-Z]{2}"")),
       REGEXEXTRACT(C109,""(?i)KS\d{4}[A-Z]{2}""),
    IF(AND(REGEXMATCH(D109,""(?i)-DP""), REGEXMATCH(C109,""(?i)Downpipe"")),
       ""dp"" &amp; REGEXEXTRACT(C109,""("&amp;"\d+)"") &amp; ""mm"",
    IF(AND(REGEXMATCH(D109,""(?i)Bracket""), REGEXMATCH(C109,""(?i)Bracket"")),
       ""Brkt"" &amp; REGEXEXTRACT(C109,""(\d+)"") &amp; ""mm"",
    IF(AND(REGEXMATCH(D109,""(?i)-OP""), REGEXMATCH(C109,""(?i)pops"")),
       ""op"" &amp; REGEXEXTRAC"&amp;"T(C109,""(\d+)"") &amp; ""mm"",
    IF(OR(D109=""R-FFTop"", D109=""R-FFBottom"", D109=""R-FFSide""),
        IF(REGEXMATCH(C109,""(?i)Profiled.*Top|Top.*Profiled""),""pfft"",
        IF(REGEXMATCH(C109,""(?i)Profiled.*Bottom|Bottom.*Profiled""),""pffb"",
    "&amp;"    IF(REGEXMATCH(C109,""(?i)Square""),""sff"",""""))),
    IF(REGEXMATCH(D109,""(?i)-Rivets""),""Rvt"",
    IF(REGEXMATCH(D109,""(?i)Silicone""),""300ml"",
    IF(REGEXMATCH(D109,""(?i)R-Butyl""),""300ml"",
    IF(REGEXMATCH(D109,""(?i)Fix""),""GenFix"","&amp;"
    IF(AND(REGEXMATCH(C109,""(?i)Timber""), REGEXMATCH(D109,""(?i)Timber"")),""tp"",
    IF(AND(REGEXMATCH(C109,""(?i)Vent G1275""), REGEXMATCH(D109,""(?i)Comb FIller"")),""CFV1275"",
    IF(REGEXMATCH(C109,""(?i)DPC""),""dpc"",
    IF(REGEXMATCH(C109,"""&amp;"(?i)Concealed Clips""),""ConClips"",
    IF(REGEXMATCH(D109,""(?i)-Takeoff ea""),""Takeoff ea"",
    IF(REGEXMATCH(D109,""(?i)-Takeoff LM""),""Takeoff LM"",
    IF(REGEXMATCH(D109,""(?i)-Takeoff m2""),""Takeoff m2"",
    IF(D109=""R-TU/TD"",""TU/TD"","""""&amp;")))))))))))))))))
  )))"),"pffb")</f>
        <v>pffb</v>
      </c>
      <c r="C109" s="158" t="s">
        <v>125</v>
      </c>
      <c r="D109" s="124" t="s">
        <v>126</v>
      </c>
      <c r="E109" s="237"/>
      <c r="F109" s="129"/>
      <c r="G109" s="129"/>
      <c r="H109" s="127"/>
      <c r="I109" s="127"/>
      <c r="J109" s="126" t="s">
        <v>87</v>
      </c>
      <c r="K109" s="126" t="s">
        <v>55</v>
      </c>
      <c r="L109" s="135">
        <f>M105</f>
        <v>112.78</v>
      </c>
      <c r="M109" s="150">
        <f>M105</f>
        <v>112.78</v>
      </c>
      <c r="N109" s="151">
        <f>IFERROR(__xludf.DUMMYFUNCTION("""COMPUTED_VALUE"""),1.0)</f>
        <v>1</v>
      </c>
      <c r="O109" s="134">
        <v>1.0</v>
      </c>
      <c r="P109" s="134">
        <v>1.0</v>
      </c>
      <c r="Q109" s="168">
        <f t="shared" si="65"/>
        <v>112.78</v>
      </c>
      <c r="R109" s="136" t="s">
        <v>42</v>
      </c>
      <c r="S109" s="137">
        <f t="shared" si="66"/>
        <v>0</v>
      </c>
      <c r="T109" s="138"/>
      <c r="U109" s="136" t="s">
        <v>42</v>
      </c>
      <c r="V109" s="139"/>
      <c r="W109" s="140">
        <f t="shared" si="67"/>
        <v>0</v>
      </c>
      <c r="X109" s="2"/>
      <c r="Y109" s="5"/>
      <c r="Z109" s="5"/>
      <c r="AA109" s="5"/>
      <c r="AB109" s="113">
        <f t="shared" si="68"/>
        <v>0</v>
      </c>
      <c r="AC109" s="33"/>
      <c r="AD109" s="65"/>
      <c r="AE109" s="66"/>
      <c r="AF109" s="144"/>
      <c r="AG109" s="68"/>
      <c r="AH109" s="69"/>
      <c r="AI109" s="39"/>
      <c r="AJ109" s="70"/>
      <c r="AK109" s="70"/>
      <c r="AL109" s="5"/>
      <c r="AM109" s="135">
        <v>112.78</v>
      </c>
      <c r="AN109" s="152" t="s">
        <v>46</v>
      </c>
      <c r="AO109" s="135">
        <v>0.0</v>
      </c>
      <c r="AP109" s="139"/>
      <c r="AQ109" s="5"/>
      <c r="AR109" s="5"/>
      <c r="AS109" s="5"/>
      <c r="AT109" s="5"/>
      <c r="AU109" s="5"/>
      <c r="AV109" s="5"/>
      <c r="AW109" s="5"/>
      <c r="AX109" s="5"/>
      <c r="AY109" s="5"/>
      <c r="AZ109" s="5"/>
      <c r="BA109" s="5"/>
      <c r="BB109" s="5"/>
      <c r="BC109" s="5"/>
      <c r="BD109" s="5"/>
      <c r="BE109" s="5"/>
      <c r="BF109" s="5"/>
      <c r="BG109" s="5"/>
      <c r="BH109" s="5"/>
    </row>
    <row r="110" ht="12.75" customHeight="1">
      <c r="A110" s="71"/>
      <c r="B110" s="154" t="str">
        <f>IFERROR(__xludf.DUMMYFUNCTION("IFERROR(
  IF(C110="""","""",
    IF(OR(REGEXMATCH(D110,""(?i)-Flashing""), REGEXMATCH(D110,""(?i)-EavesGut""), REGEXMATCH(D110,""(?i)Valley"")),
        ""DR"" &amp;
        TEXT(
            ROUNDUP(
                MIN(
                    VALUE(MID(C110, "&amp;"FIND(""("",C110)+1, FIND(""/"",C110)-FIND(""("",C110)-1)),
                    1200
                ) / 50, 0
            ) * 50, ""0""
        ) &amp;
        MID(C110, FIND(""/"",C110)+1, FIND("")"",C110)-FIND(""/"",C110)-1) &amp;
        TEXT(H110*100,""0"") &amp;"&amp;"
        I110,
    IF(AND(D110=""Roof Sheet"", REGEXMATCH(C110,""(?i)KS\d{4}[A-Z]{2}"")),
       REGEXEXTRACT(C110,""(?i)KS\d{4}[A-Z]{2}""),
    IF(AND(REGEXMATCH(D110,""(?i)-DP""), REGEXMATCH(C110,""(?i)Downpipe"")),
       ""dp"" &amp; REGEXEXTRACT(C110,""("&amp;"\d+)"") &amp; ""mm"",
    IF(AND(REGEXMATCH(D110,""(?i)Bracket""), REGEXMATCH(C110,""(?i)Bracket"")),
       ""Brkt"" &amp; REGEXEXTRACT(C110,""(\d+)"") &amp; ""mm"",
    IF(AND(REGEXMATCH(D110,""(?i)-OP""), REGEXMATCH(C110,""(?i)pops"")),
       ""op"" &amp; REGEXEXTRAC"&amp;"T(C110,""(\d+)"") &amp; ""mm"",
    IF(OR(D110=""R-FFTop"", D110=""R-FFBottom"", D110=""R-FFSide""),
        IF(REGEXMATCH(C110,""(?i)Profiled.*Top|Top.*Profiled""),""pfft"",
        IF(REGEXMATCH(C110,""(?i)Profiled.*Bottom|Bottom.*Profiled""),""pffb"",
    "&amp;"    IF(REGEXMATCH(C110,""(?i)Square""),""sff"",""""))),
    IF(REGEXMATCH(D110,""(?i)-Rivets""),""Rvt"",
    IF(REGEXMATCH(D110,""(?i)Silicone""),""300ml"",
    IF(REGEXMATCH(D110,""(?i)R-Butyl""),""300ml"",
    IF(REGEXMATCH(D110,""(?i)Fix""),""GenFix"","&amp;"
    IF(AND(REGEXMATCH(C110,""(?i)Timber""), REGEXMATCH(D110,""(?i)Timber"")),""tp"",
    IF(AND(REGEXMATCH(C110,""(?i)Vent G1275""), REGEXMATCH(D110,""(?i)Comb FIller"")),""CFV1275"",
    IF(REGEXMATCH(C110,""(?i)DPC""),""dpc"",
    IF(REGEXMATCH(C110,"""&amp;"(?i)Concealed Clips""),""ConClips"",
    IF(REGEXMATCH(D110,""(?i)-Takeoff ea""),""Takeoff ea"",
    IF(REGEXMATCH(D110,""(?i)-Takeoff LM""),""Takeoff LM"",
    IF(REGEXMATCH(D110,""(?i)-Takeoff m2""),""Takeoff m2"",
    IF(D110=""R-TU/TD"",""TU/TD"","""""&amp;")))))))))))))))))
  )))"),"TU/TD")</f>
        <v>TU/TD</v>
      </c>
      <c r="C110" s="158" t="s">
        <v>127</v>
      </c>
      <c r="D110" s="124" t="s">
        <v>107</v>
      </c>
      <c r="E110" s="237"/>
      <c r="F110" s="129"/>
      <c r="G110" s="129"/>
      <c r="H110" s="127"/>
      <c r="I110" s="127"/>
      <c r="J110" s="126" t="s">
        <v>87</v>
      </c>
      <c r="K110" s="126" t="s">
        <v>55</v>
      </c>
      <c r="L110" s="135">
        <f>M105</f>
        <v>112.78</v>
      </c>
      <c r="M110" s="150">
        <f>M105</f>
        <v>112.78</v>
      </c>
      <c r="N110" s="151">
        <f>IFERROR(__xludf.DUMMYFUNCTION("""COMPUTED_VALUE"""),1.0)</f>
        <v>1</v>
      </c>
      <c r="O110" s="134">
        <v>1.0</v>
      </c>
      <c r="P110" s="134">
        <v>1.0</v>
      </c>
      <c r="Q110" s="168">
        <f t="shared" si="65"/>
        <v>112.78</v>
      </c>
      <c r="R110" s="136" t="s">
        <v>42</v>
      </c>
      <c r="S110" s="137">
        <f t="shared" si="66"/>
        <v>0</v>
      </c>
      <c r="T110" s="138"/>
      <c r="U110" s="136" t="s">
        <v>42</v>
      </c>
      <c r="V110" s="139"/>
      <c r="W110" s="140">
        <f t="shared" si="67"/>
        <v>0</v>
      </c>
      <c r="X110" s="2"/>
      <c r="Y110" s="5"/>
      <c r="Z110" s="5"/>
      <c r="AA110" s="5"/>
      <c r="AB110" s="113">
        <f t="shared" si="68"/>
        <v>0</v>
      </c>
      <c r="AC110" s="33"/>
      <c r="AD110" s="65"/>
      <c r="AE110" s="66"/>
      <c r="AF110" s="144"/>
      <c r="AG110" s="68"/>
      <c r="AH110" s="69"/>
      <c r="AI110" s="39"/>
      <c r="AJ110" s="70"/>
      <c r="AK110" s="70"/>
      <c r="AL110" s="5"/>
      <c r="AM110" s="135">
        <v>112.78</v>
      </c>
      <c r="AN110" s="152" t="s">
        <v>46</v>
      </c>
      <c r="AO110" s="135">
        <v>0.0</v>
      </c>
      <c r="AP110" s="139"/>
      <c r="AQ110" s="5"/>
      <c r="AR110" s="5"/>
      <c r="AS110" s="5"/>
      <c r="AT110" s="5"/>
      <c r="AU110" s="5"/>
      <c r="AV110" s="5"/>
      <c r="AW110" s="5"/>
      <c r="AX110" s="5"/>
      <c r="AY110" s="5"/>
      <c r="AZ110" s="5"/>
      <c r="BA110" s="5"/>
      <c r="BB110" s="5"/>
      <c r="BC110" s="5"/>
      <c r="BD110" s="5"/>
      <c r="BE110" s="5"/>
      <c r="BF110" s="5"/>
      <c r="BG110" s="5"/>
      <c r="BH110" s="5"/>
    </row>
    <row r="111" ht="12.75" customHeight="1">
      <c r="A111" s="71"/>
      <c r="B111" s="154"/>
      <c r="C111" s="158"/>
      <c r="D111" s="124"/>
      <c r="E111" s="237"/>
      <c r="F111" s="129"/>
      <c r="G111" s="129"/>
      <c r="H111" s="127"/>
      <c r="I111" s="127"/>
      <c r="J111" s="126"/>
      <c r="K111" s="126" t="s">
        <v>42</v>
      </c>
      <c r="L111" s="135"/>
      <c r="M111" s="150" t="s">
        <v>42</v>
      </c>
      <c r="N111" s="151" t="str">
        <f>IFERROR(__xludf.DUMMYFUNCTION("""COMPUTED_VALUE"""),"")</f>
        <v/>
      </c>
      <c r="O111" s="134"/>
      <c r="P111" s="134"/>
      <c r="Q111" s="168"/>
      <c r="R111" s="136"/>
      <c r="S111" s="137"/>
      <c r="T111" s="138"/>
      <c r="U111" s="136"/>
      <c r="V111" s="139"/>
      <c r="W111" s="140"/>
      <c r="X111" s="2"/>
      <c r="Y111" s="5"/>
      <c r="Z111" s="5"/>
      <c r="AA111" s="5"/>
      <c r="AB111" s="113">
        <f t="shared" si="68"/>
        <v>0</v>
      </c>
      <c r="AC111" s="33"/>
      <c r="AD111" s="65"/>
      <c r="AE111" s="66"/>
      <c r="AF111" s="144"/>
      <c r="AG111" s="68"/>
      <c r="AH111" s="69"/>
      <c r="AI111" s="39"/>
      <c r="AJ111" s="70"/>
      <c r="AK111" s="70"/>
      <c r="AL111" s="5"/>
      <c r="AM111" s="135" t="s">
        <v>42</v>
      </c>
      <c r="AN111" s="152"/>
      <c r="AO111" s="135" t="s">
        <v>42</v>
      </c>
      <c r="AP111" s="139"/>
      <c r="AQ111" s="5"/>
      <c r="AR111" s="5"/>
      <c r="AS111" s="5"/>
      <c r="AT111" s="5"/>
      <c r="AU111" s="5"/>
      <c r="AV111" s="5"/>
      <c r="AW111" s="5"/>
      <c r="AX111" s="5"/>
      <c r="AY111" s="5"/>
      <c r="AZ111" s="5"/>
      <c r="BA111" s="5"/>
      <c r="BB111" s="5"/>
      <c r="BC111" s="5"/>
      <c r="BD111" s="5"/>
      <c r="BE111" s="5"/>
      <c r="BF111" s="5"/>
      <c r="BG111" s="5"/>
      <c r="BH111" s="5"/>
    </row>
    <row r="112" ht="12.75" customHeight="1">
      <c r="A112" s="71"/>
      <c r="B112" s="122" t="s">
        <v>128</v>
      </c>
      <c r="C112" s="123" t="s">
        <v>129</v>
      </c>
      <c r="D112" s="148" t="s">
        <v>130</v>
      </c>
      <c r="E112" s="237"/>
      <c r="F112" s="129"/>
      <c r="G112" s="129"/>
      <c r="H112" s="127"/>
      <c r="I112" s="127"/>
      <c r="J112" s="126" t="s">
        <v>14</v>
      </c>
      <c r="K112" s="126" t="s">
        <v>55</v>
      </c>
      <c r="L112" s="135">
        <f>M105</f>
        <v>112.78</v>
      </c>
      <c r="M112" s="150">
        <f>M105</f>
        <v>112.78</v>
      </c>
      <c r="N112" s="151">
        <f>IFERROR(__xludf.DUMMYFUNCTION("""COMPUTED_VALUE"""),1.0)</f>
        <v>1</v>
      </c>
      <c r="O112" s="134">
        <v>1.0</v>
      </c>
      <c r="P112" s="134">
        <v>1.0</v>
      </c>
      <c r="Q112" s="168">
        <f>M112*N112*O112*P112</f>
        <v>112.78</v>
      </c>
      <c r="R112" s="136" t="s">
        <v>42</v>
      </c>
      <c r="S112" s="137">
        <f>R112*Q112</f>
        <v>0</v>
      </c>
      <c r="T112" s="138"/>
      <c r="U112" s="136" t="s">
        <v>42</v>
      </c>
      <c r="V112" s="139"/>
      <c r="W112" s="140">
        <f>U112*Q112</f>
        <v>0</v>
      </c>
      <c r="X112" s="2"/>
      <c r="Y112" s="5"/>
      <c r="Z112" s="5"/>
      <c r="AA112" s="5"/>
      <c r="AB112" s="113">
        <f t="shared" si="68"/>
        <v>0</v>
      </c>
      <c r="AC112" s="33"/>
      <c r="AD112" s="65"/>
      <c r="AE112" s="66"/>
      <c r="AF112" s="144"/>
      <c r="AG112" s="68"/>
      <c r="AH112" s="69"/>
      <c r="AI112" s="39"/>
      <c r="AJ112" s="70"/>
      <c r="AK112" s="70"/>
      <c r="AL112" s="5"/>
      <c r="AM112" s="135">
        <v>112.78</v>
      </c>
      <c r="AN112" s="152" t="s">
        <v>46</v>
      </c>
      <c r="AO112" s="135">
        <v>0.0</v>
      </c>
      <c r="AP112" s="139"/>
      <c r="AQ112" s="5"/>
      <c r="AR112" s="5"/>
      <c r="AS112" s="5"/>
      <c r="AT112" s="5"/>
      <c r="AU112" s="5"/>
      <c r="AV112" s="5"/>
      <c r="AW112" s="5"/>
      <c r="AX112" s="5"/>
      <c r="AY112" s="5"/>
      <c r="AZ112" s="5"/>
      <c r="BA112" s="5"/>
      <c r="BB112" s="5"/>
      <c r="BC112" s="5"/>
      <c r="BD112" s="5"/>
      <c r="BE112" s="5"/>
      <c r="BF112" s="5"/>
      <c r="BG112" s="5"/>
      <c r="BH112" s="5"/>
    </row>
    <row r="113" ht="12.75" customHeight="1">
      <c r="A113" s="71"/>
      <c r="B113" s="154"/>
      <c r="C113" s="158"/>
      <c r="D113" s="124"/>
      <c r="E113" s="237"/>
      <c r="F113" s="129"/>
      <c r="G113" s="129"/>
      <c r="H113" s="127"/>
      <c r="I113" s="127"/>
      <c r="J113" s="126"/>
      <c r="K113" s="126" t="s">
        <v>42</v>
      </c>
      <c r="L113" s="135"/>
      <c r="M113" s="150" t="s">
        <v>42</v>
      </c>
      <c r="N113" s="151" t="str">
        <f>IFERROR(__xludf.DUMMYFUNCTION("""COMPUTED_VALUE"""),"")</f>
        <v/>
      </c>
      <c r="O113" s="134"/>
      <c r="P113" s="134"/>
      <c r="Q113" s="168"/>
      <c r="R113" s="136"/>
      <c r="S113" s="137"/>
      <c r="T113" s="138"/>
      <c r="U113" s="136"/>
      <c r="V113" s="139"/>
      <c r="W113" s="140"/>
      <c r="X113" s="2"/>
      <c r="Y113" s="5"/>
      <c r="Z113" s="5"/>
      <c r="AA113" s="5"/>
      <c r="AB113" s="113">
        <f t="shared" si="68"/>
        <v>0</v>
      </c>
      <c r="AC113" s="33"/>
      <c r="AD113" s="65"/>
      <c r="AE113" s="66"/>
      <c r="AF113" s="144"/>
      <c r="AG113" s="68"/>
      <c r="AH113" s="69"/>
      <c r="AI113" s="39"/>
      <c r="AJ113" s="70"/>
      <c r="AK113" s="70"/>
      <c r="AL113" s="5"/>
      <c r="AM113" s="135" t="s">
        <v>42</v>
      </c>
      <c r="AN113" s="152"/>
      <c r="AO113" s="135" t="s">
        <v>42</v>
      </c>
      <c r="AP113" s="139"/>
      <c r="AQ113" s="5"/>
      <c r="AR113" s="5"/>
      <c r="AS113" s="5"/>
      <c r="AT113" s="5"/>
      <c r="AU113" s="5"/>
      <c r="AV113" s="5"/>
      <c r="AW113" s="5"/>
      <c r="AX113" s="5"/>
      <c r="AY113" s="5"/>
      <c r="AZ113" s="5"/>
      <c r="BA113" s="5"/>
      <c r="BB113" s="5"/>
      <c r="BC113" s="5"/>
      <c r="BD113" s="5"/>
      <c r="BE113" s="5"/>
      <c r="BF113" s="5"/>
      <c r="BG113" s="5"/>
      <c r="BH113" s="5"/>
    </row>
    <row r="114" ht="12.75" customHeight="1">
      <c r="A114" s="71"/>
      <c r="B114" s="154" t="s">
        <v>131</v>
      </c>
      <c r="C114" s="225" t="s">
        <v>132</v>
      </c>
      <c r="D114" s="124" t="s">
        <v>133</v>
      </c>
      <c r="E114" s="237"/>
      <c r="F114" s="127"/>
      <c r="G114" s="129"/>
      <c r="H114" s="127"/>
      <c r="I114" s="127"/>
      <c r="J114" s="126" t="s">
        <v>87</v>
      </c>
      <c r="K114" s="126" t="s">
        <v>52</v>
      </c>
      <c r="L114" s="224">
        <v>2.0</v>
      </c>
      <c r="M114" s="150">
        <v>2.0</v>
      </c>
      <c r="N114" s="215">
        <f>IFERROR(__xludf.DUMMYFUNCTION("""COMPUTED_VALUE"""),1.0)</f>
        <v>1</v>
      </c>
      <c r="O114" s="134">
        <v>1.0</v>
      </c>
      <c r="P114" s="134">
        <v>1.0</v>
      </c>
      <c r="Q114" s="168">
        <f t="shared" ref="Q114:Q115" si="70">M114*N114*O114*P114</f>
        <v>2</v>
      </c>
      <c r="R114" s="136" t="s">
        <v>42</v>
      </c>
      <c r="S114" s="137">
        <f t="shared" ref="S114:S115" si="71">R114*Q114</f>
        <v>0</v>
      </c>
      <c r="T114" s="138"/>
      <c r="U114" s="136" t="s">
        <v>42</v>
      </c>
      <c r="V114" s="139"/>
      <c r="W114" s="140">
        <f t="shared" ref="W114:W115" si="72">U114*Q114</f>
        <v>0</v>
      </c>
      <c r="X114" s="2"/>
      <c r="Y114" s="5"/>
      <c r="Z114" s="5"/>
      <c r="AA114" s="5"/>
      <c r="AB114" s="113">
        <f t="shared" si="68"/>
        <v>0</v>
      </c>
      <c r="AC114" s="33"/>
      <c r="AD114" s="226"/>
      <c r="AE114" s="227"/>
      <c r="AF114" s="228"/>
      <c r="AG114" s="229"/>
      <c r="AH114" s="230"/>
      <c r="AI114" s="39"/>
      <c r="AJ114" s="231"/>
      <c r="AK114" s="231"/>
      <c r="AL114" s="5"/>
      <c r="AM114" s="135">
        <v>2.0</v>
      </c>
      <c r="AN114" s="152" t="s">
        <v>46</v>
      </c>
      <c r="AO114" s="135">
        <v>0.0</v>
      </c>
      <c r="AP114" s="139"/>
      <c r="AQ114" s="5"/>
      <c r="AR114" s="5"/>
      <c r="AS114" s="5"/>
      <c r="AT114" s="5"/>
      <c r="AU114" s="5"/>
      <c r="AV114" s="5"/>
      <c r="AW114" s="5"/>
      <c r="AX114" s="5"/>
      <c r="AY114" s="5"/>
      <c r="AZ114" s="5"/>
      <c r="BA114" s="5"/>
      <c r="BB114" s="5"/>
      <c r="BC114" s="5"/>
      <c r="BD114" s="5"/>
      <c r="BE114" s="5"/>
      <c r="BF114" s="5"/>
      <c r="BG114" s="5"/>
      <c r="BH114" s="5"/>
    </row>
    <row r="115" ht="12.75" customHeight="1">
      <c r="A115" s="71"/>
      <c r="B115" s="154" t="s">
        <v>134</v>
      </c>
      <c r="C115" s="225" t="s">
        <v>135</v>
      </c>
      <c r="D115" s="124" t="s">
        <v>133</v>
      </c>
      <c r="E115" s="237"/>
      <c r="F115" s="127"/>
      <c r="G115" s="129"/>
      <c r="H115" s="127"/>
      <c r="I115" s="127"/>
      <c r="J115" s="126" t="s">
        <v>87</v>
      </c>
      <c r="K115" s="126" t="s">
        <v>52</v>
      </c>
      <c r="L115" s="224">
        <v>2.0</v>
      </c>
      <c r="M115" s="150">
        <v>2.0</v>
      </c>
      <c r="N115" s="215">
        <f>IFERROR(__xludf.DUMMYFUNCTION("""COMPUTED_VALUE"""),1.0)</f>
        <v>1</v>
      </c>
      <c r="O115" s="134">
        <v>1.0</v>
      </c>
      <c r="P115" s="134">
        <v>1.0</v>
      </c>
      <c r="Q115" s="168">
        <f t="shared" si="70"/>
        <v>2</v>
      </c>
      <c r="R115" s="136" t="s">
        <v>42</v>
      </c>
      <c r="S115" s="137">
        <f t="shared" si="71"/>
        <v>0</v>
      </c>
      <c r="T115" s="138"/>
      <c r="U115" s="136" t="s">
        <v>42</v>
      </c>
      <c r="V115" s="139"/>
      <c r="W115" s="140">
        <f t="shared" si="72"/>
        <v>0</v>
      </c>
      <c r="X115" s="2"/>
      <c r="Y115" s="5"/>
      <c r="Z115" s="5"/>
      <c r="AA115" s="5"/>
      <c r="AB115" s="113">
        <f t="shared" si="68"/>
        <v>0</v>
      </c>
      <c r="AC115" s="33"/>
      <c r="AD115" s="226"/>
      <c r="AE115" s="227"/>
      <c r="AF115" s="228"/>
      <c r="AG115" s="229"/>
      <c r="AH115" s="230"/>
      <c r="AI115" s="39"/>
      <c r="AJ115" s="231"/>
      <c r="AK115" s="231"/>
      <c r="AL115" s="5"/>
      <c r="AM115" s="135">
        <v>2.0</v>
      </c>
      <c r="AN115" s="152" t="s">
        <v>46</v>
      </c>
      <c r="AO115" s="135">
        <v>0.0</v>
      </c>
      <c r="AP115" s="139"/>
      <c r="AQ115" s="5"/>
      <c r="AR115" s="5"/>
      <c r="AS115" s="5"/>
      <c r="AT115" s="5"/>
      <c r="AU115" s="5"/>
      <c r="AV115" s="5"/>
      <c r="AW115" s="5"/>
      <c r="AX115" s="5"/>
      <c r="AY115" s="5"/>
      <c r="AZ115" s="5"/>
      <c r="BA115" s="5"/>
      <c r="BB115" s="5"/>
      <c r="BC115" s="5"/>
      <c r="BD115" s="5"/>
      <c r="BE115" s="5"/>
      <c r="BF115" s="5"/>
      <c r="BG115" s="5"/>
      <c r="BH115" s="5"/>
    </row>
    <row r="116" ht="12.75" customHeight="1">
      <c r="A116" s="71"/>
      <c r="B116" s="160"/>
      <c r="C116" s="127"/>
      <c r="D116" s="127"/>
      <c r="E116" s="161"/>
      <c r="F116" s="127"/>
      <c r="G116" s="129"/>
      <c r="H116" s="127"/>
      <c r="I116" s="127"/>
      <c r="J116" s="129"/>
      <c r="K116" s="129" t="s">
        <v>42</v>
      </c>
      <c r="L116" s="161"/>
      <c r="M116" s="163" t="s">
        <v>42</v>
      </c>
      <c r="N116" s="240" t="str">
        <f>IFERROR(__xludf.DUMMYFUNCTION("""COMPUTED_VALUE"""),"")</f>
        <v/>
      </c>
      <c r="O116" s="127"/>
      <c r="P116" s="127"/>
      <c r="Q116" s="161"/>
      <c r="R116" s="136"/>
      <c r="S116" s="139"/>
      <c r="T116" s="138"/>
      <c r="U116" s="136"/>
      <c r="V116" s="139"/>
      <c r="W116" s="164"/>
      <c r="X116" s="2"/>
      <c r="Y116" s="5"/>
      <c r="Z116" s="5"/>
      <c r="AA116" s="5"/>
      <c r="AB116" s="113">
        <f t="shared" si="68"/>
        <v>0</v>
      </c>
      <c r="AC116" s="33"/>
      <c r="AD116" s="226"/>
      <c r="AE116" s="227"/>
      <c r="AF116" s="228"/>
      <c r="AG116" s="229"/>
      <c r="AH116" s="230"/>
      <c r="AI116" s="39"/>
      <c r="AJ116" s="231"/>
      <c r="AK116" s="231"/>
      <c r="AL116" s="5"/>
      <c r="AM116" s="135" t="s">
        <v>42</v>
      </c>
      <c r="AN116" s="152"/>
      <c r="AO116" s="135" t="s">
        <v>42</v>
      </c>
      <c r="AP116" s="139"/>
      <c r="AQ116" s="5"/>
      <c r="AR116" s="5"/>
      <c r="AS116" s="5"/>
      <c r="AT116" s="5"/>
      <c r="AU116" s="5"/>
      <c r="AV116" s="5"/>
      <c r="AW116" s="5"/>
      <c r="AX116" s="5"/>
      <c r="AY116" s="5"/>
      <c r="AZ116" s="5"/>
      <c r="BA116" s="5"/>
      <c r="BB116" s="5"/>
      <c r="BC116" s="5"/>
      <c r="BD116" s="5"/>
      <c r="BE116" s="5"/>
      <c r="BF116" s="5"/>
      <c r="BG116" s="5"/>
      <c r="BH116" s="5"/>
    </row>
    <row r="117" ht="12.75" customHeight="1">
      <c r="A117" s="71">
        <v>1.0</v>
      </c>
      <c r="B117" s="170"/>
      <c r="C117" s="171" t="s">
        <v>136</v>
      </c>
      <c r="D117" s="172"/>
      <c r="E117" s="173"/>
      <c r="F117" s="174"/>
      <c r="G117" s="174"/>
      <c r="H117" s="174"/>
      <c r="I117" s="174"/>
      <c r="J117" s="174"/>
      <c r="K117" s="174" t="s">
        <v>42</v>
      </c>
      <c r="L117" s="173"/>
      <c r="M117" s="175" t="s">
        <v>42</v>
      </c>
      <c r="N117" s="176" t="str">
        <f>IFERROR(__xludf.DUMMYFUNCTION("""COMPUTED_VALUE"""),"")</f>
        <v/>
      </c>
      <c r="O117" s="174"/>
      <c r="P117" s="174"/>
      <c r="Q117" s="174"/>
      <c r="R117" s="136"/>
      <c r="S117" s="177"/>
      <c r="T117" s="177"/>
      <c r="U117" s="136"/>
      <c r="V117" s="177"/>
      <c r="W117" s="178"/>
      <c r="X117" s="179"/>
      <c r="Y117" s="180"/>
      <c r="Z117" s="180"/>
      <c r="AA117" s="180"/>
      <c r="AB117" s="180"/>
      <c r="AC117" s="181"/>
      <c r="AD117" s="182"/>
      <c r="AE117" s="183"/>
      <c r="AF117" s="184"/>
      <c r="AG117" s="185"/>
      <c r="AH117" s="186"/>
      <c r="AI117" s="187"/>
      <c r="AJ117" s="188"/>
      <c r="AK117" s="188"/>
      <c r="AL117" s="180"/>
      <c r="AM117" s="135" t="s">
        <v>42</v>
      </c>
      <c r="AN117" s="152"/>
      <c r="AO117" s="135" t="s">
        <v>42</v>
      </c>
      <c r="AP117" s="139"/>
      <c r="AQ117" s="189"/>
      <c r="AR117" s="189"/>
      <c r="AS117" s="180"/>
      <c r="AT117" s="180"/>
      <c r="AU117" s="180"/>
      <c r="AV117" s="180"/>
      <c r="AW117" s="180"/>
      <c r="AX117" s="180"/>
      <c r="AY117" s="180"/>
      <c r="AZ117" s="180"/>
      <c r="BA117" s="180"/>
      <c r="BB117" s="180"/>
      <c r="BC117" s="180"/>
      <c r="BD117" s="180"/>
      <c r="BE117" s="180"/>
      <c r="BF117" s="180"/>
      <c r="BG117" s="180"/>
      <c r="BH117" s="180"/>
    </row>
    <row r="118">
      <c r="A118" s="71">
        <v>1.0</v>
      </c>
      <c r="B118" s="190"/>
      <c r="C118" s="191" t="s">
        <v>137</v>
      </c>
      <c r="D118" s="192"/>
      <c r="E118" s="193"/>
      <c r="F118" s="241"/>
      <c r="G118" s="192"/>
      <c r="H118" s="194"/>
      <c r="I118" s="194"/>
      <c r="J118" s="194"/>
      <c r="K118" s="194" t="s">
        <v>42</v>
      </c>
      <c r="L118" s="195">
        <f>Q118</f>
        <v>24</v>
      </c>
      <c r="M118" s="196" t="s">
        <v>42</v>
      </c>
      <c r="N118" s="197" t="str">
        <f>IFERROR(__xludf.DUMMYFUNCTION("""COMPUTED_VALUE"""),"")</f>
        <v/>
      </c>
      <c r="O118" s="194"/>
      <c r="P118" s="194"/>
      <c r="Q118" s="195">
        <f>Q119</f>
        <v>24</v>
      </c>
      <c r="R118" s="136"/>
      <c r="S118" s="198">
        <f>T118/Q118</f>
        <v>0</v>
      </c>
      <c r="T118" s="198">
        <f>SUM(S119:S124)</f>
        <v>0</v>
      </c>
      <c r="U118" s="136"/>
      <c r="V118" s="198">
        <f>W118/Q118</f>
        <v>0</v>
      </c>
      <c r="W118" s="199">
        <f>SUM(W119:W124)</f>
        <v>0</v>
      </c>
      <c r="X118" s="111" t="str">
        <f>W118/$AC$176/$W$183/$X$173</f>
        <v>#REF!</v>
      </c>
      <c r="Y118" s="200" t="b">
        <f>(T118+W118)=(SUM(AB119:AB125))</f>
        <v>1</v>
      </c>
      <c r="Z118" s="180">
        <f>(T118+W118)-(SUM(AB119:AB125))</f>
        <v>0</v>
      </c>
      <c r="AA118" s="180"/>
      <c r="AB118" s="180"/>
      <c r="AC118" s="181"/>
      <c r="AD118" s="114">
        <f>W118+T118</f>
        <v>0</v>
      </c>
      <c r="AE118" s="115">
        <f>AD118</f>
        <v>0</v>
      </c>
      <c r="AF118" s="116" t="str">
        <f>AE118/$AE$151</f>
        <v>#REF!</v>
      </c>
      <c r="AG118" s="117" t="str">
        <f>AF118*$AG$158</f>
        <v>#REF!</v>
      </c>
      <c r="AH118" s="118" t="str">
        <f>AF118*$AG$161</f>
        <v>#REF!</v>
      </c>
      <c r="AI118" s="39"/>
      <c r="AJ118" s="119" t="str">
        <f>ROUND(AK118/L118,2)</f>
        <v>#REF!</v>
      </c>
      <c r="AK118" s="119" t="str">
        <f>ROUND(AH118+AG118+AD118,2)</f>
        <v>#REF!</v>
      </c>
      <c r="AL118" s="180"/>
      <c r="AM118" s="135" t="s">
        <v>42</v>
      </c>
      <c r="AN118" s="152"/>
      <c r="AO118" s="135" t="s">
        <v>42</v>
      </c>
      <c r="AP118" s="139"/>
      <c r="AQ118" s="189"/>
      <c r="AR118" s="189"/>
      <c r="AS118" s="180"/>
      <c r="AT118" s="180"/>
      <c r="AU118" s="180"/>
      <c r="AV118" s="180"/>
      <c r="AW118" s="180"/>
      <c r="AX118" s="180"/>
      <c r="AY118" s="180"/>
      <c r="AZ118" s="180"/>
      <c r="BA118" s="180"/>
      <c r="BB118" s="180"/>
      <c r="BC118" s="180"/>
      <c r="BD118" s="180"/>
      <c r="BE118" s="180"/>
      <c r="BF118" s="180"/>
      <c r="BG118" s="180"/>
      <c r="BH118" s="180"/>
    </row>
    <row r="119" ht="12.75" customHeight="1">
      <c r="A119" s="71"/>
      <c r="B119" s="154" t="str">
        <f>IFERROR(__xludf.DUMMYFUNCTION("IFERROR(
  IF(C119="""","""",
    IF(OR(REGEXMATCH(D119,""(?i)-Flashing""), REGEXMATCH(D119,""(?i)-EavesGut""), REGEXMATCH(D119,""(?i)Valley"")),
        ""DR"" &amp;
        TEXT(
            ROUNDUP(
                MIN(
                    VALUE(MID(C119, "&amp;"FIND(""("",C119)+1, FIND(""/"",C119)-FIND(""("",C119)-1)),
                    1200
                ) / 50, 0
            ) * 50, ""0""
        ) &amp;
        MID(C119, FIND(""/"",C119)+1, FIND("")"",C119)-FIND(""/"",C119)-1) &amp;
        TEXT(H119*100,""0"") &amp;"&amp;"
        I119,
    IF(AND(D119=""Roof Sheet"", REGEXMATCH(C119,""(?i)KS\d{4}[A-Z]{2}"")),
       REGEXEXTRACT(C119,""(?i)KS\d{4}[A-Z]{2}""),
    IF(AND(REGEXMATCH(D119,""(?i)-DP""), REGEXMATCH(C119,""(?i)Downpipe"")),
       ""dp"" &amp; REGEXEXTRACT(C119,""("&amp;"\d+)"") &amp; ""mm"",
    IF(AND(REGEXMATCH(D119,""(?i)Bracket""), REGEXMATCH(C119,""(?i)Bracket"")),
       ""Brkt"" &amp; REGEXEXTRACT(C119,""(\d+)"") &amp; ""mm"",
    IF(AND(REGEXMATCH(D119,""(?i)-OP""), REGEXMATCH(C119,""(?i)pops"")),
       ""op"" &amp; REGEXEXTRAC"&amp;"T(C119,""(\d+)"") &amp; ""mm"",
    IF(OR(D119=""R-FFTop"", D119=""R-FFBottom"", D119=""R-FFSide""),
        IF(REGEXMATCH(C119,""(?i)Profiled.*Top|Top.*Profiled""),""pfft"",
        IF(REGEXMATCH(C119,""(?i)Profiled.*Bottom|Bottom.*Profiled""),""pffb"",
    "&amp;"    IF(REGEXMATCH(C119,""(?i)Square""),""sff"",""""))),
    IF(REGEXMATCH(D119,""(?i)-Rivets""),""Rvt"",
    IF(REGEXMATCH(D119,""(?i)Silicone""),""300ml"",
    IF(REGEXMATCH(D119,""(?i)R-Butyl""),""300ml"",
    IF(REGEXMATCH(D119,""(?i)Fix""),""GenFix"","&amp;"
    IF(AND(REGEXMATCH(C119,""(?i)Timber""), REGEXMATCH(D119,""(?i)Timber"")),""tp"",
    IF(AND(REGEXMATCH(C119,""(?i)Vent G1275""), REGEXMATCH(D119,""(?i)Comb FIller"")),""CFV1275"",
    IF(REGEXMATCH(C119,""(?i)DPC""),""dpc"",
    IF(REGEXMATCH(C119,"""&amp;"(?i)Concealed Clips""),""ConClips"",
    IF(REGEXMATCH(D119,""(?i)-Takeoff ea""),""Takeoff ea"",
    IF(REGEXMATCH(D119,""(?i)-Takeoff LM""),""Takeoff LM"",
    IF(REGEXMATCH(D119,""(?i)-Takeoff m2""),""Takeoff m2"",
    IF(D119=""R-TU/TD"",""TU/TD"","""""&amp;")))))))))))))))))
  )))"),"dp150mm")</f>
        <v>dp150mm</v>
      </c>
      <c r="C119" s="123" t="s">
        <v>138</v>
      </c>
      <c r="D119" s="124" t="s">
        <v>139</v>
      </c>
      <c r="E119" s="163"/>
      <c r="F119" s="129"/>
      <c r="G119" s="129"/>
      <c r="H119" s="127"/>
      <c r="I119" s="155"/>
      <c r="J119" s="126" t="s">
        <v>14</v>
      </c>
      <c r="K119" s="126" t="s">
        <v>55</v>
      </c>
      <c r="L119" s="131">
        <v>5.0</v>
      </c>
      <c r="M119" s="150">
        <v>5.0</v>
      </c>
      <c r="N119" s="151">
        <f>IFERROR(__xludf.DUMMYFUNCTION("""COMPUTED_VALUE"""),1.0)</f>
        <v>1</v>
      </c>
      <c r="O119" s="156">
        <v>2.0</v>
      </c>
      <c r="P119" s="156">
        <v>2.4</v>
      </c>
      <c r="Q119" s="242">
        <f t="shared" ref="Q119:Q120" si="73">M119*N119*O119*P119</f>
        <v>24</v>
      </c>
      <c r="R119" s="136" t="s">
        <v>42</v>
      </c>
      <c r="S119" s="137">
        <f t="shared" ref="S119:S120" si="74">R119*Q119</f>
        <v>0</v>
      </c>
      <c r="T119" s="138"/>
      <c r="U119" s="136" t="s">
        <v>42</v>
      </c>
      <c r="V119" s="139"/>
      <c r="W119" s="140">
        <f t="shared" ref="W119:W120" si="75">U119*Q119</f>
        <v>0</v>
      </c>
      <c r="X119" s="165"/>
      <c r="Y119" s="5"/>
      <c r="Z119" s="5"/>
      <c r="AA119" s="5"/>
      <c r="AB119" s="113">
        <f t="shared" ref="AB119:AB125" si="76">W119+S119</f>
        <v>0</v>
      </c>
      <c r="AC119" s="33"/>
      <c r="AD119" s="65"/>
      <c r="AE119" s="66"/>
      <c r="AF119" s="144"/>
      <c r="AG119" s="68"/>
      <c r="AH119" s="69"/>
      <c r="AI119" s="39"/>
      <c r="AJ119" s="70"/>
      <c r="AK119" s="70"/>
      <c r="AL119" s="5"/>
      <c r="AM119" s="135">
        <v>5.0</v>
      </c>
      <c r="AN119" s="152" t="s">
        <v>46</v>
      </c>
      <c r="AO119" s="135">
        <v>0.0</v>
      </c>
      <c r="AP119" s="139"/>
      <c r="AQ119" s="5"/>
      <c r="AR119" s="5"/>
      <c r="AS119" s="5"/>
      <c r="AT119" s="5"/>
      <c r="AU119" s="5"/>
      <c r="AV119" s="5"/>
      <c r="AW119" s="5"/>
      <c r="AX119" s="5"/>
      <c r="AY119" s="5"/>
      <c r="AZ119" s="5"/>
      <c r="BA119" s="5"/>
      <c r="BB119" s="5"/>
      <c r="BC119" s="5"/>
      <c r="BD119" s="5"/>
      <c r="BE119" s="5"/>
      <c r="BF119" s="5"/>
      <c r="BG119" s="5"/>
      <c r="BH119" s="5"/>
    </row>
    <row r="120" ht="12.75" customHeight="1">
      <c r="A120" s="71"/>
      <c r="B120" s="154" t="str">
        <f>IFERROR(__xludf.DUMMYFUNCTION("IFERROR(
  IF(C120="""","""",
    IF(OR(REGEXMATCH(D120,""(?i)-Flashing""), REGEXMATCH(D120,""(?i)-EavesGut""), REGEXMATCH(D120,""(?i)Valley"")),
        ""DR"" &amp;
        TEXT(
            ROUNDUP(
                MIN(
                    VALUE(MID(C120, "&amp;"FIND(""("",C120)+1, FIND(""/"",C120)-FIND(""("",C120)-1)),
                    1200
                ) / 50, 0
            ) * 50, ""0""
        ) &amp;
        MID(C120, FIND(""/"",C120)+1, FIND("")"",C120)-FIND(""/"",C120)-1) &amp;
        TEXT(H120*100,""0"") &amp;"&amp;"
        I120,
    IF(AND(D120=""Roof Sheet"", REGEXMATCH(C120,""(?i)KS\d{4}[A-Z]{2}"")),
       REGEXEXTRACT(C120,""(?i)KS\d{4}[A-Z]{2}""),
    IF(AND(REGEXMATCH(D120,""(?i)-DP""), REGEXMATCH(C120,""(?i)Downpipe"")),
       ""dp"" &amp; REGEXEXTRACT(C120,""("&amp;"\d+)"") &amp; ""mm"",
    IF(AND(REGEXMATCH(D120,""(?i)Bracket""), REGEXMATCH(C120,""(?i)Bracket"")),
       ""Brkt"" &amp; REGEXEXTRACT(C120,""(\d+)"") &amp; ""mm"",
    IF(AND(REGEXMATCH(D120,""(?i)-OP""), REGEXMATCH(C120,""(?i)pops"")),
       ""op"" &amp; REGEXEXTRAC"&amp;"T(C120,""(\d+)"") &amp; ""mm"",
    IF(OR(D120=""R-FFTop"", D120=""R-FFBottom"", D120=""R-FFSide""),
        IF(REGEXMATCH(C120,""(?i)Profiled.*Top|Top.*Profiled""),""pfft"",
        IF(REGEXMATCH(C120,""(?i)Profiled.*Bottom|Bottom.*Profiled""),""pffb"",
    "&amp;"    IF(REGEXMATCH(C120,""(?i)Square""),""sff"",""""))),
    IF(REGEXMATCH(D120,""(?i)-Rivets""),""Rvt"",
    IF(REGEXMATCH(D120,""(?i)Silicone""),""300ml"",
    IF(REGEXMATCH(D120,""(?i)R-Butyl""),""300ml"",
    IF(REGEXMATCH(D120,""(?i)Fix""),""GenFix"","&amp;"
    IF(AND(REGEXMATCH(C120,""(?i)Timber""), REGEXMATCH(D120,""(?i)Timber"")),""tp"",
    IF(AND(REGEXMATCH(C120,""(?i)Vent G1275""), REGEXMATCH(D120,""(?i)Comb FIller"")),""CFV1275"",
    IF(REGEXMATCH(C120,""(?i)DPC""),""dpc"",
    IF(REGEXMATCH(C120,"""&amp;"(?i)Concealed Clips""),""ConClips"",
    IF(REGEXMATCH(D120,""(?i)-Takeoff ea""),""Takeoff ea"",
    IF(REGEXMATCH(D120,""(?i)-Takeoff LM""),""Takeoff LM"",
    IF(REGEXMATCH(D120,""(?i)-Takeoff m2""),""Takeoff m2"",
    IF(D120=""R-TU/TD"",""TU/TD"","""""&amp;")))))))))))))))))
  )))"),"Brkt150mm")</f>
        <v>Brkt150mm</v>
      </c>
      <c r="C120" s="123" t="s">
        <v>140</v>
      </c>
      <c r="D120" s="124" t="s">
        <v>141</v>
      </c>
      <c r="E120" s="163"/>
      <c r="F120" s="129"/>
      <c r="G120" s="129"/>
      <c r="H120" s="127"/>
      <c r="I120" s="127"/>
      <c r="J120" s="126" t="s">
        <v>87</v>
      </c>
      <c r="K120" s="126" t="s">
        <v>52</v>
      </c>
      <c r="L120" s="135">
        <f>M119</f>
        <v>5</v>
      </c>
      <c r="M120" s="150">
        <v>5.0</v>
      </c>
      <c r="N120" s="151">
        <f>IFERROR(__xludf.DUMMYFUNCTION("""COMPUTED_VALUE"""),1.0)</f>
        <v>1</v>
      </c>
      <c r="O120" s="134">
        <f>O119</f>
        <v>2</v>
      </c>
      <c r="P120" s="134">
        <v>1.0</v>
      </c>
      <c r="Q120" s="242">
        <f t="shared" si="73"/>
        <v>10</v>
      </c>
      <c r="R120" s="136" t="s">
        <v>42</v>
      </c>
      <c r="S120" s="137">
        <f t="shared" si="74"/>
        <v>0</v>
      </c>
      <c r="T120" s="138"/>
      <c r="U120" s="136" t="s">
        <v>42</v>
      </c>
      <c r="V120" s="139"/>
      <c r="W120" s="140">
        <f t="shared" si="75"/>
        <v>0</v>
      </c>
      <c r="X120" s="2"/>
      <c r="Y120" s="5"/>
      <c r="Z120" s="5"/>
      <c r="AA120" s="5"/>
      <c r="AB120" s="113">
        <f t="shared" si="76"/>
        <v>0</v>
      </c>
      <c r="AC120" s="33"/>
      <c r="AD120" s="65"/>
      <c r="AE120" s="66"/>
      <c r="AF120" s="144"/>
      <c r="AG120" s="68"/>
      <c r="AH120" s="69"/>
      <c r="AI120" s="39"/>
      <c r="AJ120" s="70"/>
      <c r="AK120" s="70"/>
      <c r="AL120" s="5"/>
      <c r="AM120" s="135">
        <v>5.0</v>
      </c>
      <c r="AN120" s="152" t="s">
        <v>46</v>
      </c>
      <c r="AO120" s="135">
        <v>0.0</v>
      </c>
      <c r="AP120" s="139"/>
      <c r="AQ120" s="5"/>
      <c r="AR120" s="5"/>
      <c r="AS120" s="5"/>
      <c r="AT120" s="5"/>
      <c r="AU120" s="5"/>
      <c r="AV120" s="5"/>
      <c r="AW120" s="5"/>
      <c r="AX120" s="5"/>
      <c r="AY120" s="5"/>
      <c r="AZ120" s="5"/>
      <c r="BA120" s="5"/>
      <c r="BB120" s="5"/>
      <c r="BC120" s="5"/>
      <c r="BD120" s="5"/>
      <c r="BE120" s="5"/>
      <c r="BF120" s="5"/>
      <c r="BG120" s="5"/>
      <c r="BH120" s="5"/>
    </row>
    <row r="121" ht="12.75" customHeight="1">
      <c r="A121" s="71"/>
      <c r="B121" s="154" t="str">
        <f>IFERROR(__xludf.DUMMYFUNCTION("IFERROR(
  IF(C121="""","""",
    IF(OR(REGEXMATCH(D121,""(?i)-Flashing""), REGEXMATCH(D121,""(?i)-EavesGut""), REGEXMATCH(D121,""(?i)Valley"")),
        ""DR"" &amp;
        TEXT(
            ROUNDUP(
                MIN(
                    VALUE(MID(C121, "&amp;"FIND(""("",C121)+1, FIND(""/"",C121)-FIND(""("",C121)-1)),
                    1200
                ) / 50, 0
            ) * 50, ""0""
        ) &amp;
        MID(C121, FIND(""/"",C121)+1, FIND("")"",C121)-FIND(""/"",C121)-1) &amp;
        TEXT(H121*100,""0"") &amp;"&amp;"
        I121,
    IF(AND(D121=""Roof Sheet"", REGEXMATCH(C121,""(?i)KS\d{4}[A-Z]{2}"")),
       REGEXEXTRACT(C121,""(?i)KS\d{4}[A-Z]{2}""),
    IF(AND(REGEXMATCH(D121,""(?i)-DP""), REGEXMATCH(C121,""(?i)Downpipe"")),
       ""dp"" &amp; REGEXEXTRACT(C121,""("&amp;"\d+)"") &amp; ""mm"",
    IF(AND(REGEXMATCH(D121,""(?i)Bracket""), REGEXMATCH(C121,""(?i)Bracket"")),
       ""Brkt"" &amp; REGEXEXTRACT(C121,""(\d+)"") &amp; ""mm"",
    IF(AND(REGEXMATCH(D121,""(?i)-OP""), REGEXMATCH(C121,""(?i)pops"")),
       ""op"" &amp; REGEXEXTRAC"&amp;"T(C121,""(\d+)"") &amp; ""mm"",
    IF(OR(D121=""R-FFTop"", D121=""R-FFBottom"", D121=""R-FFSide""),
        IF(REGEXMATCH(C121,""(?i)Profiled.*Top|Top.*Profiled""),""pfft"",
        IF(REGEXMATCH(C121,""(?i)Profiled.*Bottom|Bottom.*Profiled""),""pffb"",
    "&amp;"    IF(REGEXMATCH(C121,""(?i)Square""),""sff"",""""))),
    IF(REGEXMATCH(D121,""(?i)-Rivets""),""Rvt"",
    IF(REGEXMATCH(D121,""(?i)Silicone""),""300ml"",
    IF(REGEXMATCH(D121,""(?i)R-Butyl""),""300ml"",
    IF(REGEXMATCH(D121,""(?i)Fix""),""GenFix"","&amp;"
    IF(AND(REGEXMATCH(C121,""(?i)Timber""), REGEXMATCH(D121,""(?i)Timber"")),""tp"",
    IF(AND(REGEXMATCH(C121,""(?i)Vent G1275""), REGEXMATCH(D121,""(?i)Comb FIller"")),""CFV1275"",
    IF(REGEXMATCH(C121,""(?i)DPC""),""dpc"",
    IF(REGEXMATCH(C121,"""&amp;"(?i)Concealed Clips""),""ConClips"",
    IF(REGEXMATCH(D121,""(?i)-Takeoff ea""),""Takeoff ea"",
    IF(REGEXMATCH(D121,""(?i)-Takeoff LM""),""Takeoff LM"",
    IF(REGEXMATCH(D121,""(?i)-Takeoff m2""),""Takeoff m2"",
    IF(D121=""R-TU/TD"",""TU/TD"","""""&amp;")))))))))))))))))
  )))"),"")</f>
        <v/>
      </c>
      <c r="C121" s="129"/>
      <c r="D121" s="129"/>
      <c r="E121" s="161"/>
      <c r="F121" s="129"/>
      <c r="G121" s="129"/>
      <c r="H121" s="127"/>
      <c r="I121" s="127"/>
      <c r="J121" s="129"/>
      <c r="K121" s="129" t="s">
        <v>42</v>
      </c>
      <c r="L121" s="163"/>
      <c r="M121" s="163" t="s">
        <v>42</v>
      </c>
      <c r="N121" s="162" t="str">
        <f>IFERROR(__xludf.DUMMYFUNCTION("""COMPUTED_VALUE"""),"")</f>
        <v/>
      </c>
      <c r="O121" s="127"/>
      <c r="P121" s="127"/>
      <c r="Q121" s="161"/>
      <c r="R121" s="136"/>
      <c r="S121" s="139"/>
      <c r="T121" s="138"/>
      <c r="U121" s="136"/>
      <c r="V121" s="139"/>
      <c r="W121" s="164"/>
      <c r="X121" s="2"/>
      <c r="Y121" s="5"/>
      <c r="Z121" s="5"/>
      <c r="AA121" s="5"/>
      <c r="AB121" s="113">
        <f t="shared" si="76"/>
        <v>0</v>
      </c>
      <c r="AC121" s="33"/>
      <c r="AD121" s="65"/>
      <c r="AE121" s="66"/>
      <c r="AF121" s="144"/>
      <c r="AG121" s="68"/>
      <c r="AH121" s="69"/>
      <c r="AI121" s="39"/>
      <c r="AJ121" s="70"/>
      <c r="AK121" s="70"/>
      <c r="AL121" s="5"/>
      <c r="AM121" s="135" t="s">
        <v>42</v>
      </c>
      <c r="AN121" s="152"/>
      <c r="AO121" s="135" t="s">
        <v>42</v>
      </c>
      <c r="AP121" s="139"/>
      <c r="AQ121" s="5"/>
      <c r="AR121" s="5"/>
      <c r="AS121" s="5"/>
      <c r="AT121" s="5"/>
      <c r="AU121" s="5"/>
      <c r="AV121" s="5"/>
      <c r="AW121" s="5"/>
      <c r="AX121" s="5"/>
      <c r="AY121" s="5"/>
      <c r="AZ121" s="5"/>
      <c r="BA121" s="5"/>
      <c r="BB121" s="5"/>
      <c r="BC121" s="5"/>
      <c r="BD121" s="5"/>
      <c r="BE121" s="5"/>
      <c r="BF121" s="5"/>
      <c r="BG121" s="5"/>
      <c r="BH121" s="5"/>
    </row>
    <row r="122" ht="12.75" customHeight="1">
      <c r="A122" s="71"/>
      <c r="B122" s="154" t="str">
        <f>IFERROR(__xludf.DUMMYFUNCTION("IFERROR(
  IF(C122="""","""",
    IF(OR(REGEXMATCH(D122,""(?i)-Flashing""), REGEXMATCH(D122,""(?i)-EavesGut""), REGEXMATCH(D122,""(?i)Valley"")),
        ""DR"" &amp;
        TEXT(
            ROUNDUP(
                MIN(
                    VALUE(MID(C122, "&amp;"FIND(""("",C122)+1, FIND(""/"",C122)-FIND(""("",C122)-1)),
                    1200
                ) / 50, 0
            ) * 50, ""0""
        ) &amp;
        MID(C122, FIND(""/"",C122)+1, FIND("")"",C122)-FIND(""/"",C122)-1) &amp;
        TEXT(H122*100,""0"") &amp;"&amp;"
        I122,
    IF(AND(D122=""Roof Sheet"", REGEXMATCH(C122,""(?i)KS\d{4}[A-Z]{2}"")),
       REGEXEXTRACT(C122,""(?i)KS\d{4}[A-Z]{2}""),
    IF(AND(REGEXMATCH(D122,""(?i)-DP""), REGEXMATCH(C122,""(?i)Downpipe"")),
       ""dp"" &amp; REGEXEXTRACT(C122,""("&amp;"\d+)"") &amp; ""mm"",
    IF(AND(REGEXMATCH(D122,""(?i)Bracket""), REGEXMATCH(C122,""(?i)Bracket"")),
       ""Brkt"" &amp; REGEXEXTRACT(C122,""(\d+)"") &amp; ""mm"",
    IF(AND(REGEXMATCH(D122,""(?i)-OP""), REGEXMATCH(C122,""(?i)pops"")),
       ""op"" &amp; REGEXEXTRAC"&amp;"T(C122,""(\d+)"") &amp; ""mm"",
    IF(OR(D122=""R-FFTop"", D122=""R-FFBottom"", D122=""R-FFSide""),
        IF(REGEXMATCH(C122,""(?i)Profiled.*Top|Top.*Profiled""),""pfft"",
        IF(REGEXMATCH(C122,""(?i)Profiled.*Bottom|Bottom.*Profiled""),""pffb"",
    "&amp;"    IF(REGEXMATCH(C122,""(?i)Square""),""sff"",""""))),
    IF(REGEXMATCH(D122,""(?i)-Rivets""),""Rvt"",
    IF(REGEXMATCH(D122,""(?i)Silicone""),""300ml"",
    IF(REGEXMATCH(D122,""(?i)R-Butyl""),""300ml"",
    IF(REGEXMATCH(D122,""(?i)Fix""),""GenFix"","&amp;"
    IF(AND(REGEXMATCH(C122,""(?i)Timber""), REGEXMATCH(D122,""(?i)Timber"")),""tp"",
    IF(AND(REGEXMATCH(C122,""(?i)Vent G1275""), REGEXMATCH(D122,""(?i)Comb FIller"")),""CFV1275"",
    IF(REGEXMATCH(C122,""(?i)DPC""),""dpc"",
    IF(REGEXMATCH(C122,"""&amp;"(?i)Concealed Clips""),""ConClips"",
    IF(REGEXMATCH(D122,""(?i)-Takeoff ea""),""Takeoff ea"",
    IF(REGEXMATCH(D122,""(?i)-Takeoff LM""),""Takeoff LM"",
    IF(REGEXMATCH(D122,""(?i)-Takeoff m2""),""Takeoff m2"",
    IF(D122=""R-TU/TD"",""TU/TD"","""""&amp;")))))))))))))))))
  )))"),"op150mm")</f>
        <v>op150mm</v>
      </c>
      <c r="C122" s="123" t="s">
        <v>142</v>
      </c>
      <c r="D122" s="124" t="s">
        <v>143</v>
      </c>
      <c r="E122" s="168">
        <f>IFERROR(__xludf.DUMMYFUNCTION("IF(REGEXMATCH(C122, ""\d+mmØ""), VALUE(REGEXEXTRACT(C122, ""(\d+)mmØ""))/1000, """")
"),0.15)</f>
        <v>0.15</v>
      </c>
      <c r="F122" s="129"/>
      <c r="G122" s="129"/>
      <c r="H122" s="127"/>
      <c r="I122" s="127"/>
      <c r="J122" s="126" t="s">
        <v>87</v>
      </c>
      <c r="K122" s="126" t="s">
        <v>52</v>
      </c>
      <c r="L122" s="135">
        <v>1.0</v>
      </c>
      <c r="M122" s="150">
        <v>1.0</v>
      </c>
      <c r="N122" s="151">
        <f>IFERROR(__xludf.DUMMYFUNCTION("""COMPUTED_VALUE"""),1.0)</f>
        <v>1</v>
      </c>
      <c r="O122" s="169">
        <f>M119</f>
        <v>5</v>
      </c>
      <c r="P122" s="134">
        <v>1.0</v>
      </c>
      <c r="Q122" s="242">
        <f t="shared" ref="Q122:Q124" si="77">M122*N122*O122*P122</f>
        <v>5</v>
      </c>
      <c r="R122" s="136" t="s">
        <v>42</v>
      </c>
      <c r="S122" s="137">
        <f t="shared" ref="S122:S124" si="78">R122*Q122</f>
        <v>0</v>
      </c>
      <c r="T122" s="138"/>
      <c r="U122" s="136" t="s">
        <v>42</v>
      </c>
      <c r="V122" s="139"/>
      <c r="W122" s="140">
        <f t="shared" ref="W122:W124" si="79">U122*Q122</f>
        <v>0</v>
      </c>
      <c r="X122" s="2"/>
      <c r="Y122" s="5"/>
      <c r="Z122" s="5"/>
      <c r="AA122" s="5"/>
      <c r="AB122" s="113">
        <f t="shared" si="76"/>
        <v>0</v>
      </c>
      <c r="AC122" s="33"/>
      <c r="AD122" s="65"/>
      <c r="AE122" s="66"/>
      <c r="AF122" s="144"/>
      <c r="AG122" s="68"/>
      <c r="AH122" s="69"/>
      <c r="AI122" s="39"/>
      <c r="AJ122" s="70"/>
      <c r="AK122" s="70"/>
      <c r="AL122" s="5"/>
      <c r="AM122" s="135">
        <v>1.0</v>
      </c>
      <c r="AN122" s="152" t="s">
        <v>46</v>
      </c>
      <c r="AO122" s="135">
        <v>0.0</v>
      </c>
      <c r="AP122" s="139"/>
      <c r="AQ122" s="5"/>
      <c r="AR122" s="5"/>
      <c r="AS122" s="5"/>
      <c r="AT122" s="5"/>
      <c r="AU122" s="5"/>
      <c r="AV122" s="5"/>
      <c r="AW122" s="5"/>
      <c r="AX122" s="5"/>
      <c r="AY122" s="5"/>
      <c r="AZ122" s="5"/>
      <c r="BA122" s="5"/>
      <c r="BB122" s="5"/>
      <c r="BC122" s="5"/>
      <c r="BD122" s="5"/>
      <c r="BE122" s="5"/>
      <c r="BF122" s="5"/>
      <c r="BG122" s="5"/>
      <c r="BH122" s="5"/>
    </row>
    <row r="123" ht="12.75" customHeight="1">
      <c r="A123" s="71"/>
      <c r="B123" s="154" t="str">
        <f>IFERROR(__xludf.DUMMYFUNCTION("IFERROR(
  IF(C123="""","""",
    IF(OR(REGEXMATCH(D123,""(?i)-Flashing""), REGEXMATCH(D123,""(?i)-EavesGut""), REGEXMATCH(D123,""(?i)Valley"")),
        ""DR"" &amp;
        TEXT(
            ROUNDUP(
                MIN(
                    VALUE(MID(C123, "&amp;"FIND(""("",C123)+1, FIND(""/"",C123)-FIND(""("",C123)-1)),
                    1200
                ) / 50, 0
            ) * 50, ""0""
        ) &amp;
        MID(C123, FIND(""/"",C123)+1, FIND("")"",C123)-FIND(""/"",C123)-1) &amp;
        TEXT(H123*100,""0"") &amp;"&amp;"
        I123,
    IF(AND(D123=""Roof Sheet"", REGEXMATCH(C123,""(?i)KS\d{4}[A-Z]{2}"")),
       REGEXEXTRACT(C123,""(?i)KS\d{4}[A-Z]{2}""),
    IF(AND(REGEXMATCH(D123,""(?i)-DP""), REGEXMATCH(C123,""(?i)Downpipe"")),
       ""dp"" &amp; REGEXEXTRACT(C123,""("&amp;"\d+)"") &amp; ""mm"",
    IF(AND(REGEXMATCH(D123,""(?i)Bracket""), REGEXMATCH(C123,""(?i)Bracket"")),
       ""Brkt"" &amp; REGEXEXTRACT(C123,""(\d+)"") &amp; ""mm"",
    IF(AND(REGEXMATCH(D123,""(?i)-OP""), REGEXMATCH(C123,""(?i)pops"")),
       ""op"" &amp; REGEXEXTRAC"&amp;"T(C123,""(\d+)"") &amp; ""mm"",
    IF(OR(D123=""R-FFTop"", D123=""R-FFBottom"", D123=""R-FFSide""),
        IF(REGEXMATCH(C123,""(?i)Profiled.*Top|Top.*Profiled""),""pfft"",
        IF(REGEXMATCH(C123,""(?i)Profiled.*Bottom|Bottom.*Profiled""),""pffb"",
    "&amp;"    IF(REGEXMATCH(C123,""(?i)Square""),""sff"",""""))),
    IF(REGEXMATCH(D123,""(?i)-Rivets""),""Rvt"",
    IF(REGEXMATCH(D123,""(?i)Silicone""),""300ml"",
    IF(REGEXMATCH(D123,""(?i)R-Butyl""),""300ml"",
    IF(REGEXMATCH(D123,""(?i)Fix""),""GenFix"","&amp;"
    IF(AND(REGEXMATCH(C123,""(?i)Timber""), REGEXMATCH(D123,""(?i)Timber"")),""tp"",
    IF(AND(REGEXMATCH(C123,""(?i)Vent G1275""), REGEXMATCH(D123,""(?i)Comb FIller"")),""CFV1275"",
    IF(REGEXMATCH(C123,""(?i)DPC""),""dpc"",
    IF(REGEXMATCH(C123,"""&amp;"(?i)Concealed Clips""),""ConClips"",
    IF(REGEXMATCH(D123,""(?i)-Takeoff ea""),""Takeoff ea"",
    IF(REGEXMATCH(D123,""(?i)-Takeoff LM""),""Takeoff LM"",
    IF(REGEXMATCH(D123,""(?i)-Takeoff m2""),""Takeoff m2"",
    IF(D123=""R-TU/TD"",""TU/TD"","""""&amp;")))))))))))))))))
  )))"),"300ml")</f>
        <v>300ml</v>
      </c>
      <c r="C123" s="225" t="s">
        <v>98</v>
      </c>
      <c r="D123" s="124" t="s">
        <v>99</v>
      </c>
      <c r="E123" s="168">
        <f>E122</f>
        <v>0.15</v>
      </c>
      <c r="F123" s="129"/>
      <c r="G123" s="129"/>
      <c r="H123" s="127"/>
      <c r="I123" s="127"/>
      <c r="J123" s="126" t="s">
        <v>87</v>
      </c>
      <c r="K123" s="126" t="s">
        <v>52</v>
      </c>
      <c r="L123" s="135">
        <f>(3.14*0.1)</f>
        <v>0.314</v>
      </c>
      <c r="M123" s="150">
        <v>0.0375</v>
      </c>
      <c r="N123" s="151">
        <f>IFERROR(__xludf.DUMMYFUNCTION("""COMPUTED_VALUE"""),1.0)</f>
        <v>1</v>
      </c>
      <c r="O123" s="169">
        <f>O122</f>
        <v>5</v>
      </c>
      <c r="P123" s="134">
        <v>1.0</v>
      </c>
      <c r="Q123" s="242">
        <f t="shared" si="77"/>
        <v>0.1875</v>
      </c>
      <c r="R123" s="136" t="s">
        <v>42</v>
      </c>
      <c r="S123" s="137">
        <f t="shared" si="78"/>
        <v>0</v>
      </c>
      <c r="T123" s="138"/>
      <c r="U123" s="136" t="s">
        <v>42</v>
      </c>
      <c r="V123" s="139"/>
      <c r="W123" s="140">
        <f t="shared" si="79"/>
        <v>0</v>
      </c>
      <c r="X123" s="2"/>
      <c r="Y123" s="5"/>
      <c r="Z123" s="5"/>
      <c r="AA123" s="5"/>
      <c r="AB123" s="113">
        <f t="shared" si="76"/>
        <v>0</v>
      </c>
      <c r="AC123" s="33"/>
      <c r="AD123" s="65"/>
      <c r="AE123" s="66"/>
      <c r="AF123" s="144"/>
      <c r="AG123" s="68"/>
      <c r="AH123" s="69"/>
      <c r="AI123" s="39"/>
      <c r="AJ123" s="70"/>
      <c r="AK123" s="70"/>
      <c r="AL123" s="5"/>
      <c r="AM123" s="135">
        <v>0.0375</v>
      </c>
      <c r="AN123" s="152" t="s">
        <v>46</v>
      </c>
      <c r="AO123" s="135">
        <v>0.0</v>
      </c>
      <c r="AP123" s="139"/>
      <c r="AQ123" s="5"/>
      <c r="AR123" s="5"/>
      <c r="AS123" s="5"/>
      <c r="AT123" s="5"/>
      <c r="AU123" s="5"/>
      <c r="AV123" s="5"/>
      <c r="AW123" s="5"/>
      <c r="AX123" s="5"/>
      <c r="AY123" s="5"/>
      <c r="AZ123" s="5"/>
      <c r="BA123" s="5"/>
      <c r="BB123" s="5"/>
      <c r="BC123" s="5"/>
      <c r="BD123" s="5"/>
      <c r="BE123" s="5"/>
      <c r="BF123" s="5"/>
      <c r="BG123" s="5"/>
      <c r="BH123" s="5"/>
    </row>
    <row r="124">
      <c r="A124" s="71"/>
      <c r="B124" s="154" t="str">
        <f>IFERROR(__xludf.DUMMYFUNCTION("IFERROR(
  IF(C124="""","""",
    IF(OR(REGEXMATCH(D124,""(?i)-Flashing""), REGEXMATCH(D124,""(?i)-EavesGut""), REGEXMATCH(D124,""(?i)Valley"")),
        ""DR"" &amp;
        TEXT(
            ROUNDUP(
                MIN(
                    VALUE(MID(C124, "&amp;"FIND(""("",C124)+1, FIND(""/"",C124)-FIND(""("",C124)-1)),
                    1200
                ) / 50, 0
            ) * 50, ""0""
        ) &amp;
        MID(C124, FIND(""/"",C124)+1, FIND("")"",C124)-FIND(""/"",C124)-1) &amp;
        TEXT(H124*100,""0"") &amp;"&amp;"
        I124,
    IF(AND(D124=""Roof Sheet"", REGEXMATCH(C124,""(?i)KS\d{4}[A-Z]{2}"")),
       REGEXEXTRACT(C124,""(?i)KS\d{4}[A-Z]{2}""),
    IF(AND(REGEXMATCH(D124,""(?i)-DP""), REGEXMATCH(C124,""(?i)Downpipe"")),
       ""dp"" &amp; REGEXEXTRACT(C124,""("&amp;"\d+)"") &amp; ""mm"",
    IF(AND(REGEXMATCH(D124,""(?i)Bracket""), REGEXMATCH(C124,""(?i)Bracket"")),
       ""Brkt"" &amp; REGEXEXTRACT(C124,""(\d+)"") &amp; ""mm"",
    IF(AND(REGEXMATCH(D124,""(?i)-OP""), REGEXMATCH(C124,""(?i)pops"")),
       ""op"" &amp; REGEXEXTRAC"&amp;"T(C124,""(\d+)"") &amp; ""mm"",
    IF(OR(D124=""R-FFTop"", D124=""R-FFBottom"", D124=""R-FFSide""),
        IF(REGEXMATCH(C124,""(?i)Profiled.*Top|Top.*Profiled""),""pfft"",
        IF(REGEXMATCH(C124,""(?i)Profiled.*Bottom|Bottom.*Profiled""),""pffb"",
    "&amp;"    IF(REGEXMATCH(C124,""(?i)Square""),""sff"",""""))),
    IF(REGEXMATCH(D124,""(?i)-Rivets""),""Rvt"",
    IF(REGEXMATCH(D124,""(?i)Silicone""),""300ml"",
    IF(REGEXMATCH(D124,""(?i)R-Butyl""),""300ml"",
    IF(REGEXMATCH(D124,""(?i)Fix""),""GenFix"","&amp;"
    IF(AND(REGEXMATCH(C124,""(?i)Timber""), REGEXMATCH(D124,""(?i)Timber"")),""tp"",
    IF(AND(REGEXMATCH(C124,""(?i)Vent G1275""), REGEXMATCH(D124,""(?i)Comb FIller"")),""CFV1275"",
    IF(REGEXMATCH(C124,""(?i)DPC""),""dpc"",
    IF(REGEXMATCH(C124,"""&amp;"(?i)Concealed Clips""),""ConClips"",
    IF(REGEXMATCH(D124,""(?i)-Takeoff ea""),""Takeoff ea"",
    IF(REGEXMATCH(D124,""(?i)-Takeoff LM""),""Takeoff LM"",
    IF(REGEXMATCH(D124,""(?i)-Takeoff m2""),""Takeoff m2"",
    IF(D124=""R-TU/TD"",""TU/TD"","""""&amp;")))))))))))))))))
  )))"),"GenFix")</f>
        <v>GenFix</v>
      </c>
      <c r="C124" s="225" t="s">
        <v>102</v>
      </c>
      <c r="D124" s="124" t="s">
        <v>144</v>
      </c>
      <c r="E124" s="168">
        <f>E122</f>
        <v>0.15</v>
      </c>
      <c r="F124" s="129"/>
      <c r="G124" s="129"/>
      <c r="H124" s="127"/>
      <c r="I124" s="127"/>
      <c r="J124" s="126" t="s">
        <v>87</v>
      </c>
      <c r="K124" s="126" t="s">
        <v>52</v>
      </c>
      <c r="L124" s="135">
        <v>6.0</v>
      </c>
      <c r="M124" s="150">
        <v>58.0</v>
      </c>
      <c r="N124" s="151">
        <f>IFERROR(__xludf.DUMMYFUNCTION("""COMPUTED_VALUE"""),1.0)</f>
        <v>1</v>
      </c>
      <c r="O124" s="169">
        <f>O122</f>
        <v>5</v>
      </c>
      <c r="P124" s="134">
        <v>1.0</v>
      </c>
      <c r="Q124" s="242">
        <f t="shared" si="77"/>
        <v>290</v>
      </c>
      <c r="R124" s="136" t="s">
        <v>42</v>
      </c>
      <c r="S124" s="137">
        <f t="shared" si="78"/>
        <v>0</v>
      </c>
      <c r="T124" s="138"/>
      <c r="U124" s="136" t="s">
        <v>42</v>
      </c>
      <c r="V124" s="139"/>
      <c r="W124" s="140">
        <f t="shared" si="79"/>
        <v>0</v>
      </c>
      <c r="X124" s="159"/>
      <c r="Y124" s="5"/>
      <c r="Z124" s="5"/>
      <c r="AA124" s="5"/>
      <c r="AB124" s="113">
        <f t="shared" si="76"/>
        <v>0</v>
      </c>
      <c r="AC124" s="33"/>
      <c r="AD124" s="65"/>
      <c r="AE124" s="66"/>
      <c r="AF124" s="144"/>
      <c r="AG124" s="68"/>
      <c r="AH124" s="69"/>
      <c r="AI124" s="39"/>
      <c r="AJ124" s="70"/>
      <c r="AK124" s="70"/>
      <c r="AL124" s="5"/>
      <c r="AM124" s="135">
        <v>60.0</v>
      </c>
      <c r="AN124" s="152" t="s">
        <v>75</v>
      </c>
      <c r="AO124" s="135">
        <v>2.0</v>
      </c>
      <c r="AP124" s="139"/>
      <c r="AQ124" s="5"/>
      <c r="AR124" s="5"/>
      <c r="AS124" s="5"/>
      <c r="AT124" s="5"/>
      <c r="AU124" s="5"/>
      <c r="AV124" s="5"/>
      <c r="AW124" s="5"/>
      <c r="AX124" s="5"/>
      <c r="AY124" s="5"/>
      <c r="AZ124" s="5"/>
      <c r="BA124" s="5"/>
      <c r="BB124" s="5"/>
      <c r="BC124" s="5"/>
      <c r="BD124" s="5"/>
      <c r="BE124" s="5"/>
      <c r="BF124" s="5"/>
      <c r="BG124" s="5"/>
      <c r="BH124" s="5"/>
    </row>
    <row r="125" ht="12.75" customHeight="1">
      <c r="A125" s="71"/>
      <c r="B125" s="243"/>
      <c r="C125" s="244"/>
      <c r="D125" s="244"/>
      <c r="E125" s="245"/>
      <c r="F125" s="244"/>
      <c r="G125" s="244"/>
      <c r="H125" s="244"/>
      <c r="I125" s="245"/>
      <c r="J125" s="246"/>
      <c r="K125" s="246" t="s">
        <v>42</v>
      </c>
      <c r="L125" s="245"/>
      <c r="M125" s="245" t="s">
        <v>42</v>
      </c>
      <c r="N125" s="247" t="str">
        <f>IFERROR(__xludf.DUMMYFUNCTION("""COMPUTED_VALUE"""),"")</f>
        <v/>
      </c>
      <c r="O125" s="244"/>
      <c r="P125" s="244"/>
      <c r="Q125" s="246"/>
      <c r="R125" s="136"/>
      <c r="S125" s="248"/>
      <c r="T125" s="248"/>
      <c r="U125" s="136"/>
      <c r="V125" s="248"/>
      <c r="W125" s="249"/>
      <c r="X125" s="113"/>
      <c r="Y125" s="5"/>
      <c r="Z125" s="5"/>
      <c r="AA125" s="5"/>
      <c r="AB125" s="113">
        <f t="shared" si="76"/>
        <v>0</v>
      </c>
      <c r="AC125" s="250"/>
      <c r="AD125" s="65"/>
      <c r="AE125" s="66"/>
      <c r="AF125" s="67"/>
      <c r="AG125" s="68"/>
      <c r="AH125" s="69"/>
      <c r="AI125" s="39"/>
      <c r="AJ125" s="70"/>
      <c r="AK125" s="70"/>
      <c r="AL125" s="2"/>
      <c r="AM125" s="135" t="s">
        <v>42</v>
      </c>
      <c r="AN125" s="152"/>
      <c r="AO125" s="135" t="s">
        <v>42</v>
      </c>
      <c r="AP125" s="139"/>
      <c r="AQ125" s="5"/>
      <c r="AR125" s="5"/>
      <c r="AS125" s="5"/>
      <c r="AT125" s="5"/>
      <c r="AU125" s="5"/>
      <c r="AV125" s="5"/>
      <c r="AW125" s="5"/>
      <c r="AX125" s="5"/>
      <c r="AY125" s="5"/>
      <c r="AZ125" s="5"/>
      <c r="BA125" s="5"/>
      <c r="BB125" s="5"/>
      <c r="BC125" s="5"/>
      <c r="BD125" s="5"/>
      <c r="BE125" s="5"/>
      <c r="BF125" s="5"/>
      <c r="BG125" s="5"/>
      <c r="BH125" s="5"/>
    </row>
    <row r="126" ht="12.75" customHeight="1">
      <c r="A126" s="71">
        <v>1.0</v>
      </c>
      <c r="B126" s="72"/>
      <c r="C126" s="251" t="s">
        <v>145</v>
      </c>
      <c r="D126" s="74"/>
      <c r="E126" s="75"/>
      <c r="F126" s="74"/>
      <c r="G126" s="74"/>
      <c r="H126" s="74"/>
      <c r="I126" s="75"/>
      <c r="J126" s="74"/>
      <c r="K126" s="74" t="s">
        <v>42</v>
      </c>
      <c r="L126" s="75"/>
      <c r="M126" s="75" t="s">
        <v>42</v>
      </c>
      <c r="N126" s="76" t="str">
        <f>IFERROR(__xludf.DUMMYFUNCTION("""COMPUTED_VALUE"""),"")</f>
        <v/>
      </c>
      <c r="O126" s="74"/>
      <c r="P126" s="74"/>
      <c r="Q126" s="77"/>
      <c r="R126" s="136"/>
      <c r="S126" s="78"/>
      <c r="T126" s="77"/>
      <c r="U126" s="136"/>
      <c r="V126" s="78"/>
      <c r="W126" s="79"/>
      <c r="X126" s="21"/>
      <c r="Y126" s="5"/>
      <c r="Z126" s="5"/>
      <c r="AA126" s="5"/>
      <c r="AB126" s="5"/>
      <c r="AC126" s="21"/>
      <c r="AD126" s="80"/>
      <c r="AE126" s="81"/>
      <c r="AF126" s="82"/>
      <c r="AG126" s="83"/>
      <c r="AH126" s="84"/>
      <c r="AI126" s="85"/>
      <c r="AJ126" s="86"/>
      <c r="AK126" s="86"/>
      <c r="AL126" s="5"/>
      <c r="AM126" s="135" t="s">
        <v>42</v>
      </c>
      <c r="AN126" s="152"/>
      <c r="AO126" s="135" t="s">
        <v>42</v>
      </c>
      <c r="AP126" s="139"/>
      <c r="AQ126" s="5"/>
      <c r="AR126" s="5"/>
      <c r="AS126" s="5"/>
      <c r="AT126" s="5"/>
      <c r="AU126" s="5"/>
      <c r="AV126" s="5"/>
      <c r="AW126" s="5"/>
      <c r="AX126" s="5"/>
      <c r="AY126" s="5"/>
      <c r="AZ126" s="5"/>
      <c r="BA126" s="5"/>
      <c r="BB126" s="5"/>
      <c r="BC126" s="5"/>
      <c r="BD126" s="5"/>
      <c r="BE126" s="5"/>
      <c r="BF126" s="5"/>
      <c r="BG126" s="5"/>
      <c r="BH126" s="5"/>
    </row>
    <row r="127" ht="12.75" customHeight="1">
      <c r="A127" s="71">
        <v>1.0</v>
      </c>
      <c r="B127" s="170"/>
      <c r="C127" s="252" t="s">
        <v>146</v>
      </c>
      <c r="D127" s="253"/>
      <c r="E127" s="254"/>
      <c r="F127" s="253"/>
      <c r="G127" s="253"/>
      <c r="H127" s="253"/>
      <c r="I127" s="254"/>
      <c r="J127" s="255"/>
      <c r="K127" s="255" t="s">
        <v>42</v>
      </c>
      <c r="L127" s="254"/>
      <c r="M127" s="254" t="s">
        <v>42</v>
      </c>
      <c r="N127" s="256" t="str">
        <f>IFERROR(__xludf.DUMMYFUNCTION("""COMPUTED_VALUE"""),"")</f>
        <v/>
      </c>
      <c r="O127" s="253"/>
      <c r="P127" s="253"/>
      <c r="Q127" s="255"/>
      <c r="R127" s="136"/>
      <c r="S127" s="257"/>
      <c r="T127" s="257"/>
      <c r="U127" s="136"/>
      <c r="V127" s="257"/>
      <c r="W127" s="258"/>
      <c r="X127" s="259"/>
      <c r="Y127" s="260"/>
      <c r="Z127" s="260"/>
      <c r="AA127" s="260"/>
      <c r="AB127" s="260"/>
      <c r="AC127" s="261"/>
      <c r="AD127" s="262"/>
      <c r="AE127" s="262"/>
      <c r="AF127" s="263"/>
      <c r="AG127" s="264"/>
      <c r="AH127" s="265"/>
      <c r="AI127" s="266"/>
      <c r="AJ127" s="265"/>
      <c r="AK127" s="265"/>
      <c r="AL127" s="267"/>
      <c r="AM127" s="135" t="s">
        <v>42</v>
      </c>
      <c r="AN127" s="152"/>
      <c r="AO127" s="135" t="s">
        <v>42</v>
      </c>
      <c r="AP127" s="139"/>
      <c r="AQ127" s="260"/>
      <c r="AR127" s="260"/>
      <c r="AS127" s="260"/>
      <c r="AT127" s="260"/>
      <c r="AU127" s="260"/>
      <c r="AV127" s="260"/>
      <c r="AW127" s="260"/>
      <c r="AX127" s="260"/>
      <c r="AY127" s="260"/>
      <c r="AZ127" s="260"/>
      <c r="BA127" s="260"/>
      <c r="BB127" s="260"/>
      <c r="BC127" s="260"/>
      <c r="BD127" s="260"/>
      <c r="BE127" s="260"/>
      <c r="BF127" s="260"/>
      <c r="BG127" s="260"/>
      <c r="BH127" s="260"/>
    </row>
    <row r="128">
      <c r="A128" s="71">
        <v>1.0</v>
      </c>
      <c r="B128" s="190"/>
      <c r="C128" s="268" t="s">
        <v>147</v>
      </c>
      <c r="D128" s="269"/>
      <c r="E128" s="270"/>
      <c r="F128" s="269"/>
      <c r="G128" s="269"/>
      <c r="H128" s="269"/>
      <c r="I128" s="270"/>
      <c r="J128" s="271"/>
      <c r="K128" s="271" t="s">
        <v>42</v>
      </c>
      <c r="L128" s="272">
        <v>549.38</v>
      </c>
      <c r="M128" s="270" t="s">
        <v>42</v>
      </c>
      <c r="N128" s="273" t="str">
        <f>IFERROR(__xludf.DUMMYFUNCTION("""COMPUTED_VALUE"""),"")</f>
        <v/>
      </c>
      <c r="O128" s="269"/>
      <c r="P128" s="269"/>
      <c r="Q128" s="274">
        <v>549.38</v>
      </c>
      <c r="R128" s="136"/>
      <c r="S128" s="109" t="str">
        <f>T128/Q128</f>
        <v>#REF!</v>
      </c>
      <c r="T128" s="109" t="str">
        <f>SUM(S129:S135)</f>
        <v>#REF!</v>
      </c>
      <c r="U128" s="136"/>
      <c r="V128" s="198" t="str">
        <f>W128/Q128</f>
        <v>#REF!</v>
      </c>
      <c r="W128" s="199" t="str">
        <f>SUM(W129:W134)</f>
        <v>#REF!</v>
      </c>
      <c r="X128" s="111" t="str">
        <f>W128/$AC$176/$W$183/$X$173</f>
        <v>#REF!</v>
      </c>
      <c r="Y128" s="200" t="str">
        <f>(T128+W128)=(SUM(AB129:AB134))</f>
        <v>#REF!</v>
      </c>
      <c r="Z128" s="180" t="str">
        <f>(T128+W128)-(SUM(AB129:AB134))</f>
        <v>#REF!</v>
      </c>
      <c r="AA128" s="180"/>
      <c r="AB128" s="180"/>
      <c r="AC128" s="275"/>
      <c r="AD128" s="114" t="str">
        <f>W128+T128</f>
        <v>#REF!</v>
      </c>
      <c r="AE128" s="115" t="str">
        <f>AD128</f>
        <v>#REF!</v>
      </c>
      <c r="AF128" s="116" t="str">
        <f>AE128/$AE$151</f>
        <v>#REF!</v>
      </c>
      <c r="AG128" s="117" t="str">
        <f>AF128*$AG$158</f>
        <v>#REF!</v>
      </c>
      <c r="AH128" s="118" t="str">
        <f>AF128*$AG$161</f>
        <v>#REF!</v>
      </c>
      <c r="AI128" s="39"/>
      <c r="AJ128" s="119" t="str">
        <f>ROUND(AK128/L128,2)</f>
        <v>#REF!</v>
      </c>
      <c r="AK128" s="119" t="str">
        <f>ROUND(AH128+AG128+AD128,2)</f>
        <v>#REF!</v>
      </c>
      <c r="AL128" s="267"/>
      <c r="AM128" s="135" t="s">
        <v>42</v>
      </c>
      <c r="AN128" s="152"/>
      <c r="AO128" s="135" t="s">
        <v>42</v>
      </c>
      <c r="AP128" s="139"/>
      <c r="AQ128" s="260"/>
      <c r="AR128" s="260"/>
      <c r="AS128" s="260"/>
      <c r="AT128" s="260"/>
      <c r="AU128" s="260"/>
      <c r="AV128" s="260"/>
      <c r="AW128" s="260"/>
      <c r="AX128" s="260"/>
      <c r="AY128" s="260"/>
      <c r="AZ128" s="260"/>
      <c r="BA128" s="260"/>
      <c r="BB128" s="260"/>
      <c r="BC128" s="260"/>
      <c r="BD128" s="260"/>
      <c r="BE128" s="260"/>
      <c r="BF128" s="260"/>
      <c r="BG128" s="260"/>
      <c r="BH128" s="260"/>
    </row>
    <row r="129" ht="12.75" customHeight="1">
      <c r="A129" s="71"/>
      <c r="B129" s="154" t="s">
        <v>38</v>
      </c>
      <c r="C129" s="276" t="s">
        <v>148</v>
      </c>
      <c r="D129" s="148" t="s">
        <v>149</v>
      </c>
      <c r="E129" s="125" t="str">
        <f>IFERROR(__xludf.DUMMYFUNCTION("IF($B$17:$B379="""","""",
  VLOOKUP(
    $B$17:$B379,
    QUERY(
      IMPORTRANGE(""1Ag27m9YF5mMfJh2E6NipJDFvPLlDI1p-s_1XEnzMHcc"",""Merge!F2:R""),
      ""select Col1, Col11"",
      0
    ),
    2,
    FALSE
  )
)
"),"#REF!")</f>
        <v>#REF!</v>
      </c>
      <c r="F129" s="277"/>
      <c r="G129" s="278"/>
      <c r="H129" s="279">
        <v>0.55</v>
      </c>
      <c r="I129" s="280"/>
      <c r="J129" s="281" t="s">
        <v>14</v>
      </c>
      <c r="K129" s="281" t="s">
        <v>41</v>
      </c>
      <c r="L129" s="282">
        <f>111.11+113.1</f>
        <v>224.21</v>
      </c>
      <c r="M129" s="283" t="str">
        <f>L129*E129</f>
        <v>#REF!</v>
      </c>
      <c r="N129" s="284">
        <f>IFERROR(__xludf.DUMMYFUNCTION("""COMPUTED_VALUE"""),1.0)</f>
        <v>1</v>
      </c>
      <c r="O129" s="285">
        <v>1.0</v>
      </c>
      <c r="P129" s="285">
        <v>1.0</v>
      </c>
      <c r="Q129" s="135" t="str">
        <f t="shared" ref="Q129:Q134" si="80">M129*N129*O129*P129</f>
        <v>#REF!</v>
      </c>
      <c r="R129" s="136" t="s">
        <v>42</v>
      </c>
      <c r="S129" s="137" t="str">
        <f t="shared" ref="S129:S132" si="81">R129*Q129</f>
        <v>#REF!</v>
      </c>
      <c r="T129" s="286"/>
      <c r="U129" s="136" t="s">
        <v>42</v>
      </c>
      <c r="V129" s="286"/>
      <c r="W129" s="140" t="str">
        <f t="shared" ref="W129:W132" si="82">U129*Q129</f>
        <v>#REF!</v>
      </c>
      <c r="X129" s="111" t="str">
        <f>W129/$AC$176/$W$183/Y129</f>
        <v>#REF!</v>
      </c>
      <c r="Y129" s="200" t="s">
        <v>150</v>
      </c>
      <c r="Z129" s="180" t="e">
        <v>#REF!</v>
      </c>
      <c r="AA129" s="180" t="s">
        <v>151</v>
      </c>
      <c r="AB129" s="180" t="str">
        <f t="shared" ref="AB129:AB134" si="83">W129+S129</f>
        <v>#REF!</v>
      </c>
      <c r="AC129" s="275"/>
      <c r="AD129" s="287"/>
      <c r="AE129" s="287"/>
      <c r="AF129" s="288"/>
      <c r="AG129" s="289"/>
      <c r="AH129" s="290"/>
      <c r="AI129" s="291"/>
      <c r="AJ129" s="290"/>
      <c r="AK129" s="290"/>
      <c r="AL129" s="267"/>
      <c r="AM129" s="135" t="s">
        <v>42</v>
      </c>
      <c r="AN129" s="152" t="e">
        <v>#REF!</v>
      </c>
      <c r="AO129" s="135" t="s">
        <v>42</v>
      </c>
      <c r="AP129" s="139"/>
      <c r="AQ129" s="260"/>
      <c r="AR129" s="260"/>
      <c r="AS129" s="260"/>
      <c r="AT129" s="260"/>
      <c r="AU129" s="260"/>
      <c r="AV129" s="260"/>
      <c r="AW129" s="260"/>
      <c r="AX129" s="260"/>
      <c r="AY129" s="260"/>
      <c r="AZ129" s="260"/>
      <c r="BA129" s="260"/>
      <c r="BB129" s="260"/>
      <c r="BC129" s="260"/>
      <c r="BD129" s="260"/>
      <c r="BE129" s="260"/>
      <c r="BF129" s="260"/>
      <c r="BG129" s="260"/>
      <c r="BH129" s="260"/>
    </row>
    <row r="130" ht="12.75" customHeight="1">
      <c r="A130" s="71"/>
      <c r="B130" s="154" t="str">
        <f>IFERROR(__xludf.DUMMYFUNCTION("IFERROR(
  IF(C130="""","""",
    IF(OR(REGEXMATCH(D130,""(?i)-Flashing""), REGEXMATCH(D130,""(?i)-EavesGut""), REGEXMATCH(D130,""(?i)Valley"")),
        ""DR"" &amp;
        TEXT(
            ROUNDUP(
                MIN(
                    VALUE(MID(C130, "&amp;"FIND(""("",C130)+1, FIND(""/"",C130)-FIND(""("",C130)-1)),
                    1200
                ) / 50, 0
            ) * 50, ""0""
        ) &amp;
        MID(C130, FIND(""/"",C130)+1, FIND("")"",C130)-FIND(""/"",C130)-1) &amp;
        TEXT(H130*100,""0"") &amp;"&amp;"
        I130,
    IF(AND(D130=""Roof Sheet"", REGEXMATCH(C130,""(?i)KS\d{4}[A-Z]{2}"")),
       REGEXEXTRACT(C130,""(?i)KS\d{4}[A-Z]{2}""),
    IF(AND(REGEXMATCH(D130,""(?i)-DP""), REGEXMATCH(C130,""(?i)Downpipe"")),
       ""dp"" &amp; REGEXEXTRACT(C130,""("&amp;"\d+)"") &amp; ""mm"",
    IF(AND(REGEXMATCH(D130,""(?i)Bracket""), REGEXMATCH(C130,""(?i)Bracket"")),
       ""Brkt"" &amp; REGEXEXTRACT(C130,""(\d+)"") &amp; ""mm"",
    IF(AND(REGEXMATCH(D130,""(?i)-OP""), REGEXMATCH(C130,""(?i)pops"")),
       ""op"" &amp; REGEXEXTRAC"&amp;"T(C130,""(\d+)"") &amp; ""mm"",
    IF(OR(D130=""R-FFTop"", D130=""R-FFBottom"", D130=""R-FFSide""),
        IF(REGEXMATCH(C130,""(?i)Profiled.*Top|Top.*Profiled""),""pfft"",
        IF(REGEXMATCH(C130,""(?i)Profiled.*Bottom|Bottom.*Profiled""),""pffb"",
    "&amp;"    IF(REGEXMATCH(C130,""(?i)Square""),""sff"",""""))),
    IF(REGEXMATCH(D130,""(?i)-Rivets""),""Rvt"",
    IF(REGEXMATCH(D130,""(?i)Silicone""),""300ml"",
    IF(REGEXMATCH(D130,""(?i)R-Butyl""),""300ml"",
    IF(REGEXMATCH(D130,""(?i)Fix""),""GenFix"","&amp;"
    IF(AND(REGEXMATCH(C130,""(?i)Timber""), REGEXMATCH(D130,""(?i)Timber"")),""tp"",
    IF(AND(REGEXMATCH(C130,""(?i)Vent G1275""), REGEXMATCH(D130,""(?i)Comb FIller"")),""CFV1275"",
    IF(REGEXMATCH(C130,""(?i)DPC""),""dpc"",
    IF(REGEXMATCH(C130,"""&amp;"(?i)Concealed Clips""),""ConClips"",
    IF(REGEXMATCH(D130,""(?i)-Takeoff ea""),""Takeoff ea"",
    IF(REGEXMATCH(D130,""(?i)-Takeoff LM""),""Takeoff LM"",
    IF(REGEXMATCH(D130,""(?i)-Takeoff m2""),""Takeoff m2"",
    IF(D130=""R-TU/TD"",""TU/TD"","""""&amp;")))))))))))))))))
  )))"),"GenFix")</f>
        <v>GenFix</v>
      </c>
      <c r="C130" s="276" t="s">
        <v>152</v>
      </c>
      <c r="D130" s="148" t="s">
        <v>153</v>
      </c>
      <c r="E130" s="168"/>
      <c r="F130" s="277"/>
      <c r="G130" s="278"/>
      <c r="H130" s="279"/>
      <c r="I130" s="280"/>
      <c r="J130" s="281" t="s">
        <v>87</v>
      </c>
      <c r="K130" s="281" t="s">
        <v>52</v>
      </c>
      <c r="L130" s="282" t="str">
        <f>M129</f>
        <v>#REF!</v>
      </c>
      <c r="M130" s="220" t="str">
        <f>roundup(M129*6,0)+1</f>
        <v>#REF!</v>
      </c>
      <c r="N130" s="284">
        <f>IFERROR(__xludf.DUMMYFUNCTION("""COMPUTED_VALUE"""),1.0)</f>
        <v>1</v>
      </c>
      <c r="O130" s="285">
        <v>1.0</v>
      </c>
      <c r="P130" s="285">
        <v>1.0</v>
      </c>
      <c r="Q130" s="135" t="str">
        <f t="shared" si="80"/>
        <v>#REF!</v>
      </c>
      <c r="R130" s="136" t="s">
        <v>42</v>
      </c>
      <c r="S130" s="137" t="str">
        <f t="shared" si="81"/>
        <v>#REF!</v>
      </c>
      <c r="T130" s="286"/>
      <c r="U130" s="136" t="s">
        <v>42</v>
      </c>
      <c r="V130" s="286"/>
      <c r="W130" s="140" t="str">
        <f t="shared" si="82"/>
        <v>#REF!</v>
      </c>
      <c r="X130" s="292"/>
      <c r="Y130" s="200"/>
      <c r="Z130" s="180"/>
      <c r="AA130" s="180"/>
      <c r="AB130" s="180" t="str">
        <f t="shared" si="83"/>
        <v>#REF!</v>
      </c>
      <c r="AC130" s="275"/>
      <c r="AD130" s="287"/>
      <c r="AE130" s="287"/>
      <c r="AF130" s="288"/>
      <c r="AG130" s="289"/>
      <c r="AH130" s="290"/>
      <c r="AI130" s="291"/>
      <c r="AJ130" s="290"/>
      <c r="AK130" s="290"/>
      <c r="AL130" s="267"/>
      <c r="AM130" s="135" t="s">
        <v>42</v>
      </c>
      <c r="AN130" s="152" t="e">
        <v>#REF!</v>
      </c>
      <c r="AO130" s="135" t="s">
        <v>42</v>
      </c>
      <c r="AP130" s="139"/>
      <c r="AQ130" s="260"/>
      <c r="AR130" s="260"/>
      <c r="AS130" s="260"/>
      <c r="AT130" s="260"/>
      <c r="AU130" s="260"/>
      <c r="AV130" s="260"/>
      <c r="AW130" s="260"/>
      <c r="AX130" s="260"/>
      <c r="AY130" s="260"/>
      <c r="AZ130" s="260"/>
      <c r="BA130" s="260"/>
      <c r="BB130" s="260"/>
      <c r="BC130" s="260"/>
      <c r="BD130" s="260"/>
      <c r="BE130" s="260"/>
      <c r="BF130" s="260"/>
      <c r="BG130" s="260"/>
      <c r="BH130" s="260"/>
    </row>
    <row r="131" ht="12.75" customHeight="1">
      <c r="A131" s="71"/>
      <c r="B131" s="154" t="s">
        <v>80</v>
      </c>
      <c r="C131" s="276" t="s">
        <v>81</v>
      </c>
      <c r="D131" s="148" t="s">
        <v>154</v>
      </c>
      <c r="E131" s="125" t="str">
        <f>IFERROR(__xludf.DUMMYFUNCTION("IF($B$17:$B379="""","""",
  VLOOKUP(
    $B$17:$B379,
    QUERY(
      IMPORTRANGE(""1Ag27m9YF5mMfJh2E6NipJDFvPLlDI1p-s_1XEnzMHcc"",""Merge!F2:R""),
      ""select Col1, Col11"",
      0
    ),
    2,
    FALSE
  )
)
"),"#REF!")</f>
        <v>#REF!</v>
      </c>
      <c r="F131" s="277"/>
      <c r="G131" s="278"/>
      <c r="H131" s="279"/>
      <c r="I131" s="280"/>
      <c r="J131" s="281" t="s">
        <v>14</v>
      </c>
      <c r="K131" s="281" t="s">
        <v>41</v>
      </c>
      <c r="L131" s="282" t="str">
        <f>M129</f>
        <v>#REF!</v>
      </c>
      <c r="M131" s="283">
        <v>229.3056818181818</v>
      </c>
      <c r="N131" s="284">
        <f>IFERROR(__xludf.DUMMYFUNCTION("""COMPUTED_VALUE"""),1.0)</f>
        <v>1</v>
      </c>
      <c r="O131" s="285">
        <v>1.0</v>
      </c>
      <c r="P131" s="285">
        <v>1.0</v>
      </c>
      <c r="Q131" s="135">
        <f t="shared" si="80"/>
        <v>229.3056818</v>
      </c>
      <c r="R131" s="136" t="s">
        <v>42</v>
      </c>
      <c r="S131" s="137">
        <f t="shared" si="81"/>
        <v>0</v>
      </c>
      <c r="T131" s="286"/>
      <c r="U131" s="136" t="s">
        <v>42</v>
      </c>
      <c r="V131" s="286"/>
      <c r="W131" s="140">
        <f t="shared" si="82"/>
        <v>0</v>
      </c>
      <c r="X131" s="292"/>
      <c r="Y131" s="200"/>
      <c r="Z131" s="180"/>
      <c r="AA131" s="180"/>
      <c r="AB131" s="180">
        <f t="shared" si="83"/>
        <v>0</v>
      </c>
      <c r="AC131" s="275"/>
      <c r="AD131" s="287"/>
      <c r="AE131" s="287"/>
      <c r="AF131" s="288"/>
      <c r="AG131" s="289"/>
      <c r="AH131" s="290"/>
      <c r="AI131" s="291"/>
      <c r="AJ131" s="290"/>
      <c r="AK131" s="290"/>
      <c r="AL131" s="267"/>
      <c r="AM131" s="135" t="s">
        <v>42</v>
      </c>
      <c r="AN131" s="152" t="s">
        <v>75</v>
      </c>
      <c r="AO131" s="135" t="s">
        <v>42</v>
      </c>
      <c r="AP131" s="139"/>
      <c r="AQ131" s="260"/>
      <c r="AR131" s="260"/>
      <c r="AS131" s="260"/>
      <c r="AT131" s="260"/>
      <c r="AU131" s="260"/>
      <c r="AV131" s="260"/>
      <c r="AW131" s="260"/>
      <c r="AX131" s="260"/>
      <c r="AY131" s="260"/>
      <c r="AZ131" s="260"/>
      <c r="BA131" s="260"/>
      <c r="BB131" s="260"/>
      <c r="BC131" s="260"/>
      <c r="BD131" s="260"/>
      <c r="BE131" s="260"/>
      <c r="BF131" s="260"/>
      <c r="BG131" s="260"/>
      <c r="BH131" s="260"/>
    </row>
    <row r="132" ht="12.75" customHeight="1">
      <c r="A132" s="71"/>
      <c r="B132" s="122" t="s">
        <v>84</v>
      </c>
      <c r="C132" s="123" t="s">
        <v>85</v>
      </c>
      <c r="D132" s="148" t="s">
        <v>155</v>
      </c>
      <c r="E132" s="126" t="str">
        <f t="shared" ref="E132:F132" si="84">E131</f>
        <v>#REF!</v>
      </c>
      <c r="F132" s="126" t="str">
        <f t="shared" si="84"/>
        <v/>
      </c>
      <c r="G132" s="127"/>
      <c r="H132" s="125" t="str">
        <f>IFERROR(__xludf.DUMMYFUNCTION("IF($B$17:$B379="""","""",
  VLOOKUP(
    $B$17:$B379,
    QUERY(
      IMPORTRANGE(""1Ag27m9YF5mMfJh2E6NipJDFvPLlDI1p-s_1XEnzMHcc"",""Merge!F2:R""),
      ""select Col1, Col11"",
      0
    ),
    2,
    FALSE
  )
)
"),"#REF!")</f>
        <v>#REF!</v>
      </c>
      <c r="I132" s="280"/>
      <c r="J132" s="281" t="s">
        <v>87</v>
      </c>
      <c r="K132" s="281" t="s">
        <v>52</v>
      </c>
      <c r="L132" s="282">
        <f>M131</f>
        <v>229.3056818</v>
      </c>
      <c r="M132" s="169" t="str">
        <f>M131/E132/H132</f>
        <v>#REF!</v>
      </c>
      <c r="N132" s="284">
        <f>IFERROR(__xludf.DUMMYFUNCTION("""COMPUTED_VALUE"""),1.0)</f>
        <v>1</v>
      </c>
      <c r="O132" s="285">
        <v>1.0</v>
      </c>
      <c r="P132" s="285">
        <v>1.0</v>
      </c>
      <c r="Q132" s="135" t="str">
        <f t="shared" si="80"/>
        <v>#REF!</v>
      </c>
      <c r="R132" s="136" t="s">
        <v>42</v>
      </c>
      <c r="S132" s="137" t="str">
        <f t="shared" si="81"/>
        <v>#REF!</v>
      </c>
      <c r="T132" s="286"/>
      <c r="U132" s="136" t="s">
        <v>42</v>
      </c>
      <c r="V132" s="286"/>
      <c r="W132" s="140" t="str">
        <f t="shared" si="82"/>
        <v>#REF!</v>
      </c>
      <c r="X132" s="292"/>
      <c r="Y132" s="200"/>
      <c r="Z132" s="180"/>
      <c r="AA132" s="180"/>
      <c r="AB132" s="180" t="str">
        <f t="shared" si="83"/>
        <v>#REF!</v>
      </c>
      <c r="AC132" s="275"/>
      <c r="AD132" s="287"/>
      <c r="AE132" s="287"/>
      <c r="AF132" s="288"/>
      <c r="AG132" s="289"/>
      <c r="AH132" s="290"/>
      <c r="AI132" s="291"/>
      <c r="AJ132" s="290"/>
      <c r="AK132" s="290"/>
      <c r="AL132" s="267"/>
      <c r="AM132" s="135" t="s">
        <v>42</v>
      </c>
      <c r="AN132" s="152" t="e">
        <v>#REF!</v>
      </c>
      <c r="AO132" s="135" t="s">
        <v>42</v>
      </c>
      <c r="AP132" s="139"/>
      <c r="AQ132" s="260"/>
      <c r="AR132" s="260"/>
      <c r="AS132" s="260"/>
      <c r="AT132" s="260"/>
      <c r="AU132" s="260"/>
      <c r="AV132" s="260"/>
      <c r="AW132" s="260"/>
      <c r="AX132" s="260"/>
      <c r="AY132" s="260"/>
      <c r="AZ132" s="260"/>
      <c r="BA132" s="260"/>
      <c r="BB132" s="260"/>
      <c r="BC132" s="260"/>
      <c r="BD132" s="260"/>
      <c r="BE132" s="260"/>
      <c r="BF132" s="260"/>
      <c r="BG132" s="260"/>
      <c r="BH132" s="260"/>
    </row>
    <row r="133" ht="12.75" customHeight="1">
      <c r="A133" s="71"/>
      <c r="B133" s="154"/>
      <c r="C133" s="276"/>
      <c r="D133" s="148"/>
      <c r="E133" s="168"/>
      <c r="F133" s="277"/>
      <c r="G133" s="278"/>
      <c r="H133" s="279"/>
      <c r="I133" s="280"/>
      <c r="J133" s="281"/>
      <c r="K133" s="281" t="s">
        <v>42</v>
      </c>
      <c r="L133" s="282"/>
      <c r="M133" s="283" t="s">
        <v>42</v>
      </c>
      <c r="N133" s="284" t="str">
        <f>IFERROR(__xludf.DUMMYFUNCTION("""COMPUTED_VALUE"""),"")</f>
        <v/>
      </c>
      <c r="O133" s="285"/>
      <c r="P133" s="285"/>
      <c r="Q133" s="135">
        <f t="shared" si="80"/>
        <v>0</v>
      </c>
      <c r="R133" s="293"/>
      <c r="S133" s="294"/>
      <c r="T133" s="286"/>
      <c r="U133" s="136"/>
      <c r="V133" s="286"/>
      <c r="W133" s="140"/>
      <c r="X133" s="292"/>
      <c r="Y133" s="200"/>
      <c r="Z133" s="180"/>
      <c r="AA133" s="180"/>
      <c r="AB133" s="180">
        <f t="shared" si="83"/>
        <v>0</v>
      </c>
      <c r="AC133" s="275"/>
      <c r="AD133" s="287"/>
      <c r="AE133" s="287"/>
      <c r="AF133" s="288"/>
      <c r="AG133" s="289"/>
      <c r="AH133" s="290"/>
      <c r="AI133" s="291"/>
      <c r="AJ133" s="290"/>
      <c r="AK133" s="290"/>
      <c r="AL133" s="267"/>
      <c r="AM133" s="135" t="s">
        <v>42</v>
      </c>
      <c r="AN133" s="152"/>
      <c r="AO133" s="135" t="s">
        <v>42</v>
      </c>
      <c r="AP133" s="139"/>
      <c r="AQ133" s="260"/>
      <c r="AR133" s="260"/>
      <c r="AS133" s="260"/>
      <c r="AT133" s="260"/>
      <c r="AU133" s="260"/>
      <c r="AV133" s="260"/>
      <c r="AW133" s="260"/>
      <c r="AX133" s="260"/>
      <c r="AY133" s="260"/>
      <c r="AZ133" s="260"/>
      <c r="BA133" s="260"/>
      <c r="BB133" s="260"/>
      <c r="BC133" s="260"/>
      <c r="BD133" s="260"/>
      <c r="BE133" s="260"/>
      <c r="BF133" s="260"/>
      <c r="BG133" s="260"/>
      <c r="BH133" s="260"/>
    </row>
    <row r="134" ht="12.75" customHeight="1">
      <c r="A134" s="71"/>
      <c r="B134" s="154" t="s">
        <v>156</v>
      </c>
      <c r="C134" s="276" t="s">
        <v>157</v>
      </c>
      <c r="D134" s="148" t="s">
        <v>158</v>
      </c>
      <c r="E134" s="125" t="str">
        <f>IFERROR(__xludf.DUMMYFUNCTION("IF($B$17:$B379="""","""",
  VLOOKUP(
    $B$17:$B379,
    QUERY(
      IMPORTRANGE(""1Ag27m9YF5mMfJh2E6NipJDFvPLlDI1p-s_1XEnzMHcc"",""Merge!F2:R""),
      ""select Col1, Col11"",
      0
    ),
    2,
    FALSE
  )
)
"),"#REF!")</f>
        <v>#REF!</v>
      </c>
      <c r="F134" s="277"/>
      <c r="G134" s="278"/>
      <c r="H134" s="279"/>
      <c r="I134" s="280"/>
      <c r="J134" s="281" t="s">
        <v>14</v>
      </c>
      <c r="K134" s="281" t="s">
        <v>52</v>
      </c>
      <c r="L134" s="282">
        <f>143.09+142.87</f>
        <v>285.96</v>
      </c>
      <c r="M134" s="283" t="str">
        <f>L134/E134</f>
        <v>#REF!</v>
      </c>
      <c r="N134" s="284">
        <f>IFERROR(__xludf.DUMMYFUNCTION("""COMPUTED_VALUE"""),1.0)</f>
        <v>1</v>
      </c>
      <c r="O134" s="285">
        <v>1.0</v>
      </c>
      <c r="P134" s="285">
        <v>1.0</v>
      </c>
      <c r="Q134" s="135" t="str">
        <f t="shared" si="80"/>
        <v>#REF!</v>
      </c>
      <c r="R134" s="293" t="s">
        <v>42</v>
      </c>
      <c r="S134" s="137" t="str">
        <f>R134*Q134</f>
        <v>#REF!</v>
      </c>
      <c r="T134" s="286"/>
      <c r="U134" s="136" t="s">
        <v>42</v>
      </c>
      <c r="V134" s="286"/>
      <c r="W134" s="140" t="str">
        <f>U134*Q134</f>
        <v>#REF!</v>
      </c>
      <c r="X134" s="292"/>
      <c r="Y134" s="200"/>
      <c r="Z134" s="180"/>
      <c r="AA134" s="180"/>
      <c r="AB134" s="180" t="str">
        <f t="shared" si="83"/>
        <v>#REF!</v>
      </c>
      <c r="AC134" s="275"/>
      <c r="AD134" s="287"/>
      <c r="AE134" s="287"/>
      <c r="AF134" s="288"/>
      <c r="AG134" s="289"/>
      <c r="AH134" s="290"/>
      <c r="AI134" s="291"/>
      <c r="AJ134" s="290"/>
      <c r="AK134" s="290"/>
      <c r="AL134" s="267"/>
      <c r="AM134" s="135" t="s">
        <v>42</v>
      </c>
      <c r="AN134" s="152" t="e">
        <v>#REF!</v>
      </c>
      <c r="AO134" s="135" t="s">
        <v>42</v>
      </c>
      <c r="AP134" s="139"/>
      <c r="AQ134" s="260"/>
      <c r="AR134" s="260"/>
      <c r="AS134" s="260"/>
      <c r="AT134" s="260"/>
      <c r="AU134" s="260"/>
      <c r="AV134" s="260"/>
      <c r="AW134" s="260"/>
      <c r="AX134" s="260"/>
      <c r="AY134" s="260"/>
      <c r="AZ134" s="260"/>
      <c r="BA134" s="260"/>
      <c r="BB134" s="260"/>
      <c r="BC134" s="260"/>
      <c r="BD134" s="260"/>
      <c r="BE134" s="260"/>
      <c r="BF134" s="260"/>
      <c r="BG134" s="260"/>
      <c r="BH134" s="260"/>
    </row>
    <row r="135" ht="12.75" customHeight="1">
      <c r="A135" s="71"/>
      <c r="B135" s="154"/>
      <c r="C135" s="276"/>
      <c r="D135" s="148"/>
      <c r="E135" s="168"/>
      <c r="F135" s="277"/>
      <c r="G135" s="278"/>
      <c r="H135" s="279"/>
      <c r="I135" s="280"/>
      <c r="J135" s="281"/>
      <c r="K135" s="281" t="s">
        <v>42</v>
      </c>
      <c r="L135" s="282"/>
      <c r="M135" s="283" t="s">
        <v>42</v>
      </c>
      <c r="N135" s="284" t="str">
        <f>IFERROR(__xludf.DUMMYFUNCTION("""COMPUTED_VALUE"""),"")</f>
        <v/>
      </c>
      <c r="O135" s="285"/>
      <c r="P135" s="285"/>
      <c r="Q135" s="281"/>
      <c r="R135" s="293"/>
      <c r="S135" s="294"/>
      <c r="T135" s="286"/>
      <c r="U135" s="136"/>
      <c r="V135" s="286"/>
      <c r="W135" s="295"/>
      <c r="X135" s="292"/>
      <c r="Y135" s="200"/>
      <c r="Z135" s="180"/>
      <c r="AA135" s="180"/>
      <c r="AB135" s="180"/>
      <c r="AC135" s="275"/>
      <c r="AD135" s="287"/>
      <c r="AE135" s="287"/>
      <c r="AF135" s="288"/>
      <c r="AG135" s="289"/>
      <c r="AH135" s="290"/>
      <c r="AI135" s="291"/>
      <c r="AJ135" s="290"/>
      <c r="AK135" s="290"/>
      <c r="AL135" s="267"/>
      <c r="AM135" s="135" t="s">
        <v>42</v>
      </c>
      <c r="AN135" s="152"/>
      <c r="AO135" s="135" t="s">
        <v>42</v>
      </c>
      <c r="AP135" s="139"/>
      <c r="AQ135" s="260"/>
      <c r="AR135" s="260"/>
      <c r="AS135" s="260"/>
      <c r="AT135" s="260"/>
      <c r="AU135" s="260"/>
      <c r="AV135" s="260"/>
      <c r="AW135" s="260"/>
      <c r="AX135" s="260"/>
      <c r="AY135" s="260"/>
      <c r="AZ135" s="260"/>
      <c r="BA135" s="260"/>
      <c r="BB135" s="260"/>
      <c r="BC135" s="260"/>
      <c r="BD135" s="260"/>
      <c r="BE135" s="260"/>
      <c r="BF135" s="260"/>
      <c r="BG135" s="260"/>
      <c r="BH135" s="260"/>
    </row>
    <row r="136">
      <c r="A136" s="71">
        <v>1.0</v>
      </c>
      <c r="B136" s="190"/>
      <c r="C136" s="191" t="s">
        <v>159</v>
      </c>
      <c r="D136" s="192"/>
      <c r="E136" s="193"/>
      <c r="F136" s="192"/>
      <c r="G136" s="192"/>
      <c r="H136" s="194"/>
      <c r="I136" s="194"/>
      <c r="J136" s="194"/>
      <c r="K136" s="194" t="s">
        <v>42</v>
      </c>
      <c r="L136" s="195">
        <f>Q136</f>
        <v>14.74</v>
      </c>
      <c r="M136" s="196" t="s">
        <v>42</v>
      </c>
      <c r="N136" s="197" t="str">
        <f>IFERROR(__xludf.DUMMYFUNCTION("""COMPUTED_VALUE"""),"")</f>
        <v/>
      </c>
      <c r="O136" s="194"/>
      <c r="P136" s="194"/>
      <c r="Q136" s="195">
        <f>Q137</f>
        <v>14.74</v>
      </c>
      <c r="R136" s="136"/>
      <c r="S136" s="198">
        <f>T136/Q136</f>
        <v>0</v>
      </c>
      <c r="T136" s="198">
        <f>SUM(S137:S141)</f>
        <v>0</v>
      </c>
      <c r="U136" s="136"/>
      <c r="V136" s="198">
        <f>W136/Q136</f>
        <v>0</v>
      </c>
      <c r="W136" s="199">
        <f>SUM(W137:W141)</f>
        <v>0</v>
      </c>
      <c r="X136" s="111" t="str">
        <f>W136/$AC$176/$W$183/$X$173</f>
        <v>#REF!</v>
      </c>
      <c r="Y136" s="200" t="b">
        <f>(T136+W136)=(SUM(AB137:AB141))</f>
        <v>1</v>
      </c>
      <c r="Z136" s="180">
        <f>(T136+W136)-(SUM(AB137:AB141))</f>
        <v>0</v>
      </c>
      <c r="AA136" s="180"/>
      <c r="AB136" s="180"/>
      <c r="AC136" s="181"/>
      <c r="AD136" s="114">
        <f>W136+T136</f>
        <v>0</v>
      </c>
      <c r="AE136" s="115">
        <f>AD136</f>
        <v>0</v>
      </c>
      <c r="AF136" s="116" t="str">
        <f>AE136/$AE$151</f>
        <v>#REF!</v>
      </c>
      <c r="AG136" s="117" t="str">
        <f>AF136*$AG$158</f>
        <v>#REF!</v>
      </c>
      <c r="AH136" s="118" t="str">
        <f>AF136*$AG$161</f>
        <v>#REF!</v>
      </c>
      <c r="AI136" s="39"/>
      <c r="AJ136" s="119" t="str">
        <f>ROUND(AK136/L136,2)</f>
        <v>#REF!</v>
      </c>
      <c r="AK136" s="119" t="str">
        <f>ROUND(AH136+AG136+AD136,2)</f>
        <v>#REF!</v>
      </c>
      <c r="AL136" s="180"/>
      <c r="AM136" s="135" t="s">
        <v>42</v>
      </c>
      <c r="AN136" s="152"/>
      <c r="AO136" s="135" t="s">
        <v>42</v>
      </c>
      <c r="AP136" s="139"/>
      <c r="AQ136" s="189"/>
      <c r="AR136" s="189"/>
      <c r="AS136" s="180"/>
      <c r="AT136" s="180"/>
      <c r="AU136" s="180"/>
      <c r="AV136" s="180"/>
      <c r="AW136" s="180"/>
      <c r="AX136" s="180"/>
      <c r="AY136" s="180"/>
      <c r="AZ136" s="180"/>
      <c r="BA136" s="180"/>
      <c r="BB136" s="180"/>
      <c r="BC136" s="180"/>
      <c r="BD136" s="180"/>
      <c r="BE136" s="180"/>
      <c r="BF136" s="180"/>
      <c r="BG136" s="180"/>
      <c r="BH136" s="180"/>
    </row>
    <row r="137">
      <c r="A137" s="71"/>
      <c r="B137" s="154" t="str">
        <f>IFERROR(__xludf.DUMMYFUNCTION("IFERROR(
  IF(C137="""","""",
    IF(OR(REGEXMATCH(D137,""(?i)-Flashing""), REGEXMATCH(D137,""(?i)-EavesGut""), REGEXMATCH(D137,""(?i)Valley"")),
        ""DR"" &amp;
        TEXT(
            ROUNDUP(
                MIN(
                    VALUE(MID(C137, "&amp;"FIND(""("",C137)+1, FIND(""/"",C137)-FIND(""("",C137)-1)),
                    1200
                ) / 50, 0
            ) * 50, ""0""
        ) &amp;
        MID(C137, FIND(""/"",C137)+1, FIND("")"",C137)-FIND(""/"",C137)-1) &amp;
        TEXT(H137*100,""0"") &amp;"&amp;"
        I137,
    IF(AND(D137=""Roof Sheet"", REGEXMATCH(C137,""(?i)KS\d{4}[A-Z]{2}"")),
       REGEXEXTRACT(C137,""(?i)KS\d{4}[A-Z]{2}""),
    IF(AND(REGEXMATCH(D137,""(?i)-DP""), REGEXMATCH(C137,""(?i)Downpipe"")),
       ""dp"" &amp; REGEXEXTRACT(C137,""("&amp;"\d+)"") &amp; ""mm"",
    IF(AND(REGEXMATCH(D137,""(?i)Bracket""), REGEXMATCH(C137,""(?i)Bracket"")),
       ""Brkt"" &amp; REGEXEXTRACT(C137,""(\d+)"") &amp; ""mm"",
    IF(AND(REGEXMATCH(D137,""(?i)-OP""), REGEXMATCH(C137,""(?i)pops"")),
       ""op"" &amp; REGEXEXTRAC"&amp;"T(C137,""(\d+)"") &amp; ""mm"",
    IF(OR(D137=""R-FFTop"", D137=""R-FFBottom"", D137=""R-FFSide""),
        IF(REGEXMATCH(C137,""(?i)Profiled.*Top|Top.*Profiled""),""pfft"",
        IF(REGEXMATCH(C137,""(?i)Profiled.*Bottom|Bottom.*Profiled""),""pffb"",
    "&amp;"    IF(REGEXMATCH(C137,""(?i)Square""),""sff"",""""))),
    IF(REGEXMATCH(D137,""(?i)-Rivets""),""Rvt"",
    IF(REGEXMATCH(D137,""(?i)Silicone""),""300ml"",
    IF(REGEXMATCH(D137,""(?i)R-Butyl""),""300ml"",
    IF(REGEXMATCH(D137,""(?i)Fix""),""GenFix"","&amp;"
    IF(AND(REGEXMATCH(C137,""(?i)Timber""), REGEXMATCH(D137,""(?i)Timber"")),""tp"",
    IF(AND(REGEXMATCH(C137,""(?i)Vent G1275""), REGEXMATCH(D137,""(?i)Comb FIller"")),""CFV1275"",
    IF(REGEXMATCH(C137,""(?i)DPC""),""dpc"",
    IF(REGEXMATCH(C137,"""&amp;"(?i)Concealed Clips""),""ConClips"",
    IF(REGEXMATCH(D137,""(?i)-Takeoff ea""),""Takeoff ea"",
    IF(REGEXMATCH(D137,""(?i)-Takeoff LM""),""Takeoff LM"",
    IF(REGEXMATCH(D137,""(?i)-Takeoff m2""),""Takeoff m2"",
    IF(D137=""R-TU/TD"",""TU/TD"","""""&amp;")))))))))))))))))
  )))"),"DR5003B55Mag")</f>
        <v>DR5003B55Mag</v>
      </c>
      <c r="C137" s="201" t="s">
        <v>160</v>
      </c>
      <c r="D137" s="239" t="s">
        <v>161</v>
      </c>
      <c r="E137" s="203">
        <f>VALUE(MID(C137, FIND("(", C137)+1, FIND("/", C137)-FIND("(", C137)-1)) / 1000</f>
        <v>0.5</v>
      </c>
      <c r="F137" s="218" t="str">
        <f>IFERROR(__xludf.DUMMYFUNCTION("IFERROR(REGEXEXTRACT(C137,""@\s*(\d+)\s*deg"")&amp;""°"","""")
"),"")</f>
        <v/>
      </c>
      <c r="G137" s="204"/>
      <c r="H137" s="204" t="str">
        <f>IFERROR(__xludf.DUMMYFUNCTION("IFERROR(REGEXEXTRACT(C137, ""(\d*\.\d+)mm""), """")"),"0.55")</f>
        <v>0.55</v>
      </c>
      <c r="I137" s="204" t="s">
        <v>97</v>
      </c>
      <c r="J137" s="126" t="s">
        <v>87</v>
      </c>
      <c r="K137" s="205" t="s">
        <v>55</v>
      </c>
      <c r="L137" s="206">
        <v>14.74</v>
      </c>
      <c r="M137" s="150">
        <f>L137</f>
        <v>14.74</v>
      </c>
      <c r="N137" s="207">
        <f>IFERROR(__xludf.DUMMYFUNCTION("""COMPUTED_VALUE"""),1.0)</f>
        <v>1</v>
      </c>
      <c r="O137" s="208">
        <v>1.0</v>
      </c>
      <c r="P137" s="208">
        <v>1.0</v>
      </c>
      <c r="Q137" s="203">
        <f t="shared" ref="Q137:Q140" si="86">M137*N137*O137*P137</f>
        <v>14.74</v>
      </c>
      <c r="R137" s="136" t="s">
        <v>42</v>
      </c>
      <c r="S137" s="137">
        <f t="shared" ref="S137:S140" si="87">R137*Q137</f>
        <v>0</v>
      </c>
      <c r="T137" s="210"/>
      <c r="U137" s="136" t="s">
        <v>42</v>
      </c>
      <c r="V137" s="209"/>
      <c r="W137" s="211">
        <f t="shared" ref="W137:W140" si="88">U137*Q137</f>
        <v>0</v>
      </c>
      <c r="X137" s="292" t="str">
        <f>W137/$AC$227/$W$234/Y137</f>
        <v>#VALUE!</v>
      </c>
      <c r="Y137" s="200">
        <v>2.0</v>
      </c>
      <c r="Z137" s="180" t="str">
        <f>Q137/X137</f>
        <v>#VALUE!</v>
      </c>
      <c r="AA137" s="180"/>
      <c r="AB137" s="180">
        <f t="shared" ref="AB137:AB141" si="89">W137+S137</f>
        <v>0</v>
      </c>
      <c r="AC137" s="181"/>
      <c r="AD137" s="182"/>
      <c r="AE137" s="183"/>
      <c r="AF137" s="184"/>
      <c r="AG137" s="185"/>
      <c r="AH137" s="186"/>
      <c r="AI137" s="187"/>
      <c r="AJ137" s="188"/>
      <c r="AK137" s="188"/>
      <c r="AL137" s="180"/>
      <c r="AM137" s="135">
        <v>14.74</v>
      </c>
      <c r="AN137" s="152" t="s">
        <v>46</v>
      </c>
      <c r="AO137" s="135">
        <v>0.0</v>
      </c>
      <c r="AP137" s="139"/>
      <c r="AQ137" s="189"/>
      <c r="AR137" s="189"/>
      <c r="AS137" s="180"/>
      <c r="AT137" s="180"/>
      <c r="AU137" s="180"/>
      <c r="AV137" s="180"/>
      <c r="AW137" s="180"/>
      <c r="AX137" s="180"/>
      <c r="AY137" s="180"/>
      <c r="AZ137" s="180"/>
      <c r="BA137" s="180"/>
      <c r="BB137" s="180"/>
      <c r="BC137" s="180"/>
      <c r="BD137" s="180"/>
      <c r="BE137" s="180"/>
      <c r="BF137" s="180"/>
      <c r="BG137" s="180"/>
      <c r="BH137" s="180"/>
    </row>
    <row r="138" ht="12.75" customHeight="1">
      <c r="A138" s="71"/>
      <c r="B138" s="154" t="str">
        <f>IFERROR(__xludf.DUMMYFUNCTION("IFERROR(
  IF(C138="""","""",
    IF(OR(REGEXMATCH(D138,""(?i)-Flashing""), REGEXMATCH(D138,""(?i)-EavesGut""), REGEXMATCH(D138,""(?i)Valley"")),
        ""DR"" &amp;
        TEXT(
            ROUNDUP(
                MIN(
                    VALUE(MID(C138, "&amp;"FIND(""("",C138)+1, FIND(""/"",C138)-FIND(""("",C138)-1)),
                    1200
                ) / 50, 0
            ) * 50, ""0""
        ) &amp;
        MID(C138, FIND(""/"",C138)+1, FIND("")"",C138)-FIND(""/"",C138)-1) &amp;
        TEXT(H138*100,""0"") &amp;"&amp;"
        I138,
    IF(AND(D138=""Roof Sheet"", REGEXMATCH(C138,""(?i)KS\d{4}[A-Z]{2}"")),
       REGEXEXTRACT(C138,""(?i)KS\d{4}[A-Z]{2}""),
    IF(AND(REGEXMATCH(D138,""(?i)-DP""), REGEXMATCH(C138,""(?i)Downpipe"")),
       ""dp"" &amp; REGEXEXTRACT(C138,""("&amp;"\d+)"") &amp; ""mm"",
    IF(AND(REGEXMATCH(D138,""(?i)Bracket""), REGEXMATCH(C138,""(?i)Bracket"")),
       ""Brkt"" &amp; REGEXEXTRACT(C138,""(\d+)"") &amp; ""mm"",
    IF(AND(REGEXMATCH(D138,""(?i)-OP""), REGEXMATCH(C138,""(?i)pops"")),
       ""op"" &amp; REGEXEXTRAC"&amp;"T(C138,""(\d+)"") &amp; ""mm"",
    IF(OR(D138=""R-FFTop"", D138=""R-FFBottom"", D138=""R-FFSide""),
        IF(REGEXMATCH(C138,""(?i)Profiled.*Top|Top.*Profiled""),""pfft"",
        IF(REGEXMATCH(C138,""(?i)Profiled.*Bottom|Bottom.*Profiled""),""pffb"",
    "&amp;"    IF(REGEXMATCH(C138,""(?i)Square""),""sff"",""""))),
    IF(REGEXMATCH(D138,""(?i)-Rivets""),""Rvt"",
    IF(REGEXMATCH(D138,""(?i)Silicone""),""300ml"",
    IF(REGEXMATCH(D138,""(?i)R-Butyl""),""300ml"",
    IF(REGEXMATCH(D138,""(?i)Fix""),""GenFix"","&amp;"
    IF(AND(REGEXMATCH(C138,""(?i)Timber""), REGEXMATCH(D138,""(?i)Timber"")),""tp"",
    IF(AND(REGEXMATCH(C138,""(?i)Vent G1275""), REGEXMATCH(D138,""(?i)Comb FIller"")),""CFV1275"",
    IF(REGEXMATCH(C138,""(?i)DPC""),""dpc"",
    IF(REGEXMATCH(C138,"""&amp;"(?i)Concealed Clips""),""ConClips"",
    IF(REGEXMATCH(D138,""(?i)-Takeoff ea""),""Takeoff ea"",
    IF(REGEXMATCH(D138,""(?i)-Takeoff LM""),""Takeoff LM"",
    IF(REGEXMATCH(D138,""(?i)-Takeoff m2""),""Takeoff m2"",
    IF(D138=""R-TU/TD"",""TU/TD"","""""&amp;")))))))))))))))))
  )))"),"300ml")</f>
        <v>300ml</v>
      </c>
      <c r="C138" s="225" t="s">
        <v>98</v>
      </c>
      <c r="D138" s="148" t="s">
        <v>162</v>
      </c>
      <c r="E138" s="168">
        <f t="shared" ref="E138:F138" si="85">E137</f>
        <v>0.5</v>
      </c>
      <c r="F138" s="168" t="str">
        <f t="shared" si="85"/>
        <v/>
      </c>
      <c r="G138" s="129"/>
      <c r="H138" s="127"/>
      <c r="I138" s="127"/>
      <c r="J138" s="126" t="s">
        <v>87</v>
      </c>
      <c r="K138" s="126" t="s">
        <v>52</v>
      </c>
      <c r="L138" s="168">
        <f>M137</f>
        <v>14.74</v>
      </c>
      <c r="M138" s="150">
        <f>(ROUNDDOWN((M137/5.7)+2,0)*E138)/8</f>
        <v>0.25</v>
      </c>
      <c r="N138" s="215">
        <f>IFERROR(__xludf.DUMMYFUNCTION("""COMPUTED_VALUE"""),1.0)</f>
        <v>1</v>
      </c>
      <c r="O138" s="134">
        <v>1.0</v>
      </c>
      <c r="P138" s="134">
        <v>1.0</v>
      </c>
      <c r="Q138" s="168">
        <f t="shared" si="86"/>
        <v>0.25</v>
      </c>
      <c r="R138" s="136" t="s">
        <v>42</v>
      </c>
      <c r="S138" s="137">
        <f t="shared" si="87"/>
        <v>0</v>
      </c>
      <c r="T138" s="138"/>
      <c r="U138" s="136" t="s">
        <v>42</v>
      </c>
      <c r="V138" s="139"/>
      <c r="W138" s="140">
        <f t="shared" si="88"/>
        <v>0</v>
      </c>
      <c r="X138" s="292"/>
      <c r="Y138" s="200"/>
      <c r="Z138" s="180"/>
      <c r="AA138" s="180"/>
      <c r="AB138" s="180">
        <f t="shared" si="89"/>
        <v>0</v>
      </c>
      <c r="AC138" s="33"/>
      <c r="AD138" s="65"/>
      <c r="AE138" s="66"/>
      <c r="AF138" s="144"/>
      <c r="AG138" s="68"/>
      <c r="AH138" s="69"/>
      <c r="AI138" s="39"/>
      <c r="AJ138" s="70"/>
      <c r="AK138" s="70"/>
      <c r="AL138" s="5"/>
      <c r="AM138" s="135">
        <v>0.25</v>
      </c>
      <c r="AN138" s="152" t="s">
        <v>46</v>
      </c>
      <c r="AO138" s="135">
        <v>0.0</v>
      </c>
      <c r="AP138" s="139"/>
      <c r="AQ138" s="5"/>
      <c r="AR138" s="5"/>
      <c r="AS138" s="5"/>
      <c r="AT138" s="5"/>
      <c r="AU138" s="5"/>
      <c r="AV138" s="5"/>
      <c r="AW138" s="5"/>
      <c r="AX138" s="5"/>
      <c r="AY138" s="5"/>
      <c r="AZ138" s="5"/>
      <c r="BA138" s="5"/>
      <c r="BB138" s="5"/>
      <c r="BC138" s="5"/>
      <c r="BD138" s="5"/>
      <c r="BE138" s="5"/>
      <c r="BF138" s="5"/>
      <c r="BG138" s="5"/>
      <c r="BH138" s="5"/>
    </row>
    <row r="139" ht="12.75" customHeight="1">
      <c r="A139" s="71"/>
      <c r="B139" s="154" t="str">
        <f>IFERROR(__xludf.DUMMYFUNCTION("IFERROR(
  IF(C139="""","""",
    IF(OR(REGEXMATCH(D139,""(?i)-Flashing""), REGEXMATCH(D139,""(?i)-EavesGut""), REGEXMATCH(D139,""(?i)Valley"")),
        ""DR"" &amp;
        TEXT(
            ROUNDUP(
                MIN(
                    VALUE(MID(C139, "&amp;"FIND(""("",C139)+1, FIND(""/"",C139)-FIND(""("",C139)-1)),
                    1200
                ) / 50, 0
            ) * 50, ""0""
        ) &amp;
        MID(C139, FIND(""/"",C139)+1, FIND("")"",C139)-FIND(""/"",C139)-1) &amp;
        TEXT(H139*100,""0"") &amp;"&amp;"
        I139,
    IF(AND(D139=""Roof Sheet"", REGEXMATCH(C139,""(?i)KS\d{4}[A-Z]{2}"")),
       REGEXEXTRACT(C139,""(?i)KS\d{4}[A-Z]{2}""),
    IF(AND(REGEXMATCH(D139,""(?i)-DP""), REGEXMATCH(C139,""(?i)Downpipe"")),
       ""dp"" &amp; REGEXEXTRACT(C139,""("&amp;"\d+)"") &amp; ""mm"",
    IF(AND(REGEXMATCH(D139,""(?i)Bracket""), REGEXMATCH(C139,""(?i)Bracket"")),
       ""Brkt"" &amp; REGEXEXTRACT(C139,""(\d+)"") &amp; ""mm"",
    IF(AND(REGEXMATCH(D139,""(?i)-OP""), REGEXMATCH(C139,""(?i)pops"")),
       ""op"" &amp; REGEXEXTRAC"&amp;"T(C139,""(\d+)"") &amp; ""mm"",
    IF(OR(D139=""R-FFTop"", D139=""R-FFBottom"", D139=""R-FFSide""),
        IF(REGEXMATCH(C139,""(?i)Profiled.*Top|Top.*Profiled""),""pfft"",
        IF(REGEXMATCH(C139,""(?i)Profiled.*Bottom|Bottom.*Profiled""),""pffb"",
    "&amp;"    IF(REGEXMATCH(C139,""(?i)Square""),""sff"",""""))),
    IF(REGEXMATCH(D139,""(?i)-Rivets""),""Rvt"",
    IF(REGEXMATCH(D139,""(?i)Silicone""),""300ml"",
    IF(REGEXMATCH(D139,""(?i)R-Butyl""),""300ml"",
    IF(REGEXMATCH(D139,""(?i)Fix""),""GenFix"","&amp;"
    IF(AND(REGEXMATCH(C139,""(?i)Timber""), REGEXMATCH(D139,""(?i)Timber"")),""tp"",
    IF(AND(REGEXMATCH(C139,""(?i)Vent G1275""), REGEXMATCH(D139,""(?i)Comb FIller"")),""CFV1275"",
    IF(REGEXMATCH(C139,""(?i)DPC""),""dpc"",
    IF(REGEXMATCH(C139,"""&amp;"(?i)Concealed Clips""),""ConClips"",
    IF(REGEXMATCH(D139,""(?i)-Takeoff ea""),""Takeoff ea"",
    IF(REGEXMATCH(D139,""(?i)-Takeoff LM""),""Takeoff LM"",
    IF(REGEXMATCH(D139,""(?i)-Takeoff m2""),""Takeoff m2"",
    IF(D139=""R-TU/TD"",""TU/TD"","""""&amp;")))))))))))))))))
  )))"),"Rvt")</f>
        <v>Rvt</v>
      </c>
      <c r="C139" s="225" t="s">
        <v>100</v>
      </c>
      <c r="D139" s="148" t="s">
        <v>163</v>
      </c>
      <c r="E139" s="168">
        <f>E137</f>
        <v>0.5</v>
      </c>
      <c r="F139" s="168" t="str">
        <f t="shared" ref="F139:F140" si="90">F138</f>
        <v/>
      </c>
      <c r="G139" s="129"/>
      <c r="H139" s="127"/>
      <c r="I139" s="127"/>
      <c r="J139" s="126" t="s">
        <v>87</v>
      </c>
      <c r="K139" s="126" t="s">
        <v>52</v>
      </c>
      <c r="L139" s="168">
        <f>M137</f>
        <v>14.74</v>
      </c>
      <c r="M139" s="150">
        <f>ROUNDUP(((M137/5.7)+1)*(E139/0.05),0)</f>
        <v>36</v>
      </c>
      <c r="N139" s="215">
        <f>IFERROR(__xludf.DUMMYFUNCTION("""COMPUTED_VALUE"""),1.0)</f>
        <v>1</v>
      </c>
      <c r="O139" s="134">
        <v>1.0</v>
      </c>
      <c r="P139" s="134">
        <v>1.0</v>
      </c>
      <c r="Q139" s="168">
        <f t="shared" si="86"/>
        <v>36</v>
      </c>
      <c r="R139" s="136" t="s">
        <v>42</v>
      </c>
      <c r="S139" s="137">
        <f t="shared" si="87"/>
        <v>0</v>
      </c>
      <c r="T139" s="138"/>
      <c r="U139" s="136" t="s">
        <v>42</v>
      </c>
      <c r="V139" s="139"/>
      <c r="W139" s="140">
        <f t="shared" si="88"/>
        <v>0</v>
      </c>
      <c r="X139" s="292"/>
      <c r="Y139" s="200"/>
      <c r="Z139" s="180"/>
      <c r="AA139" s="180"/>
      <c r="AB139" s="180">
        <f t="shared" si="89"/>
        <v>0</v>
      </c>
      <c r="AC139" s="33"/>
      <c r="AD139" s="65"/>
      <c r="AE139" s="66"/>
      <c r="AF139" s="144"/>
      <c r="AG139" s="68"/>
      <c r="AH139" s="69"/>
      <c r="AI139" s="39"/>
      <c r="AJ139" s="70"/>
      <c r="AK139" s="70"/>
      <c r="AL139" s="5"/>
      <c r="AM139" s="135">
        <v>36.0</v>
      </c>
      <c r="AN139" s="152" t="s">
        <v>46</v>
      </c>
      <c r="AO139" s="135">
        <v>0.0</v>
      </c>
      <c r="AP139" s="139"/>
      <c r="AQ139" s="5"/>
      <c r="AR139" s="5"/>
      <c r="AS139" s="5"/>
      <c r="AT139" s="5"/>
      <c r="AU139" s="5"/>
      <c r="AV139" s="5"/>
      <c r="AW139" s="5"/>
      <c r="AX139" s="5"/>
      <c r="AY139" s="5"/>
      <c r="AZ139" s="5"/>
      <c r="BA139" s="5"/>
      <c r="BB139" s="5"/>
      <c r="BC139" s="5"/>
      <c r="BD139" s="5"/>
      <c r="BE139" s="5"/>
      <c r="BF139" s="5"/>
      <c r="BG139" s="5"/>
      <c r="BH139" s="5"/>
    </row>
    <row r="140" ht="12.75" customHeight="1">
      <c r="A140" s="71"/>
      <c r="B140" s="154" t="str">
        <f>IFERROR(__xludf.DUMMYFUNCTION("IFERROR(
  IF(C140="""","""",
    IF(OR(REGEXMATCH(D140,""(?i)-Flashing""), REGEXMATCH(D140,""(?i)-EavesGut""), REGEXMATCH(D140,""(?i)Valley"")),
        ""DR"" &amp;
        TEXT(
            ROUNDUP(
                MIN(
                    VALUE(MID(C140, "&amp;"FIND(""("",C140)+1, FIND(""/"",C140)-FIND(""("",C140)-1)),
                    1200
                ) / 50, 0
            ) * 50, ""0""
        ) &amp;
        MID(C140, FIND(""/"",C140)+1, FIND("")"",C140)-FIND(""/"",C140)-1) &amp;
        TEXT(H140*100,""0"") &amp;"&amp;"
        I140,
    IF(AND(D140=""Roof Sheet"", REGEXMATCH(C140,""(?i)KS\d{4}[A-Z]{2}"")),
       REGEXEXTRACT(C140,""(?i)KS\d{4}[A-Z]{2}""),
    IF(AND(REGEXMATCH(D140,""(?i)-DP""), REGEXMATCH(C140,""(?i)Downpipe"")),
       ""dp"" &amp; REGEXEXTRACT(C140,""("&amp;"\d+)"") &amp; ""mm"",
    IF(AND(REGEXMATCH(D140,""(?i)Bracket""), REGEXMATCH(C140,""(?i)Bracket"")),
       ""Brkt"" &amp; REGEXEXTRACT(C140,""(\d+)"") &amp; ""mm"",
    IF(AND(REGEXMATCH(D140,""(?i)-OP""), REGEXMATCH(C140,""(?i)pops"")),
       ""op"" &amp; REGEXEXTRAC"&amp;"T(C140,""(\d+)"") &amp; ""mm"",
    IF(OR(D140=""R-FFTop"", D140=""R-FFBottom"", D140=""R-FFSide""),
        IF(REGEXMATCH(C140,""(?i)Profiled.*Top|Top.*Profiled""),""pfft"",
        IF(REGEXMATCH(C140,""(?i)Profiled.*Bottom|Bottom.*Profiled""),""pffb"",
    "&amp;"    IF(REGEXMATCH(C140,""(?i)Square""),""sff"",""""))),
    IF(REGEXMATCH(D140,""(?i)-Rivets""),""Rvt"",
    IF(REGEXMATCH(D140,""(?i)Silicone""),""300ml"",
    IF(REGEXMATCH(D140,""(?i)R-Butyl""),""300ml"",
    IF(REGEXMATCH(D140,""(?i)Fix""),""GenFix"","&amp;"
    IF(AND(REGEXMATCH(C140,""(?i)Timber""), REGEXMATCH(D140,""(?i)Timber"")),""tp"",
    IF(AND(REGEXMATCH(C140,""(?i)Vent G1275""), REGEXMATCH(D140,""(?i)Comb FIller"")),""CFV1275"",
    IF(REGEXMATCH(C140,""(?i)DPC""),""dpc"",
    IF(REGEXMATCH(C140,"""&amp;"(?i)Concealed Clips""),""ConClips"",
    IF(REGEXMATCH(D140,""(?i)-Takeoff ea""),""Takeoff ea"",
    IF(REGEXMATCH(D140,""(?i)-Takeoff LM""),""Takeoff LM"",
    IF(REGEXMATCH(D140,""(?i)-Takeoff m2""),""Takeoff m2"",
    IF(D140=""R-TU/TD"",""TU/TD"","""""&amp;")))))))))))))))))
  )))"),"GenFix")</f>
        <v>GenFix</v>
      </c>
      <c r="C140" s="158" t="s">
        <v>102</v>
      </c>
      <c r="D140" s="148" t="s">
        <v>164</v>
      </c>
      <c r="E140" s="161"/>
      <c r="F140" s="168" t="str">
        <f t="shared" si="90"/>
        <v/>
      </c>
      <c r="G140" s="129"/>
      <c r="H140" s="127"/>
      <c r="I140" s="127"/>
      <c r="J140" s="126" t="s">
        <v>87</v>
      </c>
      <c r="K140" s="126" t="s">
        <v>52</v>
      </c>
      <c r="L140" s="168">
        <f>M137</f>
        <v>14.74</v>
      </c>
      <c r="M140" s="150">
        <f>ROUNDUP(M137/0.6,0)+1</f>
        <v>26</v>
      </c>
      <c r="N140" s="215">
        <f>IFERROR(__xludf.DUMMYFUNCTION("""COMPUTED_VALUE"""),1.0)</f>
        <v>1</v>
      </c>
      <c r="O140" s="134">
        <v>1.0</v>
      </c>
      <c r="P140" s="134">
        <v>1.0</v>
      </c>
      <c r="Q140" s="168">
        <f t="shared" si="86"/>
        <v>26</v>
      </c>
      <c r="R140" s="136" t="s">
        <v>42</v>
      </c>
      <c r="S140" s="137">
        <f t="shared" si="87"/>
        <v>0</v>
      </c>
      <c r="T140" s="138"/>
      <c r="U140" s="136" t="s">
        <v>42</v>
      </c>
      <c r="V140" s="139"/>
      <c r="W140" s="140">
        <f t="shared" si="88"/>
        <v>0</v>
      </c>
      <c r="X140" s="292"/>
      <c r="Y140" s="200"/>
      <c r="Z140" s="180"/>
      <c r="AA140" s="180"/>
      <c r="AB140" s="180">
        <f t="shared" si="89"/>
        <v>0</v>
      </c>
      <c r="AC140" s="33"/>
      <c r="AD140" s="65"/>
      <c r="AE140" s="66"/>
      <c r="AF140" s="144"/>
      <c r="AG140" s="68"/>
      <c r="AH140" s="69"/>
      <c r="AI140" s="39"/>
      <c r="AJ140" s="70"/>
      <c r="AK140" s="70"/>
      <c r="AL140" s="5"/>
      <c r="AM140" s="135">
        <v>26.0</v>
      </c>
      <c r="AN140" s="152" t="s">
        <v>46</v>
      </c>
      <c r="AO140" s="135">
        <v>0.0</v>
      </c>
      <c r="AP140" s="139"/>
      <c r="AQ140" s="5"/>
      <c r="AR140" s="5"/>
      <c r="AS140" s="5"/>
      <c r="AT140" s="5"/>
      <c r="AU140" s="5"/>
      <c r="AV140" s="5"/>
      <c r="AW140" s="5"/>
      <c r="AX140" s="5"/>
      <c r="AY140" s="5"/>
      <c r="AZ140" s="5"/>
      <c r="BA140" s="5"/>
      <c r="BB140" s="5"/>
      <c r="BC140" s="5"/>
      <c r="BD140" s="5"/>
      <c r="BE140" s="5"/>
      <c r="BF140" s="5"/>
      <c r="BG140" s="5"/>
      <c r="BH140" s="5"/>
    </row>
    <row r="141" ht="12.75" customHeight="1">
      <c r="A141" s="71"/>
      <c r="B141" s="221"/>
      <c r="C141" s="214"/>
      <c r="D141" s="202"/>
      <c r="E141" s="203"/>
      <c r="F141" s="204"/>
      <c r="G141" s="204"/>
      <c r="H141" s="204"/>
      <c r="I141" s="204"/>
      <c r="J141" s="205"/>
      <c r="K141" s="204" t="s">
        <v>42</v>
      </c>
      <c r="L141" s="206"/>
      <c r="M141" s="220" t="s">
        <v>42</v>
      </c>
      <c r="N141" s="207" t="str">
        <f>IFERROR(__xludf.DUMMYFUNCTION("""COMPUTED_VALUE"""),"")</f>
        <v/>
      </c>
      <c r="O141" s="208"/>
      <c r="P141" s="208"/>
      <c r="Q141" s="203"/>
      <c r="R141" s="136"/>
      <c r="S141" s="209"/>
      <c r="T141" s="210"/>
      <c r="U141" s="136"/>
      <c r="V141" s="209"/>
      <c r="W141" s="211"/>
      <c r="X141" s="292"/>
      <c r="Y141" s="200"/>
      <c r="Z141" s="180"/>
      <c r="AA141" s="180"/>
      <c r="AB141" s="180">
        <f t="shared" si="89"/>
        <v>0</v>
      </c>
      <c r="AC141" s="181"/>
      <c r="AD141" s="182"/>
      <c r="AE141" s="183"/>
      <c r="AF141" s="184"/>
      <c r="AG141" s="185"/>
      <c r="AH141" s="186"/>
      <c r="AI141" s="187"/>
      <c r="AJ141" s="188"/>
      <c r="AK141" s="188"/>
      <c r="AL141" s="180"/>
      <c r="AM141" s="135" t="s">
        <v>42</v>
      </c>
      <c r="AN141" s="152"/>
      <c r="AO141" s="135" t="s">
        <v>42</v>
      </c>
      <c r="AP141" s="139"/>
      <c r="AQ141" s="189"/>
      <c r="AR141" s="189"/>
      <c r="AS141" s="180"/>
      <c r="AT141" s="180"/>
      <c r="AU141" s="180"/>
      <c r="AV141" s="180"/>
      <c r="AW141" s="180"/>
      <c r="AX141" s="180"/>
      <c r="AY141" s="180"/>
      <c r="AZ141" s="180"/>
      <c r="BA141" s="180"/>
      <c r="BB141" s="180"/>
      <c r="BC141" s="180"/>
      <c r="BD141" s="180"/>
      <c r="BE141" s="180"/>
      <c r="BF141" s="180"/>
      <c r="BG141" s="180"/>
      <c r="BH141" s="180"/>
    </row>
    <row r="142">
      <c r="A142" s="71">
        <v>1.0</v>
      </c>
      <c r="B142" s="190"/>
      <c r="C142" s="191" t="s">
        <v>165</v>
      </c>
      <c r="D142" s="192"/>
      <c r="E142" s="193"/>
      <c r="F142" s="192"/>
      <c r="G142" s="192"/>
      <c r="H142" s="194"/>
      <c r="I142" s="194"/>
      <c r="J142" s="194"/>
      <c r="K142" s="194" t="s">
        <v>42</v>
      </c>
      <c r="L142" s="195">
        <f>Q142</f>
        <v>14.74</v>
      </c>
      <c r="M142" s="196" t="s">
        <v>42</v>
      </c>
      <c r="N142" s="197" t="str">
        <f>IFERROR(__xludf.DUMMYFUNCTION("""COMPUTED_VALUE"""),"")</f>
        <v/>
      </c>
      <c r="O142" s="194"/>
      <c r="P142" s="194"/>
      <c r="Q142" s="195">
        <f>Q143</f>
        <v>14.74</v>
      </c>
      <c r="R142" s="136"/>
      <c r="S142" s="198">
        <f>T142/Q142</f>
        <v>0</v>
      </c>
      <c r="T142" s="198">
        <f>SUM(S143:S145)</f>
        <v>0</v>
      </c>
      <c r="U142" s="136"/>
      <c r="V142" s="198">
        <f>W142/Q142</f>
        <v>0</v>
      </c>
      <c r="W142" s="199">
        <f>SUM(W143:W145)</f>
        <v>0</v>
      </c>
      <c r="X142" s="111" t="str">
        <f>W142/$AC$176/$W$183/$X$173</f>
        <v>#REF!</v>
      </c>
      <c r="Y142" s="200" t="b">
        <f>(T142+W142)=(SUM(AB143:AB145))</f>
        <v>1</v>
      </c>
      <c r="Z142" s="180">
        <f>(T142+W142)-(SUM(AB143:AB145))</f>
        <v>0</v>
      </c>
      <c r="AA142" s="180"/>
      <c r="AB142" s="180"/>
      <c r="AC142" s="181"/>
      <c r="AD142" s="114">
        <f>W142+T142</f>
        <v>0</v>
      </c>
      <c r="AE142" s="115">
        <f>AD142</f>
        <v>0</v>
      </c>
      <c r="AF142" s="116" t="str">
        <f>AE142/$AE$151</f>
        <v>#REF!</v>
      </c>
      <c r="AG142" s="117" t="str">
        <f>AF142*$AG$158</f>
        <v>#REF!</v>
      </c>
      <c r="AH142" s="118" t="str">
        <f>AF142*$AG$161</f>
        <v>#REF!</v>
      </c>
      <c r="AI142" s="39"/>
      <c r="AJ142" s="119" t="str">
        <f>ROUND(AK142/L142,2)</f>
        <v>#REF!</v>
      </c>
      <c r="AK142" s="119" t="str">
        <f>ROUND(AH142+AG142+AD142,2)</f>
        <v>#REF!</v>
      </c>
      <c r="AL142" s="180"/>
      <c r="AM142" s="135" t="s">
        <v>42</v>
      </c>
      <c r="AN142" s="152"/>
      <c r="AO142" s="135" t="s">
        <v>42</v>
      </c>
      <c r="AP142" s="139"/>
      <c r="AQ142" s="189"/>
      <c r="AR142" s="189"/>
      <c r="AS142" s="180"/>
      <c r="AT142" s="180"/>
      <c r="AU142" s="180"/>
      <c r="AV142" s="180"/>
      <c r="AW142" s="180"/>
      <c r="AX142" s="180"/>
      <c r="AY142" s="180"/>
      <c r="AZ142" s="180"/>
      <c r="BA142" s="180"/>
      <c r="BB142" s="180"/>
      <c r="BC142" s="180"/>
      <c r="BD142" s="180"/>
      <c r="BE142" s="180"/>
      <c r="BF142" s="180"/>
      <c r="BG142" s="180"/>
      <c r="BH142" s="180"/>
    </row>
    <row r="143">
      <c r="A143" s="71"/>
      <c r="B143" s="122" t="s">
        <v>166</v>
      </c>
      <c r="C143" s="276" t="s">
        <v>167</v>
      </c>
      <c r="D143" s="239" t="s">
        <v>168</v>
      </c>
      <c r="E143" s="168"/>
      <c r="F143" s="277"/>
      <c r="G143" s="278"/>
      <c r="H143" s="279"/>
      <c r="I143" s="280"/>
      <c r="J143" s="126" t="s">
        <v>14</v>
      </c>
      <c r="K143" s="281" t="s">
        <v>55</v>
      </c>
      <c r="L143" s="282">
        <f>L137</f>
        <v>14.74</v>
      </c>
      <c r="M143" s="283">
        <v>14.74</v>
      </c>
      <c r="N143" s="284">
        <f>IFERROR(__xludf.DUMMYFUNCTION("""COMPUTED_VALUE"""),1.0)</f>
        <v>1</v>
      </c>
      <c r="O143" s="134">
        <v>1.0</v>
      </c>
      <c r="P143" s="134">
        <v>1.0</v>
      </c>
      <c r="Q143" s="168">
        <f t="shared" ref="Q143:Q144" si="91">M143*N143*O143*P143</f>
        <v>14.74</v>
      </c>
      <c r="R143" s="136" t="s">
        <v>42</v>
      </c>
      <c r="S143" s="137">
        <f t="shared" ref="S143:S144" si="92">R143*Q143</f>
        <v>0</v>
      </c>
      <c r="T143" s="138"/>
      <c r="U143" s="136" t="s">
        <v>42</v>
      </c>
      <c r="V143" s="139"/>
      <c r="W143" s="140">
        <f t="shared" ref="W143:W144" si="93">U143*Q143</f>
        <v>0</v>
      </c>
      <c r="X143" s="292"/>
      <c r="Y143" s="200"/>
      <c r="Z143" s="180"/>
      <c r="AA143" s="180"/>
      <c r="AB143" s="180">
        <f t="shared" ref="AB143:AB145" si="94">W143+S143</f>
        <v>0</v>
      </c>
      <c r="AC143" s="275"/>
      <c r="AD143" s="287"/>
      <c r="AE143" s="287"/>
      <c r="AF143" s="288"/>
      <c r="AG143" s="289"/>
      <c r="AH143" s="290"/>
      <c r="AI143" s="291"/>
      <c r="AJ143" s="290"/>
      <c r="AK143" s="290"/>
      <c r="AL143" s="267"/>
      <c r="AM143" s="135">
        <v>14.74</v>
      </c>
      <c r="AN143" s="152" t="s">
        <v>46</v>
      </c>
      <c r="AO143" s="135">
        <v>0.0</v>
      </c>
      <c r="AP143" s="139"/>
      <c r="AQ143" s="260"/>
      <c r="AR143" s="260"/>
      <c r="AS143" s="260"/>
      <c r="AT143" s="260"/>
      <c r="AU143" s="260"/>
      <c r="AV143" s="260"/>
      <c r="AW143" s="260"/>
      <c r="AX143" s="260"/>
      <c r="AY143" s="260"/>
      <c r="AZ143" s="260"/>
      <c r="BA143" s="260"/>
      <c r="BB143" s="260"/>
      <c r="BC143" s="260"/>
      <c r="BD143" s="260"/>
      <c r="BE143" s="260"/>
      <c r="BF143" s="260"/>
      <c r="BG143" s="260"/>
      <c r="BH143" s="260"/>
    </row>
    <row r="144" ht="12.75" customHeight="1">
      <c r="A144" s="71"/>
      <c r="B144" s="154" t="str">
        <f>IFERROR(__xludf.DUMMYFUNCTION("IFERROR(
  IF(C144="""","""",
    IF(OR(REGEXMATCH(D144,""(?i)-Flashing""), REGEXMATCH(D144,""(?i)-EavesGut""), REGEXMATCH(D144,""(?i)Valley"")),
        ""DR"" &amp;
        TEXT(
            ROUNDUP(
                MIN(
                    VALUE(MID(C144, "&amp;"FIND(""("",C144)+1, FIND(""/"",C144)-FIND(""("",C144)-1)),
                    1200
                ) / 50, 0
            ) * 50, ""0""
        ) &amp;
        MID(C144, FIND(""/"",C144)+1, FIND("")"",C144)-FIND(""/"",C144)-1) &amp;
        TEXT(H144*100,""0"") &amp;"&amp;"
        I144,
    IF(AND(D144=""Roof Sheet"", REGEXMATCH(C144,""(?i)KS\d{4}[A-Z]{2}"")),
       REGEXEXTRACT(C144,""(?i)KS\d{4}[A-Z]{2}""),
    IF(AND(REGEXMATCH(D144,""(?i)-DP""), REGEXMATCH(C144,""(?i)Downpipe"")),
       ""dp"" &amp; REGEXEXTRACT(C144,""("&amp;"\d+)"") &amp; ""mm"",
    IF(AND(REGEXMATCH(D144,""(?i)Bracket""), REGEXMATCH(C144,""(?i)Bracket"")),
       ""Brkt"" &amp; REGEXEXTRACT(C144,""(\d+)"") &amp; ""mm"",
    IF(AND(REGEXMATCH(D144,""(?i)-OP""), REGEXMATCH(C144,""(?i)pops"")),
       ""op"" &amp; REGEXEXTRAC"&amp;"T(C144,""(\d+)"") &amp; ""mm"",
    IF(OR(D144=""R-FFTop"", D144=""R-FFBottom"", D144=""R-FFSide""),
        IF(REGEXMATCH(C144,""(?i)Profiled.*Top|Top.*Profiled""),""pfft"",
        IF(REGEXMATCH(C144,""(?i)Profiled.*Bottom|Bottom.*Profiled""),""pffb"",
    "&amp;"    IF(REGEXMATCH(C144,""(?i)Square""),""sff"",""""))),
    IF(REGEXMATCH(D144,""(?i)-Rivets""),""Rvt"",
    IF(REGEXMATCH(D144,""(?i)Silicone""),""300ml"",
    IF(REGEXMATCH(D144,""(?i)R-Butyl""),""300ml"",
    IF(REGEXMATCH(D144,""(?i)Fix""),""GenFix"","&amp;"
    IF(AND(REGEXMATCH(C144,""(?i)Timber""), REGEXMATCH(D144,""(?i)Timber"")),""tp"",
    IF(AND(REGEXMATCH(C144,""(?i)Vent G1275""), REGEXMATCH(D144,""(?i)Comb FIller"")),""CFV1275"",
    IF(REGEXMATCH(C144,""(?i)DPC""),""dpc"",
    IF(REGEXMATCH(C144,"""&amp;"(?i)Concealed Clips""),""ConClips"",
    IF(REGEXMATCH(D144,""(?i)-Takeoff ea""),""Takeoff ea"",
    IF(REGEXMATCH(D144,""(?i)-Takeoff LM""),""Takeoff LM"",
    IF(REGEXMATCH(D144,""(?i)-Takeoff m2""),""Takeoff m2"",
    IF(D144=""R-TU/TD"",""TU/TD"","""""&amp;")))))))))))))))))
  )))"),"dpc")</f>
        <v>dpc</v>
      </c>
      <c r="C144" s="276" t="s">
        <v>169</v>
      </c>
      <c r="D144" s="239" t="s">
        <v>170</v>
      </c>
      <c r="E144" s="168"/>
      <c r="F144" s="277"/>
      <c r="G144" s="278"/>
      <c r="H144" s="279"/>
      <c r="I144" s="280"/>
      <c r="J144" s="126" t="s">
        <v>14</v>
      </c>
      <c r="K144" s="281" t="s">
        <v>55</v>
      </c>
      <c r="L144" s="282">
        <f>M143</f>
        <v>14.74</v>
      </c>
      <c r="M144" s="283">
        <f>M143</f>
        <v>14.74</v>
      </c>
      <c r="N144" s="284">
        <f>IFERROR(__xludf.DUMMYFUNCTION("""COMPUTED_VALUE"""),1.0)</f>
        <v>1</v>
      </c>
      <c r="O144" s="134">
        <v>1.0</v>
      </c>
      <c r="P144" s="134">
        <v>1.0</v>
      </c>
      <c r="Q144" s="168">
        <f t="shared" si="91"/>
        <v>14.74</v>
      </c>
      <c r="R144" s="136" t="s">
        <v>42</v>
      </c>
      <c r="S144" s="137">
        <f t="shared" si="92"/>
        <v>0</v>
      </c>
      <c r="T144" s="138"/>
      <c r="U144" s="136" t="s">
        <v>42</v>
      </c>
      <c r="V144" s="139"/>
      <c r="W144" s="140">
        <f t="shared" si="93"/>
        <v>0</v>
      </c>
      <c r="X144" s="292"/>
      <c r="Y144" s="200"/>
      <c r="Z144" s="180"/>
      <c r="AA144" s="180"/>
      <c r="AB144" s="180">
        <f t="shared" si="94"/>
        <v>0</v>
      </c>
      <c r="AC144" s="275"/>
      <c r="AD144" s="287"/>
      <c r="AE144" s="287"/>
      <c r="AF144" s="288"/>
      <c r="AG144" s="289"/>
      <c r="AH144" s="290"/>
      <c r="AI144" s="291"/>
      <c r="AJ144" s="290"/>
      <c r="AK144" s="290"/>
      <c r="AL144" s="267"/>
      <c r="AM144" s="135">
        <v>14.74</v>
      </c>
      <c r="AN144" s="152" t="s">
        <v>46</v>
      </c>
      <c r="AO144" s="135">
        <v>0.0</v>
      </c>
      <c r="AP144" s="139"/>
      <c r="AQ144" s="260"/>
      <c r="AR144" s="260"/>
      <c r="AS144" s="260"/>
      <c r="AT144" s="260"/>
      <c r="AU144" s="260"/>
      <c r="AV144" s="260"/>
      <c r="AW144" s="260"/>
      <c r="AX144" s="260"/>
      <c r="AY144" s="260"/>
      <c r="AZ144" s="260"/>
      <c r="BA144" s="260"/>
      <c r="BB144" s="260"/>
      <c r="BC144" s="260"/>
      <c r="BD144" s="260"/>
      <c r="BE144" s="260"/>
      <c r="BF144" s="260"/>
      <c r="BG144" s="260"/>
      <c r="BH144" s="260"/>
    </row>
    <row r="145" ht="12.75" customHeight="1">
      <c r="A145" s="71"/>
      <c r="B145" s="154"/>
      <c r="C145" s="276"/>
      <c r="D145" s="148"/>
      <c r="E145" s="168"/>
      <c r="F145" s="277"/>
      <c r="G145" s="278"/>
      <c r="H145" s="279"/>
      <c r="I145" s="280"/>
      <c r="J145" s="281"/>
      <c r="K145" s="281" t="s">
        <v>42</v>
      </c>
      <c r="L145" s="282"/>
      <c r="M145" s="283" t="s">
        <v>42</v>
      </c>
      <c r="N145" s="284" t="str">
        <f>IFERROR(__xludf.DUMMYFUNCTION("""COMPUTED_VALUE"""),"")</f>
        <v/>
      </c>
      <c r="O145" s="285"/>
      <c r="P145" s="285"/>
      <c r="Q145" s="281"/>
      <c r="R145" s="293"/>
      <c r="S145" s="294"/>
      <c r="T145" s="286"/>
      <c r="U145" s="296"/>
      <c r="V145" s="286"/>
      <c r="W145" s="295"/>
      <c r="X145" s="292"/>
      <c r="Y145" s="200"/>
      <c r="Z145" s="180"/>
      <c r="AA145" s="180"/>
      <c r="AB145" s="180">
        <f t="shared" si="94"/>
        <v>0</v>
      </c>
      <c r="AC145" s="275"/>
      <c r="AD145" s="287"/>
      <c r="AE145" s="287"/>
      <c r="AF145" s="288"/>
      <c r="AG145" s="289"/>
      <c r="AH145" s="290"/>
      <c r="AI145" s="291"/>
      <c r="AJ145" s="290"/>
      <c r="AK145" s="290"/>
      <c r="AL145" s="267"/>
      <c r="AM145" s="135" t="s">
        <v>42</v>
      </c>
      <c r="AN145" s="152"/>
      <c r="AO145" s="135" t="s">
        <v>42</v>
      </c>
      <c r="AP145" s="139"/>
      <c r="AQ145" s="260"/>
      <c r="AR145" s="260"/>
      <c r="AS145" s="260"/>
      <c r="AT145" s="260"/>
      <c r="AU145" s="260"/>
      <c r="AV145" s="260"/>
      <c r="AW145" s="260"/>
      <c r="AX145" s="260"/>
      <c r="AY145" s="260"/>
      <c r="AZ145" s="260"/>
      <c r="BA145" s="260"/>
      <c r="BB145" s="260"/>
      <c r="BC145" s="260"/>
      <c r="BD145" s="260"/>
      <c r="BE145" s="260"/>
      <c r="BF145" s="260"/>
      <c r="BG145" s="260"/>
      <c r="BH145" s="260"/>
    </row>
    <row r="146">
      <c r="A146" s="71">
        <v>1.0</v>
      </c>
      <c r="B146" s="190"/>
      <c r="C146" s="191" t="s">
        <v>171</v>
      </c>
      <c r="D146" s="192"/>
      <c r="E146" s="193"/>
      <c r="F146" s="192"/>
      <c r="G146" s="192"/>
      <c r="H146" s="194"/>
      <c r="I146" s="194"/>
      <c r="J146" s="194"/>
      <c r="K146" s="194" t="s">
        <v>42</v>
      </c>
      <c r="L146" s="195">
        <f>Q146</f>
        <v>103.47</v>
      </c>
      <c r="M146" s="196" t="s">
        <v>42</v>
      </c>
      <c r="N146" s="197" t="str">
        <f>IFERROR(__xludf.DUMMYFUNCTION("""COMPUTED_VALUE"""),"")</f>
        <v/>
      </c>
      <c r="O146" s="194"/>
      <c r="P146" s="194"/>
      <c r="Q146" s="195">
        <f>Q147</f>
        <v>103.47</v>
      </c>
      <c r="R146" s="136"/>
      <c r="S146" s="198">
        <f>T146/Q146</f>
        <v>0</v>
      </c>
      <c r="T146" s="198">
        <f>SUM(S147:S148)</f>
        <v>0</v>
      </c>
      <c r="U146" s="136"/>
      <c r="V146" s="198">
        <f>W146/Q146</f>
        <v>0</v>
      </c>
      <c r="W146" s="199">
        <f>SUM(W147:W148)</f>
        <v>0</v>
      </c>
      <c r="X146" s="111" t="str">
        <f>W146/$AC$176/$W$183/$X$173</f>
        <v>#REF!</v>
      </c>
      <c r="Y146" s="200" t="b">
        <f>(T146+W146)=(SUM(AB147))</f>
        <v>1</v>
      </c>
      <c r="Z146" s="180">
        <f>(T146+W146)-(SUM(AB147))</f>
        <v>0</v>
      </c>
      <c r="AA146" s="180"/>
      <c r="AB146" s="180"/>
      <c r="AC146" s="181"/>
      <c r="AD146" s="114">
        <f>W146+T146</f>
        <v>0</v>
      </c>
      <c r="AE146" s="115">
        <f>AD146</f>
        <v>0</v>
      </c>
      <c r="AF146" s="116" t="str">
        <f>AE146/$AE$151</f>
        <v>#REF!</v>
      </c>
      <c r="AG146" s="117" t="str">
        <f>AF146*$AG$158</f>
        <v>#REF!</v>
      </c>
      <c r="AH146" s="118" t="str">
        <f>AF146*$AG$161</f>
        <v>#REF!</v>
      </c>
      <c r="AI146" s="39"/>
      <c r="AJ146" s="119" t="str">
        <f>ROUND(AK146/L146,2)</f>
        <v>#REF!</v>
      </c>
      <c r="AK146" s="119" t="str">
        <f>ROUND(AH146+AG146+AD146,2)</f>
        <v>#REF!</v>
      </c>
      <c r="AL146" s="180"/>
      <c r="AM146" s="135" t="s">
        <v>42</v>
      </c>
      <c r="AN146" s="152"/>
      <c r="AO146" s="135" t="s">
        <v>42</v>
      </c>
      <c r="AP146" s="139"/>
      <c r="AQ146" s="189"/>
      <c r="AR146" s="189"/>
      <c r="AS146" s="180"/>
      <c r="AT146" s="180"/>
      <c r="AU146" s="180"/>
      <c r="AV146" s="180"/>
      <c r="AW146" s="180"/>
      <c r="AX146" s="180"/>
      <c r="AY146" s="180"/>
      <c r="AZ146" s="180"/>
      <c r="BA146" s="180"/>
      <c r="BB146" s="180"/>
      <c r="BC146" s="180"/>
      <c r="BD146" s="180"/>
      <c r="BE146" s="180"/>
      <c r="BF146" s="180"/>
      <c r="BG146" s="180"/>
      <c r="BH146" s="180"/>
    </row>
    <row r="147" ht="12.75" customHeight="1">
      <c r="A147" s="71"/>
      <c r="B147" s="122" t="s">
        <v>128</v>
      </c>
      <c r="C147" s="276" t="s">
        <v>172</v>
      </c>
      <c r="D147" s="239" t="s">
        <v>173</v>
      </c>
      <c r="E147" s="168"/>
      <c r="F147" s="277"/>
      <c r="G147" s="278"/>
      <c r="H147" s="279"/>
      <c r="I147" s="280"/>
      <c r="J147" s="126" t="s">
        <v>14</v>
      </c>
      <c r="K147" s="281" t="s">
        <v>55</v>
      </c>
      <c r="L147" s="282">
        <v>103.47</v>
      </c>
      <c r="M147" s="283">
        <v>103.47</v>
      </c>
      <c r="N147" s="284">
        <f>IFERROR(__xludf.DUMMYFUNCTION("""COMPUTED_VALUE"""),1.0)</f>
        <v>1</v>
      </c>
      <c r="O147" s="134">
        <v>1.0</v>
      </c>
      <c r="P147" s="134">
        <v>1.0</v>
      </c>
      <c r="Q147" s="168">
        <f>M147*N147*O147*P147</f>
        <v>103.47</v>
      </c>
      <c r="R147" s="136" t="s">
        <v>42</v>
      </c>
      <c r="S147" s="137">
        <f>R147*Q147</f>
        <v>0</v>
      </c>
      <c r="T147" s="138"/>
      <c r="U147" s="136" t="s">
        <v>42</v>
      </c>
      <c r="V147" s="139"/>
      <c r="W147" s="140">
        <f>U147*Q147</f>
        <v>0</v>
      </c>
      <c r="X147" s="292"/>
      <c r="Y147" s="200"/>
      <c r="Z147" s="180"/>
      <c r="AA147" s="180"/>
      <c r="AB147" s="180">
        <f>W147+S147</f>
        <v>0</v>
      </c>
      <c r="AC147" s="275"/>
      <c r="AD147" s="287"/>
      <c r="AE147" s="287"/>
      <c r="AF147" s="288"/>
      <c r="AG147" s="289"/>
      <c r="AH147" s="290"/>
      <c r="AI147" s="291"/>
      <c r="AJ147" s="290"/>
      <c r="AK147" s="290"/>
      <c r="AL147" s="267"/>
      <c r="AM147" s="135">
        <v>103.47</v>
      </c>
      <c r="AN147" s="152" t="s">
        <v>46</v>
      </c>
      <c r="AO147" s="135">
        <v>0.0</v>
      </c>
      <c r="AP147" s="139"/>
      <c r="AQ147" s="260"/>
      <c r="AR147" s="260"/>
      <c r="AS147" s="260"/>
      <c r="AT147" s="260"/>
      <c r="AU147" s="260"/>
      <c r="AV147" s="260"/>
      <c r="AW147" s="260"/>
      <c r="AX147" s="260"/>
      <c r="AY147" s="260"/>
      <c r="AZ147" s="260"/>
      <c r="BA147" s="260"/>
      <c r="BB147" s="260"/>
      <c r="BC147" s="260"/>
      <c r="BD147" s="260"/>
      <c r="BE147" s="260"/>
      <c r="BF147" s="260"/>
      <c r="BG147" s="260"/>
      <c r="BH147" s="260"/>
    </row>
    <row r="148" ht="12.75" customHeight="1">
      <c r="A148" s="71"/>
      <c r="B148" s="154" t="str">
        <f>IFERROR(__xludf.DUMMYFUNCTION("IFERROR(
  IF(C148="""","""",
    IF(OR(D148=""Flashings"", D148=""Box Gutter""),
        ""DR"" &amp;
        TEXT(
            ROUNDUP(
                MIN(
                    VALUE(MID(C148,FIND(""("",C148)+1,FIND(""/"",C148)-FIND(""("",C148)-1)),
       "&amp;"             1200
                )/50,0
            )*50,""0""
        ) &amp;
        MID(C148,FIND(""/"",C148)+1,FIND("")"",C148)-FIND(""/"",C148)-1) &amp;
        TEXT(H148*100,""0"") &amp;
        I148,
  IF(C148="""","""",
    IF(D148=""Wall Flashings"",
      "&amp;"  ""wDR"" &amp;
        TEXT(
            ROUNDUP(
                MIN(
                    VALUE(MID(C148,FIND(""("",C148)+1,FIND(""/"",C148)-FIND(""("",C148)-1)),
                    1200
                )/50,0
            )*50,""0""
        ) &amp;
        MID"&amp;"(C148,FIND(""/"",C148)+1,FIND("")"",C148)-FIND(""/"",C148)-1) &amp;
        TEXT(H148*100,""0"") &amp;
        I148,
    IF(AND(D148=""Downpipe"", REGEXMATCH(C148,""(?i)Downpipe"")), 
       ""dp"" &amp; REGEXEXTRACT(C148,""(\d+)"") &amp; ""mm"",
    IF(AND(D148=""DP Bra"&amp;"cket"", REGEXMATCH(C148,""(?i)Bracket"")), 
       ""Brkt"" &amp; REGEXEXTRACT(C148,""(\d+)"") &amp; ""mm"",
    IF(AND(OR(D148=""Outlet Pops"",D148=""Overflow Pops""), REGEXMATCH(C148,""(?i)pops"")), 
       ""op"" &amp; REGEXEXTRACT(C148,""(\d+)"") &amp; ""mm"",
    IF"&amp;"(D148=""Foam Filler"",
        IF(REGEXMATCH(C148,""(?i)Profiled.*Top|Top.*Profiled""),""pfft"",
        IF(REGEXMATCH(C148,""(?i)Profiled.*Bottom|Bottom.*Profiled""),""pffb"",
        IF(REGEXMATCH(C148,""(?i)Square.*Top|Top.*Square""),""sfft"",
        "&amp;"IF(REGEXMATCH(C148,""(?i)Square.*Bottom|Bottom.*Square""),""sffb"","""")))),
    IF(D148=""Rivets"",""Rvt"",
    IF(REGEXMATCH(D148, ""(?i)Takeoff""),""[Input Code]"",
    IF(REGEXMATCH(D148, ""(?i)Sealant""),""300ml"",
    IF(REGEXMATCH(D148, ""(?i)Fix"""&amp;"),""GenFix"",
    IF(AND(REGEXMATCH(C148, ""(?i)Timber""), REGEXMATCH(D148, ""(?i)Timber"")), ""tp"",
    IF(AND(REGEXMATCH(C148, ""(?i)Vent G1275""), REGEXMATCH(D148, ""(?i)Comb FIller"")), ""CFV1275"",
    IF(REGEXMATCH(C148, ""(?i)DPC""),""dpc"",
    I"&amp;"F(REGEXMATCH(C148, ""(?i)Concealed Clips""),""ConClips"",
    IF(D148=""TU Roof End"",""TU"",
    IF(D148=""TD Roof End"",""TD"",""""))))))))))))
)))))))"),"")</f>
        <v/>
      </c>
      <c r="C148" s="276"/>
      <c r="D148" s="148"/>
      <c r="E148" s="168"/>
      <c r="F148" s="277"/>
      <c r="G148" s="278"/>
      <c r="H148" s="279"/>
      <c r="I148" s="280"/>
      <c r="J148" s="281"/>
      <c r="K148" s="281" t="s">
        <v>42</v>
      </c>
      <c r="L148" s="282"/>
      <c r="M148" s="283" t="s">
        <v>42</v>
      </c>
      <c r="N148" s="284" t="str">
        <f>IFERROR(__xludf.DUMMYFUNCTION("""COMPUTED_VALUE"""),"")</f>
        <v/>
      </c>
      <c r="O148" s="285"/>
      <c r="P148" s="285"/>
      <c r="Q148" s="281"/>
      <c r="R148" s="293"/>
      <c r="S148" s="294"/>
      <c r="T148" s="286"/>
      <c r="U148" s="296"/>
      <c r="V148" s="286"/>
      <c r="W148" s="295"/>
      <c r="X148" s="297" t="str">
        <f>SUM(AB13:AB148)</f>
        <v>#REF!</v>
      </c>
      <c r="Y148" s="297"/>
      <c r="Z148" s="297"/>
      <c r="AA148" s="297"/>
      <c r="AB148" s="298"/>
      <c r="AC148" s="275"/>
      <c r="AD148" s="287"/>
      <c r="AE148" s="287"/>
      <c r="AF148" s="288"/>
      <c r="AG148" s="289"/>
      <c r="AH148" s="290"/>
      <c r="AI148" s="291"/>
      <c r="AJ148" s="290"/>
      <c r="AK148" s="290"/>
      <c r="AL148" s="267"/>
      <c r="AM148" s="135" t="s">
        <v>42</v>
      </c>
      <c r="AN148" s="152"/>
      <c r="AO148" s="135" t="s">
        <v>42</v>
      </c>
      <c r="AP148" s="139"/>
      <c r="AQ148" s="260"/>
      <c r="AR148" s="260"/>
      <c r="AS148" s="260"/>
      <c r="AT148" s="260"/>
      <c r="AU148" s="260"/>
      <c r="AV148" s="260"/>
      <c r="AW148" s="260"/>
      <c r="AX148" s="260"/>
      <c r="AY148" s="260"/>
      <c r="AZ148" s="260"/>
      <c r="BA148" s="260"/>
      <c r="BB148" s="260"/>
      <c r="BC148" s="260"/>
      <c r="BD148" s="260"/>
      <c r="BE148" s="260"/>
      <c r="BF148" s="260"/>
      <c r="BG148" s="260"/>
      <c r="BH148" s="260"/>
    </row>
    <row r="149" ht="12.75" customHeight="1">
      <c r="A149" s="8"/>
      <c r="B149" s="299"/>
      <c r="C149" s="2"/>
      <c r="D149" s="2"/>
      <c r="E149" s="3"/>
      <c r="F149" s="2"/>
      <c r="G149" s="2"/>
      <c r="H149" s="2"/>
      <c r="I149" s="5"/>
      <c r="J149" s="5"/>
      <c r="K149" s="5"/>
      <c r="L149" s="3"/>
      <c r="M149" s="3"/>
      <c r="N149" s="4"/>
      <c r="O149" s="2"/>
      <c r="P149" s="2"/>
      <c r="Q149" s="6"/>
      <c r="R149" s="300"/>
      <c r="S149" s="301"/>
      <c r="T149" s="302" t="str">
        <f>sumif(A13:A148,1,T13:T148)</f>
        <v>#REF!</v>
      </c>
      <c r="U149" s="303"/>
      <c r="V149" s="304"/>
      <c r="W149" s="302" t="str">
        <f>sumif(A13:A148,1,W13:W148)</f>
        <v>#REF!</v>
      </c>
      <c r="X149" s="305" t="str">
        <f>X148=(T149+W149)</f>
        <v>#REF!</v>
      </c>
      <c r="Y149" s="113" t="str">
        <f>(T149+W149)-X148</f>
        <v>#REF!</v>
      </c>
      <c r="Z149" s="5"/>
      <c r="AA149" s="5"/>
      <c r="AB149" s="5"/>
      <c r="AC149" s="33"/>
      <c r="AD149" s="65"/>
      <c r="AE149" s="66"/>
      <c r="AF149" s="67"/>
      <c r="AG149" s="68"/>
      <c r="AH149" s="69"/>
      <c r="AI149" s="39"/>
      <c r="AJ149" s="70"/>
      <c r="AK149" s="70"/>
      <c r="AL149" s="2"/>
      <c r="AM149" s="5"/>
      <c r="AN149" s="5"/>
      <c r="AO149" s="2"/>
      <c r="AP149" s="2"/>
      <c r="AQ149" s="2"/>
      <c r="AR149" s="2"/>
      <c r="AS149" s="2"/>
      <c r="AT149" s="2"/>
      <c r="AU149" s="2"/>
      <c r="AV149" s="2"/>
      <c r="AW149" s="2"/>
      <c r="AX149" s="2"/>
      <c r="AY149" s="2"/>
      <c r="AZ149" s="2"/>
      <c r="BA149" s="2"/>
      <c r="BB149" s="2"/>
      <c r="BC149" s="2"/>
      <c r="BD149" s="2"/>
      <c r="BE149" s="2"/>
      <c r="BF149" s="2"/>
      <c r="BG149" s="2"/>
      <c r="BH149" s="2"/>
    </row>
    <row r="150" ht="12.75" customHeight="1">
      <c r="A150" s="8"/>
      <c r="B150" s="2"/>
      <c r="C150" s="2"/>
      <c r="D150" s="2"/>
      <c r="E150" s="3"/>
      <c r="F150" s="2"/>
      <c r="G150" s="2"/>
      <c r="H150" s="2"/>
      <c r="I150" s="2"/>
      <c r="J150" s="2"/>
      <c r="K150" s="2"/>
      <c r="L150" s="3"/>
      <c r="M150" s="3"/>
      <c r="N150" s="4"/>
      <c r="O150" s="2"/>
      <c r="P150" s="2"/>
      <c r="Q150" s="6"/>
      <c r="R150" s="5"/>
      <c r="S150" s="5"/>
      <c r="T150" s="5"/>
      <c r="U150" s="5"/>
      <c r="V150" s="5"/>
      <c r="W150" s="5"/>
      <c r="X150" s="306" t="str">
        <f>W149/70/8/$X$173</f>
        <v>#REF!</v>
      </c>
      <c r="Y150" s="5"/>
      <c r="Z150" s="5"/>
      <c r="AA150" s="5"/>
      <c r="AB150" s="5"/>
      <c r="AC150" s="33"/>
      <c r="AD150" s="65"/>
      <c r="AE150" s="66"/>
      <c r="AF150" s="67"/>
      <c r="AG150" s="68"/>
      <c r="AH150" s="69"/>
      <c r="AI150" s="39"/>
      <c r="AJ150" s="70"/>
      <c r="AK150" s="70"/>
      <c r="AL150" s="6"/>
      <c r="AM150" s="5"/>
      <c r="AN150" s="5"/>
      <c r="AO150" s="5"/>
      <c r="AP150" s="5"/>
      <c r="AQ150" s="2"/>
      <c r="AR150" s="5"/>
      <c r="AS150" s="5"/>
      <c r="AT150" s="2"/>
      <c r="AU150" s="6"/>
      <c r="AV150" s="6"/>
      <c r="AW150" s="6"/>
      <c r="AX150" s="2"/>
      <c r="AY150" s="2"/>
      <c r="AZ150" s="2"/>
      <c r="BA150" s="2"/>
      <c r="BB150" s="2"/>
      <c r="BC150" s="2"/>
      <c r="BD150" s="2"/>
      <c r="BE150" s="2"/>
      <c r="BF150" s="2"/>
      <c r="BG150" s="2"/>
      <c r="BH150" s="2"/>
    </row>
    <row r="151" ht="12.75" customHeight="1">
      <c r="A151" s="8">
        <v>1.0</v>
      </c>
      <c r="B151" s="307"/>
      <c r="C151" s="307"/>
      <c r="D151" s="307"/>
      <c r="E151" s="308"/>
      <c r="F151" s="307"/>
      <c r="G151" s="307"/>
      <c r="H151" s="307"/>
      <c r="I151" s="307"/>
      <c r="J151" s="307"/>
      <c r="K151" s="307"/>
      <c r="L151" s="308"/>
      <c r="M151" s="308"/>
      <c r="N151" s="309"/>
      <c r="O151" s="307"/>
      <c r="P151" s="307"/>
      <c r="Q151" s="307"/>
      <c r="R151" s="307"/>
      <c r="S151" s="310"/>
      <c r="T151" s="311" t="str">
        <f>T149</f>
        <v>#REF!</v>
      </c>
      <c r="U151" s="307"/>
      <c r="V151" s="310"/>
      <c r="W151" s="311" t="str">
        <f>W149</f>
        <v>#REF!</v>
      </c>
      <c r="X151" s="307"/>
      <c r="Y151" s="310"/>
      <c r="Z151" s="310"/>
      <c r="AA151" s="310"/>
      <c r="AB151" s="311" t="str">
        <f>SUM(AB13:AB150)</f>
        <v>#REF!</v>
      </c>
      <c r="AC151" s="307"/>
      <c r="AD151" s="311" t="str">
        <f t="shared" ref="AD151:AH151" si="95">SUM(AD13:AD150)</f>
        <v>#REF!</v>
      </c>
      <c r="AE151" s="311" t="str">
        <f t="shared" si="95"/>
        <v>#REF!</v>
      </c>
      <c r="AF151" s="312" t="str">
        <f t="shared" si="95"/>
        <v>#REF!</v>
      </c>
      <c r="AG151" s="311" t="str">
        <f t="shared" si="95"/>
        <v>#REF!</v>
      </c>
      <c r="AH151" s="311" t="str">
        <f t="shared" si="95"/>
        <v>#REF!</v>
      </c>
      <c r="AI151" s="310"/>
      <c r="AJ151" s="310"/>
      <c r="AK151" s="311" t="str">
        <f>SUM(AK13:AK150)</f>
        <v>#REF!</v>
      </c>
      <c r="AL151" s="5"/>
      <c r="AM151" s="5"/>
      <c r="AN151" s="5"/>
      <c r="AO151" s="5"/>
      <c r="AP151" s="5"/>
      <c r="AQ151" s="6"/>
      <c r="AR151" s="5"/>
      <c r="AS151" s="6"/>
      <c r="AT151" s="2"/>
      <c r="AU151" s="6"/>
      <c r="AV151" s="2"/>
      <c r="AW151" s="5"/>
      <c r="AX151" s="2"/>
      <c r="AY151" s="2"/>
      <c r="AZ151" s="2"/>
      <c r="BA151" s="2"/>
      <c r="BB151" s="2"/>
      <c r="BC151" s="2"/>
      <c r="BD151" s="2"/>
      <c r="BE151" s="2"/>
      <c r="BF151" s="2"/>
      <c r="BG151" s="2"/>
      <c r="BH151" s="2"/>
    </row>
    <row r="152" ht="12.75" customHeight="1">
      <c r="A152" s="1"/>
      <c r="B152" s="2"/>
      <c r="C152" s="2"/>
      <c r="D152" s="2"/>
      <c r="E152" s="3"/>
      <c r="F152" s="2"/>
      <c r="G152" s="2"/>
      <c r="H152" s="2"/>
      <c r="I152" s="313"/>
      <c r="J152" s="313"/>
      <c r="K152" s="6"/>
      <c r="L152" s="3"/>
      <c r="M152" s="3"/>
      <c r="N152" s="4"/>
      <c r="O152" s="5"/>
      <c r="P152" s="2"/>
      <c r="Q152" s="6"/>
      <c r="R152" s="2"/>
      <c r="S152" s="5"/>
      <c r="T152" s="5"/>
      <c r="U152" s="6"/>
      <c r="V152" s="5"/>
      <c r="W152" s="5"/>
      <c r="X152" s="314"/>
      <c r="Y152" s="5"/>
      <c r="Z152" s="5"/>
      <c r="AA152" s="5"/>
      <c r="AB152" s="5"/>
      <c r="AC152" s="2"/>
      <c r="AD152" s="5"/>
      <c r="AE152" s="315" t="str">
        <f>W166/AE151</f>
        <v>#REF!</v>
      </c>
      <c r="AF152" s="6"/>
      <c r="AG152" s="5"/>
      <c r="AH152" s="5"/>
      <c r="AI152" s="5"/>
      <c r="AJ152" s="5"/>
      <c r="AK152" s="316" t="str">
        <f>AK151-T174</f>
        <v>#REF!</v>
      </c>
      <c r="AL152" s="5"/>
      <c r="AM152" s="5"/>
      <c r="AN152" s="5"/>
      <c r="AO152" s="5"/>
      <c r="AP152" s="5"/>
      <c r="AQ152" s="6"/>
      <c r="AR152" s="5"/>
      <c r="AS152" s="6"/>
      <c r="AT152" s="2"/>
      <c r="AU152" s="6"/>
      <c r="AV152" s="2"/>
      <c r="AW152" s="5"/>
      <c r="AX152" s="2"/>
      <c r="AY152" s="2"/>
      <c r="AZ152" s="2"/>
      <c r="BA152" s="2"/>
      <c r="BB152" s="2"/>
      <c r="BC152" s="2"/>
      <c r="BD152" s="2"/>
      <c r="BE152" s="2"/>
      <c r="BF152" s="2"/>
      <c r="BG152" s="2"/>
      <c r="BH152" s="2"/>
    </row>
    <row r="153" ht="12.75" customHeight="1">
      <c r="A153" s="1"/>
      <c r="B153" s="2"/>
      <c r="C153" s="317" t="s">
        <v>174</v>
      </c>
      <c r="D153" s="318"/>
      <c r="E153" s="319"/>
      <c r="F153" s="320"/>
      <c r="G153" s="320"/>
      <c r="H153" s="320"/>
      <c r="I153" s="321"/>
      <c r="J153" s="322"/>
      <c r="K153" s="322"/>
      <c r="L153" s="319"/>
      <c r="M153" s="319"/>
      <c r="N153" s="323"/>
      <c r="O153" s="2"/>
      <c r="P153" s="2"/>
      <c r="Q153" s="6"/>
      <c r="R153" s="2"/>
      <c r="S153" s="324" t="s">
        <v>175</v>
      </c>
      <c r="T153" s="325" t="str">
        <f>T151</f>
        <v>#REF!</v>
      </c>
      <c r="U153" s="5"/>
      <c r="V153" s="324" t="s">
        <v>175</v>
      </c>
      <c r="W153" s="325" t="str">
        <f>W151</f>
        <v>#REF!</v>
      </c>
      <c r="X153" s="326" t="str">
        <f>Z267+AK267+AV267</f>
        <v>#REF!</v>
      </c>
      <c r="Y153" s="5"/>
      <c r="Z153" s="5"/>
      <c r="AA153" s="5"/>
      <c r="AB153" s="5"/>
      <c r="AC153" s="2"/>
      <c r="AD153" s="5"/>
      <c r="AE153" s="5"/>
      <c r="AF153" s="6"/>
      <c r="AG153" s="5"/>
      <c r="AH153" s="5"/>
      <c r="AI153" s="5"/>
      <c r="AJ153" s="5"/>
      <c r="AK153" s="327" t="str">
        <f>AK151=T174</f>
        <v>#REF!</v>
      </c>
      <c r="AL153" s="5"/>
      <c r="AM153" s="5"/>
      <c r="AN153" s="5"/>
      <c r="AO153" s="5"/>
      <c r="AP153" s="6"/>
      <c r="AQ153" s="6"/>
      <c r="AR153" s="5"/>
      <c r="AS153" s="6"/>
      <c r="AT153" s="6"/>
      <c r="AU153" s="6"/>
      <c r="AV153" s="328"/>
      <c r="AW153" s="5"/>
      <c r="AX153" s="2"/>
      <c r="AY153" s="2"/>
      <c r="AZ153" s="2"/>
      <c r="BA153" s="2"/>
      <c r="BB153" s="2"/>
      <c r="BC153" s="2"/>
      <c r="BD153" s="2"/>
      <c r="BE153" s="2"/>
      <c r="BF153" s="2"/>
      <c r="BG153" s="2"/>
      <c r="BH153" s="2"/>
    </row>
    <row r="154" ht="12.75" customHeight="1">
      <c r="A154" s="1"/>
      <c r="B154" s="12" t="s">
        <v>176</v>
      </c>
      <c r="C154" s="329" t="s">
        <v>177</v>
      </c>
      <c r="D154" s="330"/>
      <c r="E154" s="331"/>
      <c r="F154" s="332"/>
      <c r="G154" s="332"/>
      <c r="H154" s="332"/>
      <c r="I154" s="333" t="s">
        <v>178</v>
      </c>
      <c r="J154" s="334" t="s">
        <v>179</v>
      </c>
      <c r="K154" s="335" t="s">
        <v>180</v>
      </c>
      <c r="L154" s="336" t="s">
        <v>181</v>
      </c>
      <c r="M154" s="337" t="s">
        <v>182</v>
      </c>
      <c r="N154" s="338">
        <f>SUM(N155:N161)</f>
        <v>0</v>
      </c>
      <c r="O154" s="2"/>
      <c r="P154" s="2"/>
      <c r="Q154" s="6"/>
      <c r="R154" s="339">
        <v>0.018</v>
      </c>
      <c r="S154" s="340" t="s">
        <v>183</v>
      </c>
      <c r="T154" s="341" t="str">
        <f>(T151)*R154</f>
        <v>#REF!</v>
      </c>
      <c r="U154" s="5"/>
      <c r="V154" s="342"/>
      <c r="W154" s="343"/>
      <c r="X154" s="344" t="str">
        <f>W157-X153</f>
        <v>#REF!</v>
      </c>
      <c r="Y154" s="5"/>
      <c r="Z154" s="5"/>
      <c r="AA154" s="5"/>
      <c r="AB154" s="345" t="str">
        <f>(T153+W153)=AB151</f>
        <v>#REF!</v>
      </c>
      <c r="AC154" s="2"/>
      <c r="AD154" s="346" t="s">
        <v>184</v>
      </c>
      <c r="AE154" s="5"/>
      <c r="AF154" s="6"/>
      <c r="AG154" s="222" t="str">
        <f>AD151</f>
        <v>#REF!</v>
      </c>
      <c r="AH154" s="5"/>
      <c r="AI154" s="5"/>
      <c r="AJ154" s="5"/>
      <c r="AK154" s="5"/>
      <c r="AL154" s="5"/>
      <c r="AM154" s="5"/>
      <c r="AN154" s="5"/>
      <c r="AO154" s="5"/>
      <c r="AP154" s="6"/>
      <c r="AQ154" s="6"/>
      <c r="AR154" s="5"/>
      <c r="AS154" s="6"/>
      <c r="AT154" s="6"/>
      <c r="AU154" s="6"/>
      <c r="AV154" s="328"/>
      <c r="AW154" s="5"/>
      <c r="AX154" s="2"/>
      <c r="AY154" s="2"/>
      <c r="AZ154" s="2"/>
      <c r="BA154" s="2"/>
      <c r="BB154" s="2"/>
      <c r="BC154" s="2"/>
      <c r="BD154" s="2"/>
      <c r="BE154" s="2"/>
      <c r="BF154" s="2"/>
      <c r="BG154" s="2"/>
      <c r="BH154" s="2"/>
    </row>
    <row r="155" ht="12.75" customHeight="1">
      <c r="A155" s="1"/>
      <c r="B155" s="2"/>
      <c r="C155" s="347" t="s">
        <v>185</v>
      </c>
      <c r="D155" s="348"/>
      <c r="E155" s="3"/>
      <c r="F155" s="2"/>
      <c r="G155" s="2"/>
      <c r="H155" s="2"/>
      <c r="I155" s="349">
        <f>X173</f>
        <v>4</v>
      </c>
      <c r="J155" s="349">
        <f>I155</f>
        <v>4</v>
      </c>
      <c r="K155" s="349">
        <f>I155</f>
        <v>4</v>
      </c>
      <c r="L155" s="350">
        <v>2.0</v>
      </c>
      <c r="M155" s="350">
        <v>1.0</v>
      </c>
      <c r="N155" s="351"/>
      <c r="O155" s="2"/>
      <c r="P155" s="2"/>
      <c r="Q155" s="6"/>
      <c r="R155" s="352"/>
      <c r="S155" s="340" t="s">
        <v>186</v>
      </c>
      <c r="T155" s="341">
        <v>0.0</v>
      </c>
      <c r="U155" s="353" t="str">
        <f>W155/(W151)</f>
        <v>#REF!</v>
      </c>
      <c r="V155" s="340" t="s">
        <v>186</v>
      </c>
      <c r="W155" s="343"/>
      <c r="X155" s="6"/>
      <c r="Y155" s="5"/>
      <c r="Z155" s="5"/>
      <c r="AA155" s="5"/>
      <c r="AB155" s="5"/>
      <c r="AC155" s="2"/>
      <c r="AD155" s="5"/>
      <c r="AE155" s="5"/>
      <c r="AF155" s="6"/>
      <c r="AG155" s="5"/>
      <c r="AH155" s="5"/>
      <c r="AI155" s="5"/>
      <c r="AJ155" s="5"/>
      <c r="AK155" s="5"/>
      <c r="AL155" s="5"/>
      <c r="AM155" s="5"/>
      <c r="AN155" s="5"/>
      <c r="AO155" s="5"/>
      <c r="AP155" s="6"/>
      <c r="AQ155" s="6"/>
      <c r="AR155" s="5"/>
      <c r="AS155" s="6"/>
      <c r="AT155" s="6"/>
      <c r="AU155" s="6"/>
      <c r="AV155" s="328"/>
      <c r="AW155" s="5"/>
      <c r="AX155" s="2"/>
      <c r="AY155" s="2"/>
      <c r="AZ155" s="2"/>
      <c r="BA155" s="2"/>
      <c r="BB155" s="2"/>
      <c r="BC155" s="2"/>
      <c r="BD155" s="2"/>
      <c r="BE155" s="2"/>
      <c r="BF155" s="2"/>
      <c r="BG155" s="2"/>
      <c r="BH155" s="2"/>
    </row>
    <row r="156" ht="12.75" customHeight="1">
      <c r="A156" s="1"/>
      <c r="B156" s="2"/>
      <c r="C156" s="347" t="s">
        <v>26</v>
      </c>
      <c r="D156" s="348"/>
      <c r="E156" s="3"/>
      <c r="F156" s="2"/>
      <c r="G156" s="2"/>
      <c r="H156" s="2"/>
      <c r="I156" s="354">
        <v>350.0</v>
      </c>
      <c r="J156" s="354">
        <v>350.0</v>
      </c>
      <c r="K156" s="354">
        <v>400.0</v>
      </c>
      <c r="L156" s="350">
        <v>350.0</v>
      </c>
      <c r="M156" s="350">
        <f>55*1.25</f>
        <v>68.75</v>
      </c>
      <c r="N156" s="351"/>
      <c r="O156" s="2"/>
      <c r="P156" s="2"/>
      <c r="Q156" s="6"/>
      <c r="R156" s="2"/>
      <c r="S156" s="342"/>
      <c r="T156" s="343"/>
      <c r="U156" s="5"/>
      <c r="V156" s="342"/>
      <c r="W156" s="343"/>
      <c r="X156" s="6"/>
      <c r="Y156" s="5"/>
      <c r="Z156" s="5"/>
      <c r="AA156" s="5"/>
      <c r="AB156" s="5"/>
      <c r="AC156" s="2"/>
      <c r="AD156" s="355" t="s">
        <v>187</v>
      </c>
      <c r="AE156" s="356"/>
      <c r="AF156" s="357"/>
      <c r="AG156" s="358" t="str">
        <f>T166+U166</f>
        <v>#REF!</v>
      </c>
      <c r="AH156" s="5"/>
      <c r="AI156" s="5"/>
      <c r="AJ156" s="5"/>
      <c r="AK156" s="5"/>
      <c r="AL156" s="5"/>
      <c r="AM156" s="5"/>
      <c r="AN156" s="5"/>
      <c r="AO156" s="5"/>
      <c r="AP156" s="6"/>
      <c r="AQ156" s="6"/>
      <c r="AR156" s="5"/>
      <c r="AS156" s="6"/>
      <c r="AT156" s="6"/>
      <c r="AU156" s="6"/>
      <c r="AV156" s="328"/>
      <c r="AW156" s="5"/>
      <c r="AX156" s="2"/>
      <c r="AY156" s="2"/>
      <c r="AZ156" s="2"/>
      <c r="BA156" s="2"/>
      <c r="BB156" s="2"/>
      <c r="BC156" s="2"/>
      <c r="BD156" s="2"/>
      <c r="BE156" s="2"/>
      <c r="BF156" s="2"/>
      <c r="BG156" s="2"/>
      <c r="BH156" s="2"/>
    </row>
    <row r="157" ht="12.75" customHeight="1">
      <c r="A157" s="1"/>
      <c r="B157" s="2"/>
      <c r="C157" s="359" t="s">
        <v>188</v>
      </c>
      <c r="D157" s="348"/>
      <c r="E157" s="3"/>
      <c r="F157" s="2"/>
      <c r="G157" s="2"/>
      <c r="H157" s="2"/>
      <c r="I157" s="360"/>
      <c r="J157" s="360"/>
      <c r="K157" s="360"/>
      <c r="L157" s="361"/>
      <c r="M157" s="361"/>
      <c r="N157" s="351"/>
      <c r="O157" s="2"/>
      <c r="P157" s="2"/>
      <c r="Q157" s="6"/>
      <c r="R157" s="2"/>
      <c r="S157" s="362"/>
      <c r="T157" s="363" t="str">
        <f>SUM(T153:T156)</f>
        <v>#REF!</v>
      </c>
      <c r="U157" s="5"/>
      <c r="V157" s="362"/>
      <c r="W157" s="363" t="str">
        <f>SUM(W153:W156)</f>
        <v>#REF!</v>
      </c>
      <c r="X157" s="6"/>
      <c r="Y157" s="5"/>
      <c r="Z157" s="5"/>
      <c r="AA157" s="5"/>
      <c r="AB157" s="5"/>
      <c r="AC157" s="2"/>
      <c r="AD157" s="346" t="s">
        <v>24</v>
      </c>
      <c r="AE157" s="5"/>
      <c r="AF157" s="6"/>
      <c r="AG157" s="364" t="str">
        <f>N253-AH157</f>
        <v>#REF!</v>
      </c>
      <c r="AH157" s="5"/>
      <c r="AI157" s="5"/>
      <c r="AJ157" s="5"/>
      <c r="AK157" s="5"/>
      <c r="AL157" s="5"/>
      <c r="AM157" s="5"/>
      <c r="AN157" s="5"/>
      <c r="AO157" s="5"/>
      <c r="AP157" s="6"/>
      <c r="AQ157" s="6"/>
      <c r="AR157" s="5"/>
      <c r="AS157" s="6"/>
      <c r="AT157" s="6"/>
      <c r="AU157" s="6"/>
      <c r="AV157" s="328"/>
      <c r="AW157" s="5"/>
      <c r="AX157" s="2"/>
      <c r="AY157" s="2"/>
      <c r="AZ157" s="2"/>
      <c r="BA157" s="2"/>
      <c r="BB157" s="2"/>
      <c r="BC157" s="2"/>
      <c r="BD157" s="2"/>
      <c r="BE157" s="2"/>
      <c r="BF157" s="2"/>
      <c r="BG157" s="2"/>
      <c r="BH157" s="2"/>
    </row>
    <row r="158" ht="12.75" customHeight="1">
      <c r="A158" s="1"/>
      <c r="B158" s="2"/>
      <c r="C158" s="365" t="s">
        <v>189</v>
      </c>
      <c r="D158" s="366"/>
      <c r="E158" s="367"/>
      <c r="F158" s="368"/>
      <c r="G158" s="368"/>
      <c r="H158" s="368"/>
      <c r="I158" s="369">
        <f t="shared" ref="I158:M158" si="96">I156*I155*I157</f>
        <v>0</v>
      </c>
      <c r="J158" s="369">
        <f t="shared" si="96"/>
        <v>0</v>
      </c>
      <c r="K158" s="370">
        <f t="shared" si="96"/>
        <v>0</v>
      </c>
      <c r="L158" s="371">
        <f t="shared" si="96"/>
        <v>0</v>
      </c>
      <c r="M158" s="371">
        <f t="shared" si="96"/>
        <v>0</v>
      </c>
      <c r="N158" s="372">
        <f>SUM(I158:M158)</f>
        <v>0</v>
      </c>
      <c r="O158" s="2"/>
      <c r="P158" s="2"/>
      <c r="Q158" s="6"/>
      <c r="R158" s="2"/>
      <c r="S158" s="342"/>
      <c r="T158" s="343"/>
      <c r="U158" s="5"/>
      <c r="V158" s="342"/>
      <c r="W158" s="343"/>
      <c r="X158" s="6"/>
      <c r="Y158" s="5"/>
      <c r="Z158" s="5"/>
      <c r="AA158" s="5"/>
      <c r="AB158" s="5"/>
      <c r="AC158" s="2"/>
      <c r="AD158" s="5"/>
      <c r="AE158" s="5"/>
      <c r="AF158" s="6"/>
      <c r="AG158" s="222" t="str">
        <f>SUM(AG156:AG157)</f>
        <v>#REF!</v>
      </c>
      <c r="AH158" s="5"/>
      <c r="AI158" s="5"/>
      <c r="AJ158" s="5"/>
      <c r="AK158" s="5"/>
      <c r="AL158" s="5"/>
      <c r="AM158" s="5"/>
      <c r="AN158" s="5"/>
      <c r="AO158" s="5"/>
      <c r="AP158" s="6"/>
      <c r="AQ158" s="6"/>
      <c r="AR158" s="5"/>
      <c r="AS158" s="6"/>
      <c r="AT158" s="6"/>
      <c r="AU158" s="6"/>
      <c r="AV158" s="328"/>
      <c r="AW158" s="5"/>
      <c r="AX158" s="2"/>
      <c r="AY158" s="2"/>
      <c r="AZ158" s="2"/>
      <c r="BA158" s="2"/>
      <c r="BB158" s="2"/>
      <c r="BC158" s="2"/>
      <c r="BD158" s="2"/>
      <c r="BE158" s="2"/>
      <c r="BF158" s="2"/>
      <c r="BG158" s="2"/>
      <c r="BH158" s="2"/>
    </row>
    <row r="159" ht="12.75" customHeight="1">
      <c r="A159" s="1"/>
      <c r="B159" s="2"/>
      <c r="C159" s="347" t="s">
        <v>190</v>
      </c>
      <c r="D159" s="348"/>
      <c r="E159" s="3"/>
      <c r="F159" s="2"/>
      <c r="G159" s="2"/>
      <c r="H159" s="2"/>
      <c r="I159" s="373">
        <v>8.0</v>
      </c>
      <c r="J159" s="373">
        <v>2.0</v>
      </c>
      <c r="K159" s="374">
        <v>1.0</v>
      </c>
      <c r="L159" s="375">
        <v>2.0</v>
      </c>
      <c r="M159" s="3"/>
      <c r="N159" s="351"/>
      <c r="O159" s="2"/>
      <c r="P159" s="2"/>
      <c r="Q159" s="6"/>
      <c r="R159" s="2"/>
      <c r="S159" s="342"/>
      <c r="T159" s="343"/>
      <c r="U159" s="5"/>
      <c r="V159" s="342"/>
      <c r="W159" s="343"/>
      <c r="X159" s="6"/>
      <c r="Y159" s="5"/>
      <c r="Z159" s="5"/>
      <c r="AA159" s="5"/>
      <c r="AB159" s="5"/>
      <c r="AC159" s="2"/>
      <c r="AD159" s="5"/>
      <c r="AE159" s="5"/>
      <c r="AF159" s="6"/>
      <c r="AG159" s="5"/>
      <c r="AH159" s="5"/>
      <c r="AI159" s="5"/>
      <c r="AJ159" s="5"/>
      <c r="AK159" s="5"/>
      <c r="AL159" s="5"/>
      <c r="AM159" s="5"/>
      <c r="AN159" s="5"/>
      <c r="AO159" s="5"/>
      <c r="AP159" s="6"/>
      <c r="AQ159" s="6"/>
      <c r="AR159" s="5"/>
      <c r="AS159" s="6"/>
      <c r="AT159" s="6"/>
      <c r="AU159" s="6"/>
      <c r="AV159" s="328"/>
      <c r="AW159" s="5"/>
      <c r="AX159" s="2"/>
      <c r="AY159" s="2"/>
      <c r="AZ159" s="2"/>
      <c r="BA159" s="2"/>
      <c r="BB159" s="2"/>
      <c r="BC159" s="2"/>
      <c r="BD159" s="2"/>
      <c r="BE159" s="2"/>
      <c r="BF159" s="2"/>
      <c r="BG159" s="2"/>
      <c r="BH159" s="2"/>
    </row>
    <row r="160" ht="12.75" customHeight="1">
      <c r="A160" s="1"/>
      <c r="B160" s="2"/>
      <c r="C160" s="365" t="s">
        <v>191</v>
      </c>
      <c r="D160" s="366"/>
      <c r="E160" s="367"/>
      <c r="F160" s="368"/>
      <c r="G160" s="368"/>
      <c r="H160" s="368"/>
      <c r="I160" s="369">
        <f>I155*I157*I159*X175</f>
        <v>0</v>
      </c>
      <c r="J160" s="369">
        <f>J155*J157*J159*X175</f>
        <v>0</v>
      </c>
      <c r="K160" s="370">
        <f>K155*K157*K159*X175*X175</f>
        <v>0</v>
      </c>
      <c r="L160" s="371">
        <f>L155*L157*L159*X175</f>
        <v>0</v>
      </c>
      <c r="M160" s="367"/>
      <c r="N160" s="372">
        <f>SUM(I160:M160)</f>
        <v>0</v>
      </c>
      <c r="O160" s="2"/>
      <c r="P160" s="2"/>
      <c r="Q160" s="6"/>
      <c r="R160" s="2"/>
      <c r="S160" s="342"/>
      <c r="T160" s="343"/>
      <c r="U160" s="5"/>
      <c r="V160" s="342"/>
      <c r="W160" s="343"/>
      <c r="X160" s="6"/>
      <c r="Y160" s="5"/>
      <c r="Z160" s="5"/>
      <c r="AA160" s="5"/>
      <c r="AB160" s="5"/>
      <c r="AC160" s="2"/>
      <c r="AD160" s="346" t="s">
        <v>192</v>
      </c>
      <c r="AE160" s="5"/>
      <c r="AF160" s="6"/>
      <c r="AG160" s="222" t="str">
        <f>+AG158+AG154</f>
        <v>#REF!</v>
      </c>
      <c r="AH160" s="5"/>
      <c r="AI160" s="5"/>
      <c r="AJ160" s="5"/>
      <c r="AK160" s="5"/>
      <c r="AL160" s="5"/>
      <c r="AM160" s="5"/>
      <c r="AN160" s="5"/>
      <c r="AO160" s="5"/>
      <c r="AP160" s="6"/>
      <c r="AQ160" s="6"/>
      <c r="AR160" s="5"/>
      <c r="AS160" s="6"/>
      <c r="AT160" s="6"/>
      <c r="AU160" s="6"/>
      <c r="AV160" s="328"/>
      <c r="AW160" s="5"/>
      <c r="AX160" s="2"/>
      <c r="AY160" s="2"/>
      <c r="AZ160" s="2"/>
      <c r="BA160" s="2"/>
      <c r="BB160" s="2"/>
      <c r="BC160" s="2"/>
      <c r="BD160" s="2"/>
      <c r="BE160" s="2"/>
      <c r="BF160" s="2"/>
      <c r="BG160" s="2"/>
      <c r="BH160" s="2"/>
    </row>
    <row r="161" ht="12.75" customHeight="1">
      <c r="A161" s="1"/>
      <c r="B161" s="2"/>
      <c r="C161" s="376"/>
      <c r="D161" s="348"/>
      <c r="E161" s="3"/>
      <c r="F161" s="2"/>
      <c r="G161" s="2"/>
      <c r="H161" s="2"/>
      <c r="I161" s="6"/>
      <c r="J161" s="377"/>
      <c r="K161" s="313"/>
      <c r="L161" s="3"/>
      <c r="M161" s="3"/>
      <c r="N161" s="351"/>
      <c r="O161" s="2"/>
      <c r="P161" s="2"/>
      <c r="Q161" s="6"/>
      <c r="R161" s="2"/>
      <c r="S161" s="378" t="s">
        <v>193</v>
      </c>
      <c r="T161" s="379" t="str">
        <f>T157+T159</f>
        <v>#REF!</v>
      </c>
      <c r="U161" s="5"/>
      <c r="V161" s="378" t="s">
        <v>193</v>
      </c>
      <c r="W161" s="379" t="str">
        <f>W157+W159</f>
        <v>#REF!</v>
      </c>
      <c r="X161" s="6"/>
      <c r="Y161" s="5"/>
      <c r="Z161" s="5"/>
      <c r="AA161" s="5"/>
      <c r="AB161" s="5"/>
      <c r="AC161" s="2"/>
      <c r="AD161" s="346" t="s">
        <v>194</v>
      </c>
      <c r="AE161" s="5"/>
      <c r="AF161" s="380"/>
      <c r="AG161" s="364" t="str">
        <f>W166</f>
        <v>#REF!</v>
      </c>
      <c r="AH161" s="353" t="str">
        <f>AG161/AG160</f>
        <v>#REF!</v>
      </c>
      <c r="AI161" s="5"/>
      <c r="AJ161" s="5"/>
      <c r="AK161" s="5"/>
      <c r="AL161" s="5"/>
      <c r="AM161" s="5"/>
      <c r="AN161" s="5"/>
      <c r="AO161" s="5"/>
      <c r="AP161" s="6"/>
      <c r="AQ161" s="6"/>
      <c r="AR161" s="5"/>
      <c r="AS161" s="6"/>
      <c r="AT161" s="6"/>
      <c r="AU161" s="6"/>
      <c r="AV161" s="328"/>
      <c r="AW161" s="5"/>
      <c r="AX161" s="2"/>
      <c r="AY161" s="2"/>
      <c r="AZ161" s="2"/>
      <c r="BA161" s="2"/>
      <c r="BB161" s="2"/>
      <c r="BC161" s="2"/>
      <c r="BD161" s="2"/>
      <c r="BE161" s="2"/>
      <c r="BF161" s="2"/>
      <c r="BG161" s="2"/>
      <c r="BH161" s="2"/>
    </row>
    <row r="162" ht="12.75" customHeight="1">
      <c r="A162" s="1"/>
      <c r="B162" s="12" t="s">
        <v>176</v>
      </c>
      <c r="C162" s="329" t="s">
        <v>195</v>
      </c>
      <c r="D162" s="330"/>
      <c r="E162" s="331"/>
      <c r="F162" s="332"/>
      <c r="G162" s="332"/>
      <c r="H162" s="332"/>
      <c r="I162" s="333" t="s">
        <v>196</v>
      </c>
      <c r="J162" s="334" t="s">
        <v>197</v>
      </c>
      <c r="K162" s="335" t="s">
        <v>198</v>
      </c>
      <c r="L162" s="336" t="s">
        <v>199</v>
      </c>
      <c r="M162" s="337" t="s">
        <v>200</v>
      </c>
      <c r="N162" s="381" t="str">
        <f>SUM(N163:N167)</f>
        <v>#REF!</v>
      </c>
      <c r="O162" s="2"/>
      <c r="P162" s="2"/>
      <c r="Q162" s="6"/>
      <c r="R162" s="2"/>
      <c r="S162" s="5"/>
      <c r="T162" s="5"/>
      <c r="U162" s="6"/>
      <c r="V162" s="5"/>
      <c r="W162" s="5"/>
      <c r="X162" s="6"/>
      <c r="Y162" s="5"/>
      <c r="Z162" s="5"/>
      <c r="AA162" s="5"/>
      <c r="AB162" s="5"/>
      <c r="AC162" s="2"/>
      <c r="AD162" s="355" t="s">
        <v>201</v>
      </c>
      <c r="AE162" s="356"/>
      <c r="AF162" s="357"/>
      <c r="AG162" s="358" t="str">
        <f>SUM(AG160:AG161)</f>
        <v>#REF!</v>
      </c>
      <c r="AH162" s="356"/>
      <c r="AI162" s="5"/>
      <c r="AJ162" s="5"/>
      <c r="AK162" s="5"/>
      <c r="AL162" s="5"/>
      <c r="AM162" s="5"/>
      <c r="AN162" s="5"/>
      <c r="AO162" s="5"/>
      <c r="AP162" s="6"/>
      <c r="AQ162" s="6"/>
      <c r="AR162" s="5"/>
      <c r="AS162" s="6"/>
      <c r="AT162" s="6"/>
      <c r="AU162" s="6"/>
      <c r="AV162" s="328"/>
      <c r="AW162" s="5"/>
      <c r="AX162" s="2"/>
      <c r="AY162" s="2"/>
      <c r="AZ162" s="2"/>
      <c r="BA162" s="2"/>
      <c r="BB162" s="2"/>
      <c r="BC162" s="2"/>
      <c r="BD162" s="2"/>
      <c r="BE162" s="2"/>
      <c r="BF162" s="2"/>
      <c r="BG162" s="2"/>
      <c r="BH162" s="2"/>
    </row>
    <row r="163" ht="12.75" customHeight="1">
      <c r="A163" s="1"/>
      <c r="B163" s="2"/>
      <c r="C163" s="376"/>
      <c r="D163" s="348"/>
      <c r="E163" s="3"/>
      <c r="F163" s="2"/>
      <c r="G163" s="2"/>
      <c r="H163" s="2"/>
      <c r="I163" s="382">
        <v>6.0</v>
      </c>
      <c r="J163" s="382">
        <v>3.0</v>
      </c>
      <c r="K163" s="383">
        <v>500.0</v>
      </c>
      <c r="L163" s="350">
        <v>0.0</v>
      </c>
      <c r="M163" s="350">
        <v>1.0</v>
      </c>
      <c r="N163" s="351"/>
      <c r="O163" s="2"/>
      <c r="P163" s="2"/>
      <c r="Q163" s="6"/>
      <c r="R163" s="384" t="s">
        <v>7</v>
      </c>
      <c r="S163" s="385" t="s">
        <v>202</v>
      </c>
      <c r="T163" s="386" t="s">
        <v>203</v>
      </c>
      <c r="U163" s="386" t="s">
        <v>186</v>
      </c>
      <c r="V163" s="387" t="s">
        <v>204</v>
      </c>
      <c r="W163" s="387" t="s">
        <v>194</v>
      </c>
      <c r="X163" s="387" t="s">
        <v>24</v>
      </c>
      <c r="Y163" s="388"/>
      <c r="Z163" s="388"/>
      <c r="AA163" s="388"/>
      <c r="AB163" s="389" t="s">
        <v>205</v>
      </c>
      <c r="AC163" s="2"/>
      <c r="AD163" s="5"/>
      <c r="AE163" s="5"/>
      <c r="AF163" s="6"/>
      <c r="AG163" s="5"/>
      <c r="AH163" s="5"/>
      <c r="AI163" s="5"/>
      <c r="AJ163" s="5"/>
      <c r="AK163" s="5"/>
      <c r="AL163" s="5"/>
      <c r="AM163" s="5"/>
      <c r="AN163" s="5"/>
      <c r="AO163" s="5"/>
      <c r="AP163" s="6"/>
      <c r="AQ163" s="6"/>
      <c r="AR163" s="5"/>
      <c r="AS163" s="6"/>
      <c r="AT163" s="6"/>
      <c r="AU163" s="6"/>
      <c r="AV163" s="328"/>
      <c r="AW163" s="5"/>
      <c r="AX163" s="2"/>
      <c r="AY163" s="2"/>
      <c r="AZ163" s="2"/>
      <c r="BA163" s="2"/>
      <c r="BB163" s="2"/>
      <c r="BC163" s="2"/>
      <c r="BD163" s="2"/>
      <c r="BE163" s="2"/>
      <c r="BF163" s="2"/>
      <c r="BG163" s="2"/>
      <c r="BH163" s="2"/>
    </row>
    <row r="164" ht="12.75" customHeight="1">
      <c r="A164" s="1"/>
      <c r="B164" s="2"/>
      <c r="C164" s="347" t="s">
        <v>26</v>
      </c>
      <c r="D164" s="348"/>
      <c r="E164" s="3"/>
      <c r="F164" s="2"/>
      <c r="G164" s="2"/>
      <c r="H164" s="2"/>
      <c r="I164" s="354" t="str">
        <f>$AC$176</f>
        <v>#REF!</v>
      </c>
      <c r="J164" s="354" t="str">
        <f>I164</f>
        <v>#REF!</v>
      </c>
      <c r="K164" s="390">
        <v>0.95</v>
      </c>
      <c r="L164" s="391">
        <v>1200.0</v>
      </c>
      <c r="M164" s="391">
        <v>120.0</v>
      </c>
      <c r="N164" s="351"/>
      <c r="O164" s="2"/>
      <c r="P164" s="2"/>
      <c r="Q164" s="392" t="str">
        <f>S164/S166</f>
        <v>#REF!</v>
      </c>
      <c r="R164" s="393" t="s">
        <v>206</v>
      </c>
      <c r="S164" s="394" t="str">
        <f>T151</f>
        <v>#REF!</v>
      </c>
      <c r="T164" s="394" t="str">
        <f>T154</f>
        <v>#REF!</v>
      </c>
      <c r="U164" s="394">
        <f>T155</f>
        <v>0</v>
      </c>
      <c r="V164" s="395"/>
      <c r="W164" s="396" t="str">
        <f>W167*Q164</f>
        <v>#REF!</v>
      </c>
      <c r="X164" s="397"/>
      <c r="Y164" s="398"/>
      <c r="Z164" s="398"/>
      <c r="AA164" s="398"/>
      <c r="AB164" s="399"/>
      <c r="AC164" s="2"/>
      <c r="AD164" s="5"/>
      <c r="AE164" s="5"/>
      <c r="AF164" s="6"/>
      <c r="AG164" s="5"/>
      <c r="AH164" s="5"/>
      <c r="AI164" s="5"/>
      <c r="AJ164" s="5"/>
      <c r="AK164" s="5"/>
      <c r="AL164" s="5"/>
      <c r="AM164" s="5"/>
      <c r="AN164" s="5"/>
      <c r="AO164" s="5"/>
      <c r="AP164" s="6"/>
      <c r="AQ164" s="6"/>
      <c r="AR164" s="5"/>
      <c r="AS164" s="6"/>
      <c r="AT164" s="6"/>
      <c r="AU164" s="6"/>
      <c r="AV164" s="328"/>
      <c r="AW164" s="5"/>
      <c r="AX164" s="2"/>
      <c r="AY164" s="2"/>
      <c r="AZ164" s="2"/>
      <c r="BA164" s="2"/>
      <c r="BB164" s="2"/>
      <c r="BC164" s="2"/>
      <c r="BD164" s="2"/>
      <c r="BE164" s="2"/>
      <c r="BF164" s="2"/>
      <c r="BG164" s="2"/>
      <c r="BH164" s="2"/>
    </row>
    <row r="165" ht="12.75" customHeight="1">
      <c r="A165" s="1"/>
      <c r="B165" s="2"/>
      <c r="C165" s="359" t="s">
        <v>188</v>
      </c>
      <c r="D165" s="348"/>
      <c r="E165" s="3"/>
      <c r="F165" s="2"/>
      <c r="G165" s="2"/>
      <c r="H165" s="2"/>
      <c r="I165" s="400">
        <v>2.0</v>
      </c>
      <c r="J165" s="400">
        <v>2.0</v>
      </c>
      <c r="K165" s="400">
        <v>2.0</v>
      </c>
      <c r="L165" s="401">
        <v>1.0</v>
      </c>
      <c r="M165" s="401">
        <v>2.0</v>
      </c>
      <c r="N165" s="351"/>
      <c r="O165" s="2"/>
      <c r="P165" s="2"/>
      <c r="Q165" s="392" t="str">
        <f>S165/S166</f>
        <v>#REF!</v>
      </c>
      <c r="R165" s="393" t="s">
        <v>185</v>
      </c>
      <c r="S165" s="402" t="str">
        <f>W151</f>
        <v>#REF!</v>
      </c>
      <c r="T165" s="397"/>
      <c r="U165" s="397" t="str">
        <f>W155</f>
        <v/>
      </c>
      <c r="V165" s="403"/>
      <c r="W165" s="396" t="str">
        <f>W167*Q165</f>
        <v>#REF!</v>
      </c>
      <c r="X165" s="397"/>
      <c r="Y165" s="398"/>
      <c r="Z165" s="398"/>
      <c r="AA165" s="398"/>
      <c r="AB165" s="399"/>
      <c r="AC165" s="2"/>
      <c r="AD165" s="5"/>
      <c r="AE165" s="5"/>
      <c r="AF165" s="6"/>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row>
    <row r="166" ht="12.75" customHeight="1">
      <c r="A166" s="1"/>
      <c r="B166" s="2"/>
      <c r="C166" s="365" t="s">
        <v>189</v>
      </c>
      <c r="D166" s="366"/>
      <c r="E166" s="367"/>
      <c r="F166" s="368"/>
      <c r="G166" s="368"/>
      <c r="H166" s="368"/>
      <c r="I166" s="369" t="str">
        <f t="shared" ref="I166:M166" si="97">I164*I163*I165</f>
        <v>#REF!</v>
      </c>
      <c r="J166" s="369" t="str">
        <f t="shared" si="97"/>
        <v>#REF!</v>
      </c>
      <c r="K166" s="370">
        <f t="shared" si="97"/>
        <v>950</v>
      </c>
      <c r="L166" s="371">
        <f t="shared" si="97"/>
        <v>0</v>
      </c>
      <c r="M166" s="371">
        <f t="shared" si="97"/>
        <v>240</v>
      </c>
      <c r="N166" s="372" t="str">
        <f>SUM(I166:M166)</f>
        <v>#REF!</v>
      </c>
      <c r="O166" s="2"/>
      <c r="P166" s="2"/>
      <c r="Q166" s="6"/>
      <c r="R166" s="404" t="s">
        <v>207</v>
      </c>
      <c r="S166" s="405" t="str">
        <f>SUM(S164:S165)</f>
        <v>#REF!</v>
      </c>
      <c r="T166" s="405" t="str">
        <f>T154</f>
        <v>#REF!</v>
      </c>
      <c r="U166" s="405">
        <f>SUM(U164:U165)</f>
        <v>0</v>
      </c>
      <c r="V166" s="406" t="str">
        <f>W166/AE151</f>
        <v>#REF!</v>
      </c>
      <c r="W166" s="407" t="str">
        <f>SUM(W164:W165)</f>
        <v>#REF!</v>
      </c>
      <c r="X166" s="405" t="str">
        <f>N253</f>
        <v>#REF!</v>
      </c>
      <c r="Y166" s="408"/>
      <c r="Z166" s="408"/>
      <c r="AA166" s="408"/>
      <c r="AB166" s="409" t="str">
        <f>X166+W166+U166+T166+S166</f>
        <v>#REF!</v>
      </c>
      <c r="AC166" s="2"/>
      <c r="AD166" s="5"/>
      <c r="AE166" s="5"/>
      <c r="AF166" s="6"/>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row>
    <row r="167" ht="12.75" customHeight="1">
      <c r="A167" s="1"/>
      <c r="B167" s="2"/>
      <c r="C167" s="376"/>
      <c r="D167" s="348"/>
      <c r="E167" s="3"/>
      <c r="F167" s="2"/>
      <c r="G167" s="2"/>
      <c r="H167" s="2"/>
      <c r="I167" s="2"/>
      <c r="J167" s="2"/>
      <c r="K167" s="2"/>
      <c r="L167" s="3"/>
      <c r="M167" s="3"/>
      <c r="N167" s="351"/>
      <c r="O167" s="2"/>
      <c r="P167" s="2"/>
      <c r="Q167" s="6"/>
      <c r="R167" s="2"/>
      <c r="S167" s="5"/>
      <c r="T167" s="5"/>
      <c r="U167" s="6"/>
      <c r="V167" s="410" t="str">
        <f>W167/AE151</f>
        <v>#REF!</v>
      </c>
      <c r="W167" s="411" t="str">
        <f>I276</f>
        <v>#REF!</v>
      </c>
      <c r="X167" s="6"/>
      <c r="Y167" s="5"/>
      <c r="Z167" s="5"/>
      <c r="AA167" s="5"/>
      <c r="AB167" s="354" t="str">
        <f>AB166=T174</f>
        <v>#REF!</v>
      </c>
      <c r="AC167" s="2"/>
      <c r="AD167" s="5"/>
      <c r="AE167" s="5"/>
      <c r="AF167" s="6"/>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row>
    <row r="168" ht="12.75" customHeight="1">
      <c r="A168" s="1"/>
      <c r="B168" s="12" t="s">
        <v>176</v>
      </c>
      <c r="C168" s="412" t="s">
        <v>208</v>
      </c>
      <c r="D168" s="330"/>
      <c r="E168" s="331"/>
      <c r="F168" s="332"/>
      <c r="G168" s="332"/>
      <c r="H168" s="332"/>
      <c r="I168" s="333" t="s">
        <v>209</v>
      </c>
      <c r="J168" s="333" t="s">
        <v>210</v>
      </c>
      <c r="K168" s="333" t="s">
        <v>211</v>
      </c>
      <c r="L168" s="413" t="s">
        <v>212</v>
      </c>
      <c r="M168" s="414"/>
      <c r="N168" s="381">
        <f>SUM(N169:N177)</f>
        <v>1200</v>
      </c>
      <c r="O168" s="2"/>
      <c r="P168" s="2"/>
      <c r="Q168" s="2"/>
      <c r="R168" s="2"/>
      <c r="S168" s="5"/>
      <c r="T168" s="5"/>
      <c r="U168" s="6"/>
      <c r="V168" s="314"/>
      <c r="W168" s="5"/>
      <c r="X168" s="6"/>
      <c r="Y168" s="5"/>
      <c r="Z168" s="5"/>
      <c r="AA168" s="5"/>
      <c r="AB168" s="5"/>
      <c r="AC168" s="415">
        <v>1.0</v>
      </c>
      <c r="AD168" s="416" t="s">
        <v>213</v>
      </c>
      <c r="AE168" s="5"/>
      <c r="AF168" s="6"/>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row>
    <row r="169" ht="12.75" customHeight="1">
      <c r="A169" s="1"/>
      <c r="B169" s="2"/>
      <c r="C169" s="376"/>
      <c r="D169" s="348"/>
      <c r="E169" s="3"/>
      <c r="F169" s="2"/>
      <c r="G169" s="2"/>
      <c r="H169" s="2"/>
      <c r="I169" s="354">
        <v>150.0</v>
      </c>
      <c r="J169" s="354">
        <v>300.0</v>
      </c>
      <c r="K169" s="354">
        <v>300.0</v>
      </c>
      <c r="L169" s="350">
        <v>150.0</v>
      </c>
      <c r="M169" s="3"/>
      <c r="N169" s="351"/>
      <c r="O169" s="2"/>
      <c r="P169" s="2"/>
      <c r="Q169" s="328"/>
      <c r="R169" s="328"/>
      <c r="S169" s="5"/>
      <c r="T169" s="5"/>
      <c r="U169" s="6"/>
      <c r="V169" s="417" t="s">
        <v>214</v>
      </c>
      <c r="W169" s="418">
        <f t="shared" ref="W169:W172" si="98">X169*AB169</f>
        <v>55</v>
      </c>
      <c r="X169" s="326">
        <v>1.0</v>
      </c>
      <c r="Y169" s="5"/>
      <c r="Z169" s="5"/>
      <c r="AA169" s="5"/>
      <c r="AB169" s="113">
        <v>55.0</v>
      </c>
      <c r="AC169" s="2"/>
      <c r="AD169" s="5"/>
      <c r="AE169" s="5"/>
      <c r="AF169" s="6"/>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row>
    <row r="170" ht="12.75" customHeight="1">
      <c r="A170" s="1"/>
      <c r="B170" s="2"/>
      <c r="C170" s="359" t="s">
        <v>188</v>
      </c>
      <c r="D170" s="348"/>
      <c r="E170" s="3"/>
      <c r="F170" s="2"/>
      <c r="G170" s="2"/>
      <c r="H170" s="2"/>
      <c r="I170" s="419">
        <v>1.0</v>
      </c>
      <c r="J170" s="419">
        <v>1.0</v>
      </c>
      <c r="K170" s="419">
        <v>1.0</v>
      </c>
      <c r="L170" s="420">
        <v>3.0</v>
      </c>
      <c r="M170" s="361"/>
      <c r="N170" s="351"/>
      <c r="O170" s="2"/>
      <c r="P170" s="2"/>
      <c r="Q170" s="5"/>
      <c r="R170" s="222" t="str">
        <f>R169-T174</f>
        <v>#REF!</v>
      </c>
      <c r="S170" s="421" t="s">
        <v>206</v>
      </c>
      <c r="T170" s="422" t="str">
        <f t="shared" ref="T170:T171" si="100">S164+T164+U164</f>
        <v>#REF!</v>
      </c>
      <c r="U170" s="423" t="str">
        <f>T170/T174</f>
        <v>#REF!</v>
      </c>
      <c r="V170" s="424" t="s">
        <v>215</v>
      </c>
      <c r="W170" s="140">
        <f t="shared" si="98"/>
        <v>45</v>
      </c>
      <c r="X170" s="326">
        <v>1.0</v>
      </c>
      <c r="Y170" s="5"/>
      <c r="Z170" s="5"/>
      <c r="AA170" s="5"/>
      <c r="AB170" s="113">
        <v>45.0</v>
      </c>
      <c r="AC170" s="2"/>
      <c r="AD170" s="5"/>
      <c r="AE170" s="5"/>
      <c r="AF170" s="6"/>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row>
    <row r="171" ht="12.75" customHeight="1">
      <c r="A171" s="1"/>
      <c r="B171" s="2"/>
      <c r="C171" s="365" t="s">
        <v>189</v>
      </c>
      <c r="D171" s="366"/>
      <c r="E171" s="367"/>
      <c r="F171" s="368"/>
      <c r="G171" s="368"/>
      <c r="H171" s="368"/>
      <c r="I171" s="369">
        <f t="shared" ref="I171:M171" si="99">I169*I170</f>
        <v>150</v>
      </c>
      <c r="J171" s="369">
        <f t="shared" si="99"/>
        <v>300</v>
      </c>
      <c r="K171" s="370">
        <f t="shared" si="99"/>
        <v>300</v>
      </c>
      <c r="L171" s="371">
        <f t="shared" si="99"/>
        <v>450</v>
      </c>
      <c r="M171" s="371">
        <f t="shared" si="99"/>
        <v>0</v>
      </c>
      <c r="N171" s="372">
        <f>SUM(I171:M171)</f>
        <v>1200</v>
      </c>
      <c r="O171" s="2"/>
      <c r="P171" s="2"/>
      <c r="Q171" s="5"/>
      <c r="R171" s="5"/>
      <c r="S171" s="425" t="s">
        <v>185</v>
      </c>
      <c r="T171" s="426" t="str">
        <f t="shared" si="100"/>
        <v>#REF!</v>
      </c>
      <c r="U171" s="423" t="str">
        <f>T171/T174</f>
        <v>#REF!</v>
      </c>
      <c r="V171" s="424" t="s">
        <v>216</v>
      </c>
      <c r="W171" s="140">
        <f t="shared" si="98"/>
        <v>45</v>
      </c>
      <c r="X171" s="326">
        <v>1.0</v>
      </c>
      <c r="Y171" s="5"/>
      <c r="Z171" s="5"/>
      <c r="AA171" s="5"/>
      <c r="AB171" s="113">
        <v>45.0</v>
      </c>
      <c r="AC171" s="2"/>
      <c r="AD171" s="5"/>
      <c r="AE171" s="5"/>
      <c r="AF171" s="6"/>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row>
    <row r="172" ht="12.75" customHeight="1">
      <c r="A172" s="1"/>
      <c r="B172" s="2"/>
      <c r="C172" s="376"/>
      <c r="D172" s="348"/>
      <c r="E172" s="3"/>
      <c r="F172" s="2"/>
      <c r="G172" s="2"/>
      <c r="H172" s="2"/>
      <c r="I172" s="6"/>
      <c r="J172" s="313"/>
      <c r="K172" s="6"/>
      <c r="L172" s="3"/>
      <c r="M172" s="3"/>
      <c r="N172" s="351"/>
      <c r="O172" s="2"/>
      <c r="P172" s="2"/>
      <c r="Q172" s="5"/>
      <c r="R172" s="5"/>
      <c r="S172" s="425" t="s">
        <v>24</v>
      </c>
      <c r="T172" s="426" t="str">
        <f>N253</f>
        <v>#REF!</v>
      </c>
      <c r="U172" s="423" t="str">
        <f>T172/T174</f>
        <v>#REF!</v>
      </c>
      <c r="V172" s="424" t="s">
        <v>217</v>
      </c>
      <c r="W172" s="140">
        <f t="shared" si="98"/>
        <v>45</v>
      </c>
      <c r="X172" s="326">
        <v>1.0</v>
      </c>
      <c r="Y172" s="5"/>
      <c r="Z172" s="5"/>
      <c r="AA172" s="5"/>
      <c r="AB172" s="113">
        <v>45.0</v>
      </c>
      <c r="AC172" s="2"/>
      <c r="AD172" s="5"/>
      <c r="AE172" s="5"/>
      <c r="AF172" s="6"/>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row>
    <row r="173" ht="12.75" customHeight="1">
      <c r="A173" s="1"/>
      <c r="B173" s="2"/>
      <c r="C173" s="376"/>
      <c r="D173" s="348"/>
      <c r="E173" s="3"/>
      <c r="F173" s="2"/>
      <c r="G173" s="2"/>
      <c r="H173" s="2"/>
      <c r="I173" s="427"/>
      <c r="J173" s="427"/>
      <c r="K173" s="427"/>
      <c r="L173" s="414"/>
      <c r="M173" s="414"/>
      <c r="N173" s="351"/>
      <c r="O173" s="2"/>
      <c r="P173" s="2"/>
      <c r="Q173" s="5"/>
      <c r="R173" s="5"/>
      <c r="S173" s="425" t="s">
        <v>194</v>
      </c>
      <c r="T173" s="428" t="str">
        <f>I276</f>
        <v>#REF!</v>
      </c>
      <c r="U173" s="423" t="str">
        <f>T173/T174</f>
        <v>#REF!</v>
      </c>
      <c r="V173" s="424" t="s">
        <v>218</v>
      </c>
      <c r="W173" s="140">
        <f t="shared" ref="W173:X173" si="101">SUM(W169:W172)</f>
        <v>190</v>
      </c>
      <c r="X173" s="326">
        <f t="shared" si="101"/>
        <v>4</v>
      </c>
      <c r="Y173" s="5"/>
      <c r="Z173" s="5"/>
      <c r="AA173" s="5"/>
      <c r="AB173" s="5"/>
      <c r="AC173" s="2"/>
      <c r="AD173" s="5"/>
      <c r="AE173" s="5"/>
      <c r="AF173" s="6"/>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row>
    <row r="174" ht="12.75" customHeight="1">
      <c r="A174" s="1"/>
      <c r="B174" s="2"/>
      <c r="C174" s="347" t="s">
        <v>219</v>
      </c>
      <c r="D174" s="348"/>
      <c r="E174" s="3"/>
      <c r="F174" s="2"/>
      <c r="G174" s="2"/>
      <c r="H174" s="2"/>
      <c r="I174" s="5"/>
      <c r="J174" s="5"/>
      <c r="K174" s="5"/>
      <c r="L174" s="3"/>
      <c r="M174" s="3"/>
      <c r="N174" s="351"/>
      <c r="O174" s="2"/>
      <c r="P174" s="2"/>
      <c r="Q174" s="5"/>
      <c r="R174" s="327" t="str">
        <f>U180=T174</f>
        <v>#REF!</v>
      </c>
      <c r="S174" s="429" t="s">
        <v>207</v>
      </c>
      <c r="T174" s="430" t="str">
        <f>SUM(T170:T173)</f>
        <v>#REF!</v>
      </c>
      <c r="U174" s="431" t="s">
        <v>220</v>
      </c>
      <c r="V174" s="432">
        <v>0.2</v>
      </c>
      <c r="W174" s="140">
        <f>W173*(1+V174)</f>
        <v>228</v>
      </c>
      <c r="X174" s="6"/>
      <c r="Y174" s="5"/>
      <c r="Z174" s="5"/>
      <c r="AA174" s="5"/>
      <c r="AB174" s="5"/>
      <c r="AC174" s="2"/>
      <c r="AD174" s="5"/>
      <c r="AE174" s="5"/>
      <c r="AF174" s="6"/>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row>
    <row r="175" ht="12.75" customHeight="1">
      <c r="A175" s="1"/>
      <c r="B175" s="2"/>
      <c r="C175" s="359" t="s">
        <v>188</v>
      </c>
      <c r="D175" s="348"/>
      <c r="E175" s="3"/>
      <c r="F175" s="2"/>
      <c r="G175" s="2"/>
      <c r="H175" s="2"/>
      <c r="I175" s="360"/>
      <c r="J175" s="360"/>
      <c r="K175" s="360"/>
      <c r="L175" s="361"/>
      <c r="M175" s="361"/>
      <c r="N175" s="351"/>
      <c r="O175" s="2"/>
      <c r="P175" s="2"/>
      <c r="Q175" s="5"/>
      <c r="R175" s="5"/>
      <c r="S175" s="5"/>
      <c r="T175" s="5"/>
      <c r="U175" s="6"/>
      <c r="V175" s="433" t="s">
        <v>221</v>
      </c>
      <c r="W175" s="434" t="str">
        <f>W157/W174/W183</f>
        <v>#REF!</v>
      </c>
      <c r="X175" s="6"/>
      <c r="Y175" s="5"/>
      <c r="Z175" s="5"/>
      <c r="AA175" s="5"/>
      <c r="AB175" s="5"/>
      <c r="AC175" s="127"/>
      <c r="AD175" s="435" t="str">
        <f>W175*W183*X173</f>
        <v>#REF!</v>
      </c>
      <c r="AE175" s="5"/>
      <c r="AF175" s="6"/>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row>
    <row r="176" ht="12.75" customHeight="1">
      <c r="A176" s="1"/>
      <c r="B176" s="2"/>
      <c r="C176" s="365" t="s">
        <v>189</v>
      </c>
      <c r="D176" s="366"/>
      <c r="E176" s="367"/>
      <c r="F176" s="368"/>
      <c r="G176" s="368"/>
      <c r="H176" s="368"/>
      <c r="I176" s="436">
        <f t="shared" ref="I176:K176" si="102">I174*I175</f>
        <v>0</v>
      </c>
      <c r="J176" s="436">
        <f t="shared" si="102"/>
        <v>0</v>
      </c>
      <c r="K176" s="437">
        <f t="shared" si="102"/>
        <v>0</v>
      </c>
      <c r="L176" s="371">
        <f>SUM(L175)</f>
        <v>0</v>
      </c>
      <c r="M176" s="371">
        <f>M174*M175</f>
        <v>0</v>
      </c>
      <c r="N176" s="372">
        <f>SUM(I176:M176)</f>
        <v>0</v>
      </c>
      <c r="O176" s="2"/>
      <c r="P176" s="2"/>
      <c r="Q176" s="5"/>
      <c r="R176" s="438"/>
      <c r="S176" s="439" t="s">
        <v>222</v>
      </c>
      <c r="T176" s="440" t="s">
        <v>223</v>
      </c>
      <c r="U176" s="441" t="s">
        <v>27</v>
      </c>
      <c r="V176" s="5"/>
      <c r="W176" s="442" t="str">
        <f>W175/5</f>
        <v>#REF!</v>
      </c>
      <c r="X176" s="443" t="s">
        <v>224</v>
      </c>
      <c r="Y176" s="5"/>
      <c r="Z176" s="5"/>
      <c r="AA176" s="444"/>
      <c r="AB176" s="445"/>
      <c r="AC176" s="446" t="str">
        <f>W157/W175/X173/W183</f>
        <v>#REF!</v>
      </c>
      <c r="AD176" s="447" t="str">
        <f>AC176*AD175</f>
        <v>#REF!</v>
      </c>
      <c r="AE176" s="443" t="s">
        <v>202</v>
      </c>
      <c r="AF176" s="6"/>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row>
    <row r="177" ht="12.75" customHeight="1">
      <c r="A177" s="1"/>
      <c r="B177" s="2"/>
      <c r="C177" s="376"/>
      <c r="D177" s="348"/>
      <c r="E177" s="3"/>
      <c r="F177" s="2"/>
      <c r="G177" s="2"/>
      <c r="H177" s="2"/>
      <c r="I177" s="6"/>
      <c r="J177" s="313"/>
      <c r="K177" s="5"/>
      <c r="L177" s="3"/>
      <c r="M177" s="3"/>
      <c r="N177" s="351"/>
      <c r="O177" s="2"/>
      <c r="P177" s="2"/>
      <c r="Q177" s="2"/>
      <c r="R177" s="448" t="s">
        <v>210</v>
      </c>
      <c r="S177" s="449">
        <f>T188+T228+T195</f>
        <v>402.78</v>
      </c>
      <c r="T177" s="450">
        <f t="shared" ref="T177:T179" si="103">U177/S177</f>
        <v>0</v>
      </c>
      <c r="U177" s="164" t="str">
        <f>AM151</f>
        <v/>
      </c>
      <c r="V177" s="451" t="s">
        <v>225</v>
      </c>
      <c r="W177" s="452">
        <f>Y230</f>
        <v>0</v>
      </c>
      <c r="X177" s="6"/>
      <c r="Y177" s="5"/>
      <c r="Z177" s="5"/>
      <c r="AA177" s="444"/>
      <c r="AB177" s="445"/>
      <c r="AC177" s="446" t="str">
        <f>W161/W175/X173/W183</f>
        <v>#REF!</v>
      </c>
      <c r="AD177" s="447" t="str">
        <f>AC177*AD175</f>
        <v>#REF!</v>
      </c>
      <c r="AE177" s="443" t="s">
        <v>226</v>
      </c>
      <c r="AF177" s="6"/>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row>
    <row r="178" ht="12.75" customHeight="1">
      <c r="A178" s="1"/>
      <c r="B178" s="12" t="s">
        <v>176</v>
      </c>
      <c r="C178" s="412" t="s">
        <v>227</v>
      </c>
      <c r="D178" s="330"/>
      <c r="E178" s="331"/>
      <c r="F178" s="332"/>
      <c r="G178" s="332"/>
      <c r="H178" s="332"/>
      <c r="I178" s="333" t="s">
        <v>228</v>
      </c>
      <c r="J178" s="333" t="s">
        <v>229</v>
      </c>
      <c r="K178" s="333" t="s">
        <v>230</v>
      </c>
      <c r="L178" s="413" t="s">
        <v>231</v>
      </c>
      <c r="M178" s="413" t="s">
        <v>232</v>
      </c>
      <c r="N178" s="381">
        <f>SUM(N179:N182)</f>
        <v>0</v>
      </c>
      <c r="O178" s="2"/>
      <c r="P178" s="2"/>
      <c r="Q178" s="5"/>
      <c r="R178" s="448" t="s">
        <v>233</v>
      </c>
      <c r="S178" s="449">
        <f>AE186+AE212+AE193</f>
        <v>103.47</v>
      </c>
      <c r="T178" s="450">
        <f t="shared" si="103"/>
        <v>0</v>
      </c>
      <c r="U178" s="164" t="str">
        <f>AN151</f>
        <v/>
      </c>
      <c r="V178" s="5"/>
      <c r="W178" s="453">
        <f>W177/5</f>
        <v>0</v>
      </c>
      <c r="X178" s="443" t="s">
        <v>224</v>
      </c>
      <c r="Y178" s="5"/>
      <c r="Z178" s="5"/>
      <c r="AA178" s="444"/>
      <c r="AB178" s="445"/>
      <c r="AC178" s="2"/>
      <c r="AD178" s="454" t="str">
        <f>AD177-AD176</f>
        <v>#REF!</v>
      </c>
      <c r="AE178" s="6"/>
      <c r="AF178" s="6"/>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row>
    <row r="179" ht="12.75" customHeight="1">
      <c r="A179" s="1"/>
      <c r="B179" s="2"/>
      <c r="C179" s="347" t="s">
        <v>26</v>
      </c>
      <c r="D179" s="348"/>
      <c r="E179" s="3"/>
      <c r="F179" s="2"/>
      <c r="G179" s="2"/>
      <c r="H179" s="2"/>
      <c r="I179" s="354">
        <v>0.0</v>
      </c>
      <c r="J179" s="354">
        <v>0.0</v>
      </c>
      <c r="K179" s="354">
        <v>0.0</v>
      </c>
      <c r="L179" s="350">
        <v>0.0</v>
      </c>
      <c r="M179" s="350">
        <v>0.0</v>
      </c>
      <c r="N179" s="351"/>
      <c r="O179" s="2"/>
      <c r="P179" s="2"/>
      <c r="Q179" s="5"/>
      <c r="R179" s="448" t="s">
        <v>234</v>
      </c>
      <c r="S179" s="455">
        <f>AP186+AP193+AP212</f>
        <v>0</v>
      </c>
      <c r="T179" s="450" t="str">
        <f t="shared" si="103"/>
        <v>#DIV/0!</v>
      </c>
      <c r="U179" s="456"/>
      <c r="V179" s="5"/>
      <c r="W179" s="453">
        <f>W178/4</f>
        <v>0</v>
      </c>
      <c r="X179" s="443" t="s">
        <v>235</v>
      </c>
      <c r="Y179" s="6"/>
      <c r="Z179" s="6"/>
      <c r="AA179" s="6"/>
      <c r="AB179" s="6"/>
      <c r="AC179" s="6"/>
      <c r="AD179" s="5"/>
      <c r="AE179" s="6"/>
      <c r="AF179" s="6"/>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row>
    <row r="180" ht="12.75" customHeight="1">
      <c r="A180" s="1"/>
      <c r="B180" s="2"/>
      <c r="C180" s="359" t="s">
        <v>188</v>
      </c>
      <c r="D180" s="348"/>
      <c r="E180" s="3"/>
      <c r="F180" s="2"/>
      <c r="G180" s="2"/>
      <c r="H180" s="2"/>
      <c r="I180" s="400">
        <v>1.0</v>
      </c>
      <c r="J180" s="400">
        <v>1.0</v>
      </c>
      <c r="K180" s="400">
        <v>1.0</v>
      </c>
      <c r="L180" s="401">
        <v>1.0</v>
      </c>
      <c r="M180" s="401">
        <v>1.0</v>
      </c>
      <c r="N180" s="351"/>
      <c r="O180" s="2"/>
      <c r="P180" s="2"/>
      <c r="Q180" s="5"/>
      <c r="R180" s="457" t="s">
        <v>207</v>
      </c>
      <c r="S180" s="458">
        <f>SUM(S177:S179)</f>
        <v>506.25</v>
      </c>
      <c r="T180" s="459" t="str">
        <f>T174/S180</f>
        <v>#REF!</v>
      </c>
      <c r="U180" s="460" t="str">
        <f>T180*S180</f>
        <v>#REF!</v>
      </c>
      <c r="V180" s="5"/>
      <c r="W180" s="5"/>
      <c r="X180" s="6"/>
      <c r="Y180" s="6"/>
      <c r="Z180" s="6"/>
      <c r="AA180" s="6"/>
      <c r="AB180" s="6"/>
      <c r="AC180" s="6"/>
      <c r="AD180" s="344" t="str">
        <f>W175*X173*(55*1.25)*W183</f>
        <v>#REF!</v>
      </c>
      <c r="AE180" s="6"/>
      <c r="AF180" s="6"/>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row>
    <row r="181" ht="12.75" customHeight="1">
      <c r="A181" s="1"/>
      <c r="B181" s="2"/>
      <c r="C181" s="365" t="s">
        <v>189</v>
      </c>
      <c r="D181" s="366"/>
      <c r="E181" s="367"/>
      <c r="F181" s="368"/>
      <c r="G181" s="368"/>
      <c r="H181" s="368"/>
      <c r="I181" s="369">
        <f t="shared" ref="I181:M181" si="104">I179*I180</f>
        <v>0</v>
      </c>
      <c r="J181" s="369">
        <f t="shared" si="104"/>
        <v>0</v>
      </c>
      <c r="K181" s="370">
        <f t="shared" si="104"/>
        <v>0</v>
      </c>
      <c r="L181" s="371">
        <f t="shared" si="104"/>
        <v>0</v>
      </c>
      <c r="M181" s="371">
        <f t="shared" si="104"/>
        <v>0</v>
      </c>
      <c r="N181" s="372">
        <f>SUM(I181:M181)</f>
        <v>0</v>
      </c>
      <c r="O181" s="2"/>
      <c r="P181" s="2"/>
      <c r="Q181" s="5"/>
      <c r="R181" s="2"/>
      <c r="S181" s="5"/>
      <c r="T181" s="5"/>
      <c r="U181" s="6"/>
      <c r="V181" s="5"/>
      <c r="W181" s="5"/>
      <c r="X181" s="6"/>
      <c r="Y181" s="6"/>
      <c r="Z181" s="6"/>
      <c r="AA181" s="6"/>
      <c r="AB181" s="6"/>
      <c r="AC181" s="2"/>
      <c r="AD181" s="5"/>
      <c r="AE181" s="5"/>
      <c r="AF181" s="6"/>
      <c r="AG181" s="5"/>
      <c r="AH181" s="5"/>
      <c r="AI181" s="5"/>
      <c r="AJ181" s="5"/>
      <c r="AK181" s="5"/>
      <c r="AL181" s="5"/>
      <c r="AM181" s="5"/>
      <c r="AN181" s="5"/>
      <c r="AO181" s="5"/>
      <c r="AP181" s="6"/>
      <c r="AQ181" s="6"/>
      <c r="AR181" s="5"/>
      <c r="AS181" s="6"/>
      <c r="AT181" s="6"/>
      <c r="AU181" s="6"/>
      <c r="AV181" s="328"/>
      <c r="AW181" s="5"/>
      <c r="AX181" s="2"/>
      <c r="AY181" s="2"/>
      <c r="AZ181" s="2"/>
      <c r="BA181" s="2"/>
      <c r="BB181" s="2"/>
      <c r="BC181" s="2"/>
      <c r="BD181" s="2"/>
      <c r="BE181" s="2"/>
      <c r="BF181" s="2"/>
      <c r="BG181" s="2"/>
      <c r="BH181" s="2"/>
    </row>
    <row r="182" ht="12.75" customHeight="1">
      <c r="A182" s="1"/>
      <c r="B182" s="2"/>
      <c r="C182" s="376"/>
      <c r="D182" s="348"/>
      <c r="E182" s="3"/>
      <c r="F182" s="2"/>
      <c r="G182" s="2"/>
      <c r="H182" s="2"/>
      <c r="I182" s="6"/>
      <c r="J182" s="313"/>
      <c r="K182" s="5"/>
      <c r="L182" s="3"/>
      <c r="M182" s="3"/>
      <c r="N182" s="351"/>
      <c r="O182" s="2"/>
      <c r="P182" s="2"/>
      <c r="Q182" s="6"/>
      <c r="R182" s="461" t="s">
        <v>236</v>
      </c>
      <c r="S182" s="5"/>
      <c r="T182" s="5"/>
      <c r="U182" s="6"/>
      <c r="V182" s="5"/>
      <c r="W182" s="5"/>
      <c r="X182" s="6"/>
      <c r="Y182" s="6"/>
      <c r="Z182" s="6"/>
      <c r="AA182" s="6"/>
      <c r="AB182" s="6"/>
      <c r="AC182" s="461" t="s">
        <v>237</v>
      </c>
      <c r="AD182" s="5"/>
      <c r="AE182" s="5"/>
      <c r="AF182" s="6"/>
      <c r="AG182" s="5"/>
      <c r="AH182" s="5"/>
      <c r="AI182" s="6"/>
      <c r="AJ182" s="6"/>
      <c r="AK182" s="6"/>
      <c r="AL182" s="6"/>
      <c r="AM182" s="5"/>
      <c r="AN182" s="461" t="s">
        <v>238</v>
      </c>
      <c r="AO182" s="5"/>
      <c r="AP182" s="5"/>
      <c r="AQ182" s="6"/>
      <c r="AR182" s="5"/>
      <c r="AS182" s="5"/>
      <c r="AT182" s="6"/>
      <c r="AU182" s="6"/>
      <c r="AV182" s="6"/>
      <c r="AW182" s="6"/>
      <c r="AX182" s="2"/>
      <c r="AY182" s="2"/>
      <c r="AZ182" s="2"/>
      <c r="BA182" s="2"/>
      <c r="BB182" s="2"/>
      <c r="BC182" s="2"/>
      <c r="BD182" s="2"/>
      <c r="BE182" s="2"/>
      <c r="BF182" s="2"/>
      <c r="BG182" s="2"/>
      <c r="BH182" s="2"/>
    </row>
    <row r="183" ht="12.75" customHeight="1">
      <c r="A183" s="1"/>
      <c r="B183" s="12" t="s">
        <v>176</v>
      </c>
      <c r="C183" s="412" t="s">
        <v>239</v>
      </c>
      <c r="D183" s="330"/>
      <c r="E183" s="331"/>
      <c r="F183" s="332"/>
      <c r="G183" s="332"/>
      <c r="H183" s="332"/>
      <c r="I183" s="333" t="s">
        <v>240</v>
      </c>
      <c r="J183" s="334" t="s">
        <v>241</v>
      </c>
      <c r="K183" s="335" t="s">
        <v>242</v>
      </c>
      <c r="L183" s="414"/>
      <c r="M183" s="337" t="s">
        <v>243</v>
      </c>
      <c r="N183" s="338">
        <f>SUM(N184:N188)</f>
        <v>0</v>
      </c>
      <c r="O183" s="354">
        <f>N183+N154</f>
        <v>0</v>
      </c>
      <c r="P183" s="2"/>
      <c r="Q183" s="6"/>
      <c r="R183" s="58"/>
      <c r="S183" s="63"/>
      <c r="T183" s="63"/>
      <c r="U183" s="62"/>
      <c r="V183" s="63"/>
      <c r="W183" s="462">
        <v>8.0</v>
      </c>
      <c r="X183" s="62"/>
      <c r="Y183" s="62"/>
      <c r="Z183" s="463"/>
      <c r="AA183" s="64"/>
      <c r="AB183" s="464"/>
      <c r="AC183" s="58"/>
      <c r="AD183" s="63"/>
      <c r="AE183" s="63"/>
      <c r="AF183" s="62"/>
      <c r="AG183" s="63"/>
      <c r="AH183" s="462">
        <v>8.0</v>
      </c>
      <c r="AI183" s="62"/>
      <c r="AJ183" s="62"/>
      <c r="AK183" s="463"/>
      <c r="AL183" s="64"/>
      <c r="AM183" s="5"/>
      <c r="AN183" s="58"/>
      <c r="AO183" s="63"/>
      <c r="AP183" s="63"/>
      <c r="AQ183" s="62"/>
      <c r="AR183" s="63"/>
      <c r="AS183" s="462">
        <v>8.0</v>
      </c>
      <c r="AT183" s="62"/>
      <c r="AU183" s="62"/>
      <c r="AV183" s="463"/>
      <c r="AW183" s="64"/>
      <c r="AX183" s="2"/>
      <c r="AY183" s="2"/>
      <c r="AZ183" s="2"/>
      <c r="BA183" s="2"/>
      <c r="BB183" s="2"/>
      <c r="BC183" s="2"/>
      <c r="BD183" s="2"/>
      <c r="BE183" s="2"/>
      <c r="BF183" s="2"/>
      <c r="BG183" s="2"/>
      <c r="BH183" s="2"/>
    </row>
    <row r="184" ht="12.75" customHeight="1">
      <c r="A184" s="1"/>
      <c r="B184" s="2"/>
      <c r="C184" s="376"/>
      <c r="D184" s="348"/>
      <c r="E184" s="3"/>
      <c r="F184" s="2"/>
      <c r="G184" s="2"/>
      <c r="H184" s="2"/>
      <c r="I184" s="382">
        <v>10.0</v>
      </c>
      <c r="J184" s="382">
        <v>0.5</v>
      </c>
      <c r="K184" s="465">
        <v>1.0</v>
      </c>
      <c r="L184" s="361"/>
      <c r="M184" s="391">
        <v>1.0</v>
      </c>
      <c r="N184" s="351"/>
      <c r="O184" s="466">
        <f>O183/6</f>
        <v>0</v>
      </c>
      <c r="P184" s="2"/>
      <c r="Q184" s="6"/>
      <c r="R184" s="467"/>
      <c r="S184" s="468"/>
      <c r="T184" s="469" t="s">
        <v>244</v>
      </c>
      <c r="U184" s="470" t="s">
        <v>245</v>
      </c>
      <c r="V184" s="471" t="s">
        <v>26</v>
      </c>
      <c r="W184" s="472" t="s">
        <v>246</v>
      </c>
      <c r="X184" s="473" t="s">
        <v>247</v>
      </c>
      <c r="Y184" s="474" t="s">
        <v>248</v>
      </c>
      <c r="Z184" s="475" t="s">
        <v>27</v>
      </c>
      <c r="AA184" s="476" t="s">
        <v>249</v>
      </c>
      <c r="AB184" s="464"/>
      <c r="AC184" s="467"/>
      <c r="AD184" s="468"/>
      <c r="AE184" s="469" t="s">
        <v>244</v>
      </c>
      <c r="AF184" s="470" t="s">
        <v>245</v>
      </c>
      <c r="AG184" s="471" t="s">
        <v>26</v>
      </c>
      <c r="AH184" s="472" t="s">
        <v>246</v>
      </c>
      <c r="AI184" s="473" t="s">
        <v>247</v>
      </c>
      <c r="AJ184" s="474" t="s">
        <v>248</v>
      </c>
      <c r="AK184" s="475" t="s">
        <v>27</v>
      </c>
      <c r="AL184" s="476" t="s">
        <v>249</v>
      </c>
      <c r="AM184" s="5"/>
      <c r="AN184" s="467"/>
      <c r="AO184" s="468"/>
      <c r="AP184" s="469" t="s">
        <v>244</v>
      </c>
      <c r="AQ184" s="470" t="s">
        <v>245</v>
      </c>
      <c r="AR184" s="471" t="s">
        <v>26</v>
      </c>
      <c r="AS184" s="472" t="s">
        <v>246</v>
      </c>
      <c r="AT184" s="473" t="s">
        <v>247</v>
      </c>
      <c r="AU184" s="474" t="s">
        <v>248</v>
      </c>
      <c r="AV184" s="475" t="s">
        <v>27</v>
      </c>
      <c r="AW184" s="476" t="s">
        <v>249</v>
      </c>
      <c r="AX184" s="2"/>
      <c r="AY184" s="2"/>
      <c r="AZ184" s="2"/>
      <c r="BA184" s="2"/>
      <c r="BB184" s="2"/>
      <c r="BC184" s="2"/>
      <c r="BD184" s="2"/>
      <c r="BE184" s="2"/>
      <c r="BF184" s="2"/>
      <c r="BG184" s="2"/>
      <c r="BH184" s="2"/>
    </row>
    <row r="185" ht="12.75" customHeight="1">
      <c r="A185" s="1"/>
      <c r="B185" s="2"/>
      <c r="C185" s="347" t="s">
        <v>26</v>
      </c>
      <c r="D185" s="348"/>
      <c r="E185" s="3"/>
      <c r="F185" s="2"/>
      <c r="G185" s="2"/>
      <c r="H185" s="2"/>
      <c r="I185" s="6"/>
      <c r="J185" s="5"/>
      <c r="K185" s="5"/>
      <c r="L185" s="3"/>
      <c r="M185" s="3"/>
      <c r="N185" s="351"/>
      <c r="O185" s="2"/>
      <c r="P185" s="2"/>
      <c r="Q185" s="6"/>
      <c r="R185" s="477" t="s">
        <v>250</v>
      </c>
      <c r="S185" s="478" t="s">
        <v>251</v>
      </c>
      <c r="T185" s="479"/>
      <c r="U185" s="480">
        <f t="shared" ref="U185:U188" si="105">$X$173</f>
        <v>4</v>
      </c>
      <c r="V185" s="481" t="str">
        <f t="shared" ref="V185:V188" si="106">AC$176</f>
        <v>#REF!</v>
      </c>
      <c r="W185" s="479"/>
      <c r="X185" s="479"/>
      <c r="Y185" s="482"/>
      <c r="Z185" s="483" t="str">
        <f t="shared" ref="Z185:Z188" si="107">Y185*V185*U185*W$183</f>
        <v>#REF!</v>
      </c>
      <c r="AA185" s="484"/>
      <c r="AB185" s="464"/>
      <c r="AC185" s="477" t="s">
        <v>250</v>
      </c>
      <c r="AD185" s="478" t="s">
        <v>251</v>
      </c>
      <c r="AE185" s="479"/>
      <c r="AF185" s="480">
        <f t="shared" ref="AF185:AF186" si="108">$X$173</f>
        <v>4</v>
      </c>
      <c r="AG185" s="485" t="str">
        <f t="shared" ref="AG185:AG186" si="109">AN$176</f>
        <v/>
      </c>
      <c r="AH185" s="479"/>
      <c r="AI185" s="479"/>
      <c r="AJ185" s="482"/>
      <c r="AK185" s="483">
        <f t="shared" ref="AK185:AK186" si="110">AJ185*AG185*AF185*AH$183</f>
        <v>0</v>
      </c>
      <c r="AL185" s="484"/>
      <c r="AM185" s="5"/>
      <c r="AN185" s="477" t="s">
        <v>250</v>
      </c>
      <c r="AO185" s="478" t="s">
        <v>251</v>
      </c>
      <c r="AP185" s="479"/>
      <c r="AQ185" s="480">
        <f t="shared" ref="AQ185:AQ186" si="111">$X$173</f>
        <v>4</v>
      </c>
      <c r="AR185" s="485" t="str">
        <f t="shared" ref="AR185:AR186" si="112">AY$176</f>
        <v/>
      </c>
      <c r="AS185" s="479"/>
      <c r="AT185" s="479"/>
      <c r="AU185" s="482"/>
      <c r="AV185" s="483">
        <f t="shared" ref="AV185:AV186" si="113">AU185*AR185*AQ185*AS$183</f>
        <v>0</v>
      </c>
      <c r="AW185" s="484"/>
      <c r="AX185" s="2"/>
      <c r="AY185" s="2"/>
      <c r="AZ185" s="2"/>
      <c r="BA185" s="2"/>
      <c r="BB185" s="2"/>
      <c r="BC185" s="2"/>
      <c r="BD185" s="2"/>
      <c r="BE185" s="2"/>
      <c r="BF185" s="2"/>
      <c r="BG185" s="2"/>
      <c r="BH185" s="2"/>
    </row>
    <row r="186" ht="12.75" customHeight="1">
      <c r="A186" s="1"/>
      <c r="B186" s="2"/>
      <c r="C186" s="359" t="s">
        <v>188</v>
      </c>
      <c r="D186" s="348"/>
      <c r="E186" s="3"/>
      <c r="F186" s="2"/>
      <c r="G186" s="2"/>
      <c r="H186" s="2"/>
      <c r="I186" s="360"/>
      <c r="J186" s="360"/>
      <c r="K186" s="360"/>
      <c r="L186" s="361"/>
      <c r="M186" s="361"/>
      <c r="N186" s="351"/>
      <c r="O186" s="2"/>
      <c r="P186" s="2"/>
      <c r="Q186" s="6"/>
      <c r="R186" s="486" t="s">
        <v>252</v>
      </c>
      <c r="S186" s="487" t="s">
        <v>55</v>
      </c>
      <c r="T186" s="488">
        <v>67.16</v>
      </c>
      <c r="U186" s="489">
        <f t="shared" si="105"/>
        <v>4</v>
      </c>
      <c r="V186" s="490" t="str">
        <f t="shared" si="106"/>
        <v>#REF!</v>
      </c>
      <c r="W186" s="491">
        <f>(20/6)*$X$173</f>
        <v>13.33333333</v>
      </c>
      <c r="X186" s="489">
        <f t="shared" ref="X186:X188" si="115">W186*W$183</f>
        <v>106.6666667</v>
      </c>
      <c r="Y186" s="492">
        <f t="shared" ref="Y186:Y188" si="116">ROUNDUP(T186/X186,2)</f>
        <v>0.63</v>
      </c>
      <c r="Z186" s="493" t="str">
        <f t="shared" si="107"/>
        <v>#REF!</v>
      </c>
      <c r="AA186" s="494" t="str">
        <f>iferror(Z186/T186,"")</f>
        <v/>
      </c>
      <c r="AB186" s="464"/>
      <c r="AC186" s="486" t="str">
        <f>'Audit Check'!R3</f>
        <v>W-Accessories</v>
      </c>
      <c r="AD186" s="487" t="s">
        <v>41</v>
      </c>
      <c r="AE186" s="488">
        <f t="shared" ref="AE186:AE266" si="117">sumif($D$13:$D$148,AC186,$Q$13:$Q$148)</f>
        <v>0</v>
      </c>
      <c r="AF186" s="489">
        <f t="shared" si="108"/>
        <v>4</v>
      </c>
      <c r="AG186" s="495" t="str">
        <f t="shared" si="109"/>
        <v/>
      </c>
      <c r="AH186" s="491">
        <f>(30/4)*$X$173</f>
        <v>30</v>
      </c>
      <c r="AI186" s="489">
        <f>AH186*AH$183</f>
        <v>240</v>
      </c>
      <c r="AJ186" s="492">
        <f>ROUNDUP(AE186/AI186,2)</f>
        <v>0</v>
      </c>
      <c r="AK186" s="493">
        <f t="shared" si="110"/>
        <v>0</v>
      </c>
      <c r="AL186" s="494" t="str">
        <f>AK186/AE186</f>
        <v>#DIV/0!</v>
      </c>
      <c r="AM186" s="5"/>
      <c r="AN186" s="486" t="str">
        <f>'Audit Check'!S3</f>
        <v>S-Sheeting</v>
      </c>
      <c r="AO186" s="487" t="s">
        <v>41</v>
      </c>
      <c r="AP186" s="488">
        <f t="shared" ref="AP186:AP266" si="118">sumif($D$13:$D$148,AN186,$Q$13:$Q$148)</f>
        <v>0</v>
      </c>
      <c r="AQ186" s="489">
        <f t="shared" si="111"/>
        <v>4</v>
      </c>
      <c r="AR186" s="495" t="str">
        <f t="shared" si="112"/>
        <v/>
      </c>
      <c r="AS186" s="491">
        <f>(15/4)*$X$173</f>
        <v>15</v>
      </c>
      <c r="AT186" s="489">
        <f>AS186*AS$183</f>
        <v>120</v>
      </c>
      <c r="AU186" s="492">
        <f>ROUNDUP(AP186/AT186,2)</f>
        <v>0</v>
      </c>
      <c r="AV186" s="493">
        <f t="shared" si="113"/>
        <v>0</v>
      </c>
      <c r="AW186" s="494" t="str">
        <f>AV186/AP186</f>
        <v>#DIV/0!</v>
      </c>
      <c r="AX186" s="5"/>
      <c r="AY186" s="5"/>
      <c r="AZ186" s="5"/>
      <c r="BA186" s="5"/>
      <c r="BB186" s="5"/>
      <c r="BC186" s="5"/>
      <c r="BD186" s="5"/>
      <c r="BE186" s="5"/>
      <c r="BF186" s="5"/>
      <c r="BG186" s="5"/>
      <c r="BH186" s="5"/>
    </row>
    <row r="187" ht="12.75" customHeight="1">
      <c r="A187" s="1"/>
      <c r="B187" s="2"/>
      <c r="C187" s="365" t="s">
        <v>189</v>
      </c>
      <c r="D187" s="366"/>
      <c r="E187" s="367"/>
      <c r="F187" s="368"/>
      <c r="G187" s="368"/>
      <c r="H187" s="368"/>
      <c r="I187" s="369">
        <f t="shared" ref="I187:M187" si="114">I185*I184*I186</f>
        <v>0</v>
      </c>
      <c r="J187" s="369">
        <f t="shared" si="114"/>
        <v>0</v>
      </c>
      <c r="K187" s="370">
        <f t="shared" si="114"/>
        <v>0</v>
      </c>
      <c r="L187" s="371">
        <f t="shared" si="114"/>
        <v>0</v>
      </c>
      <c r="M187" s="371">
        <f t="shared" si="114"/>
        <v>0</v>
      </c>
      <c r="N187" s="372">
        <f>SUM(I187:M187)</f>
        <v>0</v>
      </c>
      <c r="O187" s="2"/>
      <c r="P187" s="2"/>
      <c r="Q187" s="6"/>
      <c r="R187" s="486" t="s">
        <v>253</v>
      </c>
      <c r="S187" s="487" t="s">
        <v>55</v>
      </c>
      <c r="T187" s="488">
        <v>10.0</v>
      </c>
      <c r="U187" s="489">
        <f t="shared" si="105"/>
        <v>4</v>
      </c>
      <c r="V187" s="490" t="str">
        <f t="shared" si="106"/>
        <v>#REF!</v>
      </c>
      <c r="W187" s="491">
        <f>(3/6)*$X$173</f>
        <v>2</v>
      </c>
      <c r="X187" s="489">
        <f t="shared" si="115"/>
        <v>16</v>
      </c>
      <c r="Y187" s="492">
        <f t="shared" si="116"/>
        <v>0.63</v>
      </c>
      <c r="Z187" s="493" t="str">
        <f t="shared" si="107"/>
        <v>#REF!</v>
      </c>
      <c r="AA187" s="494" t="str">
        <f t="shared" ref="AA187:AA188" si="119">Z187/T187</f>
        <v>#REF!</v>
      </c>
      <c r="AB187" s="464"/>
      <c r="AC187" s="486" t="str">
        <f>'Audit Check'!R4</f>
        <v>W-Sheeting</v>
      </c>
      <c r="AD187" s="487" t="s">
        <v>52</v>
      </c>
      <c r="AE187" s="488" t="str">
        <f t="shared" si="117"/>
        <v>#REF!</v>
      </c>
      <c r="AF187" s="496"/>
      <c r="AG187" s="495"/>
      <c r="AH187" s="496"/>
      <c r="AI187" s="496"/>
      <c r="AJ187" s="496"/>
      <c r="AK187" s="497"/>
      <c r="AL187" s="498"/>
      <c r="AM187" s="5"/>
      <c r="AN187" s="486" t="str">
        <f>'Audit Check'!S4</f>
        <v>S-Fixings</v>
      </c>
      <c r="AO187" s="487" t="s">
        <v>52</v>
      </c>
      <c r="AP187" s="488">
        <f t="shared" si="118"/>
        <v>0</v>
      </c>
      <c r="AQ187" s="496"/>
      <c r="AR187" s="495"/>
      <c r="AS187" s="496"/>
      <c r="AT187" s="496"/>
      <c r="AU187" s="496"/>
      <c r="AV187" s="497"/>
      <c r="AW187" s="498"/>
      <c r="AX187" s="5"/>
      <c r="AY187" s="5"/>
      <c r="AZ187" s="5"/>
      <c r="BA187" s="5"/>
      <c r="BB187" s="5"/>
      <c r="BC187" s="5"/>
      <c r="BD187" s="5"/>
      <c r="BE187" s="5"/>
      <c r="BF187" s="5"/>
      <c r="BG187" s="5"/>
      <c r="BH187" s="5"/>
    </row>
    <row r="188" ht="12.75" customHeight="1">
      <c r="A188" s="1"/>
      <c r="B188" s="2"/>
      <c r="C188" s="376"/>
      <c r="D188" s="348"/>
      <c r="E188" s="3"/>
      <c r="F188" s="2"/>
      <c r="G188" s="2"/>
      <c r="H188" s="2"/>
      <c r="I188" s="6"/>
      <c r="J188" s="313"/>
      <c r="K188" s="5"/>
      <c r="L188" s="3"/>
      <c r="M188" s="3"/>
      <c r="N188" s="351"/>
      <c r="O188" s="2"/>
      <c r="P188" s="2" t="str">
        <f>MATCH(Q188,($R$188:$R$266,0))</f>
        <v>#ERROR!</v>
      </c>
      <c r="Q188" s="6" t="str">
        <f t="array" ref="Q188:Q216">UNIQUE(D17:D126)</f>
        <v>R-Sheeting</v>
      </c>
      <c r="R188" s="486" t="str">
        <f>'Audit Check'!Q3</f>
        <v>R-Accessories</v>
      </c>
      <c r="S188" s="487" t="s">
        <v>41</v>
      </c>
      <c r="T188" s="488">
        <f t="shared" ref="T188:T266" si="120">sumif($D$13:$D$148,R188,$Q$13:$Q$148)</f>
        <v>0</v>
      </c>
      <c r="U188" s="489">
        <f t="shared" si="105"/>
        <v>4</v>
      </c>
      <c r="V188" s="490" t="str">
        <f t="shared" si="106"/>
        <v>#REF!</v>
      </c>
      <c r="W188" s="491">
        <f>(30/4)*$X$173</f>
        <v>30</v>
      </c>
      <c r="X188" s="489">
        <f t="shared" si="115"/>
        <v>240</v>
      </c>
      <c r="Y188" s="492">
        <f t="shared" si="116"/>
        <v>0</v>
      </c>
      <c r="Z188" s="493" t="str">
        <f t="shared" si="107"/>
        <v>#REF!</v>
      </c>
      <c r="AA188" s="494" t="str">
        <f t="shared" si="119"/>
        <v>#REF!</v>
      </c>
      <c r="AB188" s="464"/>
      <c r="AC188" s="486" t="str">
        <f>'Audit Check'!R5</f>
        <v>W-Fixings</v>
      </c>
      <c r="AD188" s="487" t="s">
        <v>52</v>
      </c>
      <c r="AE188" s="488" t="str">
        <f t="shared" si="117"/>
        <v>#REF!</v>
      </c>
      <c r="AF188" s="496"/>
      <c r="AG188" s="495"/>
      <c r="AH188" s="496"/>
      <c r="AI188" s="496"/>
      <c r="AJ188" s="496"/>
      <c r="AK188" s="497"/>
      <c r="AL188" s="498"/>
      <c r="AM188" s="5"/>
      <c r="AN188" s="486" t="str">
        <f>'Audit Check'!S5</f>
        <v>S-GenFix</v>
      </c>
      <c r="AO188" s="487" t="s">
        <v>52</v>
      </c>
      <c r="AP188" s="488">
        <f t="shared" si="118"/>
        <v>0</v>
      </c>
      <c r="AQ188" s="496"/>
      <c r="AR188" s="495"/>
      <c r="AS188" s="496"/>
      <c r="AT188" s="496"/>
      <c r="AU188" s="496"/>
      <c r="AV188" s="497"/>
      <c r="AW188" s="498"/>
      <c r="AX188" s="5"/>
      <c r="AY188" s="5"/>
      <c r="AZ188" s="5"/>
      <c r="BA188" s="5"/>
      <c r="BB188" s="5"/>
      <c r="BC188" s="5"/>
      <c r="BD188" s="5"/>
      <c r="BE188" s="5"/>
      <c r="BF188" s="5"/>
      <c r="BG188" s="5"/>
      <c r="BH188" s="5"/>
    </row>
    <row r="189" ht="12.75" customHeight="1">
      <c r="A189" s="1"/>
      <c r="B189" s="12" t="s">
        <v>176</v>
      </c>
      <c r="C189" s="412" t="s">
        <v>254</v>
      </c>
      <c r="D189" s="330"/>
      <c r="E189" s="331"/>
      <c r="F189" s="332"/>
      <c r="G189" s="332"/>
      <c r="H189" s="332"/>
      <c r="I189" s="333" t="s">
        <v>255</v>
      </c>
      <c r="J189" s="334" t="s">
        <v>248</v>
      </c>
      <c r="K189" s="335" t="s">
        <v>256</v>
      </c>
      <c r="L189" s="336" t="s">
        <v>26</v>
      </c>
      <c r="M189" s="414"/>
      <c r="N189" s="381" t="str">
        <f>SUM(N190:N194)</f>
        <v>#REF!</v>
      </c>
      <c r="O189" s="2"/>
      <c r="P189" s="2" t="str">
        <f>MATCH(Q188,($R$188:$R$266,0),"Missing")
</f>
        <v>#ERROR!</v>
      </c>
      <c r="Q189" s="6"/>
      <c r="R189" s="486" t="str">
        <f>'Audit Check'!Q4</f>
        <v>R-AdvFixing</v>
      </c>
      <c r="S189" s="487" t="s">
        <v>52</v>
      </c>
      <c r="T189" s="488">
        <f t="shared" si="120"/>
        <v>1760.617513</v>
      </c>
      <c r="U189" s="496"/>
      <c r="V189" s="495"/>
      <c r="W189" s="496"/>
      <c r="X189" s="496"/>
      <c r="Y189" s="496"/>
      <c r="Z189" s="497"/>
      <c r="AA189" s="498"/>
      <c r="AB189" s="464"/>
      <c r="AC189" s="486" t="str">
        <f>'Audit Check'!R6</f>
        <v>W-GenFix</v>
      </c>
      <c r="AD189" s="487" t="s">
        <v>52</v>
      </c>
      <c r="AE189" s="488">
        <f t="shared" si="117"/>
        <v>26</v>
      </c>
      <c r="AF189" s="496"/>
      <c r="AG189" s="495"/>
      <c r="AH189" s="496"/>
      <c r="AI189" s="496"/>
      <c r="AJ189" s="496"/>
      <c r="AK189" s="497"/>
      <c r="AL189" s="498"/>
      <c r="AM189" s="5"/>
      <c r="AN189" s="486" t="str">
        <f>'Audit Check'!S6</f>
        <v>S-Rivets</v>
      </c>
      <c r="AO189" s="487" t="s">
        <v>52</v>
      </c>
      <c r="AP189" s="488">
        <f t="shared" si="118"/>
        <v>0</v>
      </c>
      <c r="AQ189" s="496"/>
      <c r="AR189" s="495"/>
      <c r="AS189" s="496"/>
      <c r="AT189" s="496"/>
      <c r="AU189" s="496"/>
      <c r="AV189" s="497"/>
      <c r="AW189" s="498"/>
      <c r="AX189" s="5"/>
      <c r="AY189" s="5"/>
      <c r="AZ189" s="5"/>
      <c r="BA189" s="5"/>
      <c r="BB189" s="5"/>
      <c r="BC189" s="5"/>
      <c r="BD189" s="5"/>
      <c r="BE189" s="5"/>
      <c r="BF189" s="5"/>
      <c r="BG189" s="5"/>
      <c r="BH189" s="5"/>
    </row>
    <row r="190" ht="12.75" customHeight="1">
      <c r="A190" s="1"/>
      <c r="B190" s="2"/>
      <c r="C190" s="499" t="s">
        <v>257</v>
      </c>
      <c r="D190" s="366"/>
      <c r="E190" s="367"/>
      <c r="F190" s="368"/>
      <c r="G190" s="368"/>
      <c r="H190" s="368"/>
      <c r="I190" s="437">
        <v>1.0</v>
      </c>
      <c r="J190" s="500" t="str">
        <f>W175</f>
        <v>#REF!</v>
      </c>
      <c r="K190" s="501">
        <v>0.5</v>
      </c>
      <c r="L190" s="371">
        <v>45.0</v>
      </c>
      <c r="M190" s="401">
        <v>1.0</v>
      </c>
      <c r="N190" s="372" t="str">
        <f t="shared" ref="N190:N193" si="121">M190*L190*K190*J190*I190</f>
        <v>#REF!</v>
      </c>
      <c r="O190" s="2"/>
      <c r="P190" s="2" t="str">
        <f>MATCH(Q188,($R$188:$R$266,0),"Missing")
</f>
        <v>#ERROR!</v>
      </c>
      <c r="Q190" s="6" t="s">
        <v>45</v>
      </c>
      <c r="R190" s="486" t="str">
        <f>'Audit Check'!Q5</f>
        <v>R-Batten</v>
      </c>
      <c r="S190" s="487" t="s">
        <v>52</v>
      </c>
      <c r="T190" s="488">
        <f t="shared" si="120"/>
        <v>0</v>
      </c>
      <c r="U190" s="496"/>
      <c r="V190" s="495"/>
      <c r="W190" s="496"/>
      <c r="X190" s="496"/>
      <c r="Y190" s="496"/>
      <c r="Z190" s="497"/>
      <c r="AA190" s="498"/>
      <c r="AB190" s="464"/>
      <c r="AC190" s="486" t="str">
        <f>'Audit Check'!R7</f>
        <v>W-Rivets</v>
      </c>
      <c r="AD190" s="487" t="s">
        <v>41</v>
      </c>
      <c r="AE190" s="488">
        <f t="shared" si="117"/>
        <v>36</v>
      </c>
      <c r="AF190" s="489">
        <f t="shared" ref="AF190:AF194" si="122">$X$173</f>
        <v>4</v>
      </c>
      <c r="AG190" s="495" t="str">
        <f t="shared" ref="AG190:AG194" si="123">AN$176</f>
        <v/>
      </c>
      <c r="AH190" s="491">
        <f>(100/4)*$X$173</f>
        <v>100</v>
      </c>
      <c r="AI190" s="489">
        <f t="shared" ref="AI190:AI194" si="124">AH190*AH$183</f>
        <v>800</v>
      </c>
      <c r="AJ190" s="492">
        <f t="shared" ref="AJ190:AJ194" si="125">ROUNDUP(AE190/AI190,2)</f>
        <v>0.05</v>
      </c>
      <c r="AK190" s="493">
        <f t="shared" ref="AK190:AK194" si="126">AJ190*AG190*AF190*AH$183</f>
        <v>0</v>
      </c>
      <c r="AL190" s="494">
        <f t="shared" ref="AL190:AL194" si="127">AK190/AE190</f>
        <v>0</v>
      </c>
      <c r="AM190" s="5"/>
      <c r="AN190" s="486" t="str">
        <f>'Audit Check'!S7</f>
        <v>S-Underlay</v>
      </c>
      <c r="AO190" s="487" t="s">
        <v>41</v>
      </c>
      <c r="AP190" s="488">
        <f t="shared" si="118"/>
        <v>0</v>
      </c>
      <c r="AQ190" s="489">
        <f t="shared" ref="AQ190:AQ194" si="128">$X$173</f>
        <v>4</v>
      </c>
      <c r="AR190" s="495" t="str">
        <f t="shared" ref="AR190:AR194" si="129">AY$176</f>
        <v/>
      </c>
      <c r="AS190" s="491">
        <f>(50/4)*$X$173</f>
        <v>50</v>
      </c>
      <c r="AT190" s="489">
        <f t="shared" ref="AT190:AT194" si="130">AS190*AS$183</f>
        <v>400</v>
      </c>
      <c r="AU190" s="492">
        <f t="shared" ref="AU190:AU194" si="131">ROUNDUP(AP190/AT190,2)</f>
        <v>0</v>
      </c>
      <c r="AV190" s="493">
        <f t="shared" ref="AV190:AV194" si="132">AU190*AR190*AQ190*AS$183</f>
        <v>0</v>
      </c>
      <c r="AW190" s="494" t="str">
        <f t="shared" ref="AW190:AW194" si="133">AV190/AP190</f>
        <v>#DIV/0!</v>
      </c>
      <c r="AX190" s="5"/>
      <c r="AY190" s="5"/>
      <c r="AZ190" s="5"/>
      <c r="BA190" s="5"/>
      <c r="BB190" s="5"/>
      <c r="BC190" s="5"/>
      <c r="BD190" s="5"/>
      <c r="BE190" s="5"/>
      <c r="BF190" s="5"/>
      <c r="BG190" s="5"/>
      <c r="BH190" s="5"/>
    </row>
    <row r="191" ht="12.75" customHeight="1">
      <c r="A191" s="1"/>
      <c r="B191" s="2"/>
      <c r="C191" s="499" t="s">
        <v>258</v>
      </c>
      <c r="D191" s="366"/>
      <c r="E191" s="367"/>
      <c r="F191" s="368"/>
      <c r="G191" s="368"/>
      <c r="H191" s="368"/>
      <c r="I191" s="437">
        <v>1.0</v>
      </c>
      <c r="J191" s="500" t="str">
        <f>J190</f>
        <v>#REF!</v>
      </c>
      <c r="K191" s="501">
        <v>0.5</v>
      </c>
      <c r="L191" s="371">
        <f>32*1.25</f>
        <v>40</v>
      </c>
      <c r="M191" s="401">
        <v>1.0</v>
      </c>
      <c r="N191" s="372" t="str">
        <f t="shared" si="121"/>
        <v>#REF!</v>
      </c>
      <c r="O191" s="2"/>
      <c r="P191" s="2" t="str">
        <f>MATCH(Q188,($R$188:$R$266,0),"Missing")
</f>
        <v>#ERROR!</v>
      </c>
      <c r="Q191" s="6" t="s">
        <v>51</v>
      </c>
      <c r="R191" s="486" t="str">
        <f>'Audit Check'!Q6</f>
        <v>R-BG</v>
      </c>
      <c r="S191" s="487" t="s">
        <v>52</v>
      </c>
      <c r="T191" s="488">
        <f t="shared" si="120"/>
        <v>0</v>
      </c>
      <c r="U191" s="496"/>
      <c r="V191" s="495"/>
      <c r="W191" s="496"/>
      <c r="X191" s="496"/>
      <c r="Y191" s="496"/>
      <c r="Z191" s="497"/>
      <c r="AA191" s="498"/>
      <c r="AB191" s="464"/>
      <c r="AC191" s="486" t="str">
        <f>'Audit Check'!R8</f>
        <v>W-Underlay</v>
      </c>
      <c r="AD191" s="487" t="s">
        <v>55</v>
      </c>
      <c r="AE191" s="488">
        <f t="shared" si="117"/>
        <v>229.3056818</v>
      </c>
      <c r="AF191" s="489">
        <f t="shared" si="122"/>
        <v>4</v>
      </c>
      <c r="AG191" s="495" t="str">
        <f t="shared" si="123"/>
        <v/>
      </c>
      <c r="AH191" s="491">
        <f>(20/1)*$X$173</f>
        <v>80</v>
      </c>
      <c r="AI191" s="489">
        <f t="shared" si="124"/>
        <v>640</v>
      </c>
      <c r="AJ191" s="492">
        <f t="shared" si="125"/>
        <v>0.36</v>
      </c>
      <c r="AK191" s="493">
        <f t="shared" si="126"/>
        <v>0</v>
      </c>
      <c r="AL191" s="494">
        <f t="shared" si="127"/>
        <v>0</v>
      </c>
      <c r="AM191" s="5"/>
      <c r="AN191" s="486" t="str">
        <f>'Audit Check'!S8</f>
        <v>S-UTape</v>
      </c>
      <c r="AO191" s="487" t="s">
        <v>55</v>
      </c>
      <c r="AP191" s="488">
        <f t="shared" si="118"/>
        <v>0</v>
      </c>
      <c r="AQ191" s="489">
        <f t="shared" si="128"/>
        <v>4</v>
      </c>
      <c r="AR191" s="495" t="str">
        <f t="shared" si="129"/>
        <v/>
      </c>
      <c r="AS191" s="491">
        <f>(20/1)*$X$173</f>
        <v>80</v>
      </c>
      <c r="AT191" s="489">
        <f t="shared" si="130"/>
        <v>640</v>
      </c>
      <c r="AU191" s="492">
        <f t="shared" si="131"/>
        <v>0</v>
      </c>
      <c r="AV191" s="493">
        <f t="shared" si="132"/>
        <v>0</v>
      </c>
      <c r="AW191" s="494" t="str">
        <f t="shared" si="133"/>
        <v>#DIV/0!</v>
      </c>
      <c r="AX191" s="5"/>
      <c r="AY191" s="5"/>
      <c r="AZ191" s="5"/>
      <c r="BA191" s="5"/>
      <c r="BB191" s="5"/>
      <c r="BC191" s="5"/>
      <c r="BD191" s="5"/>
      <c r="BE191" s="5"/>
      <c r="BF191" s="5"/>
      <c r="BG191" s="5"/>
      <c r="BH191" s="5"/>
    </row>
    <row r="192" ht="12.75" customHeight="1">
      <c r="A192" s="1"/>
      <c r="B192" s="2"/>
      <c r="C192" s="499" t="s">
        <v>259</v>
      </c>
      <c r="D192" s="366"/>
      <c r="E192" s="367"/>
      <c r="F192" s="368"/>
      <c r="G192" s="368"/>
      <c r="H192" s="368"/>
      <c r="I192" s="437">
        <v>1.0</v>
      </c>
      <c r="J192" s="500">
        <v>1.0</v>
      </c>
      <c r="K192" s="501">
        <v>10.0</v>
      </c>
      <c r="L192" s="371">
        <f>72</f>
        <v>72</v>
      </c>
      <c r="M192" s="401">
        <v>1.0</v>
      </c>
      <c r="N192" s="372">
        <f t="shared" si="121"/>
        <v>720</v>
      </c>
      <c r="O192" s="2"/>
      <c r="P192" s="2" t="str">
        <f>MATCH(Q188,($R$188:$R$266,0),"Missing")
</f>
        <v>#ERROR!</v>
      </c>
      <c r="Q192" s="6" t="s">
        <v>60</v>
      </c>
      <c r="R192" s="486" t="str">
        <f>'Audit Check'!Q7</f>
        <v>R-BGBracket</v>
      </c>
      <c r="S192" s="502" t="s">
        <v>52</v>
      </c>
      <c r="T192" s="488">
        <f t="shared" si="120"/>
        <v>0</v>
      </c>
      <c r="U192" s="489">
        <f t="shared" ref="U192:U196" si="134">$X$173</f>
        <v>4</v>
      </c>
      <c r="V192" s="490" t="str">
        <f t="shared" ref="V192:V196" si="135">AC$176</f>
        <v>#REF!</v>
      </c>
      <c r="W192" s="491">
        <f>(100/4)*$X$173</f>
        <v>100</v>
      </c>
      <c r="X192" s="489">
        <f t="shared" ref="X192:X196" si="136">W192*W$183</f>
        <v>800</v>
      </c>
      <c r="Y192" s="492">
        <f t="shared" ref="Y192:Y196" si="137">ROUNDUP(T192/X192,2)</f>
        <v>0</v>
      </c>
      <c r="Z192" s="493" t="str">
        <f t="shared" ref="Z192:Z196" si="138">Y192*V192*U192*W$183</f>
        <v>#REF!</v>
      </c>
      <c r="AA192" s="494" t="str">
        <f t="shared" ref="AA192:AA196" si="139">Z192/T192</f>
        <v>#REF!</v>
      </c>
      <c r="AB192" s="464"/>
      <c r="AC192" s="486" t="str">
        <f>'Audit Check'!R9</f>
        <v>W-UTape</v>
      </c>
      <c r="AD192" s="487" t="s">
        <v>41</v>
      </c>
      <c r="AE192" s="488" t="str">
        <f t="shared" si="117"/>
        <v>#REF!</v>
      </c>
      <c r="AF192" s="489">
        <f t="shared" si="122"/>
        <v>4</v>
      </c>
      <c r="AG192" s="495" t="str">
        <f t="shared" si="123"/>
        <v/>
      </c>
      <c r="AH192" s="491">
        <f>(120/4)*$X$173</f>
        <v>120</v>
      </c>
      <c r="AI192" s="489">
        <f t="shared" si="124"/>
        <v>960</v>
      </c>
      <c r="AJ192" s="492" t="str">
        <f t="shared" si="125"/>
        <v>#REF!</v>
      </c>
      <c r="AK192" s="493" t="str">
        <f t="shared" si="126"/>
        <v>#REF!</v>
      </c>
      <c r="AL192" s="494" t="str">
        <f t="shared" si="127"/>
        <v>#REF!</v>
      </c>
      <c r="AM192" s="5"/>
      <c r="AN192" s="486" t="str">
        <f>'Audit Check'!S9</f>
        <v>S-Safety Mesh</v>
      </c>
      <c r="AO192" s="487" t="s">
        <v>41</v>
      </c>
      <c r="AP192" s="488">
        <f t="shared" si="118"/>
        <v>0</v>
      </c>
      <c r="AQ192" s="489">
        <f t="shared" si="128"/>
        <v>4</v>
      </c>
      <c r="AR192" s="495" t="str">
        <f t="shared" si="129"/>
        <v/>
      </c>
      <c r="AS192" s="491">
        <f>(70/4)*$X$173</f>
        <v>70</v>
      </c>
      <c r="AT192" s="489">
        <f t="shared" si="130"/>
        <v>560</v>
      </c>
      <c r="AU192" s="492">
        <f t="shared" si="131"/>
        <v>0</v>
      </c>
      <c r="AV192" s="493">
        <f t="shared" si="132"/>
        <v>0</v>
      </c>
      <c r="AW192" s="494" t="str">
        <f t="shared" si="133"/>
        <v>#DIV/0!</v>
      </c>
      <c r="AX192" s="5"/>
      <c r="AY192" s="5"/>
      <c r="AZ192" s="5"/>
      <c r="BA192" s="5"/>
      <c r="BB192" s="5"/>
      <c r="BC192" s="5"/>
      <c r="BD192" s="5"/>
      <c r="BE192" s="5"/>
      <c r="BF192" s="5"/>
      <c r="BG192" s="5"/>
      <c r="BH192" s="5"/>
    </row>
    <row r="193" ht="12.75" customHeight="1">
      <c r="A193" s="1"/>
      <c r="B193" s="2"/>
      <c r="C193" s="503"/>
      <c r="D193" s="366"/>
      <c r="E193" s="367"/>
      <c r="F193" s="368"/>
      <c r="G193" s="368"/>
      <c r="H193" s="368"/>
      <c r="I193" s="437">
        <v>1.0</v>
      </c>
      <c r="J193" s="500" t="str">
        <f>J190</f>
        <v>#REF!</v>
      </c>
      <c r="K193" s="501">
        <v>0.0</v>
      </c>
      <c r="L193" s="367"/>
      <c r="M193" s="361"/>
      <c r="N193" s="372" t="str">
        <f t="shared" si="121"/>
        <v>#REF!</v>
      </c>
      <c r="O193" s="2"/>
      <c r="P193" s="2" t="str">
        <f>MATCH(Q188,($R$188:$R$266,0),"Missing")
</f>
        <v>#ERROR!</v>
      </c>
      <c r="Q193" s="6" t="s">
        <v>63</v>
      </c>
      <c r="R193" s="486" t="str">
        <f>'Audit Check'!Q8</f>
        <v>R-BGBracketFixing</v>
      </c>
      <c r="S193" s="502" t="s">
        <v>52</v>
      </c>
      <c r="T193" s="488">
        <f t="shared" si="120"/>
        <v>0</v>
      </c>
      <c r="U193" s="489">
        <f t="shared" si="134"/>
        <v>4</v>
      </c>
      <c r="V193" s="490" t="str">
        <f t="shared" si="135"/>
        <v>#REF!</v>
      </c>
      <c r="W193" s="491">
        <f>(20/1)*$X$173</f>
        <v>80</v>
      </c>
      <c r="X193" s="489">
        <f t="shared" si="136"/>
        <v>640</v>
      </c>
      <c r="Y193" s="492">
        <f t="shared" si="137"/>
        <v>0</v>
      </c>
      <c r="Z193" s="493" t="str">
        <f t="shared" si="138"/>
        <v>#REF!</v>
      </c>
      <c r="AA193" s="494" t="str">
        <f t="shared" si="139"/>
        <v>#REF!</v>
      </c>
      <c r="AB193" s="464"/>
      <c r="AC193" s="486" t="str">
        <f>'Audit Check'!R10</f>
        <v>W-Safety Mesh</v>
      </c>
      <c r="AD193" s="487" t="s">
        <v>41</v>
      </c>
      <c r="AE193" s="488">
        <f t="shared" si="117"/>
        <v>0</v>
      </c>
      <c r="AF193" s="489">
        <f t="shared" si="122"/>
        <v>4</v>
      </c>
      <c r="AG193" s="495" t="str">
        <f t="shared" si="123"/>
        <v/>
      </c>
      <c r="AH193" s="491">
        <f>(30/4)*$X$173</f>
        <v>30</v>
      </c>
      <c r="AI193" s="489">
        <f t="shared" si="124"/>
        <v>240</v>
      </c>
      <c r="AJ193" s="492">
        <f t="shared" si="125"/>
        <v>0</v>
      </c>
      <c r="AK193" s="493">
        <f t="shared" si="126"/>
        <v>0</v>
      </c>
      <c r="AL193" s="494" t="str">
        <f t="shared" si="127"/>
        <v>#DIV/0!</v>
      </c>
      <c r="AM193" s="5"/>
      <c r="AN193" s="486" t="str">
        <f>'Audit Check'!S10</f>
        <v>S-TS</v>
      </c>
      <c r="AO193" s="487" t="s">
        <v>41</v>
      </c>
      <c r="AP193" s="488">
        <f t="shared" si="118"/>
        <v>0</v>
      </c>
      <c r="AQ193" s="489">
        <f t="shared" si="128"/>
        <v>4</v>
      </c>
      <c r="AR193" s="495" t="str">
        <f t="shared" si="129"/>
        <v/>
      </c>
      <c r="AS193" s="491">
        <f>(15/4)*$X$173</f>
        <v>15</v>
      </c>
      <c r="AT193" s="489">
        <f t="shared" si="130"/>
        <v>120</v>
      </c>
      <c r="AU193" s="492">
        <f t="shared" si="131"/>
        <v>0</v>
      </c>
      <c r="AV193" s="493">
        <f t="shared" si="132"/>
        <v>0</v>
      </c>
      <c r="AW193" s="494" t="str">
        <f t="shared" si="133"/>
        <v>#DIV/0!</v>
      </c>
      <c r="AX193" s="5"/>
      <c r="AY193" s="5"/>
      <c r="AZ193" s="5"/>
      <c r="BA193" s="5"/>
      <c r="BB193" s="5"/>
      <c r="BC193" s="5"/>
      <c r="BD193" s="5"/>
      <c r="BE193" s="5"/>
      <c r="BF193" s="5"/>
      <c r="BG193" s="5"/>
      <c r="BH193" s="5"/>
    </row>
    <row r="194" ht="12.75" customHeight="1">
      <c r="A194" s="1"/>
      <c r="B194" s="2"/>
      <c r="C194" s="376"/>
      <c r="D194" s="348"/>
      <c r="E194" s="3"/>
      <c r="F194" s="2"/>
      <c r="G194" s="2"/>
      <c r="H194" s="2"/>
      <c r="I194" s="6"/>
      <c r="J194" s="6"/>
      <c r="K194" s="5"/>
      <c r="L194" s="3"/>
      <c r="M194" s="3"/>
      <c r="N194" s="351"/>
      <c r="O194" s="2"/>
      <c r="P194" s="2" t="str">
        <f>MATCH(Q188,($R$188:$R$266,0),"Missing")
</f>
        <v>#ERROR!</v>
      </c>
      <c r="Q194" s="6" t="s">
        <v>66</v>
      </c>
      <c r="R194" s="486" t="str">
        <f>'Audit Check'!Q9</f>
        <v>R-Butyl</v>
      </c>
      <c r="S194" s="502" t="s">
        <v>52</v>
      </c>
      <c r="T194" s="488">
        <f t="shared" si="120"/>
        <v>0</v>
      </c>
      <c r="U194" s="489">
        <f t="shared" si="134"/>
        <v>4</v>
      </c>
      <c r="V194" s="490" t="str">
        <f t="shared" si="135"/>
        <v>#REF!</v>
      </c>
      <c r="W194" s="491">
        <f>(120/4)*$X$173</f>
        <v>120</v>
      </c>
      <c r="X194" s="489">
        <f t="shared" si="136"/>
        <v>960</v>
      </c>
      <c r="Y194" s="492">
        <f t="shared" si="137"/>
        <v>0</v>
      </c>
      <c r="Z194" s="493" t="str">
        <f t="shared" si="138"/>
        <v>#REF!</v>
      </c>
      <c r="AA194" s="494" t="str">
        <f t="shared" si="139"/>
        <v>#REF!</v>
      </c>
      <c r="AB194" s="464"/>
      <c r="AC194" s="486" t="str">
        <f>'Audit Check'!R11</f>
        <v>W-TS</v>
      </c>
      <c r="AD194" s="487" t="s">
        <v>55</v>
      </c>
      <c r="AE194" s="488">
        <f t="shared" si="117"/>
        <v>0</v>
      </c>
      <c r="AF194" s="489">
        <f t="shared" si="122"/>
        <v>4</v>
      </c>
      <c r="AG194" s="495" t="str">
        <f t="shared" si="123"/>
        <v/>
      </c>
      <c r="AH194" s="491">
        <f>(20/1)*$X$173</f>
        <v>80</v>
      </c>
      <c r="AI194" s="489">
        <f t="shared" si="124"/>
        <v>640</v>
      </c>
      <c r="AJ194" s="492">
        <f t="shared" si="125"/>
        <v>0</v>
      </c>
      <c r="AK194" s="493">
        <f t="shared" si="126"/>
        <v>0</v>
      </c>
      <c r="AL194" s="494" t="str">
        <f t="shared" si="127"/>
        <v>#DIV/0!</v>
      </c>
      <c r="AM194" s="5"/>
      <c r="AN194" s="486" t="str">
        <f>'Audit Check'!S11</f>
        <v>S-TSPurlinStrip</v>
      </c>
      <c r="AO194" s="487" t="s">
        <v>55</v>
      </c>
      <c r="AP194" s="488">
        <f t="shared" si="118"/>
        <v>0</v>
      </c>
      <c r="AQ194" s="489">
        <f t="shared" si="128"/>
        <v>4</v>
      </c>
      <c r="AR194" s="495" t="str">
        <f t="shared" si="129"/>
        <v/>
      </c>
      <c r="AS194" s="491">
        <f>(20/1)*$X$173</f>
        <v>80</v>
      </c>
      <c r="AT194" s="489">
        <f t="shared" si="130"/>
        <v>640</v>
      </c>
      <c r="AU194" s="492">
        <f t="shared" si="131"/>
        <v>0</v>
      </c>
      <c r="AV194" s="493">
        <f t="shared" si="132"/>
        <v>0</v>
      </c>
      <c r="AW194" s="494" t="str">
        <f t="shared" si="133"/>
        <v>#DIV/0!</v>
      </c>
      <c r="AX194" s="5"/>
      <c r="AY194" s="5"/>
      <c r="AZ194" s="5"/>
      <c r="BA194" s="5"/>
      <c r="BB194" s="5"/>
      <c r="BC194" s="5"/>
      <c r="BD194" s="5"/>
      <c r="BE194" s="5"/>
      <c r="BF194" s="5"/>
      <c r="BG194" s="5"/>
      <c r="BH194" s="5"/>
    </row>
    <row r="195" ht="12.75" customHeight="1">
      <c r="A195" s="1"/>
      <c r="B195" s="12" t="s">
        <v>176</v>
      </c>
      <c r="C195" s="329" t="s">
        <v>260</v>
      </c>
      <c r="D195" s="330"/>
      <c r="E195" s="331"/>
      <c r="F195" s="332"/>
      <c r="G195" s="332"/>
      <c r="H195" s="332"/>
      <c r="I195" s="333" t="s">
        <v>18</v>
      </c>
      <c r="J195" s="334" t="s">
        <v>15</v>
      </c>
      <c r="K195" s="335" t="s">
        <v>26</v>
      </c>
      <c r="L195" s="414"/>
      <c r="M195" s="414"/>
      <c r="N195" s="381" t="str">
        <f>SUM(N196:N206)</f>
        <v>#REF!</v>
      </c>
      <c r="O195" s="2"/>
      <c r="P195" s="2" t="str">
        <f>MATCH(Q188,($R$188:$R$266,0),"Missing")
</f>
        <v>#ERROR!</v>
      </c>
      <c r="Q195" s="6" t="s">
        <v>69</v>
      </c>
      <c r="R195" s="486" t="str">
        <f>'Audit Check'!Q10</f>
        <v>R-Comb Filler</v>
      </c>
      <c r="S195" s="502" t="s">
        <v>55</v>
      </c>
      <c r="T195" s="488">
        <f t="shared" si="120"/>
        <v>112.78</v>
      </c>
      <c r="U195" s="489">
        <f t="shared" si="134"/>
        <v>4</v>
      </c>
      <c r="V195" s="490" t="str">
        <f t="shared" si="135"/>
        <v>#REF!</v>
      </c>
      <c r="W195" s="491">
        <f>(30/4)*$X$173</f>
        <v>30</v>
      </c>
      <c r="X195" s="489">
        <f t="shared" si="136"/>
        <v>240</v>
      </c>
      <c r="Y195" s="492">
        <f t="shared" si="137"/>
        <v>0.47</v>
      </c>
      <c r="Z195" s="493" t="str">
        <f t="shared" si="138"/>
        <v>#REF!</v>
      </c>
      <c r="AA195" s="494" t="str">
        <f t="shared" si="139"/>
        <v>#REF!</v>
      </c>
      <c r="AB195" s="464"/>
      <c r="AC195" s="486" t="str">
        <f>'Audit Check'!R12</f>
        <v>W-Takeoff</v>
      </c>
      <c r="AD195" s="487" t="s">
        <v>52</v>
      </c>
      <c r="AE195" s="488">
        <f t="shared" si="117"/>
        <v>0</v>
      </c>
      <c r="AF195" s="496"/>
      <c r="AG195" s="495"/>
      <c r="AH195" s="496"/>
      <c r="AI195" s="496"/>
      <c r="AJ195" s="496"/>
      <c r="AK195" s="497"/>
      <c r="AL195" s="498"/>
      <c r="AM195" s="5"/>
      <c r="AN195" s="486" t="str">
        <f>'Audit Check'!S12</f>
        <v>S-TSFixing</v>
      </c>
      <c r="AO195" s="487" t="s">
        <v>52</v>
      </c>
      <c r="AP195" s="488">
        <f t="shared" si="118"/>
        <v>0</v>
      </c>
      <c r="AQ195" s="496"/>
      <c r="AR195" s="495"/>
      <c r="AS195" s="496"/>
      <c r="AT195" s="496"/>
      <c r="AU195" s="496"/>
      <c r="AV195" s="497"/>
      <c r="AW195" s="498"/>
      <c r="AX195" s="5"/>
      <c r="AY195" s="5"/>
      <c r="AZ195" s="5"/>
      <c r="BA195" s="5"/>
      <c r="BB195" s="5"/>
      <c r="BC195" s="5"/>
      <c r="BD195" s="5"/>
      <c r="BE195" s="5"/>
      <c r="BF195" s="5"/>
      <c r="BG195" s="5"/>
      <c r="BH195" s="5"/>
    </row>
    <row r="196" ht="12.75" customHeight="1">
      <c r="A196" s="1"/>
      <c r="B196" s="2"/>
      <c r="C196" s="499" t="s">
        <v>261</v>
      </c>
      <c r="D196" s="366"/>
      <c r="E196" s="367"/>
      <c r="F196" s="368"/>
      <c r="G196" s="368"/>
      <c r="H196" s="368"/>
      <c r="I196" s="437">
        <f>X173</f>
        <v>4</v>
      </c>
      <c r="J196" s="504">
        <v>1.0</v>
      </c>
      <c r="K196" s="505" t="str">
        <f>X175</f>
        <v/>
      </c>
      <c r="L196" s="371" t="str">
        <f>W175</f>
        <v>#REF!</v>
      </c>
      <c r="M196" s="361"/>
      <c r="N196" s="372" t="str">
        <f t="shared" ref="N196:N198" si="140">I196*J196*K196*M196*L196</f>
        <v>#REF!</v>
      </c>
      <c r="O196" s="2"/>
      <c r="P196" s="2" t="str">
        <f>MATCH(Q188,($R$188:$R$266,0),"Missing")
</f>
        <v>#ERROR!</v>
      </c>
      <c r="Q196" s="6" t="s">
        <v>82</v>
      </c>
      <c r="R196" s="486" t="str">
        <f>'Audit Check'!Q11</f>
        <v>R-Comb Filler</v>
      </c>
      <c r="S196" s="487" t="s">
        <v>55</v>
      </c>
      <c r="T196" s="488">
        <f t="shared" si="120"/>
        <v>112.78</v>
      </c>
      <c r="U196" s="489">
        <f t="shared" si="134"/>
        <v>4</v>
      </c>
      <c r="V196" s="490" t="str">
        <f t="shared" si="135"/>
        <v>#REF!</v>
      </c>
      <c r="W196" s="491">
        <f>(20/1)*$X$173</f>
        <v>80</v>
      </c>
      <c r="X196" s="489">
        <f t="shared" si="136"/>
        <v>640</v>
      </c>
      <c r="Y196" s="492">
        <f t="shared" si="137"/>
        <v>0.18</v>
      </c>
      <c r="Z196" s="493" t="str">
        <f t="shared" si="138"/>
        <v>#REF!</v>
      </c>
      <c r="AA196" s="494" t="str">
        <f t="shared" si="139"/>
        <v>#REF!</v>
      </c>
      <c r="AB196" s="464"/>
      <c r="AC196" s="486" t="str">
        <f>'Audit Check'!R13</f>
        <v>W-Takeoff LM</v>
      </c>
      <c r="AD196" s="487" t="s">
        <v>52</v>
      </c>
      <c r="AE196" s="488">
        <f t="shared" si="117"/>
        <v>0</v>
      </c>
      <c r="AF196" s="496"/>
      <c r="AG196" s="495"/>
      <c r="AH196" s="496"/>
      <c r="AI196" s="496"/>
      <c r="AJ196" s="496"/>
      <c r="AK196" s="497"/>
      <c r="AL196" s="498"/>
      <c r="AM196" s="5"/>
      <c r="AN196" s="486" t="str">
        <f>'Audit Check'!S13</f>
        <v>S-TSStitching</v>
      </c>
      <c r="AO196" s="487" t="s">
        <v>52</v>
      </c>
      <c r="AP196" s="488">
        <f t="shared" si="118"/>
        <v>0</v>
      </c>
      <c r="AQ196" s="496"/>
      <c r="AR196" s="495"/>
      <c r="AS196" s="496"/>
      <c r="AT196" s="496"/>
      <c r="AU196" s="496"/>
      <c r="AV196" s="497"/>
      <c r="AW196" s="498"/>
      <c r="AX196" s="5"/>
      <c r="AY196" s="5"/>
      <c r="AZ196" s="5"/>
      <c r="BA196" s="5"/>
      <c r="BB196" s="5"/>
      <c r="BC196" s="5"/>
      <c r="BD196" s="5"/>
      <c r="BE196" s="5"/>
      <c r="BF196" s="5"/>
      <c r="BG196" s="5"/>
      <c r="BH196" s="5"/>
    </row>
    <row r="197" ht="12.75" customHeight="1">
      <c r="A197" s="1"/>
      <c r="B197" s="2"/>
      <c r="C197" s="499" t="s">
        <v>262</v>
      </c>
      <c r="D197" s="366"/>
      <c r="E197" s="367"/>
      <c r="F197" s="368"/>
      <c r="G197" s="368"/>
      <c r="H197" s="368"/>
      <c r="I197" s="437">
        <f>I196</f>
        <v>4</v>
      </c>
      <c r="J197" s="506">
        <v>68.0</v>
      </c>
      <c r="K197" s="370">
        <v>1.0</v>
      </c>
      <c r="L197" s="371" t="str">
        <f>L196</f>
        <v>#REF!</v>
      </c>
      <c r="M197" s="361"/>
      <c r="N197" s="372" t="str">
        <f t="shared" si="140"/>
        <v>#REF!</v>
      </c>
      <c r="O197" s="2"/>
      <c r="P197" s="2" t="str">
        <f>MATCH(Q188,($R$188:$R$266,0),"Missing")
</f>
        <v>#ERROR!</v>
      </c>
      <c r="Q197" s="6" t="s">
        <v>86</v>
      </c>
      <c r="R197" s="486" t="str">
        <f>'Audit Check'!Q12</f>
        <v>R-Dektite</v>
      </c>
      <c r="S197" s="487" t="s">
        <v>52</v>
      </c>
      <c r="T197" s="488">
        <f t="shared" si="120"/>
        <v>0</v>
      </c>
      <c r="U197" s="496"/>
      <c r="V197" s="495"/>
      <c r="W197" s="496"/>
      <c r="X197" s="496"/>
      <c r="Y197" s="496"/>
      <c r="Z197" s="497"/>
      <c r="AA197" s="498"/>
      <c r="AB197" s="464"/>
      <c r="AC197" s="486" t="str">
        <f>'Audit Check'!R14</f>
        <v>W-Takeoff m2</v>
      </c>
      <c r="AD197" s="487" t="s">
        <v>55</v>
      </c>
      <c r="AE197" s="488">
        <f t="shared" si="117"/>
        <v>0</v>
      </c>
      <c r="AF197" s="489">
        <f t="shared" ref="AF197:AF201" si="141">$X$173</f>
        <v>4</v>
      </c>
      <c r="AG197" s="495" t="str">
        <f t="shared" ref="AG197:AG201" si="142">AN$176</f>
        <v/>
      </c>
      <c r="AH197" s="491">
        <f t="shared" ref="AH197:AH201" si="143">(20/1)*$X$173</f>
        <v>80</v>
      </c>
      <c r="AI197" s="489">
        <f t="shared" ref="AI197:AI201" si="144">AH197*AH$183</f>
        <v>640</v>
      </c>
      <c r="AJ197" s="492">
        <f t="shared" ref="AJ197:AJ201" si="145">ROUNDUP(AE197/AI197,2)</f>
        <v>0</v>
      </c>
      <c r="AK197" s="493">
        <f t="shared" ref="AK197:AK201" si="146">AJ197*AG197*AF197*AH$183</f>
        <v>0</v>
      </c>
      <c r="AL197" s="494" t="str">
        <f t="shared" ref="AL197:AL201" si="147">AK197/AE197</f>
        <v>#DIV/0!</v>
      </c>
      <c r="AM197" s="5"/>
      <c r="AN197" s="486" t="str">
        <f>'Audit Check'!S14</f>
        <v>S-TSLapSeal</v>
      </c>
      <c r="AO197" s="487" t="s">
        <v>55</v>
      </c>
      <c r="AP197" s="488">
        <f t="shared" si="118"/>
        <v>0</v>
      </c>
      <c r="AQ197" s="489">
        <f t="shared" ref="AQ197:AQ201" si="148">$X$173</f>
        <v>4</v>
      </c>
      <c r="AR197" s="495" t="str">
        <f t="shared" ref="AR197:AR201" si="149">AY$176</f>
        <v/>
      </c>
      <c r="AS197" s="491">
        <f t="shared" ref="AS197:AS201" si="150">(20/1)*$X$173</f>
        <v>80</v>
      </c>
      <c r="AT197" s="489">
        <f t="shared" ref="AT197:AT201" si="151">AS197*AS$183</f>
        <v>640</v>
      </c>
      <c r="AU197" s="492">
        <f t="shared" ref="AU197:AU201" si="152">ROUNDUP(AP197/AT197,2)</f>
        <v>0</v>
      </c>
      <c r="AV197" s="493">
        <f t="shared" ref="AV197:AV201" si="153">AU197*AR197*AQ197*AS$183</f>
        <v>0</v>
      </c>
      <c r="AW197" s="494" t="str">
        <f t="shared" ref="AW197:AW201" si="154">AV197/AP197</f>
        <v>#DIV/0!</v>
      </c>
      <c r="AX197" s="5"/>
      <c r="AY197" s="5"/>
      <c r="AZ197" s="5"/>
      <c r="BA197" s="5"/>
      <c r="BB197" s="5"/>
      <c r="BC197" s="5"/>
      <c r="BD197" s="5"/>
      <c r="BE197" s="5"/>
      <c r="BF197" s="5"/>
      <c r="BG197" s="5"/>
      <c r="BH197" s="5"/>
    </row>
    <row r="198" ht="12.75" customHeight="1">
      <c r="A198" s="1"/>
      <c r="B198" s="2"/>
      <c r="C198" s="499" t="s">
        <v>263</v>
      </c>
      <c r="D198" s="366"/>
      <c r="E198" s="367"/>
      <c r="F198" s="368"/>
      <c r="G198" s="368"/>
      <c r="H198" s="368"/>
      <c r="I198" s="437">
        <f>X173</f>
        <v>4</v>
      </c>
      <c r="J198" s="436">
        <v>1.0</v>
      </c>
      <c r="K198" s="370">
        <v>25.0</v>
      </c>
      <c r="L198" s="371" t="str">
        <f>L196</f>
        <v>#REF!</v>
      </c>
      <c r="M198" s="361"/>
      <c r="N198" s="372" t="str">
        <f t="shared" si="140"/>
        <v>#REF!</v>
      </c>
      <c r="O198" s="2"/>
      <c r="P198" s="2" t="str">
        <f>MATCH(Q188,($R$188:$R$266,0),"Missing")
</f>
        <v>#ERROR!</v>
      </c>
      <c r="Q198" s="6" t="s">
        <v>92</v>
      </c>
      <c r="R198" s="486" t="str">
        <f>'Audit Check'!Q13</f>
        <v>R-Dektite Fix</v>
      </c>
      <c r="S198" s="487" t="s">
        <v>52</v>
      </c>
      <c r="T198" s="488">
        <f t="shared" si="120"/>
        <v>0</v>
      </c>
      <c r="U198" s="496"/>
      <c r="V198" s="495"/>
      <c r="W198" s="496"/>
      <c r="X198" s="496"/>
      <c r="Y198" s="496"/>
      <c r="Z198" s="497"/>
      <c r="AA198" s="498"/>
      <c r="AB198" s="464"/>
      <c r="AC198" s="486" t="str">
        <f>'Audit Check'!R15</f>
        <v>W-TSPurlinStrip</v>
      </c>
      <c r="AD198" s="487" t="s">
        <v>55</v>
      </c>
      <c r="AE198" s="488">
        <f t="shared" si="117"/>
        <v>0</v>
      </c>
      <c r="AF198" s="489">
        <f t="shared" si="141"/>
        <v>4</v>
      </c>
      <c r="AG198" s="495" t="str">
        <f t="shared" si="142"/>
        <v/>
      </c>
      <c r="AH198" s="491">
        <f t="shared" si="143"/>
        <v>80</v>
      </c>
      <c r="AI198" s="489">
        <f t="shared" si="144"/>
        <v>640</v>
      </c>
      <c r="AJ198" s="492">
        <f t="shared" si="145"/>
        <v>0</v>
      </c>
      <c r="AK198" s="493">
        <f t="shared" si="146"/>
        <v>0</v>
      </c>
      <c r="AL198" s="494" t="str">
        <f t="shared" si="147"/>
        <v>#DIV/0!</v>
      </c>
      <c r="AM198" s="5"/>
      <c r="AN198" s="486" t="str">
        <f>'Audit Check'!S15</f>
        <v>S-FFTop</v>
      </c>
      <c r="AO198" s="487" t="s">
        <v>55</v>
      </c>
      <c r="AP198" s="488">
        <f t="shared" si="118"/>
        <v>0</v>
      </c>
      <c r="AQ198" s="489">
        <f t="shared" si="148"/>
        <v>4</v>
      </c>
      <c r="AR198" s="495" t="str">
        <f t="shared" si="149"/>
        <v/>
      </c>
      <c r="AS198" s="491">
        <f t="shared" si="150"/>
        <v>80</v>
      </c>
      <c r="AT198" s="489">
        <f t="shared" si="151"/>
        <v>640</v>
      </c>
      <c r="AU198" s="492">
        <f t="shared" si="152"/>
        <v>0</v>
      </c>
      <c r="AV198" s="493">
        <f t="shared" si="153"/>
        <v>0</v>
      </c>
      <c r="AW198" s="494" t="str">
        <f t="shared" si="154"/>
        <v>#DIV/0!</v>
      </c>
      <c r="AX198" s="5"/>
      <c r="AY198" s="5"/>
      <c r="AZ198" s="5"/>
      <c r="BA198" s="5"/>
      <c r="BB198" s="5"/>
      <c r="BC198" s="5"/>
      <c r="BD198" s="5"/>
      <c r="BE198" s="5"/>
      <c r="BF198" s="5"/>
      <c r="BG198" s="5"/>
      <c r="BH198" s="5"/>
    </row>
    <row r="199" ht="12.75" customHeight="1">
      <c r="A199" s="1"/>
      <c r="B199" s="2"/>
      <c r="C199" s="376"/>
      <c r="D199" s="348"/>
      <c r="E199" s="3"/>
      <c r="F199" s="2"/>
      <c r="G199" s="2"/>
      <c r="H199" s="2"/>
      <c r="I199" s="6"/>
      <c r="J199" s="6"/>
      <c r="K199" s="5"/>
      <c r="L199" s="3"/>
      <c r="M199" s="3"/>
      <c r="N199" s="351"/>
      <c r="O199" s="2"/>
      <c r="P199" s="2" t="str">
        <f>MATCH(Q188,($R$188:$R$266,0),"Missing")
</f>
        <v>#ERROR!</v>
      </c>
      <c r="Q199" s="6" t="s">
        <v>96</v>
      </c>
      <c r="R199" s="486" t="str">
        <f>'Audit Check'!Q14</f>
        <v>R-Dektite Seal</v>
      </c>
      <c r="S199" s="502" t="s">
        <v>52</v>
      </c>
      <c r="T199" s="488">
        <f t="shared" si="120"/>
        <v>0</v>
      </c>
      <c r="U199" s="489">
        <f t="shared" ref="U199:U203" si="155">$X$173</f>
        <v>4</v>
      </c>
      <c r="V199" s="490" t="str">
        <f t="shared" ref="V199:V203" si="156">AC$176</f>
        <v>#REF!</v>
      </c>
      <c r="W199" s="491">
        <f t="shared" ref="W199:W203" si="157">(20/1)*$X$173</f>
        <v>80</v>
      </c>
      <c r="X199" s="489">
        <f t="shared" ref="X199:X203" si="158">W199*W$183</f>
        <v>640</v>
      </c>
      <c r="Y199" s="492">
        <f t="shared" ref="Y199:Y203" si="159">ROUNDUP(T199/X199,2)</f>
        <v>0</v>
      </c>
      <c r="Z199" s="493" t="str">
        <f t="shared" ref="Z199:Z203" si="160">Y199*V199*U199*W$183</f>
        <v>#REF!</v>
      </c>
      <c r="AA199" s="494" t="str">
        <f t="shared" ref="AA199:AA203" si="161">Z199/T199</f>
        <v>#REF!</v>
      </c>
      <c r="AB199" s="464"/>
      <c r="AC199" s="486" t="str">
        <f>'Audit Check'!R16</f>
        <v>W-TSFixing</v>
      </c>
      <c r="AD199" s="487" t="s">
        <v>55</v>
      </c>
      <c r="AE199" s="488">
        <f t="shared" si="117"/>
        <v>0</v>
      </c>
      <c r="AF199" s="489">
        <f t="shared" si="141"/>
        <v>4</v>
      </c>
      <c r="AG199" s="495" t="str">
        <f t="shared" si="142"/>
        <v/>
      </c>
      <c r="AH199" s="491">
        <f t="shared" si="143"/>
        <v>80</v>
      </c>
      <c r="AI199" s="489">
        <f t="shared" si="144"/>
        <v>640</v>
      </c>
      <c r="AJ199" s="492">
        <f t="shared" si="145"/>
        <v>0</v>
      </c>
      <c r="AK199" s="493">
        <f t="shared" si="146"/>
        <v>0</v>
      </c>
      <c r="AL199" s="494" t="str">
        <f t="shared" si="147"/>
        <v>#DIV/0!</v>
      </c>
      <c r="AM199" s="5"/>
      <c r="AN199" s="486" t="str">
        <f>'Audit Check'!S16</f>
        <v>S-FFBottom</v>
      </c>
      <c r="AO199" s="487" t="s">
        <v>55</v>
      </c>
      <c r="AP199" s="488">
        <f t="shared" si="118"/>
        <v>0</v>
      </c>
      <c r="AQ199" s="489">
        <f t="shared" si="148"/>
        <v>4</v>
      </c>
      <c r="AR199" s="495" t="str">
        <f t="shared" si="149"/>
        <v/>
      </c>
      <c r="AS199" s="491">
        <f t="shared" si="150"/>
        <v>80</v>
      </c>
      <c r="AT199" s="489">
        <f t="shared" si="151"/>
        <v>640</v>
      </c>
      <c r="AU199" s="492">
        <f t="shared" si="152"/>
        <v>0</v>
      </c>
      <c r="AV199" s="493">
        <f t="shared" si="153"/>
        <v>0</v>
      </c>
      <c r="AW199" s="494" t="str">
        <f t="shared" si="154"/>
        <v>#DIV/0!</v>
      </c>
      <c r="AX199" s="5"/>
      <c r="AY199" s="5"/>
      <c r="AZ199" s="5"/>
      <c r="BA199" s="5"/>
      <c r="BB199" s="5"/>
      <c r="BC199" s="5"/>
      <c r="BD199" s="5"/>
      <c r="BE199" s="5"/>
      <c r="BF199" s="5"/>
      <c r="BG199" s="5"/>
      <c r="BH199" s="5"/>
    </row>
    <row r="200" ht="12.75" customHeight="1">
      <c r="A200" s="1"/>
      <c r="B200" s="2"/>
      <c r="C200" s="499" t="s">
        <v>264</v>
      </c>
      <c r="D200" s="366"/>
      <c r="E200" s="367"/>
      <c r="F200" s="368"/>
      <c r="G200" s="368"/>
      <c r="H200" s="368"/>
      <c r="I200" s="437">
        <f>X173</f>
        <v>4</v>
      </c>
      <c r="J200" s="500" t="str">
        <f>W175</f>
        <v>#REF!</v>
      </c>
      <c r="K200" s="370">
        <v>60.0</v>
      </c>
      <c r="L200" s="367"/>
      <c r="M200" s="401">
        <v>1.0</v>
      </c>
      <c r="N200" s="372" t="str">
        <f t="shared" ref="N200:N203" si="163">I200*J200*K200*M200</f>
        <v>#REF!</v>
      </c>
      <c r="O200" s="2"/>
      <c r="P200" s="2" t="str">
        <f>MATCH(Q188,($R$188:$R$266,0),"Missing")
</f>
        <v>#ERROR!</v>
      </c>
      <c r="Q200" s="2" t="s">
        <v>99</v>
      </c>
      <c r="R200" s="486" t="str">
        <f>'Audit Check'!Q15</f>
        <v>R-DP</v>
      </c>
      <c r="S200" s="502" t="s">
        <v>52</v>
      </c>
      <c r="T200" s="488">
        <f t="shared" si="120"/>
        <v>24</v>
      </c>
      <c r="U200" s="489">
        <f t="shared" si="155"/>
        <v>4</v>
      </c>
      <c r="V200" s="490" t="str">
        <f t="shared" si="156"/>
        <v>#REF!</v>
      </c>
      <c r="W200" s="491">
        <f t="shared" si="157"/>
        <v>80</v>
      </c>
      <c r="X200" s="489">
        <f t="shared" si="158"/>
        <v>640</v>
      </c>
      <c r="Y200" s="492">
        <f t="shared" si="159"/>
        <v>0.04</v>
      </c>
      <c r="Z200" s="493" t="str">
        <f t="shared" si="160"/>
        <v>#REF!</v>
      </c>
      <c r="AA200" s="494" t="str">
        <f t="shared" si="161"/>
        <v>#REF!</v>
      </c>
      <c r="AB200" s="464"/>
      <c r="AC200" s="486" t="str">
        <f>'Audit Check'!R17</f>
        <v>W-TSStitching</v>
      </c>
      <c r="AD200" s="487" t="s">
        <v>55</v>
      </c>
      <c r="AE200" s="488">
        <f t="shared" si="117"/>
        <v>0</v>
      </c>
      <c r="AF200" s="489">
        <f t="shared" si="141"/>
        <v>4</v>
      </c>
      <c r="AG200" s="495" t="str">
        <f t="shared" si="142"/>
        <v/>
      </c>
      <c r="AH200" s="491">
        <f t="shared" si="143"/>
        <v>80</v>
      </c>
      <c r="AI200" s="489">
        <f t="shared" si="144"/>
        <v>640</v>
      </c>
      <c r="AJ200" s="492">
        <f t="shared" si="145"/>
        <v>0</v>
      </c>
      <c r="AK200" s="493">
        <f t="shared" si="146"/>
        <v>0</v>
      </c>
      <c r="AL200" s="494" t="str">
        <f t="shared" si="147"/>
        <v>#DIV/0!</v>
      </c>
      <c r="AM200" s="5"/>
      <c r="AN200" s="486" t="str">
        <f>'Audit Check'!S17</f>
        <v>S-FFSide</v>
      </c>
      <c r="AO200" s="487" t="s">
        <v>55</v>
      </c>
      <c r="AP200" s="488">
        <f t="shared" si="118"/>
        <v>0</v>
      </c>
      <c r="AQ200" s="489">
        <f t="shared" si="148"/>
        <v>4</v>
      </c>
      <c r="AR200" s="495" t="str">
        <f t="shared" si="149"/>
        <v/>
      </c>
      <c r="AS200" s="491">
        <f t="shared" si="150"/>
        <v>80</v>
      </c>
      <c r="AT200" s="489">
        <f t="shared" si="151"/>
        <v>640</v>
      </c>
      <c r="AU200" s="492">
        <f t="shared" si="152"/>
        <v>0</v>
      </c>
      <c r="AV200" s="493">
        <f t="shared" si="153"/>
        <v>0</v>
      </c>
      <c r="AW200" s="494" t="str">
        <f t="shared" si="154"/>
        <v>#DIV/0!</v>
      </c>
      <c r="AX200" s="5"/>
      <c r="AY200" s="5"/>
      <c r="AZ200" s="5"/>
      <c r="BA200" s="5"/>
      <c r="BB200" s="5"/>
      <c r="BC200" s="5"/>
      <c r="BD200" s="5"/>
      <c r="BE200" s="5"/>
      <c r="BF200" s="5"/>
      <c r="BG200" s="5"/>
      <c r="BH200" s="5"/>
    </row>
    <row r="201" ht="12.75" customHeight="1">
      <c r="A201" s="1"/>
      <c r="B201" s="2"/>
      <c r="C201" s="499" t="s">
        <v>265</v>
      </c>
      <c r="D201" s="366"/>
      <c r="E201" s="367"/>
      <c r="F201" s="368"/>
      <c r="G201" s="368"/>
      <c r="H201" s="368"/>
      <c r="I201" s="437">
        <f t="shared" ref="I201:J201" si="162">I200</f>
        <v>4</v>
      </c>
      <c r="J201" s="500" t="str">
        <f t="shared" si="162"/>
        <v>#REF!</v>
      </c>
      <c r="K201" s="370">
        <v>60.0</v>
      </c>
      <c r="L201" s="367"/>
      <c r="M201" s="401">
        <v>1.0</v>
      </c>
      <c r="N201" s="372" t="str">
        <f t="shared" si="163"/>
        <v>#REF!</v>
      </c>
      <c r="O201" s="2"/>
      <c r="P201" s="2" t="str">
        <f>MATCH(Q188,($R$188:$R$266,0),"Missing")
</f>
        <v>#ERROR!</v>
      </c>
      <c r="Q201" s="2" t="s">
        <v>101</v>
      </c>
      <c r="R201" s="486" t="str">
        <f>'Audit Check'!Q16</f>
        <v>R-DPC</v>
      </c>
      <c r="S201" s="487" t="s">
        <v>55</v>
      </c>
      <c r="T201" s="488">
        <f t="shared" si="120"/>
        <v>0</v>
      </c>
      <c r="U201" s="489">
        <f t="shared" si="155"/>
        <v>4</v>
      </c>
      <c r="V201" s="490" t="str">
        <f t="shared" si="156"/>
        <v>#REF!</v>
      </c>
      <c r="W201" s="491">
        <f t="shared" si="157"/>
        <v>80</v>
      </c>
      <c r="X201" s="489">
        <f t="shared" si="158"/>
        <v>640</v>
      </c>
      <c r="Y201" s="492">
        <f t="shared" si="159"/>
        <v>0</v>
      </c>
      <c r="Z201" s="493" t="str">
        <f t="shared" si="160"/>
        <v>#REF!</v>
      </c>
      <c r="AA201" s="494" t="str">
        <f t="shared" si="161"/>
        <v>#REF!</v>
      </c>
      <c r="AB201" s="464"/>
      <c r="AC201" s="486" t="str">
        <f>'Audit Check'!R18</f>
        <v>W-TSLapSeal</v>
      </c>
      <c r="AD201" s="487" t="s">
        <v>55</v>
      </c>
      <c r="AE201" s="488">
        <f t="shared" si="117"/>
        <v>0</v>
      </c>
      <c r="AF201" s="489">
        <f t="shared" si="141"/>
        <v>4</v>
      </c>
      <c r="AG201" s="495" t="str">
        <f t="shared" si="142"/>
        <v/>
      </c>
      <c r="AH201" s="491">
        <f t="shared" si="143"/>
        <v>80</v>
      </c>
      <c r="AI201" s="489">
        <f t="shared" si="144"/>
        <v>640</v>
      </c>
      <c r="AJ201" s="492">
        <f t="shared" si="145"/>
        <v>0</v>
      </c>
      <c r="AK201" s="493">
        <f t="shared" si="146"/>
        <v>0</v>
      </c>
      <c r="AL201" s="494" t="str">
        <f t="shared" si="147"/>
        <v>#DIV/0!</v>
      </c>
      <c r="AM201" s="5"/>
      <c r="AN201" s="486" t="str">
        <f>'Audit Check'!S18</f>
        <v>S-Comb Filler</v>
      </c>
      <c r="AO201" s="487" t="s">
        <v>55</v>
      </c>
      <c r="AP201" s="488">
        <f t="shared" si="118"/>
        <v>0</v>
      </c>
      <c r="AQ201" s="489">
        <f t="shared" si="148"/>
        <v>4</v>
      </c>
      <c r="AR201" s="495" t="str">
        <f t="shared" si="149"/>
        <v/>
      </c>
      <c r="AS201" s="491">
        <f t="shared" si="150"/>
        <v>80</v>
      </c>
      <c r="AT201" s="489">
        <f t="shared" si="151"/>
        <v>640</v>
      </c>
      <c r="AU201" s="492">
        <f t="shared" si="152"/>
        <v>0</v>
      </c>
      <c r="AV201" s="493">
        <f t="shared" si="153"/>
        <v>0</v>
      </c>
      <c r="AW201" s="494" t="str">
        <f t="shared" si="154"/>
        <v>#DIV/0!</v>
      </c>
      <c r="AX201" s="5"/>
      <c r="AY201" s="5"/>
      <c r="AZ201" s="5"/>
      <c r="BA201" s="5"/>
      <c r="BB201" s="5"/>
      <c r="BC201" s="5"/>
      <c r="BD201" s="5"/>
      <c r="BE201" s="5"/>
      <c r="BF201" s="5"/>
      <c r="BG201" s="5"/>
      <c r="BH201" s="5"/>
    </row>
    <row r="202" ht="12.75" customHeight="1">
      <c r="A202" s="1"/>
      <c r="B202" s="2"/>
      <c r="C202" s="499" t="s">
        <v>266</v>
      </c>
      <c r="D202" s="366"/>
      <c r="E202" s="367"/>
      <c r="F202" s="368"/>
      <c r="G202" s="368"/>
      <c r="H202" s="368"/>
      <c r="I202" s="437">
        <f>I200</f>
        <v>4</v>
      </c>
      <c r="J202" s="507">
        <v>1.0</v>
      </c>
      <c r="K202" s="370">
        <v>0.0</v>
      </c>
      <c r="L202" s="367"/>
      <c r="M202" s="361"/>
      <c r="N202" s="372">
        <f t="shared" si="163"/>
        <v>0</v>
      </c>
      <c r="O202" s="2"/>
      <c r="P202" s="2" t="str">
        <f>MATCH(Q188,($R$188:$R$266,0),"Missing")
</f>
        <v>#ERROR!</v>
      </c>
      <c r="Q202" s="2" t="s">
        <v>103</v>
      </c>
      <c r="R202" s="486" t="str">
        <f>'Audit Check'!Q17</f>
        <v>R-DPBracket</v>
      </c>
      <c r="S202" s="502" t="s">
        <v>52</v>
      </c>
      <c r="T202" s="488">
        <f t="shared" si="120"/>
        <v>10</v>
      </c>
      <c r="U202" s="489">
        <f t="shared" si="155"/>
        <v>4</v>
      </c>
      <c r="V202" s="490" t="str">
        <f t="shared" si="156"/>
        <v>#REF!</v>
      </c>
      <c r="W202" s="491">
        <f t="shared" si="157"/>
        <v>80</v>
      </c>
      <c r="X202" s="489">
        <f t="shared" si="158"/>
        <v>640</v>
      </c>
      <c r="Y202" s="492">
        <f t="shared" si="159"/>
        <v>0.02</v>
      </c>
      <c r="Z202" s="493" t="str">
        <f t="shared" si="160"/>
        <v>#REF!</v>
      </c>
      <c r="AA202" s="494" t="str">
        <f t="shared" si="161"/>
        <v>#REF!</v>
      </c>
      <c r="AB202" s="464"/>
      <c r="AC202" s="486" t="str">
        <f>'Audit Check'!R19</f>
        <v>W-FFTop</v>
      </c>
      <c r="AD202" s="487" t="s">
        <v>52</v>
      </c>
      <c r="AE202" s="488">
        <f t="shared" si="117"/>
        <v>0</v>
      </c>
      <c r="AF202" s="496"/>
      <c r="AG202" s="495"/>
      <c r="AH202" s="496"/>
      <c r="AI202" s="496"/>
      <c r="AJ202" s="496"/>
      <c r="AK202" s="497"/>
      <c r="AL202" s="498"/>
      <c r="AM202" s="5"/>
      <c r="AN202" s="486" t="str">
        <f>'Audit Check'!S19</f>
        <v>S-Accessories</v>
      </c>
      <c r="AO202" s="487" t="s">
        <v>52</v>
      </c>
      <c r="AP202" s="488">
        <f t="shared" si="118"/>
        <v>0</v>
      </c>
      <c r="AQ202" s="496"/>
      <c r="AR202" s="495"/>
      <c r="AS202" s="496"/>
      <c r="AT202" s="496"/>
      <c r="AU202" s="496"/>
      <c r="AV202" s="497"/>
      <c r="AW202" s="498"/>
      <c r="AX202" s="5"/>
      <c r="AY202" s="5"/>
      <c r="AZ202" s="5"/>
      <c r="BA202" s="5"/>
      <c r="BB202" s="5"/>
      <c r="BC202" s="5"/>
      <c r="BD202" s="5"/>
      <c r="BE202" s="5"/>
      <c r="BF202" s="5"/>
      <c r="BG202" s="5"/>
      <c r="BH202" s="5"/>
    </row>
    <row r="203" ht="12.75" customHeight="1">
      <c r="A203" s="1"/>
      <c r="B203" s="2"/>
      <c r="C203" s="499" t="s">
        <v>267</v>
      </c>
      <c r="D203" s="366"/>
      <c r="E203" s="367"/>
      <c r="F203" s="368"/>
      <c r="G203" s="368"/>
      <c r="H203" s="368"/>
      <c r="I203" s="437">
        <f>I200</f>
        <v>4</v>
      </c>
      <c r="J203" s="504">
        <v>6.0</v>
      </c>
      <c r="K203" s="437" t="str">
        <f>$AC$176</f>
        <v>#REF!</v>
      </c>
      <c r="L203" s="367"/>
      <c r="M203" s="401">
        <v>2.0</v>
      </c>
      <c r="N203" s="372" t="str">
        <f t="shared" si="163"/>
        <v>#REF!</v>
      </c>
      <c r="O203" s="2"/>
      <c r="P203" s="2" t="str">
        <f>MATCH(Q188,($R$188:$R$266,0),"Missing")
</f>
        <v>#ERROR!</v>
      </c>
      <c r="Q203" s="2" t="s">
        <v>105</v>
      </c>
      <c r="R203" s="486" t="str">
        <f>'Audit Check'!Q18</f>
        <v>R-DPBends</v>
      </c>
      <c r="S203" s="487" t="s">
        <v>55</v>
      </c>
      <c r="T203" s="488">
        <f t="shared" si="120"/>
        <v>0</v>
      </c>
      <c r="U203" s="489">
        <f t="shared" si="155"/>
        <v>4</v>
      </c>
      <c r="V203" s="490" t="str">
        <f t="shared" si="156"/>
        <v>#REF!</v>
      </c>
      <c r="W203" s="491">
        <f t="shared" si="157"/>
        <v>80</v>
      </c>
      <c r="X203" s="489">
        <f t="shared" si="158"/>
        <v>640</v>
      </c>
      <c r="Y203" s="492">
        <f t="shared" si="159"/>
        <v>0</v>
      </c>
      <c r="Z203" s="493" t="str">
        <f t="shared" si="160"/>
        <v>#REF!</v>
      </c>
      <c r="AA203" s="494" t="str">
        <f t="shared" si="161"/>
        <v>#REF!</v>
      </c>
      <c r="AB203" s="464"/>
      <c r="AC203" s="486" t="str">
        <f>'Audit Check'!R20</f>
        <v>W-FFBottom</v>
      </c>
      <c r="AD203" s="487" t="s">
        <v>55</v>
      </c>
      <c r="AE203" s="488">
        <f t="shared" si="117"/>
        <v>0</v>
      </c>
      <c r="AF203" s="489">
        <f t="shared" ref="AF203:AF205" si="164">$X$173</f>
        <v>4</v>
      </c>
      <c r="AG203" s="495" t="str">
        <f t="shared" ref="AG203:AG205" si="165">AN$176</f>
        <v/>
      </c>
      <c r="AH203" s="491">
        <f t="shared" ref="AH203:AH204" si="166">(20/2)*$X$173</f>
        <v>40</v>
      </c>
      <c r="AI203" s="489">
        <f t="shared" ref="AI203:AI205" si="167">AH203*AH$183</f>
        <v>320</v>
      </c>
      <c r="AJ203" s="492">
        <f t="shared" ref="AJ203:AJ205" si="168">ROUNDUP(AE203/AI203,2)</f>
        <v>0</v>
      </c>
      <c r="AK203" s="493">
        <f t="shared" ref="AK203:AK205" si="169">AJ203*AG203*AF203*AH$183</f>
        <v>0</v>
      </c>
      <c r="AL203" s="494" t="str">
        <f t="shared" ref="AL203:AL205" si="170">AK203/AE203</f>
        <v>#DIV/0!</v>
      </c>
      <c r="AM203" s="5"/>
      <c r="AN203" s="486" t="str">
        <f>'Audit Check'!S20</f>
        <v>S-Tophat</v>
      </c>
      <c r="AO203" s="487" t="s">
        <v>55</v>
      </c>
      <c r="AP203" s="488">
        <f t="shared" si="118"/>
        <v>0</v>
      </c>
      <c r="AQ203" s="489">
        <f t="shared" ref="AQ203:AQ205" si="171">$X$173</f>
        <v>4</v>
      </c>
      <c r="AR203" s="495" t="str">
        <f t="shared" ref="AR203:AR205" si="172">AY$176</f>
        <v/>
      </c>
      <c r="AS203" s="491">
        <f t="shared" ref="AS203:AS204" si="173">(10/2)*$X$173</f>
        <v>20</v>
      </c>
      <c r="AT203" s="489">
        <f t="shared" ref="AT203:AT205" si="174">AS203*AS$183</f>
        <v>160</v>
      </c>
      <c r="AU203" s="492">
        <f t="shared" ref="AU203:AU205" si="175">ROUNDUP(AP203/AT203,2)</f>
        <v>0</v>
      </c>
      <c r="AV203" s="493">
        <f t="shared" ref="AV203:AV205" si="176">AU203*AR203*AQ203*AS$183</f>
        <v>0</v>
      </c>
      <c r="AW203" s="494" t="str">
        <f t="shared" ref="AW203:AW205" si="177">AV203/AP203</f>
        <v>#DIV/0!</v>
      </c>
      <c r="AX203" s="5"/>
      <c r="AY203" s="5"/>
      <c r="AZ203" s="5"/>
      <c r="BA203" s="5"/>
      <c r="BB203" s="5"/>
      <c r="BC203" s="5"/>
      <c r="BD203" s="5"/>
      <c r="BE203" s="5"/>
      <c r="BF203" s="5"/>
      <c r="BG203" s="5"/>
      <c r="BH203" s="5"/>
    </row>
    <row r="204" ht="12.75" customHeight="1">
      <c r="A204" s="1"/>
      <c r="B204" s="2"/>
      <c r="C204" s="499" t="s">
        <v>268</v>
      </c>
      <c r="D204" s="366"/>
      <c r="E204" s="367"/>
      <c r="F204" s="368"/>
      <c r="G204" s="368"/>
      <c r="H204" s="368"/>
      <c r="I204" s="437">
        <f t="shared" ref="I204:I205" si="178">I203</f>
        <v>4</v>
      </c>
      <c r="J204" s="504">
        <v>0.5</v>
      </c>
      <c r="K204" s="437" t="str">
        <f>K203</f>
        <v>#REF!</v>
      </c>
      <c r="L204" s="371" t="str">
        <f>L196</f>
        <v>#REF!</v>
      </c>
      <c r="M204" s="361"/>
      <c r="N204" s="372" t="str">
        <f>I204*J204*K204*M204*L204</f>
        <v>#REF!</v>
      </c>
      <c r="O204" s="2"/>
      <c r="P204" s="2" t="str">
        <f>MATCH(Q188,($R$188:$R$266,0),"Missing")
</f>
        <v>#ERROR!</v>
      </c>
      <c r="Q204" s="2" t="s">
        <v>107</v>
      </c>
      <c r="R204" s="486" t="str">
        <f>'Audit Check'!Q19</f>
        <v>R-EavesGut</v>
      </c>
      <c r="S204" s="502" t="s">
        <v>55</v>
      </c>
      <c r="T204" s="488">
        <f t="shared" si="120"/>
        <v>112.78</v>
      </c>
      <c r="U204" s="496"/>
      <c r="V204" s="495"/>
      <c r="W204" s="496"/>
      <c r="X204" s="496"/>
      <c r="Y204" s="496"/>
      <c r="Z204" s="497"/>
      <c r="AA204" s="498"/>
      <c r="AB204" s="464"/>
      <c r="AC204" s="486" t="str">
        <f>'Audit Check'!R21</f>
        <v>W-FFSide</v>
      </c>
      <c r="AD204" s="487" t="s">
        <v>55</v>
      </c>
      <c r="AE204" s="488">
        <f t="shared" si="117"/>
        <v>0</v>
      </c>
      <c r="AF204" s="489">
        <f t="shared" si="164"/>
        <v>4</v>
      </c>
      <c r="AG204" s="495" t="str">
        <f t="shared" si="165"/>
        <v/>
      </c>
      <c r="AH204" s="491">
        <f t="shared" si="166"/>
        <v>40</v>
      </c>
      <c r="AI204" s="489">
        <f t="shared" si="167"/>
        <v>320</v>
      </c>
      <c r="AJ204" s="492">
        <f t="shared" si="168"/>
        <v>0</v>
      </c>
      <c r="AK204" s="493">
        <f t="shared" si="169"/>
        <v>0</v>
      </c>
      <c r="AL204" s="494" t="str">
        <f t="shared" si="170"/>
        <v>#DIV/0!</v>
      </c>
      <c r="AM204" s="5"/>
      <c r="AN204" s="486" t="str">
        <f>'Audit Check'!S21</f>
        <v>S-Batten</v>
      </c>
      <c r="AO204" s="487" t="s">
        <v>55</v>
      </c>
      <c r="AP204" s="488">
        <f t="shared" si="118"/>
        <v>0</v>
      </c>
      <c r="AQ204" s="489">
        <f t="shared" si="171"/>
        <v>4</v>
      </c>
      <c r="AR204" s="495" t="str">
        <f t="shared" si="172"/>
        <v/>
      </c>
      <c r="AS204" s="491">
        <f t="shared" si="173"/>
        <v>20</v>
      </c>
      <c r="AT204" s="489">
        <f t="shared" si="174"/>
        <v>160</v>
      </c>
      <c r="AU204" s="492">
        <f t="shared" si="175"/>
        <v>0</v>
      </c>
      <c r="AV204" s="493">
        <f t="shared" si="176"/>
        <v>0</v>
      </c>
      <c r="AW204" s="494" t="str">
        <f t="shared" si="177"/>
        <v>#DIV/0!</v>
      </c>
      <c r="AX204" s="5"/>
      <c r="AY204" s="5"/>
      <c r="AZ204" s="5"/>
      <c r="BA204" s="5"/>
      <c r="BB204" s="5"/>
      <c r="BC204" s="5"/>
      <c r="BD204" s="5"/>
      <c r="BE204" s="5"/>
      <c r="BF204" s="5"/>
      <c r="BG204" s="5"/>
      <c r="BH204" s="5"/>
    </row>
    <row r="205" ht="12.75" customHeight="1">
      <c r="A205" s="1"/>
      <c r="B205" s="2"/>
      <c r="C205" s="499" t="s">
        <v>269</v>
      </c>
      <c r="D205" s="366"/>
      <c r="E205" s="367"/>
      <c r="F205" s="368"/>
      <c r="G205" s="368"/>
      <c r="H205" s="368"/>
      <c r="I205" s="437">
        <f t="shared" si="178"/>
        <v>4</v>
      </c>
      <c r="J205" s="506">
        <v>500.0</v>
      </c>
      <c r="K205" s="370">
        <v>0.33</v>
      </c>
      <c r="L205" s="367"/>
      <c r="M205" s="401">
        <v>2.0</v>
      </c>
      <c r="N205" s="372">
        <f>I205*J205*K205*M205</f>
        <v>1320</v>
      </c>
      <c r="O205" s="2"/>
      <c r="P205" s="2" t="str">
        <f>MATCH(Q188,($R$188:$R$266,0),"Missing")
</f>
        <v>#ERROR!</v>
      </c>
      <c r="Q205" s="2" t="s">
        <v>111</v>
      </c>
      <c r="R205" s="486" t="str">
        <f>'Audit Check'!Q20</f>
        <v>R-EGBracket</v>
      </c>
      <c r="S205" s="487" t="s">
        <v>55</v>
      </c>
      <c r="T205" s="488">
        <f t="shared" si="120"/>
        <v>127</v>
      </c>
      <c r="U205" s="489">
        <f t="shared" ref="U205:U207" si="179">$X$173</f>
        <v>4</v>
      </c>
      <c r="V205" s="490" t="str">
        <f t="shared" ref="V205:V207" si="180">AC$176</f>
        <v>#REF!</v>
      </c>
      <c r="W205" s="491">
        <f t="shared" ref="W205:W206" si="181">(20/2)*$X$173</f>
        <v>40</v>
      </c>
      <c r="X205" s="489">
        <f t="shared" ref="X205:X207" si="182">W205*W$183</f>
        <v>320</v>
      </c>
      <c r="Y205" s="492">
        <f t="shared" ref="Y205:Y207" si="183">ROUNDUP(T205/X205,2)</f>
        <v>0.4</v>
      </c>
      <c r="Z205" s="493" t="str">
        <f t="shared" ref="Z205:Z207" si="184">Y205*V205*U205*W$183</f>
        <v>#REF!</v>
      </c>
      <c r="AA205" s="494" t="str">
        <f t="shared" ref="AA205:AA207" si="185">Z205/T205</f>
        <v>#REF!</v>
      </c>
      <c r="AB205" s="464"/>
      <c r="AC205" s="486" t="str">
        <f>'Audit Check'!R22</f>
        <v>W-Comb Filler</v>
      </c>
      <c r="AD205" s="487" t="s">
        <v>55</v>
      </c>
      <c r="AE205" s="488">
        <f t="shared" si="117"/>
        <v>103.47</v>
      </c>
      <c r="AF205" s="489">
        <f t="shared" si="164"/>
        <v>4</v>
      </c>
      <c r="AG205" s="495" t="str">
        <f t="shared" si="165"/>
        <v/>
      </c>
      <c r="AH205" s="491">
        <f>(6/2)*$X$173</f>
        <v>12</v>
      </c>
      <c r="AI205" s="489">
        <f t="shared" si="167"/>
        <v>96</v>
      </c>
      <c r="AJ205" s="492">
        <f t="shared" si="168"/>
        <v>1.08</v>
      </c>
      <c r="AK205" s="493">
        <f t="shared" si="169"/>
        <v>0</v>
      </c>
      <c r="AL205" s="494">
        <f t="shared" si="170"/>
        <v>0</v>
      </c>
      <c r="AM205" s="5"/>
      <c r="AN205" s="486" t="str">
        <f>'Audit Check'!S22</f>
        <v>S-Trimmer/Packer</v>
      </c>
      <c r="AO205" s="487" t="s">
        <v>55</v>
      </c>
      <c r="AP205" s="488">
        <f t="shared" si="118"/>
        <v>0</v>
      </c>
      <c r="AQ205" s="489">
        <f t="shared" si="171"/>
        <v>4</v>
      </c>
      <c r="AR205" s="495" t="str">
        <f t="shared" si="172"/>
        <v/>
      </c>
      <c r="AS205" s="491">
        <f>(3/2)*$X$173</f>
        <v>6</v>
      </c>
      <c r="AT205" s="489">
        <f t="shared" si="174"/>
        <v>48</v>
      </c>
      <c r="AU205" s="492">
        <f t="shared" si="175"/>
        <v>0</v>
      </c>
      <c r="AV205" s="493">
        <f t="shared" si="176"/>
        <v>0</v>
      </c>
      <c r="AW205" s="494" t="str">
        <f t="shared" si="177"/>
        <v>#DIV/0!</v>
      </c>
      <c r="AX205" s="5"/>
      <c r="AY205" s="5"/>
      <c r="AZ205" s="5"/>
      <c r="BA205" s="5"/>
      <c r="BB205" s="5"/>
      <c r="BC205" s="5"/>
      <c r="BD205" s="5"/>
      <c r="BE205" s="5"/>
      <c r="BF205" s="5"/>
      <c r="BG205" s="5"/>
      <c r="BH205" s="5"/>
    </row>
    <row r="206" ht="12.75" customHeight="1">
      <c r="A206" s="1"/>
      <c r="B206" s="2"/>
      <c r="C206" s="376"/>
      <c r="D206" s="348"/>
      <c r="E206" s="3"/>
      <c r="F206" s="2"/>
      <c r="G206" s="2"/>
      <c r="H206" s="2"/>
      <c r="I206" s="2"/>
      <c r="J206" s="2"/>
      <c r="K206" s="328"/>
      <c r="L206" s="3"/>
      <c r="M206" s="3"/>
      <c r="N206" s="351"/>
      <c r="O206" s="2"/>
      <c r="P206" s="2" t="str">
        <f>MATCH(Q188,($R$188:$R$266,0),"Missing")
</f>
        <v>#ERROR!</v>
      </c>
      <c r="Q206" s="2" t="s">
        <v>120</v>
      </c>
      <c r="R206" s="486" t="str">
        <f>'Audit Check'!Q21</f>
        <v>R-EGBracketFixing</v>
      </c>
      <c r="S206" s="487" t="s">
        <v>55</v>
      </c>
      <c r="T206" s="488">
        <f t="shared" si="120"/>
        <v>382</v>
      </c>
      <c r="U206" s="489">
        <f t="shared" si="179"/>
        <v>4</v>
      </c>
      <c r="V206" s="490" t="str">
        <f t="shared" si="180"/>
        <v>#REF!</v>
      </c>
      <c r="W206" s="491">
        <f t="shared" si="181"/>
        <v>40</v>
      </c>
      <c r="X206" s="489">
        <f t="shared" si="182"/>
        <v>320</v>
      </c>
      <c r="Y206" s="492">
        <f t="shared" si="183"/>
        <v>1.2</v>
      </c>
      <c r="Z206" s="493" t="str">
        <f t="shared" si="184"/>
        <v>#REF!</v>
      </c>
      <c r="AA206" s="494" t="str">
        <f t="shared" si="185"/>
        <v>#REF!</v>
      </c>
      <c r="AB206" s="508"/>
      <c r="AC206" s="486" t="str">
        <f>'Audit Check'!R23</f>
        <v>W-Accessories</v>
      </c>
      <c r="AD206" s="487" t="s">
        <v>52</v>
      </c>
      <c r="AE206" s="488">
        <f t="shared" si="117"/>
        <v>0</v>
      </c>
      <c r="AF206" s="496"/>
      <c r="AG206" s="495"/>
      <c r="AH206" s="496"/>
      <c r="AI206" s="496"/>
      <c r="AJ206" s="496"/>
      <c r="AK206" s="497"/>
      <c r="AL206" s="498"/>
      <c r="AM206" s="5"/>
      <c r="AN206" s="486" t="str">
        <f>'Audit Check'!S23</f>
        <v>S-Silicone</v>
      </c>
      <c r="AO206" s="487" t="s">
        <v>52</v>
      </c>
      <c r="AP206" s="488">
        <f t="shared" si="118"/>
        <v>0</v>
      </c>
      <c r="AQ206" s="496"/>
      <c r="AR206" s="495"/>
      <c r="AS206" s="496"/>
      <c r="AT206" s="496"/>
      <c r="AU206" s="496"/>
      <c r="AV206" s="497"/>
      <c r="AW206" s="498"/>
      <c r="AX206" s="5"/>
      <c r="AY206" s="5"/>
      <c r="AZ206" s="5"/>
      <c r="BA206" s="5"/>
      <c r="BB206" s="5"/>
      <c r="BC206" s="5"/>
      <c r="BD206" s="5"/>
      <c r="BE206" s="5"/>
      <c r="BF206" s="5"/>
      <c r="BG206" s="5"/>
      <c r="BH206" s="5"/>
    </row>
    <row r="207" ht="12.75" customHeight="1">
      <c r="A207" s="1"/>
      <c r="B207" s="12" t="s">
        <v>176</v>
      </c>
      <c r="C207" s="329" t="s">
        <v>270</v>
      </c>
      <c r="D207" s="330"/>
      <c r="E207" s="331"/>
      <c r="F207" s="332"/>
      <c r="G207" s="332"/>
      <c r="H207" s="332"/>
      <c r="I207" s="333" t="s">
        <v>18</v>
      </c>
      <c r="J207" s="334" t="s">
        <v>15</v>
      </c>
      <c r="K207" s="335" t="s">
        <v>26</v>
      </c>
      <c r="L207" s="414"/>
      <c r="M207" s="414"/>
      <c r="N207" s="381">
        <f>SUM(N208:N222)</f>
        <v>7820</v>
      </c>
      <c r="O207" s="5"/>
      <c r="P207" s="2" t="str">
        <f>MATCH(Q188,($R$188:$R$266,0),"Missing")
</f>
        <v>#ERROR!</v>
      </c>
      <c r="Q207" s="2" t="s">
        <v>122</v>
      </c>
      <c r="R207" s="486" t="str">
        <f>'Audit Check'!Q22</f>
        <v>R-ExpFoam</v>
      </c>
      <c r="S207" s="487" t="s">
        <v>55</v>
      </c>
      <c r="T207" s="488">
        <f t="shared" si="120"/>
        <v>0</v>
      </c>
      <c r="U207" s="489">
        <f t="shared" si="179"/>
        <v>4</v>
      </c>
      <c r="V207" s="490" t="str">
        <f t="shared" si="180"/>
        <v>#REF!</v>
      </c>
      <c r="W207" s="491">
        <f>(6/2)*$X$173</f>
        <v>12</v>
      </c>
      <c r="X207" s="489">
        <f t="shared" si="182"/>
        <v>96</v>
      </c>
      <c r="Y207" s="492">
        <f t="shared" si="183"/>
        <v>0</v>
      </c>
      <c r="Z207" s="493" t="str">
        <f t="shared" si="184"/>
        <v>#REF!</v>
      </c>
      <c r="AA207" s="494" t="str">
        <f t="shared" si="185"/>
        <v>#REF!</v>
      </c>
      <c r="AB207" s="508"/>
      <c r="AC207" s="486" t="str">
        <f>'Audit Check'!R24</f>
        <v>W-Tophat</v>
      </c>
      <c r="AD207" s="487" t="s">
        <v>55</v>
      </c>
      <c r="AE207" s="488">
        <f t="shared" si="117"/>
        <v>0</v>
      </c>
      <c r="AF207" s="489">
        <f t="shared" ref="AF207:AF215" si="186">$X$173</f>
        <v>4</v>
      </c>
      <c r="AG207" s="495" t="str">
        <f t="shared" ref="AG207:AG215" si="187">AN$176</f>
        <v/>
      </c>
      <c r="AH207" s="491">
        <f t="shared" ref="AH207:AH208" si="188">(20/1)*$X$173</f>
        <v>80</v>
      </c>
      <c r="AI207" s="489">
        <f t="shared" ref="AI207:AI215" si="189">AH207*AH$183</f>
        <v>640</v>
      </c>
      <c r="AJ207" s="492">
        <f t="shared" ref="AJ207:AJ215" si="190">ROUNDUP(AE207/AI207,2)</f>
        <v>0</v>
      </c>
      <c r="AK207" s="493">
        <f t="shared" ref="AK207:AK215" si="191">AJ207*AG207*AF207*AH$183</f>
        <v>0</v>
      </c>
      <c r="AL207" s="494" t="str">
        <f t="shared" ref="AL207:AL215" si="192">AK207/AE207</f>
        <v>#DIV/0!</v>
      </c>
      <c r="AM207" s="5"/>
      <c r="AN207" s="486" t="str">
        <f>'Audit Check'!S24</f>
        <v>S-TU/TD</v>
      </c>
      <c r="AO207" s="487" t="s">
        <v>55</v>
      </c>
      <c r="AP207" s="488">
        <f t="shared" si="118"/>
        <v>0</v>
      </c>
      <c r="AQ207" s="489">
        <f t="shared" ref="AQ207:AQ215" si="193">$X$173</f>
        <v>4</v>
      </c>
      <c r="AR207" s="495" t="str">
        <f t="shared" ref="AR207:AR215" si="194">AY$176</f>
        <v/>
      </c>
      <c r="AS207" s="491">
        <f t="shared" ref="AS207:AS208" si="195">(20/1)*$X$173</f>
        <v>80</v>
      </c>
      <c r="AT207" s="489">
        <f t="shared" ref="AT207:AT215" si="196">AS207*AS$183</f>
        <v>640</v>
      </c>
      <c r="AU207" s="492">
        <f t="shared" ref="AU207:AU215" si="197">ROUNDUP(AP207/AT207,2)</f>
        <v>0</v>
      </c>
      <c r="AV207" s="493">
        <f t="shared" ref="AV207:AV215" si="198">AU207*AR207*AQ207*AS$183</f>
        <v>0</v>
      </c>
      <c r="AW207" s="494" t="str">
        <f t="shared" ref="AW207:AW215" si="199">AV207/AP207</f>
        <v>#DIV/0!</v>
      </c>
      <c r="AX207" s="5"/>
      <c r="AY207" s="5"/>
      <c r="AZ207" s="5"/>
      <c r="BA207" s="5"/>
      <c r="BB207" s="5"/>
      <c r="BC207" s="5"/>
      <c r="BD207" s="5"/>
      <c r="BE207" s="5"/>
      <c r="BF207" s="5"/>
      <c r="BG207" s="5"/>
      <c r="BH207" s="5"/>
    </row>
    <row r="208" ht="12.75" customHeight="1">
      <c r="A208" s="1"/>
      <c r="B208" s="2"/>
      <c r="C208" s="499" t="s">
        <v>271</v>
      </c>
      <c r="D208" s="366"/>
      <c r="E208" s="367"/>
      <c r="F208" s="368"/>
      <c r="G208" s="368"/>
      <c r="H208" s="368"/>
      <c r="I208" s="437">
        <v>2.0</v>
      </c>
      <c r="J208" s="504">
        <v>3.0</v>
      </c>
      <c r="K208" s="370">
        <v>750.0</v>
      </c>
      <c r="L208" s="367"/>
      <c r="M208" s="401">
        <v>0.0</v>
      </c>
      <c r="N208" s="372">
        <f t="shared" ref="N208:N211" si="200">M208*K208*J208*I208</f>
        <v>0</v>
      </c>
      <c r="O208" s="2"/>
      <c r="P208" s="2" t="str">
        <f>MATCH(Q188,($R$188:$R$266,0),"Missing")
</f>
        <v>#ERROR!</v>
      </c>
      <c r="Q208" s="2" t="s">
        <v>123</v>
      </c>
      <c r="R208" s="486" t="str">
        <f>'Audit Check'!Q23</f>
        <v>R-Fascia</v>
      </c>
      <c r="S208" s="487" t="s">
        <v>52</v>
      </c>
      <c r="T208" s="488">
        <f t="shared" si="120"/>
        <v>0</v>
      </c>
      <c r="U208" s="496"/>
      <c r="V208" s="495"/>
      <c r="W208" s="496"/>
      <c r="X208" s="496"/>
      <c r="Y208" s="496"/>
      <c r="Z208" s="497"/>
      <c r="AA208" s="498"/>
      <c r="AB208" s="508"/>
      <c r="AC208" s="486" t="str">
        <f>'Audit Check'!R25</f>
        <v>W-Batten</v>
      </c>
      <c r="AD208" s="487" t="s">
        <v>55</v>
      </c>
      <c r="AE208" s="488">
        <f t="shared" si="117"/>
        <v>0</v>
      </c>
      <c r="AF208" s="489">
        <f t="shared" si="186"/>
        <v>4</v>
      </c>
      <c r="AG208" s="495" t="str">
        <f t="shared" si="187"/>
        <v/>
      </c>
      <c r="AH208" s="491">
        <f t="shared" si="188"/>
        <v>80</v>
      </c>
      <c r="AI208" s="489">
        <f t="shared" si="189"/>
        <v>640</v>
      </c>
      <c r="AJ208" s="492">
        <f t="shared" si="190"/>
        <v>0</v>
      </c>
      <c r="AK208" s="493">
        <f t="shared" si="191"/>
        <v>0</v>
      </c>
      <c r="AL208" s="494" t="str">
        <f t="shared" si="192"/>
        <v>#DIV/0!</v>
      </c>
      <c r="AM208" s="5"/>
      <c r="AN208" s="486" t="str">
        <f>'Audit Check'!S25</f>
        <v>S-Comb Filler</v>
      </c>
      <c r="AO208" s="487" t="s">
        <v>55</v>
      </c>
      <c r="AP208" s="488">
        <f t="shared" si="118"/>
        <v>0</v>
      </c>
      <c r="AQ208" s="489">
        <f t="shared" si="193"/>
        <v>4</v>
      </c>
      <c r="AR208" s="495" t="str">
        <f t="shared" si="194"/>
        <v/>
      </c>
      <c r="AS208" s="491">
        <f t="shared" si="195"/>
        <v>80</v>
      </c>
      <c r="AT208" s="489">
        <f t="shared" si="196"/>
        <v>640</v>
      </c>
      <c r="AU208" s="492">
        <f t="shared" si="197"/>
        <v>0</v>
      </c>
      <c r="AV208" s="493">
        <f t="shared" si="198"/>
        <v>0</v>
      </c>
      <c r="AW208" s="494" t="str">
        <f t="shared" si="199"/>
        <v>#DIV/0!</v>
      </c>
      <c r="AX208" s="5"/>
      <c r="AY208" s="5"/>
      <c r="AZ208" s="5"/>
      <c r="BA208" s="5"/>
      <c r="BB208" s="5"/>
      <c r="BC208" s="5"/>
      <c r="BD208" s="5"/>
      <c r="BE208" s="5"/>
      <c r="BF208" s="5"/>
      <c r="BG208" s="5"/>
      <c r="BH208" s="5"/>
    </row>
    <row r="209" ht="12.75" customHeight="1">
      <c r="A209" s="1"/>
      <c r="B209" s="2"/>
      <c r="C209" s="499" t="s">
        <v>272</v>
      </c>
      <c r="D209" s="366"/>
      <c r="E209" s="367"/>
      <c r="F209" s="368"/>
      <c r="G209" s="368"/>
      <c r="H209" s="368"/>
      <c r="I209" s="437">
        <v>1.0</v>
      </c>
      <c r="J209" s="504">
        <v>10.0</v>
      </c>
      <c r="K209" s="370">
        <v>750.0</v>
      </c>
      <c r="L209" s="367"/>
      <c r="M209" s="401">
        <v>0.0</v>
      </c>
      <c r="N209" s="372">
        <f t="shared" si="200"/>
        <v>0</v>
      </c>
      <c r="O209" s="2"/>
      <c r="P209" s="2" t="str">
        <f>MATCH(Q188,($R$188:$R$266,0),"Missing")
</f>
        <v>#ERROR!</v>
      </c>
      <c r="Q209" s="2" t="s">
        <v>124</v>
      </c>
      <c r="R209" s="486" t="str">
        <f>'Audit Check'!Q24</f>
        <v>R-FasciaBracket</v>
      </c>
      <c r="S209" s="487" t="s">
        <v>52</v>
      </c>
      <c r="T209" s="488">
        <f t="shared" si="120"/>
        <v>0</v>
      </c>
      <c r="U209" s="496"/>
      <c r="V209" s="495"/>
      <c r="W209" s="496"/>
      <c r="X209" s="496"/>
      <c r="Y209" s="496"/>
      <c r="Z209" s="497"/>
      <c r="AA209" s="498"/>
      <c r="AB209" s="508"/>
      <c r="AC209" s="486" t="str">
        <f>'Audit Check'!R26</f>
        <v>W-Trimmer/Packer</v>
      </c>
      <c r="AD209" s="487" t="s">
        <v>52</v>
      </c>
      <c r="AE209" s="488">
        <f t="shared" si="117"/>
        <v>0</v>
      </c>
      <c r="AF209" s="489">
        <f t="shared" si="186"/>
        <v>4</v>
      </c>
      <c r="AG209" s="495" t="str">
        <f t="shared" si="187"/>
        <v/>
      </c>
      <c r="AH209" s="491">
        <f>(2/2)*$X$173</f>
        <v>4</v>
      </c>
      <c r="AI209" s="489">
        <f t="shared" si="189"/>
        <v>32</v>
      </c>
      <c r="AJ209" s="492">
        <f t="shared" si="190"/>
        <v>0</v>
      </c>
      <c r="AK209" s="493">
        <f t="shared" si="191"/>
        <v>0</v>
      </c>
      <c r="AL209" s="494" t="str">
        <f t="shared" si="192"/>
        <v>#DIV/0!</v>
      </c>
      <c r="AM209" s="5"/>
      <c r="AN209" s="486" t="str">
        <f>'Audit Check'!S26</f>
        <v>S-PenoSmall</v>
      </c>
      <c r="AO209" s="487" t="s">
        <v>52</v>
      </c>
      <c r="AP209" s="488">
        <f t="shared" si="118"/>
        <v>0</v>
      </c>
      <c r="AQ209" s="489">
        <f t="shared" si="193"/>
        <v>4</v>
      </c>
      <c r="AR209" s="495" t="str">
        <f t="shared" si="194"/>
        <v/>
      </c>
      <c r="AS209" s="491">
        <f>(1/2)*$X$173</f>
        <v>2</v>
      </c>
      <c r="AT209" s="489">
        <f t="shared" si="196"/>
        <v>16</v>
      </c>
      <c r="AU209" s="492">
        <f t="shared" si="197"/>
        <v>0</v>
      </c>
      <c r="AV209" s="493">
        <f t="shared" si="198"/>
        <v>0</v>
      </c>
      <c r="AW209" s="494" t="str">
        <f t="shared" si="199"/>
        <v>#DIV/0!</v>
      </c>
      <c r="AX209" s="5"/>
      <c r="AY209" s="5"/>
      <c r="AZ209" s="5"/>
      <c r="BA209" s="5"/>
      <c r="BB209" s="5"/>
      <c r="BC209" s="5"/>
      <c r="BD209" s="5"/>
      <c r="BE209" s="5"/>
      <c r="BF209" s="5"/>
      <c r="BG209" s="5"/>
      <c r="BH209" s="5"/>
    </row>
    <row r="210" ht="12.75" customHeight="1">
      <c r="A210" s="1"/>
      <c r="B210" s="2"/>
      <c r="C210" s="499" t="s">
        <v>273</v>
      </c>
      <c r="D210" s="366"/>
      <c r="E210" s="367"/>
      <c r="F210" s="368"/>
      <c r="G210" s="368"/>
      <c r="H210" s="368"/>
      <c r="I210" s="437">
        <v>1.0</v>
      </c>
      <c r="J210" s="504">
        <f>J209</f>
        <v>10</v>
      </c>
      <c r="K210" s="370">
        <v>95.0</v>
      </c>
      <c r="L210" s="367"/>
      <c r="M210" s="401">
        <v>0.0</v>
      </c>
      <c r="N210" s="372">
        <f t="shared" si="200"/>
        <v>0</v>
      </c>
      <c r="O210" s="2"/>
      <c r="P210" s="2" t="str">
        <f>MATCH(Q188,($R$188:$R$266,0),"Missing")
</f>
        <v>#ERROR!</v>
      </c>
      <c r="Q210" s="2" t="s">
        <v>126</v>
      </c>
      <c r="R210" s="486" t="str">
        <f>'Audit Check'!Q25</f>
        <v>R-FasciaBracketFixing</v>
      </c>
      <c r="S210" s="487" t="s">
        <v>55</v>
      </c>
      <c r="T210" s="488">
        <f t="shared" si="120"/>
        <v>0</v>
      </c>
      <c r="U210" s="489">
        <f t="shared" ref="U210:U218" si="201">$X$173</f>
        <v>4</v>
      </c>
      <c r="V210" s="490" t="str">
        <f t="shared" ref="V210:V218" si="202">AC$176</f>
        <v>#REF!</v>
      </c>
      <c r="W210" s="491">
        <f t="shared" ref="W210:W211" si="203">(20/1)*$X$173</f>
        <v>80</v>
      </c>
      <c r="X210" s="489">
        <f t="shared" ref="X210:X218" si="204">W210*W$183</f>
        <v>640</v>
      </c>
      <c r="Y210" s="492">
        <f t="shared" ref="Y210:Y218" si="205">ROUNDUP(T210/X210,2)</f>
        <v>0</v>
      </c>
      <c r="Z210" s="493" t="str">
        <f t="shared" ref="Z210:Z218" si="206">Y210*V210*U210*W$183</f>
        <v>#REF!</v>
      </c>
      <c r="AA210" s="494" t="str">
        <f t="shared" ref="AA210:AA218" si="207">Z210/T210</f>
        <v>#REF!</v>
      </c>
      <c r="AB210" s="508"/>
      <c r="AC210" s="486" t="str">
        <f>'Audit Check'!R27</f>
        <v>W-Silicone</v>
      </c>
      <c r="AD210" s="487" t="s">
        <v>52</v>
      </c>
      <c r="AE210" s="488">
        <f t="shared" si="117"/>
        <v>0.25</v>
      </c>
      <c r="AF210" s="489">
        <f t="shared" si="186"/>
        <v>4</v>
      </c>
      <c r="AG210" s="495" t="str">
        <f t="shared" si="187"/>
        <v/>
      </c>
      <c r="AH210" s="491">
        <f>(1/2)*$X$173</f>
        <v>2</v>
      </c>
      <c r="AI210" s="489">
        <f t="shared" si="189"/>
        <v>16</v>
      </c>
      <c r="AJ210" s="492">
        <f t="shared" si="190"/>
        <v>0.02</v>
      </c>
      <c r="AK210" s="493">
        <f t="shared" si="191"/>
        <v>0</v>
      </c>
      <c r="AL210" s="494">
        <f t="shared" si="192"/>
        <v>0</v>
      </c>
      <c r="AM210" s="5"/>
      <c r="AN210" s="486" t="str">
        <f>'Audit Check'!S27</f>
        <v>S-PenoBig</v>
      </c>
      <c r="AO210" s="487" t="s">
        <v>52</v>
      </c>
      <c r="AP210" s="488">
        <f t="shared" si="118"/>
        <v>0</v>
      </c>
      <c r="AQ210" s="489">
        <f t="shared" si="193"/>
        <v>4</v>
      </c>
      <c r="AR210" s="495" t="str">
        <f t="shared" si="194"/>
        <v/>
      </c>
      <c r="AS210" s="491">
        <f>(0.5/2)*$X$173</f>
        <v>1</v>
      </c>
      <c r="AT210" s="489">
        <f t="shared" si="196"/>
        <v>8</v>
      </c>
      <c r="AU210" s="492">
        <f t="shared" si="197"/>
        <v>0</v>
      </c>
      <c r="AV210" s="493">
        <f t="shared" si="198"/>
        <v>0</v>
      </c>
      <c r="AW210" s="494" t="str">
        <f t="shared" si="199"/>
        <v>#DIV/0!</v>
      </c>
      <c r="AX210" s="5"/>
      <c r="AY210" s="5"/>
      <c r="AZ210" s="5"/>
      <c r="BA210" s="5"/>
      <c r="BB210" s="5"/>
      <c r="BC210" s="5"/>
      <c r="BD210" s="5"/>
      <c r="BE210" s="5"/>
      <c r="BF210" s="5"/>
      <c r="BG210" s="5"/>
      <c r="BH210" s="5"/>
    </row>
    <row r="211" ht="12.75" customHeight="1">
      <c r="A211" s="1"/>
      <c r="B211" s="2"/>
      <c r="C211" s="499" t="s">
        <v>274</v>
      </c>
      <c r="D211" s="366"/>
      <c r="E211" s="367"/>
      <c r="F211" s="368"/>
      <c r="G211" s="368"/>
      <c r="H211" s="368"/>
      <c r="I211" s="437">
        <v>5.0</v>
      </c>
      <c r="J211" s="436">
        <v>2.0</v>
      </c>
      <c r="K211" s="370">
        <v>1000.0</v>
      </c>
      <c r="L211" s="367"/>
      <c r="M211" s="401">
        <v>0.0</v>
      </c>
      <c r="N211" s="372">
        <f t="shared" si="200"/>
        <v>0</v>
      </c>
      <c r="O211" s="2"/>
      <c r="P211" s="2" t="str">
        <f>MATCH(Q188,($R$188:$R$266,0),"Missing")
</f>
        <v>#ERROR!</v>
      </c>
      <c r="Q211" s="2" t="s">
        <v>130</v>
      </c>
      <c r="R211" s="486" t="str">
        <f>'Audit Check'!Q26</f>
        <v>R-FFBottom</v>
      </c>
      <c r="S211" s="487" t="s">
        <v>55</v>
      </c>
      <c r="T211" s="488">
        <f t="shared" si="120"/>
        <v>112.78</v>
      </c>
      <c r="U211" s="489">
        <f t="shared" si="201"/>
        <v>4</v>
      </c>
      <c r="V211" s="490" t="str">
        <f t="shared" si="202"/>
        <v>#REF!</v>
      </c>
      <c r="W211" s="491">
        <f t="shared" si="203"/>
        <v>80</v>
      </c>
      <c r="X211" s="489">
        <f t="shared" si="204"/>
        <v>640</v>
      </c>
      <c r="Y211" s="492">
        <f t="shared" si="205"/>
        <v>0.18</v>
      </c>
      <c r="Z211" s="493" t="str">
        <f t="shared" si="206"/>
        <v>#REF!</v>
      </c>
      <c r="AA211" s="494" t="str">
        <f t="shared" si="207"/>
        <v>#REF!</v>
      </c>
      <c r="AB211" s="508"/>
      <c r="AC211" s="486" t="str">
        <f>'Audit Check'!R28</f>
        <v>W-TU/TD</v>
      </c>
      <c r="AD211" s="487" t="s">
        <v>52</v>
      </c>
      <c r="AE211" s="488">
        <f t="shared" si="117"/>
        <v>0</v>
      </c>
      <c r="AF211" s="489">
        <f t="shared" si="186"/>
        <v>4</v>
      </c>
      <c r="AG211" s="495" t="str">
        <f t="shared" si="187"/>
        <v/>
      </c>
      <c r="AH211" s="491">
        <f>(4/2)*$X$173</f>
        <v>8</v>
      </c>
      <c r="AI211" s="489">
        <f t="shared" si="189"/>
        <v>64</v>
      </c>
      <c r="AJ211" s="492">
        <f t="shared" si="190"/>
        <v>0</v>
      </c>
      <c r="AK211" s="493">
        <f t="shared" si="191"/>
        <v>0</v>
      </c>
      <c r="AL211" s="494" t="str">
        <f t="shared" si="192"/>
        <v>#DIV/0!</v>
      </c>
      <c r="AM211" s="5"/>
      <c r="AN211" s="486" t="str">
        <f>'Audit Check'!S28</f>
        <v>S-Dektite</v>
      </c>
      <c r="AO211" s="487" t="s">
        <v>52</v>
      </c>
      <c r="AP211" s="488">
        <f t="shared" si="118"/>
        <v>0</v>
      </c>
      <c r="AQ211" s="489">
        <f t="shared" si="193"/>
        <v>4</v>
      </c>
      <c r="AR211" s="495" t="str">
        <f t="shared" si="194"/>
        <v/>
      </c>
      <c r="AS211" s="491">
        <f>(2/2)*$X$173</f>
        <v>4</v>
      </c>
      <c r="AT211" s="489">
        <f t="shared" si="196"/>
        <v>32</v>
      </c>
      <c r="AU211" s="492">
        <f t="shared" si="197"/>
        <v>0</v>
      </c>
      <c r="AV211" s="493">
        <f t="shared" si="198"/>
        <v>0</v>
      </c>
      <c r="AW211" s="494" t="str">
        <f t="shared" si="199"/>
        <v>#DIV/0!</v>
      </c>
      <c r="AX211" s="5"/>
      <c r="AY211" s="5"/>
      <c r="AZ211" s="5"/>
      <c r="BA211" s="5"/>
      <c r="BB211" s="5"/>
      <c r="BC211" s="5"/>
      <c r="BD211" s="5"/>
      <c r="BE211" s="5"/>
      <c r="BF211" s="5"/>
      <c r="BG211" s="5"/>
      <c r="BH211" s="5"/>
    </row>
    <row r="212" ht="12.75" customHeight="1">
      <c r="A212" s="1"/>
      <c r="B212" s="2"/>
      <c r="C212" s="376"/>
      <c r="D212" s="348"/>
      <c r="E212" s="3"/>
      <c r="F212" s="2"/>
      <c r="G212" s="2"/>
      <c r="H212" s="2"/>
      <c r="I212" s="6"/>
      <c r="J212" s="6"/>
      <c r="K212" s="6"/>
      <c r="L212" s="3"/>
      <c r="M212" s="3"/>
      <c r="N212" s="351"/>
      <c r="O212" s="2"/>
      <c r="P212" s="2" t="str">
        <f>MATCH(Q188,($R$188:$R$266,0),"Missing")
</f>
        <v>#ERROR!</v>
      </c>
      <c r="Q212" s="2" t="s">
        <v>133</v>
      </c>
      <c r="R212" s="486" t="str">
        <f>'Audit Check'!Q27</f>
        <v>R-FFSide</v>
      </c>
      <c r="S212" s="487" t="s">
        <v>55</v>
      </c>
      <c r="T212" s="488">
        <f t="shared" si="120"/>
        <v>52.1834148</v>
      </c>
      <c r="U212" s="489">
        <f t="shared" si="201"/>
        <v>4</v>
      </c>
      <c r="V212" s="490" t="str">
        <f t="shared" si="202"/>
        <v>#REF!</v>
      </c>
      <c r="W212" s="491">
        <f>(10/3)*$X$173</f>
        <v>13.33333333</v>
      </c>
      <c r="X212" s="489">
        <f t="shared" si="204"/>
        <v>106.6666667</v>
      </c>
      <c r="Y212" s="492">
        <f t="shared" si="205"/>
        <v>0.49</v>
      </c>
      <c r="Z212" s="493" t="str">
        <f t="shared" si="206"/>
        <v>#REF!</v>
      </c>
      <c r="AA212" s="494" t="str">
        <f t="shared" si="207"/>
        <v>#REF!</v>
      </c>
      <c r="AB212" s="464"/>
      <c r="AC212" s="486" t="str">
        <f>'Audit Check'!R29</f>
        <v>W-Comb Filler</v>
      </c>
      <c r="AD212" s="487" t="s">
        <v>41</v>
      </c>
      <c r="AE212" s="488">
        <f t="shared" si="117"/>
        <v>103.47</v>
      </c>
      <c r="AF212" s="489">
        <f t="shared" si="186"/>
        <v>4</v>
      </c>
      <c r="AG212" s="495" t="str">
        <f t="shared" si="187"/>
        <v/>
      </c>
      <c r="AH212" s="491">
        <f>(10/4)*$X$173</f>
        <v>10</v>
      </c>
      <c r="AI212" s="489">
        <f t="shared" si="189"/>
        <v>80</v>
      </c>
      <c r="AJ212" s="492">
        <f t="shared" si="190"/>
        <v>1.3</v>
      </c>
      <c r="AK212" s="493">
        <f t="shared" si="191"/>
        <v>0</v>
      </c>
      <c r="AL212" s="494">
        <f t="shared" si="192"/>
        <v>0</v>
      </c>
      <c r="AM212" s="5"/>
      <c r="AN212" s="486" t="str">
        <f>'Audit Check'!S29</f>
        <v>S-KS</v>
      </c>
      <c r="AO212" s="487" t="s">
        <v>41</v>
      </c>
      <c r="AP212" s="488">
        <f t="shared" si="118"/>
        <v>0</v>
      </c>
      <c r="AQ212" s="489">
        <f t="shared" si="193"/>
        <v>4</v>
      </c>
      <c r="AR212" s="495" t="str">
        <f t="shared" si="194"/>
        <v/>
      </c>
      <c r="AS212" s="491">
        <f>(5/4)*$X$173</f>
        <v>5</v>
      </c>
      <c r="AT212" s="489">
        <f t="shared" si="196"/>
        <v>40</v>
      </c>
      <c r="AU212" s="492">
        <f t="shared" si="197"/>
        <v>0</v>
      </c>
      <c r="AV212" s="493">
        <f t="shared" si="198"/>
        <v>0</v>
      </c>
      <c r="AW212" s="494" t="str">
        <f t="shared" si="199"/>
        <v>#DIV/0!</v>
      </c>
      <c r="AX212" s="5"/>
      <c r="AY212" s="5"/>
      <c r="AZ212" s="5"/>
      <c r="BA212" s="5"/>
      <c r="BB212" s="5"/>
      <c r="BC212" s="5"/>
      <c r="BD212" s="5"/>
      <c r="BE212" s="5"/>
      <c r="BF212" s="5"/>
      <c r="BG212" s="5"/>
      <c r="BH212" s="5"/>
    </row>
    <row r="213" ht="12.75" customHeight="1">
      <c r="A213" s="1"/>
      <c r="B213" s="2"/>
      <c r="C213" s="499" t="s">
        <v>275</v>
      </c>
      <c r="D213" s="366"/>
      <c r="E213" s="367"/>
      <c r="F213" s="368"/>
      <c r="G213" s="368"/>
      <c r="H213" s="368"/>
      <c r="I213" s="437">
        <v>2.0</v>
      </c>
      <c r="J213" s="504">
        <v>1.0</v>
      </c>
      <c r="K213" s="370">
        <v>350.0</v>
      </c>
      <c r="L213" s="367"/>
      <c r="M213" s="401">
        <v>1.0</v>
      </c>
      <c r="N213" s="372">
        <f t="shared" ref="N213:N216" si="208">M213*K213*J213*I213</f>
        <v>700</v>
      </c>
      <c r="O213" s="2"/>
      <c r="P213" s="2" t="str">
        <f>MATCH(Q188,($R$188:$R$266,0),"Missing")
</f>
        <v>#ERROR!</v>
      </c>
      <c r="Q213" s="2" t="s">
        <v>139</v>
      </c>
      <c r="R213" s="486" t="str">
        <f>'Audit Check'!Q28</f>
        <v>R-FFTop</v>
      </c>
      <c r="S213" s="487" t="s">
        <v>55</v>
      </c>
      <c r="T213" s="488">
        <f t="shared" si="120"/>
        <v>112.78</v>
      </c>
      <c r="U213" s="489">
        <f t="shared" si="201"/>
        <v>4</v>
      </c>
      <c r="V213" s="490" t="str">
        <f t="shared" si="202"/>
        <v>#REF!</v>
      </c>
      <c r="W213" s="491">
        <f>(5/3)*$X$173</f>
        <v>6.666666667</v>
      </c>
      <c r="X213" s="489">
        <f t="shared" si="204"/>
        <v>53.33333333</v>
      </c>
      <c r="Y213" s="492">
        <f t="shared" si="205"/>
        <v>2.12</v>
      </c>
      <c r="Z213" s="493" t="str">
        <f t="shared" si="206"/>
        <v>#REF!</v>
      </c>
      <c r="AA213" s="494" t="str">
        <f t="shared" si="207"/>
        <v>#REF!</v>
      </c>
      <c r="AB213" s="464"/>
      <c r="AC213" s="486" t="str">
        <f>'Audit Check'!R30</f>
        <v>W-PenoSmall</v>
      </c>
      <c r="AD213" s="487" t="s">
        <v>55</v>
      </c>
      <c r="AE213" s="488">
        <f t="shared" si="117"/>
        <v>0</v>
      </c>
      <c r="AF213" s="489">
        <f t="shared" si="186"/>
        <v>4</v>
      </c>
      <c r="AG213" s="495" t="str">
        <f t="shared" si="187"/>
        <v/>
      </c>
      <c r="AH213" s="491">
        <f>(20/1)*$X$173</f>
        <v>80</v>
      </c>
      <c r="AI213" s="489">
        <f t="shared" si="189"/>
        <v>640</v>
      </c>
      <c r="AJ213" s="492">
        <f t="shared" si="190"/>
        <v>0</v>
      </c>
      <c r="AK213" s="493">
        <f t="shared" si="191"/>
        <v>0</v>
      </c>
      <c r="AL213" s="494" t="str">
        <f t="shared" si="192"/>
        <v>#DIV/0!</v>
      </c>
      <c r="AM213" s="5"/>
      <c r="AN213" s="486" t="str">
        <f>'Audit Check'!S30</f>
        <v>S-Butyl</v>
      </c>
      <c r="AO213" s="487" t="s">
        <v>55</v>
      </c>
      <c r="AP213" s="488">
        <f t="shared" si="118"/>
        <v>0</v>
      </c>
      <c r="AQ213" s="489">
        <f t="shared" si="193"/>
        <v>4</v>
      </c>
      <c r="AR213" s="495" t="str">
        <f t="shared" si="194"/>
        <v/>
      </c>
      <c r="AS213" s="491">
        <f>(20/1)*$X$173</f>
        <v>80</v>
      </c>
      <c r="AT213" s="489">
        <f t="shared" si="196"/>
        <v>640</v>
      </c>
      <c r="AU213" s="492">
        <f t="shared" si="197"/>
        <v>0</v>
      </c>
      <c r="AV213" s="493">
        <f t="shared" si="198"/>
        <v>0</v>
      </c>
      <c r="AW213" s="494" t="str">
        <f t="shared" si="199"/>
        <v>#DIV/0!</v>
      </c>
      <c r="AX213" s="5"/>
      <c r="AY213" s="5"/>
      <c r="AZ213" s="5"/>
      <c r="BA213" s="5"/>
      <c r="BB213" s="5"/>
      <c r="BC213" s="5"/>
      <c r="BD213" s="5"/>
      <c r="BE213" s="5"/>
      <c r="BF213" s="5"/>
      <c r="BG213" s="5"/>
      <c r="BH213" s="5"/>
    </row>
    <row r="214" ht="12.75" customHeight="1">
      <c r="A214" s="1"/>
      <c r="B214" s="2"/>
      <c r="C214" s="499" t="s">
        <v>272</v>
      </c>
      <c r="D214" s="366"/>
      <c r="E214" s="367"/>
      <c r="F214" s="368"/>
      <c r="G214" s="368"/>
      <c r="H214" s="368"/>
      <c r="I214" s="437">
        <v>1.0</v>
      </c>
      <c r="J214" s="504">
        <v>8.0</v>
      </c>
      <c r="K214" s="370">
        <v>350.0</v>
      </c>
      <c r="L214" s="367"/>
      <c r="M214" s="401">
        <v>2.0</v>
      </c>
      <c r="N214" s="372">
        <f t="shared" si="208"/>
        <v>5600</v>
      </c>
      <c r="O214" s="2"/>
      <c r="P214" s="2" t="str">
        <f>MATCH(Q188,($R$188:$R$266,0),"Missing")
</f>
        <v>#ERROR!</v>
      </c>
      <c r="Q214" s="2" t="s">
        <v>141</v>
      </c>
      <c r="R214" s="486" t="str">
        <f>'Audit Check'!Q29</f>
        <v>R-Fixings</v>
      </c>
      <c r="S214" s="487" t="s">
        <v>52</v>
      </c>
      <c r="T214" s="488">
        <f t="shared" si="120"/>
        <v>0</v>
      </c>
      <c r="U214" s="489">
        <f t="shared" si="201"/>
        <v>4</v>
      </c>
      <c r="V214" s="490" t="str">
        <f t="shared" si="202"/>
        <v>#REF!</v>
      </c>
      <c r="W214" s="491">
        <f t="shared" ref="W214:W215" si="209">(2/1)*$X$173</f>
        <v>8</v>
      </c>
      <c r="X214" s="489">
        <f t="shared" si="204"/>
        <v>64</v>
      </c>
      <c r="Y214" s="492">
        <f t="shared" si="205"/>
        <v>0</v>
      </c>
      <c r="Z214" s="493" t="str">
        <f t="shared" si="206"/>
        <v>#REF!</v>
      </c>
      <c r="AA214" s="494" t="str">
        <f t="shared" si="207"/>
        <v>#REF!</v>
      </c>
      <c r="AB214" s="508"/>
      <c r="AC214" s="486" t="str">
        <f>'Audit Check'!R31</f>
        <v>W-PenoBig</v>
      </c>
      <c r="AD214" s="487" t="s">
        <v>41</v>
      </c>
      <c r="AE214" s="488">
        <f t="shared" si="117"/>
        <v>0</v>
      </c>
      <c r="AF214" s="489">
        <f t="shared" si="186"/>
        <v>4</v>
      </c>
      <c r="AG214" s="495" t="str">
        <f t="shared" si="187"/>
        <v/>
      </c>
      <c r="AH214" s="491">
        <f>(5/4)*$X$173</f>
        <v>5</v>
      </c>
      <c r="AI214" s="489">
        <f t="shared" si="189"/>
        <v>40</v>
      </c>
      <c r="AJ214" s="492">
        <f t="shared" si="190"/>
        <v>0</v>
      </c>
      <c r="AK214" s="493">
        <f t="shared" si="191"/>
        <v>0</v>
      </c>
      <c r="AL214" s="494" t="str">
        <f t="shared" si="192"/>
        <v>#DIV/0!</v>
      </c>
      <c r="AM214" s="5"/>
      <c r="AN214" s="486" t="str">
        <f>'Audit Check'!S31</f>
        <v>S-InsoBlanket</v>
      </c>
      <c r="AO214" s="487" t="s">
        <v>41</v>
      </c>
      <c r="AP214" s="488">
        <f t="shared" si="118"/>
        <v>0</v>
      </c>
      <c r="AQ214" s="489">
        <f t="shared" si="193"/>
        <v>4</v>
      </c>
      <c r="AR214" s="495" t="str">
        <f t="shared" si="194"/>
        <v/>
      </c>
      <c r="AS214" s="491">
        <f>(3/4)*$X$173</f>
        <v>3</v>
      </c>
      <c r="AT214" s="489">
        <f t="shared" si="196"/>
        <v>24</v>
      </c>
      <c r="AU214" s="492">
        <f t="shared" si="197"/>
        <v>0</v>
      </c>
      <c r="AV214" s="493">
        <f t="shared" si="198"/>
        <v>0</v>
      </c>
      <c r="AW214" s="494" t="str">
        <f t="shared" si="199"/>
        <v>#DIV/0!</v>
      </c>
      <c r="AX214" s="5"/>
      <c r="AY214" s="5"/>
      <c r="AZ214" s="5"/>
      <c r="BA214" s="5"/>
      <c r="BB214" s="5"/>
      <c r="BC214" s="5"/>
      <c r="BD214" s="5"/>
      <c r="BE214" s="5"/>
      <c r="BF214" s="5"/>
      <c r="BG214" s="5"/>
      <c r="BH214" s="5"/>
    </row>
    <row r="215" ht="12.75" customHeight="1">
      <c r="A215" s="1"/>
      <c r="B215" s="2"/>
      <c r="C215" s="499" t="s">
        <v>273</v>
      </c>
      <c r="D215" s="366"/>
      <c r="E215" s="367"/>
      <c r="F215" s="368"/>
      <c r="G215" s="368"/>
      <c r="H215" s="368"/>
      <c r="I215" s="437">
        <v>1.0</v>
      </c>
      <c r="J215" s="504">
        <f>J214</f>
        <v>8</v>
      </c>
      <c r="K215" s="370">
        <v>95.0</v>
      </c>
      <c r="L215" s="367"/>
      <c r="M215" s="401">
        <v>2.0</v>
      </c>
      <c r="N215" s="372">
        <f t="shared" si="208"/>
        <v>1520</v>
      </c>
      <c r="O215" s="2"/>
      <c r="P215" s="2" t="str">
        <f>MATCH(Q188,($R$188:$R$266,0),"Missing")
</f>
        <v>#ERROR!</v>
      </c>
      <c r="Q215" s="2" t="s">
        <v>143</v>
      </c>
      <c r="R215" s="486" t="str">
        <f>'Audit Check'!Q30</f>
        <v>R-Flashing</v>
      </c>
      <c r="S215" s="487" t="s">
        <v>52</v>
      </c>
      <c r="T215" s="488">
        <f t="shared" si="120"/>
        <v>334.1334148</v>
      </c>
      <c r="U215" s="489">
        <f t="shared" si="201"/>
        <v>4</v>
      </c>
      <c r="V215" s="490" t="str">
        <f t="shared" si="202"/>
        <v>#REF!</v>
      </c>
      <c r="W215" s="491">
        <f t="shared" si="209"/>
        <v>8</v>
      </c>
      <c r="X215" s="489">
        <f t="shared" si="204"/>
        <v>64</v>
      </c>
      <c r="Y215" s="492">
        <f t="shared" si="205"/>
        <v>5.23</v>
      </c>
      <c r="Z215" s="493" t="str">
        <f t="shared" si="206"/>
        <v>#REF!</v>
      </c>
      <c r="AA215" s="494" t="str">
        <f t="shared" si="207"/>
        <v>#REF!</v>
      </c>
      <c r="AB215" s="508"/>
      <c r="AC215" s="486" t="str">
        <f>'Audit Check'!R32</f>
        <v>W-Dektite</v>
      </c>
      <c r="AD215" s="487" t="s">
        <v>52</v>
      </c>
      <c r="AE215" s="488">
        <f t="shared" si="117"/>
        <v>0</v>
      </c>
      <c r="AF215" s="489">
        <f t="shared" si="186"/>
        <v>4</v>
      </c>
      <c r="AG215" s="495" t="str">
        <f t="shared" si="187"/>
        <v/>
      </c>
      <c r="AH215" s="491">
        <f>(100/4)*$X$173</f>
        <v>100</v>
      </c>
      <c r="AI215" s="489">
        <f t="shared" si="189"/>
        <v>800</v>
      </c>
      <c r="AJ215" s="492">
        <f t="shared" si="190"/>
        <v>0</v>
      </c>
      <c r="AK215" s="493">
        <f t="shared" si="191"/>
        <v>0</v>
      </c>
      <c r="AL215" s="494" t="str">
        <f t="shared" si="192"/>
        <v>#DIV/0!</v>
      </c>
      <c r="AM215" s="5"/>
      <c r="AN215" s="486" t="str">
        <f>'Audit Check'!S32</f>
        <v>S-ExpFoam</v>
      </c>
      <c r="AO215" s="487" t="s">
        <v>52</v>
      </c>
      <c r="AP215" s="488">
        <f t="shared" si="118"/>
        <v>0</v>
      </c>
      <c r="AQ215" s="489">
        <f t="shared" si="193"/>
        <v>4</v>
      </c>
      <c r="AR215" s="495" t="str">
        <f t="shared" si="194"/>
        <v/>
      </c>
      <c r="AS215" s="491">
        <f>(100/4)*$X$173</f>
        <v>100</v>
      </c>
      <c r="AT215" s="489">
        <f t="shared" si="196"/>
        <v>800</v>
      </c>
      <c r="AU215" s="492">
        <f t="shared" si="197"/>
        <v>0</v>
      </c>
      <c r="AV215" s="493">
        <f t="shared" si="198"/>
        <v>0</v>
      </c>
      <c r="AW215" s="494" t="str">
        <f t="shared" si="199"/>
        <v>#DIV/0!</v>
      </c>
      <c r="AX215" s="5"/>
      <c r="AY215" s="5"/>
      <c r="AZ215" s="5"/>
      <c r="BA215" s="5"/>
      <c r="BB215" s="5"/>
      <c r="BC215" s="5"/>
      <c r="BD215" s="5"/>
      <c r="BE215" s="5"/>
      <c r="BF215" s="5"/>
      <c r="BG215" s="5"/>
      <c r="BH215" s="5"/>
    </row>
    <row r="216" ht="12.75" customHeight="1">
      <c r="A216" s="1"/>
      <c r="B216" s="12" t="s">
        <v>176</v>
      </c>
      <c r="C216" s="499" t="s">
        <v>274</v>
      </c>
      <c r="D216" s="366"/>
      <c r="E216" s="367"/>
      <c r="F216" s="368"/>
      <c r="G216" s="368"/>
      <c r="H216" s="368"/>
      <c r="I216" s="437">
        <v>1.0</v>
      </c>
      <c r="J216" s="436">
        <v>2.0</v>
      </c>
      <c r="K216" s="370">
        <v>600.0</v>
      </c>
      <c r="L216" s="367"/>
      <c r="M216" s="401">
        <v>0.0</v>
      </c>
      <c r="N216" s="372">
        <f t="shared" si="208"/>
        <v>0</v>
      </c>
      <c r="O216" s="2"/>
      <c r="P216" s="2" t="str">
        <f>MATCH(Q188,($R$188:$R$266,0),"Missing")
</f>
        <v>#ERROR!</v>
      </c>
      <c r="Q216" s="2" t="s">
        <v>144</v>
      </c>
      <c r="R216" s="486" t="str">
        <f>'Audit Check'!Q31</f>
        <v>R-PanFlashing</v>
      </c>
      <c r="S216" s="487" t="s">
        <v>52</v>
      </c>
      <c r="T216" s="488">
        <f t="shared" si="120"/>
        <v>0</v>
      </c>
      <c r="U216" s="489">
        <f t="shared" si="201"/>
        <v>4</v>
      </c>
      <c r="V216" s="490" t="str">
        <f t="shared" si="202"/>
        <v>#REF!</v>
      </c>
      <c r="W216" s="491">
        <f t="shared" ref="W216:W217" si="210">(4/1)*$X$173</f>
        <v>16</v>
      </c>
      <c r="X216" s="489">
        <f t="shared" si="204"/>
        <v>128</v>
      </c>
      <c r="Y216" s="492">
        <f t="shared" si="205"/>
        <v>0</v>
      </c>
      <c r="Z216" s="493" t="str">
        <f t="shared" si="206"/>
        <v>#REF!</v>
      </c>
      <c r="AA216" s="494" t="str">
        <f t="shared" si="207"/>
        <v>#REF!</v>
      </c>
      <c r="AB216" s="508"/>
      <c r="AC216" s="486" t="str">
        <f>'Audit Check'!R33</f>
        <v>W-KS</v>
      </c>
      <c r="AD216" s="487" t="s">
        <v>52</v>
      </c>
      <c r="AE216" s="488">
        <f t="shared" si="117"/>
        <v>0</v>
      </c>
      <c r="AF216" s="496"/>
      <c r="AG216" s="495"/>
      <c r="AH216" s="496"/>
      <c r="AI216" s="496"/>
      <c r="AJ216" s="496"/>
      <c r="AK216" s="497"/>
      <c r="AL216" s="498"/>
      <c r="AM216" s="5"/>
      <c r="AN216" s="486" t="str">
        <f>'Audit Check'!S33</f>
        <v>S-KSFixing</v>
      </c>
      <c r="AO216" s="487" t="s">
        <v>52</v>
      </c>
      <c r="AP216" s="488">
        <f t="shared" si="118"/>
        <v>0</v>
      </c>
      <c r="AQ216" s="496"/>
      <c r="AR216" s="495"/>
      <c r="AS216" s="496"/>
      <c r="AT216" s="496"/>
      <c r="AU216" s="496"/>
      <c r="AV216" s="497"/>
      <c r="AW216" s="498"/>
      <c r="AX216" s="5"/>
      <c r="AY216" s="5"/>
      <c r="AZ216" s="5"/>
      <c r="BA216" s="5"/>
      <c r="BB216" s="5"/>
      <c r="BC216" s="5"/>
      <c r="BD216" s="5"/>
      <c r="BE216" s="5"/>
      <c r="BF216" s="5"/>
      <c r="BG216" s="5"/>
      <c r="BH216" s="5"/>
    </row>
    <row r="217" ht="12.75" customHeight="1">
      <c r="A217" s="1"/>
      <c r="B217" s="2"/>
      <c r="C217" s="376"/>
      <c r="D217" s="348"/>
      <c r="E217" s="3"/>
      <c r="F217" s="2"/>
      <c r="G217" s="2"/>
      <c r="H217" s="2"/>
      <c r="I217" s="6"/>
      <c r="J217" s="6"/>
      <c r="K217" s="6"/>
      <c r="L217" s="3"/>
      <c r="M217" s="3"/>
      <c r="N217" s="351"/>
      <c r="O217" s="2"/>
      <c r="P217" s="2"/>
      <c r="Q217" s="6"/>
      <c r="R217" s="486" t="str">
        <f>'Audit Check'!Q32</f>
        <v>R-GenFix</v>
      </c>
      <c r="S217" s="487" t="s">
        <v>52</v>
      </c>
      <c r="T217" s="488">
        <f t="shared" si="120"/>
        <v>562.6252601</v>
      </c>
      <c r="U217" s="489">
        <f t="shared" si="201"/>
        <v>4</v>
      </c>
      <c r="V217" s="490" t="str">
        <f t="shared" si="202"/>
        <v>#REF!</v>
      </c>
      <c r="W217" s="491">
        <f t="shared" si="210"/>
        <v>16</v>
      </c>
      <c r="X217" s="489">
        <f t="shared" si="204"/>
        <v>128</v>
      </c>
      <c r="Y217" s="492">
        <f t="shared" si="205"/>
        <v>4.4</v>
      </c>
      <c r="Z217" s="493" t="str">
        <f t="shared" si="206"/>
        <v>#REF!</v>
      </c>
      <c r="AA217" s="494" t="str">
        <f t="shared" si="207"/>
        <v>#REF!</v>
      </c>
      <c r="AB217" s="508"/>
      <c r="AC217" s="486" t="str">
        <f>'Audit Check'!R34</f>
        <v>W-Butyl</v>
      </c>
      <c r="AD217" s="487" t="s">
        <v>55</v>
      </c>
      <c r="AE217" s="488">
        <f t="shared" si="117"/>
        <v>0</v>
      </c>
      <c r="AF217" s="489">
        <f t="shared" ref="AF217:AF266" si="211">$X$173</f>
        <v>4</v>
      </c>
      <c r="AG217" s="495" t="str">
        <f t="shared" ref="AG217:AG266" si="212">AN$176</f>
        <v/>
      </c>
      <c r="AH217" s="491">
        <f>(6/3)*$X$173</f>
        <v>8</v>
      </c>
      <c r="AI217" s="489">
        <f t="shared" ref="AI217:AI266" si="213">AH217*AH$183</f>
        <v>64</v>
      </c>
      <c r="AJ217" s="492">
        <f t="shared" ref="AJ217:AJ266" si="214">ROUNDUP(AE217/AI217,2)</f>
        <v>0</v>
      </c>
      <c r="AK217" s="493">
        <f t="shared" ref="AK217:AK266" si="215">AJ217*AG217*AF217*AH$183</f>
        <v>0</v>
      </c>
      <c r="AL217" s="494" t="str">
        <f t="shared" ref="AL217:AL266" si="216">AK217/AE217</f>
        <v>#DIV/0!</v>
      </c>
      <c r="AM217" s="5"/>
      <c r="AN217" s="486" t="str">
        <f>'Audit Check'!S34</f>
        <v>S-Flashing</v>
      </c>
      <c r="AO217" s="487" t="s">
        <v>55</v>
      </c>
      <c r="AP217" s="488">
        <f t="shared" si="118"/>
        <v>0</v>
      </c>
      <c r="AQ217" s="489">
        <f t="shared" ref="AQ217:AQ266" si="217">$X$173</f>
        <v>4</v>
      </c>
      <c r="AR217" s="495" t="str">
        <f t="shared" ref="AR217:AR266" si="218">AY$176</f>
        <v/>
      </c>
      <c r="AS217" s="491">
        <f>(3/3)*$X$173</f>
        <v>4</v>
      </c>
      <c r="AT217" s="489">
        <f t="shared" ref="AT217:AT266" si="219">AS217*AS$183</f>
        <v>32</v>
      </c>
      <c r="AU217" s="492">
        <f t="shared" ref="AU217:AU266" si="220">ROUNDUP(AP217/AT217,2)</f>
        <v>0</v>
      </c>
      <c r="AV217" s="493">
        <f t="shared" ref="AV217:AV266" si="221">AU217*AR217*AQ217*AS$183</f>
        <v>0</v>
      </c>
      <c r="AW217" s="494" t="str">
        <f t="shared" ref="AW217:AW266" si="222">AV217/AP217</f>
        <v>#DIV/0!</v>
      </c>
      <c r="AX217" s="5"/>
      <c r="AY217" s="5"/>
      <c r="AZ217" s="5"/>
      <c r="BA217" s="5"/>
      <c r="BB217" s="5"/>
      <c r="BC217" s="5"/>
      <c r="BD217" s="5"/>
      <c r="BE217" s="5"/>
      <c r="BF217" s="5"/>
      <c r="BG217" s="5"/>
      <c r="BH217" s="5"/>
    </row>
    <row r="218" ht="12.75" customHeight="1">
      <c r="A218" s="1"/>
      <c r="B218" s="2"/>
      <c r="C218" s="499" t="s">
        <v>275</v>
      </c>
      <c r="D218" s="366"/>
      <c r="E218" s="367"/>
      <c r="F218" s="368"/>
      <c r="G218" s="368"/>
      <c r="H218" s="368"/>
      <c r="I218" s="437">
        <v>2.0</v>
      </c>
      <c r="J218" s="504">
        <v>3.0</v>
      </c>
      <c r="K218" s="370">
        <v>350.0</v>
      </c>
      <c r="L218" s="367"/>
      <c r="M218" s="401">
        <v>0.0</v>
      </c>
      <c r="N218" s="372">
        <f t="shared" ref="N218:N221" si="223">M218*K218*J218*I218</f>
        <v>0</v>
      </c>
      <c r="O218" s="2"/>
      <c r="P218" s="2"/>
      <c r="Q218" s="6"/>
      <c r="R218" s="486" t="str">
        <f>'Audit Check'!Q33</f>
        <v>R-InsoBlanket</v>
      </c>
      <c r="S218" s="487" t="s">
        <v>52</v>
      </c>
      <c r="T218" s="488">
        <f t="shared" si="120"/>
        <v>0</v>
      </c>
      <c r="U218" s="489">
        <f t="shared" si="201"/>
        <v>4</v>
      </c>
      <c r="V218" s="490" t="str">
        <f t="shared" si="202"/>
        <v>#REF!</v>
      </c>
      <c r="W218" s="491">
        <f>(15/1)*$X$173</f>
        <v>60</v>
      </c>
      <c r="X218" s="489">
        <f t="shared" si="204"/>
        <v>480</v>
      </c>
      <c r="Y218" s="492">
        <f t="shared" si="205"/>
        <v>0</v>
      </c>
      <c r="Z218" s="493" t="str">
        <f t="shared" si="206"/>
        <v>#REF!</v>
      </c>
      <c r="AA218" s="494" t="str">
        <f t="shared" si="207"/>
        <v>#REF!</v>
      </c>
      <c r="AB218" s="508"/>
      <c r="AC218" s="486" t="str">
        <f>'Audit Check'!R35</f>
        <v>W-InsoBlanket</v>
      </c>
      <c r="AD218" s="487" t="s">
        <v>52</v>
      </c>
      <c r="AE218" s="488">
        <f t="shared" si="117"/>
        <v>0</v>
      </c>
      <c r="AF218" s="489">
        <f t="shared" si="211"/>
        <v>4</v>
      </c>
      <c r="AG218" s="495" t="str">
        <f t="shared" si="212"/>
        <v/>
      </c>
      <c r="AH218" s="491">
        <f>(10/1)*$X$173</f>
        <v>40</v>
      </c>
      <c r="AI218" s="489">
        <f t="shared" si="213"/>
        <v>320</v>
      </c>
      <c r="AJ218" s="492">
        <f t="shared" si="214"/>
        <v>0</v>
      </c>
      <c r="AK218" s="493">
        <f t="shared" si="215"/>
        <v>0</v>
      </c>
      <c r="AL218" s="494" t="str">
        <f t="shared" si="216"/>
        <v>#DIV/0!</v>
      </c>
      <c r="AM218" s="5"/>
      <c r="AN218" s="486" t="str">
        <f>'Audit Check'!S35</f>
        <v>S-MAnchor</v>
      </c>
      <c r="AO218" s="487" t="s">
        <v>52</v>
      </c>
      <c r="AP218" s="488">
        <f t="shared" si="118"/>
        <v>0</v>
      </c>
      <c r="AQ218" s="489">
        <f t="shared" si="217"/>
        <v>4</v>
      </c>
      <c r="AR218" s="495" t="str">
        <f t="shared" si="218"/>
        <v/>
      </c>
      <c r="AS218" s="491">
        <f>(10/1)*$X$173</f>
        <v>40</v>
      </c>
      <c r="AT218" s="489">
        <f t="shared" si="219"/>
        <v>320</v>
      </c>
      <c r="AU218" s="492">
        <f t="shared" si="220"/>
        <v>0</v>
      </c>
      <c r="AV218" s="493">
        <f t="shared" si="221"/>
        <v>0</v>
      </c>
      <c r="AW218" s="494" t="str">
        <f t="shared" si="222"/>
        <v>#DIV/0!</v>
      </c>
      <c r="AX218" s="5"/>
      <c r="AY218" s="5"/>
      <c r="AZ218" s="5"/>
      <c r="BA218" s="5"/>
      <c r="BB218" s="5"/>
      <c r="BC218" s="5"/>
      <c r="BD218" s="5"/>
      <c r="BE218" s="5"/>
      <c r="BF218" s="5"/>
      <c r="BG218" s="5"/>
      <c r="BH218" s="5"/>
    </row>
    <row r="219" ht="12.75" customHeight="1">
      <c r="A219" s="1"/>
      <c r="B219" s="2"/>
      <c r="C219" s="499" t="s">
        <v>272</v>
      </c>
      <c r="D219" s="366"/>
      <c r="E219" s="367"/>
      <c r="F219" s="368"/>
      <c r="G219" s="368"/>
      <c r="H219" s="368"/>
      <c r="I219" s="437">
        <v>1.0</v>
      </c>
      <c r="J219" s="504">
        <v>10.0</v>
      </c>
      <c r="K219" s="370">
        <v>350.0</v>
      </c>
      <c r="L219" s="367"/>
      <c r="M219" s="401">
        <v>0.0</v>
      </c>
      <c r="N219" s="372">
        <f t="shared" si="223"/>
        <v>0</v>
      </c>
      <c r="O219" s="2"/>
      <c r="P219" s="2"/>
      <c r="Q219" s="6"/>
      <c r="R219" s="486" t="str">
        <f>'Audit Check'!Q34</f>
        <v>R-Insulation</v>
      </c>
      <c r="S219" s="487" t="s">
        <v>52</v>
      </c>
      <c r="T219" s="488">
        <f t="shared" si="120"/>
        <v>2942.811054</v>
      </c>
      <c r="U219" s="496"/>
      <c r="V219" s="495"/>
      <c r="W219" s="496"/>
      <c r="X219" s="496"/>
      <c r="Y219" s="496"/>
      <c r="Z219" s="497"/>
      <c r="AA219" s="498"/>
      <c r="AB219" s="508"/>
      <c r="AC219" s="486" t="str">
        <f>'Audit Check'!R36</f>
        <v>W-ExpFoam</v>
      </c>
      <c r="AD219" s="495"/>
      <c r="AE219" s="488">
        <f t="shared" si="117"/>
        <v>0</v>
      </c>
      <c r="AF219" s="489">
        <f t="shared" si="211"/>
        <v>4</v>
      </c>
      <c r="AG219" s="495" t="str">
        <f t="shared" si="212"/>
        <v/>
      </c>
      <c r="AH219" s="491">
        <f t="shared" ref="AH219:AH266" si="224">(30/4)*$X$173</f>
        <v>30</v>
      </c>
      <c r="AI219" s="489">
        <f t="shared" si="213"/>
        <v>240</v>
      </c>
      <c r="AJ219" s="492">
        <f t="shared" si="214"/>
        <v>0</v>
      </c>
      <c r="AK219" s="493">
        <f t="shared" si="215"/>
        <v>0</v>
      </c>
      <c r="AL219" s="494" t="str">
        <f t="shared" si="216"/>
        <v>#DIV/0!</v>
      </c>
      <c r="AM219" s="5"/>
      <c r="AN219" s="509" t="str">
        <f>'Audit Check'!S36</f>
        <v/>
      </c>
      <c r="AO219" s="495"/>
      <c r="AP219" s="488">
        <f t="shared" si="118"/>
        <v>0</v>
      </c>
      <c r="AQ219" s="489">
        <f t="shared" si="217"/>
        <v>4</v>
      </c>
      <c r="AR219" s="495" t="str">
        <f t="shared" si="218"/>
        <v/>
      </c>
      <c r="AS219" s="491">
        <f t="shared" ref="AS219:AS266" si="225">(30/4)*$X$173</f>
        <v>30</v>
      </c>
      <c r="AT219" s="489">
        <f t="shared" si="219"/>
        <v>240</v>
      </c>
      <c r="AU219" s="492">
        <f t="shared" si="220"/>
        <v>0</v>
      </c>
      <c r="AV219" s="493">
        <f t="shared" si="221"/>
        <v>0</v>
      </c>
      <c r="AW219" s="494" t="str">
        <f t="shared" si="222"/>
        <v>#DIV/0!</v>
      </c>
      <c r="AX219" s="5"/>
      <c r="AY219" s="5"/>
      <c r="AZ219" s="5"/>
      <c r="BA219" s="5"/>
      <c r="BB219" s="5"/>
      <c r="BC219" s="5"/>
      <c r="BD219" s="5"/>
      <c r="BE219" s="5"/>
      <c r="BF219" s="5"/>
      <c r="BG219" s="5"/>
      <c r="BH219" s="5"/>
    </row>
    <row r="220" ht="12.75" customHeight="1">
      <c r="A220" s="1"/>
      <c r="B220" s="2"/>
      <c r="C220" s="499" t="s">
        <v>273</v>
      </c>
      <c r="D220" s="366"/>
      <c r="E220" s="367"/>
      <c r="F220" s="368"/>
      <c r="G220" s="368"/>
      <c r="H220" s="368"/>
      <c r="I220" s="437">
        <v>1.0</v>
      </c>
      <c r="J220" s="504">
        <f>J219</f>
        <v>10</v>
      </c>
      <c r="K220" s="370">
        <v>95.0</v>
      </c>
      <c r="L220" s="367"/>
      <c r="M220" s="401">
        <v>0.0</v>
      </c>
      <c r="N220" s="372">
        <f t="shared" si="223"/>
        <v>0</v>
      </c>
      <c r="O220" s="2"/>
      <c r="P220" s="2"/>
      <c r="Q220" s="6"/>
      <c r="R220" s="486" t="str">
        <f>'Audit Check'!Q35</f>
        <v>R-KS</v>
      </c>
      <c r="S220" s="487" t="s">
        <v>52</v>
      </c>
      <c r="T220" s="488">
        <f t="shared" si="120"/>
        <v>0</v>
      </c>
      <c r="U220" s="489">
        <f>$X$173</f>
        <v>4</v>
      </c>
      <c r="V220" s="490" t="str">
        <f>AC$176</f>
        <v>#REF!</v>
      </c>
      <c r="W220" s="491">
        <f>(10/1)*$X$173</f>
        <v>40</v>
      </c>
      <c r="X220" s="489">
        <f>W220*W$183</f>
        <v>320</v>
      </c>
      <c r="Y220" s="492">
        <f>ROUNDUP(T220/X220,2)</f>
        <v>0</v>
      </c>
      <c r="Z220" s="493" t="str">
        <f>Y220*V220*U220*W$183</f>
        <v>#REF!</v>
      </c>
      <c r="AA220" s="494" t="str">
        <f>Z220/T220</f>
        <v>#REF!</v>
      </c>
      <c r="AB220" s="508"/>
      <c r="AC220" s="509" t="str">
        <f>'Audit Check'!R37</f>
        <v>W-KSFixing</v>
      </c>
      <c r="AD220" s="495"/>
      <c r="AE220" s="488">
        <f t="shared" si="117"/>
        <v>0</v>
      </c>
      <c r="AF220" s="489">
        <f t="shared" si="211"/>
        <v>4</v>
      </c>
      <c r="AG220" s="495" t="str">
        <f t="shared" si="212"/>
        <v/>
      </c>
      <c r="AH220" s="491">
        <f t="shared" si="224"/>
        <v>30</v>
      </c>
      <c r="AI220" s="489">
        <f t="shared" si="213"/>
        <v>240</v>
      </c>
      <c r="AJ220" s="492">
        <f t="shared" si="214"/>
        <v>0</v>
      </c>
      <c r="AK220" s="493">
        <f t="shared" si="215"/>
        <v>0</v>
      </c>
      <c r="AL220" s="494" t="str">
        <f t="shared" si="216"/>
        <v>#DIV/0!</v>
      </c>
      <c r="AM220" s="5"/>
      <c r="AN220" s="509" t="str">
        <f>'Audit Check'!S37</f>
        <v/>
      </c>
      <c r="AO220" s="495"/>
      <c r="AP220" s="488">
        <f t="shared" si="118"/>
        <v>0</v>
      </c>
      <c r="AQ220" s="489">
        <f t="shared" si="217"/>
        <v>4</v>
      </c>
      <c r="AR220" s="495" t="str">
        <f t="shared" si="218"/>
        <v/>
      </c>
      <c r="AS220" s="491">
        <f t="shared" si="225"/>
        <v>30</v>
      </c>
      <c r="AT220" s="489">
        <f t="shared" si="219"/>
        <v>240</v>
      </c>
      <c r="AU220" s="492">
        <f t="shared" si="220"/>
        <v>0</v>
      </c>
      <c r="AV220" s="493">
        <f t="shared" si="221"/>
        <v>0</v>
      </c>
      <c r="AW220" s="494" t="str">
        <f t="shared" si="222"/>
        <v>#DIV/0!</v>
      </c>
      <c r="AX220" s="5"/>
      <c r="AY220" s="5"/>
      <c r="AZ220" s="5"/>
      <c r="BA220" s="5"/>
      <c r="BB220" s="5"/>
      <c r="BC220" s="5"/>
      <c r="BD220" s="5"/>
      <c r="BE220" s="5"/>
      <c r="BF220" s="5"/>
      <c r="BG220" s="5"/>
      <c r="BH220" s="5"/>
    </row>
    <row r="221" ht="12.75" customHeight="1">
      <c r="A221" s="1"/>
      <c r="B221" s="2"/>
      <c r="C221" s="499" t="s">
        <v>274</v>
      </c>
      <c r="D221" s="366"/>
      <c r="E221" s="367"/>
      <c r="F221" s="368"/>
      <c r="G221" s="368"/>
      <c r="H221" s="368"/>
      <c r="I221" s="437">
        <v>1.0</v>
      </c>
      <c r="J221" s="436">
        <v>2.0</v>
      </c>
      <c r="K221" s="370">
        <v>600.0</v>
      </c>
      <c r="L221" s="367"/>
      <c r="M221" s="401">
        <v>0.0</v>
      </c>
      <c r="N221" s="372">
        <f t="shared" si="223"/>
        <v>0</v>
      </c>
      <c r="O221" s="2"/>
      <c r="P221" s="2"/>
      <c r="Q221" s="2"/>
      <c r="R221" s="486" t="str">
        <f>'Audit Check'!Q36</f>
        <v>R-KSFixing</v>
      </c>
      <c r="S221" s="487" t="s">
        <v>52</v>
      </c>
      <c r="T221" s="488">
        <f t="shared" si="120"/>
        <v>0</v>
      </c>
      <c r="U221" s="496"/>
      <c r="V221" s="495"/>
      <c r="W221" s="496"/>
      <c r="X221" s="496"/>
      <c r="Y221" s="496"/>
      <c r="Z221" s="497"/>
      <c r="AA221" s="498"/>
      <c r="AB221" s="508"/>
      <c r="AC221" s="509" t="str">
        <f>'Audit Check'!R38</f>
        <v>W-Flashing</v>
      </c>
      <c r="AD221" s="495"/>
      <c r="AE221" s="488">
        <f t="shared" si="117"/>
        <v>14.74</v>
      </c>
      <c r="AF221" s="489">
        <f t="shared" si="211"/>
        <v>4</v>
      </c>
      <c r="AG221" s="495" t="str">
        <f t="shared" si="212"/>
        <v/>
      </c>
      <c r="AH221" s="491">
        <f t="shared" si="224"/>
        <v>30</v>
      </c>
      <c r="AI221" s="489">
        <f t="shared" si="213"/>
        <v>240</v>
      </c>
      <c r="AJ221" s="492">
        <f t="shared" si="214"/>
        <v>0.07</v>
      </c>
      <c r="AK221" s="493">
        <f t="shared" si="215"/>
        <v>0</v>
      </c>
      <c r="AL221" s="494">
        <f t="shared" si="216"/>
        <v>0</v>
      </c>
      <c r="AM221" s="5"/>
      <c r="AN221" s="509" t="str">
        <f>'Audit Check'!S38</f>
        <v/>
      </c>
      <c r="AO221" s="495"/>
      <c r="AP221" s="488">
        <f t="shared" si="118"/>
        <v>0</v>
      </c>
      <c r="AQ221" s="489">
        <f t="shared" si="217"/>
        <v>4</v>
      </c>
      <c r="AR221" s="495" t="str">
        <f t="shared" si="218"/>
        <v/>
      </c>
      <c r="AS221" s="491">
        <f t="shared" si="225"/>
        <v>30</v>
      </c>
      <c r="AT221" s="489">
        <f t="shared" si="219"/>
        <v>240</v>
      </c>
      <c r="AU221" s="492">
        <f t="shared" si="220"/>
        <v>0</v>
      </c>
      <c r="AV221" s="493">
        <f t="shared" si="221"/>
        <v>0</v>
      </c>
      <c r="AW221" s="494" t="str">
        <f t="shared" si="222"/>
        <v>#DIV/0!</v>
      </c>
      <c r="AX221" s="5"/>
      <c r="AY221" s="5"/>
      <c r="AZ221" s="5"/>
      <c r="BA221" s="5"/>
      <c r="BB221" s="5"/>
      <c r="BC221" s="5"/>
      <c r="BD221" s="5"/>
      <c r="BE221" s="5"/>
      <c r="BF221" s="5"/>
      <c r="BG221" s="5"/>
      <c r="BH221" s="5"/>
    </row>
    <row r="222" ht="12.75" customHeight="1">
      <c r="A222" s="1"/>
      <c r="B222" s="2"/>
      <c r="C222" s="376"/>
      <c r="D222" s="348"/>
      <c r="E222" s="3"/>
      <c r="F222" s="2"/>
      <c r="G222" s="2"/>
      <c r="H222" s="2"/>
      <c r="I222" s="2"/>
      <c r="J222" s="2"/>
      <c r="K222" s="2"/>
      <c r="L222" s="3"/>
      <c r="M222" s="3"/>
      <c r="N222" s="351"/>
      <c r="O222" s="2"/>
      <c r="P222" s="2"/>
      <c r="Q222" s="6"/>
      <c r="R222" s="486" t="str">
        <f>'Audit Check'!Q37</f>
        <v>R-KSStitching</v>
      </c>
      <c r="S222" s="487" t="s">
        <v>52</v>
      </c>
      <c r="T222" s="488">
        <f t="shared" si="120"/>
        <v>0</v>
      </c>
      <c r="U222" s="489">
        <f t="shared" ref="U222:U236" si="226">$X$173</f>
        <v>4</v>
      </c>
      <c r="V222" s="490" t="str">
        <f t="shared" ref="V222:V236" si="227">AC$176</f>
        <v>#REF!</v>
      </c>
      <c r="W222" s="491">
        <f>(5/3)*$X$173</f>
        <v>6.666666667</v>
      </c>
      <c r="X222" s="489">
        <f t="shared" ref="X222:X236" si="228">W222*W$183</f>
        <v>53.33333333</v>
      </c>
      <c r="Y222" s="492">
        <f t="shared" ref="Y222:Y236" si="229">ROUNDUP(T222/X222,2)</f>
        <v>0</v>
      </c>
      <c r="Z222" s="493" t="str">
        <f t="shared" ref="Z222:Z236" si="230">Y222*V222*U222*W$183</f>
        <v>#REF!</v>
      </c>
      <c r="AA222" s="494" t="str">
        <f t="shared" ref="AA222:AA236" si="231">Z222/T222</f>
        <v>#REF!</v>
      </c>
      <c r="AB222" s="508"/>
      <c r="AC222" s="509" t="str">
        <f>'Audit Check'!R39</f>
        <v>W-MAnchor</v>
      </c>
      <c r="AD222" s="495"/>
      <c r="AE222" s="488">
        <f t="shared" si="117"/>
        <v>0</v>
      </c>
      <c r="AF222" s="489">
        <f t="shared" si="211"/>
        <v>4</v>
      </c>
      <c r="AG222" s="495" t="str">
        <f t="shared" si="212"/>
        <v/>
      </c>
      <c r="AH222" s="491">
        <f t="shared" si="224"/>
        <v>30</v>
      </c>
      <c r="AI222" s="489">
        <f t="shared" si="213"/>
        <v>240</v>
      </c>
      <c r="AJ222" s="492">
        <f t="shared" si="214"/>
        <v>0</v>
      </c>
      <c r="AK222" s="493">
        <f t="shared" si="215"/>
        <v>0</v>
      </c>
      <c r="AL222" s="494" t="str">
        <f t="shared" si="216"/>
        <v>#DIV/0!</v>
      </c>
      <c r="AM222" s="5"/>
      <c r="AN222" s="509" t="str">
        <f>'Audit Check'!S39</f>
        <v/>
      </c>
      <c r="AO222" s="495"/>
      <c r="AP222" s="488">
        <f t="shared" si="118"/>
        <v>0</v>
      </c>
      <c r="AQ222" s="489">
        <f t="shared" si="217"/>
        <v>4</v>
      </c>
      <c r="AR222" s="495" t="str">
        <f t="shared" si="218"/>
        <v/>
      </c>
      <c r="AS222" s="491">
        <f t="shared" si="225"/>
        <v>30</v>
      </c>
      <c r="AT222" s="489">
        <f t="shared" si="219"/>
        <v>240</v>
      </c>
      <c r="AU222" s="492">
        <f t="shared" si="220"/>
        <v>0</v>
      </c>
      <c r="AV222" s="493">
        <f t="shared" si="221"/>
        <v>0</v>
      </c>
      <c r="AW222" s="494" t="str">
        <f t="shared" si="222"/>
        <v>#DIV/0!</v>
      </c>
      <c r="AX222" s="5"/>
      <c r="AY222" s="5"/>
      <c r="AZ222" s="5"/>
      <c r="BA222" s="5"/>
      <c r="BB222" s="5"/>
      <c r="BC222" s="5"/>
      <c r="BD222" s="5"/>
      <c r="BE222" s="5"/>
      <c r="BF222" s="5"/>
      <c r="BG222" s="5"/>
      <c r="BH222" s="5"/>
    </row>
    <row r="223" ht="12.75" customHeight="1">
      <c r="A223" s="1"/>
      <c r="B223" s="2"/>
      <c r="C223" s="329" t="s">
        <v>276</v>
      </c>
      <c r="D223" s="330"/>
      <c r="E223" s="331"/>
      <c r="F223" s="332"/>
      <c r="G223" s="332"/>
      <c r="H223" s="332"/>
      <c r="I223" s="333" t="s">
        <v>18</v>
      </c>
      <c r="J223" s="334" t="s">
        <v>15</v>
      </c>
      <c r="K223" s="335" t="s">
        <v>26</v>
      </c>
      <c r="L223" s="414"/>
      <c r="M223" s="414"/>
      <c r="N223" s="381" t="str">
        <f>SUM(N225:N245)</f>
        <v>#REF!</v>
      </c>
      <c r="O223" s="2"/>
      <c r="P223" s="2"/>
      <c r="Q223" s="6"/>
      <c r="R223" s="486" t="str">
        <f>'Audit Check'!Q38</f>
        <v>R-LM</v>
      </c>
      <c r="S223" s="487" t="s">
        <v>52</v>
      </c>
      <c r="T223" s="488">
        <f t="shared" si="120"/>
        <v>0</v>
      </c>
      <c r="U223" s="489">
        <f t="shared" si="226"/>
        <v>4</v>
      </c>
      <c r="V223" s="490" t="str">
        <f t="shared" si="227"/>
        <v>#REF!</v>
      </c>
      <c r="W223" s="491">
        <f t="shared" ref="W223:W224" si="232">(15/1)*$X$173</f>
        <v>60</v>
      </c>
      <c r="X223" s="489">
        <f t="shared" si="228"/>
        <v>480</v>
      </c>
      <c r="Y223" s="492">
        <f t="shared" si="229"/>
        <v>0</v>
      </c>
      <c r="Z223" s="493" t="str">
        <f t="shared" si="230"/>
        <v>#REF!</v>
      </c>
      <c r="AA223" s="494" t="str">
        <f t="shared" si="231"/>
        <v>#REF!</v>
      </c>
      <c r="AB223" s="508"/>
      <c r="AC223" s="509" t="str">
        <f>'Audit Check'!R40</f>
        <v>W-KSStitching</v>
      </c>
      <c r="AD223" s="495"/>
      <c r="AE223" s="488">
        <f t="shared" si="117"/>
        <v>0</v>
      </c>
      <c r="AF223" s="489">
        <f t="shared" si="211"/>
        <v>4</v>
      </c>
      <c r="AG223" s="495" t="str">
        <f t="shared" si="212"/>
        <v/>
      </c>
      <c r="AH223" s="491">
        <f t="shared" si="224"/>
        <v>30</v>
      </c>
      <c r="AI223" s="489">
        <f t="shared" si="213"/>
        <v>240</v>
      </c>
      <c r="AJ223" s="492">
        <f t="shared" si="214"/>
        <v>0</v>
      </c>
      <c r="AK223" s="493">
        <f t="shared" si="215"/>
        <v>0</v>
      </c>
      <c r="AL223" s="494" t="str">
        <f t="shared" si="216"/>
        <v>#DIV/0!</v>
      </c>
      <c r="AM223" s="5"/>
      <c r="AN223" s="509" t="str">
        <f>'Audit Check'!S40</f>
        <v/>
      </c>
      <c r="AO223" s="495"/>
      <c r="AP223" s="488">
        <f t="shared" si="118"/>
        <v>0</v>
      </c>
      <c r="AQ223" s="489">
        <f t="shared" si="217"/>
        <v>4</v>
      </c>
      <c r="AR223" s="495" t="str">
        <f t="shared" si="218"/>
        <v/>
      </c>
      <c r="AS223" s="491">
        <f t="shared" si="225"/>
        <v>30</v>
      </c>
      <c r="AT223" s="489">
        <f t="shared" si="219"/>
        <v>240</v>
      </c>
      <c r="AU223" s="492">
        <f t="shared" si="220"/>
        <v>0</v>
      </c>
      <c r="AV223" s="493">
        <f t="shared" si="221"/>
        <v>0</v>
      </c>
      <c r="AW223" s="494" t="str">
        <f t="shared" si="222"/>
        <v>#DIV/0!</v>
      </c>
      <c r="AX223" s="5"/>
      <c r="AY223" s="5"/>
      <c r="AZ223" s="5"/>
      <c r="BA223" s="5"/>
      <c r="BB223" s="5"/>
      <c r="BC223" s="5"/>
      <c r="BD223" s="5"/>
      <c r="BE223" s="5"/>
      <c r="BF223" s="5"/>
      <c r="BG223" s="5"/>
      <c r="BH223" s="5"/>
    </row>
    <row r="224" ht="12.75" customHeight="1">
      <c r="A224" s="1"/>
      <c r="B224" s="2"/>
      <c r="C224" s="510" t="s">
        <v>277</v>
      </c>
      <c r="D224" s="348"/>
      <c r="E224" s="3"/>
      <c r="F224" s="2"/>
      <c r="G224" s="2"/>
      <c r="H224" s="2"/>
      <c r="I224" s="328"/>
      <c r="J224" s="5"/>
      <c r="K224" s="328"/>
      <c r="L224" s="3"/>
      <c r="M224" s="3"/>
      <c r="N224" s="351"/>
      <c r="O224" s="2"/>
      <c r="P224" s="2"/>
      <c r="Q224" s="6"/>
      <c r="R224" s="486" t="str">
        <f>'Audit Check'!Q39</f>
        <v>R-m2</v>
      </c>
      <c r="S224" s="487" t="s">
        <v>52</v>
      </c>
      <c r="T224" s="488">
        <f t="shared" si="120"/>
        <v>0</v>
      </c>
      <c r="U224" s="489">
        <f t="shared" si="226"/>
        <v>4</v>
      </c>
      <c r="V224" s="490" t="str">
        <f t="shared" si="227"/>
        <v>#REF!</v>
      </c>
      <c r="W224" s="491">
        <f t="shared" si="232"/>
        <v>60</v>
      </c>
      <c r="X224" s="489">
        <f t="shared" si="228"/>
        <v>480</v>
      </c>
      <c r="Y224" s="492">
        <f t="shared" si="229"/>
        <v>0</v>
      </c>
      <c r="Z224" s="493" t="str">
        <f t="shared" si="230"/>
        <v>#REF!</v>
      </c>
      <c r="AA224" s="494" t="str">
        <f t="shared" si="231"/>
        <v>#REF!</v>
      </c>
      <c r="AB224" s="508"/>
      <c r="AC224" s="509" t="str">
        <f>'Audit Check'!R41</f>
        <v>W-BattenVent</v>
      </c>
      <c r="AD224" s="495"/>
      <c r="AE224" s="488">
        <f t="shared" si="117"/>
        <v>0</v>
      </c>
      <c r="AF224" s="489">
        <f t="shared" si="211"/>
        <v>4</v>
      </c>
      <c r="AG224" s="495" t="str">
        <f t="shared" si="212"/>
        <v/>
      </c>
      <c r="AH224" s="491">
        <f t="shared" si="224"/>
        <v>30</v>
      </c>
      <c r="AI224" s="489">
        <f t="shared" si="213"/>
        <v>240</v>
      </c>
      <c r="AJ224" s="492">
        <f t="shared" si="214"/>
        <v>0</v>
      </c>
      <c r="AK224" s="493">
        <f t="shared" si="215"/>
        <v>0</v>
      </c>
      <c r="AL224" s="494" t="str">
        <f t="shared" si="216"/>
        <v>#DIV/0!</v>
      </c>
      <c r="AM224" s="5"/>
      <c r="AN224" s="509" t="str">
        <f>'Audit Check'!S41</f>
        <v/>
      </c>
      <c r="AO224" s="495"/>
      <c r="AP224" s="488">
        <f t="shared" si="118"/>
        <v>0</v>
      </c>
      <c r="AQ224" s="489">
        <f t="shared" si="217"/>
        <v>4</v>
      </c>
      <c r="AR224" s="495" t="str">
        <f t="shared" si="218"/>
        <v/>
      </c>
      <c r="AS224" s="491">
        <f t="shared" si="225"/>
        <v>30</v>
      </c>
      <c r="AT224" s="489">
        <f t="shared" si="219"/>
        <v>240</v>
      </c>
      <c r="AU224" s="492">
        <f t="shared" si="220"/>
        <v>0</v>
      </c>
      <c r="AV224" s="493">
        <f t="shared" si="221"/>
        <v>0</v>
      </c>
      <c r="AW224" s="494" t="str">
        <f t="shared" si="222"/>
        <v>#DIV/0!</v>
      </c>
      <c r="AX224" s="5"/>
      <c r="AY224" s="5"/>
      <c r="AZ224" s="5"/>
      <c r="BA224" s="5"/>
      <c r="BB224" s="5"/>
      <c r="BC224" s="5"/>
      <c r="BD224" s="5"/>
      <c r="BE224" s="5"/>
      <c r="BF224" s="5"/>
      <c r="BG224" s="5"/>
      <c r="BH224" s="5"/>
    </row>
    <row r="225" ht="12.75" customHeight="1">
      <c r="A225" s="1"/>
      <c r="B225" s="2"/>
      <c r="C225" s="499" t="s">
        <v>278</v>
      </c>
      <c r="D225" s="366"/>
      <c r="E225" s="367"/>
      <c r="F225" s="368"/>
      <c r="G225" s="368"/>
      <c r="H225" s="368"/>
      <c r="I225" s="437">
        <v>1.0</v>
      </c>
      <c r="J225" s="436">
        <v>2.0</v>
      </c>
      <c r="K225" s="370">
        <v>750.0</v>
      </c>
      <c r="L225" s="367"/>
      <c r="M225" s="401">
        <v>0.0</v>
      </c>
      <c r="N225" s="372">
        <f t="shared" ref="N225:N227" si="233">M225*K225*J225*I225</f>
        <v>0</v>
      </c>
      <c r="O225" s="2"/>
      <c r="P225" s="2"/>
      <c r="Q225" s="6"/>
      <c r="R225" s="486" t="str">
        <f>'Audit Check'!Q40</f>
        <v>R-MAnchor</v>
      </c>
      <c r="S225" s="487" t="s">
        <v>52</v>
      </c>
      <c r="T225" s="488">
        <f t="shared" si="120"/>
        <v>0</v>
      </c>
      <c r="U225" s="489">
        <f t="shared" si="226"/>
        <v>4</v>
      </c>
      <c r="V225" s="490" t="str">
        <f t="shared" si="227"/>
        <v>#REF!</v>
      </c>
      <c r="W225" s="491">
        <f>(2/2)*$X$173</f>
        <v>4</v>
      </c>
      <c r="X225" s="489">
        <f t="shared" si="228"/>
        <v>32</v>
      </c>
      <c r="Y225" s="492">
        <f t="shared" si="229"/>
        <v>0</v>
      </c>
      <c r="Z225" s="493" t="str">
        <f t="shared" si="230"/>
        <v>#REF!</v>
      </c>
      <c r="AA225" s="494" t="str">
        <f t="shared" si="231"/>
        <v>#REF!</v>
      </c>
      <c r="AB225" s="508"/>
      <c r="AC225" s="509" t="str">
        <f>'Audit Check'!R42</f>
        <v>W-Timber LM</v>
      </c>
      <c r="AD225" s="495"/>
      <c r="AE225" s="488">
        <f t="shared" si="117"/>
        <v>14.74</v>
      </c>
      <c r="AF225" s="489">
        <f t="shared" si="211"/>
        <v>4</v>
      </c>
      <c r="AG225" s="495" t="str">
        <f t="shared" si="212"/>
        <v/>
      </c>
      <c r="AH225" s="491">
        <f t="shared" si="224"/>
        <v>30</v>
      </c>
      <c r="AI225" s="489">
        <f t="shared" si="213"/>
        <v>240</v>
      </c>
      <c r="AJ225" s="492">
        <f t="shared" si="214"/>
        <v>0.07</v>
      </c>
      <c r="AK225" s="493">
        <f t="shared" si="215"/>
        <v>0</v>
      </c>
      <c r="AL225" s="494">
        <f t="shared" si="216"/>
        <v>0</v>
      </c>
      <c r="AM225" s="5"/>
      <c r="AN225" s="509" t="str">
        <f>'Audit Check'!S42</f>
        <v/>
      </c>
      <c r="AO225" s="495"/>
      <c r="AP225" s="488">
        <f t="shared" si="118"/>
        <v>0</v>
      </c>
      <c r="AQ225" s="489">
        <f t="shared" si="217"/>
        <v>4</v>
      </c>
      <c r="AR225" s="495" t="str">
        <f t="shared" si="218"/>
        <v/>
      </c>
      <c r="AS225" s="491">
        <f t="shared" si="225"/>
        <v>30</v>
      </c>
      <c r="AT225" s="489">
        <f t="shared" si="219"/>
        <v>240</v>
      </c>
      <c r="AU225" s="492">
        <f t="shared" si="220"/>
        <v>0</v>
      </c>
      <c r="AV225" s="493">
        <f t="shared" si="221"/>
        <v>0</v>
      </c>
      <c r="AW225" s="494" t="str">
        <f t="shared" si="222"/>
        <v>#DIV/0!</v>
      </c>
      <c r="AX225" s="5"/>
      <c r="AY225" s="5"/>
      <c r="AZ225" s="5"/>
      <c r="BA225" s="5"/>
      <c r="BB225" s="5"/>
      <c r="BC225" s="5"/>
      <c r="BD225" s="5"/>
      <c r="BE225" s="5"/>
      <c r="BF225" s="5"/>
      <c r="BG225" s="5"/>
      <c r="BH225" s="5"/>
    </row>
    <row r="226" ht="12.75" customHeight="1">
      <c r="A226" s="1"/>
      <c r="B226" s="2"/>
      <c r="C226" s="499" t="s">
        <v>279</v>
      </c>
      <c r="D226" s="366"/>
      <c r="E226" s="367"/>
      <c r="F226" s="368"/>
      <c r="G226" s="368"/>
      <c r="H226" s="368"/>
      <c r="I226" s="437">
        <f t="shared" ref="I226:I227" si="234">I225</f>
        <v>1</v>
      </c>
      <c r="J226" s="436">
        <v>0.0</v>
      </c>
      <c r="K226" s="370">
        <v>3000.0</v>
      </c>
      <c r="L226" s="367"/>
      <c r="M226" s="401">
        <v>0.0</v>
      </c>
      <c r="N226" s="372">
        <f t="shared" si="233"/>
        <v>0</v>
      </c>
      <c r="O226" s="2"/>
      <c r="P226" s="2"/>
      <c r="Q226" s="6"/>
      <c r="R226" s="486" t="str">
        <f>'Audit Check'!Q41</f>
        <v>R-OF</v>
      </c>
      <c r="S226" s="487" t="s">
        <v>52</v>
      </c>
      <c r="T226" s="488">
        <f t="shared" si="120"/>
        <v>0</v>
      </c>
      <c r="U226" s="489">
        <f t="shared" si="226"/>
        <v>4</v>
      </c>
      <c r="V226" s="490" t="str">
        <f t="shared" si="227"/>
        <v>#REF!</v>
      </c>
      <c r="W226" s="491">
        <f>(1/2)*$X$173</f>
        <v>2</v>
      </c>
      <c r="X226" s="489">
        <f t="shared" si="228"/>
        <v>16</v>
      </c>
      <c r="Y226" s="492">
        <f t="shared" si="229"/>
        <v>0</v>
      </c>
      <c r="Z226" s="493" t="str">
        <f t="shared" si="230"/>
        <v>#REF!</v>
      </c>
      <c r="AA226" s="494" t="str">
        <f t="shared" si="231"/>
        <v>#REF!</v>
      </c>
      <c r="AB226" s="508"/>
      <c r="AC226" s="509" t="str">
        <f>'Audit Check'!R43</f>
        <v>W-Timber m2</v>
      </c>
      <c r="AD226" s="495"/>
      <c r="AE226" s="488">
        <f t="shared" si="117"/>
        <v>0</v>
      </c>
      <c r="AF226" s="489">
        <f t="shared" si="211"/>
        <v>4</v>
      </c>
      <c r="AG226" s="495" t="str">
        <f t="shared" si="212"/>
        <v/>
      </c>
      <c r="AH226" s="491">
        <f t="shared" si="224"/>
        <v>30</v>
      </c>
      <c r="AI226" s="489">
        <f t="shared" si="213"/>
        <v>240</v>
      </c>
      <c r="AJ226" s="492">
        <f t="shared" si="214"/>
        <v>0</v>
      </c>
      <c r="AK226" s="493">
        <f t="shared" si="215"/>
        <v>0</v>
      </c>
      <c r="AL226" s="494" t="str">
        <f t="shared" si="216"/>
        <v>#DIV/0!</v>
      </c>
      <c r="AM226" s="5"/>
      <c r="AN226" s="509" t="str">
        <f>'Audit Check'!S43</f>
        <v/>
      </c>
      <c r="AO226" s="495"/>
      <c r="AP226" s="488">
        <f t="shared" si="118"/>
        <v>0</v>
      </c>
      <c r="AQ226" s="489">
        <f t="shared" si="217"/>
        <v>4</v>
      </c>
      <c r="AR226" s="495" t="str">
        <f t="shared" si="218"/>
        <v/>
      </c>
      <c r="AS226" s="491">
        <f t="shared" si="225"/>
        <v>30</v>
      </c>
      <c r="AT226" s="489">
        <f t="shared" si="219"/>
        <v>240</v>
      </c>
      <c r="AU226" s="492">
        <f t="shared" si="220"/>
        <v>0</v>
      </c>
      <c r="AV226" s="493">
        <f t="shared" si="221"/>
        <v>0</v>
      </c>
      <c r="AW226" s="494" t="str">
        <f t="shared" si="222"/>
        <v>#DIV/0!</v>
      </c>
      <c r="AX226" s="5"/>
      <c r="AY226" s="5"/>
      <c r="AZ226" s="5"/>
      <c r="BA226" s="5"/>
      <c r="BB226" s="5"/>
      <c r="BC226" s="5"/>
      <c r="BD226" s="5"/>
      <c r="BE226" s="5"/>
      <c r="BF226" s="5"/>
      <c r="BG226" s="5"/>
      <c r="BH226" s="5"/>
    </row>
    <row r="227" ht="12.75" customHeight="1">
      <c r="A227" s="1"/>
      <c r="B227" s="2"/>
      <c r="C227" s="499" t="s">
        <v>280</v>
      </c>
      <c r="D227" s="366"/>
      <c r="E227" s="367"/>
      <c r="F227" s="368"/>
      <c r="G227" s="368"/>
      <c r="H227" s="368"/>
      <c r="I227" s="437">
        <f t="shared" si="234"/>
        <v>1</v>
      </c>
      <c r="J227" s="436">
        <f>J226</f>
        <v>0</v>
      </c>
      <c r="K227" s="370">
        <v>95.0</v>
      </c>
      <c r="L227" s="367"/>
      <c r="M227" s="361"/>
      <c r="N227" s="372">
        <f t="shared" si="233"/>
        <v>0</v>
      </c>
      <c r="O227" s="2"/>
      <c r="P227" s="2"/>
      <c r="Q227" s="6"/>
      <c r="R227" s="486" t="str">
        <f>'Audit Check'!Q42</f>
        <v>R-OP</v>
      </c>
      <c r="S227" s="487" t="s">
        <v>52</v>
      </c>
      <c r="T227" s="488">
        <f t="shared" si="120"/>
        <v>5</v>
      </c>
      <c r="U227" s="489">
        <f t="shared" si="226"/>
        <v>4</v>
      </c>
      <c r="V227" s="490" t="str">
        <f t="shared" si="227"/>
        <v>#REF!</v>
      </c>
      <c r="W227" s="491">
        <f>(4/2)*$X$173</f>
        <v>8</v>
      </c>
      <c r="X227" s="489">
        <f t="shared" si="228"/>
        <v>64</v>
      </c>
      <c r="Y227" s="492">
        <f t="shared" si="229"/>
        <v>0.08</v>
      </c>
      <c r="Z227" s="493" t="str">
        <f t="shared" si="230"/>
        <v>#REF!</v>
      </c>
      <c r="AA227" s="494" t="str">
        <f t="shared" si="231"/>
        <v>#REF!</v>
      </c>
      <c r="AB227" s="508"/>
      <c r="AC227" s="509" t="str">
        <f>'Audit Check'!R44</f>
        <v>W-TimberLMFix</v>
      </c>
      <c r="AD227" s="495"/>
      <c r="AE227" s="488">
        <f t="shared" si="117"/>
        <v>0</v>
      </c>
      <c r="AF227" s="489">
        <f t="shared" si="211"/>
        <v>4</v>
      </c>
      <c r="AG227" s="495" t="str">
        <f t="shared" si="212"/>
        <v/>
      </c>
      <c r="AH227" s="491">
        <f t="shared" si="224"/>
        <v>30</v>
      </c>
      <c r="AI227" s="489">
        <f t="shared" si="213"/>
        <v>240</v>
      </c>
      <c r="AJ227" s="492">
        <f t="shared" si="214"/>
        <v>0</v>
      </c>
      <c r="AK227" s="493">
        <f t="shared" si="215"/>
        <v>0</v>
      </c>
      <c r="AL227" s="494" t="str">
        <f t="shared" si="216"/>
        <v>#DIV/0!</v>
      </c>
      <c r="AM227" s="5"/>
      <c r="AN227" s="509" t="str">
        <f>'Audit Check'!S44</f>
        <v/>
      </c>
      <c r="AO227" s="495"/>
      <c r="AP227" s="488">
        <f t="shared" si="118"/>
        <v>0</v>
      </c>
      <c r="AQ227" s="489">
        <f t="shared" si="217"/>
        <v>4</v>
      </c>
      <c r="AR227" s="495" t="str">
        <f t="shared" si="218"/>
        <v/>
      </c>
      <c r="AS227" s="491">
        <f t="shared" si="225"/>
        <v>30</v>
      </c>
      <c r="AT227" s="489">
        <f t="shared" si="219"/>
        <v>240</v>
      </c>
      <c r="AU227" s="492">
        <f t="shared" si="220"/>
        <v>0</v>
      </c>
      <c r="AV227" s="493">
        <f t="shared" si="221"/>
        <v>0</v>
      </c>
      <c r="AW227" s="494" t="str">
        <f t="shared" si="222"/>
        <v>#DIV/0!</v>
      </c>
      <c r="AX227" s="5"/>
      <c r="AY227" s="5"/>
      <c r="AZ227" s="5"/>
      <c r="BA227" s="5"/>
      <c r="BB227" s="5"/>
      <c r="BC227" s="5"/>
      <c r="BD227" s="5"/>
      <c r="BE227" s="5"/>
      <c r="BF227" s="5"/>
      <c r="BG227" s="5"/>
      <c r="BH227" s="5"/>
    </row>
    <row r="228" ht="12.75" customHeight="1">
      <c r="A228" s="1"/>
      <c r="B228" s="2"/>
      <c r="C228" s="499" t="s">
        <v>281</v>
      </c>
      <c r="D228" s="366"/>
      <c r="E228" s="367"/>
      <c r="F228" s="368"/>
      <c r="G228" s="368"/>
      <c r="H228" s="368"/>
      <c r="I228" s="505"/>
      <c r="J228" s="505"/>
      <c r="K228" s="511"/>
      <c r="L228" s="367"/>
      <c r="M228" s="361"/>
      <c r="N228" s="372">
        <f>SUM(N226)*0.3</f>
        <v>0</v>
      </c>
      <c r="O228" s="2"/>
      <c r="P228" s="2"/>
      <c r="Q228" s="6"/>
      <c r="R228" s="486" t="str">
        <f>'Audit Check'!Q43</f>
        <v>R-OPFixing</v>
      </c>
      <c r="S228" s="487" t="s">
        <v>41</v>
      </c>
      <c r="T228" s="488">
        <f t="shared" si="120"/>
        <v>290</v>
      </c>
      <c r="U228" s="489">
        <f t="shared" si="226"/>
        <v>4</v>
      </c>
      <c r="V228" s="490" t="str">
        <f t="shared" si="227"/>
        <v>#REF!</v>
      </c>
      <c r="W228" s="491">
        <f>(10/4)*$X$173</f>
        <v>10</v>
      </c>
      <c r="X228" s="489">
        <f t="shared" si="228"/>
        <v>80</v>
      </c>
      <c r="Y228" s="492">
        <f t="shared" si="229"/>
        <v>3.63</v>
      </c>
      <c r="Z228" s="493" t="str">
        <f t="shared" si="230"/>
        <v>#REF!</v>
      </c>
      <c r="AA228" s="494" t="str">
        <f t="shared" si="231"/>
        <v>#REF!</v>
      </c>
      <c r="AB228" s="508"/>
      <c r="AC228" s="509" t="str">
        <f>'Audit Check'!R45</f>
        <v>W-Timberm2Fix</v>
      </c>
      <c r="AD228" s="495"/>
      <c r="AE228" s="488">
        <f t="shared" si="117"/>
        <v>0</v>
      </c>
      <c r="AF228" s="489">
        <f t="shared" si="211"/>
        <v>4</v>
      </c>
      <c r="AG228" s="495" t="str">
        <f t="shared" si="212"/>
        <v/>
      </c>
      <c r="AH228" s="491">
        <f t="shared" si="224"/>
        <v>30</v>
      </c>
      <c r="AI228" s="489">
        <f t="shared" si="213"/>
        <v>240</v>
      </c>
      <c r="AJ228" s="492">
        <f t="shared" si="214"/>
        <v>0</v>
      </c>
      <c r="AK228" s="493">
        <f t="shared" si="215"/>
        <v>0</v>
      </c>
      <c r="AL228" s="494" t="str">
        <f t="shared" si="216"/>
        <v>#DIV/0!</v>
      </c>
      <c r="AM228" s="5"/>
      <c r="AN228" s="509" t="str">
        <f>'Audit Check'!S45</f>
        <v/>
      </c>
      <c r="AO228" s="495"/>
      <c r="AP228" s="488">
        <f t="shared" si="118"/>
        <v>0</v>
      </c>
      <c r="AQ228" s="489">
        <f t="shared" si="217"/>
        <v>4</v>
      </c>
      <c r="AR228" s="495" t="str">
        <f t="shared" si="218"/>
        <v/>
      </c>
      <c r="AS228" s="491">
        <f t="shared" si="225"/>
        <v>30</v>
      </c>
      <c r="AT228" s="489">
        <f t="shared" si="219"/>
        <v>240</v>
      </c>
      <c r="AU228" s="492">
        <f t="shared" si="220"/>
        <v>0</v>
      </c>
      <c r="AV228" s="493">
        <f t="shared" si="221"/>
        <v>0</v>
      </c>
      <c r="AW228" s="494" t="str">
        <f t="shared" si="222"/>
        <v>#DIV/0!</v>
      </c>
      <c r="AX228" s="5"/>
      <c r="AY228" s="5"/>
      <c r="AZ228" s="5"/>
      <c r="BA228" s="5"/>
      <c r="BB228" s="5"/>
      <c r="BC228" s="5"/>
      <c r="BD228" s="5"/>
      <c r="BE228" s="5"/>
      <c r="BF228" s="5"/>
      <c r="BG228" s="5"/>
      <c r="BH228" s="5"/>
    </row>
    <row r="229" ht="12.75" customHeight="1">
      <c r="A229" s="1"/>
      <c r="B229" s="2"/>
      <c r="C229" s="503"/>
      <c r="D229" s="366"/>
      <c r="E229" s="367"/>
      <c r="F229" s="368"/>
      <c r="G229" s="368"/>
      <c r="H229" s="368"/>
      <c r="I229" s="505"/>
      <c r="J229" s="505"/>
      <c r="K229" s="511"/>
      <c r="L229" s="367"/>
      <c r="M229" s="361"/>
      <c r="N229" s="512"/>
      <c r="O229" s="2"/>
      <c r="P229" s="2"/>
      <c r="Q229" s="6"/>
      <c r="R229" s="486" t="str">
        <f>'Audit Check'!Q44</f>
        <v>R-OPSeal</v>
      </c>
      <c r="S229" s="487" t="s">
        <v>52</v>
      </c>
      <c r="T229" s="488">
        <f t="shared" si="120"/>
        <v>0</v>
      </c>
      <c r="U229" s="489">
        <f t="shared" si="226"/>
        <v>4</v>
      </c>
      <c r="V229" s="490" t="str">
        <f t="shared" si="227"/>
        <v>#REF!</v>
      </c>
      <c r="W229" s="491">
        <f>(20/1)*$X$173</f>
        <v>80</v>
      </c>
      <c r="X229" s="489">
        <f t="shared" si="228"/>
        <v>640</v>
      </c>
      <c r="Y229" s="492">
        <f t="shared" si="229"/>
        <v>0</v>
      </c>
      <c r="Z229" s="493" t="str">
        <f t="shared" si="230"/>
        <v>#REF!</v>
      </c>
      <c r="AA229" s="494" t="str">
        <f t="shared" si="231"/>
        <v>#REF!</v>
      </c>
      <c r="AB229" s="508"/>
      <c r="AC229" s="509" t="str">
        <f>'Audit Check'!R46</f>
        <v>W-Tophat</v>
      </c>
      <c r="AD229" s="495"/>
      <c r="AE229" s="488">
        <f t="shared" si="117"/>
        <v>0</v>
      </c>
      <c r="AF229" s="489">
        <f t="shared" si="211"/>
        <v>4</v>
      </c>
      <c r="AG229" s="495" t="str">
        <f t="shared" si="212"/>
        <v/>
      </c>
      <c r="AH229" s="491">
        <f t="shared" si="224"/>
        <v>30</v>
      </c>
      <c r="AI229" s="489">
        <f t="shared" si="213"/>
        <v>240</v>
      </c>
      <c r="AJ229" s="492">
        <f t="shared" si="214"/>
        <v>0</v>
      </c>
      <c r="AK229" s="493">
        <f t="shared" si="215"/>
        <v>0</v>
      </c>
      <c r="AL229" s="494" t="str">
        <f t="shared" si="216"/>
        <v>#DIV/0!</v>
      </c>
      <c r="AM229" s="5"/>
      <c r="AN229" s="509" t="str">
        <f>'Audit Check'!S46</f>
        <v/>
      </c>
      <c r="AO229" s="495"/>
      <c r="AP229" s="488">
        <f t="shared" si="118"/>
        <v>0</v>
      </c>
      <c r="AQ229" s="489">
        <f t="shared" si="217"/>
        <v>4</v>
      </c>
      <c r="AR229" s="495" t="str">
        <f t="shared" si="218"/>
        <v/>
      </c>
      <c r="AS229" s="491">
        <f t="shared" si="225"/>
        <v>30</v>
      </c>
      <c r="AT229" s="489">
        <f t="shared" si="219"/>
        <v>240</v>
      </c>
      <c r="AU229" s="492">
        <f t="shared" si="220"/>
        <v>0</v>
      </c>
      <c r="AV229" s="493">
        <f t="shared" si="221"/>
        <v>0</v>
      </c>
      <c r="AW229" s="494" t="str">
        <f t="shared" si="222"/>
        <v>#DIV/0!</v>
      </c>
      <c r="AX229" s="5"/>
      <c r="AY229" s="5"/>
      <c r="AZ229" s="5"/>
      <c r="BA229" s="5"/>
      <c r="BB229" s="5"/>
      <c r="BC229" s="5"/>
      <c r="BD229" s="5"/>
      <c r="BE229" s="5"/>
      <c r="BF229" s="5"/>
      <c r="BG229" s="5"/>
      <c r="BH229" s="5"/>
    </row>
    <row r="230" ht="12.75" customHeight="1">
      <c r="A230" s="1"/>
      <c r="B230" s="2"/>
      <c r="C230" s="510" t="s">
        <v>282</v>
      </c>
      <c r="D230" s="348"/>
      <c r="E230" s="3"/>
      <c r="F230" s="2"/>
      <c r="G230" s="2"/>
      <c r="H230" s="2"/>
      <c r="I230" s="5"/>
      <c r="J230" s="5"/>
      <c r="K230" s="328"/>
      <c r="L230" s="3"/>
      <c r="M230" s="3"/>
      <c r="N230" s="351"/>
      <c r="O230" s="2"/>
      <c r="P230" s="2"/>
      <c r="Q230" s="6"/>
      <c r="R230" s="486" t="str">
        <f>'Audit Check'!Q45</f>
        <v>R-PanFlash Fix</v>
      </c>
      <c r="S230" s="487" t="s">
        <v>41</v>
      </c>
      <c r="T230" s="488">
        <f t="shared" si="120"/>
        <v>0</v>
      </c>
      <c r="U230" s="489">
        <f t="shared" si="226"/>
        <v>4</v>
      </c>
      <c r="V230" s="490" t="str">
        <f t="shared" si="227"/>
        <v>#REF!</v>
      </c>
      <c r="W230" s="491">
        <f>(5/4)*$X$173</f>
        <v>5</v>
      </c>
      <c r="X230" s="489">
        <f t="shared" si="228"/>
        <v>40</v>
      </c>
      <c r="Y230" s="492">
        <f t="shared" si="229"/>
        <v>0</v>
      </c>
      <c r="Z230" s="493" t="str">
        <f t="shared" si="230"/>
        <v>#REF!</v>
      </c>
      <c r="AA230" s="494" t="str">
        <f t="shared" si="231"/>
        <v>#REF!</v>
      </c>
      <c r="AB230" s="508"/>
      <c r="AC230" s="509" t="str">
        <f>'Audit Check'!R47</f>
        <v>W-DPC</v>
      </c>
      <c r="AD230" s="495"/>
      <c r="AE230" s="488">
        <f t="shared" si="117"/>
        <v>14.74</v>
      </c>
      <c r="AF230" s="489">
        <f t="shared" si="211"/>
        <v>4</v>
      </c>
      <c r="AG230" s="495" t="str">
        <f t="shared" si="212"/>
        <v/>
      </c>
      <c r="AH230" s="491">
        <f t="shared" si="224"/>
        <v>30</v>
      </c>
      <c r="AI230" s="489">
        <f t="shared" si="213"/>
        <v>240</v>
      </c>
      <c r="AJ230" s="492">
        <f t="shared" si="214"/>
        <v>0.07</v>
      </c>
      <c r="AK230" s="493">
        <f t="shared" si="215"/>
        <v>0</v>
      </c>
      <c r="AL230" s="494">
        <f t="shared" si="216"/>
        <v>0</v>
      </c>
      <c r="AM230" s="5"/>
      <c r="AN230" s="509" t="str">
        <f>'Audit Check'!S47</f>
        <v/>
      </c>
      <c r="AO230" s="495"/>
      <c r="AP230" s="488">
        <f t="shared" si="118"/>
        <v>0</v>
      </c>
      <c r="AQ230" s="489">
        <f t="shared" si="217"/>
        <v>4</v>
      </c>
      <c r="AR230" s="495" t="str">
        <f t="shared" si="218"/>
        <v/>
      </c>
      <c r="AS230" s="491">
        <f t="shared" si="225"/>
        <v>30</v>
      </c>
      <c r="AT230" s="489">
        <f t="shared" si="219"/>
        <v>240</v>
      </c>
      <c r="AU230" s="492">
        <f t="shared" si="220"/>
        <v>0</v>
      </c>
      <c r="AV230" s="493">
        <f t="shared" si="221"/>
        <v>0</v>
      </c>
      <c r="AW230" s="494" t="str">
        <f t="shared" si="222"/>
        <v>#DIV/0!</v>
      </c>
      <c r="AX230" s="5"/>
      <c r="AY230" s="5"/>
      <c r="AZ230" s="5"/>
      <c r="BA230" s="5"/>
      <c r="BB230" s="5"/>
      <c r="BC230" s="5"/>
      <c r="BD230" s="5"/>
      <c r="BE230" s="5"/>
      <c r="BF230" s="5"/>
      <c r="BG230" s="5"/>
      <c r="BH230" s="5"/>
    </row>
    <row r="231" ht="12.75" customHeight="1">
      <c r="A231" s="1"/>
      <c r="B231" s="2"/>
      <c r="C231" s="499" t="s">
        <v>278</v>
      </c>
      <c r="D231" s="366"/>
      <c r="E231" s="367"/>
      <c r="F231" s="368"/>
      <c r="G231" s="368"/>
      <c r="H231" s="368"/>
      <c r="I231" s="437">
        <v>2.0</v>
      </c>
      <c r="J231" s="436" t="str">
        <f>W176</f>
        <v>#REF!</v>
      </c>
      <c r="K231" s="370">
        <v>500.0</v>
      </c>
      <c r="L231" s="367"/>
      <c r="M231" s="401">
        <v>1.0</v>
      </c>
      <c r="N231" s="372" t="str">
        <f t="shared" ref="N231:N233" si="236">M231*K231*J231*I231</f>
        <v>#REF!</v>
      </c>
      <c r="O231" s="2"/>
      <c r="P231" s="2"/>
      <c r="Q231" s="6"/>
      <c r="R231" s="486" t="str">
        <f>'Audit Check'!Q46</f>
        <v>R-PenoBig</v>
      </c>
      <c r="S231" s="487" t="s">
        <v>41</v>
      </c>
      <c r="T231" s="488">
        <f t="shared" si="120"/>
        <v>0</v>
      </c>
      <c r="U231" s="489">
        <f t="shared" si="226"/>
        <v>4</v>
      </c>
      <c r="V231" s="490" t="str">
        <f t="shared" si="227"/>
        <v>#REF!</v>
      </c>
      <c r="W231" s="491">
        <f>(100/4)*$X$173</f>
        <v>100</v>
      </c>
      <c r="X231" s="489">
        <f t="shared" si="228"/>
        <v>800</v>
      </c>
      <c r="Y231" s="492">
        <f t="shared" si="229"/>
        <v>0</v>
      </c>
      <c r="Z231" s="493" t="str">
        <f t="shared" si="230"/>
        <v>#REF!</v>
      </c>
      <c r="AA231" s="494" t="str">
        <f t="shared" si="231"/>
        <v>#REF!</v>
      </c>
      <c r="AB231" s="508"/>
      <c r="AC231" s="509" t="str">
        <f>'Audit Check'!R48</f>
        <v/>
      </c>
      <c r="AD231" s="495"/>
      <c r="AE231" s="488">
        <f t="shared" si="117"/>
        <v>0</v>
      </c>
      <c r="AF231" s="489">
        <f t="shared" si="211"/>
        <v>4</v>
      </c>
      <c r="AG231" s="495" t="str">
        <f t="shared" si="212"/>
        <v/>
      </c>
      <c r="AH231" s="491">
        <f t="shared" si="224"/>
        <v>30</v>
      </c>
      <c r="AI231" s="489">
        <f t="shared" si="213"/>
        <v>240</v>
      </c>
      <c r="AJ231" s="492">
        <f t="shared" si="214"/>
        <v>0</v>
      </c>
      <c r="AK231" s="493">
        <f t="shared" si="215"/>
        <v>0</v>
      </c>
      <c r="AL231" s="494" t="str">
        <f t="shared" si="216"/>
        <v>#DIV/0!</v>
      </c>
      <c r="AM231" s="5"/>
      <c r="AN231" s="509" t="str">
        <f>'Audit Check'!S48</f>
        <v/>
      </c>
      <c r="AO231" s="495"/>
      <c r="AP231" s="488">
        <f t="shared" si="118"/>
        <v>0</v>
      </c>
      <c r="AQ231" s="489">
        <f t="shared" si="217"/>
        <v>4</v>
      </c>
      <c r="AR231" s="495" t="str">
        <f t="shared" si="218"/>
        <v/>
      </c>
      <c r="AS231" s="491">
        <f t="shared" si="225"/>
        <v>30</v>
      </c>
      <c r="AT231" s="489">
        <f t="shared" si="219"/>
        <v>240</v>
      </c>
      <c r="AU231" s="492">
        <f t="shared" si="220"/>
        <v>0</v>
      </c>
      <c r="AV231" s="493">
        <f t="shared" si="221"/>
        <v>0</v>
      </c>
      <c r="AW231" s="494" t="str">
        <f t="shared" si="222"/>
        <v>#DIV/0!</v>
      </c>
      <c r="AX231" s="5"/>
      <c r="AY231" s="5"/>
      <c r="AZ231" s="5"/>
      <c r="BA231" s="5"/>
      <c r="BB231" s="5"/>
      <c r="BC231" s="5"/>
      <c r="BD231" s="5"/>
      <c r="BE231" s="5"/>
      <c r="BF231" s="5"/>
      <c r="BG231" s="5"/>
      <c r="BH231" s="5"/>
    </row>
    <row r="232" ht="12.75" customHeight="1">
      <c r="A232" s="1"/>
      <c r="B232" s="2"/>
      <c r="C232" s="499" t="s">
        <v>279</v>
      </c>
      <c r="D232" s="366"/>
      <c r="E232" s="367"/>
      <c r="F232" s="368"/>
      <c r="G232" s="368"/>
      <c r="H232" s="368"/>
      <c r="I232" s="437">
        <f t="shared" ref="I232:J232" si="235">I231</f>
        <v>2</v>
      </c>
      <c r="J232" s="436" t="str">
        <f t="shared" si="235"/>
        <v>#REF!</v>
      </c>
      <c r="K232" s="370">
        <v>1200.0</v>
      </c>
      <c r="L232" s="367"/>
      <c r="M232" s="401">
        <v>1.0</v>
      </c>
      <c r="N232" s="372" t="str">
        <f t="shared" si="236"/>
        <v>#REF!</v>
      </c>
      <c r="O232" s="2"/>
      <c r="P232" s="2"/>
      <c r="Q232" s="2"/>
      <c r="R232" s="486" t="str">
        <f>'Audit Check'!Q47</f>
        <v>R-PenoSmall</v>
      </c>
      <c r="S232" s="487" t="s">
        <v>52</v>
      </c>
      <c r="T232" s="488">
        <f t="shared" si="120"/>
        <v>0</v>
      </c>
      <c r="U232" s="489">
        <f t="shared" si="226"/>
        <v>4</v>
      </c>
      <c r="V232" s="490" t="str">
        <f t="shared" si="227"/>
        <v>#REF!</v>
      </c>
      <c r="W232" s="491">
        <f t="shared" ref="W232:W233" si="238">(10/1)*$X$173</f>
        <v>40</v>
      </c>
      <c r="X232" s="489">
        <f t="shared" si="228"/>
        <v>320</v>
      </c>
      <c r="Y232" s="492">
        <f t="shared" si="229"/>
        <v>0</v>
      </c>
      <c r="Z232" s="493" t="str">
        <f t="shared" si="230"/>
        <v>#REF!</v>
      </c>
      <c r="AA232" s="494" t="str">
        <f t="shared" si="231"/>
        <v>#REF!</v>
      </c>
      <c r="AB232" s="508"/>
      <c r="AC232" s="509" t="str">
        <f>'Audit Check'!R49</f>
        <v/>
      </c>
      <c r="AD232" s="495"/>
      <c r="AE232" s="488">
        <f t="shared" si="117"/>
        <v>0</v>
      </c>
      <c r="AF232" s="489">
        <f t="shared" si="211"/>
        <v>4</v>
      </c>
      <c r="AG232" s="495" t="str">
        <f t="shared" si="212"/>
        <v/>
      </c>
      <c r="AH232" s="491">
        <f t="shared" si="224"/>
        <v>30</v>
      </c>
      <c r="AI232" s="489">
        <f t="shared" si="213"/>
        <v>240</v>
      </c>
      <c r="AJ232" s="492">
        <f t="shared" si="214"/>
        <v>0</v>
      </c>
      <c r="AK232" s="493">
        <f t="shared" si="215"/>
        <v>0</v>
      </c>
      <c r="AL232" s="494" t="str">
        <f t="shared" si="216"/>
        <v>#DIV/0!</v>
      </c>
      <c r="AM232" s="5"/>
      <c r="AN232" s="509" t="str">
        <f>'Audit Check'!S49</f>
        <v/>
      </c>
      <c r="AO232" s="495"/>
      <c r="AP232" s="488">
        <f t="shared" si="118"/>
        <v>0</v>
      </c>
      <c r="AQ232" s="489">
        <f t="shared" si="217"/>
        <v>4</v>
      </c>
      <c r="AR232" s="495" t="str">
        <f t="shared" si="218"/>
        <v/>
      </c>
      <c r="AS232" s="491">
        <f t="shared" si="225"/>
        <v>30</v>
      </c>
      <c r="AT232" s="489">
        <f t="shared" si="219"/>
        <v>240</v>
      </c>
      <c r="AU232" s="492">
        <f t="shared" si="220"/>
        <v>0</v>
      </c>
      <c r="AV232" s="493">
        <f t="shared" si="221"/>
        <v>0</v>
      </c>
      <c r="AW232" s="494" t="str">
        <f t="shared" si="222"/>
        <v>#DIV/0!</v>
      </c>
      <c r="AX232" s="5"/>
      <c r="AY232" s="5"/>
      <c r="AZ232" s="5"/>
      <c r="BA232" s="5"/>
      <c r="BB232" s="5"/>
      <c r="BC232" s="5"/>
      <c r="BD232" s="5"/>
      <c r="BE232" s="5"/>
      <c r="BF232" s="5"/>
      <c r="BG232" s="5"/>
      <c r="BH232" s="5"/>
    </row>
    <row r="233" ht="12.75" customHeight="1">
      <c r="A233" s="1"/>
      <c r="B233" s="2"/>
      <c r="C233" s="499" t="s">
        <v>280</v>
      </c>
      <c r="D233" s="366"/>
      <c r="E233" s="367"/>
      <c r="F233" s="368"/>
      <c r="G233" s="368"/>
      <c r="H233" s="368"/>
      <c r="I233" s="437">
        <f t="shared" ref="I233:J233" si="237">I232</f>
        <v>2</v>
      </c>
      <c r="J233" s="436" t="str">
        <f t="shared" si="237"/>
        <v>#REF!</v>
      </c>
      <c r="K233" s="370">
        <v>95.0</v>
      </c>
      <c r="L233" s="367"/>
      <c r="M233" s="361"/>
      <c r="N233" s="372" t="str">
        <f t="shared" si="236"/>
        <v>#REF!</v>
      </c>
      <c r="O233" s="2"/>
      <c r="P233" s="2"/>
      <c r="Q233" s="2"/>
      <c r="R233" s="486" t="str">
        <f>'Audit Check'!Q48</f>
        <v>R-Post</v>
      </c>
      <c r="S233" s="487" t="s">
        <v>52</v>
      </c>
      <c r="T233" s="488">
        <f t="shared" si="120"/>
        <v>1748.09</v>
      </c>
      <c r="U233" s="489">
        <f t="shared" si="226"/>
        <v>4</v>
      </c>
      <c r="V233" s="490" t="str">
        <f t="shared" si="227"/>
        <v>#REF!</v>
      </c>
      <c r="W233" s="491">
        <f t="shared" si="238"/>
        <v>40</v>
      </c>
      <c r="X233" s="489">
        <f t="shared" si="228"/>
        <v>320</v>
      </c>
      <c r="Y233" s="492">
        <f t="shared" si="229"/>
        <v>5.47</v>
      </c>
      <c r="Z233" s="493" t="str">
        <f t="shared" si="230"/>
        <v>#REF!</v>
      </c>
      <c r="AA233" s="494" t="str">
        <f t="shared" si="231"/>
        <v>#REF!</v>
      </c>
      <c r="AB233" s="508"/>
      <c r="AC233" s="509" t="str">
        <f>'Audit Check'!R50</f>
        <v/>
      </c>
      <c r="AD233" s="495"/>
      <c r="AE233" s="488">
        <f t="shared" si="117"/>
        <v>0</v>
      </c>
      <c r="AF233" s="489">
        <f t="shared" si="211"/>
        <v>4</v>
      </c>
      <c r="AG233" s="495" t="str">
        <f t="shared" si="212"/>
        <v/>
      </c>
      <c r="AH233" s="491">
        <f t="shared" si="224"/>
        <v>30</v>
      </c>
      <c r="AI233" s="489">
        <f t="shared" si="213"/>
        <v>240</v>
      </c>
      <c r="AJ233" s="492">
        <f t="shared" si="214"/>
        <v>0</v>
      </c>
      <c r="AK233" s="493">
        <f t="shared" si="215"/>
        <v>0</v>
      </c>
      <c r="AL233" s="494" t="str">
        <f t="shared" si="216"/>
        <v>#DIV/0!</v>
      </c>
      <c r="AM233" s="5"/>
      <c r="AN233" s="509" t="str">
        <f>'Audit Check'!S50</f>
        <v/>
      </c>
      <c r="AO233" s="495"/>
      <c r="AP233" s="488">
        <f t="shared" si="118"/>
        <v>0</v>
      </c>
      <c r="AQ233" s="489">
        <f t="shared" si="217"/>
        <v>4</v>
      </c>
      <c r="AR233" s="495" t="str">
        <f t="shared" si="218"/>
        <v/>
      </c>
      <c r="AS233" s="491">
        <f t="shared" si="225"/>
        <v>30</v>
      </c>
      <c r="AT233" s="489">
        <f t="shared" si="219"/>
        <v>240</v>
      </c>
      <c r="AU233" s="492">
        <f t="shared" si="220"/>
        <v>0</v>
      </c>
      <c r="AV233" s="493">
        <f t="shared" si="221"/>
        <v>0</v>
      </c>
      <c r="AW233" s="494" t="str">
        <f t="shared" si="222"/>
        <v>#DIV/0!</v>
      </c>
      <c r="AX233" s="5"/>
      <c r="AY233" s="5"/>
      <c r="AZ233" s="5"/>
      <c r="BA233" s="5"/>
      <c r="BB233" s="5"/>
      <c r="BC233" s="5"/>
      <c r="BD233" s="5"/>
      <c r="BE233" s="5"/>
      <c r="BF233" s="5"/>
      <c r="BG233" s="5"/>
      <c r="BH233" s="5"/>
    </row>
    <row r="234" ht="12.75" customHeight="1">
      <c r="A234" s="1"/>
      <c r="B234" s="2"/>
      <c r="C234" s="499" t="s">
        <v>281</v>
      </c>
      <c r="D234" s="366"/>
      <c r="E234" s="367"/>
      <c r="F234" s="368"/>
      <c r="G234" s="368"/>
      <c r="H234" s="368"/>
      <c r="I234" s="505"/>
      <c r="J234" s="505"/>
      <c r="K234" s="511"/>
      <c r="L234" s="367"/>
      <c r="M234" s="361"/>
      <c r="N234" s="372" t="str">
        <f>SUM(N232)*0.3</f>
        <v>#REF!</v>
      </c>
      <c r="O234" s="2"/>
      <c r="P234" s="2"/>
      <c r="Q234" s="2"/>
      <c r="R234" s="486" t="str">
        <f>'Audit Check'!Q49</f>
        <v>R-PostFix</v>
      </c>
      <c r="S234" s="487" t="s">
        <v>55</v>
      </c>
      <c r="T234" s="488">
        <f t="shared" si="120"/>
        <v>3496.18</v>
      </c>
      <c r="U234" s="489">
        <f t="shared" si="226"/>
        <v>4</v>
      </c>
      <c r="V234" s="490" t="str">
        <f t="shared" si="227"/>
        <v>#REF!</v>
      </c>
      <c r="W234" s="491">
        <f>(10/2)*$X$173</f>
        <v>20</v>
      </c>
      <c r="X234" s="489">
        <f t="shared" si="228"/>
        <v>160</v>
      </c>
      <c r="Y234" s="492">
        <f t="shared" si="229"/>
        <v>21.86</v>
      </c>
      <c r="Z234" s="493" t="str">
        <f t="shared" si="230"/>
        <v>#REF!</v>
      </c>
      <c r="AA234" s="494" t="str">
        <f t="shared" si="231"/>
        <v>#REF!</v>
      </c>
      <c r="AB234" s="508"/>
      <c r="AC234" s="509" t="str">
        <f>'Audit Check'!R51</f>
        <v/>
      </c>
      <c r="AD234" s="495"/>
      <c r="AE234" s="488">
        <f t="shared" si="117"/>
        <v>0</v>
      </c>
      <c r="AF234" s="489">
        <f t="shared" si="211"/>
        <v>4</v>
      </c>
      <c r="AG234" s="495" t="str">
        <f t="shared" si="212"/>
        <v/>
      </c>
      <c r="AH234" s="491">
        <f t="shared" si="224"/>
        <v>30</v>
      </c>
      <c r="AI234" s="489">
        <f t="shared" si="213"/>
        <v>240</v>
      </c>
      <c r="AJ234" s="492">
        <f t="shared" si="214"/>
        <v>0</v>
      </c>
      <c r="AK234" s="493">
        <f t="shared" si="215"/>
        <v>0</v>
      </c>
      <c r="AL234" s="494" t="str">
        <f t="shared" si="216"/>
        <v>#DIV/0!</v>
      </c>
      <c r="AM234" s="5"/>
      <c r="AN234" s="509" t="str">
        <f>'Audit Check'!S51</f>
        <v/>
      </c>
      <c r="AO234" s="495"/>
      <c r="AP234" s="488">
        <f t="shared" si="118"/>
        <v>0</v>
      </c>
      <c r="AQ234" s="489">
        <f t="shared" si="217"/>
        <v>4</v>
      </c>
      <c r="AR234" s="495" t="str">
        <f t="shared" si="218"/>
        <v/>
      </c>
      <c r="AS234" s="491">
        <f t="shared" si="225"/>
        <v>30</v>
      </c>
      <c r="AT234" s="489">
        <f t="shared" si="219"/>
        <v>240</v>
      </c>
      <c r="AU234" s="492">
        <f t="shared" si="220"/>
        <v>0</v>
      </c>
      <c r="AV234" s="493">
        <f t="shared" si="221"/>
        <v>0</v>
      </c>
      <c r="AW234" s="494" t="str">
        <f t="shared" si="222"/>
        <v>#DIV/0!</v>
      </c>
      <c r="AX234" s="5"/>
      <c r="AY234" s="5"/>
      <c r="AZ234" s="5"/>
      <c r="BA234" s="5"/>
      <c r="BB234" s="5"/>
      <c r="BC234" s="5"/>
      <c r="BD234" s="5"/>
      <c r="BE234" s="5"/>
      <c r="BF234" s="5"/>
      <c r="BG234" s="5"/>
      <c r="BH234" s="5"/>
    </row>
    <row r="235" ht="12.75" customHeight="1">
      <c r="A235" s="1"/>
      <c r="B235" s="2"/>
      <c r="C235" s="503"/>
      <c r="D235" s="366"/>
      <c r="E235" s="367"/>
      <c r="F235" s="368"/>
      <c r="G235" s="368"/>
      <c r="H235" s="368"/>
      <c r="I235" s="505"/>
      <c r="J235" s="513"/>
      <c r="K235" s="511"/>
      <c r="L235" s="367"/>
      <c r="M235" s="361"/>
      <c r="N235" s="512"/>
      <c r="O235" s="2"/>
      <c r="P235" s="2"/>
      <c r="Q235" s="2"/>
      <c r="R235" s="514" t="str">
        <f>'Audit Check'!Q50</f>
        <v>R-Prickle</v>
      </c>
      <c r="S235" s="487" t="s">
        <v>55</v>
      </c>
      <c r="T235" s="488">
        <f t="shared" si="120"/>
        <v>0</v>
      </c>
      <c r="U235" s="489">
        <f t="shared" si="226"/>
        <v>4</v>
      </c>
      <c r="V235" s="490" t="str">
        <f t="shared" si="227"/>
        <v>#REF!</v>
      </c>
      <c r="W235" s="491">
        <f>(6/3)*$X$173</f>
        <v>8</v>
      </c>
      <c r="X235" s="489">
        <f t="shared" si="228"/>
        <v>64</v>
      </c>
      <c r="Y235" s="492">
        <f t="shared" si="229"/>
        <v>0</v>
      </c>
      <c r="Z235" s="493" t="str">
        <f t="shared" si="230"/>
        <v>#REF!</v>
      </c>
      <c r="AA235" s="494" t="str">
        <f t="shared" si="231"/>
        <v>#REF!</v>
      </c>
      <c r="AB235" s="508"/>
      <c r="AC235" s="515" t="str">
        <f>'Audit Check'!R52</f>
        <v/>
      </c>
      <c r="AD235" s="495"/>
      <c r="AE235" s="488">
        <f t="shared" si="117"/>
        <v>0</v>
      </c>
      <c r="AF235" s="489">
        <f t="shared" si="211"/>
        <v>4</v>
      </c>
      <c r="AG235" s="495" t="str">
        <f t="shared" si="212"/>
        <v/>
      </c>
      <c r="AH235" s="491">
        <f t="shared" si="224"/>
        <v>30</v>
      </c>
      <c r="AI235" s="489">
        <f t="shared" si="213"/>
        <v>240</v>
      </c>
      <c r="AJ235" s="492">
        <f t="shared" si="214"/>
        <v>0</v>
      </c>
      <c r="AK235" s="493">
        <f t="shared" si="215"/>
        <v>0</v>
      </c>
      <c r="AL235" s="494" t="str">
        <f t="shared" si="216"/>
        <v>#DIV/0!</v>
      </c>
      <c r="AM235" s="5"/>
      <c r="AN235" s="515" t="str">
        <f>'Audit Check'!S52</f>
        <v/>
      </c>
      <c r="AO235" s="495"/>
      <c r="AP235" s="488">
        <f t="shared" si="118"/>
        <v>0</v>
      </c>
      <c r="AQ235" s="489">
        <f t="shared" si="217"/>
        <v>4</v>
      </c>
      <c r="AR235" s="495" t="str">
        <f t="shared" si="218"/>
        <v/>
      </c>
      <c r="AS235" s="491">
        <f t="shared" si="225"/>
        <v>30</v>
      </c>
      <c r="AT235" s="489">
        <f t="shared" si="219"/>
        <v>240</v>
      </c>
      <c r="AU235" s="492">
        <f t="shared" si="220"/>
        <v>0</v>
      </c>
      <c r="AV235" s="493">
        <f t="shared" si="221"/>
        <v>0</v>
      </c>
      <c r="AW235" s="494" t="str">
        <f t="shared" si="222"/>
        <v>#DIV/0!</v>
      </c>
      <c r="AX235" s="5"/>
      <c r="AY235" s="5"/>
      <c r="AZ235" s="5"/>
      <c r="BA235" s="5"/>
      <c r="BB235" s="5"/>
      <c r="BC235" s="5"/>
      <c r="BD235" s="5"/>
      <c r="BE235" s="5"/>
      <c r="BF235" s="5"/>
      <c r="BG235" s="5"/>
      <c r="BH235" s="5"/>
    </row>
    <row r="236" ht="12.75" customHeight="1">
      <c r="A236" s="1"/>
      <c r="B236" s="2"/>
      <c r="C236" s="503"/>
      <c r="D236" s="366"/>
      <c r="E236" s="367"/>
      <c r="F236" s="368"/>
      <c r="G236" s="368"/>
      <c r="H236" s="368"/>
      <c r="I236" s="505"/>
      <c r="J236" s="505"/>
      <c r="K236" s="505"/>
      <c r="L236" s="367"/>
      <c r="M236" s="367"/>
      <c r="N236" s="512"/>
      <c r="O236" s="2"/>
      <c r="P236" s="2"/>
      <c r="Q236" s="2"/>
      <c r="R236" s="514" t="str">
        <f>'Audit Check'!Q51</f>
        <v>R-Rainhead</v>
      </c>
      <c r="S236" s="487" t="s">
        <v>52</v>
      </c>
      <c r="T236" s="488">
        <f t="shared" si="120"/>
        <v>0</v>
      </c>
      <c r="U236" s="489">
        <f t="shared" si="226"/>
        <v>4</v>
      </c>
      <c r="V236" s="490" t="str">
        <f t="shared" si="227"/>
        <v>#REF!</v>
      </c>
      <c r="W236" s="491">
        <f>(15/1)*$X$173</f>
        <v>60</v>
      </c>
      <c r="X236" s="489">
        <f t="shared" si="228"/>
        <v>480</v>
      </c>
      <c r="Y236" s="492">
        <f t="shared" si="229"/>
        <v>0</v>
      </c>
      <c r="Z236" s="493" t="str">
        <f t="shared" si="230"/>
        <v>#REF!</v>
      </c>
      <c r="AA236" s="494" t="str">
        <f t="shared" si="231"/>
        <v>#REF!</v>
      </c>
      <c r="AB236" s="508"/>
      <c r="AC236" s="515" t="str">
        <f>'Audit Check'!R53</f>
        <v/>
      </c>
      <c r="AD236" s="495"/>
      <c r="AE236" s="488">
        <f t="shared" si="117"/>
        <v>0</v>
      </c>
      <c r="AF236" s="489">
        <f t="shared" si="211"/>
        <v>4</v>
      </c>
      <c r="AG236" s="495" t="str">
        <f t="shared" si="212"/>
        <v/>
      </c>
      <c r="AH236" s="491">
        <f t="shared" si="224"/>
        <v>30</v>
      </c>
      <c r="AI236" s="489">
        <f t="shared" si="213"/>
        <v>240</v>
      </c>
      <c r="AJ236" s="492">
        <f t="shared" si="214"/>
        <v>0</v>
      </c>
      <c r="AK236" s="493">
        <f t="shared" si="215"/>
        <v>0</v>
      </c>
      <c r="AL236" s="494" t="str">
        <f t="shared" si="216"/>
        <v>#DIV/0!</v>
      </c>
      <c r="AM236" s="5"/>
      <c r="AN236" s="515" t="str">
        <f>'Audit Check'!S53</f>
        <v/>
      </c>
      <c r="AO236" s="495"/>
      <c r="AP236" s="488">
        <f t="shared" si="118"/>
        <v>0</v>
      </c>
      <c r="AQ236" s="489">
        <f t="shared" si="217"/>
        <v>4</v>
      </c>
      <c r="AR236" s="495" t="str">
        <f t="shared" si="218"/>
        <v/>
      </c>
      <c r="AS236" s="491">
        <f t="shared" si="225"/>
        <v>30</v>
      </c>
      <c r="AT236" s="489">
        <f t="shared" si="219"/>
        <v>240</v>
      </c>
      <c r="AU236" s="492">
        <f t="shared" si="220"/>
        <v>0</v>
      </c>
      <c r="AV236" s="493">
        <f t="shared" si="221"/>
        <v>0</v>
      </c>
      <c r="AW236" s="494" t="str">
        <f t="shared" si="222"/>
        <v>#DIV/0!</v>
      </c>
      <c r="AX236" s="5"/>
      <c r="AY236" s="5"/>
      <c r="AZ236" s="5"/>
      <c r="BA236" s="5"/>
      <c r="BB236" s="5"/>
      <c r="BC236" s="5"/>
      <c r="BD236" s="5"/>
      <c r="BE236" s="5"/>
      <c r="BF236" s="5"/>
      <c r="BG236" s="5"/>
      <c r="BH236" s="5"/>
    </row>
    <row r="237" ht="12.75" customHeight="1">
      <c r="A237" s="1"/>
      <c r="B237" s="2"/>
      <c r="C237" s="2"/>
      <c r="D237" s="2"/>
      <c r="E237" s="3"/>
      <c r="F237" s="2"/>
      <c r="G237" s="2"/>
      <c r="H237" s="2"/>
      <c r="I237" s="5"/>
      <c r="J237" s="5"/>
      <c r="K237" s="5"/>
      <c r="L237" s="3"/>
      <c r="M237" s="3"/>
      <c r="N237" s="4"/>
      <c r="O237" s="2"/>
      <c r="P237" s="2"/>
      <c r="Q237" s="2"/>
      <c r="R237" s="514" t="str">
        <f>'Audit Check'!Q52</f>
        <v>R-Rail</v>
      </c>
      <c r="S237" s="487" t="s">
        <v>52</v>
      </c>
      <c r="T237" s="488">
        <f t="shared" si="120"/>
        <v>1748.09</v>
      </c>
      <c r="U237" s="496"/>
      <c r="V237" s="495"/>
      <c r="W237" s="496"/>
      <c r="X237" s="496"/>
      <c r="Y237" s="496"/>
      <c r="Z237" s="497"/>
      <c r="AA237" s="498"/>
      <c r="AB237" s="508"/>
      <c r="AC237" s="509" t="str">
        <f>'Audit Check'!R54</f>
        <v/>
      </c>
      <c r="AD237" s="495"/>
      <c r="AE237" s="488">
        <f t="shared" si="117"/>
        <v>0</v>
      </c>
      <c r="AF237" s="489">
        <f t="shared" si="211"/>
        <v>4</v>
      </c>
      <c r="AG237" s="495" t="str">
        <f t="shared" si="212"/>
        <v/>
      </c>
      <c r="AH237" s="491">
        <f t="shared" si="224"/>
        <v>30</v>
      </c>
      <c r="AI237" s="489">
        <f t="shared" si="213"/>
        <v>240</v>
      </c>
      <c r="AJ237" s="492">
        <f t="shared" si="214"/>
        <v>0</v>
      </c>
      <c r="AK237" s="493">
        <f t="shared" si="215"/>
        <v>0</v>
      </c>
      <c r="AL237" s="494" t="str">
        <f t="shared" si="216"/>
        <v>#DIV/0!</v>
      </c>
      <c r="AM237" s="5"/>
      <c r="AN237" s="515" t="str">
        <f>'Audit Check'!S54</f>
        <v/>
      </c>
      <c r="AO237" s="495"/>
      <c r="AP237" s="488">
        <f t="shared" si="118"/>
        <v>0</v>
      </c>
      <c r="AQ237" s="489">
        <f t="shared" si="217"/>
        <v>4</v>
      </c>
      <c r="AR237" s="495" t="str">
        <f t="shared" si="218"/>
        <v/>
      </c>
      <c r="AS237" s="491">
        <f t="shared" si="225"/>
        <v>30</v>
      </c>
      <c r="AT237" s="489">
        <f t="shared" si="219"/>
        <v>240</v>
      </c>
      <c r="AU237" s="492">
        <f t="shared" si="220"/>
        <v>0</v>
      </c>
      <c r="AV237" s="493">
        <f t="shared" si="221"/>
        <v>0</v>
      </c>
      <c r="AW237" s="494" t="str">
        <f t="shared" si="222"/>
        <v>#DIV/0!</v>
      </c>
      <c r="AX237" s="5"/>
      <c r="AY237" s="5"/>
      <c r="AZ237" s="5"/>
      <c r="BA237" s="5"/>
      <c r="BB237" s="5"/>
      <c r="BC237" s="5"/>
      <c r="BD237" s="5"/>
      <c r="BE237" s="5"/>
      <c r="BF237" s="5"/>
      <c r="BG237" s="5"/>
      <c r="BH237" s="5"/>
    </row>
    <row r="238" ht="12.75" customHeight="1">
      <c r="A238" s="1"/>
      <c r="B238" s="2"/>
      <c r="C238" s="510" t="s">
        <v>283</v>
      </c>
      <c r="D238" s="348"/>
      <c r="E238" s="3"/>
      <c r="F238" s="2"/>
      <c r="G238" s="2"/>
      <c r="H238" s="2"/>
      <c r="I238" s="5"/>
      <c r="J238" s="328"/>
      <c r="K238" s="328"/>
      <c r="L238" s="3"/>
      <c r="M238" s="3"/>
      <c r="N238" s="351"/>
      <c r="O238" s="2"/>
      <c r="P238" s="2"/>
      <c r="Q238" s="2"/>
      <c r="R238" s="514" t="str">
        <f>'Audit Check'!Q53</f>
        <v>R-Ridge Vent</v>
      </c>
      <c r="S238" s="487" t="s">
        <v>52</v>
      </c>
      <c r="T238" s="488">
        <f t="shared" si="120"/>
        <v>0</v>
      </c>
      <c r="U238" s="496"/>
      <c r="V238" s="495"/>
      <c r="W238" s="496"/>
      <c r="X238" s="496"/>
      <c r="Y238" s="496"/>
      <c r="Z238" s="497"/>
      <c r="AA238" s="498"/>
      <c r="AB238" s="5"/>
      <c r="AC238" s="509" t="str">
        <f>'Audit Check'!R55</f>
        <v/>
      </c>
      <c r="AD238" s="495"/>
      <c r="AE238" s="488">
        <f t="shared" si="117"/>
        <v>0</v>
      </c>
      <c r="AF238" s="489">
        <f t="shared" si="211"/>
        <v>4</v>
      </c>
      <c r="AG238" s="495" t="str">
        <f t="shared" si="212"/>
        <v/>
      </c>
      <c r="AH238" s="491">
        <f t="shared" si="224"/>
        <v>30</v>
      </c>
      <c r="AI238" s="489">
        <f t="shared" si="213"/>
        <v>240</v>
      </c>
      <c r="AJ238" s="492">
        <f t="shared" si="214"/>
        <v>0</v>
      </c>
      <c r="AK238" s="493">
        <f t="shared" si="215"/>
        <v>0</v>
      </c>
      <c r="AL238" s="494" t="str">
        <f t="shared" si="216"/>
        <v>#DIV/0!</v>
      </c>
      <c r="AM238" s="5"/>
      <c r="AN238" s="515" t="str">
        <f>'Audit Check'!S55</f>
        <v/>
      </c>
      <c r="AO238" s="495"/>
      <c r="AP238" s="488">
        <f t="shared" si="118"/>
        <v>0</v>
      </c>
      <c r="AQ238" s="489">
        <f t="shared" si="217"/>
        <v>4</v>
      </c>
      <c r="AR238" s="495" t="str">
        <f t="shared" si="218"/>
        <v/>
      </c>
      <c r="AS238" s="491">
        <f t="shared" si="225"/>
        <v>30</v>
      </c>
      <c r="AT238" s="489">
        <f t="shared" si="219"/>
        <v>240</v>
      </c>
      <c r="AU238" s="492">
        <f t="shared" si="220"/>
        <v>0</v>
      </c>
      <c r="AV238" s="493">
        <f t="shared" si="221"/>
        <v>0</v>
      </c>
      <c r="AW238" s="494" t="str">
        <f t="shared" si="222"/>
        <v>#DIV/0!</v>
      </c>
      <c r="AX238" s="5"/>
      <c r="AY238" s="5"/>
      <c r="AZ238" s="5"/>
      <c r="BA238" s="5"/>
      <c r="BB238" s="5"/>
      <c r="BC238" s="5"/>
      <c r="BD238" s="5"/>
      <c r="BE238" s="5"/>
      <c r="BF238" s="5"/>
      <c r="BG238" s="5"/>
      <c r="BH238" s="5"/>
    </row>
    <row r="239" ht="12.75" customHeight="1">
      <c r="A239" s="1"/>
      <c r="B239" s="12" t="s">
        <v>176</v>
      </c>
      <c r="C239" s="499" t="s">
        <v>278</v>
      </c>
      <c r="D239" s="366"/>
      <c r="E239" s="367"/>
      <c r="F239" s="368"/>
      <c r="G239" s="368"/>
      <c r="H239" s="368"/>
      <c r="I239" s="437">
        <v>1.0</v>
      </c>
      <c r="J239" s="436" t="str">
        <f t="shared" ref="J239:J240" si="239">J231</f>
        <v>#REF!</v>
      </c>
      <c r="K239" s="370">
        <v>225.0</v>
      </c>
      <c r="L239" s="367"/>
      <c r="M239" s="401">
        <v>0.0</v>
      </c>
      <c r="N239" s="372" t="str">
        <f t="shared" ref="N239:N241" si="240">M239*K239*J239*I239</f>
        <v>#REF!</v>
      </c>
      <c r="O239" s="5"/>
      <c r="P239" s="314"/>
      <c r="Q239" s="2"/>
      <c r="R239" s="514" t="str">
        <f>'Audit Check'!Q54</f>
        <v>R-Ridge Vent-half</v>
      </c>
      <c r="S239" s="487" t="s">
        <v>52</v>
      </c>
      <c r="T239" s="488">
        <f t="shared" si="120"/>
        <v>0</v>
      </c>
      <c r="U239" s="496"/>
      <c r="V239" s="495"/>
      <c r="W239" s="496"/>
      <c r="X239" s="496"/>
      <c r="Y239" s="496"/>
      <c r="Z239" s="497"/>
      <c r="AA239" s="498"/>
      <c r="AB239" s="5"/>
      <c r="AC239" s="509" t="str">
        <f>'Audit Check'!R56</f>
        <v/>
      </c>
      <c r="AD239" s="495"/>
      <c r="AE239" s="488">
        <f t="shared" si="117"/>
        <v>0</v>
      </c>
      <c r="AF239" s="489">
        <f t="shared" si="211"/>
        <v>4</v>
      </c>
      <c r="AG239" s="495" t="str">
        <f t="shared" si="212"/>
        <v/>
      </c>
      <c r="AH239" s="491">
        <f t="shared" si="224"/>
        <v>30</v>
      </c>
      <c r="AI239" s="489">
        <f t="shared" si="213"/>
        <v>240</v>
      </c>
      <c r="AJ239" s="492">
        <f t="shared" si="214"/>
        <v>0</v>
      </c>
      <c r="AK239" s="493">
        <f t="shared" si="215"/>
        <v>0</v>
      </c>
      <c r="AL239" s="494" t="str">
        <f t="shared" si="216"/>
        <v>#DIV/0!</v>
      </c>
      <c r="AM239" s="5"/>
      <c r="AN239" s="515" t="str">
        <f>'Audit Check'!S56</f>
        <v/>
      </c>
      <c r="AO239" s="495"/>
      <c r="AP239" s="488">
        <f t="shared" si="118"/>
        <v>0</v>
      </c>
      <c r="AQ239" s="489">
        <f t="shared" si="217"/>
        <v>4</v>
      </c>
      <c r="AR239" s="495" t="str">
        <f t="shared" si="218"/>
        <v/>
      </c>
      <c r="AS239" s="491">
        <f t="shared" si="225"/>
        <v>30</v>
      </c>
      <c r="AT239" s="489">
        <f t="shared" si="219"/>
        <v>240</v>
      </c>
      <c r="AU239" s="492">
        <f t="shared" si="220"/>
        <v>0</v>
      </c>
      <c r="AV239" s="493">
        <f t="shared" si="221"/>
        <v>0</v>
      </c>
      <c r="AW239" s="494" t="str">
        <f t="shared" si="222"/>
        <v>#DIV/0!</v>
      </c>
      <c r="AX239" s="5"/>
      <c r="AY239" s="5"/>
      <c r="AZ239" s="5"/>
      <c r="BA239" s="5"/>
      <c r="BB239" s="5"/>
      <c r="BC239" s="5"/>
      <c r="BD239" s="5"/>
      <c r="BE239" s="5"/>
      <c r="BF239" s="5"/>
      <c r="BG239" s="5"/>
      <c r="BH239" s="5"/>
    </row>
    <row r="240" ht="12.75" customHeight="1">
      <c r="A240" s="1"/>
      <c r="B240" s="2"/>
      <c r="C240" s="499" t="s">
        <v>279</v>
      </c>
      <c r="D240" s="366"/>
      <c r="E240" s="367"/>
      <c r="F240" s="368"/>
      <c r="G240" s="368"/>
      <c r="H240" s="368"/>
      <c r="I240" s="437">
        <f t="shared" ref="I240:I241" si="241">I239</f>
        <v>1</v>
      </c>
      <c r="J240" s="436" t="str">
        <f t="shared" si="239"/>
        <v>#REF!</v>
      </c>
      <c r="K240" s="370">
        <v>285.0</v>
      </c>
      <c r="L240" s="367"/>
      <c r="M240" s="401">
        <v>0.0</v>
      </c>
      <c r="N240" s="372" t="str">
        <f t="shared" si="240"/>
        <v>#REF!</v>
      </c>
      <c r="O240" s="2"/>
      <c r="P240" s="314"/>
      <c r="Q240" s="314"/>
      <c r="R240" s="514" t="str">
        <f>'Audit Check'!Q55</f>
        <v>R-Rivets</v>
      </c>
      <c r="S240" s="487" t="s">
        <v>52</v>
      </c>
      <c r="T240" s="488">
        <f t="shared" si="120"/>
        <v>708.9173838</v>
      </c>
      <c r="U240" s="489">
        <f t="shared" ref="U240:U266" si="242">$X$173</f>
        <v>4</v>
      </c>
      <c r="V240" s="490" t="str">
        <f t="shared" ref="V240:V266" si="243">AC$176</f>
        <v>#REF!</v>
      </c>
      <c r="W240" s="491">
        <f t="shared" ref="W240:W266" si="244">(10/1)*$X$173</f>
        <v>40</v>
      </c>
      <c r="X240" s="489">
        <f t="shared" ref="X240:X266" si="245">W240*W$183</f>
        <v>320</v>
      </c>
      <c r="Y240" s="492">
        <f t="shared" ref="Y240:Y266" si="246">ROUNDUP(T240/X240,2)</f>
        <v>2.22</v>
      </c>
      <c r="Z240" s="493" t="str">
        <f t="shared" ref="Z240:Z266" si="247">Y240*V240*U240*W$183</f>
        <v>#REF!</v>
      </c>
      <c r="AA240" s="494" t="str">
        <f t="shared" ref="AA240:AA266" si="248">Z240/T240</f>
        <v>#REF!</v>
      </c>
      <c r="AB240" s="5"/>
      <c r="AC240" s="509" t="str">
        <f>'Audit Check'!R57</f>
        <v/>
      </c>
      <c r="AD240" s="495"/>
      <c r="AE240" s="488">
        <f t="shared" si="117"/>
        <v>0</v>
      </c>
      <c r="AF240" s="489">
        <f t="shared" si="211"/>
        <v>4</v>
      </c>
      <c r="AG240" s="495" t="str">
        <f t="shared" si="212"/>
        <v/>
      </c>
      <c r="AH240" s="491">
        <f t="shared" si="224"/>
        <v>30</v>
      </c>
      <c r="AI240" s="489">
        <f t="shared" si="213"/>
        <v>240</v>
      </c>
      <c r="AJ240" s="492">
        <f t="shared" si="214"/>
        <v>0</v>
      </c>
      <c r="AK240" s="493">
        <f t="shared" si="215"/>
        <v>0</v>
      </c>
      <c r="AL240" s="494" t="str">
        <f t="shared" si="216"/>
        <v>#DIV/0!</v>
      </c>
      <c r="AM240" s="5"/>
      <c r="AN240" s="515" t="str">
        <f>'Audit Check'!S57</f>
        <v/>
      </c>
      <c r="AO240" s="495"/>
      <c r="AP240" s="488">
        <f t="shared" si="118"/>
        <v>0</v>
      </c>
      <c r="AQ240" s="489">
        <f t="shared" si="217"/>
        <v>4</v>
      </c>
      <c r="AR240" s="495" t="str">
        <f t="shared" si="218"/>
        <v/>
      </c>
      <c r="AS240" s="491">
        <f t="shared" si="225"/>
        <v>30</v>
      </c>
      <c r="AT240" s="489">
        <f t="shared" si="219"/>
        <v>240</v>
      </c>
      <c r="AU240" s="492">
        <f t="shared" si="220"/>
        <v>0</v>
      </c>
      <c r="AV240" s="493">
        <f t="shared" si="221"/>
        <v>0</v>
      </c>
      <c r="AW240" s="494" t="str">
        <f t="shared" si="222"/>
        <v>#DIV/0!</v>
      </c>
      <c r="AX240" s="5"/>
      <c r="AY240" s="5"/>
      <c r="AZ240" s="5"/>
      <c r="BA240" s="5"/>
      <c r="BB240" s="5"/>
      <c r="BC240" s="5"/>
      <c r="BD240" s="5"/>
      <c r="BE240" s="5"/>
      <c r="BF240" s="5"/>
      <c r="BG240" s="5"/>
      <c r="BH240" s="5"/>
    </row>
    <row r="241" ht="12.75" customHeight="1">
      <c r="A241" s="1"/>
      <c r="B241" s="2"/>
      <c r="C241" s="499" t="s">
        <v>280</v>
      </c>
      <c r="D241" s="366"/>
      <c r="E241" s="367"/>
      <c r="F241" s="368"/>
      <c r="G241" s="368"/>
      <c r="H241" s="368"/>
      <c r="I241" s="437">
        <f t="shared" si="241"/>
        <v>1</v>
      </c>
      <c r="J241" s="505"/>
      <c r="K241" s="370">
        <v>95.0</v>
      </c>
      <c r="L241" s="367"/>
      <c r="M241" s="361"/>
      <c r="N241" s="372">
        <f t="shared" si="240"/>
        <v>0</v>
      </c>
      <c r="O241" s="2"/>
      <c r="P241" s="314"/>
      <c r="Q241" s="314"/>
      <c r="R241" s="514" t="str">
        <f>'Audit Check'!Q56</f>
        <v>R-RivetsEa</v>
      </c>
      <c r="S241" s="495"/>
      <c r="T241" s="488">
        <f t="shared" si="120"/>
        <v>127</v>
      </c>
      <c r="U241" s="489">
        <f t="shared" si="242"/>
        <v>4</v>
      </c>
      <c r="V241" s="490" t="str">
        <f t="shared" si="243"/>
        <v>#REF!</v>
      </c>
      <c r="W241" s="491">
        <f t="shared" si="244"/>
        <v>40</v>
      </c>
      <c r="X241" s="489">
        <f t="shared" si="245"/>
        <v>320</v>
      </c>
      <c r="Y241" s="492">
        <f t="shared" si="246"/>
        <v>0.4</v>
      </c>
      <c r="Z241" s="493" t="str">
        <f t="shared" si="247"/>
        <v>#REF!</v>
      </c>
      <c r="AA241" s="494" t="str">
        <f t="shared" si="248"/>
        <v>#REF!</v>
      </c>
      <c r="AB241" s="5"/>
      <c r="AC241" s="509" t="str">
        <f>'Audit Check'!R58</f>
        <v/>
      </c>
      <c r="AD241" s="495"/>
      <c r="AE241" s="488">
        <f t="shared" si="117"/>
        <v>0</v>
      </c>
      <c r="AF241" s="489">
        <f t="shared" si="211"/>
        <v>4</v>
      </c>
      <c r="AG241" s="495" t="str">
        <f t="shared" si="212"/>
        <v/>
      </c>
      <c r="AH241" s="491">
        <f t="shared" si="224"/>
        <v>30</v>
      </c>
      <c r="AI241" s="489">
        <f t="shared" si="213"/>
        <v>240</v>
      </c>
      <c r="AJ241" s="492">
        <f t="shared" si="214"/>
        <v>0</v>
      </c>
      <c r="AK241" s="493">
        <f t="shared" si="215"/>
        <v>0</v>
      </c>
      <c r="AL241" s="494" t="str">
        <f t="shared" si="216"/>
        <v>#DIV/0!</v>
      </c>
      <c r="AM241" s="5"/>
      <c r="AN241" s="515" t="str">
        <f>'Audit Check'!S58</f>
        <v/>
      </c>
      <c r="AO241" s="495"/>
      <c r="AP241" s="488">
        <f t="shared" si="118"/>
        <v>0</v>
      </c>
      <c r="AQ241" s="489">
        <f t="shared" si="217"/>
        <v>4</v>
      </c>
      <c r="AR241" s="495" t="str">
        <f t="shared" si="218"/>
        <v/>
      </c>
      <c r="AS241" s="491">
        <f t="shared" si="225"/>
        <v>30</v>
      </c>
      <c r="AT241" s="489">
        <f t="shared" si="219"/>
        <v>240</v>
      </c>
      <c r="AU241" s="492">
        <f t="shared" si="220"/>
        <v>0</v>
      </c>
      <c r="AV241" s="493">
        <f t="shared" si="221"/>
        <v>0</v>
      </c>
      <c r="AW241" s="494" t="str">
        <f t="shared" si="222"/>
        <v>#DIV/0!</v>
      </c>
      <c r="AX241" s="5"/>
      <c r="AY241" s="5"/>
      <c r="AZ241" s="5"/>
      <c r="BA241" s="5"/>
      <c r="BB241" s="5"/>
      <c r="BC241" s="5"/>
      <c r="BD241" s="5"/>
      <c r="BE241" s="5"/>
      <c r="BF241" s="5"/>
      <c r="BG241" s="5"/>
      <c r="BH241" s="5"/>
    </row>
    <row r="242" ht="12.75" customHeight="1">
      <c r="A242" s="1"/>
      <c r="B242" s="2"/>
      <c r="C242" s="499" t="s">
        <v>281</v>
      </c>
      <c r="D242" s="366"/>
      <c r="E242" s="367"/>
      <c r="F242" s="368"/>
      <c r="G242" s="368"/>
      <c r="H242" s="368"/>
      <c r="I242" s="505"/>
      <c r="J242" s="505"/>
      <c r="K242" s="511"/>
      <c r="L242" s="367"/>
      <c r="M242" s="361"/>
      <c r="N242" s="372" t="str">
        <f>SUM(N240)*0.3</f>
        <v>#REF!</v>
      </c>
      <c r="O242" s="2"/>
      <c r="P242" s="314"/>
      <c r="Q242" s="314"/>
      <c r="R242" s="514" t="str">
        <f>'Audit Check'!Q57</f>
        <v>R-Safety Mesh</v>
      </c>
      <c r="S242" s="495"/>
      <c r="T242" s="488" t="str">
        <f t="shared" si="120"/>
        <v>#REF!</v>
      </c>
      <c r="U242" s="489">
        <f t="shared" si="242"/>
        <v>4</v>
      </c>
      <c r="V242" s="490" t="str">
        <f t="shared" si="243"/>
        <v>#REF!</v>
      </c>
      <c r="W242" s="491">
        <f t="shared" si="244"/>
        <v>40</v>
      </c>
      <c r="X242" s="489">
        <f t="shared" si="245"/>
        <v>320</v>
      </c>
      <c r="Y242" s="492" t="str">
        <f t="shared" si="246"/>
        <v>#REF!</v>
      </c>
      <c r="Z242" s="493" t="str">
        <f t="shared" si="247"/>
        <v>#REF!</v>
      </c>
      <c r="AA242" s="494" t="str">
        <f t="shared" si="248"/>
        <v>#REF!</v>
      </c>
      <c r="AB242" s="5"/>
      <c r="AC242" s="509" t="str">
        <f>'Audit Check'!R59</f>
        <v/>
      </c>
      <c r="AD242" s="495"/>
      <c r="AE242" s="488">
        <f t="shared" si="117"/>
        <v>0</v>
      </c>
      <c r="AF242" s="489">
        <f t="shared" si="211"/>
        <v>4</v>
      </c>
      <c r="AG242" s="495" t="str">
        <f t="shared" si="212"/>
        <v/>
      </c>
      <c r="AH242" s="491">
        <f t="shared" si="224"/>
        <v>30</v>
      </c>
      <c r="AI242" s="489">
        <f t="shared" si="213"/>
        <v>240</v>
      </c>
      <c r="AJ242" s="492">
        <f t="shared" si="214"/>
        <v>0</v>
      </c>
      <c r="AK242" s="493">
        <f t="shared" si="215"/>
        <v>0</v>
      </c>
      <c r="AL242" s="494" t="str">
        <f t="shared" si="216"/>
        <v>#DIV/0!</v>
      </c>
      <c r="AM242" s="5"/>
      <c r="AN242" s="515" t="str">
        <f>'Audit Check'!S59</f>
        <v/>
      </c>
      <c r="AO242" s="495"/>
      <c r="AP242" s="488">
        <f t="shared" si="118"/>
        <v>0</v>
      </c>
      <c r="AQ242" s="489">
        <f t="shared" si="217"/>
        <v>4</v>
      </c>
      <c r="AR242" s="495" t="str">
        <f t="shared" si="218"/>
        <v/>
      </c>
      <c r="AS242" s="491">
        <f t="shared" si="225"/>
        <v>30</v>
      </c>
      <c r="AT242" s="489">
        <f t="shared" si="219"/>
        <v>240</v>
      </c>
      <c r="AU242" s="492">
        <f t="shared" si="220"/>
        <v>0</v>
      </c>
      <c r="AV242" s="493">
        <f t="shared" si="221"/>
        <v>0</v>
      </c>
      <c r="AW242" s="494" t="str">
        <f t="shared" si="222"/>
        <v>#DIV/0!</v>
      </c>
      <c r="AX242" s="5"/>
      <c r="AY242" s="5"/>
      <c r="AZ242" s="5"/>
      <c r="BA242" s="5"/>
      <c r="BB242" s="5"/>
      <c r="BC242" s="5"/>
      <c r="BD242" s="5"/>
      <c r="BE242" s="5"/>
      <c r="BF242" s="5"/>
      <c r="BG242" s="5"/>
      <c r="BH242" s="5"/>
    </row>
    <row r="243" ht="12.75" customHeight="1">
      <c r="A243" s="1"/>
      <c r="B243" s="2"/>
      <c r="C243" s="503"/>
      <c r="D243" s="366"/>
      <c r="E243" s="367"/>
      <c r="F243" s="368"/>
      <c r="G243" s="368"/>
      <c r="H243" s="368"/>
      <c r="I243" s="505"/>
      <c r="J243" s="513"/>
      <c r="K243" s="511"/>
      <c r="L243" s="367"/>
      <c r="M243" s="361"/>
      <c r="N243" s="512"/>
      <c r="O243" s="2"/>
      <c r="P243" s="314"/>
      <c r="Q243" s="314"/>
      <c r="R243" s="514" t="str">
        <f>'Audit Check'!Q58</f>
        <v>R-Safety Netting</v>
      </c>
      <c r="S243" s="495"/>
      <c r="T243" s="488">
        <f t="shared" si="120"/>
        <v>0</v>
      </c>
      <c r="U243" s="489">
        <f t="shared" si="242"/>
        <v>4</v>
      </c>
      <c r="V243" s="490" t="str">
        <f t="shared" si="243"/>
        <v>#REF!</v>
      </c>
      <c r="W243" s="491">
        <f t="shared" si="244"/>
        <v>40</v>
      </c>
      <c r="X243" s="489">
        <f t="shared" si="245"/>
        <v>320</v>
      </c>
      <c r="Y243" s="492">
        <f t="shared" si="246"/>
        <v>0</v>
      </c>
      <c r="Z243" s="493" t="str">
        <f t="shared" si="247"/>
        <v>#REF!</v>
      </c>
      <c r="AA243" s="494" t="str">
        <f t="shared" si="248"/>
        <v>#REF!</v>
      </c>
      <c r="AB243" s="5"/>
      <c r="AC243" s="509" t="str">
        <f>'Audit Check'!R60</f>
        <v/>
      </c>
      <c r="AD243" s="495"/>
      <c r="AE243" s="488">
        <f t="shared" si="117"/>
        <v>0</v>
      </c>
      <c r="AF243" s="489">
        <f t="shared" si="211"/>
        <v>4</v>
      </c>
      <c r="AG243" s="495" t="str">
        <f t="shared" si="212"/>
        <v/>
      </c>
      <c r="AH243" s="491">
        <f t="shared" si="224"/>
        <v>30</v>
      </c>
      <c r="AI243" s="489">
        <f t="shared" si="213"/>
        <v>240</v>
      </c>
      <c r="AJ243" s="492">
        <f t="shared" si="214"/>
        <v>0</v>
      </c>
      <c r="AK243" s="493">
        <f t="shared" si="215"/>
        <v>0</v>
      </c>
      <c r="AL243" s="494" t="str">
        <f t="shared" si="216"/>
        <v>#DIV/0!</v>
      </c>
      <c r="AM243" s="5"/>
      <c r="AN243" s="515" t="str">
        <f>'Audit Check'!S60</f>
        <v/>
      </c>
      <c r="AO243" s="495"/>
      <c r="AP243" s="488">
        <f t="shared" si="118"/>
        <v>0</v>
      </c>
      <c r="AQ243" s="489">
        <f t="shared" si="217"/>
        <v>4</v>
      </c>
      <c r="AR243" s="495" t="str">
        <f t="shared" si="218"/>
        <v/>
      </c>
      <c r="AS243" s="491">
        <f t="shared" si="225"/>
        <v>30</v>
      </c>
      <c r="AT243" s="489">
        <f t="shared" si="219"/>
        <v>240</v>
      </c>
      <c r="AU243" s="492">
        <f t="shared" si="220"/>
        <v>0</v>
      </c>
      <c r="AV243" s="493">
        <f t="shared" si="221"/>
        <v>0</v>
      </c>
      <c r="AW243" s="494" t="str">
        <f t="shared" si="222"/>
        <v>#DIV/0!</v>
      </c>
      <c r="AX243" s="5"/>
      <c r="AY243" s="5"/>
      <c r="AZ243" s="5"/>
      <c r="BA243" s="5"/>
      <c r="BB243" s="5"/>
      <c r="BC243" s="5"/>
      <c r="BD243" s="5"/>
      <c r="BE243" s="5"/>
      <c r="BF243" s="5"/>
      <c r="BG243" s="5"/>
      <c r="BH243" s="5"/>
    </row>
    <row r="244" ht="12.75" customHeight="1">
      <c r="A244" s="1"/>
      <c r="B244" s="2"/>
      <c r="C244" s="516"/>
      <c r="D244" s="517"/>
      <c r="E244" s="367"/>
      <c r="F244" s="518"/>
      <c r="G244" s="518"/>
      <c r="H244" s="518"/>
      <c r="I244" s="505"/>
      <c r="J244" s="505"/>
      <c r="K244" s="505"/>
      <c r="L244" s="367"/>
      <c r="M244" s="367"/>
      <c r="N244" s="512"/>
      <c r="O244" s="2"/>
      <c r="P244" s="314"/>
      <c r="Q244" s="314"/>
      <c r="R244" s="514" t="str">
        <f>'Audit Check'!Q59</f>
        <v>R-Scupper</v>
      </c>
      <c r="S244" s="495"/>
      <c r="T244" s="488">
        <f t="shared" si="120"/>
        <v>0</v>
      </c>
      <c r="U244" s="489">
        <f t="shared" si="242"/>
        <v>4</v>
      </c>
      <c r="V244" s="490" t="str">
        <f t="shared" si="243"/>
        <v>#REF!</v>
      </c>
      <c r="W244" s="491">
        <f t="shared" si="244"/>
        <v>40</v>
      </c>
      <c r="X244" s="489">
        <f t="shared" si="245"/>
        <v>320</v>
      </c>
      <c r="Y244" s="492">
        <f t="shared" si="246"/>
        <v>0</v>
      </c>
      <c r="Z244" s="493" t="str">
        <f t="shared" si="247"/>
        <v>#REF!</v>
      </c>
      <c r="AA244" s="494" t="str">
        <f t="shared" si="248"/>
        <v>#REF!</v>
      </c>
      <c r="AB244" s="508"/>
      <c r="AC244" s="509" t="str">
        <f>'Audit Check'!R61</f>
        <v/>
      </c>
      <c r="AD244" s="495"/>
      <c r="AE244" s="488">
        <f t="shared" si="117"/>
        <v>0</v>
      </c>
      <c r="AF244" s="489">
        <f t="shared" si="211"/>
        <v>4</v>
      </c>
      <c r="AG244" s="495" t="str">
        <f t="shared" si="212"/>
        <v/>
      </c>
      <c r="AH244" s="491">
        <f t="shared" si="224"/>
        <v>30</v>
      </c>
      <c r="AI244" s="489">
        <f t="shared" si="213"/>
        <v>240</v>
      </c>
      <c r="AJ244" s="492">
        <f t="shared" si="214"/>
        <v>0</v>
      </c>
      <c r="AK244" s="493">
        <f t="shared" si="215"/>
        <v>0</v>
      </c>
      <c r="AL244" s="494" t="str">
        <f t="shared" si="216"/>
        <v>#DIV/0!</v>
      </c>
      <c r="AM244" s="508"/>
      <c r="AN244" s="515" t="str">
        <f>'Audit Check'!S61</f>
        <v/>
      </c>
      <c r="AO244" s="495"/>
      <c r="AP244" s="488">
        <f t="shared" si="118"/>
        <v>0</v>
      </c>
      <c r="AQ244" s="489">
        <f t="shared" si="217"/>
        <v>4</v>
      </c>
      <c r="AR244" s="495" t="str">
        <f t="shared" si="218"/>
        <v/>
      </c>
      <c r="AS244" s="491">
        <f t="shared" si="225"/>
        <v>30</v>
      </c>
      <c r="AT244" s="489">
        <f t="shared" si="219"/>
        <v>240</v>
      </c>
      <c r="AU244" s="492">
        <f t="shared" si="220"/>
        <v>0</v>
      </c>
      <c r="AV244" s="493">
        <f t="shared" si="221"/>
        <v>0</v>
      </c>
      <c r="AW244" s="494" t="str">
        <f t="shared" si="222"/>
        <v>#DIV/0!</v>
      </c>
      <c r="AX244" s="5"/>
      <c r="AY244" s="5"/>
      <c r="AZ244" s="5"/>
      <c r="BA244" s="5"/>
      <c r="BB244" s="5"/>
      <c r="BC244" s="5"/>
      <c r="BD244" s="5"/>
      <c r="BE244" s="5"/>
      <c r="BF244" s="5"/>
      <c r="BG244" s="5"/>
      <c r="BH244" s="5"/>
    </row>
    <row r="245" ht="12.75" customHeight="1">
      <c r="A245" s="1"/>
      <c r="B245" s="2"/>
      <c r="C245" s="376"/>
      <c r="D245" s="348"/>
      <c r="E245" s="3"/>
      <c r="F245" s="2"/>
      <c r="G245" s="2"/>
      <c r="H245" s="2"/>
      <c r="I245" s="2"/>
      <c r="J245" s="2"/>
      <c r="K245" s="328"/>
      <c r="L245" s="3"/>
      <c r="M245" s="3"/>
      <c r="N245" s="351"/>
      <c r="O245" s="2"/>
      <c r="P245" s="314"/>
      <c r="Q245" s="314"/>
      <c r="R245" s="514" t="str">
        <f>'Audit Check'!Q60</f>
        <v>R-Sheeting</v>
      </c>
      <c r="S245" s="495"/>
      <c r="T245" s="488" t="str">
        <f t="shared" si="120"/>
        <v>#REF!</v>
      </c>
      <c r="U245" s="489">
        <f t="shared" si="242"/>
        <v>4</v>
      </c>
      <c r="V245" s="490" t="str">
        <f t="shared" si="243"/>
        <v>#REF!</v>
      </c>
      <c r="W245" s="491">
        <f t="shared" si="244"/>
        <v>40</v>
      </c>
      <c r="X245" s="489">
        <f t="shared" si="245"/>
        <v>320</v>
      </c>
      <c r="Y245" s="492" t="str">
        <f t="shared" si="246"/>
        <v>#REF!</v>
      </c>
      <c r="Z245" s="493" t="str">
        <f t="shared" si="247"/>
        <v>#REF!</v>
      </c>
      <c r="AA245" s="494" t="str">
        <f t="shared" si="248"/>
        <v>#REF!</v>
      </c>
      <c r="AB245" s="508"/>
      <c r="AC245" s="509" t="str">
        <f>'Audit Check'!R62</f>
        <v/>
      </c>
      <c r="AD245" s="495"/>
      <c r="AE245" s="488">
        <f t="shared" si="117"/>
        <v>0</v>
      </c>
      <c r="AF245" s="489">
        <f t="shared" si="211"/>
        <v>4</v>
      </c>
      <c r="AG245" s="495" t="str">
        <f t="shared" si="212"/>
        <v/>
      </c>
      <c r="AH245" s="491">
        <f t="shared" si="224"/>
        <v>30</v>
      </c>
      <c r="AI245" s="489">
        <f t="shared" si="213"/>
        <v>240</v>
      </c>
      <c r="AJ245" s="492">
        <f t="shared" si="214"/>
        <v>0</v>
      </c>
      <c r="AK245" s="493">
        <f t="shared" si="215"/>
        <v>0</v>
      </c>
      <c r="AL245" s="494" t="str">
        <f t="shared" si="216"/>
        <v>#DIV/0!</v>
      </c>
      <c r="AM245" s="508"/>
      <c r="AN245" s="515" t="str">
        <f>'Audit Check'!S62</f>
        <v/>
      </c>
      <c r="AO245" s="495"/>
      <c r="AP245" s="488">
        <f t="shared" si="118"/>
        <v>0</v>
      </c>
      <c r="AQ245" s="489">
        <f t="shared" si="217"/>
        <v>4</v>
      </c>
      <c r="AR245" s="495" t="str">
        <f t="shared" si="218"/>
        <v/>
      </c>
      <c r="AS245" s="491">
        <f t="shared" si="225"/>
        <v>30</v>
      </c>
      <c r="AT245" s="489">
        <f t="shared" si="219"/>
        <v>240</v>
      </c>
      <c r="AU245" s="492">
        <f t="shared" si="220"/>
        <v>0</v>
      </c>
      <c r="AV245" s="493">
        <f t="shared" si="221"/>
        <v>0</v>
      </c>
      <c r="AW245" s="494" t="str">
        <f t="shared" si="222"/>
        <v>#DIV/0!</v>
      </c>
      <c r="AX245" s="5"/>
      <c r="AY245" s="5"/>
      <c r="AZ245" s="5"/>
      <c r="BA245" s="5"/>
      <c r="BB245" s="5"/>
      <c r="BC245" s="5"/>
      <c r="BD245" s="5"/>
      <c r="BE245" s="5"/>
      <c r="BF245" s="5"/>
      <c r="BG245" s="5"/>
      <c r="BH245" s="5"/>
    </row>
    <row r="246" ht="12.75" customHeight="1">
      <c r="A246" s="1"/>
      <c r="B246" s="2"/>
      <c r="C246" s="329" t="s">
        <v>284</v>
      </c>
      <c r="D246" s="330"/>
      <c r="E246" s="331"/>
      <c r="F246" s="332"/>
      <c r="G246" s="332"/>
      <c r="H246" s="332"/>
      <c r="I246" s="519"/>
      <c r="J246" s="332"/>
      <c r="K246" s="520"/>
      <c r="L246" s="331"/>
      <c r="M246" s="521">
        <f t="shared" ref="M246:N246" si="249">SUM(M247:M252)</f>
        <v>0</v>
      </c>
      <c r="N246" s="381" t="str">
        <f t="shared" si="249"/>
        <v>#REF!</v>
      </c>
      <c r="O246" s="2"/>
      <c r="P246" s="314"/>
      <c r="Q246" s="314"/>
      <c r="R246" s="514" t="str">
        <f>'Audit Check'!Q61</f>
        <v>R-Silicone</v>
      </c>
      <c r="S246" s="495"/>
      <c r="T246" s="488">
        <f t="shared" si="120"/>
        <v>4.701345845</v>
      </c>
      <c r="U246" s="489">
        <f t="shared" si="242"/>
        <v>4</v>
      </c>
      <c r="V246" s="490" t="str">
        <f t="shared" si="243"/>
        <v>#REF!</v>
      </c>
      <c r="W246" s="491">
        <f t="shared" si="244"/>
        <v>40</v>
      </c>
      <c r="X246" s="489">
        <f t="shared" si="245"/>
        <v>320</v>
      </c>
      <c r="Y246" s="492">
        <f t="shared" si="246"/>
        <v>0.02</v>
      </c>
      <c r="Z246" s="493" t="str">
        <f t="shared" si="247"/>
        <v>#REF!</v>
      </c>
      <c r="AA246" s="494" t="str">
        <f t="shared" si="248"/>
        <v>#REF!</v>
      </c>
      <c r="AB246" s="5"/>
      <c r="AC246" s="509" t="str">
        <f>'Audit Check'!R63</f>
        <v/>
      </c>
      <c r="AD246" s="495"/>
      <c r="AE246" s="488">
        <f t="shared" si="117"/>
        <v>0</v>
      </c>
      <c r="AF246" s="489">
        <f t="shared" si="211"/>
        <v>4</v>
      </c>
      <c r="AG246" s="495" t="str">
        <f t="shared" si="212"/>
        <v/>
      </c>
      <c r="AH246" s="491">
        <f t="shared" si="224"/>
        <v>30</v>
      </c>
      <c r="AI246" s="489">
        <f t="shared" si="213"/>
        <v>240</v>
      </c>
      <c r="AJ246" s="492">
        <f t="shared" si="214"/>
        <v>0</v>
      </c>
      <c r="AK246" s="493">
        <f t="shared" si="215"/>
        <v>0</v>
      </c>
      <c r="AL246" s="494" t="str">
        <f t="shared" si="216"/>
        <v>#DIV/0!</v>
      </c>
      <c r="AM246" s="5"/>
      <c r="AN246" s="515" t="str">
        <f>'Audit Check'!S63</f>
        <v/>
      </c>
      <c r="AO246" s="495"/>
      <c r="AP246" s="488">
        <f t="shared" si="118"/>
        <v>0</v>
      </c>
      <c r="AQ246" s="489">
        <f t="shared" si="217"/>
        <v>4</v>
      </c>
      <c r="AR246" s="495" t="str">
        <f t="shared" si="218"/>
        <v/>
      </c>
      <c r="AS246" s="491">
        <f t="shared" si="225"/>
        <v>30</v>
      </c>
      <c r="AT246" s="489">
        <f t="shared" si="219"/>
        <v>240</v>
      </c>
      <c r="AU246" s="492">
        <f t="shared" si="220"/>
        <v>0</v>
      </c>
      <c r="AV246" s="493">
        <f t="shared" si="221"/>
        <v>0</v>
      </c>
      <c r="AW246" s="494" t="str">
        <f t="shared" si="222"/>
        <v>#DIV/0!</v>
      </c>
      <c r="AX246" s="5"/>
      <c r="AY246" s="5"/>
      <c r="AZ246" s="5"/>
      <c r="BA246" s="5"/>
      <c r="BB246" s="5"/>
      <c r="BC246" s="5"/>
      <c r="BD246" s="5"/>
      <c r="BE246" s="5"/>
      <c r="BF246" s="5"/>
      <c r="BG246" s="5"/>
      <c r="BH246" s="5"/>
    </row>
    <row r="247" ht="12.75" customHeight="1">
      <c r="A247" s="1"/>
      <c r="B247" s="2"/>
      <c r="C247" s="499" t="s">
        <v>285</v>
      </c>
      <c r="D247" s="366"/>
      <c r="E247" s="367"/>
      <c r="F247" s="368"/>
      <c r="G247" s="368"/>
      <c r="H247" s="368"/>
      <c r="I247" s="437">
        <f t="shared" ref="I247:I248" si="250">T186</f>
        <v>67.16</v>
      </c>
      <c r="J247" s="437">
        <v>26.0</v>
      </c>
      <c r="K247" s="505"/>
      <c r="L247" s="401">
        <v>0.0</v>
      </c>
      <c r="M247" s="361"/>
      <c r="N247" s="372">
        <f t="shared" ref="N247:N248" si="251">J247*I247*L247</f>
        <v>0</v>
      </c>
      <c r="O247" s="2"/>
      <c r="P247" s="314"/>
      <c r="Q247" s="314"/>
      <c r="R247" s="514" t="str">
        <f>'Audit Check'!Q62</f>
        <v>R-Silicone LM</v>
      </c>
      <c r="S247" s="495"/>
      <c r="T247" s="488">
        <f t="shared" si="120"/>
        <v>0</v>
      </c>
      <c r="U247" s="489">
        <f t="shared" si="242"/>
        <v>4</v>
      </c>
      <c r="V247" s="490" t="str">
        <f t="shared" si="243"/>
        <v>#REF!</v>
      </c>
      <c r="W247" s="491">
        <f t="shared" si="244"/>
        <v>40</v>
      </c>
      <c r="X247" s="489">
        <f t="shared" si="245"/>
        <v>320</v>
      </c>
      <c r="Y247" s="492">
        <f t="shared" si="246"/>
        <v>0</v>
      </c>
      <c r="Z247" s="493" t="str">
        <f t="shared" si="247"/>
        <v>#REF!</v>
      </c>
      <c r="AA247" s="494" t="str">
        <f t="shared" si="248"/>
        <v>#REF!</v>
      </c>
      <c r="AB247" s="5"/>
      <c r="AC247" s="509" t="str">
        <f>'Audit Check'!R64</f>
        <v/>
      </c>
      <c r="AD247" s="495"/>
      <c r="AE247" s="488">
        <f t="shared" si="117"/>
        <v>0</v>
      </c>
      <c r="AF247" s="489">
        <f t="shared" si="211"/>
        <v>4</v>
      </c>
      <c r="AG247" s="495" t="str">
        <f t="shared" si="212"/>
        <v/>
      </c>
      <c r="AH247" s="491">
        <f t="shared" si="224"/>
        <v>30</v>
      </c>
      <c r="AI247" s="489">
        <f t="shared" si="213"/>
        <v>240</v>
      </c>
      <c r="AJ247" s="492">
        <f t="shared" si="214"/>
        <v>0</v>
      </c>
      <c r="AK247" s="493">
        <f t="shared" si="215"/>
        <v>0</v>
      </c>
      <c r="AL247" s="494" t="str">
        <f t="shared" si="216"/>
        <v>#DIV/0!</v>
      </c>
      <c r="AM247" s="5"/>
      <c r="AN247" s="515" t="str">
        <f>'Audit Check'!S64</f>
        <v/>
      </c>
      <c r="AO247" s="495"/>
      <c r="AP247" s="488">
        <f t="shared" si="118"/>
        <v>0</v>
      </c>
      <c r="AQ247" s="489">
        <f t="shared" si="217"/>
        <v>4</v>
      </c>
      <c r="AR247" s="495" t="str">
        <f t="shared" si="218"/>
        <v/>
      </c>
      <c r="AS247" s="491">
        <f t="shared" si="225"/>
        <v>30</v>
      </c>
      <c r="AT247" s="489">
        <f t="shared" si="219"/>
        <v>240</v>
      </c>
      <c r="AU247" s="492">
        <f t="shared" si="220"/>
        <v>0</v>
      </c>
      <c r="AV247" s="493">
        <f t="shared" si="221"/>
        <v>0</v>
      </c>
      <c r="AW247" s="494" t="str">
        <f t="shared" si="222"/>
        <v>#DIV/0!</v>
      </c>
      <c r="AX247" s="5"/>
      <c r="AY247" s="5"/>
      <c r="AZ247" s="5"/>
      <c r="BA247" s="5"/>
      <c r="BB247" s="5"/>
      <c r="BC247" s="5"/>
      <c r="BD247" s="5"/>
      <c r="BE247" s="5"/>
      <c r="BF247" s="5"/>
      <c r="BG247" s="5"/>
      <c r="BH247" s="5"/>
    </row>
    <row r="248" ht="12.75" customHeight="1">
      <c r="A248" s="1"/>
      <c r="B248" s="2"/>
      <c r="C248" s="499" t="s">
        <v>286</v>
      </c>
      <c r="D248" s="366"/>
      <c r="E248" s="367"/>
      <c r="F248" s="368"/>
      <c r="G248" s="368"/>
      <c r="H248" s="368"/>
      <c r="I248" s="437">
        <f t="shared" si="250"/>
        <v>10</v>
      </c>
      <c r="J248" s="437">
        <v>200.0</v>
      </c>
      <c r="K248" s="505"/>
      <c r="L248" s="401">
        <v>0.0</v>
      </c>
      <c r="M248" s="361"/>
      <c r="N248" s="372">
        <f t="shared" si="251"/>
        <v>0</v>
      </c>
      <c r="O248" s="2"/>
      <c r="P248" s="314"/>
      <c r="Q248" s="314"/>
      <c r="R248" s="514" t="str">
        <f>'Audit Check'!Q63</f>
        <v>R-SumpFixing</v>
      </c>
      <c r="S248" s="495"/>
      <c r="T248" s="488">
        <f t="shared" si="120"/>
        <v>0</v>
      </c>
      <c r="U248" s="489">
        <f t="shared" si="242"/>
        <v>4</v>
      </c>
      <c r="V248" s="490" t="str">
        <f t="shared" si="243"/>
        <v>#REF!</v>
      </c>
      <c r="W248" s="491">
        <f t="shared" si="244"/>
        <v>40</v>
      </c>
      <c r="X248" s="489">
        <f t="shared" si="245"/>
        <v>320</v>
      </c>
      <c r="Y248" s="492">
        <f t="shared" si="246"/>
        <v>0</v>
      </c>
      <c r="Z248" s="493" t="str">
        <f t="shared" si="247"/>
        <v>#REF!</v>
      </c>
      <c r="AA248" s="494" t="str">
        <f t="shared" si="248"/>
        <v>#REF!</v>
      </c>
      <c r="AB248" s="5"/>
      <c r="AC248" s="509" t="str">
        <f>'Audit Check'!R65</f>
        <v/>
      </c>
      <c r="AD248" s="495"/>
      <c r="AE248" s="488">
        <f t="shared" si="117"/>
        <v>0</v>
      </c>
      <c r="AF248" s="489">
        <f t="shared" si="211"/>
        <v>4</v>
      </c>
      <c r="AG248" s="495" t="str">
        <f t="shared" si="212"/>
        <v/>
      </c>
      <c r="AH248" s="491">
        <f t="shared" si="224"/>
        <v>30</v>
      </c>
      <c r="AI248" s="489">
        <f t="shared" si="213"/>
        <v>240</v>
      </c>
      <c r="AJ248" s="492">
        <f t="shared" si="214"/>
        <v>0</v>
      </c>
      <c r="AK248" s="493">
        <f t="shared" si="215"/>
        <v>0</v>
      </c>
      <c r="AL248" s="494" t="str">
        <f t="shared" si="216"/>
        <v>#DIV/0!</v>
      </c>
      <c r="AM248" s="5"/>
      <c r="AN248" s="515" t="str">
        <f>'Audit Check'!S65</f>
        <v/>
      </c>
      <c r="AO248" s="495"/>
      <c r="AP248" s="488">
        <f t="shared" si="118"/>
        <v>0</v>
      </c>
      <c r="AQ248" s="489">
        <f t="shared" si="217"/>
        <v>4</v>
      </c>
      <c r="AR248" s="495" t="str">
        <f t="shared" si="218"/>
        <v/>
      </c>
      <c r="AS248" s="491">
        <f t="shared" si="225"/>
        <v>30</v>
      </c>
      <c r="AT248" s="489">
        <f t="shared" si="219"/>
        <v>240</v>
      </c>
      <c r="AU248" s="492">
        <f t="shared" si="220"/>
        <v>0</v>
      </c>
      <c r="AV248" s="493">
        <f t="shared" si="221"/>
        <v>0</v>
      </c>
      <c r="AW248" s="494" t="str">
        <f t="shared" si="222"/>
        <v>#DIV/0!</v>
      </c>
      <c r="AX248" s="5"/>
      <c r="AY248" s="5"/>
      <c r="AZ248" s="5"/>
      <c r="BA248" s="5"/>
      <c r="BB248" s="5"/>
      <c r="BC248" s="5"/>
      <c r="BD248" s="5"/>
      <c r="BE248" s="5"/>
      <c r="BF248" s="5"/>
      <c r="BG248" s="5"/>
      <c r="BH248" s="5"/>
    </row>
    <row r="249" ht="12.75" customHeight="1">
      <c r="A249" s="1"/>
      <c r="B249" s="2"/>
      <c r="C249" s="522" t="s">
        <v>287</v>
      </c>
      <c r="D249" s="523"/>
      <c r="E249" s="367"/>
      <c r="F249" s="524"/>
      <c r="G249" s="524"/>
      <c r="H249" s="524"/>
      <c r="I249" s="437">
        <f t="shared" ref="I249:I250" si="252">I247</f>
        <v>67.16</v>
      </c>
      <c r="J249" s="437" t="str">
        <f>W176</f>
        <v>#REF!</v>
      </c>
      <c r="K249" s="437">
        <v>3.0</v>
      </c>
      <c r="L249" s="401">
        <v>0.0</v>
      </c>
      <c r="M249" s="361"/>
      <c r="N249" s="372" t="str">
        <f t="shared" ref="N249:N250" si="253">K249*J249*I249*L249</f>
        <v>#REF!</v>
      </c>
      <c r="O249" s="2"/>
      <c r="P249" s="314"/>
      <c r="Q249" s="314"/>
      <c r="R249" s="514" t="str">
        <f>'Audit Check'!Q64</f>
        <v>R-SumpSeal</v>
      </c>
      <c r="S249" s="495"/>
      <c r="T249" s="488">
        <f t="shared" si="120"/>
        <v>0</v>
      </c>
      <c r="U249" s="489">
        <f t="shared" si="242"/>
        <v>4</v>
      </c>
      <c r="V249" s="490" t="str">
        <f t="shared" si="243"/>
        <v>#REF!</v>
      </c>
      <c r="W249" s="491">
        <f t="shared" si="244"/>
        <v>40</v>
      </c>
      <c r="X249" s="489">
        <f t="shared" si="245"/>
        <v>320</v>
      </c>
      <c r="Y249" s="492">
        <f t="shared" si="246"/>
        <v>0</v>
      </c>
      <c r="Z249" s="493" t="str">
        <f t="shared" si="247"/>
        <v>#REF!</v>
      </c>
      <c r="AA249" s="494" t="str">
        <f t="shared" si="248"/>
        <v>#REF!</v>
      </c>
      <c r="AB249" s="5"/>
      <c r="AC249" s="509" t="str">
        <f>'Audit Check'!R66</f>
        <v/>
      </c>
      <c r="AD249" s="495"/>
      <c r="AE249" s="488">
        <f t="shared" si="117"/>
        <v>0</v>
      </c>
      <c r="AF249" s="489">
        <f t="shared" si="211"/>
        <v>4</v>
      </c>
      <c r="AG249" s="495" t="str">
        <f t="shared" si="212"/>
        <v/>
      </c>
      <c r="AH249" s="491">
        <f t="shared" si="224"/>
        <v>30</v>
      </c>
      <c r="AI249" s="489">
        <f t="shared" si="213"/>
        <v>240</v>
      </c>
      <c r="AJ249" s="492">
        <f t="shared" si="214"/>
        <v>0</v>
      </c>
      <c r="AK249" s="493">
        <f t="shared" si="215"/>
        <v>0</v>
      </c>
      <c r="AL249" s="494" t="str">
        <f t="shared" si="216"/>
        <v>#DIV/0!</v>
      </c>
      <c r="AM249" s="5"/>
      <c r="AN249" s="515" t="str">
        <f>'Audit Check'!S66</f>
        <v/>
      </c>
      <c r="AO249" s="495"/>
      <c r="AP249" s="488">
        <f t="shared" si="118"/>
        <v>0</v>
      </c>
      <c r="AQ249" s="489">
        <f t="shared" si="217"/>
        <v>4</v>
      </c>
      <c r="AR249" s="495" t="str">
        <f t="shared" si="218"/>
        <v/>
      </c>
      <c r="AS249" s="491">
        <f t="shared" si="225"/>
        <v>30</v>
      </c>
      <c r="AT249" s="489">
        <f t="shared" si="219"/>
        <v>240</v>
      </c>
      <c r="AU249" s="492">
        <f t="shared" si="220"/>
        <v>0</v>
      </c>
      <c r="AV249" s="493">
        <f t="shared" si="221"/>
        <v>0</v>
      </c>
      <c r="AW249" s="494" t="str">
        <f t="shared" si="222"/>
        <v>#DIV/0!</v>
      </c>
      <c r="AX249" s="5"/>
      <c r="AY249" s="5"/>
      <c r="AZ249" s="5"/>
      <c r="BA249" s="5"/>
      <c r="BB249" s="5"/>
      <c r="BC249" s="5"/>
      <c r="BD249" s="5"/>
      <c r="BE249" s="5"/>
      <c r="BF249" s="5"/>
      <c r="BG249" s="5"/>
      <c r="BH249" s="5"/>
    </row>
    <row r="250" ht="12.75" customHeight="1">
      <c r="A250" s="1"/>
      <c r="B250" s="2"/>
      <c r="C250" s="522" t="s">
        <v>288</v>
      </c>
      <c r="D250" s="523"/>
      <c r="E250" s="367"/>
      <c r="F250" s="524"/>
      <c r="G250" s="524"/>
      <c r="H250" s="524"/>
      <c r="I250" s="437">
        <f t="shared" si="252"/>
        <v>10</v>
      </c>
      <c r="J250" s="437" t="str">
        <f>J249</f>
        <v>#REF!</v>
      </c>
      <c r="K250" s="437">
        <v>10.0</v>
      </c>
      <c r="L250" s="401">
        <v>0.0</v>
      </c>
      <c r="M250" s="361"/>
      <c r="N250" s="372" t="str">
        <f t="shared" si="253"/>
        <v>#REF!</v>
      </c>
      <c r="O250" s="2"/>
      <c r="P250" s="314"/>
      <c r="Q250" s="314"/>
      <c r="R250" s="514" t="str">
        <f>'Audit Check'!Q65</f>
        <v>R-Sump</v>
      </c>
      <c r="S250" s="495"/>
      <c r="T250" s="488">
        <f t="shared" si="120"/>
        <v>0</v>
      </c>
      <c r="U250" s="489">
        <f t="shared" si="242"/>
        <v>4</v>
      </c>
      <c r="V250" s="490" t="str">
        <f t="shared" si="243"/>
        <v>#REF!</v>
      </c>
      <c r="W250" s="491">
        <f t="shared" si="244"/>
        <v>40</v>
      </c>
      <c r="X250" s="489">
        <f t="shared" si="245"/>
        <v>320</v>
      </c>
      <c r="Y250" s="492">
        <f t="shared" si="246"/>
        <v>0</v>
      </c>
      <c r="Z250" s="493" t="str">
        <f t="shared" si="247"/>
        <v>#REF!</v>
      </c>
      <c r="AA250" s="494" t="str">
        <f t="shared" si="248"/>
        <v>#REF!</v>
      </c>
      <c r="AB250" s="5"/>
      <c r="AC250" s="509" t="str">
        <f>'Audit Check'!R67</f>
        <v/>
      </c>
      <c r="AD250" s="495"/>
      <c r="AE250" s="488">
        <f t="shared" si="117"/>
        <v>0</v>
      </c>
      <c r="AF250" s="489">
        <f t="shared" si="211"/>
        <v>4</v>
      </c>
      <c r="AG250" s="495" t="str">
        <f t="shared" si="212"/>
        <v/>
      </c>
      <c r="AH250" s="491">
        <f t="shared" si="224"/>
        <v>30</v>
      </c>
      <c r="AI250" s="489">
        <f t="shared" si="213"/>
        <v>240</v>
      </c>
      <c r="AJ250" s="492">
        <f t="shared" si="214"/>
        <v>0</v>
      </c>
      <c r="AK250" s="493">
        <f t="shared" si="215"/>
        <v>0</v>
      </c>
      <c r="AL250" s="494" t="str">
        <f t="shared" si="216"/>
        <v>#DIV/0!</v>
      </c>
      <c r="AM250" s="5"/>
      <c r="AN250" s="515" t="str">
        <f>'Audit Check'!S67</f>
        <v/>
      </c>
      <c r="AO250" s="495"/>
      <c r="AP250" s="488">
        <f t="shared" si="118"/>
        <v>0</v>
      </c>
      <c r="AQ250" s="489">
        <f t="shared" si="217"/>
        <v>4</v>
      </c>
      <c r="AR250" s="495" t="str">
        <f t="shared" si="218"/>
        <v/>
      </c>
      <c r="AS250" s="491">
        <f t="shared" si="225"/>
        <v>30</v>
      </c>
      <c r="AT250" s="489">
        <f t="shared" si="219"/>
        <v>240</v>
      </c>
      <c r="AU250" s="492">
        <f t="shared" si="220"/>
        <v>0</v>
      </c>
      <c r="AV250" s="493">
        <f t="shared" si="221"/>
        <v>0</v>
      </c>
      <c r="AW250" s="494" t="str">
        <f t="shared" si="222"/>
        <v>#DIV/0!</v>
      </c>
      <c r="AX250" s="5"/>
      <c r="AY250" s="5"/>
      <c r="AZ250" s="5"/>
      <c r="BA250" s="5"/>
      <c r="BB250" s="5"/>
      <c r="BC250" s="5"/>
      <c r="BD250" s="5"/>
      <c r="BE250" s="5"/>
      <c r="BF250" s="5"/>
      <c r="BG250" s="5"/>
      <c r="BH250" s="5"/>
    </row>
    <row r="251" ht="12.75" customHeight="1">
      <c r="A251" s="1"/>
      <c r="B251" s="2"/>
      <c r="C251" s="525"/>
      <c r="D251" s="523"/>
      <c r="E251" s="367"/>
      <c r="F251" s="505"/>
      <c r="G251" s="505"/>
      <c r="H251" s="505"/>
      <c r="I251" s="505"/>
      <c r="J251" s="505"/>
      <c r="K251" s="505"/>
      <c r="L251" s="361"/>
      <c r="M251" s="361"/>
      <c r="N251" s="512"/>
      <c r="O251" s="2"/>
      <c r="P251" s="314"/>
      <c r="Q251" s="314"/>
      <c r="R251" s="514" t="str">
        <f>'Audit Check'!Q66</f>
        <v>R-Takeoff</v>
      </c>
      <c r="S251" s="495"/>
      <c r="T251" s="488">
        <f t="shared" si="120"/>
        <v>0</v>
      </c>
      <c r="U251" s="489">
        <f t="shared" si="242"/>
        <v>4</v>
      </c>
      <c r="V251" s="490" t="str">
        <f t="shared" si="243"/>
        <v>#REF!</v>
      </c>
      <c r="W251" s="491">
        <f t="shared" si="244"/>
        <v>40</v>
      </c>
      <c r="X251" s="489">
        <f t="shared" si="245"/>
        <v>320</v>
      </c>
      <c r="Y251" s="492">
        <f t="shared" si="246"/>
        <v>0</v>
      </c>
      <c r="Z251" s="493" t="str">
        <f t="shared" si="247"/>
        <v>#REF!</v>
      </c>
      <c r="AA251" s="494" t="str">
        <f t="shared" si="248"/>
        <v>#REF!</v>
      </c>
      <c r="AB251" s="5"/>
      <c r="AC251" s="509" t="str">
        <f>'Audit Check'!R68</f>
        <v/>
      </c>
      <c r="AD251" s="495"/>
      <c r="AE251" s="488">
        <f t="shared" si="117"/>
        <v>0</v>
      </c>
      <c r="AF251" s="489">
        <f t="shared" si="211"/>
        <v>4</v>
      </c>
      <c r="AG251" s="495" t="str">
        <f t="shared" si="212"/>
        <v/>
      </c>
      <c r="AH251" s="491">
        <f t="shared" si="224"/>
        <v>30</v>
      </c>
      <c r="AI251" s="489">
        <f t="shared" si="213"/>
        <v>240</v>
      </c>
      <c r="AJ251" s="492">
        <f t="shared" si="214"/>
        <v>0</v>
      </c>
      <c r="AK251" s="493">
        <f t="shared" si="215"/>
        <v>0</v>
      </c>
      <c r="AL251" s="494" t="str">
        <f t="shared" si="216"/>
        <v>#DIV/0!</v>
      </c>
      <c r="AM251" s="5"/>
      <c r="AN251" s="515" t="str">
        <f>'Audit Check'!S68</f>
        <v/>
      </c>
      <c r="AO251" s="495"/>
      <c r="AP251" s="488">
        <f t="shared" si="118"/>
        <v>0</v>
      </c>
      <c r="AQ251" s="489">
        <f t="shared" si="217"/>
        <v>4</v>
      </c>
      <c r="AR251" s="495" t="str">
        <f t="shared" si="218"/>
        <v/>
      </c>
      <c r="AS251" s="491">
        <f t="shared" si="225"/>
        <v>30</v>
      </c>
      <c r="AT251" s="489">
        <f t="shared" si="219"/>
        <v>240</v>
      </c>
      <c r="AU251" s="492">
        <f t="shared" si="220"/>
        <v>0</v>
      </c>
      <c r="AV251" s="493">
        <f t="shared" si="221"/>
        <v>0</v>
      </c>
      <c r="AW251" s="494" t="str">
        <f t="shared" si="222"/>
        <v>#DIV/0!</v>
      </c>
      <c r="AX251" s="5"/>
      <c r="AY251" s="5"/>
      <c r="AZ251" s="5"/>
      <c r="BA251" s="5"/>
      <c r="BB251" s="5"/>
      <c r="BC251" s="5"/>
      <c r="BD251" s="5"/>
      <c r="BE251" s="5"/>
      <c r="BF251" s="5"/>
      <c r="BG251" s="5"/>
      <c r="BH251" s="5"/>
    </row>
    <row r="252" ht="12.75" customHeight="1">
      <c r="A252" s="1"/>
      <c r="B252" s="2"/>
      <c r="C252" s="525"/>
      <c r="D252" s="523"/>
      <c r="E252" s="367"/>
      <c r="F252" s="505"/>
      <c r="G252" s="505"/>
      <c r="H252" s="505"/>
      <c r="I252" s="505"/>
      <c r="J252" s="505"/>
      <c r="K252" s="505"/>
      <c r="L252" s="361"/>
      <c r="M252" s="361"/>
      <c r="N252" s="512"/>
      <c r="O252" s="2"/>
      <c r="P252" s="314"/>
      <c r="Q252" s="314"/>
      <c r="R252" s="514" t="str">
        <f>'Audit Check'!Q67</f>
        <v>R-Takeoff ea</v>
      </c>
      <c r="S252" s="495"/>
      <c r="T252" s="488">
        <f t="shared" si="120"/>
        <v>4</v>
      </c>
      <c r="U252" s="489">
        <f t="shared" si="242"/>
        <v>4</v>
      </c>
      <c r="V252" s="490" t="str">
        <f t="shared" si="243"/>
        <v>#REF!</v>
      </c>
      <c r="W252" s="491">
        <f t="shared" si="244"/>
        <v>40</v>
      </c>
      <c r="X252" s="489">
        <f t="shared" si="245"/>
        <v>320</v>
      </c>
      <c r="Y252" s="492">
        <f t="shared" si="246"/>
        <v>0.02</v>
      </c>
      <c r="Z252" s="493" t="str">
        <f t="shared" si="247"/>
        <v>#REF!</v>
      </c>
      <c r="AA252" s="494" t="str">
        <f t="shared" si="248"/>
        <v>#REF!</v>
      </c>
      <c r="AB252" s="5"/>
      <c r="AC252" s="509" t="str">
        <f>'Audit Check'!R69</f>
        <v/>
      </c>
      <c r="AD252" s="495"/>
      <c r="AE252" s="488">
        <f t="shared" si="117"/>
        <v>0</v>
      </c>
      <c r="AF252" s="489">
        <f t="shared" si="211"/>
        <v>4</v>
      </c>
      <c r="AG252" s="495" t="str">
        <f t="shared" si="212"/>
        <v/>
      </c>
      <c r="AH252" s="491">
        <f t="shared" si="224"/>
        <v>30</v>
      </c>
      <c r="AI252" s="489">
        <f t="shared" si="213"/>
        <v>240</v>
      </c>
      <c r="AJ252" s="492">
        <f t="shared" si="214"/>
        <v>0</v>
      </c>
      <c r="AK252" s="493">
        <f t="shared" si="215"/>
        <v>0</v>
      </c>
      <c r="AL252" s="494" t="str">
        <f t="shared" si="216"/>
        <v>#DIV/0!</v>
      </c>
      <c r="AM252" s="5"/>
      <c r="AN252" s="515" t="str">
        <f>'Audit Check'!S69</f>
        <v/>
      </c>
      <c r="AO252" s="495"/>
      <c r="AP252" s="488">
        <f t="shared" si="118"/>
        <v>0</v>
      </c>
      <c r="AQ252" s="489">
        <f t="shared" si="217"/>
        <v>4</v>
      </c>
      <c r="AR252" s="495" t="str">
        <f t="shared" si="218"/>
        <v/>
      </c>
      <c r="AS252" s="491">
        <f t="shared" si="225"/>
        <v>30</v>
      </c>
      <c r="AT252" s="489">
        <f t="shared" si="219"/>
        <v>240</v>
      </c>
      <c r="AU252" s="492">
        <f t="shared" si="220"/>
        <v>0</v>
      </c>
      <c r="AV252" s="493">
        <f t="shared" si="221"/>
        <v>0</v>
      </c>
      <c r="AW252" s="494" t="str">
        <f t="shared" si="222"/>
        <v>#DIV/0!</v>
      </c>
      <c r="AX252" s="5"/>
      <c r="AY252" s="5"/>
      <c r="AZ252" s="5"/>
      <c r="BA252" s="5"/>
      <c r="BB252" s="5"/>
      <c r="BC252" s="5"/>
      <c r="BD252" s="5"/>
      <c r="BE252" s="5"/>
      <c r="BF252" s="5"/>
      <c r="BG252" s="5"/>
      <c r="BH252" s="5"/>
    </row>
    <row r="253" ht="12.75" customHeight="1">
      <c r="A253" s="1"/>
      <c r="B253" s="2"/>
      <c r="C253" s="526" t="s">
        <v>193</v>
      </c>
      <c r="D253" s="527"/>
      <c r="E253" s="528"/>
      <c r="F253" s="529"/>
      <c r="G253" s="529"/>
      <c r="H253" s="529"/>
      <c r="I253" s="530"/>
      <c r="J253" s="531"/>
      <c r="K253" s="532"/>
      <c r="L253" s="528"/>
      <c r="M253" s="528"/>
      <c r="N253" s="533" t="str">
        <f>+N246+N223+N207+N195+N189+N183+N178+N168+N162+N154</f>
        <v>#REF!</v>
      </c>
      <c r="O253" s="2"/>
      <c r="P253" s="314"/>
      <c r="Q253" s="314"/>
      <c r="R253" s="514" t="str">
        <f>'Audit Check'!Q68</f>
        <v>R-Takeoff LM</v>
      </c>
      <c r="S253" s="495"/>
      <c r="T253" s="488">
        <f t="shared" si="120"/>
        <v>1748.09</v>
      </c>
      <c r="U253" s="489">
        <f t="shared" si="242"/>
        <v>4</v>
      </c>
      <c r="V253" s="490" t="str">
        <f t="shared" si="243"/>
        <v>#REF!</v>
      </c>
      <c r="W253" s="491">
        <f t="shared" si="244"/>
        <v>40</v>
      </c>
      <c r="X253" s="489">
        <f t="shared" si="245"/>
        <v>320</v>
      </c>
      <c r="Y253" s="492">
        <f t="shared" si="246"/>
        <v>5.47</v>
      </c>
      <c r="Z253" s="493" t="str">
        <f t="shared" si="247"/>
        <v>#REF!</v>
      </c>
      <c r="AA253" s="494" t="str">
        <f t="shared" si="248"/>
        <v>#REF!</v>
      </c>
      <c r="AB253" s="5"/>
      <c r="AC253" s="509" t="str">
        <f>'Audit Check'!R70</f>
        <v/>
      </c>
      <c r="AD253" s="495"/>
      <c r="AE253" s="488">
        <f t="shared" si="117"/>
        <v>0</v>
      </c>
      <c r="AF253" s="489">
        <f t="shared" si="211"/>
        <v>4</v>
      </c>
      <c r="AG253" s="495" t="str">
        <f t="shared" si="212"/>
        <v/>
      </c>
      <c r="AH253" s="491">
        <f t="shared" si="224"/>
        <v>30</v>
      </c>
      <c r="AI253" s="489">
        <f t="shared" si="213"/>
        <v>240</v>
      </c>
      <c r="AJ253" s="492">
        <f t="shared" si="214"/>
        <v>0</v>
      </c>
      <c r="AK253" s="493">
        <f t="shared" si="215"/>
        <v>0</v>
      </c>
      <c r="AL253" s="494" t="str">
        <f t="shared" si="216"/>
        <v>#DIV/0!</v>
      </c>
      <c r="AM253" s="5"/>
      <c r="AN253" s="515" t="str">
        <f>'Audit Check'!S70</f>
        <v/>
      </c>
      <c r="AO253" s="495"/>
      <c r="AP253" s="488">
        <f t="shared" si="118"/>
        <v>0</v>
      </c>
      <c r="AQ253" s="489">
        <f t="shared" si="217"/>
        <v>4</v>
      </c>
      <c r="AR253" s="495" t="str">
        <f t="shared" si="218"/>
        <v/>
      </c>
      <c r="AS253" s="491">
        <f t="shared" si="225"/>
        <v>30</v>
      </c>
      <c r="AT253" s="489">
        <f t="shared" si="219"/>
        <v>240</v>
      </c>
      <c r="AU253" s="492">
        <f t="shared" si="220"/>
        <v>0</v>
      </c>
      <c r="AV253" s="493">
        <f t="shared" si="221"/>
        <v>0</v>
      </c>
      <c r="AW253" s="494" t="str">
        <f t="shared" si="222"/>
        <v>#DIV/0!</v>
      </c>
      <c r="AX253" s="5"/>
      <c r="AY253" s="5"/>
      <c r="AZ253" s="5"/>
      <c r="BA253" s="5"/>
      <c r="BB253" s="5"/>
      <c r="BC253" s="5"/>
      <c r="BD253" s="5"/>
      <c r="BE253" s="5"/>
      <c r="BF253" s="5"/>
      <c r="BG253" s="5"/>
      <c r="BH253" s="5"/>
    </row>
    <row r="254" ht="12.75" customHeight="1">
      <c r="A254" s="1"/>
      <c r="B254" s="2"/>
      <c r="C254" s="6"/>
      <c r="D254" s="6"/>
      <c r="E254" s="3"/>
      <c r="F254" s="6"/>
      <c r="G254" s="6"/>
      <c r="H254" s="6"/>
      <c r="I254" s="5"/>
      <c r="J254" s="2"/>
      <c r="K254" s="5"/>
      <c r="L254" s="3"/>
      <c r="M254" s="3"/>
      <c r="N254" s="4"/>
      <c r="O254" s="2"/>
      <c r="P254" s="314"/>
      <c r="Q254" s="314"/>
      <c r="R254" s="514" t="str">
        <f>'Audit Check'!Q69</f>
        <v>R-Takeoff m2</v>
      </c>
      <c r="S254" s="495"/>
      <c r="T254" s="488">
        <f t="shared" si="120"/>
        <v>0</v>
      </c>
      <c r="U254" s="489">
        <f t="shared" si="242"/>
        <v>4</v>
      </c>
      <c r="V254" s="490" t="str">
        <f t="shared" si="243"/>
        <v>#REF!</v>
      </c>
      <c r="W254" s="491">
        <f t="shared" si="244"/>
        <v>40</v>
      </c>
      <c r="X254" s="489">
        <f t="shared" si="245"/>
        <v>320</v>
      </c>
      <c r="Y254" s="492">
        <f t="shared" si="246"/>
        <v>0</v>
      </c>
      <c r="Z254" s="493" t="str">
        <f t="shared" si="247"/>
        <v>#REF!</v>
      </c>
      <c r="AA254" s="494" t="str">
        <f t="shared" si="248"/>
        <v>#REF!</v>
      </c>
      <c r="AB254" s="5"/>
      <c r="AC254" s="509" t="str">
        <f>'Audit Check'!R71</f>
        <v/>
      </c>
      <c r="AD254" s="495"/>
      <c r="AE254" s="488">
        <f t="shared" si="117"/>
        <v>0</v>
      </c>
      <c r="AF254" s="489">
        <f t="shared" si="211"/>
        <v>4</v>
      </c>
      <c r="AG254" s="495" t="str">
        <f t="shared" si="212"/>
        <v/>
      </c>
      <c r="AH254" s="491">
        <f t="shared" si="224"/>
        <v>30</v>
      </c>
      <c r="AI254" s="489">
        <f t="shared" si="213"/>
        <v>240</v>
      </c>
      <c r="AJ254" s="492">
        <f t="shared" si="214"/>
        <v>0</v>
      </c>
      <c r="AK254" s="493">
        <f t="shared" si="215"/>
        <v>0</v>
      </c>
      <c r="AL254" s="494" t="str">
        <f t="shared" si="216"/>
        <v>#DIV/0!</v>
      </c>
      <c r="AM254" s="5"/>
      <c r="AN254" s="515" t="str">
        <f>'Audit Check'!S71</f>
        <v/>
      </c>
      <c r="AO254" s="495"/>
      <c r="AP254" s="488">
        <f t="shared" si="118"/>
        <v>0</v>
      </c>
      <c r="AQ254" s="489">
        <f t="shared" si="217"/>
        <v>4</v>
      </c>
      <c r="AR254" s="495" t="str">
        <f t="shared" si="218"/>
        <v/>
      </c>
      <c r="AS254" s="491">
        <f t="shared" si="225"/>
        <v>30</v>
      </c>
      <c r="AT254" s="489">
        <f t="shared" si="219"/>
        <v>240</v>
      </c>
      <c r="AU254" s="492">
        <f t="shared" si="220"/>
        <v>0</v>
      </c>
      <c r="AV254" s="493">
        <f t="shared" si="221"/>
        <v>0</v>
      </c>
      <c r="AW254" s="494" t="str">
        <f t="shared" si="222"/>
        <v>#DIV/0!</v>
      </c>
      <c r="AX254" s="5"/>
      <c r="AY254" s="5"/>
      <c r="AZ254" s="5"/>
      <c r="BA254" s="5"/>
      <c r="BB254" s="5"/>
      <c r="BC254" s="5"/>
      <c r="BD254" s="5"/>
      <c r="BE254" s="5"/>
      <c r="BF254" s="5"/>
      <c r="BG254" s="5"/>
      <c r="BH254" s="5"/>
    </row>
    <row r="255" ht="12.75" customHeight="1">
      <c r="A255" s="1"/>
      <c r="B255" s="2"/>
      <c r="C255" s="127"/>
      <c r="D255" s="127"/>
      <c r="E255" s="161"/>
      <c r="F255" s="127"/>
      <c r="G255" s="127"/>
      <c r="H255" s="127"/>
      <c r="I255" s="534" t="s">
        <v>175</v>
      </c>
      <c r="J255" s="535"/>
      <c r="K255" s="536"/>
      <c r="L255" s="3"/>
      <c r="M255" s="3"/>
      <c r="N255" s="4"/>
      <c r="O255" s="2"/>
      <c r="P255" s="314"/>
      <c r="Q255" s="314"/>
      <c r="R255" s="514" t="str">
        <f>'Audit Check'!Q70</f>
        <v>R-Timber LM</v>
      </c>
      <c r="S255" s="495"/>
      <c r="T255" s="488">
        <f t="shared" si="120"/>
        <v>0</v>
      </c>
      <c r="U255" s="489">
        <f t="shared" si="242"/>
        <v>4</v>
      </c>
      <c r="V255" s="490" t="str">
        <f t="shared" si="243"/>
        <v>#REF!</v>
      </c>
      <c r="W255" s="491">
        <f t="shared" si="244"/>
        <v>40</v>
      </c>
      <c r="X255" s="489">
        <f t="shared" si="245"/>
        <v>320</v>
      </c>
      <c r="Y255" s="492">
        <f t="shared" si="246"/>
        <v>0</v>
      </c>
      <c r="Z255" s="493" t="str">
        <f t="shared" si="247"/>
        <v>#REF!</v>
      </c>
      <c r="AA255" s="494" t="str">
        <f t="shared" si="248"/>
        <v>#REF!</v>
      </c>
      <c r="AB255" s="5"/>
      <c r="AC255" s="509" t="str">
        <f>'Audit Check'!R72</f>
        <v/>
      </c>
      <c r="AD255" s="495"/>
      <c r="AE255" s="488">
        <f t="shared" si="117"/>
        <v>0</v>
      </c>
      <c r="AF255" s="489">
        <f t="shared" si="211"/>
        <v>4</v>
      </c>
      <c r="AG255" s="495" t="str">
        <f t="shared" si="212"/>
        <v/>
      </c>
      <c r="AH255" s="491">
        <f t="shared" si="224"/>
        <v>30</v>
      </c>
      <c r="AI255" s="489">
        <f t="shared" si="213"/>
        <v>240</v>
      </c>
      <c r="AJ255" s="492">
        <f t="shared" si="214"/>
        <v>0</v>
      </c>
      <c r="AK255" s="493">
        <f t="shared" si="215"/>
        <v>0</v>
      </c>
      <c r="AL255" s="494" t="str">
        <f t="shared" si="216"/>
        <v>#DIV/0!</v>
      </c>
      <c r="AM255" s="5"/>
      <c r="AN255" s="515" t="str">
        <f>'Audit Check'!S72</f>
        <v/>
      </c>
      <c r="AO255" s="495"/>
      <c r="AP255" s="488">
        <f t="shared" si="118"/>
        <v>0</v>
      </c>
      <c r="AQ255" s="489">
        <f t="shared" si="217"/>
        <v>4</v>
      </c>
      <c r="AR255" s="495" t="str">
        <f t="shared" si="218"/>
        <v/>
      </c>
      <c r="AS255" s="491">
        <f t="shared" si="225"/>
        <v>30</v>
      </c>
      <c r="AT255" s="489">
        <f t="shared" si="219"/>
        <v>240</v>
      </c>
      <c r="AU255" s="492">
        <f t="shared" si="220"/>
        <v>0</v>
      </c>
      <c r="AV255" s="493">
        <f t="shared" si="221"/>
        <v>0</v>
      </c>
      <c r="AW255" s="494" t="str">
        <f t="shared" si="222"/>
        <v>#DIV/0!</v>
      </c>
      <c r="AX255" s="5"/>
      <c r="AY255" s="5"/>
      <c r="AZ255" s="5"/>
      <c r="BA255" s="5"/>
      <c r="BB255" s="5"/>
      <c r="BC255" s="5"/>
      <c r="BD255" s="5"/>
      <c r="BE255" s="5"/>
      <c r="BF255" s="5"/>
      <c r="BG255" s="5"/>
      <c r="BH255" s="5"/>
    </row>
    <row r="256" ht="12.75" customHeight="1">
      <c r="A256" s="1"/>
      <c r="B256" s="2"/>
      <c r="C256" s="537" t="s">
        <v>289</v>
      </c>
      <c r="D256" s="127"/>
      <c r="E256" s="161"/>
      <c r="F256" s="127"/>
      <c r="G256" s="127"/>
      <c r="H256" s="127"/>
      <c r="I256" s="538"/>
      <c r="J256" s="495"/>
      <c r="K256" s="539"/>
      <c r="L256" s="3"/>
      <c r="M256" s="3"/>
      <c r="N256" s="4"/>
      <c r="O256" s="2"/>
      <c r="P256" s="314"/>
      <c r="Q256" s="314"/>
      <c r="R256" s="514" t="str">
        <f>'Audit Check'!Q71</f>
        <v>R-Timber m2</v>
      </c>
      <c r="S256" s="495"/>
      <c r="T256" s="488">
        <f t="shared" si="120"/>
        <v>0</v>
      </c>
      <c r="U256" s="489">
        <f t="shared" si="242"/>
        <v>4</v>
      </c>
      <c r="V256" s="490" t="str">
        <f t="shared" si="243"/>
        <v>#REF!</v>
      </c>
      <c r="W256" s="491">
        <f t="shared" si="244"/>
        <v>40</v>
      </c>
      <c r="X256" s="489">
        <f t="shared" si="245"/>
        <v>320</v>
      </c>
      <c r="Y256" s="492">
        <f t="shared" si="246"/>
        <v>0</v>
      </c>
      <c r="Z256" s="493" t="str">
        <f t="shared" si="247"/>
        <v>#REF!</v>
      </c>
      <c r="AA256" s="494" t="str">
        <f t="shared" si="248"/>
        <v>#REF!</v>
      </c>
      <c r="AB256" s="5"/>
      <c r="AC256" s="509" t="str">
        <f>'Audit Check'!R73</f>
        <v/>
      </c>
      <c r="AD256" s="495"/>
      <c r="AE256" s="488">
        <f t="shared" si="117"/>
        <v>0</v>
      </c>
      <c r="AF256" s="489">
        <f t="shared" si="211"/>
        <v>4</v>
      </c>
      <c r="AG256" s="495" t="str">
        <f t="shared" si="212"/>
        <v/>
      </c>
      <c r="AH256" s="491">
        <f t="shared" si="224"/>
        <v>30</v>
      </c>
      <c r="AI256" s="489">
        <f t="shared" si="213"/>
        <v>240</v>
      </c>
      <c r="AJ256" s="492">
        <f t="shared" si="214"/>
        <v>0</v>
      </c>
      <c r="AK256" s="493">
        <f t="shared" si="215"/>
        <v>0</v>
      </c>
      <c r="AL256" s="494" t="str">
        <f t="shared" si="216"/>
        <v>#DIV/0!</v>
      </c>
      <c r="AM256" s="5"/>
      <c r="AN256" s="515" t="str">
        <f>'Audit Check'!S73</f>
        <v/>
      </c>
      <c r="AO256" s="495"/>
      <c r="AP256" s="488">
        <f t="shared" si="118"/>
        <v>0</v>
      </c>
      <c r="AQ256" s="489">
        <f t="shared" si="217"/>
        <v>4</v>
      </c>
      <c r="AR256" s="495" t="str">
        <f t="shared" si="218"/>
        <v/>
      </c>
      <c r="AS256" s="491">
        <f t="shared" si="225"/>
        <v>30</v>
      </c>
      <c r="AT256" s="489">
        <f t="shared" si="219"/>
        <v>240</v>
      </c>
      <c r="AU256" s="492">
        <f t="shared" si="220"/>
        <v>0</v>
      </c>
      <c r="AV256" s="493">
        <f t="shared" si="221"/>
        <v>0</v>
      </c>
      <c r="AW256" s="494" t="str">
        <f t="shared" si="222"/>
        <v>#DIV/0!</v>
      </c>
      <c r="AX256" s="5"/>
      <c r="AY256" s="5"/>
      <c r="AZ256" s="5"/>
      <c r="BA256" s="5"/>
      <c r="BB256" s="5"/>
      <c r="BC256" s="5"/>
      <c r="BD256" s="5"/>
      <c r="BE256" s="5"/>
      <c r="BF256" s="5"/>
      <c r="BG256" s="5"/>
      <c r="BH256" s="5"/>
    </row>
    <row r="257" ht="12.75" customHeight="1">
      <c r="A257" s="1"/>
      <c r="B257" s="2"/>
      <c r="C257" s="540" t="s">
        <v>290</v>
      </c>
      <c r="D257" s="127"/>
      <c r="E257" s="161"/>
      <c r="F257" s="127"/>
      <c r="G257" s="127"/>
      <c r="H257" s="127"/>
      <c r="I257" s="541" t="str">
        <f>+T161</f>
        <v>#REF!</v>
      </c>
      <c r="J257" s="495"/>
      <c r="K257" s="539"/>
      <c r="L257" s="375" t="str">
        <f>I257/I259</f>
        <v>#REF!</v>
      </c>
      <c r="M257" s="3"/>
      <c r="N257" s="4"/>
      <c r="O257" s="2"/>
      <c r="P257" s="314"/>
      <c r="Q257" s="314"/>
      <c r="R257" s="514" t="str">
        <f>'Audit Check'!Q72</f>
        <v>R-TimberLMFix</v>
      </c>
      <c r="S257" s="495"/>
      <c r="T257" s="488">
        <f t="shared" si="120"/>
        <v>0</v>
      </c>
      <c r="U257" s="489">
        <f t="shared" si="242"/>
        <v>4</v>
      </c>
      <c r="V257" s="490" t="str">
        <f t="shared" si="243"/>
        <v>#REF!</v>
      </c>
      <c r="W257" s="491">
        <f t="shared" si="244"/>
        <v>40</v>
      </c>
      <c r="X257" s="489">
        <f t="shared" si="245"/>
        <v>320</v>
      </c>
      <c r="Y257" s="492">
        <f t="shared" si="246"/>
        <v>0</v>
      </c>
      <c r="Z257" s="493" t="str">
        <f t="shared" si="247"/>
        <v>#REF!</v>
      </c>
      <c r="AA257" s="494" t="str">
        <f t="shared" si="248"/>
        <v>#REF!</v>
      </c>
      <c r="AB257" s="5"/>
      <c r="AC257" s="509" t="str">
        <f>'Audit Check'!R74</f>
        <v/>
      </c>
      <c r="AD257" s="495"/>
      <c r="AE257" s="488">
        <f t="shared" si="117"/>
        <v>0</v>
      </c>
      <c r="AF257" s="489">
        <f t="shared" si="211"/>
        <v>4</v>
      </c>
      <c r="AG257" s="495" t="str">
        <f t="shared" si="212"/>
        <v/>
      </c>
      <c r="AH257" s="491">
        <f t="shared" si="224"/>
        <v>30</v>
      </c>
      <c r="AI257" s="489">
        <f t="shared" si="213"/>
        <v>240</v>
      </c>
      <c r="AJ257" s="492">
        <f t="shared" si="214"/>
        <v>0</v>
      </c>
      <c r="AK257" s="493">
        <f t="shared" si="215"/>
        <v>0</v>
      </c>
      <c r="AL257" s="494" t="str">
        <f t="shared" si="216"/>
        <v>#DIV/0!</v>
      </c>
      <c r="AM257" s="5"/>
      <c r="AN257" s="515" t="str">
        <f>'Audit Check'!S74</f>
        <v/>
      </c>
      <c r="AO257" s="495"/>
      <c r="AP257" s="488">
        <f t="shared" si="118"/>
        <v>0</v>
      </c>
      <c r="AQ257" s="489">
        <f t="shared" si="217"/>
        <v>4</v>
      </c>
      <c r="AR257" s="495" t="str">
        <f t="shared" si="218"/>
        <v/>
      </c>
      <c r="AS257" s="491">
        <f t="shared" si="225"/>
        <v>30</v>
      </c>
      <c r="AT257" s="489">
        <f t="shared" si="219"/>
        <v>240</v>
      </c>
      <c r="AU257" s="492">
        <f t="shared" si="220"/>
        <v>0</v>
      </c>
      <c r="AV257" s="493">
        <f t="shared" si="221"/>
        <v>0</v>
      </c>
      <c r="AW257" s="494" t="str">
        <f t="shared" si="222"/>
        <v>#DIV/0!</v>
      </c>
      <c r="AX257" s="5"/>
      <c r="AY257" s="5"/>
      <c r="AZ257" s="5"/>
      <c r="BA257" s="5"/>
      <c r="BB257" s="5"/>
      <c r="BC257" s="5"/>
      <c r="BD257" s="5"/>
      <c r="BE257" s="5"/>
      <c r="BF257" s="5"/>
      <c r="BG257" s="5"/>
      <c r="BH257" s="5"/>
    </row>
    <row r="258" ht="12.75" customHeight="1">
      <c r="A258" s="1"/>
      <c r="B258" s="2"/>
      <c r="C258" s="540" t="s">
        <v>185</v>
      </c>
      <c r="D258" s="127"/>
      <c r="E258" s="161"/>
      <c r="F258" s="127"/>
      <c r="G258" s="127"/>
      <c r="H258" s="127"/>
      <c r="I258" s="542" t="str">
        <f>+W161</f>
        <v>#REF!</v>
      </c>
      <c r="J258" s="495"/>
      <c r="K258" s="539"/>
      <c r="L258" s="375" t="str">
        <f>I258/I259</f>
        <v>#REF!</v>
      </c>
      <c r="M258" s="3"/>
      <c r="N258" s="4"/>
      <c r="O258" s="2"/>
      <c r="P258" s="314"/>
      <c r="Q258" s="314"/>
      <c r="R258" s="514" t="str">
        <f>'Audit Check'!Q73</f>
        <v>R-Timberm2Fix</v>
      </c>
      <c r="S258" s="495"/>
      <c r="T258" s="488">
        <f t="shared" si="120"/>
        <v>0</v>
      </c>
      <c r="U258" s="489">
        <f t="shared" si="242"/>
        <v>4</v>
      </c>
      <c r="V258" s="490" t="str">
        <f t="shared" si="243"/>
        <v>#REF!</v>
      </c>
      <c r="W258" s="491">
        <f t="shared" si="244"/>
        <v>40</v>
      </c>
      <c r="X258" s="489">
        <f t="shared" si="245"/>
        <v>320</v>
      </c>
      <c r="Y258" s="492">
        <f t="shared" si="246"/>
        <v>0</v>
      </c>
      <c r="Z258" s="493" t="str">
        <f t="shared" si="247"/>
        <v>#REF!</v>
      </c>
      <c r="AA258" s="494" t="str">
        <f t="shared" si="248"/>
        <v>#REF!</v>
      </c>
      <c r="AB258" s="5"/>
      <c r="AC258" s="509" t="str">
        <f>'Audit Check'!R75</f>
        <v/>
      </c>
      <c r="AD258" s="495"/>
      <c r="AE258" s="488">
        <f t="shared" si="117"/>
        <v>0</v>
      </c>
      <c r="AF258" s="489">
        <f t="shared" si="211"/>
        <v>4</v>
      </c>
      <c r="AG258" s="495" t="str">
        <f t="shared" si="212"/>
        <v/>
      </c>
      <c r="AH258" s="491">
        <f t="shared" si="224"/>
        <v>30</v>
      </c>
      <c r="AI258" s="489">
        <f t="shared" si="213"/>
        <v>240</v>
      </c>
      <c r="AJ258" s="492">
        <f t="shared" si="214"/>
        <v>0</v>
      </c>
      <c r="AK258" s="493">
        <f t="shared" si="215"/>
        <v>0</v>
      </c>
      <c r="AL258" s="494" t="str">
        <f t="shared" si="216"/>
        <v>#DIV/0!</v>
      </c>
      <c r="AM258" s="5"/>
      <c r="AN258" s="515" t="str">
        <f>'Audit Check'!S75</f>
        <v/>
      </c>
      <c r="AO258" s="495"/>
      <c r="AP258" s="488">
        <f t="shared" si="118"/>
        <v>0</v>
      </c>
      <c r="AQ258" s="489">
        <f t="shared" si="217"/>
        <v>4</v>
      </c>
      <c r="AR258" s="495" t="str">
        <f t="shared" si="218"/>
        <v/>
      </c>
      <c r="AS258" s="491">
        <f t="shared" si="225"/>
        <v>30</v>
      </c>
      <c r="AT258" s="489">
        <f t="shared" si="219"/>
        <v>240</v>
      </c>
      <c r="AU258" s="492">
        <f t="shared" si="220"/>
        <v>0</v>
      </c>
      <c r="AV258" s="493">
        <f t="shared" si="221"/>
        <v>0</v>
      </c>
      <c r="AW258" s="494" t="str">
        <f t="shared" si="222"/>
        <v>#DIV/0!</v>
      </c>
      <c r="AX258" s="5"/>
      <c r="AY258" s="5"/>
      <c r="AZ258" s="5"/>
      <c r="BA258" s="5"/>
      <c r="BB258" s="5"/>
      <c r="BC258" s="5"/>
      <c r="BD258" s="5"/>
      <c r="BE258" s="5"/>
      <c r="BF258" s="5"/>
      <c r="BG258" s="5"/>
      <c r="BH258" s="5"/>
    </row>
    <row r="259" ht="12.75" customHeight="1">
      <c r="A259" s="1"/>
      <c r="B259" s="2"/>
      <c r="C259" s="543" t="s">
        <v>291</v>
      </c>
      <c r="D259" s="544"/>
      <c r="E259" s="545"/>
      <c r="F259" s="544"/>
      <c r="G259" s="544"/>
      <c r="H259" s="544"/>
      <c r="I259" s="546" t="str">
        <f>SUM(I257:I258)</f>
        <v>#REF!</v>
      </c>
      <c r="J259" s="547"/>
      <c r="K259" s="547"/>
      <c r="L259" s="3"/>
      <c r="M259" s="3"/>
      <c r="N259" s="4"/>
      <c r="O259" s="2"/>
      <c r="P259" s="314"/>
      <c r="Q259" s="314"/>
      <c r="R259" s="514" t="str">
        <f>'Audit Check'!Q74</f>
        <v>R-Tophat</v>
      </c>
      <c r="S259" s="495"/>
      <c r="T259" s="488">
        <f t="shared" si="120"/>
        <v>0</v>
      </c>
      <c r="U259" s="489">
        <f t="shared" si="242"/>
        <v>4</v>
      </c>
      <c r="V259" s="490" t="str">
        <f t="shared" si="243"/>
        <v>#REF!</v>
      </c>
      <c r="W259" s="491">
        <f t="shared" si="244"/>
        <v>40</v>
      </c>
      <c r="X259" s="489">
        <f t="shared" si="245"/>
        <v>320</v>
      </c>
      <c r="Y259" s="492">
        <f t="shared" si="246"/>
        <v>0</v>
      </c>
      <c r="Z259" s="493" t="str">
        <f t="shared" si="247"/>
        <v>#REF!</v>
      </c>
      <c r="AA259" s="494" t="str">
        <f t="shared" si="248"/>
        <v>#REF!</v>
      </c>
      <c r="AB259" s="5"/>
      <c r="AC259" s="509" t="str">
        <f>'Audit Check'!R76</f>
        <v/>
      </c>
      <c r="AD259" s="495"/>
      <c r="AE259" s="488">
        <f t="shared" si="117"/>
        <v>0</v>
      </c>
      <c r="AF259" s="489">
        <f t="shared" si="211"/>
        <v>4</v>
      </c>
      <c r="AG259" s="495" t="str">
        <f t="shared" si="212"/>
        <v/>
      </c>
      <c r="AH259" s="491">
        <f t="shared" si="224"/>
        <v>30</v>
      </c>
      <c r="AI259" s="489">
        <f t="shared" si="213"/>
        <v>240</v>
      </c>
      <c r="AJ259" s="492">
        <f t="shared" si="214"/>
        <v>0</v>
      </c>
      <c r="AK259" s="493">
        <f t="shared" si="215"/>
        <v>0</v>
      </c>
      <c r="AL259" s="494" t="str">
        <f t="shared" si="216"/>
        <v>#DIV/0!</v>
      </c>
      <c r="AM259" s="5"/>
      <c r="AN259" s="515" t="str">
        <f>'Audit Check'!S76</f>
        <v/>
      </c>
      <c r="AO259" s="495"/>
      <c r="AP259" s="488">
        <f t="shared" si="118"/>
        <v>0</v>
      </c>
      <c r="AQ259" s="489">
        <f t="shared" si="217"/>
        <v>4</v>
      </c>
      <c r="AR259" s="495" t="str">
        <f t="shared" si="218"/>
        <v/>
      </c>
      <c r="AS259" s="491">
        <f t="shared" si="225"/>
        <v>30</v>
      </c>
      <c r="AT259" s="489">
        <f t="shared" si="219"/>
        <v>240</v>
      </c>
      <c r="AU259" s="492">
        <f t="shared" si="220"/>
        <v>0</v>
      </c>
      <c r="AV259" s="493">
        <f t="shared" si="221"/>
        <v>0</v>
      </c>
      <c r="AW259" s="494" t="str">
        <f t="shared" si="222"/>
        <v>#DIV/0!</v>
      </c>
      <c r="AX259" s="5"/>
      <c r="AY259" s="5"/>
      <c r="AZ259" s="5"/>
      <c r="BA259" s="5"/>
      <c r="BB259" s="5"/>
      <c r="BC259" s="5"/>
      <c r="BD259" s="5"/>
      <c r="BE259" s="5"/>
      <c r="BF259" s="5"/>
      <c r="BG259" s="5"/>
      <c r="BH259" s="5"/>
    </row>
    <row r="260" ht="12.75" customHeight="1">
      <c r="A260" s="1"/>
      <c r="B260" s="2"/>
      <c r="C260" s="2"/>
      <c r="D260" s="2"/>
      <c r="E260" s="3"/>
      <c r="F260" s="2"/>
      <c r="G260" s="2"/>
      <c r="H260" s="2"/>
      <c r="I260" s="2"/>
      <c r="J260" s="2"/>
      <c r="K260" s="2"/>
      <c r="L260" s="3"/>
      <c r="M260" s="3"/>
      <c r="N260" s="4"/>
      <c r="O260" s="2"/>
      <c r="P260" s="314"/>
      <c r="Q260" s="314"/>
      <c r="R260" s="514" t="str">
        <f>'Audit Check'!Q75</f>
        <v>R-TPO</v>
      </c>
      <c r="S260" s="495"/>
      <c r="T260" s="488">
        <f t="shared" si="120"/>
        <v>0</v>
      </c>
      <c r="U260" s="489">
        <f t="shared" si="242"/>
        <v>4</v>
      </c>
      <c r="V260" s="490" t="str">
        <f t="shared" si="243"/>
        <v>#REF!</v>
      </c>
      <c r="W260" s="491">
        <f t="shared" si="244"/>
        <v>40</v>
      </c>
      <c r="X260" s="489">
        <f t="shared" si="245"/>
        <v>320</v>
      </c>
      <c r="Y260" s="492">
        <f t="shared" si="246"/>
        <v>0</v>
      </c>
      <c r="Z260" s="493" t="str">
        <f t="shared" si="247"/>
        <v>#REF!</v>
      </c>
      <c r="AA260" s="494" t="str">
        <f t="shared" si="248"/>
        <v>#REF!</v>
      </c>
      <c r="AB260" s="5"/>
      <c r="AC260" s="509" t="str">
        <f>'Audit Check'!R77</f>
        <v/>
      </c>
      <c r="AD260" s="495"/>
      <c r="AE260" s="488">
        <f t="shared" si="117"/>
        <v>0</v>
      </c>
      <c r="AF260" s="489">
        <f t="shared" si="211"/>
        <v>4</v>
      </c>
      <c r="AG260" s="495" t="str">
        <f t="shared" si="212"/>
        <v/>
      </c>
      <c r="AH260" s="491">
        <f t="shared" si="224"/>
        <v>30</v>
      </c>
      <c r="AI260" s="489">
        <f t="shared" si="213"/>
        <v>240</v>
      </c>
      <c r="AJ260" s="492">
        <f t="shared" si="214"/>
        <v>0</v>
      </c>
      <c r="AK260" s="493">
        <f t="shared" si="215"/>
        <v>0</v>
      </c>
      <c r="AL260" s="494" t="str">
        <f t="shared" si="216"/>
        <v>#DIV/0!</v>
      </c>
      <c r="AM260" s="5"/>
      <c r="AN260" s="515" t="str">
        <f>'Audit Check'!S77</f>
        <v/>
      </c>
      <c r="AO260" s="495"/>
      <c r="AP260" s="488">
        <f t="shared" si="118"/>
        <v>0</v>
      </c>
      <c r="AQ260" s="489">
        <f t="shared" si="217"/>
        <v>4</v>
      </c>
      <c r="AR260" s="495" t="str">
        <f t="shared" si="218"/>
        <v/>
      </c>
      <c r="AS260" s="491">
        <f t="shared" si="225"/>
        <v>30</v>
      </c>
      <c r="AT260" s="489">
        <f t="shared" si="219"/>
        <v>240</v>
      </c>
      <c r="AU260" s="492">
        <f t="shared" si="220"/>
        <v>0</v>
      </c>
      <c r="AV260" s="493">
        <f t="shared" si="221"/>
        <v>0</v>
      </c>
      <c r="AW260" s="494" t="str">
        <f t="shared" si="222"/>
        <v>#DIV/0!</v>
      </c>
      <c r="AX260" s="5"/>
      <c r="AY260" s="5"/>
      <c r="AZ260" s="5"/>
      <c r="BA260" s="5"/>
      <c r="BB260" s="5"/>
      <c r="BC260" s="5"/>
      <c r="BD260" s="5"/>
      <c r="BE260" s="5"/>
      <c r="BF260" s="5"/>
      <c r="BG260" s="5"/>
      <c r="BH260" s="5"/>
    </row>
    <row r="261" ht="12.75" customHeight="1">
      <c r="A261" s="1"/>
      <c r="B261" s="2"/>
      <c r="C261" s="537" t="s">
        <v>292</v>
      </c>
      <c r="D261" s="127"/>
      <c r="E261" s="161"/>
      <c r="F261" s="127"/>
      <c r="G261" s="127"/>
      <c r="H261" s="127"/>
      <c r="I261" s="538"/>
      <c r="J261" s="495"/>
      <c r="K261" s="539"/>
      <c r="L261" s="3"/>
      <c r="M261" s="3"/>
      <c r="N261" s="4"/>
      <c r="O261" s="2"/>
      <c r="P261" s="314"/>
      <c r="Q261" s="314"/>
      <c r="R261" s="514" t="str">
        <f>'Audit Check'!Q76</f>
        <v>R-TPO Gutter</v>
      </c>
      <c r="S261" s="495"/>
      <c r="T261" s="488">
        <f t="shared" si="120"/>
        <v>0</v>
      </c>
      <c r="U261" s="489">
        <f t="shared" si="242"/>
        <v>4</v>
      </c>
      <c r="V261" s="490" t="str">
        <f t="shared" si="243"/>
        <v>#REF!</v>
      </c>
      <c r="W261" s="491">
        <f t="shared" si="244"/>
        <v>40</v>
      </c>
      <c r="X261" s="489">
        <f t="shared" si="245"/>
        <v>320</v>
      </c>
      <c r="Y261" s="492">
        <f t="shared" si="246"/>
        <v>0</v>
      </c>
      <c r="Z261" s="493" t="str">
        <f t="shared" si="247"/>
        <v>#REF!</v>
      </c>
      <c r="AA261" s="494" t="str">
        <f t="shared" si="248"/>
        <v>#REF!</v>
      </c>
      <c r="AB261" s="5"/>
      <c r="AC261" s="509" t="str">
        <f>'Audit Check'!R78</f>
        <v/>
      </c>
      <c r="AD261" s="495"/>
      <c r="AE261" s="488">
        <f t="shared" si="117"/>
        <v>0</v>
      </c>
      <c r="AF261" s="489">
        <f t="shared" si="211"/>
        <v>4</v>
      </c>
      <c r="AG261" s="495" t="str">
        <f t="shared" si="212"/>
        <v/>
      </c>
      <c r="AH261" s="491">
        <f t="shared" si="224"/>
        <v>30</v>
      </c>
      <c r="AI261" s="489">
        <f t="shared" si="213"/>
        <v>240</v>
      </c>
      <c r="AJ261" s="492">
        <f t="shared" si="214"/>
        <v>0</v>
      </c>
      <c r="AK261" s="493">
        <f t="shared" si="215"/>
        <v>0</v>
      </c>
      <c r="AL261" s="494" t="str">
        <f t="shared" si="216"/>
        <v>#DIV/0!</v>
      </c>
      <c r="AM261" s="5"/>
      <c r="AN261" s="515" t="str">
        <f>'Audit Check'!S78</f>
        <v/>
      </c>
      <c r="AO261" s="495"/>
      <c r="AP261" s="488">
        <f t="shared" si="118"/>
        <v>0</v>
      </c>
      <c r="AQ261" s="489">
        <f t="shared" si="217"/>
        <v>4</v>
      </c>
      <c r="AR261" s="495" t="str">
        <f t="shared" si="218"/>
        <v/>
      </c>
      <c r="AS261" s="491">
        <f t="shared" si="225"/>
        <v>30</v>
      </c>
      <c r="AT261" s="489">
        <f t="shared" si="219"/>
        <v>240</v>
      </c>
      <c r="AU261" s="492">
        <f t="shared" si="220"/>
        <v>0</v>
      </c>
      <c r="AV261" s="493">
        <f t="shared" si="221"/>
        <v>0</v>
      </c>
      <c r="AW261" s="494" t="str">
        <f t="shared" si="222"/>
        <v>#DIV/0!</v>
      </c>
      <c r="AX261" s="5"/>
      <c r="AY261" s="5"/>
      <c r="AZ261" s="5"/>
      <c r="BA261" s="5"/>
      <c r="BB261" s="5"/>
      <c r="BC261" s="5"/>
      <c r="BD261" s="5"/>
      <c r="BE261" s="5"/>
      <c r="BF261" s="5"/>
      <c r="BG261" s="5"/>
      <c r="BH261" s="5"/>
    </row>
    <row r="262" ht="12.75" customHeight="1">
      <c r="A262" s="1"/>
      <c r="B262" s="2"/>
      <c r="C262" s="540" t="str">
        <f>C154</f>
        <v>Pre-mobilisation documents</v>
      </c>
      <c r="D262" s="127"/>
      <c r="E262" s="161"/>
      <c r="F262" s="127"/>
      <c r="G262" s="127"/>
      <c r="H262" s="127"/>
      <c r="I262" s="541">
        <f>N154</f>
        <v>0</v>
      </c>
      <c r="J262" s="495"/>
      <c r="K262" s="539"/>
      <c r="L262" s="3"/>
      <c r="M262" s="3"/>
      <c r="N262" s="4"/>
      <c r="O262" s="2"/>
      <c r="P262" s="314"/>
      <c r="Q262" s="314"/>
      <c r="R262" s="514" t="str">
        <f>'Audit Check'!Q77</f>
        <v>R-Trimmer/Packer</v>
      </c>
      <c r="S262" s="495"/>
      <c r="T262" s="488">
        <f t="shared" si="120"/>
        <v>0</v>
      </c>
      <c r="U262" s="489">
        <f t="shared" si="242"/>
        <v>4</v>
      </c>
      <c r="V262" s="490" t="str">
        <f t="shared" si="243"/>
        <v>#REF!</v>
      </c>
      <c r="W262" s="491">
        <f t="shared" si="244"/>
        <v>40</v>
      </c>
      <c r="X262" s="489">
        <f t="shared" si="245"/>
        <v>320</v>
      </c>
      <c r="Y262" s="492">
        <f t="shared" si="246"/>
        <v>0</v>
      </c>
      <c r="Z262" s="493" t="str">
        <f t="shared" si="247"/>
        <v>#REF!</v>
      </c>
      <c r="AA262" s="494" t="str">
        <f t="shared" si="248"/>
        <v>#REF!</v>
      </c>
      <c r="AB262" s="5"/>
      <c r="AC262" s="509" t="str">
        <f>'Audit Check'!R79</f>
        <v/>
      </c>
      <c r="AD262" s="495"/>
      <c r="AE262" s="488">
        <f t="shared" si="117"/>
        <v>0</v>
      </c>
      <c r="AF262" s="489">
        <f t="shared" si="211"/>
        <v>4</v>
      </c>
      <c r="AG262" s="495" t="str">
        <f t="shared" si="212"/>
        <v/>
      </c>
      <c r="AH262" s="491">
        <f t="shared" si="224"/>
        <v>30</v>
      </c>
      <c r="AI262" s="489">
        <f t="shared" si="213"/>
        <v>240</v>
      </c>
      <c r="AJ262" s="492">
        <f t="shared" si="214"/>
        <v>0</v>
      </c>
      <c r="AK262" s="493">
        <f t="shared" si="215"/>
        <v>0</v>
      </c>
      <c r="AL262" s="494" t="str">
        <f t="shared" si="216"/>
        <v>#DIV/0!</v>
      </c>
      <c r="AM262" s="5"/>
      <c r="AN262" s="515" t="str">
        <f>'Audit Check'!S79</f>
        <v/>
      </c>
      <c r="AO262" s="495"/>
      <c r="AP262" s="488">
        <f t="shared" si="118"/>
        <v>0</v>
      </c>
      <c r="AQ262" s="489">
        <f t="shared" si="217"/>
        <v>4</v>
      </c>
      <c r="AR262" s="495" t="str">
        <f t="shared" si="218"/>
        <v/>
      </c>
      <c r="AS262" s="491">
        <f t="shared" si="225"/>
        <v>30</v>
      </c>
      <c r="AT262" s="489">
        <f t="shared" si="219"/>
        <v>240</v>
      </c>
      <c r="AU262" s="492">
        <f t="shared" si="220"/>
        <v>0</v>
      </c>
      <c r="AV262" s="493">
        <f t="shared" si="221"/>
        <v>0</v>
      </c>
      <c r="AW262" s="494" t="str">
        <f t="shared" si="222"/>
        <v>#DIV/0!</v>
      </c>
      <c r="AX262" s="5"/>
      <c r="AY262" s="5"/>
      <c r="AZ262" s="5"/>
      <c r="BA262" s="5"/>
      <c r="BB262" s="5"/>
      <c r="BC262" s="5"/>
      <c r="BD262" s="5"/>
      <c r="BE262" s="5"/>
      <c r="BF262" s="5"/>
      <c r="BG262" s="5"/>
      <c r="BH262" s="5"/>
    </row>
    <row r="263" ht="12.75" customHeight="1">
      <c r="A263" s="1"/>
      <c r="B263" s="2"/>
      <c r="C263" s="540" t="str">
        <f>C162</f>
        <v>Site Measure &amp; Order Materials</v>
      </c>
      <c r="D263" s="127"/>
      <c r="E263" s="161"/>
      <c r="F263" s="127"/>
      <c r="G263" s="127"/>
      <c r="H263" s="127"/>
      <c r="I263" s="541" t="str">
        <f>N162</f>
        <v>#REF!</v>
      </c>
      <c r="J263" s="495"/>
      <c r="K263" s="539"/>
      <c r="L263" s="3"/>
      <c r="M263" s="3"/>
      <c r="N263" s="4"/>
      <c r="O263" s="2"/>
      <c r="P263" s="314"/>
      <c r="Q263" s="314"/>
      <c r="R263" s="514" t="str">
        <f>'Audit Check'!Q78</f>
        <v>R-TS</v>
      </c>
      <c r="S263" s="495"/>
      <c r="T263" s="488">
        <f t="shared" si="120"/>
        <v>0</v>
      </c>
      <c r="U263" s="489">
        <f t="shared" si="242"/>
        <v>4</v>
      </c>
      <c r="V263" s="490" t="str">
        <f t="shared" si="243"/>
        <v>#REF!</v>
      </c>
      <c r="W263" s="491">
        <f t="shared" si="244"/>
        <v>40</v>
      </c>
      <c r="X263" s="489">
        <f t="shared" si="245"/>
        <v>320</v>
      </c>
      <c r="Y263" s="492">
        <f t="shared" si="246"/>
        <v>0</v>
      </c>
      <c r="Z263" s="493" t="str">
        <f t="shared" si="247"/>
        <v>#REF!</v>
      </c>
      <c r="AA263" s="494" t="str">
        <f t="shared" si="248"/>
        <v>#REF!</v>
      </c>
      <c r="AB263" s="5"/>
      <c r="AC263" s="509" t="str">
        <f>'Audit Check'!R80</f>
        <v/>
      </c>
      <c r="AD263" s="495"/>
      <c r="AE263" s="488">
        <f t="shared" si="117"/>
        <v>0</v>
      </c>
      <c r="AF263" s="489">
        <f t="shared" si="211"/>
        <v>4</v>
      </c>
      <c r="AG263" s="495" t="str">
        <f t="shared" si="212"/>
        <v/>
      </c>
      <c r="AH263" s="491">
        <f t="shared" si="224"/>
        <v>30</v>
      </c>
      <c r="AI263" s="489">
        <f t="shared" si="213"/>
        <v>240</v>
      </c>
      <c r="AJ263" s="492">
        <f t="shared" si="214"/>
        <v>0</v>
      </c>
      <c r="AK263" s="493">
        <f t="shared" si="215"/>
        <v>0</v>
      </c>
      <c r="AL263" s="494" t="str">
        <f t="shared" si="216"/>
        <v>#DIV/0!</v>
      </c>
      <c r="AM263" s="5"/>
      <c r="AN263" s="515" t="str">
        <f>'Audit Check'!S80</f>
        <v/>
      </c>
      <c r="AO263" s="495"/>
      <c r="AP263" s="488">
        <f t="shared" si="118"/>
        <v>0</v>
      </c>
      <c r="AQ263" s="489">
        <f t="shared" si="217"/>
        <v>4</v>
      </c>
      <c r="AR263" s="495" t="str">
        <f t="shared" si="218"/>
        <v/>
      </c>
      <c r="AS263" s="491">
        <f t="shared" si="225"/>
        <v>30</v>
      </c>
      <c r="AT263" s="489">
        <f t="shared" si="219"/>
        <v>240</v>
      </c>
      <c r="AU263" s="492">
        <f t="shared" si="220"/>
        <v>0</v>
      </c>
      <c r="AV263" s="493">
        <f t="shared" si="221"/>
        <v>0</v>
      </c>
      <c r="AW263" s="494" t="str">
        <f t="shared" si="222"/>
        <v>#DIV/0!</v>
      </c>
      <c r="AX263" s="5"/>
      <c r="AY263" s="5"/>
      <c r="AZ263" s="5"/>
      <c r="BA263" s="5"/>
      <c r="BB263" s="5"/>
      <c r="BC263" s="5"/>
      <c r="BD263" s="5"/>
      <c r="BE263" s="5"/>
      <c r="BF263" s="5"/>
      <c r="BG263" s="5"/>
      <c r="BH263" s="5"/>
    </row>
    <row r="264" ht="12.75" customHeight="1">
      <c r="A264" s="1"/>
      <c r="B264" s="2"/>
      <c r="C264" s="540" t="str">
        <f>C168</f>
        <v>Freight materials to site</v>
      </c>
      <c r="D264" s="127"/>
      <c r="E264" s="161"/>
      <c r="F264" s="127"/>
      <c r="G264" s="127"/>
      <c r="H264" s="127"/>
      <c r="I264" s="541">
        <f>N168</f>
        <v>1200</v>
      </c>
      <c r="J264" s="495"/>
      <c r="K264" s="539"/>
      <c r="L264" s="3"/>
      <c r="M264" s="3"/>
      <c r="N264" s="4"/>
      <c r="O264" s="2"/>
      <c r="P264" s="314"/>
      <c r="Q264" s="314"/>
      <c r="R264" s="514" t="str">
        <f>'Audit Check'!Q79</f>
        <v>R-TSFixing</v>
      </c>
      <c r="S264" s="495"/>
      <c r="T264" s="488">
        <f t="shared" si="120"/>
        <v>0</v>
      </c>
      <c r="U264" s="489">
        <f t="shared" si="242"/>
        <v>4</v>
      </c>
      <c r="V264" s="490" t="str">
        <f t="shared" si="243"/>
        <v>#REF!</v>
      </c>
      <c r="W264" s="491">
        <f t="shared" si="244"/>
        <v>40</v>
      </c>
      <c r="X264" s="489">
        <f t="shared" si="245"/>
        <v>320</v>
      </c>
      <c r="Y264" s="492">
        <f t="shared" si="246"/>
        <v>0</v>
      </c>
      <c r="Z264" s="493" t="str">
        <f t="shared" si="247"/>
        <v>#REF!</v>
      </c>
      <c r="AA264" s="494" t="str">
        <f t="shared" si="248"/>
        <v>#REF!</v>
      </c>
      <c r="AB264" s="5"/>
      <c r="AC264" s="509" t="str">
        <f>'Audit Check'!R81</f>
        <v/>
      </c>
      <c r="AD264" s="495"/>
      <c r="AE264" s="488">
        <f t="shared" si="117"/>
        <v>0</v>
      </c>
      <c r="AF264" s="489">
        <f t="shared" si="211"/>
        <v>4</v>
      </c>
      <c r="AG264" s="495" t="str">
        <f t="shared" si="212"/>
        <v/>
      </c>
      <c r="AH264" s="491">
        <f t="shared" si="224"/>
        <v>30</v>
      </c>
      <c r="AI264" s="489">
        <f t="shared" si="213"/>
        <v>240</v>
      </c>
      <c r="AJ264" s="492">
        <f t="shared" si="214"/>
        <v>0</v>
      </c>
      <c r="AK264" s="493">
        <f t="shared" si="215"/>
        <v>0</v>
      </c>
      <c r="AL264" s="494" t="str">
        <f t="shared" si="216"/>
        <v>#DIV/0!</v>
      </c>
      <c r="AM264" s="5"/>
      <c r="AN264" s="515" t="str">
        <f>'Audit Check'!S81</f>
        <v/>
      </c>
      <c r="AO264" s="495"/>
      <c r="AP264" s="488">
        <f t="shared" si="118"/>
        <v>0</v>
      </c>
      <c r="AQ264" s="489">
        <f t="shared" si="217"/>
        <v>4</v>
      </c>
      <c r="AR264" s="495" t="str">
        <f t="shared" si="218"/>
        <v/>
      </c>
      <c r="AS264" s="491">
        <f t="shared" si="225"/>
        <v>30</v>
      </c>
      <c r="AT264" s="489">
        <f t="shared" si="219"/>
        <v>240</v>
      </c>
      <c r="AU264" s="492">
        <f t="shared" si="220"/>
        <v>0</v>
      </c>
      <c r="AV264" s="493">
        <f t="shared" si="221"/>
        <v>0</v>
      </c>
      <c r="AW264" s="494" t="str">
        <f t="shared" si="222"/>
        <v>#DIV/0!</v>
      </c>
      <c r="AX264" s="5"/>
      <c r="AY264" s="5"/>
      <c r="AZ264" s="5"/>
      <c r="BA264" s="5"/>
      <c r="BB264" s="5"/>
      <c r="BC264" s="5"/>
      <c r="BD264" s="5"/>
      <c r="BE264" s="5"/>
      <c r="BF264" s="5"/>
      <c r="BG264" s="5"/>
      <c r="BH264" s="5"/>
    </row>
    <row r="265" ht="12.75" customHeight="1">
      <c r="A265" s="1"/>
      <c r="B265" s="2"/>
      <c r="C265" s="540" t="str">
        <f>C178</f>
        <v>Samples, warranties, maintenance manuals</v>
      </c>
      <c r="D265" s="127"/>
      <c r="E265" s="161"/>
      <c r="F265" s="127"/>
      <c r="G265" s="127"/>
      <c r="H265" s="127"/>
      <c r="I265" s="541">
        <f>N178</f>
        <v>0</v>
      </c>
      <c r="J265" s="495"/>
      <c r="K265" s="539"/>
      <c r="L265" s="3"/>
      <c r="M265" s="3"/>
      <c r="N265" s="4"/>
      <c r="O265" s="2"/>
      <c r="P265" s="314"/>
      <c r="Q265" s="314"/>
      <c r="R265" s="514" t="str">
        <f>'Audit Check'!Q80</f>
        <v>R-TSLapSeal</v>
      </c>
      <c r="S265" s="495"/>
      <c r="T265" s="488">
        <f t="shared" si="120"/>
        <v>0</v>
      </c>
      <c r="U265" s="489">
        <f t="shared" si="242"/>
        <v>4</v>
      </c>
      <c r="V265" s="490" t="str">
        <f t="shared" si="243"/>
        <v>#REF!</v>
      </c>
      <c r="W265" s="491">
        <f t="shared" si="244"/>
        <v>40</v>
      </c>
      <c r="X265" s="489">
        <f t="shared" si="245"/>
        <v>320</v>
      </c>
      <c r="Y265" s="492">
        <f t="shared" si="246"/>
        <v>0</v>
      </c>
      <c r="Z265" s="493" t="str">
        <f t="shared" si="247"/>
        <v>#REF!</v>
      </c>
      <c r="AA265" s="494" t="str">
        <f t="shared" si="248"/>
        <v>#REF!</v>
      </c>
      <c r="AB265" s="5"/>
      <c r="AC265" s="509" t="str">
        <f>'Audit Check'!R82</f>
        <v/>
      </c>
      <c r="AD265" s="495"/>
      <c r="AE265" s="488">
        <f t="shared" si="117"/>
        <v>0</v>
      </c>
      <c r="AF265" s="489">
        <f t="shared" si="211"/>
        <v>4</v>
      </c>
      <c r="AG265" s="495" t="str">
        <f t="shared" si="212"/>
        <v/>
      </c>
      <c r="AH265" s="491">
        <f t="shared" si="224"/>
        <v>30</v>
      </c>
      <c r="AI265" s="489">
        <f t="shared" si="213"/>
        <v>240</v>
      </c>
      <c r="AJ265" s="492">
        <f t="shared" si="214"/>
        <v>0</v>
      </c>
      <c r="AK265" s="493">
        <f t="shared" si="215"/>
        <v>0</v>
      </c>
      <c r="AL265" s="494" t="str">
        <f t="shared" si="216"/>
        <v>#DIV/0!</v>
      </c>
      <c r="AM265" s="5"/>
      <c r="AN265" s="515" t="str">
        <f>'Audit Check'!S82</f>
        <v/>
      </c>
      <c r="AO265" s="495"/>
      <c r="AP265" s="488">
        <f t="shared" si="118"/>
        <v>0</v>
      </c>
      <c r="AQ265" s="489">
        <f t="shared" si="217"/>
        <v>4</v>
      </c>
      <c r="AR265" s="495" t="str">
        <f t="shared" si="218"/>
        <v/>
      </c>
      <c r="AS265" s="491">
        <f t="shared" si="225"/>
        <v>30</v>
      </c>
      <c r="AT265" s="489">
        <f t="shared" si="219"/>
        <v>240</v>
      </c>
      <c r="AU265" s="492">
        <f t="shared" si="220"/>
        <v>0</v>
      </c>
      <c r="AV265" s="493">
        <f t="shared" si="221"/>
        <v>0</v>
      </c>
      <c r="AW265" s="494" t="str">
        <f t="shared" si="222"/>
        <v>#DIV/0!</v>
      </c>
      <c r="AX265" s="5"/>
      <c r="AY265" s="5"/>
      <c r="AZ265" s="5"/>
      <c r="BA265" s="5"/>
      <c r="BB265" s="5"/>
      <c r="BC265" s="5"/>
      <c r="BD265" s="5"/>
      <c r="BE265" s="5"/>
      <c r="BF265" s="5"/>
      <c r="BG265" s="5"/>
      <c r="BH265" s="5"/>
    </row>
    <row r="266" ht="12.75" customHeight="1">
      <c r="A266" s="1"/>
      <c r="B266" s="2"/>
      <c r="C266" s="540" t="str">
        <f>C183</f>
        <v>Site IndUCtions, PPE and safety meetings</v>
      </c>
      <c r="D266" s="127"/>
      <c r="E266" s="161"/>
      <c r="F266" s="127"/>
      <c r="G266" s="127"/>
      <c r="H266" s="127"/>
      <c r="I266" s="541">
        <f>N183</f>
        <v>0</v>
      </c>
      <c r="J266" s="495"/>
      <c r="K266" s="539"/>
      <c r="L266" s="3"/>
      <c r="M266" s="3"/>
      <c r="N266" s="4"/>
      <c r="O266" s="2"/>
      <c r="P266" s="314"/>
      <c r="Q266" s="314"/>
      <c r="R266" s="514" t="str">
        <f>'Audit Check'!Q81</f>
        <v>R-TSPurlinStrip</v>
      </c>
      <c r="S266" s="495"/>
      <c r="T266" s="488">
        <f t="shared" si="120"/>
        <v>0</v>
      </c>
      <c r="U266" s="489">
        <f t="shared" si="242"/>
        <v>4</v>
      </c>
      <c r="V266" s="490" t="str">
        <f t="shared" si="243"/>
        <v>#REF!</v>
      </c>
      <c r="W266" s="491">
        <f t="shared" si="244"/>
        <v>40</v>
      </c>
      <c r="X266" s="489">
        <f t="shared" si="245"/>
        <v>320</v>
      </c>
      <c r="Y266" s="492">
        <f t="shared" si="246"/>
        <v>0</v>
      </c>
      <c r="Z266" s="493" t="str">
        <f t="shared" si="247"/>
        <v>#REF!</v>
      </c>
      <c r="AA266" s="494" t="str">
        <f t="shared" si="248"/>
        <v>#REF!</v>
      </c>
      <c r="AB266" s="5"/>
      <c r="AC266" s="509" t="str">
        <f>'Audit Check'!R83</f>
        <v/>
      </c>
      <c r="AD266" s="495"/>
      <c r="AE266" s="488">
        <f t="shared" si="117"/>
        <v>0</v>
      </c>
      <c r="AF266" s="489">
        <f t="shared" si="211"/>
        <v>4</v>
      </c>
      <c r="AG266" s="495" t="str">
        <f t="shared" si="212"/>
        <v/>
      </c>
      <c r="AH266" s="491">
        <f t="shared" si="224"/>
        <v>30</v>
      </c>
      <c r="AI266" s="489">
        <f t="shared" si="213"/>
        <v>240</v>
      </c>
      <c r="AJ266" s="492">
        <f t="shared" si="214"/>
        <v>0</v>
      </c>
      <c r="AK266" s="493">
        <f t="shared" si="215"/>
        <v>0</v>
      </c>
      <c r="AL266" s="494" t="str">
        <f t="shared" si="216"/>
        <v>#DIV/0!</v>
      </c>
      <c r="AM266" s="5"/>
      <c r="AN266" s="515" t="str">
        <f>'Audit Check'!S83</f>
        <v/>
      </c>
      <c r="AO266" s="495"/>
      <c r="AP266" s="488">
        <f t="shared" si="118"/>
        <v>0</v>
      </c>
      <c r="AQ266" s="489">
        <f t="shared" si="217"/>
        <v>4</v>
      </c>
      <c r="AR266" s="495" t="str">
        <f t="shared" si="218"/>
        <v/>
      </c>
      <c r="AS266" s="491">
        <f t="shared" si="225"/>
        <v>30</v>
      </c>
      <c r="AT266" s="489">
        <f t="shared" si="219"/>
        <v>240</v>
      </c>
      <c r="AU266" s="492">
        <f t="shared" si="220"/>
        <v>0</v>
      </c>
      <c r="AV266" s="493">
        <f t="shared" si="221"/>
        <v>0</v>
      </c>
      <c r="AW266" s="494" t="str">
        <f t="shared" si="222"/>
        <v>#DIV/0!</v>
      </c>
      <c r="AX266" s="5"/>
      <c r="AY266" s="5"/>
      <c r="AZ266" s="5"/>
      <c r="BA266" s="5"/>
      <c r="BB266" s="5"/>
      <c r="BC266" s="5"/>
      <c r="BD266" s="5"/>
      <c r="BE266" s="5"/>
      <c r="BF266" s="5"/>
      <c r="BG266" s="5"/>
      <c r="BH266" s="5"/>
    </row>
    <row r="267" ht="12.75" customHeight="1">
      <c r="A267" s="1"/>
      <c r="B267" s="2"/>
      <c r="C267" s="540" t="str">
        <f>C189</f>
        <v>Administration</v>
      </c>
      <c r="D267" s="127"/>
      <c r="E267" s="161"/>
      <c r="F267" s="127"/>
      <c r="G267" s="127"/>
      <c r="H267" s="127"/>
      <c r="I267" s="541" t="str">
        <f>N189</f>
        <v>#REF!</v>
      </c>
      <c r="J267" s="495"/>
      <c r="K267" s="539"/>
      <c r="L267" s="3"/>
      <c r="M267" s="3"/>
      <c r="N267" s="4"/>
      <c r="O267" s="2"/>
      <c r="P267" s="314"/>
      <c r="Q267" s="314"/>
      <c r="R267" s="5"/>
      <c r="S267" s="468"/>
      <c r="T267" s="548"/>
      <c r="U267" s="549">
        <f>AVERAGE(U185:U210)</f>
        <v>4</v>
      </c>
      <c r="V267" s="468"/>
      <c r="W267" s="550"/>
      <c r="X267" s="551">
        <f>X173</f>
        <v>4</v>
      </c>
      <c r="Y267" s="552" t="str">
        <f t="shared" ref="Y267:Z267" si="254">SUM(Y185:Y266)</f>
        <v>#REF!</v>
      </c>
      <c r="Z267" s="553" t="str">
        <f t="shared" si="254"/>
        <v>#REF!</v>
      </c>
      <c r="AA267" s="554" t="str">
        <f>Z267/Y267/X267</f>
        <v>#REF!</v>
      </c>
      <c r="AB267" s="5"/>
      <c r="AC267" s="5"/>
      <c r="AD267" s="468"/>
      <c r="AE267" s="548"/>
      <c r="AF267" s="549">
        <f>AVERAGE(AF185:AF210)</f>
        <v>4</v>
      </c>
      <c r="AG267" s="468"/>
      <c r="AH267" s="550"/>
      <c r="AI267" s="555" t="str">
        <f>AI173</f>
        <v/>
      </c>
      <c r="AJ267" s="552" t="str">
        <f t="shared" ref="AJ267:AK267" si="255">SUM(AJ185:AJ266)</f>
        <v>#REF!</v>
      </c>
      <c r="AK267" s="553" t="str">
        <f t="shared" si="255"/>
        <v>#REF!</v>
      </c>
      <c r="AL267" s="554" t="str">
        <f>AK267/AJ267/AI267</f>
        <v>#REF!</v>
      </c>
      <c r="AM267" s="5"/>
      <c r="AN267" s="5"/>
      <c r="AO267" s="468"/>
      <c r="AP267" s="548"/>
      <c r="AQ267" s="549">
        <f>AVERAGE(AQ185:AQ210)</f>
        <v>4</v>
      </c>
      <c r="AR267" s="468"/>
      <c r="AS267" s="550"/>
      <c r="AT267" s="555" t="str">
        <f>AT173</f>
        <v/>
      </c>
      <c r="AU267" s="552">
        <f t="shared" ref="AU267:AV267" si="256">SUM(AU185:AU266)</f>
        <v>0</v>
      </c>
      <c r="AV267" s="553">
        <f t="shared" si="256"/>
        <v>0</v>
      </c>
      <c r="AW267" s="554" t="str">
        <f>AV267/AU267/AT267</f>
        <v>#DIV/0!</v>
      </c>
      <c r="AX267" s="5"/>
      <c r="AY267" s="5"/>
      <c r="AZ267" s="5"/>
      <c r="BA267" s="5"/>
      <c r="BB267" s="5"/>
      <c r="BC267" s="5"/>
      <c r="BD267" s="5"/>
      <c r="BE267" s="5"/>
      <c r="BF267" s="5"/>
      <c r="BG267" s="5"/>
      <c r="BH267" s="5"/>
    </row>
    <row r="268" ht="12.75" customHeight="1">
      <c r="A268" s="1"/>
      <c r="B268" s="2"/>
      <c r="C268" s="540" t="str">
        <f>C195</f>
        <v>Site Prelims</v>
      </c>
      <c r="D268" s="127"/>
      <c r="E268" s="161"/>
      <c r="F268" s="127"/>
      <c r="G268" s="127"/>
      <c r="H268" s="127"/>
      <c r="I268" s="541" t="str">
        <f>N195</f>
        <v>#REF!</v>
      </c>
      <c r="J268" s="495"/>
      <c r="K268" s="539"/>
      <c r="L268" s="3"/>
      <c r="M268" s="3"/>
      <c r="N268" s="4"/>
      <c r="O268" s="2"/>
      <c r="P268" s="314"/>
      <c r="Q268" s="314"/>
      <c r="R268" s="5"/>
      <c r="S268" s="5"/>
      <c r="T268" s="6"/>
      <c r="U268" s="5"/>
      <c r="V268" s="5"/>
      <c r="W268" s="6"/>
      <c r="X268" s="551">
        <v>8.0</v>
      </c>
      <c r="Y268" s="552" t="str">
        <f>X267/X268*Y267</f>
        <v>#REF!</v>
      </c>
      <c r="Z268" s="553" t="str">
        <f>AA267*Y268*X268</f>
        <v>#REF!</v>
      </c>
      <c r="AA268" s="5"/>
      <c r="AB268" s="5"/>
      <c r="AC268" s="5"/>
      <c r="AD268" s="5"/>
      <c r="AE268" s="6"/>
      <c r="AF268" s="6"/>
      <c r="AG268" s="5"/>
      <c r="AH268" s="6"/>
      <c r="AI268" s="551">
        <v>8.0</v>
      </c>
      <c r="AJ268" s="552" t="str">
        <f>AI267/AI268*AJ267</f>
        <v>#REF!</v>
      </c>
      <c r="AK268" s="553" t="str">
        <f>AL267*AJ268*AI268</f>
        <v>#REF!</v>
      </c>
      <c r="AL268" s="5"/>
      <c r="AM268" s="5"/>
      <c r="AN268" s="5"/>
      <c r="AO268" s="5"/>
      <c r="AP268" s="6"/>
      <c r="AQ268" s="5"/>
      <c r="AR268" s="5"/>
      <c r="AS268" s="6"/>
      <c r="AT268" s="551">
        <v>8.0</v>
      </c>
      <c r="AU268" s="552">
        <f>AT267/AT268*AU267</f>
        <v>0</v>
      </c>
      <c r="AV268" s="553" t="str">
        <f>AW267*AU268*AT268</f>
        <v>#DIV/0!</v>
      </c>
      <c r="AW268" s="5"/>
      <c r="AX268" s="5"/>
      <c r="AY268" s="5"/>
      <c r="AZ268" s="5"/>
      <c r="BA268" s="5"/>
      <c r="BB268" s="5"/>
      <c r="BC268" s="5"/>
      <c r="BD268" s="5"/>
      <c r="BE268" s="5"/>
      <c r="BF268" s="5"/>
      <c r="BG268" s="5"/>
      <c r="BH268" s="5"/>
    </row>
    <row r="269" ht="12.75" customHeight="1">
      <c r="A269" s="1"/>
      <c r="B269" s="2"/>
      <c r="C269" s="540" t="str">
        <f>C207</f>
        <v>Crane/Dogman/Handlift </v>
      </c>
      <c r="D269" s="127"/>
      <c r="E269" s="161"/>
      <c r="F269" s="127"/>
      <c r="G269" s="127"/>
      <c r="H269" s="127"/>
      <c r="I269" s="556">
        <f>N207</f>
        <v>7820</v>
      </c>
      <c r="J269" s="495"/>
      <c r="K269" s="539"/>
      <c r="L269" s="3"/>
      <c r="M269" s="3"/>
      <c r="N269" s="4"/>
      <c r="O269" s="2"/>
      <c r="P269" s="314"/>
      <c r="Q269" s="314"/>
      <c r="R269" s="5"/>
      <c r="S269" s="5"/>
      <c r="T269" s="2"/>
      <c r="U269" s="5"/>
      <c r="V269" s="5"/>
      <c r="W269" s="5"/>
      <c r="X269" s="6"/>
      <c r="Y269" s="5"/>
      <c r="Z269" s="5"/>
      <c r="AA269" s="5"/>
      <c r="AB269" s="5"/>
      <c r="AC269" s="2"/>
      <c r="AD269" s="5"/>
      <c r="AE269" s="5"/>
      <c r="AF269" s="6"/>
      <c r="AG269" s="5"/>
      <c r="AH269" s="5"/>
      <c r="AI269" s="5"/>
      <c r="AJ269" s="5"/>
      <c r="AK269" s="5"/>
      <c r="AL269" s="2"/>
      <c r="AM269" s="5"/>
      <c r="AN269" s="5"/>
      <c r="AO269" s="5"/>
      <c r="AP269" s="5"/>
      <c r="AQ269" s="5"/>
      <c r="AR269" s="5"/>
      <c r="AS269" s="5"/>
      <c r="AT269" s="5"/>
      <c r="AU269" s="5"/>
      <c r="AV269" s="5"/>
      <c r="AW269" s="5"/>
      <c r="AX269" s="5"/>
      <c r="AY269" s="5"/>
      <c r="AZ269" s="5"/>
      <c r="BA269" s="5"/>
      <c r="BB269" s="5"/>
      <c r="BC269" s="5"/>
      <c r="BD269" s="5"/>
      <c r="BE269" s="5"/>
      <c r="BF269" s="5"/>
      <c r="BG269" s="5"/>
      <c r="BH269" s="5"/>
    </row>
    <row r="270" ht="12.75" customHeight="1">
      <c r="A270" s="1"/>
      <c r="B270" s="2"/>
      <c r="C270" s="540" t="str">
        <f>C223</f>
        <v>Access Machine</v>
      </c>
      <c r="D270" s="127"/>
      <c r="E270" s="161"/>
      <c r="F270" s="127"/>
      <c r="G270" s="127"/>
      <c r="H270" s="127"/>
      <c r="I270" s="556" t="str">
        <f>N223</f>
        <v>#REF!</v>
      </c>
      <c r="J270" s="497"/>
      <c r="K270" s="539"/>
      <c r="L270" s="3"/>
      <c r="M270" s="3"/>
      <c r="N270" s="4"/>
      <c r="O270" s="2"/>
      <c r="P270" s="314"/>
      <c r="Q270" s="314"/>
      <c r="R270" s="5"/>
      <c r="S270" s="5"/>
      <c r="T270" s="2"/>
      <c r="U270" s="5"/>
      <c r="V270" s="5"/>
      <c r="W270" s="5"/>
      <c r="X270" s="6"/>
      <c r="Y270" s="5"/>
      <c r="Z270" s="5"/>
      <c r="AA270" s="5"/>
      <c r="AB270" s="5"/>
      <c r="AC270" s="2"/>
      <c r="AD270" s="5"/>
      <c r="AE270" s="5"/>
      <c r="AF270" s="6"/>
      <c r="AG270" s="5"/>
      <c r="AH270" s="5"/>
      <c r="AI270" s="5"/>
      <c r="AJ270" s="5"/>
      <c r="AK270" s="5"/>
      <c r="AL270" s="2"/>
      <c r="AM270" s="5"/>
      <c r="AN270" s="5"/>
      <c r="AO270" s="5"/>
      <c r="AP270" s="5"/>
      <c r="AQ270" s="5"/>
      <c r="AR270" s="5"/>
      <c r="AS270" s="5"/>
      <c r="AT270" s="5"/>
      <c r="AU270" s="5"/>
      <c r="AV270" s="5"/>
      <c r="AW270" s="5"/>
      <c r="AX270" s="5"/>
      <c r="AY270" s="5"/>
      <c r="AZ270" s="5"/>
      <c r="BA270" s="5"/>
      <c r="BB270" s="5"/>
      <c r="BC270" s="5"/>
      <c r="BD270" s="5"/>
      <c r="BE270" s="5"/>
      <c r="BF270" s="5"/>
      <c r="BG270" s="5"/>
      <c r="BH270" s="5"/>
    </row>
    <row r="271" ht="12.75" customHeight="1">
      <c r="A271" s="1"/>
      <c r="B271" s="2"/>
      <c r="C271" s="127"/>
      <c r="D271" s="127"/>
      <c r="E271" s="161"/>
      <c r="F271" s="127"/>
      <c r="G271" s="127"/>
      <c r="H271" s="127"/>
      <c r="I271" s="139"/>
      <c r="J271" s="495"/>
      <c r="K271" s="539"/>
      <c r="L271" s="3"/>
      <c r="M271" s="3"/>
      <c r="N271" s="4"/>
      <c r="O271" s="5"/>
      <c r="P271" s="314"/>
      <c r="Q271" s="314"/>
      <c r="R271" s="5"/>
      <c r="S271" s="5"/>
      <c r="T271" s="2"/>
      <c r="U271" s="5"/>
      <c r="V271" s="5"/>
      <c r="W271" s="5"/>
      <c r="X271" s="6"/>
      <c r="Y271" s="5"/>
      <c r="Z271" s="5"/>
      <c r="AA271" s="5"/>
      <c r="AB271" s="5"/>
      <c r="AC271" s="2"/>
      <c r="AD271" s="5"/>
      <c r="AE271" s="5"/>
      <c r="AF271" s="6"/>
      <c r="AG271" s="5"/>
      <c r="AH271" s="5"/>
      <c r="AI271" s="5"/>
      <c r="AJ271" s="5"/>
      <c r="AK271" s="5"/>
      <c r="AL271" s="2"/>
      <c r="AM271" s="5"/>
      <c r="AN271" s="5"/>
      <c r="AO271" s="5"/>
      <c r="AP271" s="5"/>
      <c r="AQ271" s="5"/>
      <c r="AR271" s="5"/>
      <c r="AS271" s="5"/>
      <c r="AT271" s="5"/>
      <c r="AU271" s="5"/>
      <c r="AV271" s="5"/>
      <c r="AW271" s="5"/>
      <c r="AX271" s="5"/>
      <c r="AY271" s="5"/>
      <c r="AZ271" s="5"/>
      <c r="BA271" s="5"/>
      <c r="BB271" s="5"/>
      <c r="BC271" s="5"/>
      <c r="BD271" s="5"/>
      <c r="BE271" s="5"/>
      <c r="BF271" s="5"/>
      <c r="BG271" s="5"/>
      <c r="BH271" s="5"/>
    </row>
    <row r="272" ht="12.75" customHeight="1">
      <c r="A272" s="1"/>
      <c r="B272" s="2"/>
      <c r="C272" s="540" t="s">
        <v>284</v>
      </c>
      <c r="D272" s="127"/>
      <c r="E272" s="161"/>
      <c r="F272" s="127"/>
      <c r="G272" s="127"/>
      <c r="H272" s="127"/>
      <c r="I272" s="542" t="str">
        <f>N246</f>
        <v>#REF!</v>
      </c>
      <c r="J272" s="497" t="str">
        <f>L246</f>
        <v/>
      </c>
      <c r="K272" s="539"/>
      <c r="L272" s="3"/>
      <c r="M272" s="3"/>
      <c r="N272" s="4"/>
      <c r="O272" s="5"/>
      <c r="P272" s="314"/>
      <c r="Q272" s="314"/>
      <c r="R272" s="5"/>
      <c r="S272" s="5"/>
      <c r="T272" s="2"/>
      <c r="U272" s="5"/>
      <c r="V272" s="5"/>
      <c r="W272" s="5"/>
      <c r="X272" s="6"/>
      <c r="Y272" s="5"/>
      <c r="Z272" s="5"/>
      <c r="AA272" s="5"/>
      <c r="AB272" s="5"/>
      <c r="AC272" s="2"/>
      <c r="AD272" s="5"/>
      <c r="AE272" s="5"/>
      <c r="AF272" s="6"/>
      <c r="AG272" s="5"/>
      <c r="AH272" s="5"/>
      <c r="AI272" s="5"/>
      <c r="AJ272" s="5"/>
      <c r="AK272" s="5"/>
      <c r="AL272" s="2"/>
      <c r="AM272" s="5"/>
      <c r="AN272" s="5"/>
      <c r="AO272" s="5"/>
      <c r="AP272" s="5"/>
      <c r="AQ272" s="5"/>
      <c r="AR272" s="5"/>
      <c r="AS272" s="5"/>
      <c r="AT272" s="5"/>
      <c r="AU272" s="5"/>
      <c r="AV272" s="5"/>
      <c r="AW272" s="5"/>
      <c r="AX272" s="5"/>
      <c r="AY272" s="5"/>
      <c r="AZ272" s="5"/>
      <c r="BA272" s="5"/>
      <c r="BB272" s="5"/>
      <c r="BC272" s="5"/>
      <c r="BD272" s="5"/>
      <c r="BE272" s="5"/>
      <c r="BF272" s="5"/>
      <c r="BG272" s="5"/>
      <c r="BH272" s="5"/>
    </row>
    <row r="273" ht="12.75" customHeight="1">
      <c r="A273" s="1"/>
      <c r="B273" s="2"/>
      <c r="C273" s="543" t="s">
        <v>293</v>
      </c>
      <c r="D273" s="544"/>
      <c r="E273" s="545"/>
      <c r="F273" s="544"/>
      <c r="G273" s="544"/>
      <c r="H273" s="544"/>
      <c r="I273" s="546" t="str">
        <f>SUM(I262:I272)</f>
        <v>#REF!</v>
      </c>
      <c r="J273" s="547"/>
      <c r="K273" s="547"/>
      <c r="L273" s="375" t="str">
        <f>I273/I259</f>
        <v>#REF!</v>
      </c>
      <c r="M273" s="3"/>
      <c r="N273" s="4"/>
      <c r="O273" s="5"/>
      <c r="P273" s="314"/>
      <c r="Q273" s="314"/>
      <c r="R273" s="5"/>
      <c r="S273" s="5"/>
      <c r="T273" s="2"/>
      <c r="U273" s="5"/>
      <c r="V273" s="5"/>
      <c r="W273" s="5"/>
      <c r="X273" s="6"/>
      <c r="Y273" s="5"/>
      <c r="Z273" s="5"/>
      <c r="AA273" s="5"/>
      <c r="AB273" s="5"/>
      <c r="AC273" s="2"/>
      <c r="AD273" s="5"/>
      <c r="AE273" s="5"/>
      <c r="AF273" s="6"/>
      <c r="AG273" s="5"/>
      <c r="AH273" s="5"/>
      <c r="AI273" s="5"/>
      <c r="AJ273" s="5"/>
      <c r="AK273" s="5"/>
      <c r="AL273" s="2"/>
      <c r="AM273" s="5"/>
      <c r="AN273" s="5"/>
      <c r="AO273" s="5"/>
      <c r="AP273" s="5"/>
      <c r="AQ273" s="5"/>
      <c r="AR273" s="5"/>
      <c r="AS273" s="5"/>
      <c r="AT273" s="5"/>
      <c r="AU273" s="5"/>
      <c r="AV273" s="5"/>
      <c r="AW273" s="5"/>
      <c r="AX273" s="5"/>
      <c r="AY273" s="5"/>
      <c r="AZ273" s="5"/>
      <c r="BA273" s="5"/>
      <c r="BB273" s="5"/>
      <c r="BC273" s="5"/>
      <c r="BD273" s="5"/>
      <c r="BE273" s="5"/>
      <c r="BF273" s="5"/>
      <c r="BG273" s="5"/>
      <c r="BH273" s="5"/>
    </row>
    <row r="274" ht="12.75" customHeight="1">
      <c r="A274" s="1"/>
      <c r="B274" s="2"/>
      <c r="C274" s="2"/>
      <c r="D274" s="2"/>
      <c r="E274" s="3"/>
      <c r="F274" s="2"/>
      <c r="G274" s="2"/>
      <c r="H274" s="2"/>
      <c r="I274" s="2"/>
      <c r="J274" s="2"/>
      <c r="K274" s="2"/>
      <c r="L274" s="3"/>
      <c r="M274" s="3"/>
      <c r="N274" s="4"/>
      <c r="O274" s="5"/>
      <c r="P274" s="314"/>
      <c r="Q274" s="314"/>
      <c r="R274" s="5"/>
      <c r="S274" s="5"/>
      <c r="T274" s="2"/>
      <c r="U274" s="5"/>
      <c r="V274" s="5"/>
      <c r="W274" s="5"/>
      <c r="X274" s="6"/>
      <c r="Y274" s="5"/>
      <c r="Z274" s="5"/>
      <c r="AA274" s="5"/>
      <c r="AB274" s="5"/>
      <c r="AC274" s="2"/>
      <c r="AD274" s="5"/>
      <c r="AE274" s="5"/>
      <c r="AF274" s="6"/>
      <c r="AG274" s="5"/>
      <c r="AH274" s="5"/>
      <c r="AI274" s="5"/>
      <c r="AJ274" s="5"/>
      <c r="AK274" s="5"/>
      <c r="AL274" s="2"/>
      <c r="AM274" s="5"/>
      <c r="AN274" s="5"/>
      <c r="AO274" s="5"/>
      <c r="AP274" s="5"/>
      <c r="AQ274" s="5"/>
      <c r="AR274" s="5"/>
      <c r="AS274" s="5"/>
      <c r="AT274" s="5"/>
      <c r="AU274" s="5"/>
      <c r="AV274" s="5"/>
      <c r="AW274" s="5"/>
      <c r="AX274" s="5"/>
      <c r="AY274" s="5"/>
      <c r="AZ274" s="5"/>
      <c r="BA274" s="5"/>
      <c r="BB274" s="5"/>
      <c r="BC274" s="5"/>
      <c r="BD274" s="5"/>
      <c r="BE274" s="5"/>
      <c r="BF274" s="5"/>
      <c r="BG274" s="5"/>
      <c r="BH274" s="5"/>
    </row>
    <row r="275" ht="12.75" customHeight="1">
      <c r="A275" s="1"/>
      <c r="B275" s="2"/>
      <c r="C275" s="537" t="s">
        <v>294</v>
      </c>
      <c r="D275" s="127"/>
      <c r="E275" s="161"/>
      <c r="F275" s="127"/>
      <c r="G275" s="127"/>
      <c r="H275" s="127"/>
      <c r="I275" s="139"/>
      <c r="J275" s="495"/>
      <c r="K275" s="539"/>
      <c r="L275" s="3"/>
      <c r="M275" s="3"/>
      <c r="N275" s="4"/>
      <c r="O275" s="5"/>
      <c r="P275" s="314"/>
      <c r="Q275" s="314"/>
      <c r="R275" s="5"/>
      <c r="S275" s="5"/>
      <c r="T275" s="2"/>
      <c r="U275" s="5"/>
      <c r="V275" s="5"/>
      <c r="W275" s="5"/>
      <c r="X275" s="6"/>
      <c r="Y275" s="5"/>
      <c r="Z275" s="5"/>
      <c r="AA275" s="5"/>
      <c r="AB275" s="5"/>
      <c r="AC275" s="2"/>
      <c r="AD275" s="5"/>
      <c r="AE275" s="5"/>
      <c r="AF275" s="6"/>
      <c r="AG275" s="5"/>
      <c r="AH275" s="5"/>
      <c r="AI275" s="5"/>
      <c r="AJ275" s="5"/>
      <c r="AK275" s="5"/>
      <c r="AL275" s="2"/>
      <c r="AM275" s="5"/>
      <c r="AN275" s="5"/>
      <c r="AO275" s="5"/>
      <c r="AP275" s="5"/>
      <c r="AQ275" s="5"/>
      <c r="AR275" s="5"/>
      <c r="AS275" s="5"/>
      <c r="AT275" s="5"/>
      <c r="AU275" s="5"/>
      <c r="AV275" s="5"/>
      <c r="AW275" s="5"/>
      <c r="AX275" s="5"/>
      <c r="AY275" s="5"/>
      <c r="AZ275" s="5"/>
      <c r="BA275" s="5"/>
      <c r="BB275" s="5"/>
      <c r="BC275" s="5"/>
      <c r="BD275" s="5"/>
      <c r="BE275" s="5"/>
      <c r="BF275" s="5"/>
      <c r="BG275" s="5"/>
      <c r="BH275" s="5"/>
    </row>
    <row r="276" ht="12.75" customHeight="1">
      <c r="A276" s="1"/>
      <c r="B276" s="2"/>
      <c r="C276" s="557">
        <v>0.3</v>
      </c>
      <c r="D276" s="558"/>
      <c r="E276" s="161"/>
      <c r="F276" s="558"/>
      <c r="G276" s="558"/>
      <c r="H276" s="558"/>
      <c r="I276" s="559" t="str">
        <f>C276*I259</f>
        <v>#REF!</v>
      </c>
      <c r="J276" s="495"/>
      <c r="K276" s="539"/>
      <c r="L276" s="3"/>
      <c r="M276" s="3"/>
      <c r="N276" s="4"/>
      <c r="O276" s="5"/>
      <c r="P276" s="314"/>
      <c r="Q276" s="314"/>
      <c r="R276" s="5"/>
      <c r="S276" s="5"/>
      <c r="T276" s="2"/>
      <c r="U276" s="5"/>
      <c r="V276" s="5"/>
      <c r="W276" s="5"/>
      <c r="X276" s="6"/>
      <c r="Y276" s="5"/>
      <c r="Z276" s="5"/>
      <c r="AA276" s="5"/>
      <c r="AB276" s="5"/>
      <c r="AC276" s="2"/>
      <c r="AD276" s="5"/>
      <c r="AE276" s="5"/>
      <c r="AF276" s="6"/>
      <c r="AG276" s="5"/>
      <c r="AH276" s="5"/>
      <c r="AI276" s="5"/>
      <c r="AJ276" s="5"/>
      <c r="AK276" s="5"/>
      <c r="AL276" s="2"/>
      <c r="AM276" s="5"/>
      <c r="AN276" s="5"/>
      <c r="AO276" s="5"/>
      <c r="AP276" s="5"/>
      <c r="AQ276" s="5"/>
      <c r="AR276" s="5"/>
      <c r="AS276" s="5"/>
      <c r="AT276" s="5"/>
      <c r="AU276" s="5"/>
      <c r="AV276" s="5"/>
      <c r="AW276" s="5"/>
      <c r="AX276" s="5"/>
      <c r="AY276" s="5"/>
      <c r="AZ276" s="5"/>
      <c r="BA276" s="5"/>
      <c r="BB276" s="5"/>
      <c r="BC276" s="5"/>
      <c r="BD276" s="5"/>
      <c r="BE276" s="5"/>
      <c r="BF276" s="5"/>
      <c r="BG276" s="5"/>
      <c r="BH276" s="5"/>
    </row>
    <row r="277" ht="12.75" customHeight="1">
      <c r="A277" s="1"/>
      <c r="B277" s="2"/>
      <c r="C277" s="2"/>
      <c r="D277" s="2"/>
      <c r="E277" s="3"/>
      <c r="F277" s="2"/>
      <c r="G277" s="2"/>
      <c r="H277" s="2"/>
      <c r="I277" s="2"/>
      <c r="J277" s="2"/>
      <c r="K277" s="2"/>
      <c r="L277" s="3"/>
      <c r="M277" s="3"/>
      <c r="N277" s="4"/>
      <c r="O277" s="5"/>
      <c r="P277" s="314"/>
      <c r="Q277" s="314"/>
      <c r="R277" s="5"/>
      <c r="S277" s="5"/>
      <c r="T277" s="2"/>
      <c r="U277" s="5"/>
      <c r="V277" s="5"/>
      <c r="W277" s="5"/>
      <c r="X277" s="6"/>
      <c r="Y277" s="5"/>
      <c r="Z277" s="5"/>
      <c r="AA277" s="5"/>
      <c r="AB277" s="5"/>
      <c r="AC277" s="2"/>
      <c r="AD277" s="5"/>
      <c r="AE277" s="5"/>
      <c r="AF277" s="6"/>
      <c r="AG277" s="5"/>
      <c r="AH277" s="5"/>
      <c r="AI277" s="5"/>
      <c r="AJ277" s="5"/>
      <c r="AK277" s="5"/>
      <c r="AL277" s="2"/>
      <c r="AM277" s="5"/>
      <c r="AN277" s="5"/>
      <c r="AO277" s="5"/>
      <c r="AP277" s="5"/>
      <c r="AQ277" s="5"/>
      <c r="AR277" s="5"/>
      <c r="AS277" s="5"/>
      <c r="AT277" s="5"/>
      <c r="AU277" s="5"/>
      <c r="AV277" s="5"/>
      <c r="AW277" s="5"/>
      <c r="AX277" s="5"/>
      <c r="AY277" s="5"/>
      <c r="AZ277" s="5"/>
      <c r="BA277" s="5"/>
      <c r="BB277" s="5"/>
      <c r="BC277" s="5"/>
      <c r="BD277" s="5"/>
      <c r="BE277" s="5"/>
      <c r="BF277" s="5"/>
      <c r="BG277" s="5"/>
      <c r="BH277" s="5"/>
    </row>
    <row r="278" ht="12.75" customHeight="1">
      <c r="A278" s="1"/>
      <c r="B278" s="2"/>
      <c r="C278" s="560" t="s">
        <v>295</v>
      </c>
      <c r="D278" s="561"/>
      <c r="E278" s="562"/>
      <c r="F278" s="561"/>
      <c r="G278" s="561"/>
      <c r="H278" s="561"/>
      <c r="I278" s="563" t="str">
        <f>+I276+I273+I259</f>
        <v>#REF!</v>
      </c>
      <c r="J278" s="561"/>
      <c r="K278" s="561"/>
      <c r="L278" s="3"/>
      <c r="M278" s="3"/>
      <c r="N278" s="4"/>
      <c r="O278" s="5"/>
      <c r="P278" s="314"/>
      <c r="Q278" s="314"/>
      <c r="R278" s="5"/>
      <c r="S278" s="5"/>
      <c r="T278" s="2"/>
      <c r="U278" s="5"/>
      <c r="V278" s="5"/>
      <c r="W278" s="5"/>
      <c r="X278" s="6"/>
      <c r="Y278" s="5"/>
      <c r="Z278" s="5"/>
      <c r="AA278" s="5"/>
      <c r="AB278" s="5"/>
      <c r="AC278" s="2"/>
      <c r="AD278" s="5"/>
      <c r="AE278" s="5"/>
      <c r="AF278" s="6"/>
      <c r="AG278" s="5"/>
      <c r="AH278" s="5"/>
      <c r="AI278" s="5"/>
      <c r="AJ278" s="5"/>
      <c r="AK278" s="5"/>
      <c r="AL278" s="2"/>
      <c r="AM278" s="5"/>
      <c r="AN278" s="5"/>
      <c r="AO278" s="5"/>
      <c r="AP278" s="5"/>
      <c r="AQ278" s="5"/>
      <c r="AR278" s="5"/>
      <c r="AS278" s="5"/>
      <c r="AT278" s="5"/>
      <c r="AU278" s="5"/>
      <c r="AV278" s="5"/>
      <c r="AW278" s="5"/>
      <c r="AX278" s="5"/>
      <c r="AY278" s="5"/>
      <c r="AZ278" s="5"/>
      <c r="BA278" s="5"/>
      <c r="BB278" s="5"/>
      <c r="BC278" s="5"/>
      <c r="BD278" s="5"/>
      <c r="BE278" s="5"/>
      <c r="BF278" s="5"/>
      <c r="BG278" s="5"/>
      <c r="BH278" s="5"/>
    </row>
    <row r="279" ht="12.75" customHeight="1">
      <c r="A279" s="1"/>
      <c r="B279" s="2"/>
      <c r="C279" s="2"/>
      <c r="D279" s="2"/>
      <c r="E279" s="3"/>
      <c r="F279" s="2"/>
      <c r="G279" s="2"/>
      <c r="H279" s="2"/>
      <c r="I279" s="2"/>
      <c r="J279" s="2"/>
      <c r="K279" s="2"/>
      <c r="L279" s="3"/>
      <c r="M279" s="3"/>
      <c r="N279" s="4"/>
      <c r="O279" s="5"/>
      <c r="P279" s="314"/>
      <c r="Q279" s="314"/>
      <c r="R279" s="5"/>
      <c r="S279" s="5"/>
      <c r="T279" s="2"/>
      <c r="U279" s="5"/>
      <c r="V279" s="5"/>
      <c r="W279" s="5"/>
      <c r="X279" s="6"/>
      <c r="Y279" s="5"/>
      <c r="Z279" s="5"/>
      <c r="AA279" s="5"/>
      <c r="AB279" s="5"/>
      <c r="AC279" s="2"/>
      <c r="AD279" s="5"/>
      <c r="AE279" s="5"/>
      <c r="AF279" s="6"/>
      <c r="AG279" s="5"/>
      <c r="AH279" s="5"/>
      <c r="AI279" s="5"/>
      <c r="AJ279" s="5"/>
      <c r="AK279" s="5"/>
      <c r="AL279" s="2"/>
      <c r="AM279" s="5"/>
      <c r="AN279" s="5"/>
      <c r="AO279" s="5"/>
      <c r="AP279" s="5"/>
      <c r="AQ279" s="5"/>
      <c r="AR279" s="5"/>
      <c r="AS279" s="5"/>
      <c r="AT279" s="5"/>
      <c r="AU279" s="5"/>
      <c r="AV279" s="5"/>
      <c r="AW279" s="5"/>
      <c r="AX279" s="5"/>
      <c r="AY279" s="5"/>
      <c r="AZ279" s="5"/>
      <c r="BA279" s="5"/>
      <c r="BB279" s="5"/>
      <c r="BC279" s="5"/>
      <c r="BD279" s="5"/>
      <c r="BE279" s="5"/>
      <c r="BF279" s="5"/>
      <c r="BG279" s="5"/>
      <c r="BH279" s="5"/>
    </row>
    <row r="280" ht="12.75" customHeight="1">
      <c r="A280" s="1"/>
      <c r="B280" s="2"/>
      <c r="C280" s="2"/>
      <c r="D280" s="2"/>
      <c r="E280" s="3"/>
      <c r="F280" s="2"/>
      <c r="G280" s="2"/>
      <c r="H280" s="2"/>
      <c r="I280" s="6"/>
      <c r="J280" s="6"/>
      <c r="K280" s="5"/>
      <c r="L280" s="3"/>
      <c r="M280" s="3"/>
      <c r="N280" s="4"/>
      <c r="O280" s="5"/>
      <c r="P280" s="314"/>
      <c r="Q280" s="314"/>
      <c r="R280" s="5"/>
      <c r="S280" s="5"/>
      <c r="T280" s="2"/>
      <c r="U280" s="5"/>
      <c r="V280" s="5"/>
      <c r="W280" s="5"/>
      <c r="X280" s="6"/>
      <c r="Y280" s="5"/>
      <c r="Z280" s="5"/>
      <c r="AA280" s="5"/>
      <c r="AB280" s="5"/>
      <c r="AC280" s="2"/>
      <c r="AD280" s="5"/>
      <c r="AE280" s="5"/>
      <c r="AF280" s="6"/>
      <c r="AG280" s="5"/>
      <c r="AH280" s="5"/>
      <c r="AI280" s="5"/>
      <c r="AJ280" s="5"/>
      <c r="AK280" s="5"/>
      <c r="AL280" s="2"/>
      <c r="AM280" s="5"/>
      <c r="AN280" s="5"/>
      <c r="AO280" s="5"/>
      <c r="AP280" s="5"/>
      <c r="AQ280" s="5"/>
      <c r="AR280" s="5"/>
      <c r="AS280" s="5"/>
      <c r="AT280" s="5"/>
      <c r="AU280" s="5"/>
      <c r="AV280" s="5"/>
      <c r="AW280" s="5"/>
      <c r="AX280" s="5"/>
      <c r="AY280" s="5"/>
      <c r="AZ280" s="5"/>
      <c r="BA280" s="5"/>
      <c r="BB280" s="5"/>
      <c r="BC280" s="5"/>
      <c r="BD280" s="5"/>
      <c r="BE280" s="5"/>
      <c r="BF280" s="5"/>
      <c r="BG280" s="5"/>
      <c r="BH280" s="5"/>
    </row>
    <row r="281" ht="12.75" customHeight="1">
      <c r="A281" s="1"/>
      <c r="B281" s="2"/>
      <c r="C281" s="564" t="s">
        <v>290</v>
      </c>
      <c r="D281" s="538"/>
      <c r="E281" s="161"/>
      <c r="F281" s="538"/>
      <c r="G281" s="538"/>
      <c r="H281" s="538"/>
      <c r="I281" s="152" t="str">
        <f>I257</f>
        <v>#REF!</v>
      </c>
      <c r="J281" s="565" t="str">
        <f>I281/I286</f>
        <v>#REF!</v>
      </c>
      <c r="K281" s="466" t="str">
        <f t="shared" ref="K281:K285" si="257">I281/$I$288</f>
        <v>#REF!</v>
      </c>
      <c r="L281" s="3"/>
      <c r="M281" s="3"/>
      <c r="N281" s="4"/>
      <c r="O281" s="5"/>
      <c r="P281" s="314"/>
      <c r="Q281" s="314"/>
      <c r="R281" s="5"/>
      <c r="S281" s="5"/>
      <c r="T281" s="2"/>
      <c r="U281" s="5"/>
      <c r="V281" s="5"/>
      <c r="W281" s="5"/>
      <c r="X281" s="6"/>
      <c r="Y281" s="5"/>
      <c r="Z281" s="5"/>
      <c r="AA281" s="5"/>
      <c r="AB281" s="5"/>
      <c r="AC281" s="2"/>
      <c r="AD281" s="5"/>
      <c r="AE281" s="5"/>
      <c r="AF281" s="6"/>
      <c r="AG281" s="5"/>
      <c r="AH281" s="5"/>
      <c r="AI281" s="5"/>
      <c r="AJ281" s="5"/>
      <c r="AK281" s="5"/>
      <c r="AL281" s="2"/>
      <c r="AM281" s="5"/>
      <c r="AN281" s="5"/>
      <c r="AO281" s="5"/>
      <c r="AP281" s="5"/>
      <c r="AQ281" s="5"/>
      <c r="AR281" s="5"/>
      <c r="AS281" s="5"/>
      <c r="AT281" s="5"/>
      <c r="AU281" s="5"/>
      <c r="AV281" s="5"/>
      <c r="AW281" s="5"/>
      <c r="AX281" s="5"/>
      <c r="AY281" s="5"/>
      <c r="AZ281" s="5"/>
      <c r="BA281" s="5"/>
      <c r="BB281" s="5"/>
      <c r="BC281" s="5"/>
      <c r="BD281" s="5"/>
      <c r="BE281" s="5"/>
      <c r="BF281" s="5"/>
      <c r="BG281" s="5"/>
      <c r="BH281" s="5"/>
    </row>
    <row r="282" ht="12.75" customHeight="1">
      <c r="A282" s="1"/>
      <c r="B282" s="2"/>
      <c r="C282" s="564" t="s">
        <v>185</v>
      </c>
      <c r="D282" s="538"/>
      <c r="E282" s="161"/>
      <c r="F282" s="538"/>
      <c r="G282" s="538"/>
      <c r="H282" s="538"/>
      <c r="I282" s="152" t="str">
        <f>+I258</f>
        <v>#REF!</v>
      </c>
      <c r="J282" s="565" t="str">
        <f>I282/I286</f>
        <v>#REF!</v>
      </c>
      <c r="K282" s="466" t="str">
        <f t="shared" si="257"/>
        <v>#REF!</v>
      </c>
      <c r="L282" s="3"/>
      <c r="M282" s="3"/>
      <c r="N282" s="4"/>
      <c r="O282" s="5"/>
      <c r="P282" s="314"/>
      <c r="Q282" s="314"/>
      <c r="R282" s="5"/>
      <c r="S282" s="5"/>
      <c r="T282" s="2"/>
      <c r="U282" s="5"/>
      <c r="V282" s="5"/>
      <c r="W282" s="5"/>
      <c r="X282" s="6"/>
      <c r="Y282" s="5"/>
      <c r="Z282" s="5"/>
      <c r="AA282" s="5"/>
      <c r="AB282" s="5"/>
      <c r="AC282" s="2"/>
      <c r="AD282" s="5"/>
      <c r="AE282" s="5"/>
      <c r="AF282" s="6"/>
      <c r="AG282" s="5"/>
      <c r="AH282" s="5"/>
      <c r="AI282" s="5"/>
      <c r="AJ282" s="5"/>
      <c r="AK282" s="5"/>
      <c r="AL282" s="2"/>
      <c r="AM282" s="5"/>
      <c r="AN282" s="5"/>
      <c r="AO282" s="5"/>
      <c r="AP282" s="5"/>
      <c r="AQ282" s="5"/>
      <c r="AR282" s="5"/>
      <c r="AS282" s="5"/>
      <c r="AT282" s="5"/>
      <c r="AU282" s="5"/>
      <c r="AV282" s="5"/>
      <c r="AW282" s="5"/>
      <c r="AX282" s="5"/>
      <c r="AY282" s="5"/>
      <c r="AZ282" s="5"/>
      <c r="BA282" s="5"/>
      <c r="BB282" s="5"/>
      <c r="BC282" s="5"/>
      <c r="BD282" s="5"/>
      <c r="BE282" s="5"/>
      <c r="BF282" s="5"/>
      <c r="BG282" s="5"/>
      <c r="BH282" s="5"/>
    </row>
    <row r="283" ht="12.75" customHeight="1">
      <c r="A283" s="1"/>
      <c r="B283" s="2"/>
      <c r="C283" s="564" t="s">
        <v>296</v>
      </c>
      <c r="D283" s="538"/>
      <c r="E283" s="161"/>
      <c r="F283" s="138"/>
      <c r="G283" s="138"/>
      <c r="H283" s="138"/>
      <c r="I283" s="152" t="str">
        <f>+I272+I270+I269</f>
        <v>#REF!</v>
      </c>
      <c r="J283" s="565" t="str">
        <f>I283/I286</f>
        <v>#REF!</v>
      </c>
      <c r="K283" s="466" t="str">
        <f t="shared" si="257"/>
        <v>#REF!</v>
      </c>
      <c r="L283" s="3"/>
      <c r="M283" s="3"/>
      <c r="N283" s="4"/>
      <c r="O283" s="5"/>
      <c r="P283" s="314"/>
      <c r="Q283" s="314"/>
      <c r="R283" s="5"/>
      <c r="S283" s="5"/>
      <c r="T283" s="2"/>
      <c r="U283" s="5"/>
      <c r="V283" s="5"/>
      <c r="W283" s="5"/>
      <c r="X283" s="6"/>
      <c r="Y283" s="5"/>
      <c r="Z283" s="5"/>
      <c r="AA283" s="5"/>
      <c r="AB283" s="5"/>
      <c r="AC283" s="2"/>
      <c r="AD283" s="5"/>
      <c r="AE283" s="5"/>
      <c r="AF283" s="6"/>
      <c r="AG283" s="5"/>
      <c r="AH283" s="5"/>
      <c r="AI283" s="5"/>
      <c r="AJ283" s="5"/>
      <c r="AK283" s="5"/>
      <c r="AL283" s="2"/>
      <c r="AM283" s="5"/>
      <c r="AN283" s="5"/>
      <c r="AO283" s="5"/>
      <c r="AP283" s="5"/>
      <c r="AQ283" s="5"/>
      <c r="AR283" s="5"/>
      <c r="AS283" s="5"/>
      <c r="AT283" s="5"/>
      <c r="AU283" s="5"/>
      <c r="AV283" s="5"/>
      <c r="AW283" s="5"/>
      <c r="AX283" s="5"/>
      <c r="AY283" s="5"/>
      <c r="AZ283" s="5"/>
      <c r="BA283" s="5"/>
      <c r="BB283" s="5"/>
      <c r="BC283" s="5"/>
      <c r="BD283" s="5"/>
      <c r="BE283" s="5"/>
      <c r="BF283" s="5"/>
      <c r="BG283" s="5"/>
      <c r="BH283" s="5"/>
    </row>
    <row r="284" ht="12.75" customHeight="1">
      <c r="A284" s="1"/>
      <c r="B284" s="2"/>
      <c r="C284" s="564" t="s">
        <v>24</v>
      </c>
      <c r="D284" s="538"/>
      <c r="E284" s="161"/>
      <c r="F284" s="138"/>
      <c r="G284" s="138"/>
      <c r="H284" s="138"/>
      <c r="I284" s="152" t="str">
        <f>+I268+I267+I266+I265+I264+I263+I262</f>
        <v>#REF!</v>
      </c>
      <c r="J284" s="565" t="str">
        <f>I284/I286</f>
        <v>#REF!</v>
      </c>
      <c r="K284" s="466" t="str">
        <f t="shared" si="257"/>
        <v>#REF!</v>
      </c>
      <c r="L284" s="3"/>
      <c r="M284" s="3"/>
      <c r="N284" s="4"/>
      <c r="O284" s="5"/>
      <c r="P284" s="314"/>
      <c r="Q284" s="314"/>
      <c r="R284" s="5"/>
      <c r="S284" s="5"/>
      <c r="T284" s="2"/>
      <c r="U284" s="5"/>
      <c r="V284" s="5"/>
      <c r="W284" s="5"/>
      <c r="X284" s="6"/>
      <c r="Y284" s="5"/>
      <c r="Z284" s="5"/>
      <c r="AA284" s="5"/>
      <c r="AB284" s="5"/>
      <c r="AC284" s="2"/>
      <c r="AD284" s="5"/>
      <c r="AE284" s="5"/>
      <c r="AF284" s="6"/>
      <c r="AG284" s="5"/>
      <c r="AH284" s="5"/>
      <c r="AI284" s="5"/>
      <c r="AJ284" s="5"/>
      <c r="AK284" s="5"/>
      <c r="AL284" s="2"/>
      <c r="AM284" s="5"/>
      <c r="AN284" s="5"/>
      <c r="AO284" s="5"/>
      <c r="AP284" s="5"/>
      <c r="AQ284" s="5"/>
      <c r="AR284" s="5"/>
      <c r="AS284" s="5"/>
      <c r="AT284" s="5"/>
      <c r="AU284" s="5"/>
      <c r="AV284" s="5"/>
      <c r="AW284" s="5"/>
      <c r="AX284" s="5"/>
      <c r="AY284" s="5"/>
      <c r="AZ284" s="5"/>
      <c r="BA284" s="5"/>
      <c r="BB284" s="5"/>
      <c r="BC284" s="5"/>
      <c r="BD284" s="5"/>
      <c r="BE284" s="5"/>
      <c r="BF284" s="5"/>
      <c r="BG284" s="5"/>
      <c r="BH284" s="5"/>
    </row>
    <row r="285" ht="12.75" customHeight="1">
      <c r="A285" s="1"/>
      <c r="B285" s="2"/>
      <c r="C285" s="564" t="s">
        <v>25</v>
      </c>
      <c r="D285" s="538"/>
      <c r="E285" s="161"/>
      <c r="F285" s="138"/>
      <c r="G285" s="138"/>
      <c r="H285" s="138"/>
      <c r="I285" s="566" t="str">
        <f>I276</f>
        <v>#REF!</v>
      </c>
      <c r="J285" s="565" t="str">
        <f>I285/I286</f>
        <v>#REF!</v>
      </c>
      <c r="K285" s="466" t="str">
        <f t="shared" si="257"/>
        <v>#REF!</v>
      </c>
      <c r="L285" s="3"/>
      <c r="M285" s="3"/>
      <c r="N285" s="4"/>
      <c r="O285" s="5"/>
      <c r="P285" s="314"/>
      <c r="Q285" s="314"/>
      <c r="R285" s="5"/>
      <c r="S285" s="5"/>
      <c r="T285" s="2"/>
      <c r="U285" s="5"/>
      <c r="V285" s="5"/>
      <c r="W285" s="5"/>
      <c r="X285" s="6"/>
      <c r="Y285" s="5"/>
      <c r="Z285" s="5"/>
      <c r="AA285" s="5"/>
      <c r="AB285" s="5"/>
      <c r="AC285" s="2"/>
      <c r="AD285" s="5"/>
      <c r="AE285" s="5"/>
      <c r="AF285" s="6"/>
      <c r="AG285" s="5"/>
      <c r="AH285" s="5"/>
      <c r="AI285" s="5"/>
      <c r="AJ285" s="5"/>
      <c r="AK285" s="5"/>
      <c r="AL285" s="2"/>
      <c r="AM285" s="5"/>
      <c r="AN285" s="5"/>
      <c r="AO285" s="5"/>
      <c r="AP285" s="5"/>
      <c r="AQ285" s="5"/>
      <c r="AR285" s="5"/>
      <c r="AS285" s="5"/>
      <c r="AT285" s="5"/>
      <c r="AU285" s="5"/>
      <c r="AV285" s="5"/>
      <c r="AW285" s="5"/>
      <c r="AX285" s="5"/>
      <c r="AY285" s="5"/>
      <c r="AZ285" s="5"/>
      <c r="BA285" s="5"/>
      <c r="BB285" s="5"/>
      <c r="BC285" s="5"/>
      <c r="BD285" s="5"/>
      <c r="BE285" s="5"/>
      <c r="BF285" s="5"/>
      <c r="BG285" s="5"/>
      <c r="BH285" s="5"/>
    </row>
    <row r="286" ht="12.75" customHeight="1">
      <c r="A286" s="1"/>
      <c r="B286" s="2"/>
      <c r="C286" s="567" t="s">
        <v>297</v>
      </c>
      <c r="D286" s="568"/>
      <c r="E286" s="569"/>
      <c r="F286" s="568"/>
      <c r="G286" s="568"/>
      <c r="H286" s="568"/>
      <c r="I286" s="570" t="str">
        <f>SUM(I281:I285)</f>
        <v>#REF!</v>
      </c>
      <c r="J286" s="571" t="str">
        <f>I286=T174</f>
        <v>#REF!</v>
      </c>
      <c r="K286" s="5"/>
      <c r="L286" s="375" t="str">
        <f>I286-L283</f>
        <v>#REF!</v>
      </c>
      <c r="M286" s="3"/>
      <c r="N286" s="4"/>
      <c r="O286" s="5"/>
      <c r="P286" s="314"/>
      <c r="Q286" s="314"/>
      <c r="R286" s="5"/>
      <c r="S286" s="5"/>
      <c r="T286" s="2"/>
      <c r="U286" s="5"/>
      <c r="V286" s="5"/>
      <c r="W286" s="5"/>
      <c r="X286" s="6"/>
      <c r="Y286" s="5"/>
      <c r="Z286" s="5"/>
      <c r="AA286" s="5"/>
      <c r="AB286" s="5"/>
      <c r="AC286" s="2"/>
      <c r="AD286" s="5"/>
      <c r="AE286" s="5"/>
      <c r="AF286" s="6"/>
      <c r="AG286" s="5"/>
      <c r="AH286" s="5"/>
      <c r="AI286" s="5"/>
      <c r="AJ286" s="5"/>
      <c r="AK286" s="5"/>
      <c r="AL286" s="2"/>
      <c r="AM286" s="5"/>
      <c r="AN286" s="5"/>
      <c r="AO286" s="5"/>
      <c r="AP286" s="5"/>
      <c r="AQ286" s="5"/>
      <c r="AR286" s="5"/>
      <c r="AS286" s="5"/>
      <c r="AT286" s="5"/>
      <c r="AU286" s="5"/>
      <c r="AV286" s="5"/>
      <c r="AW286" s="5"/>
      <c r="AX286" s="5"/>
      <c r="AY286" s="5"/>
      <c r="AZ286" s="5"/>
      <c r="BA286" s="5"/>
      <c r="BB286" s="5"/>
      <c r="BC286" s="5"/>
      <c r="BD286" s="5"/>
      <c r="BE286" s="5"/>
      <c r="BF286" s="5"/>
      <c r="BG286" s="5"/>
      <c r="BH286" s="5"/>
    </row>
    <row r="287" ht="12.75" customHeight="1">
      <c r="A287" s="1"/>
      <c r="B287" s="2"/>
      <c r="C287" s="2"/>
      <c r="D287" s="2"/>
      <c r="E287" s="3"/>
      <c r="F287" s="2"/>
      <c r="G287" s="2"/>
      <c r="H287" s="2"/>
      <c r="I287" s="6"/>
      <c r="J287" s="6"/>
      <c r="K287" s="5"/>
      <c r="L287" s="3"/>
      <c r="M287" s="3"/>
      <c r="N287" s="4"/>
      <c r="O287" s="5"/>
      <c r="P287" s="314"/>
      <c r="Q287" s="314"/>
      <c r="R287" s="5"/>
      <c r="S287" s="5"/>
      <c r="T287" s="2"/>
      <c r="U287" s="5"/>
      <c r="V287" s="5"/>
      <c r="W287" s="5"/>
      <c r="X287" s="6"/>
      <c r="Y287" s="5"/>
      <c r="Z287" s="5"/>
      <c r="AA287" s="5"/>
      <c r="AB287" s="5"/>
      <c r="AC287" s="2"/>
      <c r="AD287" s="5"/>
      <c r="AE287" s="5"/>
      <c r="AF287" s="6"/>
      <c r="AG287" s="5"/>
      <c r="AH287" s="5"/>
      <c r="AI287" s="5"/>
      <c r="AJ287" s="5"/>
      <c r="AK287" s="5"/>
      <c r="AL287" s="2"/>
      <c r="AM287" s="5"/>
      <c r="AN287" s="5"/>
      <c r="AO287" s="5"/>
      <c r="AP287" s="5"/>
      <c r="AQ287" s="5"/>
      <c r="AR287" s="5"/>
      <c r="AS287" s="5"/>
      <c r="AT287" s="5"/>
      <c r="AU287" s="5"/>
      <c r="AV287" s="5"/>
      <c r="AW287" s="5"/>
      <c r="AX287" s="5"/>
      <c r="AY287" s="5"/>
      <c r="AZ287" s="5"/>
      <c r="BA287" s="5"/>
      <c r="BB287" s="5"/>
      <c r="BC287" s="5"/>
      <c r="BD287" s="5"/>
      <c r="BE287" s="5"/>
      <c r="BF287" s="5"/>
      <c r="BG287" s="5"/>
      <c r="BH287" s="5"/>
    </row>
    <row r="288" ht="12.75" customHeight="1">
      <c r="A288" s="1"/>
      <c r="B288" s="2"/>
      <c r="C288" s="540" t="s">
        <v>298</v>
      </c>
      <c r="D288" s="127"/>
      <c r="E288" s="161"/>
      <c r="F288" s="127"/>
      <c r="G288" s="127"/>
      <c r="H288" s="127"/>
      <c r="I288" s="572">
        <f>S180</f>
        <v>506.25</v>
      </c>
      <c r="J288" s="6"/>
      <c r="K288" s="5"/>
      <c r="L288" s="3"/>
      <c r="M288" s="3"/>
      <c r="N288" s="4"/>
      <c r="O288" s="5"/>
      <c r="P288" s="314"/>
      <c r="Q288" s="314"/>
      <c r="R288" s="5"/>
      <c r="S288" s="5"/>
      <c r="T288" s="2"/>
      <c r="U288" s="5"/>
      <c r="V288" s="5"/>
      <c r="W288" s="5"/>
      <c r="X288" s="6"/>
      <c r="Y288" s="5"/>
      <c r="Z288" s="5"/>
      <c r="AA288" s="5"/>
      <c r="AB288" s="5"/>
      <c r="AC288" s="2"/>
      <c r="AD288" s="5"/>
      <c r="AE288" s="5"/>
      <c r="AF288" s="6"/>
      <c r="AG288" s="5"/>
      <c r="AH288" s="5"/>
      <c r="AI288" s="5"/>
      <c r="AJ288" s="5"/>
      <c r="AK288" s="5"/>
      <c r="AL288" s="2"/>
      <c r="AM288" s="5"/>
      <c r="AN288" s="5"/>
      <c r="AO288" s="5"/>
      <c r="AP288" s="5"/>
      <c r="AQ288" s="5"/>
      <c r="AR288" s="5"/>
      <c r="AS288" s="5"/>
      <c r="AT288" s="5"/>
      <c r="AU288" s="5"/>
      <c r="AV288" s="5"/>
      <c r="AW288" s="5"/>
      <c r="AX288" s="5"/>
      <c r="AY288" s="5"/>
      <c r="AZ288" s="5"/>
      <c r="BA288" s="5"/>
      <c r="BB288" s="5"/>
      <c r="BC288" s="5"/>
      <c r="BD288" s="5"/>
      <c r="BE288" s="5"/>
      <c r="BF288" s="5"/>
      <c r="BG288" s="5"/>
      <c r="BH288" s="5"/>
    </row>
    <row r="289" ht="12.75" customHeight="1">
      <c r="A289" s="1"/>
      <c r="B289" s="2"/>
      <c r="C289" s="540" t="s">
        <v>299</v>
      </c>
      <c r="D289" s="127"/>
      <c r="E289" s="161"/>
      <c r="F289" s="127"/>
      <c r="G289" s="127"/>
      <c r="H289" s="127"/>
      <c r="I289" s="573">
        <f>W177</f>
        <v>0</v>
      </c>
      <c r="J289" s="574">
        <f>X173</f>
        <v>4</v>
      </c>
      <c r="K289" s="5"/>
      <c r="L289" s="3"/>
      <c r="M289" s="3"/>
      <c r="N289" s="4"/>
      <c r="O289" s="5"/>
      <c r="P289" s="314"/>
      <c r="Q289" s="314"/>
      <c r="R289" s="5"/>
      <c r="S289" s="5"/>
      <c r="T289" s="2"/>
      <c r="U289" s="5"/>
      <c r="V289" s="5"/>
      <c r="W289" s="5"/>
      <c r="X289" s="6"/>
      <c r="Y289" s="5"/>
      <c r="Z289" s="5"/>
      <c r="AA289" s="5"/>
      <c r="AB289" s="5"/>
      <c r="AC289" s="2"/>
      <c r="AD289" s="5"/>
      <c r="AE289" s="5"/>
      <c r="AF289" s="6"/>
      <c r="AG289" s="5"/>
      <c r="AH289" s="5"/>
      <c r="AI289" s="5"/>
      <c r="AJ289" s="5"/>
      <c r="AK289" s="5"/>
      <c r="AL289" s="2"/>
      <c r="AM289" s="5"/>
      <c r="AN289" s="5"/>
      <c r="AO289" s="5"/>
      <c r="AP289" s="5"/>
      <c r="AQ289" s="5"/>
      <c r="AR289" s="5"/>
      <c r="AS289" s="5"/>
      <c r="AT289" s="5"/>
      <c r="AU289" s="5"/>
      <c r="AV289" s="5"/>
      <c r="AW289" s="5"/>
      <c r="AX289" s="5"/>
      <c r="AY289" s="5"/>
      <c r="AZ289" s="5"/>
      <c r="BA289" s="5"/>
      <c r="BB289" s="5"/>
      <c r="BC289" s="5"/>
      <c r="BD289" s="5"/>
      <c r="BE289" s="5"/>
      <c r="BF289" s="5"/>
      <c r="BG289" s="5"/>
      <c r="BH289" s="5"/>
    </row>
    <row r="290" ht="12.75" customHeight="1">
      <c r="A290" s="1"/>
      <c r="B290" s="2"/>
      <c r="C290" s="537" t="s">
        <v>26</v>
      </c>
      <c r="D290" s="127"/>
      <c r="E290" s="161"/>
      <c r="F290" s="127"/>
      <c r="G290" s="127"/>
      <c r="H290" s="127"/>
      <c r="I290" s="575" t="str">
        <f>I286/I288</f>
        <v>#REF!</v>
      </c>
      <c r="J290" s="576" t="str">
        <f>W176</f>
        <v>#REF!</v>
      </c>
      <c r="K290" s="5"/>
      <c r="L290" s="3"/>
      <c r="M290" s="3"/>
      <c r="N290" s="4"/>
      <c r="O290" s="5"/>
      <c r="P290" s="314"/>
      <c r="Q290" s="314"/>
      <c r="R290" s="5"/>
      <c r="S290" s="5"/>
      <c r="T290" s="2"/>
      <c r="U290" s="5"/>
      <c r="V290" s="5"/>
      <c r="W290" s="5"/>
      <c r="X290" s="6"/>
      <c r="Y290" s="5"/>
      <c r="Z290" s="5"/>
      <c r="AA290" s="5"/>
      <c r="AB290" s="5"/>
      <c r="AC290" s="2"/>
      <c r="AD290" s="5"/>
      <c r="AE290" s="5"/>
      <c r="AF290" s="6"/>
      <c r="AG290" s="5"/>
      <c r="AH290" s="5"/>
      <c r="AI290" s="5"/>
      <c r="AJ290" s="5"/>
      <c r="AK290" s="5"/>
      <c r="AL290" s="2"/>
      <c r="AM290" s="5"/>
      <c r="AN290" s="5"/>
      <c r="AO290" s="5"/>
      <c r="AP290" s="5"/>
      <c r="AQ290" s="5"/>
      <c r="AR290" s="5"/>
      <c r="AS290" s="5"/>
      <c r="AT290" s="5"/>
      <c r="AU290" s="5"/>
      <c r="AV290" s="5"/>
      <c r="AW290" s="5"/>
      <c r="AX290" s="5"/>
      <c r="AY290" s="5"/>
      <c r="AZ290" s="5"/>
      <c r="BA290" s="5"/>
      <c r="BB290" s="5"/>
      <c r="BC290" s="5"/>
      <c r="BD290" s="5"/>
      <c r="BE290" s="5"/>
      <c r="BF290" s="5"/>
      <c r="BG290" s="5"/>
      <c r="BH290" s="5"/>
    </row>
    <row r="291" ht="12.75" customHeight="1">
      <c r="A291" s="1"/>
      <c r="B291" s="2"/>
      <c r="C291" s="2"/>
      <c r="D291" s="2"/>
      <c r="E291" s="3"/>
      <c r="F291" s="2"/>
      <c r="G291" s="2"/>
      <c r="H291" s="2"/>
      <c r="I291" s="6"/>
      <c r="J291" s="6"/>
      <c r="K291" s="5"/>
      <c r="L291" s="3"/>
      <c r="M291" s="3"/>
      <c r="N291" s="4"/>
      <c r="O291" s="5"/>
      <c r="P291" s="314"/>
      <c r="Q291" s="314"/>
      <c r="R291" s="5"/>
      <c r="S291" s="5"/>
      <c r="T291" s="2"/>
      <c r="U291" s="5"/>
      <c r="V291" s="5"/>
      <c r="W291" s="5"/>
      <c r="X291" s="6"/>
      <c r="Y291" s="5"/>
      <c r="Z291" s="5"/>
      <c r="AA291" s="5"/>
      <c r="AB291" s="5"/>
      <c r="AC291" s="2"/>
      <c r="AD291" s="5"/>
      <c r="AE291" s="5"/>
      <c r="AF291" s="6"/>
      <c r="AG291" s="5"/>
      <c r="AH291" s="5"/>
      <c r="AI291" s="5"/>
      <c r="AJ291" s="5"/>
      <c r="AK291" s="5"/>
      <c r="AL291" s="2"/>
      <c r="AM291" s="5"/>
      <c r="AN291" s="5"/>
      <c r="AO291" s="5"/>
      <c r="AP291" s="5"/>
      <c r="AQ291" s="5"/>
      <c r="AR291" s="5"/>
      <c r="AS291" s="5"/>
      <c r="AT291" s="5"/>
      <c r="AU291" s="5"/>
      <c r="AV291" s="5"/>
      <c r="AW291" s="5"/>
      <c r="AX291" s="5"/>
      <c r="AY291" s="5"/>
      <c r="AZ291" s="5"/>
      <c r="BA291" s="5"/>
      <c r="BB291" s="5"/>
      <c r="BC291" s="5"/>
      <c r="BD291" s="5"/>
      <c r="BE291" s="5"/>
      <c r="BF291" s="5"/>
      <c r="BG291" s="5"/>
      <c r="BH291" s="5"/>
    </row>
    <row r="292" ht="12.75" customHeight="1">
      <c r="A292" s="1"/>
      <c r="B292" s="2"/>
      <c r="C292" s="2"/>
      <c r="D292" s="2"/>
      <c r="E292" s="3"/>
      <c r="F292" s="2"/>
      <c r="G292" s="2"/>
      <c r="H292" s="2"/>
      <c r="I292" s="6"/>
      <c r="J292" s="6"/>
      <c r="K292" s="5"/>
      <c r="L292" s="3"/>
      <c r="M292" s="3"/>
      <c r="N292" s="4"/>
      <c r="O292" s="5"/>
      <c r="P292" s="314"/>
      <c r="Q292" s="314"/>
      <c r="R292" s="5"/>
      <c r="S292" s="5"/>
      <c r="T292" s="2"/>
      <c r="U292" s="5"/>
      <c r="V292" s="5"/>
      <c r="W292" s="5"/>
      <c r="X292" s="6"/>
      <c r="Y292" s="5"/>
      <c r="Z292" s="5"/>
      <c r="AA292" s="5"/>
      <c r="AB292" s="5"/>
      <c r="AC292" s="2"/>
      <c r="AD292" s="5"/>
      <c r="AE292" s="5"/>
      <c r="AF292" s="6"/>
      <c r="AG292" s="5"/>
      <c r="AH292" s="5"/>
      <c r="AI292" s="5"/>
      <c r="AJ292" s="5"/>
      <c r="AK292" s="5"/>
      <c r="AL292" s="2"/>
      <c r="AM292" s="5"/>
      <c r="AN292" s="5"/>
      <c r="AO292" s="5"/>
      <c r="AP292" s="5"/>
      <c r="AQ292" s="5"/>
      <c r="AR292" s="5"/>
      <c r="AS292" s="5"/>
      <c r="AT292" s="5"/>
      <c r="AU292" s="5"/>
      <c r="AV292" s="5"/>
      <c r="AW292" s="5"/>
      <c r="AX292" s="5"/>
      <c r="AY292" s="5"/>
      <c r="AZ292" s="5"/>
      <c r="BA292" s="5"/>
      <c r="BB292" s="5"/>
      <c r="BC292" s="5"/>
      <c r="BD292" s="5"/>
      <c r="BE292" s="5"/>
      <c r="BF292" s="5"/>
      <c r="BG292" s="5"/>
      <c r="BH292" s="5"/>
    </row>
    <row r="293" ht="12.75" customHeight="1">
      <c r="A293" s="1"/>
      <c r="B293" s="2"/>
      <c r="C293" s="2"/>
      <c r="D293" s="2"/>
      <c r="E293" s="3"/>
      <c r="F293" s="2"/>
      <c r="G293" s="2"/>
      <c r="H293" s="2"/>
      <c r="I293" s="6"/>
      <c r="J293" s="6"/>
      <c r="K293" s="5"/>
      <c r="L293" s="3"/>
      <c r="M293" s="3"/>
      <c r="N293" s="4"/>
      <c r="O293" s="5"/>
      <c r="P293" s="314"/>
      <c r="Q293" s="314"/>
      <c r="R293" s="5"/>
      <c r="S293" s="5"/>
      <c r="T293" s="2"/>
      <c r="U293" s="5"/>
      <c r="V293" s="5"/>
      <c r="W293" s="5"/>
      <c r="X293" s="6"/>
      <c r="Y293" s="5"/>
      <c r="Z293" s="5"/>
      <c r="AA293" s="5"/>
      <c r="AB293" s="5"/>
      <c r="AC293" s="2"/>
      <c r="AD293" s="5"/>
      <c r="AE293" s="5"/>
      <c r="AF293" s="6"/>
      <c r="AG293" s="5"/>
      <c r="AH293" s="5"/>
      <c r="AI293" s="5"/>
      <c r="AJ293" s="5"/>
      <c r="AK293" s="5"/>
      <c r="AL293" s="2"/>
      <c r="AM293" s="5"/>
      <c r="AN293" s="5"/>
      <c r="AO293" s="5"/>
      <c r="AP293" s="5"/>
      <c r="AQ293" s="5"/>
      <c r="AR293" s="5"/>
      <c r="AS293" s="5"/>
      <c r="AT293" s="5"/>
      <c r="AU293" s="5"/>
      <c r="AV293" s="5"/>
      <c r="AW293" s="5"/>
      <c r="AX293" s="5"/>
      <c r="AY293" s="5"/>
      <c r="AZ293" s="5"/>
      <c r="BA293" s="5"/>
      <c r="BB293" s="5"/>
      <c r="BC293" s="5"/>
      <c r="BD293" s="5"/>
      <c r="BE293" s="5"/>
      <c r="BF293" s="5"/>
      <c r="BG293" s="5"/>
      <c r="BH293" s="5"/>
    </row>
    <row r="294" ht="12.75" customHeight="1">
      <c r="A294" s="1"/>
      <c r="B294" s="2"/>
      <c r="C294" s="2"/>
      <c r="D294" s="2"/>
      <c r="E294" s="3"/>
      <c r="F294" s="2"/>
      <c r="G294" s="2"/>
      <c r="H294" s="2"/>
      <c r="I294" s="6"/>
      <c r="J294" s="6"/>
      <c r="K294" s="5"/>
      <c r="L294" s="3"/>
      <c r="M294" s="3"/>
      <c r="N294" s="4"/>
      <c r="O294" s="5"/>
      <c r="P294" s="314"/>
      <c r="Q294" s="314"/>
      <c r="R294" s="5"/>
      <c r="S294" s="5"/>
      <c r="T294" s="2"/>
      <c r="U294" s="5"/>
      <c r="V294" s="5"/>
      <c r="W294" s="5"/>
      <c r="X294" s="6"/>
      <c r="Y294" s="5"/>
      <c r="Z294" s="5"/>
      <c r="AA294" s="5"/>
      <c r="AB294" s="5"/>
      <c r="AC294" s="2"/>
      <c r="AD294" s="5"/>
      <c r="AE294" s="5"/>
      <c r="AF294" s="6"/>
      <c r="AG294" s="5"/>
      <c r="AH294" s="5"/>
      <c r="AI294" s="5"/>
      <c r="AJ294" s="5"/>
      <c r="AK294" s="5"/>
      <c r="AL294" s="2"/>
      <c r="AM294" s="5"/>
      <c r="AN294" s="5"/>
      <c r="AO294" s="5"/>
      <c r="AP294" s="5"/>
      <c r="AQ294" s="5"/>
      <c r="AR294" s="5"/>
      <c r="AS294" s="5"/>
      <c r="AT294" s="5"/>
      <c r="AU294" s="5"/>
      <c r="AV294" s="5"/>
      <c r="AW294" s="5"/>
      <c r="AX294" s="5"/>
      <c r="AY294" s="5"/>
      <c r="AZ294" s="5"/>
      <c r="BA294" s="5"/>
      <c r="BB294" s="5"/>
      <c r="BC294" s="5"/>
      <c r="BD294" s="5"/>
      <c r="BE294" s="5"/>
      <c r="BF294" s="5"/>
      <c r="BG294" s="5"/>
      <c r="BH294" s="5"/>
    </row>
    <row r="295" ht="12.75" customHeight="1">
      <c r="A295" s="1"/>
      <c r="B295" s="2"/>
      <c r="C295" s="2"/>
      <c r="D295" s="2"/>
      <c r="E295" s="3"/>
      <c r="F295" s="2"/>
      <c r="G295" s="2"/>
      <c r="H295" s="2"/>
      <c r="I295" s="2"/>
      <c r="J295" s="2"/>
      <c r="K295" s="2"/>
      <c r="L295" s="3"/>
      <c r="M295" s="3"/>
      <c r="N295" s="4"/>
      <c r="O295" s="2"/>
      <c r="P295" s="314"/>
      <c r="Q295" s="314"/>
      <c r="R295" s="5"/>
      <c r="S295" s="5"/>
      <c r="T295" s="2"/>
      <c r="U295" s="5"/>
      <c r="V295" s="5"/>
      <c r="W295" s="5"/>
      <c r="X295" s="6"/>
      <c r="Y295" s="5"/>
      <c r="Z295" s="5"/>
      <c r="AA295" s="5"/>
      <c r="AB295" s="5"/>
      <c r="AC295" s="2"/>
      <c r="AD295" s="5"/>
      <c r="AE295" s="5"/>
      <c r="AF295" s="6"/>
      <c r="AG295" s="5"/>
      <c r="AH295" s="5"/>
      <c r="AI295" s="5"/>
      <c r="AJ295" s="5"/>
      <c r="AK295" s="5"/>
      <c r="AL295" s="2"/>
      <c r="AM295" s="5"/>
      <c r="AN295" s="5"/>
      <c r="AO295" s="5"/>
      <c r="AP295" s="5"/>
      <c r="AQ295" s="5"/>
      <c r="AR295" s="5"/>
      <c r="AS295" s="5"/>
      <c r="AT295" s="5"/>
      <c r="AU295" s="5"/>
      <c r="AV295" s="5"/>
      <c r="AW295" s="5"/>
      <c r="AX295" s="5"/>
      <c r="AY295" s="5"/>
      <c r="AZ295" s="5"/>
      <c r="BA295" s="5"/>
      <c r="BB295" s="5"/>
      <c r="BC295" s="5"/>
      <c r="BD295" s="5"/>
      <c r="BE295" s="5"/>
      <c r="BF295" s="5"/>
      <c r="BG295" s="5"/>
      <c r="BH295" s="5"/>
    </row>
    <row r="296" ht="12.75" customHeight="1">
      <c r="A296" s="1"/>
      <c r="B296" s="2"/>
      <c r="C296" s="2"/>
      <c r="D296" s="2"/>
      <c r="E296" s="3"/>
      <c r="F296" s="2"/>
      <c r="G296" s="2"/>
      <c r="H296" s="2"/>
      <c r="I296" s="6"/>
      <c r="J296" s="2"/>
      <c r="K296" s="5"/>
      <c r="L296" s="3"/>
      <c r="M296" s="3"/>
      <c r="N296" s="4"/>
      <c r="O296" s="2"/>
      <c r="P296" s="314"/>
      <c r="Q296" s="314"/>
      <c r="R296" s="5"/>
      <c r="S296" s="5"/>
      <c r="T296" s="2"/>
      <c r="U296" s="5"/>
      <c r="V296" s="5"/>
      <c r="W296" s="5"/>
      <c r="X296" s="6"/>
      <c r="Y296" s="5"/>
      <c r="Z296" s="5"/>
      <c r="AA296" s="5"/>
      <c r="AB296" s="5"/>
      <c r="AC296" s="2"/>
      <c r="AD296" s="5"/>
      <c r="AE296" s="5"/>
      <c r="AF296" s="6"/>
      <c r="AG296" s="5"/>
      <c r="AH296" s="5"/>
      <c r="AI296" s="5"/>
      <c r="AJ296" s="5"/>
      <c r="AK296" s="5"/>
      <c r="AL296" s="2"/>
      <c r="AM296" s="5"/>
      <c r="AN296" s="5"/>
      <c r="AO296" s="5"/>
      <c r="AP296" s="5"/>
      <c r="AQ296" s="5"/>
      <c r="AR296" s="5"/>
      <c r="AS296" s="5"/>
      <c r="AT296" s="5"/>
      <c r="AU296" s="5"/>
      <c r="AV296" s="5"/>
      <c r="AW296" s="5"/>
      <c r="AX296" s="5"/>
      <c r="AY296" s="5"/>
      <c r="AZ296" s="5"/>
      <c r="BA296" s="5"/>
      <c r="BB296" s="5"/>
      <c r="BC296" s="5"/>
      <c r="BD296" s="5"/>
      <c r="BE296" s="5"/>
      <c r="BF296" s="5"/>
      <c r="BG296" s="5"/>
      <c r="BH296" s="5"/>
    </row>
    <row r="297" ht="12.75" customHeight="1">
      <c r="A297" s="1"/>
      <c r="B297" s="2"/>
      <c r="C297" s="2"/>
      <c r="D297" s="2"/>
      <c r="E297" s="3"/>
      <c r="F297" s="2"/>
      <c r="G297" s="2"/>
      <c r="H297" s="2"/>
      <c r="I297" s="6"/>
      <c r="J297" s="2"/>
      <c r="K297" s="5"/>
      <c r="L297" s="3"/>
      <c r="M297" s="3"/>
      <c r="N297" s="4"/>
      <c r="O297" s="5"/>
      <c r="P297" s="314"/>
      <c r="Q297" s="314"/>
      <c r="R297" s="5"/>
      <c r="S297" s="5"/>
      <c r="T297" s="2"/>
      <c r="U297" s="5"/>
      <c r="V297" s="5"/>
      <c r="W297" s="5"/>
      <c r="X297" s="6"/>
      <c r="Y297" s="5"/>
      <c r="Z297" s="5"/>
      <c r="AA297" s="5"/>
      <c r="AB297" s="5"/>
      <c r="AC297" s="2"/>
      <c r="AD297" s="5"/>
      <c r="AE297" s="5"/>
      <c r="AF297" s="6"/>
      <c r="AG297" s="5"/>
      <c r="AH297" s="5"/>
      <c r="AI297" s="5"/>
      <c r="AJ297" s="5"/>
      <c r="AK297" s="5"/>
      <c r="AL297" s="2"/>
      <c r="AM297" s="5"/>
      <c r="AN297" s="5"/>
      <c r="AO297" s="5"/>
      <c r="AP297" s="5"/>
      <c r="AQ297" s="5"/>
      <c r="AR297" s="5"/>
      <c r="AS297" s="5"/>
      <c r="AT297" s="5"/>
      <c r="AU297" s="5"/>
      <c r="AV297" s="5"/>
      <c r="AW297" s="5"/>
      <c r="AX297" s="5"/>
      <c r="AY297" s="5"/>
      <c r="AZ297" s="5"/>
      <c r="BA297" s="5"/>
      <c r="BB297" s="5"/>
      <c r="BC297" s="5"/>
      <c r="BD297" s="5"/>
      <c r="BE297" s="5"/>
      <c r="BF297" s="5"/>
      <c r="BG297" s="5"/>
      <c r="BH297" s="5"/>
    </row>
    <row r="298" ht="12.75" customHeight="1">
      <c r="A298" s="1"/>
      <c r="B298" s="2"/>
      <c r="C298" s="2"/>
      <c r="D298" s="2"/>
      <c r="E298" s="3"/>
      <c r="F298" s="2"/>
      <c r="G298" s="2"/>
      <c r="H298" s="2"/>
      <c r="I298" s="2"/>
      <c r="J298" s="2"/>
      <c r="K298" s="2"/>
      <c r="L298" s="3"/>
      <c r="M298" s="3"/>
      <c r="N298" s="4"/>
      <c r="O298" s="2"/>
      <c r="P298" s="314"/>
      <c r="Q298" s="314"/>
      <c r="R298" s="5"/>
      <c r="S298" s="5"/>
      <c r="T298" s="2"/>
      <c r="U298" s="5"/>
      <c r="V298" s="5"/>
      <c r="W298" s="5"/>
      <c r="X298" s="6"/>
      <c r="Y298" s="5"/>
      <c r="Z298" s="5"/>
      <c r="AA298" s="5"/>
      <c r="AB298" s="5"/>
      <c r="AC298" s="2"/>
      <c r="AD298" s="5"/>
      <c r="AE298" s="5"/>
      <c r="AF298" s="6"/>
      <c r="AG298" s="5"/>
      <c r="AH298" s="5"/>
      <c r="AI298" s="5"/>
      <c r="AJ298" s="5"/>
      <c r="AK298" s="5"/>
      <c r="AL298" s="2"/>
      <c r="AM298" s="5"/>
      <c r="AN298" s="5"/>
      <c r="AO298" s="5"/>
      <c r="AP298" s="5"/>
      <c r="AQ298" s="5"/>
      <c r="AR298" s="5"/>
      <c r="AS298" s="5"/>
      <c r="AT298" s="5"/>
      <c r="AU298" s="5"/>
      <c r="AV298" s="5"/>
      <c r="AW298" s="5"/>
      <c r="AX298" s="5"/>
      <c r="AY298" s="5"/>
      <c r="AZ298" s="5"/>
      <c r="BA298" s="5"/>
      <c r="BB298" s="5"/>
      <c r="BC298" s="5"/>
      <c r="BD298" s="5"/>
      <c r="BE298" s="5"/>
      <c r="BF298" s="5"/>
      <c r="BG298" s="5"/>
      <c r="BH298" s="5"/>
    </row>
    <row r="299" ht="12.75" customHeight="1">
      <c r="A299" s="1"/>
      <c r="B299" s="2"/>
      <c r="C299" s="2"/>
      <c r="D299" s="2"/>
      <c r="E299" s="3"/>
      <c r="F299" s="2"/>
      <c r="G299" s="2"/>
      <c r="H299" s="2"/>
      <c r="I299" s="2"/>
      <c r="J299" s="2"/>
      <c r="K299" s="2"/>
      <c r="L299" s="3"/>
      <c r="M299" s="3"/>
      <c r="N299" s="4"/>
      <c r="O299" s="2"/>
      <c r="P299" s="314"/>
      <c r="Q299" s="314"/>
      <c r="R299" s="5"/>
      <c r="S299" s="5"/>
      <c r="T299" s="2"/>
      <c r="U299" s="5"/>
      <c r="V299" s="5"/>
      <c r="W299" s="5"/>
      <c r="X299" s="6"/>
      <c r="Y299" s="5"/>
      <c r="Z299" s="5"/>
      <c r="AA299" s="5"/>
      <c r="AB299" s="5"/>
      <c r="AC299" s="2"/>
      <c r="AD299" s="5"/>
      <c r="AE299" s="5"/>
      <c r="AF299" s="6"/>
      <c r="AG299" s="5"/>
      <c r="AH299" s="5"/>
      <c r="AI299" s="5"/>
      <c r="AJ299" s="5"/>
      <c r="AK299" s="5"/>
      <c r="AL299" s="2"/>
      <c r="AM299" s="5"/>
      <c r="AN299" s="5"/>
      <c r="AO299" s="5"/>
      <c r="AP299" s="5"/>
      <c r="AQ299" s="5"/>
      <c r="AR299" s="5"/>
      <c r="AS299" s="5"/>
      <c r="AT299" s="5"/>
      <c r="AU299" s="5"/>
      <c r="AV299" s="5"/>
      <c r="AW299" s="5"/>
      <c r="AX299" s="5"/>
      <c r="AY299" s="5"/>
      <c r="AZ299" s="5"/>
      <c r="BA299" s="5"/>
      <c r="BB299" s="5"/>
      <c r="BC299" s="5"/>
      <c r="BD299" s="5"/>
      <c r="BE299" s="5"/>
      <c r="BF299" s="5"/>
      <c r="BG299" s="5"/>
      <c r="BH299" s="5"/>
    </row>
    <row r="300" ht="12.75" customHeight="1">
      <c r="A300" s="1"/>
      <c r="B300" s="2"/>
      <c r="C300" s="2"/>
      <c r="D300" s="2"/>
      <c r="E300" s="3"/>
      <c r="F300" s="2"/>
      <c r="G300" s="2"/>
      <c r="H300" s="2"/>
      <c r="I300" s="6"/>
      <c r="J300" s="6"/>
      <c r="K300" s="5"/>
      <c r="L300" s="3"/>
      <c r="M300" s="3"/>
      <c r="N300" s="4"/>
      <c r="O300" s="5"/>
      <c r="P300" s="314"/>
      <c r="Q300" s="314"/>
      <c r="R300" s="5"/>
      <c r="S300" s="5"/>
      <c r="T300" s="2"/>
      <c r="U300" s="5"/>
      <c r="V300" s="5"/>
      <c r="W300" s="5"/>
      <c r="X300" s="6"/>
      <c r="Y300" s="5"/>
      <c r="Z300" s="5"/>
      <c r="AA300" s="5"/>
      <c r="AB300" s="5"/>
      <c r="AC300" s="2"/>
      <c r="AD300" s="5"/>
      <c r="AE300" s="5"/>
      <c r="AF300" s="6"/>
      <c r="AG300" s="5"/>
      <c r="AH300" s="5"/>
      <c r="AI300" s="5"/>
      <c r="AJ300" s="5"/>
      <c r="AK300" s="5"/>
      <c r="AL300" s="2"/>
      <c r="AM300" s="5"/>
      <c r="AN300" s="5"/>
      <c r="AO300" s="5"/>
      <c r="AP300" s="5"/>
      <c r="AQ300" s="5"/>
      <c r="AR300" s="5"/>
      <c r="AS300" s="5"/>
      <c r="AT300" s="5"/>
      <c r="AU300" s="5"/>
      <c r="AV300" s="5"/>
      <c r="AW300" s="5"/>
      <c r="AX300" s="5"/>
      <c r="AY300" s="5"/>
      <c r="AZ300" s="5"/>
      <c r="BA300" s="5"/>
      <c r="BB300" s="5"/>
      <c r="BC300" s="5"/>
      <c r="BD300" s="5"/>
      <c r="BE300" s="5"/>
      <c r="BF300" s="5"/>
      <c r="BG300" s="5"/>
      <c r="BH300" s="5"/>
    </row>
    <row r="301" ht="12.75" customHeight="1">
      <c r="A301" s="1"/>
      <c r="B301" s="2"/>
      <c r="C301" s="2"/>
      <c r="D301" s="2"/>
      <c r="E301" s="3"/>
      <c r="F301" s="2"/>
      <c r="G301" s="2"/>
      <c r="H301" s="2"/>
      <c r="I301" s="6"/>
      <c r="J301" s="6"/>
      <c r="K301" s="5"/>
      <c r="L301" s="3"/>
      <c r="M301" s="3"/>
      <c r="N301" s="4"/>
      <c r="O301" s="5"/>
      <c r="P301" s="314"/>
      <c r="Q301" s="314"/>
      <c r="R301" s="5"/>
      <c r="S301" s="5"/>
      <c r="T301" s="2"/>
      <c r="U301" s="5"/>
      <c r="V301" s="5"/>
      <c r="W301" s="5"/>
      <c r="X301" s="6"/>
      <c r="Y301" s="5"/>
      <c r="Z301" s="5"/>
      <c r="AA301" s="5"/>
      <c r="AB301" s="5"/>
      <c r="AC301" s="2"/>
      <c r="AD301" s="5"/>
      <c r="AE301" s="5"/>
      <c r="AF301" s="6"/>
      <c r="AG301" s="5"/>
      <c r="AH301" s="5"/>
      <c r="AI301" s="5"/>
      <c r="AJ301" s="5"/>
      <c r="AK301" s="5"/>
      <c r="AL301" s="2"/>
      <c r="AM301" s="5"/>
      <c r="AN301" s="5"/>
      <c r="AO301" s="5"/>
      <c r="AP301" s="5"/>
      <c r="AQ301" s="5"/>
      <c r="AR301" s="5"/>
      <c r="AS301" s="5"/>
      <c r="AT301" s="5"/>
      <c r="AU301" s="5"/>
      <c r="AV301" s="5"/>
      <c r="AW301" s="5"/>
      <c r="AX301" s="5"/>
      <c r="AY301" s="5"/>
      <c r="AZ301" s="5"/>
      <c r="BA301" s="5"/>
      <c r="BB301" s="5"/>
      <c r="BC301" s="5"/>
      <c r="BD301" s="5"/>
      <c r="BE301" s="5"/>
      <c r="BF301" s="5"/>
      <c r="BG301" s="5"/>
      <c r="BH301" s="5"/>
    </row>
    <row r="302" ht="12.75" customHeight="1">
      <c r="A302" s="1"/>
      <c r="B302" s="2"/>
      <c r="C302" s="2"/>
      <c r="D302" s="2"/>
      <c r="E302" s="3"/>
      <c r="F302" s="2"/>
      <c r="G302" s="2"/>
      <c r="H302" s="2"/>
      <c r="I302" s="6"/>
      <c r="J302" s="6"/>
      <c r="K302" s="5"/>
      <c r="L302" s="3"/>
      <c r="M302" s="3"/>
      <c r="N302" s="4"/>
      <c r="O302" s="5"/>
      <c r="P302" s="314"/>
      <c r="Q302" s="314"/>
      <c r="R302" s="5"/>
      <c r="S302" s="5"/>
      <c r="T302" s="2"/>
      <c r="U302" s="5"/>
      <c r="V302" s="5"/>
      <c r="W302" s="5"/>
      <c r="X302" s="6"/>
      <c r="Y302" s="5"/>
      <c r="Z302" s="5"/>
      <c r="AA302" s="5"/>
      <c r="AB302" s="5"/>
      <c r="AC302" s="2"/>
      <c r="AD302" s="5"/>
      <c r="AE302" s="5"/>
      <c r="AF302" s="6"/>
      <c r="AG302" s="5"/>
      <c r="AH302" s="5"/>
      <c r="AI302" s="5"/>
      <c r="AJ302" s="5"/>
      <c r="AK302" s="5"/>
      <c r="AL302" s="2"/>
      <c r="AM302" s="5"/>
      <c r="AN302" s="5"/>
      <c r="AO302" s="5"/>
      <c r="AP302" s="5"/>
      <c r="AQ302" s="5"/>
      <c r="AR302" s="5"/>
      <c r="AS302" s="5"/>
      <c r="AT302" s="5"/>
      <c r="AU302" s="5"/>
      <c r="AV302" s="5"/>
      <c r="AW302" s="5"/>
      <c r="AX302" s="5"/>
      <c r="AY302" s="5"/>
      <c r="AZ302" s="5"/>
      <c r="BA302" s="5"/>
      <c r="BB302" s="5"/>
      <c r="BC302" s="5"/>
      <c r="BD302" s="5"/>
      <c r="BE302" s="5"/>
      <c r="BF302" s="5"/>
      <c r="BG302" s="5"/>
      <c r="BH302" s="5"/>
    </row>
    <row r="303" ht="12.75" customHeight="1">
      <c r="A303" s="1"/>
      <c r="B303" s="2"/>
      <c r="C303" s="2"/>
      <c r="D303" s="2"/>
      <c r="E303" s="3"/>
      <c r="F303" s="2"/>
      <c r="G303" s="2"/>
      <c r="H303" s="2"/>
      <c r="I303" s="6"/>
      <c r="J303" s="6"/>
      <c r="K303" s="5"/>
      <c r="L303" s="3"/>
      <c r="M303" s="3"/>
      <c r="N303" s="4"/>
      <c r="O303" s="5"/>
      <c r="P303" s="314"/>
      <c r="Q303" s="314"/>
      <c r="R303" s="5"/>
      <c r="S303" s="5"/>
      <c r="T303" s="2"/>
      <c r="U303" s="5"/>
      <c r="V303" s="5"/>
      <c r="W303" s="5"/>
      <c r="X303" s="6"/>
      <c r="Y303" s="5"/>
      <c r="Z303" s="5"/>
      <c r="AA303" s="5"/>
      <c r="AB303" s="5"/>
      <c r="AC303" s="2"/>
      <c r="AD303" s="5"/>
      <c r="AE303" s="5"/>
      <c r="AF303" s="6"/>
      <c r="AG303" s="5"/>
      <c r="AH303" s="5"/>
      <c r="AI303" s="5"/>
      <c r="AJ303" s="5"/>
      <c r="AK303" s="5"/>
      <c r="AL303" s="2"/>
      <c r="AM303" s="5"/>
      <c r="AN303" s="5"/>
      <c r="AO303" s="5"/>
      <c r="AP303" s="5"/>
      <c r="AQ303" s="5"/>
      <c r="AR303" s="5"/>
      <c r="AS303" s="5"/>
      <c r="AT303" s="5"/>
      <c r="AU303" s="5"/>
      <c r="AV303" s="5"/>
      <c r="AW303" s="5"/>
      <c r="AX303" s="5"/>
      <c r="AY303" s="5"/>
      <c r="AZ303" s="5"/>
      <c r="BA303" s="5"/>
      <c r="BB303" s="5"/>
      <c r="BC303" s="5"/>
      <c r="BD303" s="5"/>
      <c r="BE303" s="5"/>
      <c r="BF303" s="5"/>
      <c r="BG303" s="5"/>
      <c r="BH303" s="5"/>
    </row>
    <row r="304" ht="12.75" customHeight="1">
      <c r="A304" s="1"/>
      <c r="B304" s="2"/>
      <c r="C304" s="2"/>
      <c r="D304" s="2"/>
      <c r="E304" s="3"/>
      <c r="F304" s="2"/>
      <c r="G304" s="2"/>
      <c r="H304" s="2"/>
      <c r="I304" s="6"/>
      <c r="J304" s="6"/>
      <c r="K304" s="5"/>
      <c r="L304" s="3"/>
      <c r="M304" s="3"/>
      <c r="N304" s="4"/>
      <c r="O304" s="5"/>
      <c r="P304" s="314"/>
      <c r="Q304" s="314"/>
      <c r="R304" s="5"/>
      <c r="S304" s="5"/>
      <c r="T304" s="2"/>
      <c r="U304" s="5"/>
      <c r="V304" s="5"/>
      <c r="W304" s="5"/>
      <c r="X304" s="6"/>
      <c r="Y304" s="5"/>
      <c r="Z304" s="5"/>
      <c r="AA304" s="5"/>
      <c r="AB304" s="5"/>
      <c r="AC304" s="2"/>
      <c r="AD304" s="5"/>
      <c r="AE304" s="5"/>
      <c r="AF304" s="6"/>
      <c r="AG304" s="5"/>
      <c r="AH304" s="5"/>
      <c r="AI304" s="5"/>
      <c r="AJ304" s="5"/>
      <c r="AK304" s="5"/>
      <c r="AL304" s="2"/>
      <c r="AM304" s="5"/>
      <c r="AN304" s="5"/>
      <c r="AO304" s="5"/>
      <c r="AP304" s="5"/>
      <c r="AQ304" s="5"/>
      <c r="AR304" s="5"/>
      <c r="AS304" s="5"/>
      <c r="AT304" s="5"/>
      <c r="AU304" s="5"/>
      <c r="AV304" s="5"/>
      <c r="AW304" s="5"/>
      <c r="AX304" s="5"/>
      <c r="AY304" s="5"/>
      <c r="AZ304" s="5"/>
      <c r="BA304" s="5"/>
      <c r="BB304" s="5"/>
      <c r="BC304" s="5"/>
      <c r="BD304" s="5"/>
      <c r="BE304" s="5"/>
      <c r="BF304" s="5"/>
      <c r="BG304" s="5"/>
      <c r="BH304" s="5"/>
    </row>
    <row r="305" ht="12.75" customHeight="1">
      <c r="A305" s="1"/>
      <c r="B305" s="2"/>
      <c r="C305" s="2"/>
      <c r="D305" s="2"/>
      <c r="E305" s="3"/>
      <c r="F305" s="2"/>
      <c r="G305" s="2"/>
      <c r="H305" s="2"/>
      <c r="I305" s="6"/>
      <c r="J305" s="6"/>
      <c r="K305" s="5"/>
      <c r="L305" s="3"/>
      <c r="M305" s="3"/>
      <c r="N305" s="4"/>
      <c r="O305" s="5"/>
      <c r="P305" s="314"/>
      <c r="Q305" s="314"/>
      <c r="R305" s="5"/>
      <c r="S305" s="5"/>
      <c r="T305" s="2"/>
      <c r="U305" s="5"/>
      <c r="V305" s="5"/>
      <c r="W305" s="5"/>
      <c r="X305" s="6"/>
      <c r="Y305" s="5"/>
      <c r="Z305" s="5"/>
      <c r="AA305" s="5"/>
      <c r="AB305" s="5"/>
      <c r="AC305" s="2"/>
      <c r="AD305" s="5"/>
      <c r="AE305" s="5"/>
      <c r="AF305" s="6"/>
      <c r="AG305" s="5"/>
      <c r="AH305" s="5"/>
      <c r="AI305" s="5"/>
      <c r="AJ305" s="5"/>
      <c r="AK305" s="5"/>
      <c r="AL305" s="2"/>
      <c r="AM305" s="5"/>
      <c r="AN305" s="5"/>
      <c r="AO305" s="5"/>
      <c r="AP305" s="5"/>
      <c r="AQ305" s="5"/>
      <c r="AR305" s="5"/>
      <c r="AS305" s="5"/>
      <c r="AT305" s="5"/>
      <c r="AU305" s="5"/>
      <c r="AV305" s="5"/>
      <c r="AW305" s="5"/>
      <c r="AX305" s="5"/>
      <c r="AY305" s="5"/>
      <c r="AZ305" s="5"/>
      <c r="BA305" s="5"/>
      <c r="BB305" s="5"/>
      <c r="BC305" s="5"/>
      <c r="BD305" s="5"/>
      <c r="BE305" s="5"/>
      <c r="BF305" s="5"/>
      <c r="BG305" s="5"/>
      <c r="BH305" s="5"/>
    </row>
    <row r="306" ht="12.75" customHeight="1">
      <c r="A306" s="1"/>
      <c r="B306" s="2"/>
      <c r="C306" s="2"/>
      <c r="D306" s="2"/>
      <c r="E306" s="3"/>
      <c r="F306" s="2"/>
      <c r="G306" s="2"/>
      <c r="H306" s="2"/>
      <c r="I306" s="6"/>
      <c r="J306" s="6"/>
      <c r="K306" s="5"/>
      <c r="L306" s="3"/>
      <c r="M306" s="3"/>
      <c r="N306" s="4"/>
      <c r="O306" s="5"/>
      <c r="P306" s="314"/>
      <c r="Q306" s="314"/>
      <c r="R306" s="5"/>
      <c r="S306" s="5"/>
      <c r="T306" s="2"/>
      <c r="U306" s="5"/>
      <c r="V306" s="5"/>
      <c r="W306" s="5"/>
      <c r="X306" s="6"/>
      <c r="Y306" s="5"/>
      <c r="Z306" s="5"/>
      <c r="AA306" s="5"/>
      <c r="AB306" s="5"/>
      <c r="AC306" s="2"/>
      <c r="AD306" s="5"/>
      <c r="AE306" s="5"/>
      <c r="AF306" s="6"/>
      <c r="AG306" s="5"/>
      <c r="AH306" s="5"/>
      <c r="AI306" s="5"/>
      <c r="AJ306" s="5"/>
      <c r="AK306" s="5"/>
      <c r="AL306" s="2"/>
      <c r="AM306" s="5"/>
      <c r="AN306" s="5"/>
      <c r="AO306" s="5"/>
      <c r="AP306" s="5"/>
      <c r="AQ306" s="5"/>
      <c r="AR306" s="5"/>
      <c r="AS306" s="5"/>
      <c r="AT306" s="5"/>
      <c r="AU306" s="5"/>
      <c r="AV306" s="5"/>
      <c r="AW306" s="5"/>
      <c r="AX306" s="5"/>
      <c r="AY306" s="5"/>
      <c r="AZ306" s="5"/>
      <c r="BA306" s="5"/>
      <c r="BB306" s="5"/>
      <c r="BC306" s="5"/>
      <c r="BD306" s="5"/>
      <c r="BE306" s="5"/>
      <c r="BF306" s="5"/>
      <c r="BG306" s="5"/>
      <c r="BH306" s="5"/>
    </row>
    <row r="307" ht="12.75" customHeight="1">
      <c r="A307" s="1"/>
      <c r="B307" s="2"/>
      <c r="C307" s="2"/>
      <c r="D307" s="2"/>
      <c r="E307" s="3"/>
      <c r="F307" s="2"/>
      <c r="G307" s="2"/>
      <c r="H307" s="2"/>
      <c r="I307" s="6"/>
      <c r="J307" s="6"/>
      <c r="K307" s="5"/>
      <c r="L307" s="3"/>
      <c r="M307" s="3"/>
      <c r="N307" s="4"/>
      <c r="O307" s="5"/>
      <c r="P307" s="314"/>
      <c r="Q307" s="314"/>
      <c r="R307" s="5"/>
      <c r="S307" s="5"/>
      <c r="T307" s="2"/>
      <c r="U307" s="5"/>
      <c r="V307" s="5"/>
      <c r="W307" s="5"/>
      <c r="X307" s="6"/>
      <c r="Y307" s="5"/>
      <c r="Z307" s="5"/>
      <c r="AA307" s="5"/>
      <c r="AB307" s="5"/>
      <c r="AC307" s="2"/>
      <c r="AD307" s="5"/>
      <c r="AE307" s="5"/>
      <c r="AF307" s="6"/>
      <c r="AG307" s="5"/>
      <c r="AH307" s="5"/>
      <c r="AI307" s="5"/>
      <c r="AJ307" s="5"/>
      <c r="AK307" s="5"/>
      <c r="AL307" s="2"/>
      <c r="AM307" s="5"/>
      <c r="AN307" s="5"/>
      <c r="AO307" s="5"/>
      <c r="AP307" s="5"/>
      <c r="AQ307" s="5"/>
      <c r="AR307" s="5"/>
      <c r="AS307" s="5"/>
      <c r="AT307" s="5"/>
      <c r="AU307" s="5"/>
      <c r="AV307" s="5"/>
      <c r="AW307" s="5"/>
      <c r="AX307" s="5"/>
      <c r="AY307" s="5"/>
      <c r="AZ307" s="5"/>
      <c r="BA307" s="5"/>
      <c r="BB307" s="5"/>
      <c r="BC307" s="5"/>
      <c r="BD307" s="5"/>
      <c r="BE307" s="5"/>
      <c r="BF307" s="5"/>
      <c r="BG307" s="5"/>
      <c r="BH307" s="5"/>
    </row>
    <row r="308" ht="12.75" customHeight="1">
      <c r="A308" s="1"/>
      <c r="B308" s="2"/>
      <c r="C308" s="2"/>
      <c r="D308" s="2"/>
      <c r="E308" s="3"/>
      <c r="F308" s="2"/>
      <c r="G308" s="2"/>
      <c r="H308" s="2"/>
      <c r="I308" s="6"/>
      <c r="J308" s="6"/>
      <c r="K308" s="5"/>
      <c r="L308" s="3"/>
      <c r="M308" s="3"/>
      <c r="N308" s="4"/>
      <c r="O308" s="5"/>
      <c r="P308" s="314"/>
      <c r="Q308" s="314"/>
      <c r="R308" s="5"/>
      <c r="S308" s="5"/>
      <c r="T308" s="2"/>
      <c r="U308" s="5"/>
      <c r="V308" s="5"/>
      <c r="W308" s="5"/>
      <c r="X308" s="6"/>
      <c r="Y308" s="5"/>
      <c r="Z308" s="5"/>
      <c r="AA308" s="5"/>
      <c r="AB308" s="5"/>
      <c r="AC308" s="2"/>
      <c r="AD308" s="5"/>
      <c r="AE308" s="5"/>
      <c r="AF308" s="6"/>
      <c r="AG308" s="5"/>
      <c r="AH308" s="5"/>
      <c r="AI308" s="5"/>
      <c r="AJ308" s="5"/>
      <c r="AK308" s="5"/>
      <c r="AL308" s="2"/>
      <c r="AM308" s="5"/>
      <c r="AN308" s="5"/>
      <c r="AO308" s="5"/>
      <c r="AP308" s="5"/>
      <c r="AQ308" s="5"/>
      <c r="AR308" s="5"/>
      <c r="AS308" s="5"/>
      <c r="AT308" s="5"/>
      <c r="AU308" s="5"/>
      <c r="AV308" s="5"/>
      <c r="AW308" s="5"/>
      <c r="AX308" s="5"/>
      <c r="AY308" s="5"/>
      <c r="AZ308" s="5"/>
      <c r="BA308" s="5"/>
      <c r="BB308" s="5"/>
      <c r="BC308" s="5"/>
      <c r="BD308" s="5"/>
      <c r="BE308" s="5"/>
      <c r="BF308" s="5"/>
      <c r="BG308" s="5"/>
      <c r="BH308" s="5"/>
    </row>
    <row r="309" ht="12.75" customHeight="1">
      <c r="A309" s="1"/>
      <c r="B309" s="2"/>
      <c r="C309" s="2"/>
      <c r="D309" s="2"/>
      <c r="E309" s="3"/>
      <c r="F309" s="2"/>
      <c r="G309" s="2"/>
      <c r="H309" s="2"/>
      <c r="I309" s="6"/>
      <c r="J309" s="6"/>
      <c r="K309" s="5"/>
      <c r="L309" s="3"/>
      <c r="M309" s="3"/>
      <c r="N309" s="4"/>
      <c r="O309" s="5"/>
      <c r="P309" s="314"/>
      <c r="Q309" s="314"/>
      <c r="R309" s="5"/>
      <c r="S309" s="5"/>
      <c r="T309" s="2"/>
      <c r="U309" s="5"/>
      <c r="V309" s="5"/>
      <c r="W309" s="5"/>
      <c r="X309" s="6"/>
      <c r="Y309" s="5"/>
      <c r="Z309" s="5"/>
      <c r="AA309" s="5"/>
      <c r="AB309" s="5"/>
      <c r="AC309" s="2"/>
      <c r="AD309" s="5"/>
      <c r="AE309" s="5"/>
      <c r="AF309" s="6"/>
      <c r="AG309" s="5"/>
      <c r="AH309" s="5"/>
      <c r="AI309" s="5"/>
      <c r="AJ309" s="5"/>
      <c r="AK309" s="5"/>
      <c r="AL309" s="2"/>
      <c r="AM309" s="5"/>
      <c r="AN309" s="5"/>
      <c r="AO309" s="5"/>
      <c r="AP309" s="5"/>
      <c r="AQ309" s="5"/>
      <c r="AR309" s="5"/>
      <c r="AS309" s="5"/>
      <c r="AT309" s="5"/>
      <c r="AU309" s="5"/>
      <c r="AV309" s="5"/>
      <c r="AW309" s="5"/>
      <c r="AX309" s="5"/>
      <c r="AY309" s="5"/>
      <c r="AZ309" s="5"/>
      <c r="BA309" s="5"/>
      <c r="BB309" s="5"/>
      <c r="BC309" s="5"/>
      <c r="BD309" s="5"/>
      <c r="BE309" s="5"/>
      <c r="BF309" s="5"/>
      <c r="BG309" s="5"/>
      <c r="BH309" s="5"/>
    </row>
    <row r="310" ht="12.75" customHeight="1">
      <c r="A310" s="1"/>
      <c r="B310" s="2"/>
      <c r="C310" s="2"/>
      <c r="D310" s="2"/>
      <c r="E310" s="3"/>
      <c r="F310" s="2"/>
      <c r="G310" s="2"/>
      <c r="H310" s="2"/>
      <c r="I310" s="6"/>
      <c r="J310" s="6"/>
      <c r="K310" s="5"/>
      <c r="L310" s="3"/>
      <c r="M310" s="3"/>
      <c r="N310" s="4"/>
      <c r="O310" s="5"/>
      <c r="P310" s="314"/>
      <c r="Q310" s="314"/>
      <c r="R310" s="5"/>
      <c r="S310" s="5"/>
      <c r="T310" s="2"/>
      <c r="U310" s="5"/>
      <c r="V310" s="5"/>
      <c r="W310" s="5"/>
      <c r="X310" s="6"/>
      <c r="Y310" s="5"/>
      <c r="Z310" s="5"/>
      <c r="AA310" s="5"/>
      <c r="AB310" s="5"/>
      <c r="AC310" s="2"/>
      <c r="AD310" s="5"/>
      <c r="AE310" s="5"/>
      <c r="AF310" s="6"/>
      <c r="AG310" s="5"/>
      <c r="AH310" s="5"/>
      <c r="AI310" s="5"/>
      <c r="AJ310" s="5"/>
      <c r="AK310" s="5"/>
      <c r="AL310" s="2"/>
      <c r="AM310" s="5"/>
      <c r="AN310" s="5"/>
      <c r="AO310" s="5"/>
      <c r="AP310" s="5"/>
      <c r="AQ310" s="5"/>
      <c r="AR310" s="5"/>
      <c r="AS310" s="5"/>
      <c r="AT310" s="5"/>
      <c r="AU310" s="5"/>
      <c r="AV310" s="5"/>
      <c r="AW310" s="5"/>
      <c r="AX310" s="5"/>
      <c r="AY310" s="5"/>
      <c r="AZ310" s="5"/>
      <c r="BA310" s="5"/>
      <c r="BB310" s="5"/>
      <c r="BC310" s="5"/>
      <c r="BD310" s="5"/>
      <c r="BE310" s="5"/>
      <c r="BF310" s="5"/>
      <c r="BG310" s="5"/>
      <c r="BH310" s="5"/>
    </row>
    <row r="311" ht="12.75" customHeight="1">
      <c r="A311" s="1"/>
      <c r="B311" s="2"/>
      <c r="C311" s="2"/>
      <c r="D311" s="2"/>
      <c r="E311" s="3"/>
      <c r="F311" s="2"/>
      <c r="G311" s="2"/>
      <c r="H311" s="2"/>
      <c r="I311" s="6"/>
      <c r="J311" s="6"/>
      <c r="K311" s="5"/>
      <c r="L311" s="3"/>
      <c r="M311" s="3"/>
      <c r="N311" s="4"/>
      <c r="O311" s="5"/>
      <c r="P311" s="314"/>
      <c r="Q311" s="314"/>
      <c r="R311" s="5"/>
      <c r="S311" s="5"/>
      <c r="T311" s="2"/>
      <c r="U311" s="5"/>
      <c r="V311" s="5"/>
      <c r="W311" s="5"/>
      <c r="X311" s="6"/>
      <c r="Y311" s="5"/>
      <c r="Z311" s="5"/>
      <c r="AA311" s="5"/>
      <c r="AB311" s="5"/>
      <c r="AC311" s="2"/>
      <c r="AD311" s="5"/>
      <c r="AE311" s="5"/>
      <c r="AF311" s="6"/>
      <c r="AG311" s="5"/>
      <c r="AH311" s="5"/>
      <c r="AI311" s="5"/>
      <c r="AJ311" s="5"/>
      <c r="AK311" s="5"/>
      <c r="AL311" s="2"/>
      <c r="AM311" s="5"/>
      <c r="AN311" s="5"/>
      <c r="AO311" s="5"/>
      <c r="AP311" s="5"/>
      <c r="AQ311" s="5"/>
      <c r="AR311" s="5"/>
      <c r="AS311" s="5"/>
      <c r="AT311" s="5"/>
      <c r="AU311" s="5"/>
      <c r="AV311" s="5"/>
      <c r="AW311" s="5"/>
      <c r="AX311" s="5"/>
      <c r="AY311" s="5"/>
      <c r="AZ311" s="5"/>
      <c r="BA311" s="5"/>
      <c r="BB311" s="5"/>
      <c r="BC311" s="5"/>
      <c r="BD311" s="5"/>
      <c r="BE311" s="5"/>
      <c r="BF311" s="5"/>
      <c r="BG311" s="5"/>
      <c r="BH311" s="5"/>
    </row>
    <row r="312" ht="12.75" customHeight="1">
      <c r="A312" s="1"/>
      <c r="B312" s="2"/>
      <c r="C312" s="2"/>
      <c r="D312" s="2"/>
      <c r="E312" s="3"/>
      <c r="F312" s="2"/>
      <c r="G312" s="2"/>
      <c r="H312" s="2"/>
      <c r="I312" s="6"/>
      <c r="J312" s="6"/>
      <c r="K312" s="5"/>
      <c r="L312" s="3"/>
      <c r="M312" s="3"/>
      <c r="N312" s="4"/>
      <c r="O312" s="5"/>
      <c r="P312" s="314"/>
      <c r="Q312" s="314"/>
      <c r="R312" s="5"/>
      <c r="S312" s="5"/>
      <c r="T312" s="2"/>
      <c r="U312" s="5"/>
      <c r="V312" s="5"/>
      <c r="W312" s="5"/>
      <c r="X312" s="6"/>
      <c r="Y312" s="5"/>
      <c r="Z312" s="5"/>
      <c r="AA312" s="5"/>
      <c r="AB312" s="5"/>
      <c r="AC312" s="2"/>
      <c r="AD312" s="5"/>
      <c r="AE312" s="5"/>
      <c r="AF312" s="6"/>
      <c r="AG312" s="5"/>
      <c r="AH312" s="5"/>
      <c r="AI312" s="5"/>
      <c r="AJ312" s="5"/>
      <c r="AK312" s="5"/>
      <c r="AL312" s="2"/>
      <c r="AM312" s="5"/>
      <c r="AN312" s="5"/>
      <c r="AO312" s="5"/>
      <c r="AP312" s="5"/>
      <c r="AQ312" s="5"/>
      <c r="AR312" s="5"/>
      <c r="AS312" s="5"/>
      <c r="AT312" s="5"/>
      <c r="AU312" s="5"/>
      <c r="AV312" s="5"/>
      <c r="AW312" s="5"/>
      <c r="AX312" s="5"/>
      <c r="AY312" s="5"/>
      <c r="AZ312" s="5"/>
      <c r="BA312" s="5"/>
      <c r="BB312" s="5"/>
      <c r="BC312" s="5"/>
      <c r="BD312" s="5"/>
      <c r="BE312" s="5"/>
      <c r="BF312" s="5"/>
      <c r="BG312" s="5"/>
      <c r="BH312" s="5"/>
    </row>
    <row r="313" ht="12.75" customHeight="1">
      <c r="A313" s="1"/>
      <c r="B313" s="2"/>
      <c r="C313" s="2"/>
      <c r="D313" s="2"/>
      <c r="E313" s="3"/>
      <c r="F313" s="2"/>
      <c r="G313" s="2"/>
      <c r="H313" s="2"/>
      <c r="I313" s="6"/>
      <c r="J313" s="6"/>
      <c r="K313" s="5"/>
      <c r="L313" s="3"/>
      <c r="M313" s="3"/>
      <c r="N313" s="4"/>
      <c r="O313" s="5"/>
      <c r="P313" s="314"/>
      <c r="Q313" s="314"/>
      <c r="R313" s="5"/>
      <c r="S313" s="5"/>
      <c r="T313" s="2"/>
      <c r="U313" s="5"/>
      <c r="V313" s="5"/>
      <c r="W313" s="5"/>
      <c r="X313" s="6"/>
      <c r="Y313" s="5"/>
      <c r="Z313" s="5"/>
      <c r="AA313" s="5"/>
      <c r="AB313" s="5"/>
      <c r="AC313" s="2"/>
      <c r="AD313" s="5"/>
      <c r="AE313" s="5"/>
      <c r="AF313" s="6"/>
      <c r="AG313" s="5"/>
      <c r="AH313" s="5"/>
      <c r="AI313" s="5"/>
      <c r="AJ313" s="5"/>
      <c r="AK313" s="5"/>
      <c r="AL313" s="2"/>
      <c r="AM313" s="5"/>
      <c r="AN313" s="5"/>
      <c r="AO313" s="5"/>
      <c r="AP313" s="5"/>
      <c r="AQ313" s="5"/>
      <c r="AR313" s="5"/>
      <c r="AS313" s="5"/>
      <c r="AT313" s="5"/>
      <c r="AU313" s="5"/>
      <c r="AV313" s="5"/>
      <c r="AW313" s="5"/>
      <c r="AX313" s="5"/>
      <c r="AY313" s="5"/>
      <c r="AZ313" s="5"/>
      <c r="BA313" s="5"/>
      <c r="BB313" s="5"/>
      <c r="BC313" s="5"/>
      <c r="BD313" s="5"/>
      <c r="BE313" s="5"/>
      <c r="BF313" s="5"/>
      <c r="BG313" s="5"/>
      <c r="BH313" s="5"/>
    </row>
    <row r="314" ht="12.75" customHeight="1">
      <c r="A314" s="1"/>
      <c r="B314" s="2"/>
      <c r="C314" s="2"/>
      <c r="D314" s="2"/>
      <c r="E314" s="3"/>
      <c r="F314" s="2"/>
      <c r="G314" s="2"/>
      <c r="H314" s="2"/>
      <c r="I314" s="6"/>
      <c r="J314" s="6"/>
      <c r="K314" s="5"/>
      <c r="L314" s="3"/>
      <c r="M314" s="3"/>
      <c r="N314" s="4"/>
      <c r="O314" s="5"/>
      <c r="P314" s="314"/>
      <c r="Q314" s="314"/>
      <c r="R314" s="5"/>
      <c r="S314" s="5"/>
      <c r="T314" s="2"/>
      <c r="U314" s="5"/>
      <c r="V314" s="5"/>
      <c r="W314" s="5"/>
      <c r="X314" s="6"/>
      <c r="Y314" s="5"/>
      <c r="Z314" s="5"/>
      <c r="AA314" s="5"/>
      <c r="AB314" s="5"/>
      <c r="AC314" s="2"/>
      <c r="AD314" s="5"/>
      <c r="AE314" s="5"/>
      <c r="AF314" s="6"/>
      <c r="AG314" s="5"/>
      <c r="AH314" s="5"/>
      <c r="AI314" s="5"/>
      <c r="AJ314" s="5"/>
      <c r="AK314" s="5"/>
      <c r="AL314" s="2"/>
      <c r="AM314" s="5"/>
      <c r="AN314" s="5"/>
      <c r="AO314" s="5"/>
      <c r="AP314" s="5"/>
      <c r="AQ314" s="5"/>
      <c r="AR314" s="5"/>
      <c r="AS314" s="5"/>
      <c r="AT314" s="5"/>
      <c r="AU314" s="5"/>
      <c r="AV314" s="5"/>
      <c r="AW314" s="5"/>
      <c r="AX314" s="5"/>
      <c r="AY314" s="5"/>
      <c r="AZ314" s="5"/>
      <c r="BA314" s="5"/>
      <c r="BB314" s="5"/>
      <c r="BC314" s="5"/>
      <c r="BD314" s="5"/>
      <c r="BE314" s="5"/>
      <c r="BF314" s="5"/>
      <c r="BG314" s="5"/>
      <c r="BH314" s="5"/>
    </row>
    <row r="315" ht="12.75" customHeight="1">
      <c r="A315" s="1"/>
      <c r="B315" s="2"/>
      <c r="C315" s="2"/>
      <c r="D315" s="2"/>
      <c r="E315" s="3"/>
      <c r="F315" s="2"/>
      <c r="G315" s="2"/>
      <c r="H315" s="2"/>
      <c r="I315" s="6"/>
      <c r="J315" s="6"/>
      <c r="K315" s="5"/>
      <c r="L315" s="3"/>
      <c r="M315" s="3"/>
      <c r="N315" s="4"/>
      <c r="O315" s="5"/>
      <c r="P315" s="314"/>
      <c r="Q315" s="314"/>
      <c r="R315" s="5"/>
      <c r="S315" s="5"/>
      <c r="T315" s="2"/>
      <c r="U315" s="5"/>
      <c r="V315" s="5"/>
      <c r="W315" s="5"/>
      <c r="X315" s="6"/>
      <c r="Y315" s="5"/>
      <c r="Z315" s="5"/>
      <c r="AA315" s="5"/>
      <c r="AB315" s="5"/>
      <c r="AC315" s="2"/>
      <c r="AD315" s="5"/>
      <c r="AE315" s="5"/>
      <c r="AF315" s="6"/>
      <c r="AG315" s="5"/>
      <c r="AH315" s="5"/>
      <c r="AI315" s="5"/>
      <c r="AJ315" s="5"/>
      <c r="AK315" s="5"/>
      <c r="AL315" s="2"/>
      <c r="AM315" s="5"/>
      <c r="AN315" s="5"/>
      <c r="AO315" s="5"/>
      <c r="AP315" s="5"/>
      <c r="AQ315" s="5"/>
      <c r="AR315" s="5"/>
      <c r="AS315" s="5"/>
      <c r="AT315" s="5"/>
      <c r="AU315" s="5"/>
      <c r="AV315" s="5"/>
      <c r="AW315" s="5"/>
      <c r="AX315" s="5"/>
      <c r="AY315" s="5"/>
      <c r="AZ315" s="5"/>
      <c r="BA315" s="5"/>
      <c r="BB315" s="5"/>
      <c r="BC315" s="5"/>
      <c r="BD315" s="5"/>
      <c r="BE315" s="5"/>
      <c r="BF315" s="5"/>
      <c r="BG315" s="5"/>
      <c r="BH315" s="5"/>
    </row>
    <row r="316" ht="12.75" customHeight="1">
      <c r="A316" s="1"/>
      <c r="B316" s="2"/>
      <c r="C316" s="2"/>
      <c r="D316" s="2"/>
      <c r="E316" s="3"/>
      <c r="F316" s="2"/>
      <c r="G316" s="2"/>
      <c r="H316" s="2"/>
      <c r="I316" s="6"/>
      <c r="J316" s="6"/>
      <c r="K316" s="5"/>
      <c r="L316" s="3"/>
      <c r="M316" s="3"/>
      <c r="N316" s="4"/>
      <c r="O316" s="5"/>
      <c r="P316" s="314"/>
      <c r="Q316" s="314"/>
      <c r="R316" s="5"/>
      <c r="S316" s="5"/>
      <c r="T316" s="2"/>
      <c r="U316" s="5"/>
      <c r="V316" s="5"/>
      <c r="W316" s="5"/>
      <c r="X316" s="6"/>
      <c r="Y316" s="5"/>
      <c r="Z316" s="5"/>
      <c r="AA316" s="5"/>
      <c r="AB316" s="5"/>
      <c r="AC316" s="2"/>
      <c r="AD316" s="5"/>
      <c r="AE316" s="5"/>
      <c r="AF316" s="6"/>
      <c r="AG316" s="5"/>
      <c r="AH316" s="5"/>
      <c r="AI316" s="5"/>
      <c r="AJ316" s="5"/>
      <c r="AK316" s="5"/>
      <c r="AL316" s="2"/>
      <c r="AM316" s="5"/>
      <c r="AN316" s="5"/>
      <c r="AO316" s="5"/>
      <c r="AP316" s="5"/>
      <c r="AQ316" s="5"/>
      <c r="AR316" s="5"/>
      <c r="AS316" s="5"/>
      <c r="AT316" s="5"/>
      <c r="AU316" s="5"/>
      <c r="AV316" s="5"/>
      <c r="AW316" s="5"/>
      <c r="AX316" s="5"/>
      <c r="AY316" s="5"/>
      <c r="AZ316" s="5"/>
      <c r="BA316" s="5"/>
      <c r="BB316" s="5"/>
      <c r="BC316" s="5"/>
      <c r="BD316" s="5"/>
      <c r="BE316" s="5"/>
      <c r="BF316" s="5"/>
      <c r="BG316" s="5"/>
      <c r="BH316" s="5"/>
    </row>
    <row r="317" ht="12.75" customHeight="1">
      <c r="A317" s="1"/>
      <c r="B317" s="2"/>
      <c r="C317" s="2"/>
      <c r="D317" s="2"/>
      <c r="E317" s="3"/>
      <c r="F317" s="2"/>
      <c r="G317" s="2"/>
      <c r="H317" s="2"/>
      <c r="I317" s="6"/>
      <c r="J317" s="6"/>
      <c r="K317" s="5"/>
      <c r="L317" s="3"/>
      <c r="M317" s="3"/>
      <c r="N317" s="4"/>
      <c r="O317" s="5"/>
      <c r="P317" s="314"/>
      <c r="Q317" s="314"/>
      <c r="R317" s="5"/>
      <c r="S317" s="5"/>
      <c r="T317" s="2"/>
      <c r="U317" s="5"/>
      <c r="V317" s="5"/>
      <c r="W317" s="5"/>
      <c r="X317" s="6"/>
      <c r="Y317" s="5"/>
      <c r="Z317" s="5"/>
      <c r="AA317" s="5"/>
      <c r="AB317" s="5"/>
      <c r="AC317" s="2"/>
      <c r="AD317" s="5"/>
      <c r="AE317" s="5"/>
      <c r="AF317" s="6"/>
      <c r="AG317" s="5"/>
      <c r="AH317" s="5"/>
      <c r="AI317" s="5"/>
      <c r="AJ317" s="5"/>
      <c r="AK317" s="5"/>
      <c r="AL317" s="2"/>
      <c r="AM317" s="5"/>
      <c r="AN317" s="5"/>
      <c r="AO317" s="5"/>
      <c r="AP317" s="5"/>
      <c r="AQ317" s="5"/>
      <c r="AR317" s="5"/>
      <c r="AS317" s="5"/>
      <c r="AT317" s="5"/>
      <c r="AU317" s="5"/>
      <c r="AV317" s="5"/>
      <c r="AW317" s="5"/>
      <c r="AX317" s="5"/>
      <c r="AY317" s="5"/>
      <c r="AZ317" s="5"/>
      <c r="BA317" s="5"/>
      <c r="BB317" s="5"/>
      <c r="BC317" s="5"/>
      <c r="BD317" s="5"/>
      <c r="BE317" s="5"/>
      <c r="BF317" s="5"/>
      <c r="BG317" s="5"/>
      <c r="BH317" s="5"/>
    </row>
    <row r="318" ht="12.75" customHeight="1">
      <c r="A318" s="1"/>
      <c r="B318" s="2"/>
      <c r="C318" s="2"/>
      <c r="D318" s="2"/>
      <c r="E318" s="3"/>
      <c r="F318" s="2"/>
      <c r="G318" s="2"/>
      <c r="H318" s="2"/>
      <c r="I318" s="6"/>
      <c r="J318" s="6"/>
      <c r="K318" s="5"/>
      <c r="L318" s="3"/>
      <c r="M318" s="3"/>
      <c r="N318" s="4"/>
      <c r="O318" s="5"/>
      <c r="P318" s="314"/>
      <c r="Q318" s="314"/>
      <c r="R318" s="5"/>
      <c r="S318" s="5"/>
      <c r="T318" s="2"/>
      <c r="U318" s="5"/>
      <c r="V318" s="5"/>
      <c r="W318" s="5"/>
      <c r="X318" s="6"/>
      <c r="Y318" s="5"/>
      <c r="Z318" s="5"/>
      <c r="AA318" s="5"/>
      <c r="AB318" s="5"/>
      <c r="AC318" s="2"/>
      <c r="AD318" s="5"/>
      <c r="AE318" s="5"/>
      <c r="AF318" s="6"/>
      <c r="AG318" s="5"/>
      <c r="AH318" s="5"/>
      <c r="AI318" s="5"/>
      <c r="AJ318" s="5"/>
      <c r="AK318" s="5"/>
      <c r="AL318" s="2"/>
      <c r="AM318" s="5"/>
      <c r="AN318" s="5"/>
      <c r="AO318" s="5"/>
      <c r="AP318" s="5"/>
      <c r="AQ318" s="5"/>
      <c r="AR318" s="5"/>
      <c r="AS318" s="5"/>
      <c r="AT318" s="5"/>
      <c r="AU318" s="5"/>
      <c r="AV318" s="5"/>
      <c r="AW318" s="5"/>
      <c r="AX318" s="5"/>
      <c r="AY318" s="5"/>
      <c r="AZ318" s="5"/>
      <c r="BA318" s="5"/>
      <c r="BB318" s="5"/>
      <c r="BC318" s="5"/>
      <c r="BD318" s="5"/>
      <c r="BE318" s="5"/>
      <c r="BF318" s="5"/>
      <c r="BG318" s="5"/>
      <c r="BH318" s="5"/>
    </row>
    <row r="319" ht="12.75" customHeight="1">
      <c r="A319" s="1"/>
      <c r="B319" s="2"/>
      <c r="C319" s="2"/>
      <c r="D319" s="2"/>
      <c r="E319" s="3"/>
      <c r="F319" s="2"/>
      <c r="G319" s="2"/>
      <c r="H319" s="2"/>
      <c r="I319" s="6"/>
      <c r="J319" s="6"/>
      <c r="K319" s="5"/>
      <c r="L319" s="3"/>
      <c r="M319" s="3"/>
      <c r="N319" s="4"/>
      <c r="O319" s="5"/>
      <c r="P319" s="314"/>
      <c r="Q319" s="314"/>
      <c r="R319" s="5"/>
      <c r="S319" s="5"/>
      <c r="T319" s="2"/>
      <c r="U319" s="5"/>
      <c r="V319" s="5"/>
      <c r="W319" s="5"/>
      <c r="X319" s="6"/>
      <c r="Y319" s="5"/>
      <c r="Z319" s="5"/>
      <c r="AA319" s="5"/>
      <c r="AB319" s="5"/>
      <c r="AC319" s="2"/>
      <c r="AD319" s="5"/>
      <c r="AE319" s="5"/>
      <c r="AF319" s="6"/>
      <c r="AG319" s="5"/>
      <c r="AH319" s="5"/>
      <c r="AI319" s="5"/>
      <c r="AJ319" s="5"/>
      <c r="AK319" s="5"/>
      <c r="AL319" s="2"/>
      <c r="AM319" s="5"/>
      <c r="AN319" s="5"/>
      <c r="AO319" s="5"/>
      <c r="AP319" s="5"/>
      <c r="AQ319" s="5"/>
      <c r="AR319" s="5"/>
      <c r="AS319" s="5"/>
      <c r="AT319" s="5"/>
      <c r="AU319" s="5"/>
      <c r="AV319" s="5"/>
      <c r="AW319" s="5"/>
      <c r="AX319" s="5"/>
      <c r="AY319" s="5"/>
      <c r="AZ319" s="5"/>
      <c r="BA319" s="5"/>
      <c r="BB319" s="5"/>
      <c r="BC319" s="5"/>
      <c r="BD319" s="5"/>
      <c r="BE319" s="5"/>
      <c r="BF319" s="5"/>
      <c r="BG319" s="5"/>
      <c r="BH319" s="5"/>
    </row>
    <row r="320" ht="12.75" customHeight="1">
      <c r="A320" s="1"/>
      <c r="B320" s="2"/>
      <c r="C320" s="2"/>
      <c r="D320" s="2"/>
      <c r="E320" s="3"/>
      <c r="F320" s="2"/>
      <c r="G320" s="2"/>
      <c r="H320" s="2"/>
      <c r="I320" s="6"/>
      <c r="J320" s="6"/>
      <c r="K320" s="5"/>
      <c r="L320" s="3"/>
      <c r="M320" s="3"/>
      <c r="N320" s="4"/>
      <c r="O320" s="5"/>
      <c r="P320" s="314"/>
      <c r="Q320" s="314"/>
      <c r="R320" s="5"/>
      <c r="S320" s="5"/>
      <c r="T320" s="2"/>
      <c r="U320" s="5"/>
      <c r="V320" s="5"/>
      <c r="W320" s="5"/>
      <c r="X320" s="6"/>
      <c r="Y320" s="5"/>
      <c r="Z320" s="5"/>
      <c r="AA320" s="5"/>
      <c r="AB320" s="5"/>
      <c r="AC320" s="2"/>
      <c r="AD320" s="5"/>
      <c r="AE320" s="5"/>
      <c r="AF320" s="6"/>
      <c r="AG320" s="5"/>
      <c r="AH320" s="5"/>
      <c r="AI320" s="5"/>
      <c r="AJ320" s="5"/>
      <c r="AK320" s="5"/>
      <c r="AL320" s="2"/>
      <c r="AM320" s="5"/>
      <c r="AN320" s="5"/>
      <c r="AO320" s="5"/>
      <c r="AP320" s="5"/>
      <c r="AQ320" s="5"/>
      <c r="AR320" s="5"/>
      <c r="AS320" s="5"/>
      <c r="AT320" s="5"/>
      <c r="AU320" s="5"/>
      <c r="AV320" s="5"/>
      <c r="AW320" s="5"/>
      <c r="AX320" s="5"/>
      <c r="AY320" s="5"/>
      <c r="AZ320" s="5"/>
      <c r="BA320" s="5"/>
      <c r="BB320" s="5"/>
      <c r="BC320" s="5"/>
      <c r="BD320" s="5"/>
      <c r="BE320" s="5"/>
      <c r="BF320" s="5"/>
      <c r="BG320" s="5"/>
      <c r="BH320" s="5"/>
    </row>
    <row r="321" ht="12.75" customHeight="1">
      <c r="A321" s="1"/>
      <c r="B321" s="2"/>
      <c r="C321" s="2"/>
      <c r="D321" s="2"/>
      <c r="E321" s="3"/>
      <c r="F321" s="2"/>
      <c r="G321" s="2"/>
      <c r="H321" s="2"/>
      <c r="I321" s="6"/>
      <c r="J321" s="6"/>
      <c r="K321" s="5"/>
      <c r="L321" s="3"/>
      <c r="M321" s="3"/>
      <c r="N321" s="4"/>
      <c r="O321" s="5"/>
      <c r="P321" s="314"/>
      <c r="Q321" s="314"/>
      <c r="R321" s="5"/>
      <c r="S321" s="5"/>
      <c r="T321" s="2"/>
      <c r="U321" s="5"/>
      <c r="V321" s="5"/>
      <c r="W321" s="5"/>
      <c r="X321" s="6"/>
      <c r="Y321" s="5"/>
      <c r="Z321" s="5"/>
      <c r="AA321" s="5"/>
      <c r="AB321" s="5"/>
      <c r="AC321" s="2"/>
      <c r="AD321" s="5"/>
      <c r="AE321" s="5"/>
      <c r="AF321" s="6"/>
      <c r="AG321" s="5"/>
      <c r="AH321" s="5"/>
      <c r="AI321" s="5"/>
      <c r="AJ321" s="5"/>
      <c r="AK321" s="5"/>
      <c r="AL321" s="2"/>
      <c r="AM321" s="5"/>
      <c r="AN321" s="5"/>
      <c r="AO321" s="5"/>
      <c r="AP321" s="5"/>
      <c r="AQ321" s="5"/>
      <c r="AR321" s="5"/>
      <c r="AS321" s="5"/>
      <c r="AT321" s="5"/>
      <c r="AU321" s="5"/>
      <c r="AV321" s="5"/>
      <c r="AW321" s="5"/>
      <c r="AX321" s="5"/>
      <c r="AY321" s="5"/>
      <c r="AZ321" s="5"/>
      <c r="BA321" s="5"/>
      <c r="BB321" s="5"/>
      <c r="BC321" s="5"/>
      <c r="BD321" s="5"/>
      <c r="BE321" s="5"/>
      <c r="BF321" s="5"/>
      <c r="BG321" s="5"/>
      <c r="BH321" s="5"/>
    </row>
    <row r="322" ht="12.75" customHeight="1">
      <c r="A322" s="1"/>
      <c r="B322" s="2"/>
      <c r="C322" s="2"/>
      <c r="D322" s="2"/>
      <c r="E322" s="3"/>
      <c r="F322" s="2"/>
      <c r="G322" s="2"/>
      <c r="H322" s="2"/>
      <c r="I322" s="6"/>
      <c r="J322" s="6"/>
      <c r="K322" s="5"/>
      <c r="L322" s="3"/>
      <c r="M322" s="3"/>
      <c r="N322" s="4"/>
      <c r="O322" s="5"/>
      <c r="P322" s="314"/>
      <c r="Q322" s="314"/>
      <c r="R322" s="5"/>
      <c r="S322" s="5"/>
      <c r="T322" s="2"/>
      <c r="U322" s="5"/>
      <c r="V322" s="5"/>
      <c r="W322" s="5"/>
      <c r="X322" s="6"/>
      <c r="Y322" s="5"/>
      <c r="Z322" s="5"/>
      <c r="AA322" s="5"/>
      <c r="AB322" s="5"/>
      <c r="AC322" s="2"/>
      <c r="AD322" s="5"/>
      <c r="AE322" s="5"/>
      <c r="AF322" s="6"/>
      <c r="AG322" s="5"/>
      <c r="AH322" s="5"/>
      <c r="AI322" s="5"/>
      <c r="AJ322" s="5"/>
      <c r="AK322" s="5"/>
      <c r="AL322" s="2"/>
      <c r="AM322" s="5"/>
      <c r="AN322" s="5"/>
      <c r="AO322" s="5"/>
      <c r="AP322" s="5"/>
      <c r="AQ322" s="5"/>
      <c r="AR322" s="5"/>
      <c r="AS322" s="5"/>
      <c r="AT322" s="5"/>
      <c r="AU322" s="5"/>
      <c r="AV322" s="5"/>
      <c r="AW322" s="5"/>
      <c r="AX322" s="5"/>
      <c r="AY322" s="5"/>
      <c r="AZ322" s="5"/>
      <c r="BA322" s="5"/>
      <c r="BB322" s="5"/>
      <c r="BC322" s="5"/>
      <c r="BD322" s="5"/>
      <c r="BE322" s="5"/>
      <c r="BF322" s="5"/>
      <c r="BG322" s="5"/>
      <c r="BH322" s="5"/>
    </row>
    <row r="323" ht="12.75" customHeight="1">
      <c r="A323" s="1"/>
      <c r="B323" s="2"/>
      <c r="C323" s="2"/>
      <c r="D323" s="2"/>
      <c r="E323" s="3"/>
      <c r="F323" s="2"/>
      <c r="G323" s="2"/>
      <c r="H323" s="2"/>
      <c r="I323" s="6"/>
      <c r="J323" s="6"/>
      <c r="K323" s="5"/>
      <c r="L323" s="3"/>
      <c r="M323" s="3"/>
      <c r="N323" s="4"/>
      <c r="O323" s="5"/>
      <c r="P323" s="314"/>
      <c r="Q323" s="314"/>
      <c r="R323" s="5"/>
      <c r="S323" s="5"/>
      <c r="T323" s="2"/>
      <c r="U323" s="5"/>
      <c r="V323" s="5"/>
      <c r="W323" s="5"/>
      <c r="X323" s="6"/>
      <c r="Y323" s="5"/>
      <c r="Z323" s="5"/>
      <c r="AA323" s="5"/>
      <c r="AB323" s="5"/>
      <c r="AC323" s="2"/>
      <c r="AD323" s="5"/>
      <c r="AE323" s="5"/>
      <c r="AF323" s="6"/>
      <c r="AG323" s="5"/>
      <c r="AH323" s="5"/>
      <c r="AI323" s="5"/>
      <c r="AJ323" s="5"/>
      <c r="AK323" s="5"/>
      <c r="AL323" s="2"/>
      <c r="AM323" s="5"/>
      <c r="AN323" s="5"/>
      <c r="AO323" s="5"/>
      <c r="AP323" s="5"/>
      <c r="AQ323" s="5"/>
      <c r="AR323" s="5"/>
      <c r="AS323" s="5"/>
      <c r="AT323" s="5"/>
      <c r="AU323" s="5"/>
      <c r="AV323" s="5"/>
      <c r="AW323" s="5"/>
      <c r="AX323" s="5"/>
      <c r="AY323" s="5"/>
      <c r="AZ323" s="5"/>
      <c r="BA323" s="5"/>
      <c r="BB323" s="5"/>
      <c r="BC323" s="5"/>
      <c r="BD323" s="5"/>
      <c r="BE323" s="5"/>
      <c r="BF323" s="5"/>
      <c r="BG323" s="5"/>
      <c r="BH323" s="5"/>
    </row>
    <row r="324" ht="12.75" customHeight="1">
      <c r="A324" s="1"/>
      <c r="B324" s="2"/>
      <c r="C324" s="2"/>
      <c r="D324" s="2"/>
      <c r="E324" s="3"/>
      <c r="F324" s="2"/>
      <c r="G324" s="2"/>
      <c r="H324" s="2"/>
      <c r="I324" s="6"/>
      <c r="J324" s="6"/>
      <c r="K324" s="5"/>
      <c r="L324" s="3"/>
      <c r="M324" s="3"/>
      <c r="N324" s="4"/>
      <c r="O324" s="5"/>
      <c r="P324" s="314"/>
      <c r="Q324" s="314"/>
      <c r="R324" s="5"/>
      <c r="S324" s="5"/>
      <c r="T324" s="2"/>
      <c r="U324" s="5"/>
      <c r="V324" s="5"/>
      <c r="W324" s="5"/>
      <c r="X324" s="6"/>
      <c r="Y324" s="5"/>
      <c r="Z324" s="5"/>
      <c r="AA324" s="5"/>
      <c r="AB324" s="5"/>
      <c r="AC324" s="2"/>
      <c r="AD324" s="5"/>
      <c r="AE324" s="5"/>
      <c r="AF324" s="6"/>
      <c r="AG324" s="5"/>
      <c r="AH324" s="5"/>
      <c r="AI324" s="5"/>
      <c r="AJ324" s="5"/>
      <c r="AK324" s="5"/>
      <c r="AL324" s="2"/>
      <c r="AM324" s="5"/>
      <c r="AN324" s="5"/>
      <c r="AO324" s="5"/>
      <c r="AP324" s="5"/>
      <c r="AQ324" s="5"/>
      <c r="AR324" s="5"/>
      <c r="AS324" s="5"/>
      <c r="AT324" s="5"/>
      <c r="AU324" s="5"/>
      <c r="AV324" s="5"/>
      <c r="AW324" s="5"/>
      <c r="AX324" s="5"/>
      <c r="AY324" s="5"/>
      <c r="AZ324" s="5"/>
      <c r="BA324" s="5"/>
      <c r="BB324" s="5"/>
      <c r="BC324" s="5"/>
      <c r="BD324" s="5"/>
      <c r="BE324" s="5"/>
      <c r="BF324" s="5"/>
      <c r="BG324" s="5"/>
      <c r="BH324" s="5"/>
    </row>
    <row r="325" ht="12.75" customHeight="1">
      <c r="A325" s="1"/>
      <c r="B325" s="2"/>
      <c r="C325" s="2"/>
      <c r="D325" s="2"/>
      <c r="E325" s="3"/>
      <c r="F325" s="2"/>
      <c r="G325" s="2"/>
      <c r="H325" s="2"/>
      <c r="I325" s="6"/>
      <c r="J325" s="6"/>
      <c r="K325" s="5"/>
      <c r="L325" s="3"/>
      <c r="M325" s="3"/>
      <c r="N325" s="4"/>
      <c r="O325" s="5"/>
      <c r="P325" s="314"/>
      <c r="Q325" s="314"/>
      <c r="R325" s="5"/>
      <c r="S325" s="5"/>
      <c r="T325" s="2"/>
      <c r="U325" s="5"/>
      <c r="V325" s="5"/>
      <c r="W325" s="5"/>
      <c r="X325" s="6"/>
      <c r="Y325" s="5"/>
      <c r="Z325" s="5"/>
      <c r="AA325" s="5"/>
      <c r="AB325" s="5"/>
      <c r="AC325" s="2"/>
      <c r="AD325" s="5"/>
      <c r="AE325" s="5"/>
      <c r="AF325" s="6"/>
      <c r="AG325" s="5"/>
      <c r="AH325" s="5"/>
      <c r="AI325" s="5"/>
      <c r="AJ325" s="5"/>
      <c r="AK325" s="5"/>
      <c r="AL325" s="2"/>
      <c r="AM325" s="5"/>
      <c r="AN325" s="5"/>
      <c r="AO325" s="5"/>
      <c r="AP325" s="5"/>
      <c r="AQ325" s="5"/>
      <c r="AR325" s="5"/>
      <c r="AS325" s="5"/>
      <c r="AT325" s="5"/>
      <c r="AU325" s="5"/>
      <c r="AV325" s="5"/>
      <c r="AW325" s="5"/>
      <c r="AX325" s="5"/>
      <c r="AY325" s="5"/>
      <c r="AZ325" s="5"/>
      <c r="BA325" s="5"/>
      <c r="BB325" s="5"/>
      <c r="BC325" s="5"/>
      <c r="BD325" s="5"/>
      <c r="BE325" s="5"/>
      <c r="BF325" s="5"/>
      <c r="BG325" s="5"/>
      <c r="BH325" s="5"/>
    </row>
    <row r="326" ht="12.75" customHeight="1">
      <c r="A326" s="1"/>
      <c r="B326" s="2"/>
      <c r="C326" s="2"/>
      <c r="D326" s="2"/>
      <c r="E326" s="3"/>
      <c r="F326" s="2"/>
      <c r="G326" s="2"/>
      <c r="H326" s="2"/>
      <c r="I326" s="6"/>
      <c r="J326" s="6"/>
      <c r="K326" s="5"/>
      <c r="L326" s="3"/>
      <c r="M326" s="3"/>
      <c r="N326" s="4"/>
      <c r="O326" s="5"/>
      <c r="P326" s="314"/>
      <c r="Q326" s="314"/>
      <c r="R326" s="5"/>
      <c r="S326" s="5"/>
      <c r="T326" s="2"/>
      <c r="U326" s="5"/>
      <c r="V326" s="5"/>
      <c r="W326" s="5"/>
      <c r="X326" s="6"/>
      <c r="Y326" s="5"/>
      <c r="Z326" s="5"/>
      <c r="AA326" s="5"/>
      <c r="AB326" s="5"/>
      <c r="AC326" s="2"/>
      <c r="AD326" s="5"/>
      <c r="AE326" s="5"/>
      <c r="AF326" s="6"/>
      <c r="AG326" s="5"/>
      <c r="AH326" s="5"/>
      <c r="AI326" s="5"/>
      <c r="AJ326" s="5"/>
      <c r="AK326" s="5"/>
      <c r="AL326" s="2"/>
      <c r="AM326" s="5"/>
      <c r="AN326" s="5"/>
      <c r="AO326" s="5"/>
      <c r="AP326" s="5"/>
      <c r="AQ326" s="5"/>
      <c r="AR326" s="5"/>
      <c r="AS326" s="5"/>
      <c r="AT326" s="5"/>
      <c r="AU326" s="5"/>
      <c r="AV326" s="5"/>
      <c r="AW326" s="5"/>
      <c r="AX326" s="5"/>
      <c r="AY326" s="5"/>
      <c r="AZ326" s="5"/>
      <c r="BA326" s="5"/>
      <c r="BB326" s="5"/>
      <c r="BC326" s="5"/>
      <c r="BD326" s="5"/>
      <c r="BE326" s="5"/>
      <c r="BF326" s="5"/>
      <c r="BG326" s="5"/>
      <c r="BH326" s="5"/>
    </row>
    <row r="327" ht="12.75" customHeight="1">
      <c r="A327" s="1"/>
      <c r="B327" s="2"/>
      <c r="C327" s="2"/>
      <c r="D327" s="2"/>
      <c r="E327" s="3"/>
      <c r="F327" s="2"/>
      <c r="G327" s="2"/>
      <c r="H327" s="2"/>
      <c r="I327" s="6"/>
      <c r="J327" s="6"/>
      <c r="K327" s="5"/>
      <c r="L327" s="3"/>
      <c r="M327" s="3"/>
      <c r="N327" s="4"/>
      <c r="O327" s="5"/>
      <c r="P327" s="314"/>
      <c r="Q327" s="314"/>
      <c r="R327" s="5"/>
      <c r="S327" s="5"/>
      <c r="T327" s="2"/>
      <c r="U327" s="5"/>
      <c r="V327" s="5"/>
      <c r="W327" s="5"/>
      <c r="X327" s="6"/>
      <c r="Y327" s="5"/>
      <c r="Z327" s="5"/>
      <c r="AA327" s="5"/>
      <c r="AB327" s="5"/>
      <c r="AC327" s="2"/>
      <c r="AD327" s="5"/>
      <c r="AE327" s="5"/>
      <c r="AF327" s="6"/>
      <c r="AG327" s="5"/>
      <c r="AH327" s="5"/>
      <c r="AI327" s="5"/>
      <c r="AJ327" s="5"/>
      <c r="AK327" s="5"/>
      <c r="AL327" s="2"/>
      <c r="AM327" s="5"/>
      <c r="AN327" s="5"/>
      <c r="AO327" s="5"/>
      <c r="AP327" s="5"/>
      <c r="AQ327" s="5"/>
      <c r="AR327" s="5"/>
      <c r="AS327" s="5"/>
      <c r="AT327" s="5"/>
      <c r="AU327" s="5"/>
      <c r="AV327" s="5"/>
      <c r="AW327" s="5"/>
      <c r="AX327" s="5"/>
      <c r="AY327" s="5"/>
      <c r="AZ327" s="5"/>
      <c r="BA327" s="5"/>
      <c r="BB327" s="5"/>
      <c r="BC327" s="5"/>
      <c r="BD327" s="5"/>
      <c r="BE327" s="5"/>
      <c r="BF327" s="5"/>
      <c r="BG327" s="5"/>
      <c r="BH327" s="5"/>
    </row>
    <row r="328" ht="12.75" customHeight="1">
      <c r="A328" s="1"/>
      <c r="B328" s="2"/>
      <c r="C328" s="2"/>
      <c r="D328" s="2"/>
      <c r="E328" s="3"/>
      <c r="F328" s="2"/>
      <c r="G328" s="2"/>
      <c r="H328" s="2"/>
      <c r="I328" s="6"/>
      <c r="J328" s="6"/>
      <c r="K328" s="5"/>
      <c r="L328" s="3"/>
      <c r="M328" s="3"/>
      <c r="N328" s="4"/>
      <c r="O328" s="5"/>
      <c r="P328" s="314"/>
      <c r="Q328" s="314"/>
      <c r="R328" s="5"/>
      <c r="S328" s="5"/>
      <c r="T328" s="2"/>
      <c r="U328" s="5"/>
      <c r="V328" s="5"/>
      <c r="W328" s="5"/>
      <c r="X328" s="6"/>
      <c r="Y328" s="5"/>
      <c r="Z328" s="5"/>
      <c r="AA328" s="5"/>
      <c r="AB328" s="5"/>
      <c r="AC328" s="2"/>
      <c r="AD328" s="5"/>
      <c r="AE328" s="5"/>
      <c r="AF328" s="6"/>
      <c r="AG328" s="5"/>
      <c r="AH328" s="5"/>
      <c r="AI328" s="5"/>
      <c r="AJ328" s="5"/>
      <c r="AK328" s="5"/>
      <c r="AL328" s="2"/>
      <c r="AM328" s="5"/>
      <c r="AN328" s="5"/>
      <c r="AO328" s="5"/>
      <c r="AP328" s="5"/>
      <c r="AQ328" s="5"/>
      <c r="AR328" s="5"/>
      <c r="AS328" s="5"/>
      <c r="AT328" s="5"/>
      <c r="AU328" s="5"/>
      <c r="AV328" s="5"/>
      <c r="AW328" s="5"/>
      <c r="AX328" s="5"/>
      <c r="AY328" s="5"/>
      <c r="AZ328" s="5"/>
      <c r="BA328" s="5"/>
      <c r="BB328" s="5"/>
      <c r="BC328" s="5"/>
      <c r="BD328" s="5"/>
      <c r="BE328" s="5"/>
      <c r="BF328" s="5"/>
      <c r="BG328" s="5"/>
      <c r="BH328" s="5"/>
    </row>
    <row r="329" ht="12.75" customHeight="1">
      <c r="A329" s="1"/>
      <c r="B329" s="2"/>
      <c r="C329" s="2"/>
      <c r="D329" s="2"/>
      <c r="E329" s="3"/>
      <c r="F329" s="2"/>
      <c r="G329" s="2"/>
      <c r="H329" s="2"/>
      <c r="I329" s="6"/>
      <c r="J329" s="6"/>
      <c r="K329" s="5"/>
      <c r="L329" s="3"/>
      <c r="M329" s="3"/>
      <c r="N329" s="4"/>
      <c r="O329" s="5"/>
      <c r="P329" s="314"/>
      <c r="Q329" s="314"/>
      <c r="R329" s="5"/>
      <c r="S329" s="5"/>
      <c r="T329" s="2"/>
      <c r="U329" s="5"/>
      <c r="V329" s="5"/>
      <c r="W329" s="5"/>
      <c r="X329" s="6"/>
      <c r="Y329" s="5"/>
      <c r="Z329" s="5"/>
      <c r="AA329" s="5"/>
      <c r="AB329" s="5"/>
      <c r="AC329" s="2"/>
      <c r="AD329" s="5"/>
      <c r="AE329" s="5"/>
      <c r="AF329" s="6"/>
      <c r="AG329" s="5"/>
      <c r="AH329" s="5"/>
      <c r="AI329" s="5"/>
      <c r="AJ329" s="5"/>
      <c r="AK329" s="5"/>
      <c r="AL329" s="2"/>
      <c r="AM329" s="5"/>
      <c r="AN329" s="5"/>
      <c r="AO329" s="5"/>
      <c r="AP329" s="5"/>
      <c r="AQ329" s="5"/>
      <c r="AR329" s="5"/>
      <c r="AS329" s="5"/>
      <c r="AT329" s="5"/>
      <c r="AU329" s="5"/>
      <c r="AV329" s="5"/>
      <c r="AW329" s="5"/>
      <c r="AX329" s="5"/>
      <c r="AY329" s="5"/>
      <c r="AZ329" s="5"/>
      <c r="BA329" s="5"/>
      <c r="BB329" s="5"/>
      <c r="BC329" s="5"/>
      <c r="BD329" s="5"/>
      <c r="BE329" s="5"/>
      <c r="BF329" s="5"/>
      <c r="BG329" s="5"/>
      <c r="BH329" s="5"/>
    </row>
    <row r="330" ht="12.75" customHeight="1">
      <c r="A330" s="1"/>
      <c r="B330" s="2"/>
      <c r="C330" s="2"/>
      <c r="D330" s="2"/>
      <c r="E330" s="3"/>
      <c r="F330" s="2"/>
      <c r="G330" s="2"/>
      <c r="H330" s="2"/>
      <c r="I330" s="6"/>
      <c r="J330" s="6"/>
      <c r="K330" s="5"/>
      <c r="L330" s="3"/>
      <c r="M330" s="3"/>
      <c r="N330" s="4"/>
      <c r="O330" s="5"/>
      <c r="P330" s="314"/>
      <c r="Q330" s="314"/>
      <c r="R330" s="5"/>
      <c r="S330" s="5"/>
      <c r="T330" s="2"/>
      <c r="U330" s="5"/>
      <c r="V330" s="5"/>
      <c r="W330" s="5"/>
      <c r="X330" s="6"/>
      <c r="Y330" s="5"/>
      <c r="Z330" s="5"/>
      <c r="AA330" s="5"/>
      <c r="AB330" s="5"/>
      <c r="AC330" s="2"/>
      <c r="AD330" s="5"/>
      <c r="AE330" s="5"/>
      <c r="AF330" s="6"/>
      <c r="AG330" s="5"/>
      <c r="AH330" s="5"/>
      <c r="AI330" s="5"/>
      <c r="AJ330" s="5"/>
      <c r="AK330" s="5"/>
      <c r="AL330" s="2"/>
      <c r="AM330" s="5"/>
      <c r="AN330" s="5"/>
      <c r="AO330" s="5"/>
      <c r="AP330" s="5"/>
      <c r="AQ330" s="5"/>
      <c r="AR330" s="5"/>
      <c r="AS330" s="5"/>
      <c r="AT330" s="5"/>
      <c r="AU330" s="5"/>
      <c r="AV330" s="5"/>
      <c r="AW330" s="5"/>
      <c r="AX330" s="5"/>
      <c r="AY330" s="5"/>
      <c r="AZ330" s="5"/>
      <c r="BA330" s="5"/>
      <c r="BB330" s="5"/>
      <c r="BC330" s="5"/>
      <c r="BD330" s="5"/>
      <c r="BE330" s="5"/>
      <c r="BF330" s="5"/>
      <c r="BG330" s="5"/>
      <c r="BH330" s="5"/>
    </row>
    <row r="331" ht="12.75" customHeight="1">
      <c r="A331" s="1"/>
      <c r="B331" s="2"/>
      <c r="C331" s="2"/>
      <c r="D331" s="2"/>
      <c r="E331" s="3"/>
      <c r="F331" s="2"/>
      <c r="G331" s="2"/>
      <c r="H331" s="2"/>
      <c r="I331" s="6"/>
      <c r="J331" s="6"/>
      <c r="K331" s="5"/>
      <c r="L331" s="3"/>
      <c r="M331" s="3"/>
      <c r="N331" s="4"/>
      <c r="O331" s="5"/>
      <c r="P331" s="314"/>
      <c r="Q331" s="314"/>
      <c r="R331" s="5"/>
      <c r="S331" s="5"/>
      <c r="T331" s="2"/>
      <c r="U331" s="5"/>
      <c r="V331" s="5"/>
      <c r="W331" s="5"/>
      <c r="X331" s="6"/>
      <c r="Y331" s="5"/>
      <c r="Z331" s="5"/>
      <c r="AA331" s="5"/>
      <c r="AB331" s="5"/>
      <c r="AC331" s="2"/>
      <c r="AD331" s="5"/>
      <c r="AE331" s="5"/>
      <c r="AF331" s="6"/>
      <c r="AG331" s="5"/>
      <c r="AH331" s="5"/>
      <c r="AI331" s="5"/>
      <c r="AJ331" s="5"/>
      <c r="AK331" s="5"/>
      <c r="AL331" s="2"/>
      <c r="AM331" s="5"/>
      <c r="AN331" s="5"/>
      <c r="AO331" s="5"/>
      <c r="AP331" s="5"/>
      <c r="AQ331" s="5"/>
      <c r="AR331" s="5"/>
      <c r="AS331" s="5"/>
      <c r="AT331" s="5"/>
      <c r="AU331" s="5"/>
      <c r="AV331" s="5"/>
      <c r="AW331" s="5"/>
      <c r="AX331" s="5"/>
      <c r="AY331" s="5"/>
      <c r="AZ331" s="5"/>
      <c r="BA331" s="5"/>
      <c r="BB331" s="5"/>
      <c r="BC331" s="5"/>
      <c r="BD331" s="5"/>
      <c r="BE331" s="5"/>
      <c r="BF331" s="5"/>
      <c r="BG331" s="5"/>
      <c r="BH331" s="5"/>
    </row>
    <row r="332" ht="12.75" customHeight="1">
      <c r="A332" s="1"/>
      <c r="B332" s="2"/>
      <c r="C332" s="2"/>
      <c r="D332" s="2"/>
      <c r="E332" s="3"/>
      <c r="F332" s="2"/>
      <c r="G332" s="2"/>
      <c r="H332" s="2"/>
      <c r="I332" s="6"/>
      <c r="J332" s="6"/>
      <c r="K332" s="5"/>
      <c r="L332" s="3"/>
      <c r="M332" s="3"/>
      <c r="N332" s="4"/>
      <c r="O332" s="5"/>
      <c r="P332" s="314"/>
      <c r="Q332" s="314"/>
      <c r="R332" s="5"/>
      <c r="S332" s="5"/>
      <c r="T332" s="2"/>
      <c r="U332" s="5"/>
      <c r="V332" s="5"/>
      <c r="W332" s="5"/>
      <c r="X332" s="6"/>
      <c r="Y332" s="5"/>
      <c r="Z332" s="5"/>
      <c r="AA332" s="5"/>
      <c r="AB332" s="5"/>
      <c r="AC332" s="2"/>
      <c r="AD332" s="5"/>
      <c r="AE332" s="5"/>
      <c r="AF332" s="6"/>
      <c r="AG332" s="5"/>
      <c r="AH332" s="5"/>
      <c r="AI332" s="5"/>
      <c r="AJ332" s="5"/>
      <c r="AK332" s="5"/>
      <c r="AL332" s="2"/>
      <c r="AM332" s="5"/>
      <c r="AN332" s="5"/>
      <c r="AO332" s="5"/>
      <c r="AP332" s="5"/>
      <c r="AQ332" s="5"/>
      <c r="AR332" s="5"/>
      <c r="AS332" s="5"/>
      <c r="AT332" s="5"/>
      <c r="AU332" s="5"/>
      <c r="AV332" s="5"/>
      <c r="AW332" s="5"/>
      <c r="AX332" s="5"/>
      <c r="AY332" s="5"/>
      <c r="AZ332" s="5"/>
      <c r="BA332" s="5"/>
      <c r="BB332" s="5"/>
      <c r="BC332" s="5"/>
      <c r="BD332" s="5"/>
      <c r="BE332" s="5"/>
      <c r="BF332" s="5"/>
      <c r="BG332" s="5"/>
      <c r="BH332" s="5"/>
    </row>
    <row r="333" ht="12.75" customHeight="1">
      <c r="A333" s="1"/>
      <c r="B333" s="2"/>
      <c r="C333" s="2"/>
      <c r="D333" s="2"/>
      <c r="E333" s="3"/>
      <c r="F333" s="2"/>
      <c r="G333" s="2"/>
      <c r="H333" s="2"/>
      <c r="I333" s="6"/>
      <c r="J333" s="6"/>
      <c r="K333" s="5"/>
      <c r="L333" s="3"/>
      <c r="M333" s="3"/>
      <c r="N333" s="4"/>
      <c r="O333" s="5"/>
      <c r="P333" s="314"/>
      <c r="Q333" s="314"/>
      <c r="R333" s="5"/>
      <c r="S333" s="5"/>
      <c r="T333" s="2"/>
      <c r="U333" s="5"/>
      <c r="V333" s="5"/>
      <c r="W333" s="5"/>
      <c r="X333" s="6"/>
      <c r="Y333" s="5"/>
      <c r="Z333" s="5"/>
      <c r="AA333" s="5"/>
      <c r="AB333" s="5"/>
      <c r="AC333" s="2"/>
      <c r="AD333" s="5"/>
      <c r="AE333" s="5"/>
      <c r="AF333" s="6"/>
      <c r="AG333" s="5"/>
      <c r="AH333" s="5"/>
      <c r="AI333" s="5"/>
      <c r="AJ333" s="5"/>
      <c r="AK333" s="5"/>
      <c r="AL333" s="2"/>
      <c r="AM333" s="5"/>
      <c r="AN333" s="5"/>
      <c r="AO333" s="5"/>
      <c r="AP333" s="5"/>
      <c r="AQ333" s="5"/>
      <c r="AR333" s="5"/>
      <c r="AS333" s="5"/>
      <c r="AT333" s="5"/>
      <c r="AU333" s="5"/>
      <c r="AV333" s="5"/>
      <c r="AW333" s="5"/>
      <c r="AX333" s="5"/>
      <c r="AY333" s="5"/>
      <c r="AZ333" s="5"/>
      <c r="BA333" s="5"/>
      <c r="BB333" s="5"/>
      <c r="BC333" s="5"/>
      <c r="BD333" s="5"/>
      <c r="BE333" s="5"/>
      <c r="BF333" s="5"/>
      <c r="BG333" s="5"/>
      <c r="BH333" s="5"/>
    </row>
    <row r="334" ht="12.75" customHeight="1">
      <c r="A334" s="1"/>
      <c r="B334" s="2"/>
      <c r="C334" s="2"/>
      <c r="D334" s="2"/>
      <c r="E334" s="3"/>
      <c r="F334" s="2"/>
      <c r="G334" s="2"/>
      <c r="H334" s="2"/>
      <c r="I334" s="6"/>
      <c r="J334" s="6"/>
      <c r="K334" s="5"/>
      <c r="L334" s="3"/>
      <c r="M334" s="3"/>
      <c r="N334" s="4"/>
      <c r="O334" s="5"/>
      <c r="P334" s="314"/>
      <c r="Q334" s="314"/>
      <c r="R334" s="5"/>
      <c r="S334" s="5"/>
      <c r="T334" s="2"/>
      <c r="U334" s="5"/>
      <c r="V334" s="5"/>
      <c r="W334" s="5"/>
      <c r="X334" s="6"/>
      <c r="Y334" s="5"/>
      <c r="Z334" s="5"/>
      <c r="AA334" s="5"/>
      <c r="AB334" s="5"/>
      <c r="AC334" s="2"/>
      <c r="AD334" s="5"/>
      <c r="AE334" s="5"/>
      <c r="AF334" s="6"/>
      <c r="AG334" s="5"/>
      <c r="AH334" s="5"/>
      <c r="AI334" s="5"/>
      <c r="AJ334" s="5"/>
      <c r="AK334" s="5"/>
      <c r="AL334" s="2"/>
      <c r="AM334" s="5"/>
      <c r="AN334" s="5"/>
      <c r="AO334" s="5"/>
      <c r="AP334" s="5"/>
      <c r="AQ334" s="5"/>
      <c r="AR334" s="5"/>
      <c r="AS334" s="5"/>
      <c r="AT334" s="5"/>
      <c r="AU334" s="5"/>
      <c r="AV334" s="5"/>
      <c r="AW334" s="5"/>
      <c r="AX334" s="5"/>
      <c r="AY334" s="5"/>
      <c r="AZ334" s="5"/>
      <c r="BA334" s="5"/>
      <c r="BB334" s="5"/>
      <c r="BC334" s="5"/>
      <c r="BD334" s="5"/>
      <c r="BE334" s="5"/>
      <c r="BF334" s="5"/>
      <c r="BG334" s="5"/>
      <c r="BH334" s="5"/>
    </row>
    <row r="335" ht="12.75" customHeight="1">
      <c r="A335" s="1"/>
      <c r="B335" s="2"/>
      <c r="C335" s="2"/>
      <c r="D335" s="2"/>
      <c r="E335" s="3"/>
      <c r="F335" s="2"/>
      <c r="G335" s="2"/>
      <c r="H335" s="2"/>
      <c r="I335" s="6"/>
      <c r="J335" s="6"/>
      <c r="K335" s="5"/>
      <c r="L335" s="3"/>
      <c r="M335" s="3"/>
      <c r="N335" s="4"/>
      <c r="O335" s="5"/>
      <c r="P335" s="314"/>
      <c r="Q335" s="314"/>
      <c r="R335" s="5"/>
      <c r="S335" s="5"/>
      <c r="T335" s="2"/>
      <c r="U335" s="5"/>
      <c r="V335" s="5"/>
      <c r="W335" s="5"/>
      <c r="X335" s="6"/>
      <c r="Y335" s="5"/>
      <c r="Z335" s="5"/>
      <c r="AA335" s="5"/>
      <c r="AB335" s="5"/>
      <c r="AC335" s="2"/>
      <c r="AD335" s="5"/>
      <c r="AE335" s="5"/>
      <c r="AF335" s="6"/>
      <c r="AG335" s="5"/>
      <c r="AH335" s="5"/>
      <c r="AI335" s="5"/>
      <c r="AJ335" s="5"/>
      <c r="AK335" s="5"/>
      <c r="AL335" s="2"/>
      <c r="AM335" s="5"/>
      <c r="AN335" s="5"/>
      <c r="AO335" s="5"/>
      <c r="AP335" s="5"/>
      <c r="AQ335" s="5"/>
      <c r="AR335" s="5"/>
      <c r="AS335" s="5"/>
      <c r="AT335" s="5"/>
      <c r="AU335" s="5"/>
      <c r="AV335" s="5"/>
      <c r="AW335" s="5"/>
      <c r="AX335" s="5"/>
      <c r="AY335" s="5"/>
      <c r="AZ335" s="5"/>
      <c r="BA335" s="5"/>
      <c r="BB335" s="5"/>
      <c r="BC335" s="5"/>
      <c r="BD335" s="5"/>
      <c r="BE335" s="5"/>
      <c r="BF335" s="5"/>
      <c r="BG335" s="5"/>
      <c r="BH335" s="5"/>
    </row>
    <row r="336" ht="12.75" customHeight="1">
      <c r="A336" s="1"/>
      <c r="B336" s="2"/>
      <c r="C336" s="2"/>
      <c r="D336" s="2"/>
      <c r="E336" s="3"/>
      <c r="F336" s="2"/>
      <c r="G336" s="2"/>
      <c r="H336" s="2"/>
      <c r="I336" s="6"/>
      <c r="J336" s="6"/>
      <c r="K336" s="5"/>
      <c r="L336" s="3"/>
      <c r="M336" s="3"/>
      <c r="N336" s="4"/>
      <c r="O336" s="5"/>
      <c r="P336" s="314"/>
      <c r="Q336" s="314"/>
      <c r="R336" s="5"/>
      <c r="S336" s="5"/>
      <c r="T336" s="2"/>
      <c r="U336" s="5"/>
      <c r="V336" s="5"/>
      <c r="W336" s="5"/>
      <c r="X336" s="6"/>
      <c r="Y336" s="5"/>
      <c r="Z336" s="5"/>
      <c r="AA336" s="5"/>
      <c r="AB336" s="5"/>
      <c r="AC336" s="2"/>
      <c r="AD336" s="5"/>
      <c r="AE336" s="5"/>
      <c r="AF336" s="6"/>
      <c r="AG336" s="5"/>
      <c r="AH336" s="5"/>
      <c r="AI336" s="5"/>
      <c r="AJ336" s="5"/>
      <c r="AK336" s="5"/>
      <c r="AL336" s="2"/>
      <c r="AM336" s="5"/>
      <c r="AN336" s="5"/>
      <c r="AO336" s="5"/>
      <c r="AP336" s="5"/>
      <c r="AQ336" s="5"/>
      <c r="AR336" s="5"/>
      <c r="AS336" s="5"/>
      <c r="AT336" s="5"/>
      <c r="AU336" s="5"/>
      <c r="AV336" s="5"/>
      <c r="AW336" s="5"/>
      <c r="AX336" s="5"/>
      <c r="AY336" s="5"/>
      <c r="AZ336" s="5"/>
      <c r="BA336" s="5"/>
      <c r="BB336" s="5"/>
      <c r="BC336" s="5"/>
      <c r="BD336" s="5"/>
      <c r="BE336" s="5"/>
      <c r="BF336" s="5"/>
      <c r="BG336" s="5"/>
      <c r="BH336" s="5"/>
    </row>
    <row r="337" ht="12.75" customHeight="1">
      <c r="A337" s="1"/>
      <c r="B337" s="2"/>
      <c r="C337" s="2"/>
      <c r="D337" s="2"/>
      <c r="E337" s="3"/>
      <c r="F337" s="2"/>
      <c r="G337" s="2"/>
      <c r="H337" s="2"/>
      <c r="I337" s="6"/>
      <c r="J337" s="6"/>
      <c r="K337" s="5"/>
      <c r="L337" s="3"/>
      <c r="M337" s="3"/>
      <c r="N337" s="4"/>
      <c r="O337" s="5"/>
      <c r="P337" s="314"/>
      <c r="Q337" s="314"/>
      <c r="R337" s="5"/>
      <c r="S337" s="5"/>
      <c r="T337" s="2"/>
      <c r="U337" s="5"/>
      <c r="V337" s="5"/>
      <c r="W337" s="5"/>
      <c r="X337" s="6"/>
      <c r="Y337" s="5"/>
      <c r="Z337" s="5"/>
      <c r="AA337" s="5"/>
      <c r="AB337" s="5"/>
      <c r="AC337" s="2"/>
      <c r="AD337" s="5"/>
      <c r="AE337" s="5"/>
      <c r="AF337" s="6"/>
      <c r="AG337" s="5"/>
      <c r="AH337" s="5"/>
      <c r="AI337" s="5"/>
      <c r="AJ337" s="5"/>
      <c r="AK337" s="5"/>
      <c r="AL337" s="2"/>
      <c r="AM337" s="5"/>
      <c r="AN337" s="5"/>
      <c r="AO337" s="5"/>
      <c r="AP337" s="5"/>
      <c r="AQ337" s="5"/>
      <c r="AR337" s="5"/>
      <c r="AS337" s="5"/>
      <c r="AT337" s="5"/>
      <c r="AU337" s="5"/>
      <c r="AV337" s="5"/>
      <c r="AW337" s="5"/>
      <c r="AX337" s="5"/>
      <c r="AY337" s="5"/>
      <c r="AZ337" s="5"/>
      <c r="BA337" s="5"/>
      <c r="BB337" s="5"/>
      <c r="BC337" s="5"/>
      <c r="BD337" s="5"/>
      <c r="BE337" s="5"/>
      <c r="BF337" s="5"/>
      <c r="BG337" s="5"/>
      <c r="BH337" s="5"/>
    </row>
    <row r="338" ht="12.75" customHeight="1">
      <c r="A338" s="1"/>
      <c r="B338" s="2"/>
      <c r="C338" s="2"/>
      <c r="D338" s="2"/>
      <c r="E338" s="3"/>
      <c r="F338" s="2"/>
      <c r="G338" s="2"/>
      <c r="H338" s="2"/>
      <c r="I338" s="6"/>
      <c r="J338" s="6"/>
      <c r="K338" s="5"/>
      <c r="L338" s="3"/>
      <c r="M338" s="3"/>
      <c r="N338" s="4"/>
      <c r="O338" s="5"/>
      <c r="P338" s="314"/>
      <c r="Q338" s="314"/>
      <c r="R338" s="5"/>
      <c r="S338" s="5"/>
      <c r="T338" s="2"/>
      <c r="U338" s="5"/>
      <c r="V338" s="5"/>
      <c r="W338" s="5"/>
      <c r="X338" s="6"/>
      <c r="Y338" s="5"/>
      <c r="Z338" s="5"/>
      <c r="AA338" s="5"/>
      <c r="AB338" s="5"/>
      <c r="AC338" s="2"/>
      <c r="AD338" s="5"/>
      <c r="AE338" s="5"/>
      <c r="AF338" s="6"/>
      <c r="AG338" s="5"/>
      <c r="AH338" s="5"/>
      <c r="AI338" s="5"/>
      <c r="AJ338" s="5"/>
      <c r="AK338" s="5"/>
      <c r="AL338" s="2"/>
      <c r="AM338" s="5"/>
      <c r="AN338" s="5"/>
      <c r="AO338" s="5"/>
      <c r="AP338" s="5"/>
      <c r="AQ338" s="5"/>
      <c r="AR338" s="5"/>
      <c r="AS338" s="5"/>
      <c r="AT338" s="5"/>
      <c r="AU338" s="5"/>
      <c r="AV338" s="5"/>
      <c r="AW338" s="5"/>
      <c r="AX338" s="5"/>
      <c r="AY338" s="5"/>
      <c r="AZ338" s="5"/>
      <c r="BA338" s="5"/>
      <c r="BB338" s="5"/>
      <c r="BC338" s="5"/>
      <c r="BD338" s="5"/>
      <c r="BE338" s="5"/>
      <c r="BF338" s="5"/>
      <c r="BG338" s="5"/>
      <c r="BH338" s="5"/>
    </row>
    <row r="339" ht="12.75" customHeight="1">
      <c r="A339" s="1"/>
      <c r="B339" s="2"/>
      <c r="C339" s="2"/>
      <c r="D339" s="2"/>
      <c r="E339" s="3"/>
      <c r="F339" s="2"/>
      <c r="G339" s="2"/>
      <c r="H339" s="2"/>
      <c r="I339" s="6"/>
      <c r="J339" s="6"/>
      <c r="K339" s="5"/>
      <c r="L339" s="3"/>
      <c r="M339" s="3"/>
      <c r="N339" s="4"/>
      <c r="O339" s="5"/>
      <c r="P339" s="314"/>
      <c r="Q339" s="314"/>
      <c r="R339" s="5"/>
      <c r="S339" s="5"/>
      <c r="T339" s="2"/>
      <c r="U339" s="5"/>
      <c r="V339" s="5"/>
      <c r="W339" s="5"/>
      <c r="X339" s="6"/>
      <c r="Y339" s="5"/>
      <c r="Z339" s="5"/>
      <c r="AA339" s="5"/>
      <c r="AB339" s="5"/>
      <c r="AC339" s="2"/>
      <c r="AD339" s="5"/>
      <c r="AE339" s="5"/>
      <c r="AF339" s="6"/>
      <c r="AG339" s="5"/>
      <c r="AH339" s="5"/>
      <c r="AI339" s="5"/>
      <c r="AJ339" s="5"/>
      <c r="AK339" s="5"/>
      <c r="AL339" s="2"/>
      <c r="AM339" s="5"/>
      <c r="AN339" s="5"/>
      <c r="AO339" s="5"/>
      <c r="AP339" s="5"/>
      <c r="AQ339" s="5"/>
      <c r="AR339" s="5"/>
      <c r="AS339" s="5"/>
      <c r="AT339" s="5"/>
      <c r="AU339" s="5"/>
      <c r="AV339" s="5"/>
      <c r="AW339" s="5"/>
      <c r="AX339" s="5"/>
      <c r="AY339" s="5"/>
      <c r="AZ339" s="5"/>
      <c r="BA339" s="5"/>
      <c r="BB339" s="5"/>
      <c r="BC339" s="5"/>
      <c r="BD339" s="5"/>
      <c r="BE339" s="5"/>
      <c r="BF339" s="5"/>
      <c r="BG339" s="5"/>
      <c r="BH339" s="5"/>
    </row>
    <row r="340" ht="12.75" customHeight="1">
      <c r="A340" s="1"/>
      <c r="B340" s="2"/>
      <c r="C340" s="2"/>
      <c r="D340" s="2"/>
      <c r="E340" s="3"/>
      <c r="F340" s="2"/>
      <c r="G340" s="2"/>
      <c r="H340" s="2"/>
      <c r="I340" s="6"/>
      <c r="J340" s="6"/>
      <c r="K340" s="5"/>
      <c r="L340" s="3"/>
      <c r="M340" s="3"/>
      <c r="N340" s="4"/>
      <c r="O340" s="5"/>
      <c r="P340" s="314"/>
      <c r="Q340" s="314"/>
      <c r="R340" s="5"/>
      <c r="S340" s="5"/>
      <c r="T340" s="2"/>
      <c r="U340" s="5"/>
      <c r="V340" s="5"/>
      <c r="W340" s="5"/>
      <c r="X340" s="6"/>
      <c r="Y340" s="5"/>
      <c r="Z340" s="5"/>
      <c r="AA340" s="5"/>
      <c r="AB340" s="5"/>
      <c r="AC340" s="2"/>
      <c r="AD340" s="5"/>
      <c r="AE340" s="5"/>
      <c r="AF340" s="6"/>
      <c r="AG340" s="5"/>
      <c r="AH340" s="5"/>
      <c r="AI340" s="5"/>
      <c r="AJ340" s="5"/>
      <c r="AK340" s="5"/>
      <c r="AL340" s="2"/>
      <c r="AM340" s="5"/>
      <c r="AN340" s="5"/>
      <c r="AO340" s="5"/>
      <c r="AP340" s="5"/>
      <c r="AQ340" s="5"/>
      <c r="AR340" s="5"/>
      <c r="AS340" s="5"/>
      <c r="AT340" s="5"/>
      <c r="AU340" s="5"/>
      <c r="AV340" s="5"/>
      <c r="AW340" s="5"/>
      <c r="AX340" s="5"/>
      <c r="AY340" s="5"/>
      <c r="AZ340" s="5"/>
      <c r="BA340" s="5"/>
      <c r="BB340" s="5"/>
      <c r="BC340" s="5"/>
      <c r="BD340" s="5"/>
      <c r="BE340" s="5"/>
      <c r="BF340" s="5"/>
      <c r="BG340" s="5"/>
      <c r="BH340" s="5"/>
    </row>
    <row r="341" ht="12.75" customHeight="1">
      <c r="A341" s="1"/>
      <c r="B341" s="2"/>
      <c r="C341" s="2"/>
      <c r="D341" s="2"/>
      <c r="E341" s="3"/>
      <c r="F341" s="2"/>
      <c r="G341" s="2"/>
      <c r="H341" s="2"/>
      <c r="I341" s="6"/>
      <c r="J341" s="6"/>
      <c r="K341" s="5"/>
      <c r="L341" s="3"/>
      <c r="M341" s="3"/>
      <c r="N341" s="4"/>
      <c r="O341" s="5"/>
      <c r="P341" s="314"/>
      <c r="Q341" s="314"/>
      <c r="R341" s="5"/>
      <c r="S341" s="5"/>
      <c r="T341" s="2"/>
      <c r="U341" s="5"/>
      <c r="V341" s="5"/>
      <c r="W341" s="5"/>
      <c r="X341" s="6"/>
      <c r="Y341" s="5"/>
      <c r="Z341" s="5"/>
      <c r="AA341" s="5"/>
      <c r="AB341" s="5"/>
      <c r="AC341" s="2"/>
      <c r="AD341" s="5"/>
      <c r="AE341" s="5"/>
      <c r="AF341" s="6"/>
      <c r="AG341" s="5"/>
      <c r="AH341" s="5"/>
      <c r="AI341" s="5"/>
      <c r="AJ341" s="5"/>
      <c r="AK341" s="5"/>
      <c r="AL341" s="2"/>
      <c r="AM341" s="5"/>
      <c r="AN341" s="5"/>
      <c r="AO341" s="5"/>
      <c r="AP341" s="5"/>
      <c r="AQ341" s="5"/>
      <c r="AR341" s="5"/>
      <c r="AS341" s="5"/>
      <c r="AT341" s="5"/>
      <c r="AU341" s="5"/>
      <c r="AV341" s="5"/>
      <c r="AW341" s="5"/>
      <c r="AX341" s="5"/>
      <c r="AY341" s="5"/>
      <c r="AZ341" s="5"/>
      <c r="BA341" s="5"/>
      <c r="BB341" s="5"/>
      <c r="BC341" s="5"/>
      <c r="BD341" s="5"/>
      <c r="BE341" s="5"/>
      <c r="BF341" s="5"/>
      <c r="BG341" s="5"/>
      <c r="BH341" s="5"/>
    </row>
    <row r="342" ht="12.75" customHeight="1">
      <c r="A342" s="1"/>
      <c r="B342" s="2"/>
      <c r="C342" s="2"/>
      <c r="D342" s="2"/>
      <c r="E342" s="3"/>
      <c r="F342" s="2"/>
      <c r="G342" s="2"/>
      <c r="H342" s="2"/>
      <c r="I342" s="6"/>
      <c r="J342" s="6"/>
      <c r="K342" s="5"/>
      <c r="L342" s="3"/>
      <c r="M342" s="3"/>
      <c r="N342" s="4"/>
      <c r="O342" s="5"/>
      <c r="P342" s="314"/>
      <c r="Q342" s="314"/>
      <c r="R342" s="5"/>
      <c r="S342" s="5"/>
      <c r="T342" s="2"/>
      <c r="U342" s="5"/>
      <c r="V342" s="5"/>
      <c r="W342" s="5"/>
      <c r="X342" s="6"/>
      <c r="Y342" s="5"/>
      <c r="Z342" s="5"/>
      <c r="AA342" s="5"/>
      <c r="AB342" s="5"/>
      <c r="AC342" s="2"/>
      <c r="AD342" s="5"/>
      <c r="AE342" s="5"/>
      <c r="AF342" s="6"/>
      <c r="AG342" s="5"/>
      <c r="AH342" s="5"/>
      <c r="AI342" s="5"/>
      <c r="AJ342" s="5"/>
      <c r="AK342" s="5"/>
      <c r="AL342" s="2"/>
      <c r="AM342" s="5"/>
      <c r="AN342" s="5"/>
      <c r="AO342" s="5"/>
      <c r="AP342" s="5"/>
      <c r="AQ342" s="5"/>
      <c r="AR342" s="5"/>
      <c r="AS342" s="5"/>
      <c r="AT342" s="5"/>
      <c r="AU342" s="5"/>
      <c r="AV342" s="5"/>
      <c r="AW342" s="5"/>
      <c r="AX342" s="5"/>
      <c r="AY342" s="5"/>
      <c r="AZ342" s="5"/>
      <c r="BA342" s="5"/>
      <c r="BB342" s="5"/>
      <c r="BC342" s="5"/>
      <c r="BD342" s="5"/>
      <c r="BE342" s="5"/>
      <c r="BF342" s="5"/>
      <c r="BG342" s="5"/>
      <c r="BH342" s="5"/>
    </row>
    <row r="343" ht="12.75" customHeight="1">
      <c r="A343" s="1"/>
      <c r="B343" s="2"/>
      <c r="C343" s="2"/>
      <c r="D343" s="2"/>
      <c r="E343" s="3"/>
      <c r="F343" s="2"/>
      <c r="G343" s="2"/>
      <c r="H343" s="2"/>
      <c r="I343" s="6"/>
      <c r="J343" s="6"/>
      <c r="K343" s="5"/>
      <c r="L343" s="3"/>
      <c r="M343" s="3"/>
      <c r="N343" s="4"/>
      <c r="O343" s="5"/>
      <c r="P343" s="314"/>
      <c r="Q343" s="314"/>
      <c r="R343" s="5"/>
      <c r="S343" s="5"/>
      <c r="T343" s="2"/>
      <c r="U343" s="5"/>
      <c r="V343" s="5"/>
      <c r="W343" s="5"/>
      <c r="X343" s="6"/>
      <c r="Y343" s="5"/>
      <c r="Z343" s="5"/>
      <c r="AA343" s="5"/>
      <c r="AB343" s="5"/>
      <c r="AC343" s="2"/>
      <c r="AD343" s="5"/>
      <c r="AE343" s="5"/>
      <c r="AF343" s="6"/>
      <c r="AG343" s="5"/>
      <c r="AH343" s="5"/>
      <c r="AI343" s="5"/>
      <c r="AJ343" s="5"/>
      <c r="AK343" s="5"/>
      <c r="AL343" s="2"/>
      <c r="AM343" s="5"/>
      <c r="AN343" s="5"/>
      <c r="AO343" s="5"/>
      <c r="AP343" s="5"/>
      <c r="AQ343" s="5"/>
      <c r="AR343" s="5"/>
      <c r="AS343" s="5"/>
      <c r="AT343" s="5"/>
      <c r="AU343" s="5"/>
      <c r="AV343" s="5"/>
      <c r="AW343" s="5"/>
      <c r="AX343" s="5"/>
      <c r="AY343" s="5"/>
      <c r="AZ343" s="5"/>
      <c r="BA343" s="5"/>
      <c r="BB343" s="5"/>
      <c r="BC343" s="5"/>
      <c r="BD343" s="5"/>
      <c r="BE343" s="5"/>
      <c r="BF343" s="5"/>
      <c r="BG343" s="5"/>
      <c r="BH343" s="5"/>
    </row>
    <row r="344" ht="12.75" customHeight="1">
      <c r="A344" s="1"/>
      <c r="B344" s="2"/>
      <c r="C344" s="2"/>
      <c r="D344" s="2"/>
      <c r="E344" s="3"/>
      <c r="F344" s="2"/>
      <c r="G344" s="2"/>
      <c r="H344" s="2"/>
      <c r="I344" s="6"/>
      <c r="J344" s="6"/>
      <c r="K344" s="5"/>
      <c r="L344" s="3"/>
      <c r="M344" s="3"/>
      <c r="N344" s="4"/>
      <c r="O344" s="5"/>
      <c r="P344" s="314"/>
      <c r="Q344" s="314"/>
      <c r="R344" s="5"/>
      <c r="S344" s="5"/>
      <c r="T344" s="2"/>
      <c r="U344" s="5"/>
      <c r="V344" s="5"/>
      <c r="W344" s="5"/>
      <c r="X344" s="6"/>
      <c r="Y344" s="5"/>
      <c r="Z344" s="5"/>
      <c r="AA344" s="5"/>
      <c r="AB344" s="5"/>
      <c r="AC344" s="2"/>
      <c r="AD344" s="5"/>
      <c r="AE344" s="5"/>
      <c r="AF344" s="6"/>
      <c r="AG344" s="5"/>
      <c r="AH344" s="5"/>
      <c r="AI344" s="5"/>
      <c r="AJ344" s="5"/>
      <c r="AK344" s="5"/>
      <c r="AL344" s="2"/>
      <c r="AM344" s="5"/>
      <c r="AN344" s="5"/>
      <c r="AO344" s="5"/>
      <c r="AP344" s="5"/>
      <c r="AQ344" s="5"/>
      <c r="AR344" s="5"/>
      <c r="AS344" s="5"/>
      <c r="AT344" s="5"/>
      <c r="AU344" s="5"/>
      <c r="AV344" s="5"/>
      <c r="AW344" s="5"/>
      <c r="AX344" s="5"/>
      <c r="AY344" s="5"/>
      <c r="AZ344" s="5"/>
      <c r="BA344" s="5"/>
      <c r="BB344" s="5"/>
      <c r="BC344" s="5"/>
      <c r="BD344" s="5"/>
      <c r="BE344" s="5"/>
      <c r="BF344" s="5"/>
      <c r="BG344" s="5"/>
      <c r="BH344" s="5"/>
    </row>
    <row r="345" ht="12.75" customHeight="1">
      <c r="A345" s="1"/>
      <c r="B345" s="2"/>
      <c r="C345" s="2"/>
      <c r="D345" s="2"/>
      <c r="E345" s="3"/>
      <c r="F345" s="2"/>
      <c r="G345" s="2"/>
      <c r="H345" s="2"/>
      <c r="I345" s="6"/>
      <c r="J345" s="6"/>
      <c r="K345" s="5"/>
      <c r="L345" s="3"/>
      <c r="M345" s="3"/>
      <c r="N345" s="4"/>
      <c r="O345" s="5"/>
      <c r="P345" s="314"/>
      <c r="Q345" s="314"/>
      <c r="R345" s="5"/>
      <c r="S345" s="5"/>
      <c r="T345" s="2"/>
      <c r="U345" s="5"/>
      <c r="V345" s="5"/>
      <c r="W345" s="5"/>
      <c r="X345" s="6"/>
      <c r="Y345" s="5"/>
      <c r="Z345" s="5"/>
      <c r="AA345" s="5"/>
      <c r="AB345" s="5"/>
      <c r="AC345" s="2"/>
      <c r="AD345" s="5"/>
      <c r="AE345" s="5"/>
      <c r="AF345" s="6"/>
      <c r="AG345" s="5"/>
      <c r="AH345" s="5"/>
      <c r="AI345" s="5"/>
      <c r="AJ345" s="5"/>
      <c r="AK345" s="5"/>
      <c r="AL345" s="2"/>
      <c r="AM345" s="5"/>
      <c r="AN345" s="5"/>
      <c r="AO345" s="5"/>
      <c r="AP345" s="5"/>
      <c r="AQ345" s="5"/>
      <c r="AR345" s="5"/>
      <c r="AS345" s="5"/>
      <c r="AT345" s="5"/>
      <c r="AU345" s="5"/>
      <c r="AV345" s="5"/>
      <c r="AW345" s="5"/>
      <c r="AX345" s="5"/>
      <c r="AY345" s="5"/>
      <c r="AZ345" s="5"/>
      <c r="BA345" s="5"/>
      <c r="BB345" s="5"/>
      <c r="BC345" s="5"/>
      <c r="BD345" s="5"/>
      <c r="BE345" s="5"/>
      <c r="BF345" s="5"/>
      <c r="BG345" s="5"/>
      <c r="BH345" s="5"/>
    </row>
    <row r="346" ht="12.75" customHeight="1">
      <c r="A346" s="1"/>
      <c r="B346" s="2"/>
      <c r="C346" s="2"/>
      <c r="D346" s="2"/>
      <c r="E346" s="3"/>
      <c r="F346" s="2"/>
      <c r="G346" s="2"/>
      <c r="H346" s="2"/>
      <c r="I346" s="6"/>
      <c r="J346" s="6"/>
      <c r="K346" s="5"/>
      <c r="L346" s="3"/>
      <c r="M346" s="3"/>
      <c r="N346" s="4"/>
      <c r="O346" s="5"/>
      <c r="P346" s="314"/>
      <c r="Q346" s="314"/>
      <c r="R346" s="5"/>
      <c r="S346" s="5"/>
      <c r="T346" s="2"/>
      <c r="U346" s="5"/>
      <c r="V346" s="5"/>
      <c r="W346" s="5"/>
      <c r="X346" s="6"/>
      <c r="Y346" s="5"/>
      <c r="Z346" s="5"/>
      <c r="AA346" s="5"/>
      <c r="AB346" s="5"/>
      <c r="AC346" s="2"/>
      <c r="AD346" s="5"/>
      <c r="AE346" s="5"/>
      <c r="AF346" s="6"/>
      <c r="AG346" s="5"/>
      <c r="AH346" s="5"/>
      <c r="AI346" s="5"/>
      <c r="AJ346" s="5"/>
      <c r="AK346" s="5"/>
      <c r="AL346" s="2"/>
      <c r="AM346" s="5"/>
      <c r="AN346" s="5"/>
      <c r="AO346" s="2"/>
      <c r="AP346" s="2"/>
      <c r="AQ346" s="2"/>
      <c r="AR346" s="2"/>
      <c r="AS346" s="2"/>
      <c r="AT346" s="2"/>
      <c r="AU346" s="2"/>
      <c r="AV346" s="2"/>
      <c r="AW346" s="2"/>
      <c r="AX346" s="2"/>
      <c r="AY346" s="2"/>
      <c r="AZ346" s="2"/>
      <c r="BA346" s="2"/>
      <c r="BB346" s="2"/>
      <c r="BC346" s="2"/>
      <c r="BD346" s="2"/>
      <c r="BE346" s="2"/>
      <c r="BF346" s="2"/>
      <c r="BG346" s="2"/>
      <c r="BH346" s="2"/>
    </row>
    <row r="347" ht="12.75" customHeight="1">
      <c r="A347" s="1"/>
      <c r="B347" s="2"/>
      <c r="C347" s="2"/>
      <c r="D347" s="2"/>
      <c r="E347" s="3"/>
      <c r="F347" s="2"/>
      <c r="G347" s="2"/>
      <c r="H347" s="2"/>
      <c r="I347" s="6"/>
      <c r="J347" s="6"/>
      <c r="K347" s="5"/>
      <c r="L347" s="3"/>
      <c r="M347" s="3"/>
      <c r="N347" s="4"/>
      <c r="O347" s="5"/>
      <c r="P347" s="314"/>
      <c r="Q347" s="314"/>
      <c r="R347" s="5"/>
      <c r="S347" s="5"/>
      <c r="T347" s="2"/>
      <c r="U347" s="5"/>
      <c r="V347" s="5"/>
      <c r="W347" s="5"/>
      <c r="X347" s="6"/>
      <c r="Y347" s="5"/>
      <c r="Z347" s="5"/>
      <c r="AA347" s="5"/>
      <c r="AB347" s="5"/>
      <c r="AC347" s="2"/>
      <c r="AD347" s="5"/>
      <c r="AE347" s="5"/>
      <c r="AF347" s="6"/>
      <c r="AG347" s="5"/>
      <c r="AH347" s="5"/>
      <c r="AI347" s="5"/>
      <c r="AJ347" s="5"/>
      <c r="AK347" s="5"/>
      <c r="AL347" s="2"/>
      <c r="AM347" s="5"/>
      <c r="AN347" s="5"/>
      <c r="AO347" s="2"/>
      <c r="AP347" s="2"/>
      <c r="AQ347" s="2"/>
      <c r="AR347" s="2"/>
      <c r="AS347" s="2"/>
      <c r="AT347" s="2"/>
      <c r="AU347" s="2"/>
      <c r="AV347" s="2"/>
      <c r="AW347" s="2"/>
      <c r="AX347" s="2"/>
      <c r="AY347" s="2"/>
      <c r="AZ347" s="2"/>
      <c r="BA347" s="2"/>
      <c r="BB347" s="2"/>
      <c r="BC347" s="2"/>
      <c r="BD347" s="2"/>
      <c r="BE347" s="2"/>
      <c r="BF347" s="2"/>
      <c r="BG347" s="2"/>
      <c r="BH347" s="2"/>
    </row>
    <row r="348" ht="12.75" customHeight="1">
      <c r="A348" s="1"/>
      <c r="B348" s="2"/>
      <c r="C348" s="2"/>
      <c r="D348" s="2"/>
      <c r="E348" s="3"/>
      <c r="F348" s="2"/>
      <c r="G348" s="2"/>
      <c r="H348" s="2"/>
      <c r="I348" s="6"/>
      <c r="J348" s="6"/>
      <c r="K348" s="5"/>
      <c r="L348" s="3"/>
      <c r="M348" s="3"/>
      <c r="N348" s="4"/>
      <c r="O348" s="5"/>
      <c r="P348" s="314"/>
      <c r="Q348" s="314"/>
      <c r="R348" s="5"/>
      <c r="S348" s="5"/>
      <c r="T348" s="2"/>
      <c r="U348" s="5"/>
      <c r="V348" s="5"/>
      <c r="W348" s="5"/>
      <c r="X348" s="6"/>
      <c r="Y348" s="5"/>
      <c r="Z348" s="5"/>
      <c r="AA348" s="5"/>
      <c r="AB348" s="5"/>
      <c r="AC348" s="2"/>
      <c r="AD348" s="5"/>
      <c r="AE348" s="5"/>
      <c r="AF348" s="6"/>
      <c r="AG348" s="5"/>
      <c r="AH348" s="5"/>
      <c r="AI348" s="5"/>
      <c r="AJ348" s="5"/>
      <c r="AK348" s="5"/>
      <c r="AL348" s="2"/>
      <c r="AM348" s="5"/>
      <c r="AN348" s="5"/>
      <c r="AO348" s="2"/>
      <c r="AP348" s="2"/>
      <c r="AQ348" s="2"/>
      <c r="AR348" s="2"/>
      <c r="AS348" s="2"/>
      <c r="AT348" s="2"/>
      <c r="AU348" s="2"/>
      <c r="AV348" s="2"/>
      <c r="AW348" s="2"/>
      <c r="AX348" s="2"/>
      <c r="AY348" s="2"/>
      <c r="AZ348" s="2"/>
      <c r="BA348" s="2"/>
      <c r="BB348" s="2"/>
      <c r="BC348" s="2"/>
      <c r="BD348" s="2"/>
      <c r="BE348" s="2"/>
      <c r="BF348" s="2"/>
      <c r="BG348" s="2"/>
      <c r="BH348" s="2"/>
    </row>
    <row r="349" ht="12.75" customHeight="1">
      <c r="A349" s="1"/>
      <c r="B349" s="2"/>
      <c r="C349" s="2"/>
      <c r="D349" s="2"/>
      <c r="E349" s="3"/>
      <c r="F349" s="2"/>
      <c r="G349" s="2"/>
      <c r="H349" s="2"/>
      <c r="I349" s="6"/>
      <c r="J349" s="6"/>
      <c r="K349" s="5"/>
      <c r="L349" s="3"/>
      <c r="M349" s="3"/>
      <c r="N349" s="4"/>
      <c r="O349" s="5"/>
      <c r="P349" s="314"/>
      <c r="Q349" s="314"/>
      <c r="R349" s="5"/>
      <c r="S349" s="5"/>
      <c r="T349" s="2"/>
      <c r="U349" s="5"/>
      <c r="V349" s="5"/>
      <c r="W349" s="5"/>
      <c r="X349" s="6"/>
      <c r="Y349" s="5"/>
      <c r="Z349" s="5"/>
      <c r="AA349" s="5"/>
      <c r="AB349" s="5"/>
      <c r="AC349" s="2"/>
      <c r="AD349" s="5"/>
      <c r="AE349" s="5"/>
      <c r="AF349" s="6"/>
      <c r="AG349" s="5"/>
      <c r="AH349" s="5"/>
      <c r="AI349" s="5"/>
      <c r="AJ349" s="5"/>
      <c r="AK349" s="5"/>
      <c r="AL349" s="2"/>
      <c r="AM349" s="5"/>
      <c r="AN349" s="5"/>
      <c r="AO349" s="2"/>
      <c r="AP349" s="2"/>
      <c r="AQ349" s="2"/>
      <c r="AR349" s="2"/>
      <c r="AS349" s="2"/>
      <c r="AT349" s="2"/>
      <c r="AU349" s="2"/>
      <c r="AV349" s="2"/>
      <c r="AW349" s="2"/>
      <c r="AX349" s="2"/>
      <c r="AY349" s="2"/>
      <c r="AZ349" s="2"/>
      <c r="BA349" s="2"/>
      <c r="BB349" s="2"/>
      <c r="BC349" s="2"/>
      <c r="BD349" s="2"/>
      <c r="BE349" s="2"/>
      <c r="BF349" s="2"/>
      <c r="BG349" s="2"/>
      <c r="BH349" s="2"/>
    </row>
    <row r="350" ht="12.75" customHeight="1">
      <c r="A350" s="1"/>
      <c r="B350" s="2"/>
      <c r="C350" s="2"/>
      <c r="D350" s="2"/>
      <c r="E350" s="3"/>
      <c r="F350" s="2"/>
      <c r="G350" s="2"/>
      <c r="H350" s="2"/>
      <c r="I350" s="6"/>
      <c r="J350" s="6"/>
      <c r="K350" s="5"/>
      <c r="L350" s="3"/>
      <c r="M350" s="3"/>
      <c r="N350" s="4"/>
      <c r="O350" s="5"/>
      <c r="P350" s="314"/>
      <c r="Q350" s="314"/>
      <c r="R350" s="5"/>
      <c r="S350" s="5"/>
      <c r="T350" s="2"/>
      <c r="U350" s="5"/>
      <c r="V350" s="5"/>
      <c r="W350" s="5"/>
      <c r="X350" s="6"/>
      <c r="Y350" s="5"/>
      <c r="Z350" s="5"/>
      <c r="AA350" s="5"/>
      <c r="AB350" s="5"/>
      <c r="AC350" s="2"/>
      <c r="AD350" s="5"/>
      <c r="AE350" s="5"/>
      <c r="AF350" s="6"/>
      <c r="AG350" s="5"/>
      <c r="AH350" s="5"/>
      <c r="AI350" s="5"/>
      <c r="AJ350" s="5"/>
      <c r="AK350" s="5"/>
      <c r="AL350" s="2"/>
      <c r="AM350" s="5"/>
      <c r="AN350" s="5"/>
      <c r="AO350" s="2"/>
      <c r="AP350" s="2"/>
      <c r="AQ350" s="2"/>
      <c r="AR350" s="2"/>
      <c r="AS350" s="2"/>
      <c r="AT350" s="2"/>
      <c r="AU350" s="2"/>
      <c r="AV350" s="2"/>
      <c r="AW350" s="2"/>
      <c r="AX350" s="2"/>
      <c r="AY350" s="2"/>
      <c r="AZ350" s="2"/>
      <c r="BA350" s="2"/>
      <c r="BB350" s="2"/>
      <c r="BC350" s="2"/>
      <c r="BD350" s="2"/>
      <c r="BE350" s="2"/>
      <c r="BF350" s="2"/>
      <c r="BG350" s="2"/>
      <c r="BH350" s="2"/>
    </row>
    <row r="351" ht="12.75" customHeight="1">
      <c r="A351" s="1"/>
      <c r="B351" s="2"/>
      <c r="C351" s="2"/>
      <c r="D351" s="2"/>
      <c r="E351" s="3"/>
      <c r="F351" s="2"/>
      <c r="G351" s="2"/>
      <c r="H351" s="2"/>
      <c r="I351" s="6"/>
      <c r="J351" s="6"/>
      <c r="K351" s="5"/>
      <c r="L351" s="3"/>
      <c r="M351" s="3"/>
      <c r="N351" s="4"/>
      <c r="O351" s="5"/>
      <c r="P351" s="314"/>
      <c r="Q351" s="314"/>
      <c r="R351" s="5"/>
      <c r="S351" s="5"/>
      <c r="T351" s="2"/>
      <c r="U351" s="5"/>
      <c r="V351" s="5"/>
      <c r="W351" s="5"/>
      <c r="X351" s="6"/>
      <c r="Y351" s="5"/>
      <c r="Z351" s="5"/>
      <c r="AA351" s="5"/>
      <c r="AB351" s="5"/>
      <c r="AC351" s="2"/>
      <c r="AD351" s="5"/>
      <c r="AE351" s="5"/>
      <c r="AF351" s="6"/>
      <c r="AG351" s="5"/>
      <c r="AH351" s="5"/>
      <c r="AI351" s="5"/>
      <c r="AJ351" s="5"/>
      <c r="AK351" s="5"/>
      <c r="AL351" s="2"/>
      <c r="AM351" s="5"/>
      <c r="AN351" s="5"/>
      <c r="AO351" s="2"/>
      <c r="AP351" s="2"/>
      <c r="AQ351" s="2"/>
      <c r="AR351" s="2"/>
      <c r="AS351" s="2"/>
      <c r="AT351" s="2"/>
      <c r="AU351" s="2"/>
      <c r="AV351" s="2"/>
      <c r="AW351" s="2"/>
      <c r="AX351" s="2"/>
      <c r="AY351" s="2"/>
      <c r="AZ351" s="2"/>
      <c r="BA351" s="2"/>
      <c r="BB351" s="2"/>
      <c r="BC351" s="2"/>
      <c r="BD351" s="2"/>
      <c r="BE351" s="2"/>
      <c r="BF351" s="2"/>
      <c r="BG351" s="2"/>
      <c r="BH351" s="2"/>
    </row>
    <row r="352" ht="12.75" customHeight="1">
      <c r="A352" s="1"/>
      <c r="B352" s="2"/>
      <c r="C352" s="2"/>
      <c r="D352" s="2"/>
      <c r="E352" s="3"/>
      <c r="F352" s="2"/>
      <c r="G352" s="2"/>
      <c r="H352" s="2"/>
      <c r="I352" s="6"/>
      <c r="J352" s="6"/>
      <c r="K352" s="5"/>
      <c r="L352" s="3"/>
      <c r="M352" s="3"/>
      <c r="N352" s="4"/>
      <c r="O352" s="5"/>
      <c r="P352" s="314"/>
      <c r="Q352" s="314"/>
      <c r="R352" s="5"/>
      <c r="S352" s="5"/>
      <c r="T352" s="2"/>
      <c r="U352" s="5"/>
      <c r="V352" s="5"/>
      <c r="W352" s="5"/>
      <c r="X352" s="6"/>
      <c r="Y352" s="5"/>
      <c r="Z352" s="5"/>
      <c r="AA352" s="5"/>
      <c r="AB352" s="5"/>
      <c r="AC352" s="2"/>
      <c r="AD352" s="5"/>
      <c r="AE352" s="5"/>
      <c r="AF352" s="6"/>
      <c r="AG352" s="5"/>
      <c r="AH352" s="5"/>
      <c r="AI352" s="5"/>
      <c r="AJ352" s="5"/>
      <c r="AK352" s="5"/>
      <c r="AL352" s="2"/>
      <c r="AM352" s="5"/>
      <c r="AN352" s="5"/>
      <c r="AO352" s="2"/>
      <c r="AP352" s="2"/>
      <c r="AQ352" s="2"/>
      <c r="AR352" s="2"/>
      <c r="AS352" s="2"/>
      <c r="AT352" s="2"/>
      <c r="AU352" s="2"/>
      <c r="AV352" s="2"/>
      <c r="AW352" s="2"/>
      <c r="AX352" s="2"/>
      <c r="AY352" s="2"/>
      <c r="AZ352" s="2"/>
      <c r="BA352" s="2"/>
      <c r="BB352" s="2"/>
      <c r="BC352" s="2"/>
      <c r="BD352" s="2"/>
      <c r="BE352" s="2"/>
      <c r="BF352" s="2"/>
      <c r="BG352" s="2"/>
      <c r="BH352" s="2"/>
    </row>
    <row r="353" ht="12.75" customHeight="1">
      <c r="A353" s="1"/>
      <c r="B353" s="2"/>
      <c r="C353" s="2"/>
      <c r="D353" s="2"/>
      <c r="E353" s="3"/>
      <c r="F353" s="2"/>
      <c r="G353" s="2"/>
      <c r="H353" s="2"/>
      <c r="I353" s="6"/>
      <c r="J353" s="6"/>
      <c r="K353" s="5"/>
      <c r="L353" s="3"/>
      <c r="M353" s="3"/>
      <c r="N353" s="4"/>
      <c r="O353" s="5"/>
      <c r="P353" s="314"/>
      <c r="Q353" s="314"/>
      <c r="R353" s="5"/>
      <c r="S353" s="5"/>
      <c r="T353" s="2"/>
      <c r="U353" s="5"/>
      <c r="V353" s="5"/>
      <c r="W353" s="5"/>
      <c r="X353" s="6"/>
      <c r="Y353" s="5"/>
      <c r="Z353" s="5"/>
      <c r="AA353" s="5"/>
      <c r="AB353" s="5"/>
      <c r="AC353" s="2"/>
      <c r="AD353" s="5"/>
      <c r="AE353" s="5"/>
      <c r="AF353" s="6"/>
      <c r="AG353" s="5"/>
      <c r="AH353" s="5"/>
      <c r="AI353" s="5"/>
      <c r="AJ353" s="5"/>
      <c r="AK353" s="5"/>
      <c r="AL353" s="2"/>
      <c r="AM353" s="5"/>
      <c r="AN353" s="5"/>
      <c r="AO353" s="2"/>
      <c r="AP353" s="2"/>
      <c r="AQ353" s="2"/>
      <c r="AR353" s="2"/>
      <c r="AS353" s="2"/>
      <c r="AT353" s="2"/>
      <c r="AU353" s="2"/>
      <c r="AV353" s="2"/>
      <c r="AW353" s="2"/>
      <c r="AX353" s="2"/>
      <c r="AY353" s="2"/>
      <c r="AZ353" s="2"/>
      <c r="BA353" s="2"/>
      <c r="BB353" s="2"/>
      <c r="BC353" s="2"/>
      <c r="BD353" s="2"/>
      <c r="BE353" s="2"/>
      <c r="BF353" s="2"/>
      <c r="BG353" s="2"/>
      <c r="BH353" s="2"/>
    </row>
    <row r="354" ht="12.75" customHeight="1">
      <c r="A354" s="1"/>
      <c r="B354" s="2"/>
      <c r="C354" s="2"/>
      <c r="D354" s="2"/>
      <c r="E354" s="3"/>
      <c r="F354" s="2"/>
      <c r="G354" s="2"/>
      <c r="H354" s="2"/>
      <c r="I354" s="6"/>
      <c r="J354" s="6"/>
      <c r="K354" s="5"/>
      <c r="L354" s="3"/>
      <c r="M354" s="3"/>
      <c r="N354" s="4"/>
      <c r="O354" s="5"/>
      <c r="P354" s="314"/>
      <c r="Q354" s="314"/>
      <c r="R354" s="5"/>
      <c r="S354" s="5"/>
      <c r="T354" s="2"/>
      <c r="U354" s="5"/>
      <c r="V354" s="5"/>
      <c r="W354" s="5"/>
      <c r="X354" s="6"/>
      <c r="Y354" s="5"/>
      <c r="Z354" s="5"/>
      <c r="AA354" s="5"/>
      <c r="AB354" s="5"/>
      <c r="AC354" s="2"/>
      <c r="AD354" s="5"/>
      <c r="AE354" s="5"/>
      <c r="AF354" s="6"/>
      <c r="AG354" s="5"/>
      <c r="AH354" s="5"/>
      <c r="AI354" s="5"/>
      <c r="AJ354" s="5"/>
      <c r="AK354" s="5"/>
      <c r="AL354" s="2"/>
      <c r="AM354" s="5"/>
      <c r="AN354" s="5"/>
      <c r="AO354" s="2"/>
      <c r="AP354" s="2"/>
      <c r="AQ354" s="2"/>
      <c r="AR354" s="2"/>
      <c r="AS354" s="2"/>
      <c r="AT354" s="2"/>
      <c r="AU354" s="2"/>
      <c r="AV354" s="2"/>
      <c r="AW354" s="2"/>
      <c r="AX354" s="2"/>
      <c r="AY354" s="2"/>
      <c r="AZ354" s="2"/>
      <c r="BA354" s="2"/>
      <c r="BB354" s="2"/>
      <c r="BC354" s="2"/>
      <c r="BD354" s="2"/>
      <c r="BE354" s="2"/>
      <c r="BF354" s="2"/>
      <c r="BG354" s="2"/>
      <c r="BH354" s="2"/>
    </row>
    <row r="355" ht="12.75" customHeight="1">
      <c r="A355" s="1"/>
      <c r="B355" s="2"/>
      <c r="C355" s="2"/>
      <c r="D355" s="2"/>
      <c r="E355" s="3"/>
      <c r="F355" s="2"/>
      <c r="G355" s="2"/>
      <c r="H355" s="2"/>
      <c r="I355" s="6"/>
      <c r="J355" s="6"/>
      <c r="K355" s="5"/>
      <c r="L355" s="3"/>
      <c r="M355" s="3"/>
      <c r="N355" s="4"/>
      <c r="O355" s="5"/>
      <c r="P355" s="314"/>
      <c r="Q355" s="314"/>
      <c r="R355" s="5"/>
      <c r="S355" s="5"/>
      <c r="T355" s="2"/>
      <c r="U355" s="5"/>
      <c r="V355" s="5"/>
      <c r="W355" s="5"/>
      <c r="X355" s="6"/>
      <c r="Y355" s="5"/>
      <c r="Z355" s="5"/>
      <c r="AA355" s="5"/>
      <c r="AB355" s="5"/>
      <c r="AC355" s="2"/>
      <c r="AD355" s="5"/>
      <c r="AE355" s="5"/>
      <c r="AF355" s="6"/>
      <c r="AG355" s="5"/>
      <c r="AH355" s="5"/>
      <c r="AI355" s="5"/>
      <c r="AJ355" s="5"/>
      <c r="AK355" s="5"/>
      <c r="AL355" s="2"/>
      <c r="AM355" s="5"/>
      <c r="AN355" s="5"/>
      <c r="AO355" s="2"/>
      <c r="AP355" s="2"/>
      <c r="AQ355" s="2"/>
      <c r="AR355" s="2"/>
      <c r="AS355" s="2"/>
      <c r="AT355" s="2"/>
      <c r="AU355" s="2"/>
      <c r="AV355" s="2"/>
      <c r="AW355" s="2"/>
      <c r="AX355" s="2"/>
      <c r="AY355" s="2"/>
      <c r="AZ355" s="2"/>
      <c r="BA355" s="2"/>
      <c r="BB355" s="2"/>
      <c r="BC355" s="2"/>
      <c r="BD355" s="2"/>
      <c r="BE355" s="2"/>
      <c r="BF355" s="2"/>
      <c r="BG355" s="2"/>
      <c r="BH355" s="2"/>
    </row>
    <row r="356" ht="12.75" customHeight="1">
      <c r="A356" s="1"/>
      <c r="B356" s="2"/>
      <c r="C356" s="2"/>
      <c r="D356" s="2"/>
      <c r="E356" s="3"/>
      <c r="F356" s="2"/>
      <c r="G356" s="2"/>
      <c r="H356" s="2"/>
      <c r="I356" s="6"/>
      <c r="J356" s="6"/>
      <c r="K356" s="5"/>
      <c r="L356" s="3"/>
      <c r="M356" s="3"/>
      <c r="N356" s="4"/>
      <c r="O356" s="5"/>
      <c r="P356" s="314"/>
      <c r="Q356" s="314"/>
      <c r="R356" s="5"/>
      <c r="S356" s="5"/>
      <c r="T356" s="2"/>
      <c r="U356" s="5"/>
      <c r="V356" s="5"/>
      <c r="W356" s="5"/>
      <c r="X356" s="6"/>
      <c r="Y356" s="5"/>
      <c r="Z356" s="5"/>
      <c r="AA356" s="5"/>
      <c r="AB356" s="5"/>
      <c r="AC356" s="2"/>
      <c r="AD356" s="5"/>
      <c r="AE356" s="5"/>
      <c r="AF356" s="6"/>
      <c r="AG356" s="5"/>
      <c r="AH356" s="5"/>
      <c r="AI356" s="5"/>
      <c r="AJ356" s="5"/>
      <c r="AK356" s="5"/>
      <c r="AL356" s="2"/>
      <c r="AM356" s="5"/>
      <c r="AN356" s="5"/>
      <c r="AO356" s="2"/>
      <c r="AP356" s="2"/>
      <c r="AQ356" s="2"/>
      <c r="AR356" s="2"/>
      <c r="AS356" s="2"/>
      <c r="AT356" s="2"/>
      <c r="AU356" s="2"/>
      <c r="AV356" s="2"/>
      <c r="AW356" s="2"/>
      <c r="AX356" s="2"/>
      <c r="AY356" s="2"/>
      <c r="AZ356" s="2"/>
      <c r="BA356" s="2"/>
      <c r="BB356" s="2"/>
      <c r="BC356" s="2"/>
      <c r="BD356" s="2"/>
      <c r="BE356" s="2"/>
      <c r="BF356" s="2"/>
      <c r="BG356" s="2"/>
      <c r="BH356" s="2"/>
    </row>
    <row r="357" ht="12.75" customHeight="1">
      <c r="A357" s="1"/>
      <c r="B357" s="2"/>
      <c r="C357" s="2"/>
      <c r="D357" s="2"/>
      <c r="E357" s="3"/>
      <c r="F357" s="2"/>
      <c r="G357" s="2"/>
      <c r="H357" s="2"/>
      <c r="I357" s="6"/>
      <c r="J357" s="6"/>
      <c r="K357" s="5"/>
      <c r="L357" s="3"/>
      <c r="M357" s="3"/>
      <c r="N357" s="4"/>
      <c r="O357" s="5"/>
      <c r="P357" s="314"/>
      <c r="Q357" s="314"/>
      <c r="R357" s="5"/>
      <c r="S357" s="5"/>
      <c r="T357" s="2"/>
      <c r="U357" s="5"/>
      <c r="V357" s="5"/>
      <c r="W357" s="5"/>
      <c r="X357" s="6"/>
      <c r="Y357" s="5"/>
      <c r="Z357" s="5"/>
      <c r="AA357" s="5"/>
      <c r="AB357" s="5"/>
      <c r="AC357" s="2"/>
      <c r="AD357" s="5"/>
      <c r="AE357" s="5"/>
      <c r="AF357" s="6"/>
      <c r="AG357" s="5"/>
      <c r="AH357" s="5"/>
      <c r="AI357" s="5"/>
      <c r="AJ357" s="5"/>
      <c r="AK357" s="5"/>
      <c r="AL357" s="2"/>
      <c r="AM357" s="5"/>
      <c r="AN357" s="5"/>
      <c r="AO357" s="2"/>
      <c r="AP357" s="2"/>
      <c r="AQ357" s="2"/>
      <c r="AR357" s="2"/>
      <c r="AS357" s="2"/>
      <c r="AT357" s="2"/>
      <c r="AU357" s="2"/>
      <c r="AV357" s="2"/>
      <c r="AW357" s="2"/>
      <c r="AX357" s="2"/>
      <c r="AY357" s="2"/>
      <c r="AZ357" s="2"/>
      <c r="BA357" s="2"/>
      <c r="BB357" s="2"/>
      <c r="BC357" s="2"/>
      <c r="BD357" s="2"/>
      <c r="BE357" s="2"/>
      <c r="BF357" s="2"/>
      <c r="BG357" s="2"/>
      <c r="BH357" s="2"/>
    </row>
    <row r="358" ht="12.75" customHeight="1">
      <c r="A358" s="1"/>
      <c r="B358" s="2"/>
      <c r="C358" s="2"/>
      <c r="D358" s="2"/>
      <c r="E358" s="3"/>
      <c r="F358" s="2"/>
      <c r="G358" s="2"/>
      <c r="H358" s="2"/>
      <c r="I358" s="6"/>
      <c r="J358" s="6"/>
      <c r="K358" s="5"/>
      <c r="L358" s="3"/>
      <c r="M358" s="3"/>
      <c r="N358" s="4"/>
      <c r="O358" s="5"/>
      <c r="P358" s="314"/>
      <c r="Q358" s="314"/>
      <c r="R358" s="5"/>
      <c r="S358" s="5"/>
      <c r="T358" s="2"/>
      <c r="U358" s="5"/>
      <c r="V358" s="5"/>
      <c r="W358" s="5"/>
      <c r="X358" s="6"/>
      <c r="Y358" s="5"/>
      <c r="Z358" s="5"/>
      <c r="AA358" s="5"/>
      <c r="AB358" s="5"/>
      <c r="AC358" s="2"/>
      <c r="AD358" s="5"/>
      <c r="AE358" s="5"/>
      <c r="AF358" s="6"/>
      <c r="AG358" s="5"/>
      <c r="AH358" s="5"/>
      <c r="AI358" s="5"/>
      <c r="AJ358" s="5"/>
      <c r="AK358" s="5"/>
      <c r="AL358" s="2"/>
      <c r="AM358" s="5"/>
      <c r="AN358" s="5"/>
      <c r="AO358" s="2"/>
      <c r="AP358" s="2"/>
      <c r="AQ358" s="2"/>
      <c r="AR358" s="2"/>
      <c r="AS358" s="2"/>
      <c r="AT358" s="2"/>
      <c r="AU358" s="2"/>
      <c r="AV358" s="2"/>
      <c r="AW358" s="2"/>
      <c r="AX358" s="2"/>
      <c r="AY358" s="2"/>
      <c r="AZ358" s="2"/>
      <c r="BA358" s="2"/>
      <c r="BB358" s="2"/>
      <c r="BC358" s="2"/>
      <c r="BD358" s="2"/>
      <c r="BE358" s="2"/>
      <c r="BF358" s="2"/>
      <c r="BG358" s="2"/>
      <c r="BH358" s="2"/>
    </row>
    <row r="359" ht="12.75" customHeight="1">
      <c r="A359" s="1"/>
      <c r="B359" s="2"/>
      <c r="C359" s="2"/>
      <c r="D359" s="2"/>
      <c r="E359" s="3"/>
      <c r="F359" s="2"/>
      <c r="G359" s="2"/>
      <c r="H359" s="2"/>
      <c r="I359" s="6"/>
      <c r="J359" s="6"/>
      <c r="K359" s="5"/>
      <c r="L359" s="3"/>
      <c r="M359" s="3"/>
      <c r="N359" s="4"/>
      <c r="O359" s="5"/>
      <c r="P359" s="314"/>
      <c r="Q359" s="314"/>
      <c r="R359" s="5"/>
      <c r="S359" s="5"/>
      <c r="T359" s="2"/>
      <c r="U359" s="5"/>
      <c r="V359" s="5"/>
      <c r="W359" s="5"/>
      <c r="X359" s="6"/>
      <c r="Y359" s="5"/>
      <c r="Z359" s="5"/>
      <c r="AA359" s="5"/>
      <c r="AB359" s="5"/>
      <c r="AC359" s="2"/>
      <c r="AD359" s="5"/>
      <c r="AE359" s="5"/>
      <c r="AF359" s="6"/>
      <c r="AG359" s="5"/>
      <c r="AH359" s="5"/>
      <c r="AI359" s="5"/>
      <c r="AJ359" s="5"/>
      <c r="AK359" s="5"/>
      <c r="AL359" s="2"/>
      <c r="AM359" s="5"/>
      <c r="AN359" s="5"/>
      <c r="AO359" s="2"/>
      <c r="AP359" s="2"/>
      <c r="AQ359" s="2"/>
      <c r="AR359" s="2"/>
      <c r="AS359" s="2"/>
      <c r="AT359" s="2"/>
      <c r="AU359" s="2"/>
      <c r="AV359" s="2"/>
      <c r="AW359" s="2"/>
      <c r="AX359" s="2"/>
      <c r="AY359" s="2"/>
      <c r="AZ359" s="2"/>
      <c r="BA359" s="2"/>
      <c r="BB359" s="2"/>
      <c r="BC359" s="2"/>
      <c r="BD359" s="2"/>
      <c r="BE359" s="2"/>
      <c r="BF359" s="2"/>
      <c r="BG359" s="2"/>
      <c r="BH359" s="2"/>
    </row>
    <row r="360" ht="12.75" customHeight="1">
      <c r="A360" s="1"/>
      <c r="B360" s="2"/>
      <c r="C360" s="2"/>
      <c r="D360" s="2"/>
      <c r="E360" s="3"/>
      <c r="F360" s="2"/>
      <c r="G360" s="2"/>
      <c r="H360" s="2"/>
      <c r="I360" s="6"/>
      <c r="J360" s="6"/>
      <c r="K360" s="5"/>
      <c r="L360" s="3"/>
      <c r="M360" s="3"/>
      <c r="N360" s="4"/>
      <c r="O360" s="5"/>
      <c r="P360" s="314"/>
      <c r="Q360" s="314"/>
      <c r="R360" s="5"/>
      <c r="S360" s="5"/>
      <c r="T360" s="2"/>
      <c r="U360" s="5"/>
      <c r="V360" s="5"/>
      <c r="W360" s="5"/>
      <c r="X360" s="6"/>
      <c r="Y360" s="5"/>
      <c r="Z360" s="5"/>
      <c r="AA360" s="5"/>
      <c r="AB360" s="5"/>
      <c r="AC360" s="2"/>
      <c r="AD360" s="5"/>
      <c r="AE360" s="5"/>
      <c r="AF360" s="6"/>
      <c r="AG360" s="5"/>
      <c r="AH360" s="5"/>
      <c r="AI360" s="5"/>
      <c r="AJ360" s="5"/>
      <c r="AK360" s="5"/>
      <c r="AL360" s="2"/>
      <c r="AM360" s="5"/>
      <c r="AN360" s="5"/>
      <c r="AO360" s="2"/>
      <c r="AP360" s="2"/>
      <c r="AQ360" s="2"/>
      <c r="AR360" s="2"/>
      <c r="AS360" s="2"/>
      <c r="AT360" s="2"/>
      <c r="AU360" s="2"/>
      <c r="AV360" s="2"/>
      <c r="AW360" s="2"/>
      <c r="AX360" s="2"/>
      <c r="AY360" s="2"/>
      <c r="AZ360" s="2"/>
      <c r="BA360" s="2"/>
      <c r="BB360" s="2"/>
      <c r="BC360" s="2"/>
      <c r="BD360" s="2"/>
      <c r="BE360" s="2"/>
      <c r="BF360" s="2"/>
      <c r="BG360" s="2"/>
      <c r="BH360" s="2"/>
    </row>
    <row r="361" ht="12.75" customHeight="1">
      <c r="A361" s="1"/>
      <c r="B361" s="2"/>
      <c r="C361" s="2"/>
      <c r="D361" s="2"/>
      <c r="E361" s="3"/>
      <c r="F361" s="2"/>
      <c r="G361" s="2"/>
      <c r="H361" s="2"/>
      <c r="I361" s="6"/>
      <c r="J361" s="6"/>
      <c r="K361" s="5"/>
      <c r="L361" s="3"/>
      <c r="M361" s="3"/>
      <c r="N361" s="4"/>
      <c r="O361" s="5"/>
      <c r="P361" s="314"/>
      <c r="Q361" s="314"/>
      <c r="R361" s="5"/>
      <c r="S361" s="5"/>
      <c r="T361" s="2"/>
      <c r="U361" s="5"/>
      <c r="V361" s="5"/>
      <c r="W361" s="5"/>
      <c r="X361" s="6"/>
      <c r="Y361" s="5"/>
      <c r="Z361" s="5"/>
      <c r="AA361" s="5"/>
      <c r="AB361" s="5"/>
      <c r="AC361" s="2"/>
      <c r="AD361" s="5"/>
      <c r="AE361" s="5"/>
      <c r="AF361" s="6"/>
      <c r="AG361" s="5"/>
      <c r="AH361" s="5"/>
      <c r="AI361" s="5"/>
      <c r="AJ361" s="5"/>
      <c r="AK361" s="5"/>
      <c r="AL361" s="2"/>
      <c r="AM361" s="5"/>
      <c r="AN361" s="5"/>
      <c r="AO361" s="5"/>
      <c r="AP361" s="5"/>
      <c r="AQ361" s="5"/>
      <c r="AR361" s="5"/>
      <c r="AS361" s="5"/>
      <c r="AT361" s="5"/>
      <c r="AU361" s="5"/>
      <c r="AV361" s="5"/>
      <c r="AW361" s="5"/>
      <c r="AX361" s="5"/>
      <c r="AY361" s="5"/>
      <c r="AZ361" s="5"/>
      <c r="BA361" s="5"/>
      <c r="BB361" s="5"/>
      <c r="BC361" s="5"/>
      <c r="BD361" s="5"/>
      <c r="BE361" s="5"/>
      <c r="BF361" s="5"/>
      <c r="BG361" s="5"/>
      <c r="BH361" s="5"/>
    </row>
    <row r="362" ht="12.75" customHeight="1">
      <c r="A362" s="1"/>
      <c r="B362" s="2"/>
      <c r="C362" s="2"/>
      <c r="D362" s="2"/>
      <c r="E362" s="3"/>
      <c r="F362" s="2"/>
      <c r="G362" s="2"/>
      <c r="H362" s="2"/>
      <c r="I362" s="6"/>
      <c r="J362" s="6"/>
      <c r="K362" s="5"/>
      <c r="L362" s="3"/>
      <c r="M362" s="3"/>
      <c r="N362" s="4"/>
      <c r="O362" s="5"/>
      <c r="P362" s="314"/>
      <c r="Q362" s="314"/>
      <c r="R362" s="5"/>
      <c r="S362" s="5"/>
      <c r="T362" s="2"/>
      <c r="U362" s="5"/>
      <c r="V362" s="5"/>
      <c r="W362" s="5"/>
      <c r="X362" s="6"/>
      <c r="Y362" s="5"/>
      <c r="Z362" s="5"/>
      <c r="AA362" s="5"/>
      <c r="AB362" s="5"/>
      <c r="AC362" s="2"/>
      <c r="AD362" s="5"/>
      <c r="AE362" s="5"/>
      <c r="AF362" s="6"/>
      <c r="AG362" s="5"/>
      <c r="AH362" s="5"/>
      <c r="AI362" s="5"/>
      <c r="AJ362" s="5"/>
      <c r="AK362" s="5"/>
      <c r="AL362" s="2"/>
      <c r="AM362" s="5"/>
      <c r="AN362" s="5"/>
      <c r="AO362" s="5"/>
      <c r="AP362" s="5"/>
      <c r="AQ362" s="5"/>
      <c r="AR362" s="5"/>
      <c r="AS362" s="5"/>
      <c r="AT362" s="5"/>
      <c r="AU362" s="5"/>
      <c r="AV362" s="5"/>
      <c r="AW362" s="5"/>
      <c r="AX362" s="5"/>
      <c r="AY362" s="5"/>
      <c r="AZ362" s="5"/>
      <c r="BA362" s="5"/>
      <c r="BB362" s="5"/>
      <c r="BC362" s="5"/>
      <c r="BD362" s="5"/>
      <c r="BE362" s="5"/>
      <c r="BF362" s="5"/>
      <c r="BG362" s="5"/>
      <c r="BH362" s="5"/>
    </row>
    <row r="363" ht="12.75" customHeight="1">
      <c r="A363" s="1"/>
      <c r="B363" s="2"/>
      <c r="C363" s="2"/>
      <c r="D363" s="2"/>
      <c r="E363" s="3"/>
      <c r="F363" s="2"/>
      <c r="G363" s="2"/>
      <c r="H363" s="2"/>
      <c r="I363" s="6"/>
      <c r="J363" s="6"/>
      <c r="K363" s="5"/>
      <c r="L363" s="3"/>
      <c r="M363" s="3"/>
      <c r="N363" s="4"/>
      <c r="O363" s="5"/>
      <c r="P363" s="314"/>
      <c r="Q363" s="314"/>
      <c r="R363" s="5"/>
      <c r="S363" s="5"/>
      <c r="T363" s="2"/>
      <c r="U363" s="5"/>
      <c r="V363" s="5"/>
      <c r="W363" s="5"/>
      <c r="X363" s="6"/>
      <c r="Y363" s="5"/>
      <c r="Z363" s="5"/>
      <c r="AA363" s="5"/>
      <c r="AB363" s="5"/>
      <c r="AC363" s="2"/>
      <c r="AD363" s="5"/>
      <c r="AE363" s="5"/>
      <c r="AF363" s="6"/>
      <c r="AG363" s="5"/>
      <c r="AH363" s="5"/>
      <c r="AI363" s="5"/>
      <c r="AJ363" s="5"/>
      <c r="AK363" s="5"/>
      <c r="AL363" s="2"/>
      <c r="AM363" s="5"/>
      <c r="AN363" s="5"/>
      <c r="AO363" s="5"/>
      <c r="AP363" s="5"/>
      <c r="AQ363" s="5"/>
      <c r="AR363" s="5"/>
      <c r="AS363" s="5"/>
      <c r="AT363" s="5"/>
      <c r="AU363" s="5"/>
      <c r="AV363" s="5"/>
      <c r="AW363" s="5"/>
      <c r="AX363" s="5"/>
      <c r="AY363" s="5"/>
      <c r="AZ363" s="5"/>
      <c r="BA363" s="5"/>
      <c r="BB363" s="5"/>
      <c r="BC363" s="5"/>
      <c r="BD363" s="5"/>
      <c r="BE363" s="5"/>
      <c r="BF363" s="5"/>
      <c r="BG363" s="5"/>
      <c r="BH363" s="5"/>
    </row>
    <row r="364" ht="12.75" customHeight="1">
      <c r="A364" s="1"/>
      <c r="B364" s="2"/>
      <c r="C364" s="2"/>
      <c r="D364" s="2"/>
      <c r="E364" s="3"/>
      <c r="F364" s="2"/>
      <c r="G364" s="2"/>
      <c r="H364" s="2"/>
      <c r="I364" s="6"/>
      <c r="J364" s="6"/>
      <c r="K364" s="5"/>
      <c r="L364" s="3"/>
      <c r="M364" s="3"/>
      <c r="N364" s="4"/>
      <c r="O364" s="5"/>
      <c r="P364" s="314"/>
      <c r="Q364" s="314"/>
      <c r="R364" s="5"/>
      <c r="S364" s="5"/>
      <c r="T364" s="2"/>
      <c r="U364" s="5"/>
      <c r="V364" s="5"/>
      <c r="W364" s="5"/>
      <c r="X364" s="6"/>
      <c r="Y364" s="5"/>
      <c r="Z364" s="5"/>
      <c r="AA364" s="5"/>
      <c r="AB364" s="5"/>
      <c r="AC364" s="2"/>
      <c r="AD364" s="5"/>
      <c r="AE364" s="5"/>
      <c r="AF364" s="6"/>
      <c r="AG364" s="5"/>
      <c r="AH364" s="5"/>
      <c r="AI364" s="5"/>
      <c r="AJ364" s="5"/>
      <c r="AK364" s="5"/>
      <c r="AL364" s="2"/>
      <c r="AM364" s="5"/>
      <c r="AN364" s="5"/>
      <c r="AO364" s="5"/>
      <c r="AP364" s="5"/>
      <c r="AQ364" s="5"/>
      <c r="AR364" s="5"/>
      <c r="AS364" s="5"/>
      <c r="AT364" s="5"/>
      <c r="AU364" s="5"/>
      <c r="AV364" s="5"/>
      <c r="AW364" s="5"/>
      <c r="AX364" s="5"/>
      <c r="AY364" s="5"/>
      <c r="AZ364" s="5"/>
      <c r="BA364" s="5"/>
      <c r="BB364" s="5"/>
      <c r="BC364" s="5"/>
      <c r="BD364" s="5"/>
      <c r="BE364" s="5"/>
      <c r="BF364" s="5"/>
      <c r="BG364" s="5"/>
      <c r="BH364" s="5"/>
    </row>
    <row r="365" ht="12.75" customHeight="1">
      <c r="A365" s="1"/>
      <c r="B365" s="2"/>
      <c r="C365" s="2"/>
      <c r="D365" s="2"/>
      <c r="E365" s="3"/>
      <c r="F365" s="2"/>
      <c r="G365" s="2"/>
      <c r="H365" s="2"/>
      <c r="I365" s="6"/>
      <c r="J365" s="6"/>
      <c r="K365" s="5"/>
      <c r="L365" s="3"/>
      <c r="M365" s="3"/>
      <c r="N365" s="4"/>
      <c r="O365" s="5"/>
      <c r="P365" s="314"/>
      <c r="Q365" s="314"/>
      <c r="R365" s="5"/>
      <c r="S365" s="5"/>
      <c r="T365" s="2"/>
      <c r="U365" s="5"/>
      <c r="V365" s="5"/>
      <c r="W365" s="5"/>
      <c r="X365" s="6"/>
      <c r="Y365" s="5"/>
      <c r="Z365" s="5"/>
      <c r="AA365" s="5"/>
      <c r="AB365" s="5"/>
      <c r="AC365" s="2"/>
      <c r="AD365" s="5"/>
      <c r="AE365" s="5"/>
      <c r="AF365" s="6"/>
      <c r="AG365" s="5"/>
      <c r="AH365" s="5"/>
      <c r="AI365" s="5"/>
      <c r="AJ365" s="5"/>
      <c r="AK365" s="5"/>
      <c r="AL365" s="2"/>
      <c r="AM365" s="5"/>
      <c r="AN365" s="5"/>
      <c r="AO365" s="5"/>
      <c r="AP365" s="5"/>
      <c r="AQ365" s="5"/>
      <c r="AR365" s="5"/>
      <c r="AS365" s="5"/>
      <c r="AT365" s="5"/>
      <c r="AU365" s="5"/>
      <c r="AV365" s="5"/>
      <c r="AW365" s="5"/>
      <c r="AX365" s="5"/>
      <c r="AY365" s="5"/>
      <c r="AZ365" s="5"/>
      <c r="BA365" s="5"/>
      <c r="BB365" s="5"/>
      <c r="BC365" s="5"/>
      <c r="BD365" s="5"/>
      <c r="BE365" s="5"/>
      <c r="BF365" s="5"/>
      <c r="BG365" s="5"/>
      <c r="BH365" s="5"/>
    </row>
    <row r="366" ht="12.75" customHeight="1">
      <c r="A366" s="1"/>
      <c r="B366" s="2"/>
      <c r="C366" s="2"/>
      <c r="D366" s="2"/>
      <c r="E366" s="3"/>
      <c r="F366" s="2"/>
      <c r="G366" s="2"/>
      <c r="H366" s="2"/>
      <c r="I366" s="6"/>
      <c r="J366" s="6"/>
      <c r="K366" s="5"/>
      <c r="L366" s="3"/>
      <c r="M366" s="3"/>
      <c r="N366" s="4"/>
      <c r="O366" s="5"/>
      <c r="P366" s="314"/>
      <c r="Q366" s="314"/>
      <c r="R366" s="5"/>
      <c r="S366" s="5"/>
      <c r="T366" s="2"/>
      <c r="U366" s="5"/>
      <c r="V366" s="5"/>
      <c r="W366" s="5"/>
      <c r="X366" s="6"/>
      <c r="Y366" s="5"/>
      <c r="Z366" s="5"/>
      <c r="AA366" s="5"/>
      <c r="AB366" s="5"/>
      <c r="AC366" s="2"/>
      <c r="AD366" s="5"/>
      <c r="AE366" s="5"/>
      <c r="AF366" s="6"/>
      <c r="AG366" s="5"/>
      <c r="AH366" s="5"/>
      <c r="AI366" s="5"/>
      <c r="AJ366" s="5"/>
      <c r="AK366" s="5"/>
      <c r="AL366" s="2"/>
      <c r="AM366" s="5"/>
      <c r="AN366" s="5"/>
      <c r="AO366" s="5"/>
      <c r="AP366" s="5"/>
      <c r="AQ366" s="5"/>
      <c r="AR366" s="5"/>
      <c r="AS366" s="5"/>
      <c r="AT366" s="5"/>
      <c r="AU366" s="5"/>
      <c r="AV366" s="5"/>
      <c r="AW366" s="5"/>
      <c r="AX366" s="5"/>
      <c r="AY366" s="5"/>
      <c r="AZ366" s="5"/>
      <c r="BA366" s="5"/>
      <c r="BB366" s="5"/>
      <c r="BC366" s="5"/>
      <c r="BD366" s="5"/>
      <c r="BE366" s="5"/>
      <c r="BF366" s="5"/>
      <c r="BG366" s="5"/>
      <c r="BH366" s="5"/>
    </row>
    <row r="367" ht="12.75" customHeight="1">
      <c r="A367" s="1"/>
      <c r="B367" s="2"/>
      <c r="C367" s="2"/>
      <c r="D367" s="2"/>
      <c r="E367" s="3"/>
      <c r="F367" s="2"/>
      <c r="G367" s="2"/>
      <c r="H367" s="2"/>
      <c r="I367" s="6"/>
      <c r="J367" s="6"/>
      <c r="K367" s="5"/>
      <c r="L367" s="3"/>
      <c r="M367" s="3"/>
      <c r="N367" s="4"/>
      <c r="O367" s="5"/>
      <c r="P367" s="314"/>
      <c r="Q367" s="314"/>
      <c r="R367" s="5"/>
      <c r="S367" s="5"/>
      <c r="T367" s="2"/>
      <c r="U367" s="5"/>
      <c r="V367" s="5"/>
      <c r="W367" s="5"/>
      <c r="X367" s="6"/>
      <c r="Y367" s="5"/>
      <c r="Z367" s="5"/>
      <c r="AA367" s="5"/>
      <c r="AB367" s="5"/>
      <c r="AC367" s="2"/>
      <c r="AD367" s="5"/>
      <c r="AE367" s="5"/>
      <c r="AF367" s="6"/>
      <c r="AG367" s="5"/>
      <c r="AH367" s="5"/>
      <c r="AI367" s="5"/>
      <c r="AJ367" s="5"/>
      <c r="AK367" s="5"/>
      <c r="AL367" s="2"/>
      <c r="AM367" s="5"/>
      <c r="AN367" s="5"/>
      <c r="AO367" s="5"/>
      <c r="AP367" s="5"/>
      <c r="AQ367" s="5"/>
      <c r="AR367" s="5"/>
      <c r="AS367" s="5"/>
      <c r="AT367" s="5"/>
      <c r="AU367" s="5"/>
      <c r="AV367" s="5"/>
      <c r="AW367" s="5"/>
      <c r="AX367" s="5"/>
      <c r="AY367" s="5"/>
      <c r="AZ367" s="5"/>
      <c r="BA367" s="5"/>
      <c r="BB367" s="5"/>
      <c r="BC367" s="5"/>
      <c r="BD367" s="5"/>
      <c r="BE367" s="5"/>
      <c r="BF367" s="5"/>
      <c r="BG367" s="5"/>
      <c r="BH367" s="5"/>
    </row>
    <row r="368" ht="12.75" customHeight="1">
      <c r="A368" s="1"/>
      <c r="B368" s="2"/>
      <c r="C368" s="2"/>
      <c r="D368" s="2"/>
      <c r="E368" s="3"/>
      <c r="F368" s="2"/>
      <c r="G368" s="2"/>
      <c r="H368" s="2"/>
      <c r="I368" s="6"/>
      <c r="J368" s="6"/>
      <c r="K368" s="5"/>
      <c r="L368" s="3"/>
      <c r="M368" s="3"/>
      <c r="N368" s="4"/>
      <c r="O368" s="5"/>
      <c r="P368" s="314"/>
      <c r="Q368" s="314"/>
      <c r="R368" s="5"/>
      <c r="S368" s="5"/>
      <c r="T368" s="2"/>
      <c r="U368" s="5"/>
      <c r="V368" s="5"/>
      <c r="W368" s="5"/>
      <c r="X368" s="6"/>
      <c r="Y368" s="5"/>
      <c r="Z368" s="5"/>
      <c r="AA368" s="5"/>
      <c r="AB368" s="5"/>
      <c r="AC368" s="2"/>
      <c r="AD368" s="5"/>
      <c r="AE368" s="5"/>
      <c r="AF368" s="6"/>
      <c r="AG368" s="5"/>
      <c r="AH368" s="5"/>
      <c r="AI368" s="5"/>
      <c r="AJ368" s="5"/>
      <c r="AK368" s="5"/>
      <c r="AL368" s="2"/>
      <c r="AM368" s="5"/>
      <c r="AN368" s="5"/>
      <c r="AO368" s="5"/>
      <c r="AP368" s="5"/>
      <c r="AQ368" s="5"/>
      <c r="AR368" s="5"/>
      <c r="AS368" s="5"/>
      <c r="AT368" s="5"/>
      <c r="AU368" s="5"/>
      <c r="AV368" s="5"/>
      <c r="AW368" s="5"/>
      <c r="AX368" s="5"/>
      <c r="AY368" s="5"/>
      <c r="AZ368" s="5"/>
      <c r="BA368" s="5"/>
      <c r="BB368" s="5"/>
      <c r="BC368" s="5"/>
      <c r="BD368" s="5"/>
      <c r="BE368" s="5"/>
      <c r="BF368" s="5"/>
      <c r="BG368" s="5"/>
      <c r="BH368" s="5"/>
    </row>
    <row r="369" ht="12.75" customHeight="1">
      <c r="A369" s="1"/>
      <c r="B369" s="2"/>
      <c r="C369" s="2"/>
      <c r="D369" s="2"/>
      <c r="E369" s="3"/>
      <c r="F369" s="2"/>
      <c r="G369" s="2"/>
      <c r="H369" s="2"/>
      <c r="I369" s="6"/>
      <c r="J369" s="6"/>
      <c r="K369" s="5"/>
      <c r="L369" s="3"/>
      <c r="M369" s="3"/>
      <c r="N369" s="4"/>
      <c r="O369" s="5"/>
      <c r="P369" s="314"/>
      <c r="Q369" s="314"/>
      <c r="R369" s="5"/>
      <c r="S369" s="5"/>
      <c r="T369" s="2"/>
      <c r="U369" s="5"/>
      <c r="V369" s="5"/>
      <c r="W369" s="5"/>
      <c r="X369" s="6"/>
      <c r="Y369" s="5"/>
      <c r="Z369" s="5"/>
      <c r="AA369" s="5"/>
      <c r="AB369" s="5"/>
      <c r="AC369" s="2"/>
      <c r="AD369" s="5"/>
      <c r="AE369" s="5"/>
      <c r="AF369" s="6"/>
      <c r="AG369" s="5"/>
      <c r="AH369" s="5"/>
      <c r="AI369" s="5"/>
      <c r="AJ369" s="5"/>
      <c r="AK369" s="5"/>
      <c r="AL369" s="2"/>
      <c r="AM369" s="5"/>
      <c r="AN369" s="5"/>
      <c r="AO369" s="5"/>
      <c r="AP369" s="5"/>
      <c r="AQ369" s="5"/>
      <c r="AR369" s="5"/>
      <c r="AS369" s="5"/>
      <c r="AT369" s="5"/>
      <c r="AU369" s="5"/>
      <c r="AV369" s="5"/>
      <c r="AW369" s="5"/>
      <c r="AX369" s="5"/>
      <c r="AY369" s="5"/>
      <c r="AZ369" s="5"/>
      <c r="BA369" s="5"/>
      <c r="BB369" s="5"/>
      <c r="BC369" s="5"/>
      <c r="BD369" s="5"/>
      <c r="BE369" s="5"/>
      <c r="BF369" s="5"/>
      <c r="BG369" s="5"/>
      <c r="BH369" s="5"/>
    </row>
    <row r="370" ht="12.75" customHeight="1">
      <c r="A370" s="1"/>
      <c r="B370" s="2"/>
      <c r="C370" s="2"/>
      <c r="D370" s="2"/>
      <c r="E370" s="3"/>
      <c r="F370" s="2"/>
      <c r="G370" s="2"/>
      <c r="H370" s="2"/>
      <c r="I370" s="6"/>
      <c r="J370" s="6"/>
      <c r="K370" s="5"/>
      <c r="L370" s="3"/>
      <c r="M370" s="3"/>
      <c r="N370" s="4"/>
      <c r="O370" s="5"/>
      <c r="P370" s="314"/>
      <c r="Q370" s="314"/>
      <c r="R370" s="5"/>
      <c r="S370" s="5"/>
      <c r="T370" s="2"/>
      <c r="U370" s="5"/>
      <c r="V370" s="5"/>
      <c r="W370" s="5"/>
      <c r="X370" s="6"/>
      <c r="Y370" s="5"/>
      <c r="Z370" s="5"/>
      <c r="AA370" s="5"/>
      <c r="AB370" s="5"/>
      <c r="AC370" s="2"/>
      <c r="AD370" s="5"/>
      <c r="AE370" s="5"/>
      <c r="AF370" s="6"/>
      <c r="AG370" s="5"/>
      <c r="AH370" s="5"/>
      <c r="AI370" s="5"/>
      <c r="AJ370" s="5"/>
      <c r="AK370" s="5"/>
      <c r="AL370" s="2"/>
      <c r="AM370" s="5"/>
      <c r="AN370" s="5"/>
      <c r="AO370" s="5"/>
      <c r="AP370" s="5"/>
      <c r="AQ370" s="5"/>
      <c r="AR370" s="5"/>
      <c r="AS370" s="5"/>
      <c r="AT370" s="5"/>
      <c r="AU370" s="5"/>
      <c r="AV370" s="5"/>
      <c r="AW370" s="5"/>
      <c r="AX370" s="5"/>
      <c r="AY370" s="5"/>
      <c r="AZ370" s="5"/>
      <c r="BA370" s="5"/>
      <c r="BB370" s="5"/>
      <c r="BC370" s="5"/>
      <c r="BD370" s="5"/>
      <c r="BE370" s="5"/>
      <c r="BF370" s="5"/>
      <c r="BG370" s="5"/>
      <c r="BH370" s="5"/>
    </row>
    <row r="371" ht="12.75" customHeight="1">
      <c r="A371" s="1"/>
      <c r="B371" s="2"/>
      <c r="C371" s="2"/>
      <c r="D371" s="2"/>
      <c r="E371" s="3"/>
      <c r="F371" s="2"/>
      <c r="G371" s="2"/>
      <c r="H371" s="2"/>
      <c r="I371" s="6"/>
      <c r="J371" s="6"/>
      <c r="K371" s="5"/>
      <c r="L371" s="3"/>
      <c r="M371" s="3"/>
      <c r="N371" s="4"/>
      <c r="O371" s="5"/>
      <c r="P371" s="314"/>
      <c r="Q371" s="314"/>
      <c r="R371" s="5"/>
      <c r="S371" s="5"/>
      <c r="T371" s="2"/>
      <c r="U371" s="5"/>
      <c r="V371" s="5"/>
      <c r="W371" s="5"/>
      <c r="X371" s="6"/>
      <c r="Y371" s="5"/>
      <c r="Z371" s="5"/>
      <c r="AA371" s="5"/>
      <c r="AB371" s="5"/>
      <c r="AC371" s="2"/>
      <c r="AD371" s="5"/>
      <c r="AE371" s="5"/>
      <c r="AF371" s="6"/>
      <c r="AG371" s="5"/>
      <c r="AH371" s="5"/>
      <c r="AI371" s="5"/>
      <c r="AJ371" s="5"/>
      <c r="AK371" s="5"/>
      <c r="AL371" s="2"/>
      <c r="AM371" s="5"/>
      <c r="AN371" s="5"/>
      <c r="AO371" s="5"/>
      <c r="AP371" s="5"/>
      <c r="AQ371" s="5"/>
      <c r="AR371" s="5"/>
      <c r="AS371" s="5"/>
      <c r="AT371" s="5"/>
      <c r="AU371" s="5"/>
      <c r="AV371" s="5"/>
      <c r="AW371" s="5"/>
      <c r="AX371" s="5"/>
      <c r="AY371" s="5"/>
      <c r="AZ371" s="5"/>
      <c r="BA371" s="5"/>
      <c r="BB371" s="5"/>
      <c r="BC371" s="5"/>
      <c r="BD371" s="5"/>
      <c r="BE371" s="5"/>
      <c r="BF371" s="5"/>
      <c r="BG371" s="5"/>
      <c r="BH371" s="5"/>
    </row>
    <row r="372" ht="12.75" customHeight="1">
      <c r="A372" s="1"/>
      <c r="B372" s="2"/>
      <c r="C372" s="2"/>
      <c r="D372" s="2"/>
      <c r="E372" s="3"/>
      <c r="F372" s="2"/>
      <c r="G372" s="2"/>
      <c r="H372" s="2"/>
      <c r="I372" s="6"/>
      <c r="J372" s="6"/>
      <c r="K372" s="5"/>
      <c r="L372" s="3"/>
      <c r="M372" s="3"/>
      <c r="N372" s="4"/>
      <c r="O372" s="5"/>
      <c r="P372" s="314"/>
      <c r="Q372" s="314"/>
      <c r="R372" s="5"/>
      <c r="S372" s="5"/>
      <c r="T372" s="2"/>
      <c r="U372" s="5"/>
      <c r="V372" s="5"/>
      <c r="W372" s="5"/>
      <c r="X372" s="6"/>
      <c r="Y372" s="5"/>
      <c r="Z372" s="5"/>
      <c r="AA372" s="5"/>
      <c r="AB372" s="5"/>
      <c r="AC372" s="2"/>
      <c r="AD372" s="5"/>
      <c r="AE372" s="5"/>
      <c r="AF372" s="6"/>
      <c r="AG372" s="5"/>
      <c r="AH372" s="5"/>
      <c r="AI372" s="5"/>
      <c r="AJ372" s="5"/>
      <c r="AK372" s="5"/>
      <c r="AL372" s="2"/>
      <c r="AM372" s="5"/>
      <c r="AN372" s="5"/>
      <c r="AO372" s="5"/>
      <c r="AP372" s="5"/>
      <c r="AQ372" s="5"/>
      <c r="AR372" s="5"/>
      <c r="AS372" s="5"/>
      <c r="AT372" s="5"/>
      <c r="AU372" s="5"/>
      <c r="AV372" s="5"/>
      <c r="AW372" s="5"/>
      <c r="AX372" s="5"/>
      <c r="AY372" s="5"/>
      <c r="AZ372" s="5"/>
      <c r="BA372" s="5"/>
      <c r="BB372" s="5"/>
      <c r="BC372" s="5"/>
      <c r="BD372" s="5"/>
      <c r="BE372" s="5"/>
      <c r="BF372" s="5"/>
      <c r="BG372" s="5"/>
      <c r="BH372" s="5"/>
    </row>
    <row r="373" ht="12.75" customHeight="1">
      <c r="A373" s="1"/>
      <c r="B373" s="2"/>
      <c r="C373" s="2"/>
      <c r="D373" s="2"/>
      <c r="E373" s="3"/>
      <c r="F373" s="2"/>
      <c r="G373" s="2"/>
      <c r="H373" s="2"/>
      <c r="I373" s="6"/>
      <c r="J373" s="6"/>
      <c r="K373" s="5"/>
      <c r="L373" s="3"/>
      <c r="M373" s="3"/>
      <c r="N373" s="4"/>
      <c r="O373" s="5"/>
      <c r="P373" s="314"/>
      <c r="Q373" s="314"/>
      <c r="R373" s="5"/>
      <c r="S373" s="5"/>
      <c r="T373" s="2"/>
      <c r="U373" s="5"/>
      <c r="V373" s="5"/>
      <c r="W373" s="5"/>
      <c r="X373" s="6"/>
      <c r="Y373" s="5"/>
      <c r="Z373" s="5"/>
      <c r="AA373" s="5"/>
      <c r="AB373" s="5"/>
      <c r="AC373" s="2"/>
      <c r="AD373" s="5"/>
      <c r="AE373" s="5"/>
      <c r="AF373" s="6"/>
      <c r="AG373" s="5"/>
      <c r="AH373" s="5"/>
      <c r="AI373" s="5"/>
      <c r="AJ373" s="5"/>
      <c r="AK373" s="5"/>
      <c r="AL373" s="2"/>
      <c r="AM373" s="5"/>
      <c r="AN373" s="5"/>
      <c r="AO373" s="5"/>
      <c r="AP373" s="5"/>
      <c r="AQ373" s="5"/>
      <c r="AR373" s="5"/>
      <c r="AS373" s="5"/>
      <c r="AT373" s="5"/>
      <c r="AU373" s="5"/>
      <c r="AV373" s="5"/>
      <c r="AW373" s="5"/>
      <c r="AX373" s="5"/>
      <c r="AY373" s="5"/>
      <c r="AZ373" s="5"/>
      <c r="BA373" s="5"/>
      <c r="BB373" s="5"/>
      <c r="BC373" s="5"/>
      <c r="BD373" s="5"/>
      <c r="BE373" s="5"/>
      <c r="BF373" s="5"/>
      <c r="BG373" s="5"/>
      <c r="BH373" s="5"/>
    </row>
    <row r="374" ht="12.75" customHeight="1">
      <c r="A374" s="1"/>
      <c r="B374" s="2"/>
      <c r="C374" s="2"/>
      <c r="D374" s="2"/>
      <c r="E374" s="3"/>
      <c r="F374" s="2"/>
      <c r="G374" s="2"/>
      <c r="H374" s="2"/>
      <c r="I374" s="6"/>
      <c r="J374" s="6"/>
      <c r="K374" s="5"/>
      <c r="L374" s="3"/>
      <c r="M374" s="3"/>
      <c r="N374" s="4"/>
      <c r="O374" s="5"/>
      <c r="P374" s="5"/>
      <c r="Q374" s="2"/>
      <c r="R374" s="5"/>
      <c r="S374" s="5"/>
      <c r="T374" s="2"/>
      <c r="U374" s="5"/>
      <c r="V374" s="5"/>
      <c r="W374" s="5"/>
      <c r="X374" s="2"/>
      <c r="Y374" s="5"/>
      <c r="Z374" s="5"/>
      <c r="AA374" s="5"/>
      <c r="AB374" s="5"/>
      <c r="AC374" s="2"/>
      <c r="AD374" s="5"/>
      <c r="AE374" s="5"/>
      <c r="AF374" s="6"/>
      <c r="AG374" s="5"/>
      <c r="AH374" s="5"/>
      <c r="AI374" s="5"/>
      <c r="AJ374" s="5"/>
      <c r="AK374" s="5"/>
      <c r="AL374" s="2"/>
      <c r="AM374" s="5"/>
      <c r="AN374" s="5"/>
      <c r="AO374" s="5"/>
      <c r="AP374" s="5"/>
      <c r="AQ374" s="5"/>
      <c r="AR374" s="5"/>
      <c r="AS374" s="5"/>
      <c r="AT374" s="5"/>
      <c r="AU374" s="5"/>
      <c r="AV374" s="5"/>
      <c r="AW374" s="5"/>
      <c r="AX374" s="5"/>
      <c r="AY374" s="5"/>
      <c r="AZ374" s="5"/>
      <c r="BA374" s="5"/>
      <c r="BB374" s="5"/>
      <c r="BC374" s="5"/>
      <c r="BD374" s="5"/>
      <c r="BE374" s="5"/>
      <c r="BF374" s="5"/>
      <c r="BG374" s="5"/>
      <c r="BH374" s="5"/>
    </row>
    <row r="375" ht="12.75" customHeight="1">
      <c r="A375" s="1"/>
      <c r="B375" s="2"/>
      <c r="C375" s="2"/>
      <c r="D375" s="2"/>
      <c r="E375" s="3"/>
      <c r="F375" s="2"/>
      <c r="G375" s="2"/>
      <c r="H375" s="2"/>
      <c r="I375" s="6"/>
      <c r="J375" s="6"/>
      <c r="K375" s="5"/>
      <c r="L375" s="3"/>
      <c r="M375" s="3"/>
      <c r="N375" s="4"/>
      <c r="O375" s="5"/>
      <c r="P375" s="5"/>
      <c r="Q375" s="2"/>
      <c r="R375" s="5"/>
      <c r="S375" s="5"/>
      <c r="T375" s="2"/>
      <c r="U375" s="5"/>
      <c r="V375" s="5"/>
      <c r="W375" s="5"/>
      <c r="X375" s="2"/>
      <c r="Y375" s="5"/>
      <c r="Z375" s="5"/>
      <c r="AA375" s="5"/>
      <c r="AB375" s="5"/>
      <c r="AC375" s="2"/>
      <c r="AD375" s="5"/>
      <c r="AE375" s="5"/>
      <c r="AF375" s="6"/>
      <c r="AG375" s="5"/>
      <c r="AH375" s="5"/>
      <c r="AI375" s="5"/>
      <c r="AJ375" s="5"/>
      <c r="AK375" s="5"/>
      <c r="AL375" s="2"/>
      <c r="AM375" s="5"/>
      <c r="AN375" s="5"/>
      <c r="AO375" s="5"/>
      <c r="AP375" s="5"/>
      <c r="AQ375" s="5"/>
      <c r="AR375" s="5"/>
      <c r="AS375" s="5"/>
      <c r="AT375" s="5"/>
      <c r="AU375" s="5"/>
      <c r="AV375" s="5"/>
      <c r="AW375" s="5"/>
      <c r="AX375" s="5"/>
      <c r="AY375" s="5"/>
      <c r="AZ375" s="5"/>
      <c r="BA375" s="5"/>
      <c r="BB375" s="5"/>
      <c r="BC375" s="5"/>
      <c r="BD375" s="5"/>
      <c r="BE375" s="5"/>
      <c r="BF375" s="5"/>
      <c r="BG375" s="5"/>
      <c r="BH375" s="5"/>
    </row>
    <row r="376" ht="12.75" customHeight="1">
      <c r="A376" s="1"/>
      <c r="B376" s="2"/>
      <c r="C376" s="2"/>
      <c r="D376" s="2"/>
      <c r="E376" s="3"/>
      <c r="F376" s="2"/>
      <c r="G376" s="2"/>
      <c r="H376" s="2"/>
      <c r="I376" s="6"/>
      <c r="J376" s="6"/>
      <c r="K376" s="5"/>
      <c r="L376" s="3"/>
      <c r="M376" s="3"/>
      <c r="N376" s="4"/>
      <c r="O376" s="5"/>
      <c r="P376" s="5"/>
      <c r="Q376" s="2"/>
      <c r="R376" s="5"/>
      <c r="S376" s="5"/>
      <c r="T376" s="2"/>
      <c r="U376" s="5"/>
      <c r="V376" s="5"/>
      <c r="W376" s="5"/>
      <c r="X376" s="2"/>
      <c r="Y376" s="5"/>
      <c r="Z376" s="5"/>
      <c r="AA376" s="5"/>
      <c r="AB376" s="5"/>
      <c r="AC376" s="2"/>
      <c r="AD376" s="5"/>
      <c r="AE376" s="5"/>
      <c r="AF376" s="6"/>
      <c r="AG376" s="5"/>
      <c r="AH376" s="5"/>
      <c r="AI376" s="5"/>
      <c r="AJ376" s="5"/>
      <c r="AK376" s="5"/>
      <c r="AL376" s="2"/>
      <c r="AM376" s="5"/>
      <c r="AN376" s="5"/>
      <c r="AO376" s="5"/>
      <c r="AP376" s="5"/>
      <c r="AQ376" s="5"/>
      <c r="AR376" s="5"/>
      <c r="AS376" s="5"/>
      <c r="AT376" s="5"/>
      <c r="AU376" s="5"/>
      <c r="AV376" s="5"/>
      <c r="AW376" s="5"/>
      <c r="AX376" s="5"/>
      <c r="AY376" s="5"/>
      <c r="AZ376" s="5"/>
      <c r="BA376" s="5"/>
      <c r="BB376" s="5"/>
      <c r="BC376" s="5"/>
      <c r="BD376" s="5"/>
      <c r="BE376" s="5"/>
      <c r="BF376" s="5"/>
      <c r="BG376" s="5"/>
      <c r="BH376" s="5"/>
    </row>
    <row r="377" ht="12.75" customHeight="1">
      <c r="A377" s="1"/>
      <c r="B377" s="2"/>
      <c r="C377" s="2"/>
      <c r="D377" s="2"/>
      <c r="E377" s="3"/>
      <c r="F377" s="2"/>
      <c r="G377" s="2"/>
      <c r="H377" s="2"/>
      <c r="I377" s="6"/>
      <c r="J377" s="6"/>
      <c r="K377" s="5"/>
      <c r="L377" s="3"/>
      <c r="M377" s="3"/>
      <c r="N377" s="4"/>
      <c r="O377" s="5"/>
      <c r="P377" s="5"/>
      <c r="Q377" s="2"/>
      <c r="R377" s="5"/>
      <c r="S377" s="5"/>
      <c r="T377" s="2"/>
      <c r="U377" s="5"/>
      <c r="V377" s="5"/>
      <c r="W377" s="5"/>
      <c r="X377" s="2"/>
      <c r="Y377" s="5"/>
      <c r="Z377" s="5"/>
      <c r="AA377" s="5"/>
      <c r="AB377" s="5"/>
      <c r="AC377" s="2"/>
      <c r="AD377" s="5"/>
      <c r="AE377" s="5"/>
      <c r="AF377" s="6"/>
      <c r="AG377" s="5"/>
      <c r="AH377" s="5"/>
      <c r="AI377" s="5"/>
      <c r="AJ377" s="5"/>
      <c r="AK377" s="5"/>
      <c r="AL377" s="2"/>
      <c r="AM377" s="5"/>
      <c r="AN377" s="5"/>
      <c r="AO377" s="5"/>
      <c r="AP377" s="5"/>
      <c r="AQ377" s="5"/>
      <c r="AR377" s="5"/>
      <c r="AS377" s="5"/>
      <c r="AT377" s="5"/>
      <c r="AU377" s="5"/>
      <c r="AV377" s="5"/>
      <c r="AW377" s="5"/>
      <c r="AX377" s="5"/>
      <c r="AY377" s="5"/>
      <c r="AZ377" s="5"/>
      <c r="BA377" s="5"/>
      <c r="BB377" s="5"/>
      <c r="BC377" s="5"/>
      <c r="BD377" s="5"/>
      <c r="BE377" s="5"/>
      <c r="BF377" s="5"/>
      <c r="BG377" s="5"/>
      <c r="BH377" s="5"/>
    </row>
    <row r="378" ht="12.75" customHeight="1">
      <c r="A378" s="1"/>
      <c r="B378" s="2"/>
      <c r="C378" s="2"/>
      <c r="D378" s="2"/>
      <c r="E378" s="3"/>
      <c r="F378" s="2"/>
      <c r="G378" s="2"/>
      <c r="H378" s="2"/>
      <c r="I378" s="2"/>
      <c r="J378" s="2"/>
      <c r="K378" s="2"/>
      <c r="L378" s="3"/>
      <c r="M378" s="3"/>
      <c r="N378" s="4"/>
      <c r="O378" s="5"/>
      <c r="P378" s="2"/>
      <c r="Q378" s="2"/>
      <c r="R378" s="5"/>
      <c r="S378" s="5"/>
      <c r="T378" s="2"/>
      <c r="U378" s="5"/>
      <c r="V378" s="5"/>
      <c r="W378" s="5"/>
      <c r="X378" s="2"/>
      <c r="Y378" s="5"/>
      <c r="Z378" s="5"/>
      <c r="AA378" s="5"/>
      <c r="AB378" s="5"/>
      <c r="AC378" s="2"/>
      <c r="AD378" s="5"/>
      <c r="AE378" s="5"/>
      <c r="AF378" s="6"/>
      <c r="AG378" s="5"/>
      <c r="AH378" s="5"/>
      <c r="AI378" s="5"/>
      <c r="AJ378" s="5"/>
      <c r="AK378" s="5"/>
      <c r="AL378" s="2"/>
      <c r="AM378" s="5"/>
      <c r="AN378" s="5"/>
      <c r="AO378" s="2"/>
      <c r="AP378" s="2"/>
      <c r="AQ378" s="2"/>
      <c r="AR378" s="2"/>
      <c r="AS378" s="2"/>
      <c r="AT378" s="2"/>
      <c r="AU378" s="2"/>
      <c r="AV378" s="2"/>
      <c r="AW378" s="2"/>
      <c r="AX378" s="2"/>
      <c r="AY378" s="2"/>
      <c r="AZ378" s="2"/>
      <c r="BA378" s="2"/>
      <c r="BB378" s="2"/>
      <c r="BC378" s="2"/>
      <c r="BD378" s="2"/>
      <c r="BE378" s="2"/>
      <c r="BF378" s="2"/>
      <c r="BG378" s="2"/>
      <c r="BH378" s="2"/>
    </row>
    <row r="379" ht="12.75" customHeight="1">
      <c r="A379" s="1"/>
      <c r="B379" s="2"/>
      <c r="C379" s="2"/>
      <c r="D379" s="2"/>
      <c r="E379" s="3"/>
      <c r="F379" s="2"/>
      <c r="G379" s="2"/>
      <c r="H379" s="2"/>
      <c r="I379" s="2"/>
      <c r="J379" s="2"/>
      <c r="K379" s="2"/>
      <c r="L379" s="3"/>
      <c r="M379" s="3"/>
      <c r="N379" s="4"/>
      <c r="O379" s="2"/>
      <c r="P379" s="2"/>
      <c r="Q379" s="2"/>
      <c r="R379" s="5"/>
      <c r="S379" s="5"/>
      <c r="T379" s="2"/>
      <c r="U379" s="5"/>
      <c r="V379" s="5"/>
      <c r="W379" s="5"/>
      <c r="X379" s="2"/>
      <c r="Y379" s="5"/>
      <c r="Z379" s="5"/>
      <c r="AA379" s="5"/>
      <c r="AB379" s="5"/>
      <c r="AC379" s="2"/>
      <c r="AD379" s="5"/>
      <c r="AE379" s="5"/>
      <c r="AF379" s="6"/>
      <c r="AG379" s="5"/>
      <c r="AH379" s="5"/>
      <c r="AI379" s="5"/>
      <c r="AJ379" s="5"/>
      <c r="AK379" s="5"/>
      <c r="AL379" s="2"/>
      <c r="AM379" s="5"/>
      <c r="AN379" s="5"/>
      <c r="AO379" s="2"/>
      <c r="AP379" s="2"/>
      <c r="AQ379" s="2"/>
      <c r="AR379" s="2"/>
      <c r="AS379" s="2"/>
      <c r="AT379" s="2"/>
      <c r="AU379" s="2"/>
      <c r="AV379" s="2"/>
      <c r="AW379" s="2"/>
      <c r="AX379" s="2"/>
      <c r="AY379" s="2"/>
      <c r="AZ379" s="2"/>
      <c r="BA379" s="2"/>
      <c r="BB379" s="2"/>
      <c r="BC379" s="2"/>
      <c r="BD379" s="2"/>
      <c r="BE379" s="2"/>
      <c r="BF379" s="2"/>
      <c r="BG379" s="2"/>
      <c r="BH379" s="2"/>
    </row>
  </sheetData>
  <autoFilter ref="$A$1:$BH$347"/>
  <mergeCells count="22">
    <mergeCell ref="G11:G12"/>
    <mergeCell ref="H11:H12"/>
    <mergeCell ref="I11:I12"/>
    <mergeCell ref="J11:J12"/>
    <mergeCell ref="K11:K12"/>
    <mergeCell ref="M11:P11"/>
    <mergeCell ref="Q11:Q12"/>
    <mergeCell ref="R11:T11"/>
    <mergeCell ref="V11:W11"/>
    <mergeCell ref="AJ11:AJ12"/>
    <mergeCell ref="AM11:AM12"/>
    <mergeCell ref="AN11:AN12"/>
    <mergeCell ref="AO11:AO12"/>
    <mergeCell ref="AP11:AP12"/>
    <mergeCell ref="B2:AK7"/>
    <mergeCell ref="K8:AK9"/>
    <mergeCell ref="B11:B12"/>
    <mergeCell ref="C11:C12"/>
    <mergeCell ref="D11:D12"/>
    <mergeCell ref="E11:E12"/>
    <mergeCell ref="F11:F12"/>
    <mergeCell ref="AK11:AK12"/>
  </mergeCells>
  <conditionalFormatting sqref="D16:D124 D129:D148">
    <cfRule type="cellIs" dxfId="0" priority="1" operator="equal">
      <formula>"Takeoff"</formula>
    </cfRule>
  </conditionalFormatting>
  <dataValidations>
    <dataValidation type="list" allowBlank="1" showDropDown="1" showErrorMessage="1" sqref="D18:D20">
      <formula1>'Audit Check'!$Q$3:$Q315</formula1>
    </dataValidation>
    <dataValidation type="list" allowBlank="1" showDropDown="1" showErrorMessage="1" sqref="D138:D140">
      <formula1>'Audit Check'!$Q$3:$Q271</formula1>
    </dataValidation>
    <dataValidation type="list" allowBlank="1" showDropDown="1" showErrorMessage="1" sqref="D34 D47:D48 D54">
      <formula1>'Audit Check'!$Q$3:$Q312</formula1>
    </dataValidation>
    <dataValidation type="list" allowBlank="1" showDropDown="1" showErrorMessage="1" sqref="D38:D40">
      <formula1>'Audit Check'!$Q$3:$Q328</formula1>
    </dataValidation>
    <dataValidation type="list" allowBlank="1" showDropDown="1" showErrorMessage="1" sqref="D62 D65">
      <formula1>'Audit Check'!$Q$3:$Q310</formula1>
    </dataValidation>
    <dataValidation type="list" allowBlank="1" showDropDown="1" showErrorMessage="1" sqref="D106:D107">
      <formula1>'Audit Check'!$Q$3:$Q322</formula1>
    </dataValidation>
    <dataValidation type="list" allowBlank="1" showDropDown="1" showErrorMessage="1" sqref="D25:D26 D29">
      <formula1>'Audit Check'!$Q$3:$Q311</formula1>
    </dataValidation>
    <dataValidation type="list" allowBlank="1" showDropDown="1" showErrorMessage="1" sqref="D10">
      <formula1>'Audit Check'!$O$4:$O$5</formula1>
    </dataValidation>
    <dataValidation type="list" allowBlank="1" showDropDown="1" showErrorMessage="1" sqref="D105">
      <formula1>'Audit Check'!$Q$3:$Q387</formula1>
    </dataValidation>
    <dataValidation type="list" allowBlank="1" showDropDown="1" showErrorMessage="1" sqref="D35">
      <formula1>'Audit Check'!$Q$3:$Q308</formula1>
    </dataValidation>
    <dataValidation type="list" allowBlank="1" showDropDown="1" showErrorMessage="1" sqref="D92 D137 D143:D144 D147">
      <formula1>'Audit Check'!$Q$3:$Q333</formula1>
    </dataValidation>
    <dataValidation type="list" allowBlank="1" showDropDown="1" showErrorMessage="1" sqref="D93:D95 D99:D101">
      <formula1>'Audit Check'!$Q$3:$Q228</formula1>
    </dataValidation>
    <dataValidation type="list" allowBlank="1" showDropDown="1" showErrorMessage="1" sqref="D76">
      <formula1>'Audit Check'!$Q$3:$Q337</formula1>
    </dataValidation>
    <dataValidation type="list" allowBlank="1" showDropDown="1" showErrorMessage="1" sqref="D55">
      <formula1>'Audit Check'!$Q$3:$Q324</formula1>
    </dataValidation>
    <dataValidation type="list" allowBlank="1" showDropDown="1" showErrorMessage="1" sqref="D83 D90">
      <formula1>'Audit Check'!$Q$3:$Q363</formula1>
    </dataValidation>
    <dataValidation type="list" allowBlank="1" showDropDown="1" showErrorMessage="1" sqref="D114:D115">
      <formula1>'Audit Check'!$Q$3:$Q332</formula1>
    </dataValidation>
    <dataValidation type="list" allowBlank="1" showDropDown="1" showErrorMessage="1" sqref="D98 D141">
      <formula1>'Audit Check'!$Q$3:$Q341</formula1>
    </dataValidation>
    <dataValidation type="list" allowBlank="1" showDropDown="1" showErrorMessage="1" sqref="D21:D24 D37 D42:D44">
      <formula1>'Audit Check'!$Q$3:$Q309</formula1>
    </dataValidation>
    <dataValidation type="list" allowBlank="1" showDropDown="1" showErrorMessage="1" sqref="D82 D89">
      <formula1>'Audit Check'!$Q$3:$Q275</formula1>
    </dataValidation>
    <dataValidation type="list" allowBlank="1" showDropDown="1" showErrorMessage="1" sqref="D74:D75">
      <formula1>'Audit Check'!$Q$3:$Q351</formula1>
    </dataValidation>
    <dataValidation type="list" allowBlank="1" showDropDown="1" showErrorMessage="1" sqref="D102">
      <formula1>'Audit Check'!$Q$3:$Q347</formula1>
    </dataValidation>
    <dataValidation type="list" allowBlank="1" showDropDown="1" showErrorMessage="1" sqref="D108">
      <formula1>'Audit Check'!$Q$3:$Q345</formula1>
    </dataValidation>
    <dataValidation type="list" allowBlank="1" showDropDown="1" showErrorMessage="1" sqref="D60:D61 D132">
      <formula1>'Audit Check'!$Q$3:$Q324</formula1>
    </dataValidation>
    <dataValidation type="list" allowBlank="1" showDropDown="1" showErrorMessage="1" sqref="D45:D46 D49">
      <formula1>'Audit Check'!$Q$3:$Q324</formula1>
    </dataValidation>
    <dataValidation type="list" allowBlank="1" showDropDown="1" showErrorMessage="1" sqref="D70:D72">
      <formula1>'Audit Check'!$Q$3:$Q340</formula1>
    </dataValidation>
    <dataValidation type="list" allowBlank="1" showDropDown="1" showErrorMessage="1" sqref="D109:D110 D112">
      <formula1>'Audit Check'!$Q$3:$Q324</formula1>
    </dataValidation>
    <dataValidation type="list" allowBlank="1" showDropDown="1" showErrorMessage="1" sqref="D129 D134">
      <formula1>'Audit Check'!$Q$3:$Q395</formula1>
    </dataValidation>
    <dataValidation type="list" allowBlank="1" showDropDown="1" showErrorMessage="1" sqref="D30:D31">
      <formula1>'Audit Check'!$Q$3:$Q313</formula1>
    </dataValidation>
    <dataValidation type="list" allowBlank="1" showDropDown="1" showErrorMessage="1" sqref="D27:D28">
      <formula1>'Audit Check'!$Q$3:$Q312</formula1>
    </dataValidation>
    <dataValidation type="list" allowBlank="1" showDropDown="1" showErrorMessage="1" sqref="D58:D59">
      <formula1>'Audit Check'!$Q$3:$Q311</formula1>
    </dataValidation>
    <dataValidation type="list" allowBlank="1" showDropDown="1" showErrorMessage="1" sqref="D73 D78:D81 D85:D88">
      <formula1>'Audit Check'!$Q$3:$Q194</formula1>
    </dataValidation>
    <dataValidation type="list" allowBlank="1" showDropDown="1" sqref="F17 F37 F68 F70 F73 F77:F90 F92:F96 F98:F101 F103:F107 F109:F117 F119:F124 F137:F140">
      <formula1>'Audit Check'!$L$2:$L$47</formula1>
    </dataValidation>
    <dataValidation type="list" allowBlank="1" showDropDown="1" showErrorMessage="1" sqref="D41 D96">
      <formula1>'Audit Check'!$Q$3:$Q322</formula1>
    </dataValidation>
    <dataValidation type="list" allowBlank="1" showDropDown="1" showErrorMessage="1" sqref="F18:F36 F38:F55 F58:F62 F65:F67 F69 F71:F72 F74:F76 F91 F97 F102 F108 F125 F127:F136 F141:F148">
      <formula1>'Audit Check'!$L$2:$L$47</formula1>
    </dataValidation>
    <dataValidation type="list" allowBlank="1" showDropDown="1" showErrorMessage="1" sqref="D121:D124">
      <formula1>'Audit Check'!$Q$3:$Q331</formula1>
    </dataValidation>
    <dataValidation type="list" allowBlank="1" showDropDown="1" showErrorMessage="1" sqref="D66">
      <formula1>'Audit Check'!$Q$3:$Q326</formula1>
    </dataValidation>
    <dataValidation type="list" allowBlank="1" showDropDown="1" showErrorMessage="1" sqref="D52">
      <formula1>'Audit Check'!$Q$3:$Q320</formula1>
    </dataValidation>
    <dataValidation type="list" allowBlank="1" showDropDown="1" showErrorMessage="1" sqref="D17">
      <formula1>'Audit Check'!$Q$3:$Q312</formula1>
    </dataValidation>
    <dataValidation type="list" allowBlank="1" showDropDown="1" showErrorMessage="1" sqref="J17:J55 J58:J62 J65:J67 J70:J90 J92:J96 J98:J102 J105:J110 J112 J114:J115 J119:J124 J137:J141 J143:J144 J147">
      <formula1>'Audit Check'!$O$2:$O$3</formula1>
    </dataValidation>
    <dataValidation type="list" allowBlank="1" showDropDown="1" showErrorMessage="1" sqref="D130:D131">
      <formula1>'Audit Check'!$Q$3:$Q393</formula1>
    </dataValidation>
    <dataValidation type="list" allowBlank="1" showDropDown="1" showErrorMessage="1" sqref="D36 D50:D51 D77 D84">
      <formula1>'Audit Check'!$Q$3:$Q312</formula1>
    </dataValidation>
    <dataValidation type="list" allowBlank="1" showDropDown="1" showErrorMessage="1" sqref="D32:D33 D53">
      <formula1>'Audit Check'!$Q$3:$Q321</formula1>
    </dataValidation>
    <dataValidation type="list" allowBlank="1" showDropDown="1" showErrorMessage="1" sqref="D67">
      <formula1>'Audit Check'!$Q$3:$Q311</formula1>
    </dataValidation>
    <dataValidation type="list" allowBlank="1" showDropDown="1" showErrorMessage="1" sqref="D119:D120">
      <formula1>'Audit Check'!$Q$3:$Q331</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fitToPage="1"/>
  </sheetPr>
  <sheetViews>
    <sheetView workbookViewId="0">
      <pane ySplit="17.0" topLeftCell="A18" activePane="bottomLeft" state="frozen"/>
      <selection activeCell="B19" sqref="B19" pane="bottomLeft"/>
    </sheetView>
  </sheetViews>
  <sheetFormatPr customHeight="1" defaultColWidth="14.43" defaultRowHeight="15.0" outlineLevelCol="2"/>
  <cols>
    <col customWidth="1" min="1" max="1" width="3.0"/>
    <col customWidth="1" min="2" max="2" width="21.71"/>
    <col customWidth="1" min="3" max="3" width="69.57"/>
    <col customWidth="1" min="4" max="4" width="20.57"/>
    <col customWidth="1" min="5" max="5" width="7.86"/>
    <col customWidth="1" min="6" max="6" width="9.57" outlineLevel="1"/>
    <col customWidth="1" min="7" max="7" width="15.43" outlineLevel="1"/>
    <col customWidth="1" min="8" max="8" width="6.57" outlineLevel="1"/>
    <col customWidth="1" min="9" max="9" width="20.57" outlineLevel="2"/>
    <col customWidth="1" min="10" max="10" width="12.57" outlineLevel="2"/>
    <col customWidth="1" min="11" max="11" width="11.86" outlineLevel="1"/>
    <col customWidth="1" min="12" max="12" width="11.71" outlineLevel="1"/>
    <col customWidth="1" min="13" max="13" width="12.29" outlineLevel="1"/>
    <col customWidth="1" min="14" max="14" width="14.71" outlineLevel="1"/>
    <col customWidth="1" min="15" max="15" width="10.0" outlineLevel="1"/>
    <col customWidth="1" min="16" max="16" width="13.57" outlineLevel="1"/>
    <col customWidth="1" min="17" max="17" width="15.29"/>
    <col customWidth="1" min="18" max="18" width="22.0" outlineLevel="1"/>
    <col customWidth="1" min="19" max="19" width="13.71" outlineLevel="1"/>
    <col customWidth="1" min="20" max="20" width="16.14" outlineLevel="1"/>
    <col customWidth="1" min="21" max="21" width="17.29" outlineLevel="1"/>
    <col customWidth="1" min="22" max="22" width="18.57" outlineLevel="1"/>
    <col customWidth="1" min="23" max="23" width="20.14" outlineLevel="1"/>
    <col customWidth="1" min="24" max="24" width="18.57" outlineLevel="1"/>
    <col customWidth="1" min="25" max="25" width="11.57" outlineLevel="1"/>
    <col customWidth="1" min="26" max="26" width="16.57" outlineLevel="1"/>
    <col customWidth="1" min="27" max="27" width="16.86" outlineLevel="1"/>
    <col customWidth="1" min="28" max="28" width="16.14" outlineLevel="1"/>
    <col customWidth="1" min="29" max="29" width="20.86" outlineLevel="1"/>
    <col customWidth="1" min="30" max="30" width="18.86" outlineLevel="1"/>
    <col customWidth="1" min="31" max="31" width="17.29" outlineLevel="1"/>
    <col customWidth="1" min="32" max="32" width="12.14" outlineLevel="1"/>
    <col customWidth="1" min="33" max="33" width="16.0" outlineLevel="1"/>
    <col customWidth="1" min="34" max="34" width="17.86" outlineLevel="1"/>
    <col customWidth="1" min="35" max="35" width="18.57" outlineLevel="1"/>
    <col customWidth="1" min="36" max="36" width="10.43"/>
    <col customWidth="1" min="37" max="37" width="28.43"/>
    <col customWidth="1" min="38" max="38" width="12.86"/>
    <col customWidth="1" min="39" max="42" width="20.57"/>
    <col customWidth="1" min="43" max="43" width="9.0"/>
    <col customWidth="1" min="44" max="44" width="9.29"/>
    <col customWidth="1" min="45" max="45" width="21.0"/>
    <col customWidth="1" min="46" max="46" width="22.57"/>
    <col customWidth="1" min="47" max="47" width="15.14"/>
    <col customWidth="1" min="48" max="48" width="20.86"/>
    <col customWidth="1" min="49" max="49" width="15.14"/>
    <col customWidth="1" min="50" max="50" width="13.71"/>
    <col customWidth="1" min="51" max="60" width="9.14"/>
  </cols>
  <sheetData>
    <row r="1" ht="12.75" customHeight="1">
      <c r="A1" s="1"/>
      <c r="B1" s="2"/>
      <c r="C1" s="2"/>
      <c r="D1" s="2"/>
      <c r="E1" s="3"/>
      <c r="F1" s="2"/>
      <c r="G1" s="2"/>
      <c r="H1" s="2"/>
      <c r="I1" s="2"/>
      <c r="J1" s="2"/>
      <c r="K1" s="2"/>
      <c r="L1" s="3"/>
      <c r="M1" s="3"/>
      <c r="N1" s="4"/>
      <c r="O1" s="2"/>
      <c r="P1" s="2"/>
      <c r="Q1" s="2"/>
      <c r="R1" s="5"/>
      <c r="S1" s="5"/>
      <c r="T1" s="2"/>
      <c r="U1" s="5"/>
      <c r="V1" s="5"/>
      <c r="W1" s="5"/>
      <c r="X1" s="2"/>
      <c r="Y1" s="5"/>
      <c r="Z1" s="5"/>
      <c r="AA1" s="5"/>
      <c r="AB1" s="5"/>
      <c r="AC1" s="2"/>
      <c r="AD1" s="5"/>
      <c r="AE1" s="5"/>
      <c r="AF1" s="6"/>
      <c r="AG1" s="5"/>
      <c r="AH1" s="5"/>
      <c r="AI1" s="5"/>
      <c r="AJ1" s="5"/>
      <c r="AK1" s="5"/>
      <c r="AL1" s="2"/>
      <c r="AM1" s="7"/>
      <c r="AN1" s="5"/>
      <c r="AO1" s="2"/>
      <c r="AP1" s="2"/>
      <c r="AQ1" s="2"/>
      <c r="AR1" s="2"/>
      <c r="AS1" s="2"/>
      <c r="AT1" s="2"/>
      <c r="AU1" s="2"/>
      <c r="AV1" s="2"/>
      <c r="AW1" s="2"/>
      <c r="AX1" s="2"/>
      <c r="AY1" s="2"/>
      <c r="AZ1" s="2"/>
      <c r="BA1" s="2"/>
      <c r="BB1" s="2"/>
      <c r="BC1" s="2"/>
      <c r="BD1" s="2"/>
      <c r="BE1" s="2"/>
      <c r="BF1" s="2"/>
      <c r="BG1" s="2"/>
      <c r="BH1" s="2"/>
    </row>
    <row r="2" ht="12.75" customHeight="1">
      <c r="A2" s="8">
        <v>1.0</v>
      </c>
      <c r="B2" s="9"/>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2"/>
      <c r="AM2" s="7"/>
      <c r="AN2" s="5"/>
      <c r="AO2" s="2"/>
      <c r="AP2" s="2"/>
      <c r="AQ2" s="2"/>
      <c r="AR2" s="2"/>
      <c r="AS2" s="2"/>
      <c r="AT2" s="2"/>
      <c r="AU2" s="2"/>
      <c r="AV2" s="2"/>
      <c r="AW2" s="2"/>
      <c r="AX2" s="2"/>
      <c r="AY2" s="2"/>
      <c r="AZ2" s="2"/>
      <c r="BA2" s="2"/>
      <c r="BB2" s="2"/>
      <c r="BC2" s="2"/>
      <c r="BD2" s="2"/>
      <c r="BE2" s="2"/>
      <c r="BF2" s="2"/>
      <c r="BG2" s="2"/>
      <c r="BH2" s="2"/>
    </row>
    <row r="3" ht="12.75" customHeight="1">
      <c r="A3" s="8">
        <v>1.0</v>
      </c>
      <c r="B3" s="11"/>
      <c r="AL3" s="2"/>
      <c r="AM3" s="7"/>
      <c r="AN3" s="5"/>
      <c r="AO3" s="2"/>
      <c r="AP3" s="2"/>
      <c r="AQ3" s="2"/>
      <c r="AR3" s="2"/>
      <c r="AS3" s="2"/>
      <c r="AT3" s="2"/>
      <c r="AU3" s="2"/>
      <c r="AV3" s="2"/>
      <c r="AW3" s="2"/>
      <c r="AX3" s="2"/>
      <c r="AY3" s="2"/>
      <c r="AZ3" s="2"/>
      <c r="BA3" s="2"/>
      <c r="BB3" s="2"/>
      <c r="BC3" s="2"/>
      <c r="BD3" s="2"/>
      <c r="BE3" s="2"/>
      <c r="BF3" s="2"/>
      <c r="BG3" s="2"/>
      <c r="BH3" s="2"/>
    </row>
    <row r="4" ht="12.75" customHeight="1">
      <c r="A4" s="8">
        <v>1.0</v>
      </c>
      <c r="B4" s="11"/>
      <c r="AL4" s="2"/>
      <c r="AM4" s="7"/>
      <c r="AN4" s="5"/>
      <c r="AO4" s="2"/>
      <c r="AP4" s="2"/>
      <c r="AQ4" s="2"/>
      <c r="AR4" s="2"/>
      <c r="AS4" s="2"/>
      <c r="AT4" s="2"/>
      <c r="AU4" s="2"/>
      <c r="AV4" s="2"/>
      <c r="AW4" s="2"/>
      <c r="AX4" s="2"/>
      <c r="AY4" s="2"/>
      <c r="AZ4" s="2"/>
      <c r="BA4" s="2"/>
      <c r="BB4" s="2"/>
      <c r="BC4" s="2"/>
      <c r="BD4" s="2"/>
      <c r="BE4" s="2"/>
      <c r="BF4" s="2"/>
      <c r="BG4" s="2"/>
      <c r="BH4" s="2"/>
    </row>
    <row r="5" ht="12.75" customHeight="1">
      <c r="A5" s="8">
        <v>1.0</v>
      </c>
      <c r="B5" s="11"/>
      <c r="AL5" s="2"/>
      <c r="AM5" s="7"/>
      <c r="AN5" s="5"/>
      <c r="AO5" s="2"/>
      <c r="AP5" s="2"/>
      <c r="AQ5" s="2"/>
      <c r="AR5" s="2"/>
      <c r="AS5" s="2"/>
      <c r="AT5" s="2"/>
      <c r="AU5" s="2"/>
      <c r="AV5" s="2"/>
      <c r="AW5" s="2"/>
      <c r="AX5" s="2"/>
      <c r="AY5" s="2"/>
      <c r="AZ5" s="2"/>
      <c r="BA5" s="2"/>
      <c r="BB5" s="2"/>
      <c r="BC5" s="2"/>
      <c r="BD5" s="2"/>
      <c r="BE5" s="2"/>
      <c r="BF5" s="2"/>
      <c r="BG5" s="2"/>
      <c r="BH5" s="2"/>
    </row>
    <row r="6" ht="12.75" customHeight="1">
      <c r="A6" s="8">
        <v>1.0</v>
      </c>
      <c r="B6" s="11"/>
      <c r="AL6" s="2"/>
      <c r="AM6" s="7"/>
      <c r="AN6" s="5"/>
      <c r="AO6" s="2"/>
      <c r="AP6" s="2"/>
      <c r="AQ6" s="2"/>
      <c r="AR6" s="2"/>
      <c r="AS6" s="2"/>
      <c r="AT6" s="2"/>
      <c r="AU6" s="2"/>
      <c r="AV6" s="2"/>
      <c r="AW6" s="2"/>
      <c r="AX6" s="2"/>
      <c r="AY6" s="2"/>
      <c r="AZ6" s="2"/>
      <c r="BA6" s="2"/>
      <c r="BB6" s="2"/>
      <c r="BC6" s="2"/>
      <c r="BD6" s="2"/>
      <c r="BE6" s="2"/>
      <c r="BF6" s="2"/>
      <c r="BG6" s="2"/>
      <c r="BH6" s="2"/>
    </row>
    <row r="7" ht="12.75" customHeight="1">
      <c r="A7" s="8">
        <v>1.0</v>
      </c>
      <c r="B7" s="11"/>
      <c r="AL7" s="2"/>
      <c r="AM7" s="7"/>
      <c r="AN7" s="5"/>
      <c r="AO7" s="2"/>
      <c r="AP7" s="2"/>
      <c r="AQ7" s="2"/>
      <c r="AR7" s="2"/>
      <c r="AS7" s="2"/>
      <c r="AT7" s="2"/>
      <c r="AU7" s="2"/>
      <c r="AV7" s="2"/>
      <c r="AW7" s="2"/>
      <c r="AX7" s="2"/>
      <c r="AY7" s="2"/>
      <c r="AZ7" s="2"/>
      <c r="BA7" s="2"/>
      <c r="BB7" s="2"/>
      <c r="BC7" s="2"/>
      <c r="BD7" s="2"/>
      <c r="BE7" s="2"/>
      <c r="BF7" s="2"/>
      <c r="BG7" s="2"/>
      <c r="BH7" s="2"/>
    </row>
    <row r="8" ht="12.75" customHeight="1">
      <c r="A8" s="8">
        <v>1.0</v>
      </c>
      <c r="B8" s="12" t="s">
        <v>0</v>
      </c>
      <c r="C8" s="13" t="s">
        <v>1</v>
      </c>
      <c r="D8" s="2"/>
      <c r="E8" s="3"/>
      <c r="F8" s="2"/>
      <c r="G8" s="2"/>
      <c r="H8" s="2"/>
      <c r="I8" s="2"/>
      <c r="J8" s="2"/>
      <c r="K8" s="14" t="s">
        <v>2</v>
      </c>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2"/>
      <c r="AM8" s="7"/>
      <c r="AN8" s="5"/>
      <c r="AO8" s="2"/>
      <c r="AP8" s="2"/>
      <c r="AQ8" s="2"/>
      <c r="AR8" s="2"/>
      <c r="AS8" s="2"/>
      <c r="AT8" s="2"/>
      <c r="AU8" s="2"/>
      <c r="AV8" s="2"/>
      <c r="AW8" s="2"/>
      <c r="AX8" s="2"/>
      <c r="AY8" s="2"/>
      <c r="AZ8" s="2"/>
      <c r="BA8" s="2"/>
      <c r="BB8" s="2"/>
      <c r="BC8" s="2"/>
      <c r="BD8" s="2"/>
      <c r="BE8" s="2"/>
      <c r="BF8" s="2"/>
      <c r="BG8" s="2"/>
      <c r="BH8" s="2"/>
    </row>
    <row r="9" ht="12.75" customHeight="1">
      <c r="A9" s="8">
        <v>1.0</v>
      </c>
      <c r="B9" s="12" t="s">
        <v>3</v>
      </c>
      <c r="C9" s="2"/>
      <c r="D9" s="2"/>
      <c r="E9" s="3"/>
      <c r="F9" s="2"/>
      <c r="G9" s="2"/>
      <c r="H9" s="2"/>
      <c r="I9" s="2"/>
      <c r="J9" s="2"/>
      <c r="K9" s="16"/>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2"/>
      <c r="AM9" s="7"/>
      <c r="AN9" s="5"/>
      <c r="AO9" s="2"/>
      <c r="AP9" s="2"/>
      <c r="AQ9" s="2"/>
      <c r="AR9" s="2"/>
      <c r="AS9" s="2"/>
      <c r="AT9" s="2"/>
      <c r="AU9" s="2"/>
      <c r="AV9" s="2"/>
      <c r="AW9" s="2"/>
      <c r="AX9" s="2"/>
      <c r="AY9" s="2"/>
      <c r="AZ9" s="2"/>
      <c r="BA9" s="2"/>
      <c r="BB9" s="2"/>
      <c r="BC9" s="2"/>
      <c r="BD9" s="2"/>
      <c r="BE9" s="2"/>
      <c r="BF9" s="2"/>
      <c r="BG9" s="2"/>
      <c r="BH9" s="2"/>
    </row>
    <row r="10" ht="12.75" customHeight="1">
      <c r="A10" s="1"/>
      <c r="B10" s="2"/>
      <c r="C10" s="18" t="s">
        <v>4</v>
      </c>
      <c r="D10" s="19" t="s">
        <v>5</v>
      </c>
      <c r="E10" s="20"/>
      <c r="F10" s="21"/>
      <c r="G10" s="21"/>
      <c r="H10" s="21"/>
      <c r="I10" s="22">
        <v>1.0</v>
      </c>
      <c r="J10" s="2"/>
      <c r="K10" s="2"/>
      <c r="L10" s="3"/>
      <c r="M10" s="3"/>
      <c r="N10" s="4"/>
      <c r="O10" s="2"/>
      <c r="P10" s="2"/>
      <c r="Q10" s="2"/>
      <c r="R10" s="5"/>
      <c r="S10" s="5"/>
      <c r="T10" s="2"/>
      <c r="U10" s="5"/>
      <c r="V10" s="5"/>
      <c r="W10" s="5"/>
      <c r="X10" s="2"/>
      <c r="Y10" s="5"/>
      <c r="Z10" s="5"/>
      <c r="AA10" s="5"/>
      <c r="AB10" s="5"/>
      <c r="AC10" s="2"/>
      <c r="AD10" s="5"/>
      <c r="AE10" s="5"/>
      <c r="AF10" s="6"/>
      <c r="AG10" s="5"/>
      <c r="AH10" s="5"/>
      <c r="AI10" s="5"/>
      <c r="AJ10" s="5"/>
      <c r="AK10" s="5"/>
      <c r="AL10" s="2"/>
      <c r="AM10" s="7"/>
      <c r="AN10" s="5"/>
      <c r="AO10" s="2"/>
      <c r="AP10" s="2"/>
      <c r="AQ10" s="2"/>
      <c r="AR10" s="2"/>
      <c r="AS10" s="2"/>
      <c r="AT10" s="2"/>
      <c r="AU10" s="2"/>
      <c r="AV10" s="2"/>
      <c r="AW10" s="2"/>
      <c r="AX10" s="2"/>
      <c r="AY10" s="2"/>
      <c r="AZ10" s="2"/>
      <c r="BA10" s="2"/>
      <c r="BB10" s="2"/>
      <c r="BC10" s="2"/>
      <c r="BD10" s="2"/>
      <c r="BE10" s="2"/>
      <c r="BF10" s="2"/>
      <c r="BG10" s="2"/>
      <c r="BH10" s="2"/>
    </row>
    <row r="11" ht="12.75" customHeight="1">
      <c r="A11" s="8">
        <v>1.0</v>
      </c>
      <c r="B11" s="23" t="s">
        <v>6</v>
      </c>
      <c r="C11" s="23" t="s">
        <v>7</v>
      </c>
      <c r="D11" s="24" t="s">
        <v>8</v>
      </c>
      <c r="E11" s="25" t="s">
        <v>9</v>
      </c>
      <c r="F11" s="24" t="s">
        <v>10</v>
      </c>
      <c r="G11" s="24" t="s">
        <v>11</v>
      </c>
      <c r="H11" s="24" t="s">
        <v>12</v>
      </c>
      <c r="I11" s="24" t="s">
        <v>13</v>
      </c>
      <c r="J11" s="26" t="s">
        <v>14</v>
      </c>
      <c r="K11" s="23" t="s">
        <v>15</v>
      </c>
      <c r="L11" s="27" t="s">
        <v>16</v>
      </c>
      <c r="M11" s="28" t="s">
        <v>17</v>
      </c>
      <c r="N11" s="29"/>
      <c r="O11" s="29"/>
      <c r="P11" s="30"/>
      <c r="Q11" s="23" t="s">
        <v>18</v>
      </c>
      <c r="R11" s="31" t="s">
        <v>19</v>
      </c>
      <c r="S11" s="29"/>
      <c r="T11" s="30"/>
      <c r="U11" s="32"/>
      <c r="V11" s="31" t="s">
        <v>20</v>
      </c>
      <c r="W11" s="30"/>
      <c r="X11" s="2"/>
      <c r="Y11" s="5"/>
      <c r="Z11" s="5"/>
      <c r="AA11" s="5"/>
      <c r="AB11" s="5"/>
      <c r="AC11" s="33"/>
      <c r="AD11" s="34" t="s">
        <v>21</v>
      </c>
      <c r="AE11" s="35" t="s">
        <v>22</v>
      </c>
      <c r="AF11" s="36" t="s">
        <v>23</v>
      </c>
      <c r="AG11" s="37" t="s">
        <v>24</v>
      </c>
      <c r="AH11" s="38" t="s">
        <v>25</v>
      </c>
      <c r="AI11" s="39"/>
      <c r="AJ11" s="40" t="s">
        <v>26</v>
      </c>
      <c r="AK11" s="40" t="s">
        <v>27</v>
      </c>
      <c r="AL11" s="2"/>
      <c r="AM11" s="41" t="s">
        <v>18</v>
      </c>
      <c r="AN11" s="40" t="s">
        <v>28</v>
      </c>
      <c r="AO11" s="40" t="s">
        <v>29</v>
      </c>
      <c r="AP11" s="40" t="s">
        <v>30</v>
      </c>
      <c r="AQ11" s="2"/>
      <c r="AR11" s="2"/>
      <c r="AS11" s="2"/>
      <c r="AT11" s="2"/>
      <c r="AU11" s="2"/>
      <c r="AV11" s="2"/>
      <c r="AW11" s="2"/>
      <c r="AX11" s="2"/>
      <c r="AY11" s="2"/>
      <c r="AZ11" s="2"/>
      <c r="BA11" s="2"/>
      <c r="BB11" s="2"/>
      <c r="BC11" s="2"/>
      <c r="BD11" s="2"/>
      <c r="BE11" s="2"/>
      <c r="BF11" s="2"/>
      <c r="BG11" s="2"/>
      <c r="BH11" s="2"/>
    </row>
    <row r="12" ht="28.5" customHeight="1">
      <c r="A12" s="8">
        <v>1.0</v>
      </c>
      <c r="B12" s="42"/>
      <c r="C12" s="42"/>
      <c r="D12" s="43"/>
      <c r="E12" s="43"/>
      <c r="F12" s="43"/>
      <c r="G12" s="43"/>
      <c r="H12" s="43"/>
      <c r="I12" s="43"/>
      <c r="J12" s="44"/>
      <c r="K12" s="42"/>
      <c r="L12" s="45" t="s">
        <v>31</v>
      </c>
      <c r="M12" s="46" t="s">
        <v>18</v>
      </c>
      <c r="N12" s="47" t="s">
        <v>32</v>
      </c>
      <c r="O12" s="48">
        <v>0.0</v>
      </c>
      <c r="P12" s="49" t="s">
        <v>15</v>
      </c>
      <c r="Q12" s="42"/>
      <c r="R12" s="50" t="s">
        <v>26</v>
      </c>
      <c r="S12" s="51" t="s">
        <v>27</v>
      </c>
      <c r="T12" s="51" t="s">
        <v>33</v>
      </c>
      <c r="U12" s="50" t="s">
        <v>26</v>
      </c>
      <c r="V12" s="50" t="s">
        <v>27</v>
      </c>
      <c r="W12" s="51" t="s">
        <v>34</v>
      </c>
      <c r="X12" s="2"/>
      <c r="Y12" s="5"/>
      <c r="Z12" s="5"/>
      <c r="AA12" s="5"/>
      <c r="AB12" s="5"/>
      <c r="AC12" s="33"/>
      <c r="AD12" s="52"/>
      <c r="AE12" s="53"/>
      <c r="AF12" s="54">
        <f>SUM(AF13)</f>
        <v>0</v>
      </c>
      <c r="AG12" s="55"/>
      <c r="AH12" s="56"/>
      <c r="AI12" s="39"/>
      <c r="AJ12" s="57"/>
      <c r="AK12" s="57"/>
      <c r="AL12" s="2"/>
      <c r="AM12" s="57"/>
      <c r="AN12" s="57"/>
      <c r="AO12" s="57"/>
      <c r="AP12" s="57"/>
      <c r="AQ12" s="2"/>
      <c r="AR12" s="2"/>
      <c r="AS12" s="2"/>
      <c r="AT12" s="2"/>
      <c r="AU12" s="2"/>
      <c r="AV12" s="2"/>
      <c r="AW12" s="2"/>
      <c r="AX12" s="2"/>
      <c r="AY12" s="2"/>
      <c r="AZ12" s="2"/>
      <c r="BA12" s="2"/>
      <c r="BB12" s="2"/>
      <c r="BC12" s="2"/>
      <c r="BD12" s="2"/>
      <c r="BE12" s="2"/>
      <c r="BF12" s="2"/>
      <c r="BG12" s="2"/>
      <c r="BH12" s="2"/>
    </row>
    <row r="13" ht="12.75" customHeight="1">
      <c r="A13" s="8">
        <v>1.0</v>
      </c>
      <c r="B13" s="58"/>
      <c r="C13" s="59"/>
      <c r="D13" s="59"/>
      <c r="E13" s="60"/>
      <c r="F13" s="59"/>
      <c r="G13" s="59"/>
      <c r="H13" s="59"/>
      <c r="I13" s="59"/>
      <c r="J13" s="59"/>
      <c r="K13" s="59"/>
      <c r="L13" s="60"/>
      <c r="M13" s="60"/>
      <c r="N13" s="61"/>
      <c r="O13" s="59"/>
      <c r="P13" s="59"/>
      <c r="Q13" s="62"/>
      <c r="R13" s="63"/>
      <c r="S13" s="63"/>
      <c r="T13" s="62"/>
      <c r="U13" s="63"/>
      <c r="V13" s="63"/>
      <c r="W13" s="64"/>
      <c r="X13" s="2"/>
      <c r="Y13" s="5"/>
      <c r="Z13" s="5"/>
      <c r="AA13" s="5"/>
      <c r="AB13" s="5"/>
      <c r="AC13" s="33"/>
      <c r="AD13" s="65"/>
      <c r="AE13" s="66"/>
      <c r="AF13" s="67"/>
      <c r="AG13" s="68"/>
      <c r="AH13" s="69"/>
      <c r="AI13" s="39"/>
      <c r="AJ13" s="70"/>
      <c r="AK13" s="70"/>
      <c r="AL13" s="2"/>
      <c r="AM13" s="7"/>
      <c r="AN13" s="5"/>
      <c r="AO13" s="2"/>
      <c r="AP13" s="2"/>
      <c r="AQ13" s="2"/>
      <c r="AR13" s="2"/>
      <c r="AS13" s="2"/>
      <c r="AT13" s="2"/>
      <c r="AU13" s="2"/>
      <c r="AV13" s="2"/>
      <c r="AW13" s="2"/>
      <c r="AX13" s="2"/>
      <c r="AY13" s="2"/>
      <c r="AZ13" s="2"/>
      <c r="BA13" s="2"/>
      <c r="BB13" s="2"/>
      <c r="BC13" s="2"/>
      <c r="BD13" s="2"/>
      <c r="BE13" s="2"/>
      <c r="BF13" s="2"/>
      <c r="BG13" s="2"/>
      <c r="BH13" s="2"/>
    </row>
    <row r="14" ht="12.75" customHeight="1">
      <c r="A14" s="71">
        <v>1.0</v>
      </c>
      <c r="B14" s="72"/>
      <c r="C14" s="73" t="s">
        <v>35</v>
      </c>
      <c r="D14" s="74"/>
      <c r="E14" s="75"/>
      <c r="F14" s="74"/>
      <c r="G14" s="74"/>
      <c r="H14" s="74"/>
      <c r="I14" s="75"/>
      <c r="J14" s="74"/>
      <c r="K14" s="74"/>
      <c r="L14" s="75"/>
      <c r="M14" s="75"/>
      <c r="N14" s="76"/>
      <c r="O14" s="74"/>
      <c r="P14" s="74"/>
      <c r="Q14" s="77"/>
      <c r="R14" s="78"/>
      <c r="S14" s="78"/>
      <c r="T14" s="77"/>
      <c r="U14" s="78"/>
      <c r="V14" s="78"/>
      <c r="W14" s="79"/>
      <c r="X14" s="21"/>
      <c r="Y14" s="5"/>
      <c r="Z14" s="5"/>
      <c r="AA14" s="5"/>
      <c r="AB14" s="5"/>
      <c r="AC14" s="21"/>
      <c r="AD14" s="80"/>
      <c r="AE14" s="81"/>
      <c r="AF14" s="82"/>
      <c r="AG14" s="83"/>
      <c r="AH14" s="84"/>
      <c r="AI14" s="85"/>
      <c r="AJ14" s="86"/>
      <c r="AK14" s="86"/>
      <c r="AL14" s="5"/>
      <c r="AM14" s="7"/>
      <c r="AN14" s="5"/>
      <c r="AO14" s="5"/>
      <c r="AP14" s="5"/>
      <c r="AQ14" s="5"/>
      <c r="AR14" s="5"/>
      <c r="AS14" s="5"/>
      <c r="AT14" s="5"/>
      <c r="AU14" s="5"/>
      <c r="AV14" s="5"/>
      <c r="AW14" s="5"/>
      <c r="AX14" s="5"/>
      <c r="AY14" s="5"/>
      <c r="AZ14" s="5"/>
      <c r="BA14" s="5"/>
      <c r="BB14" s="5"/>
      <c r="BC14" s="5"/>
      <c r="BD14" s="5"/>
      <c r="BE14" s="5"/>
      <c r="BF14" s="5"/>
      <c r="BG14" s="5"/>
      <c r="BH14" s="5"/>
    </row>
    <row r="15" ht="12.75" customHeight="1">
      <c r="A15" s="87">
        <v>1.0</v>
      </c>
      <c r="B15" s="88"/>
      <c r="C15" s="89" t="s">
        <v>36</v>
      </c>
      <c r="D15" s="90"/>
      <c r="E15" s="91"/>
      <c r="F15" s="90"/>
      <c r="G15" s="90"/>
      <c r="H15" s="90"/>
      <c r="I15" s="90"/>
      <c r="J15" s="90"/>
      <c r="K15" s="90"/>
      <c r="L15" s="91"/>
      <c r="M15" s="91"/>
      <c r="N15" s="92"/>
      <c r="O15" s="90"/>
      <c r="P15" s="90"/>
      <c r="Q15" s="90"/>
      <c r="R15" s="90"/>
      <c r="S15" s="90"/>
      <c r="T15" s="90"/>
      <c r="U15" s="90"/>
      <c r="V15" s="90"/>
      <c r="W15" s="93"/>
      <c r="X15" s="94"/>
      <c r="Y15" s="5"/>
      <c r="Z15" s="5"/>
      <c r="AA15" s="5"/>
      <c r="AB15" s="5"/>
      <c r="AC15" s="94"/>
      <c r="AD15" s="95"/>
      <c r="AE15" s="96"/>
      <c r="AF15" s="97"/>
      <c r="AG15" s="98"/>
      <c r="AH15" s="99"/>
      <c r="AI15" s="100"/>
      <c r="AJ15" s="101"/>
      <c r="AK15" s="101"/>
      <c r="AL15" s="5"/>
      <c r="AM15" s="7"/>
      <c r="AN15" s="5"/>
      <c r="AO15" s="5"/>
      <c r="AP15" s="5"/>
      <c r="AQ15" s="5"/>
      <c r="AR15" s="5"/>
      <c r="AS15" s="5"/>
      <c r="AT15" s="5"/>
      <c r="AU15" s="5"/>
      <c r="AV15" s="5"/>
      <c r="AW15" s="5"/>
      <c r="AX15" s="5"/>
      <c r="AY15" s="5"/>
      <c r="AZ15" s="5"/>
      <c r="BA15" s="5"/>
      <c r="BB15" s="5"/>
      <c r="BC15" s="5"/>
      <c r="BD15" s="5"/>
      <c r="BE15" s="5"/>
      <c r="BF15" s="5"/>
      <c r="BG15" s="5"/>
      <c r="BH15" s="5"/>
    </row>
    <row r="16">
      <c r="A16" s="87">
        <v>1.0</v>
      </c>
      <c r="B16" s="102"/>
      <c r="C16" s="103" t="s">
        <v>37</v>
      </c>
      <c r="D16" s="104"/>
      <c r="E16" s="105"/>
      <c r="F16" s="104"/>
      <c r="G16" s="104"/>
      <c r="H16" s="104"/>
      <c r="I16" s="104"/>
      <c r="J16" s="104"/>
      <c r="K16" s="104"/>
      <c r="L16" s="106" t="str">
        <f>Q16</f>
        <v>#REF!</v>
      </c>
      <c r="M16" s="105"/>
      <c r="N16" s="107"/>
      <c r="O16" s="104"/>
      <c r="P16" s="104"/>
      <c r="Q16" s="106" t="str">
        <f>Q17</f>
        <v>#REF!</v>
      </c>
      <c r="R16" s="108"/>
      <c r="S16" s="109" t="str">
        <f>T16/Q16</f>
        <v>#REF!</v>
      </c>
      <c r="T16" s="109" t="str">
        <f>SUM(S17:S35)</f>
        <v>#REF!</v>
      </c>
      <c r="U16" s="108" t="str">
        <f>iferror(if(B16="",,VLOOKUP(B16,Data!$B$2:$F905,5,0)),"")</f>
        <v/>
      </c>
      <c r="V16" s="109" t="str">
        <f>W16/Q16</f>
        <v>#REF!</v>
      </c>
      <c r="W16" s="110" t="str">
        <f>SUM(W17:W35)</f>
        <v>#REF!</v>
      </c>
      <c r="X16" s="111" t="str">
        <f>W16/$AC$176/$W$183/$X$173</f>
        <v>#REF!</v>
      </c>
      <c r="Y16" s="112" t="str">
        <f>(T16+W16)=(SUM(AB17:AB34))</f>
        <v>#REF!</v>
      </c>
      <c r="Z16" s="113" t="str">
        <f>(T16+W16)-(SUM(AB17:AB34))</f>
        <v>#REF!</v>
      </c>
      <c r="AA16" s="5"/>
      <c r="AB16" s="5"/>
      <c r="AC16" s="33"/>
      <c r="AD16" s="114" t="str">
        <f>W16+T16</f>
        <v>#REF!</v>
      </c>
      <c r="AE16" s="115" t="str">
        <f>AD16</f>
        <v>#REF!</v>
      </c>
      <c r="AF16" s="116" t="str">
        <f>AE16/$AE$151</f>
        <v>#REF!</v>
      </c>
      <c r="AG16" s="117" t="str">
        <f>AF16*$AG$158</f>
        <v>#REF!</v>
      </c>
      <c r="AH16" s="118" t="str">
        <f>AF16*$AG$161</f>
        <v>#REF!</v>
      </c>
      <c r="AI16" s="39"/>
      <c r="AJ16" s="119" t="str">
        <f>ROUND(AK16/L16,2)</f>
        <v>#REF!</v>
      </c>
      <c r="AK16" s="119" t="str">
        <f>ROUND(AH16+AG16+AD16,2)</f>
        <v>#REF!</v>
      </c>
      <c r="AL16" s="5"/>
      <c r="AM16" s="105"/>
      <c r="AN16" s="120"/>
      <c r="AO16" s="105"/>
      <c r="AP16" s="120"/>
      <c r="AQ16" s="5"/>
      <c r="AR16" s="5"/>
      <c r="AS16" s="5"/>
      <c r="AT16" s="5"/>
      <c r="AU16" s="5"/>
      <c r="AV16" s="5"/>
      <c r="AW16" s="5"/>
      <c r="AX16" s="5"/>
      <c r="AY16" s="5"/>
      <c r="AZ16" s="5"/>
      <c r="BA16" s="5"/>
      <c r="BB16" s="5"/>
      <c r="BC16" s="5"/>
      <c r="BD16" s="5"/>
      <c r="BE16" s="5"/>
      <c r="BF16" s="5"/>
      <c r="BG16" s="5"/>
      <c r="BH16" s="5"/>
    </row>
    <row r="17">
      <c r="A17" s="121"/>
      <c r="B17" s="122" t="s">
        <v>38</v>
      </c>
      <c r="C17" s="123" t="s">
        <v>39</v>
      </c>
      <c r="D17" s="148" t="s">
        <v>40</v>
      </c>
      <c r="E17" s="125" t="str">
        <f>IFERROR(__xludf.DUMMYFUNCTION("IF($B$17:$B386="""","""",
  VLOOKUP(
    $B$17:$B386,
    QUERY(
      IMPORTRANGE(""1Ag27m9YF5mMfJh2E6NipJDFvPLlDI1p-s_1XEnzMHcc"",""Merge!F2:R""),
      ""select Col1, Col11"",
      0
    ),
    2,
    FALSE
  )
)
"),"#REF!")</f>
        <v>#REF!</v>
      </c>
      <c r="F17" s="126" t="str">
        <f>IFERROR(__xludf.DUMMYFUNCTION("IFERROR(REGEXEXTRACT(C17,""@\s*(\d+)\s*deg"")&amp;""°"","""")
"),"9°")</f>
        <v>9°</v>
      </c>
      <c r="G17" s="127"/>
      <c r="H17" s="128" t="str">
        <f>IFERROR(__xludf.DUMMYFUNCTION("IFERROR(REGEXEXTRACT(C17, ""(\d*\.\d+)mm""), """")"),"0.55")</f>
        <v>0.55</v>
      </c>
      <c r="I17" s="129"/>
      <c r="J17" s="126" t="s">
        <v>14</v>
      </c>
      <c r="K17" s="130" t="s">
        <v>41</v>
      </c>
      <c r="L17" s="131">
        <v>602.91</v>
      </c>
      <c r="M17" s="132" t="str">
        <f>L17*E17</f>
        <v>#REF!</v>
      </c>
      <c r="N17" s="133">
        <f>IFERROR(__xludf.DUMMYFUNCTION("ARRAYFORMULA(IF(
    (B17:B148&lt;&gt;"""") * (F17:F148=""""),
    1,
    IF(
      F17:F148="""",
      """",
      IFERROR(1/COS(RADIANS(REGEXEXTRACT(F17:F148,""(\d+)""))))
    )
  ))"),1.0124651257880029)</f>
        <v>1.012465126</v>
      </c>
      <c r="O17" s="134">
        <v>1.0</v>
      </c>
      <c r="P17" s="134">
        <v>1.0</v>
      </c>
      <c r="Q17" s="135" t="str">
        <f>M17*N17*O17*P17</f>
        <v>#REF!</v>
      </c>
      <c r="R17" s="136" t="str">
        <f t="array" ref="R17:R148">iferror(if(B17:B148="",,VLOOKUP(B17:B148,Data!$B$2:$K905,9,0)),"")</f>
        <v/>
      </c>
      <c r="S17" s="137" t="str">
        <f>R17*Q17</f>
        <v>#REF!</v>
      </c>
      <c r="T17" s="138"/>
      <c r="U17" s="136" t="str">
        <f t="array" ref="U17:U148">iferror(if(B17:B148="",,VLOOKUP(B17:B148,Data!$B$2:$K905,10,0)),"")</f>
        <v/>
      </c>
      <c r="V17" s="139"/>
      <c r="W17" s="140" t="str">
        <f>U17*Q17</f>
        <v>#REF!</v>
      </c>
      <c r="X17" s="111" t="str">
        <f>W17/$AC$176/$W$183/Y17</f>
        <v>#REF!</v>
      </c>
      <c r="Y17" s="141">
        <v>10.0</v>
      </c>
      <c r="Z17" s="142" t="str">
        <f>Q17/X17</f>
        <v>#REF!</v>
      </c>
      <c r="AA17" s="143">
        <f>27*15/60/8</f>
        <v>0.84375</v>
      </c>
      <c r="AB17" s="113" t="str">
        <f t="shared" ref="AB17:AB34" si="1">W17+S17</f>
        <v>#REF!</v>
      </c>
      <c r="AC17" s="33"/>
      <c r="AD17" s="65"/>
      <c r="AE17" s="66"/>
      <c r="AF17" s="144"/>
      <c r="AG17" s="68"/>
      <c r="AH17" s="69"/>
      <c r="AI17" s="39"/>
      <c r="AJ17" s="70"/>
      <c r="AK17" s="70"/>
      <c r="AL17" s="5"/>
      <c r="AM17" s="145" t="str">
        <f t="array" ref="AM17:AM148">IFERROR(
   IF(B17:B148="","",
IF(D17:D148="Rain Head",L17:L148,
IF(D17:D148="R-Accessories",L17:L148,
IF(D17:D148="R-AdvFixing",L17:L148,
IF(D17:D148="R-Angle Bar",L17:L148,
IF(D17:D148="R-Butyl",L17:L148/12,
IF(D17:D148="R-Comb Filler",L17:L148,
IF(D17:D148="R-Dektite",L17:L148,
IF(D17:D148="R-Dektite Fix",L17:L148*(ROUNDUP(E17:E148/0.05,0)+1),
IF(D17:D148="R-Dektite Seal",L17:L148*(E17:E148/8),
IF(D17:D148="R-DP",L17:L148,
IF(D17:D148="R-DPC",L17:L148,
IF(D17:D148="R-DPBracket",L17:L148,
IF(D17:D148="R-EavesGut",L17:L148,
IF(D17:D148="R-EGBracket",ROUNDUP(L17:L148/E17:E148,0)+1,
IF(D17:D148="R-EGBracketFixing",ROUNDUP(L17:L148*E17:E148,0)+1,
IF(D17:D148="R-ExpFoam",L17:L148,
IF(D17:D148="R-Fascia",L17:L148,
IF(D17:D148="R-FasciaBracket",ROUNDUP(L17:L148/E17:E148,0)+1,
IF(D17:D148="R-FasciaBracketFixing",ROUNDUP(L17:L148/0.6,0)+1,
IF(D17:D148="R-FFBottom",L17:L148,
IF(D17:D148="R-FFSide",L17:L148,
IF(D17:D148="R-FFTop",L17:L148,
IF(D17:D148="R-Fixings",ROUNDUP(L17:L148*6,0)+1,
IF(D17:D148="R-Flashing",L17:L148,
IF(D17:D148="R-GenFix",ROUNDUP(L17:L148/0.6,0)+1,
IF(D17:D148="R-Insulation",L17:L148,
IF(D17:D148="R-KS",VLOOKUP(B17:B148,Data!B2:H905,6,0)*L17:L148,
IF(D17:D148="R-KSFixing",ROUNDUP(L17:L148*6,0)+1,
IF(D17:D148="R-LM",L17:L148,
IF(D17:D148="R-m2",L17:L148*E17:E148,
IF(D17:D148="R-OF",L17:L148,
IF(D17:D148="R-OP",L17:L148,
IF(D17:D148="R-OPFixing",L17:L148*10,
IF(D17:D148="R-OPSeal",(L17:L148*3.14*E17:E148)/8,
IF(D17:D148="R-PanFlashing",L17:L148,
IF(D17:D148="R-PanFlash Fix",ROUNDUP((L17:L148*E17:E148)*8,0)+1,
IF(D17:D148="R-Post",L17:L148/E17:E148,
IF(D17:D148="R-PostFix",L17:L148,
IF(D17:D148="R-Perforated ",ROUNDUP(L17:L148/E17:E148,0),
IF(D17:D148="R-PerforatedFix",ROUNDUP(L17:L148*8,0)+1,
IF(D17:D148="R-Rail",L17:L148,
IF(D17:D148="R-Rainhead",L17:L148,
IF(D17:D148="R-Ridge Vent",(L17:L148/(VLOOKUP(B17:B148,Data!B2:H905,6,0))),
IF(D17:D148="R-Rivets",ROUNDUP(((L17:L148/5.7)+1)*(E17:E148/0.05),0),
IF(D17:D148="R-RivetsEa",L17:L148,
IF(D17:D148="R-RoofClips",ROUNDUP(L17:L148/E17:E148,0)+1,
IF(D17:D148="R-Safety Mesh",L17:L148,
IF(D17:D148="R-Scupper",L17:L148,
IF(D17:D148="R-Sheeting",VLOOKUP(B17:B148,Data!B2:H905,6,0)*L17:L148,
IF(D17:D148="R-Silicone",(ROUNDDOWN((L17:L148/5.7)+2,0)*E17:E148)/8,
IF(D17:D148="R-Silicone LM",L17:L148/8,
IF(D17:D148="R-SumpFixing",ROUNDUP((L17:L148*E17:E148)/0.05,0)+1,
IF(D17:D148="R-SumpSeal",(L17:L148*E17:E148)/8,
IF(D17:D148="R-Sump",L17:L148,
IF(D17:D148="R-Takeoff ea",L17:L148,
IF(D17:D148="R-Takeoff LM",L17:L148,
IF(D17:D148="R-Takeoff m2",L17:L148*E17:E148,
IF(D17:D148="R-Takeoff m3",L17:L148*E17:E148*H17:H148,
IF(D17:D148="R-Timber ea",ROUNDUP(L17:L148/E17:E148,0)+1,
IF(D17:D148="R-Timber LM",L17:L148,
IF(D17:D148="R-Timber m2",L17:L148*E17:E148,
IF(D17:D148="R-Timber eaFix",L17:L148*E17:E148,
IF(D17:D148="R-TimberLMFix",ROUNDUP(L17:L148/1,0)+1,
IF(D17:D148="R-Timberm2Fix",ROUNDUP(L17:L148*5,0)+1,
IF(D17:D148="R-TopHatFixings",ROUNDUP(L17:L148/0.6,0)*2,
IF(D17:D148="R-Trimmer/Packer",L17:L148,
IF(D17:D148="R-TS",VLOOKUP(B17:B148,Data!B2:H905,6,0)*L17:L148,
IF(D17:D148="R-TSFixing",(ROUNDUP(L17:L148/0.6,0)+1)*2,
IF(D17:D148="R-TSLapSeal",L17:L148,
IF(D17:D148="R-TSPurlinStrip",L17:L148/E17:E148,
IF(D17:D148="R-TSStitching",L17:L148*2,
IF(D17:D148="R-TPO",L17:L148,
IF(D17:D148="R-TPO Gutter",L17:L148,
IF(D17:D148="R-TU/TD",L17:L148,
IF(D17:D148="R-UBracket",ROUNDUP(L17:L148/E17:E148,0)+1,
IF(D17:D148="R-UBracketFix",ROUNDUP(L17:L148*E17:E148,0)+1,
IF(D17:D148="R-Underlay",(L17:L148/(VLOOKUP(B17:B148,Data!B2:H905,6,0)-0.15))*0.15+L17:L148,
IF(D17:D148="R-UTape",L17:L148/E17:E148/H17:H148,
IF(D17:D148="R-Vent",(L17:L148/(VLOOKUP(B17:B148,Data!B2:H905,6,0))),
IF(D17:D148="R-Valley Gutter",L17:L148,
IF(D17:D148="R-VapBarrier",(L17:L148/(E17:E148-0.15))*0.15+L17:L148,
IF(D17:D148="R-Washer",L17:L148,
IF(D17:D148="R-ZFlashingFix",(L17:L148/E17:E148)*2,
IF(D17:D148="W-Comb Filler",L17:L148,
IF(D17:D148="W-DPC",L17:L148,
IF(D17:D148="W-Fixings",ROUNDUP(L17:L148*6,0)+1,
IF(D17:D148="W-Flashing",L17:L148,
IF(D17:D148="W-GenFix",ROUNDUP(L17:L148/0.6,0)+1,
IF(D17:D148="W-KS",VLOOKUP(B17:B148,Data!B2:H905,6,0)*L17:L148,
IF(D17:D148="W-KSFixing",ROUNDUP(L17:L148*6,0)+1,
IF(D17:D148="W-RAB",L17:L148,
IF(D17:D148="W-RABFix",ROUNDUP(L17:L148*E17:E148,0)+1,
IF(D17:D148="W-Rivets",ROUNDUP(((L17:L148/5.7)+1)*(E17:E148/0.05),0),
IF(D17:D148="W-Silicone",(ROUNDDOWN((L17:L148/5.7)+2,0)*E17:E148)/8,
IF(D17:D148="W-Silicone LM",L17:L148/8,
IF(D17:D148="W-Sheeting",VLOOKUP(B17:B148,Data!B2:H905,6,0)*L17:L148,
IF(D17:D148="W-Silicone",(ROUNDDOWN((L17:L148/5.7)+2,0)*E17:E148)/8,
IF(D17:D148="W-Silicone LM",L17:L148/8,
IF(D17:D148="W-Takeoff ea",L17:L148,
IF(D17:D148="W-Takeoff LM",L17:L148,
IF(D17:D148="W-Takeoff m2",L17:L148*E17:E148,
IF(D17:D148="W-Timber LM",L17:L148,
IF(D17:D148="W-Timber m2",L17:L148*E17:E148,
IF(D17:D148="W-TimberLMFix",ROUNDUP(L17:L148/1,0)+1,
IF(D17:D148="W-Timberm2Fix",ROUNDUP(L17:L148*5,0)+1,
IF(D17:D148="W-TopHatFixings",ROUNDUP(L17:L148/0.6,0)*2,
IF(D17:D148="W-Trimmer/Packer",L17:L148,
IF(D17:D148="W-TimberLMFix",ROUNDUP(L17:L148/0.6,0)+1,
IF(D17:D148="W-Timberm2Fix",ROUNDUP(L17:L148*8,0)+1,
IF(D17:D148="W-Underlay",(L17:L148/(VLOOKUP(B17:B148,Data!B2:H905,6,0)-0.15))*0.15+L17:L148,
IF(D17:D148="W-UTape",L17:L148/E17:E148/H17:H148,
IF(D17:D148="W-Vent",(L17:L148/(VLOOKUP(B17:B148,Data!B2:H905,6,0))),
0
    ))))))))))))))))))))))))))))))))))))))))))))))))))))))))))))))))))))))))))))))))))))))))))))))))))))))))))))))))),
  ""
 )</f>
        <v/>
      </c>
      <c r="AN17" s="146" t="str">
        <f t="array" ref="AN17:AN148">if(B17:B148="",,if(M17:M148=AM17:AM148,"Matched","Mismatched"))</f>
        <v>#REF!</v>
      </c>
      <c r="AO17" s="145" t="str">
        <f t="array" ref="AO17:AO148">if(AM17:AM148="","",AM17:AM148-M17:M148)</f>
        <v/>
      </c>
      <c r="AP17" s="139"/>
      <c r="AQ17" s="5"/>
      <c r="AR17" s="5"/>
      <c r="AS17" s="5"/>
      <c r="AT17" s="5"/>
      <c r="AU17" s="5"/>
      <c r="AV17" s="5"/>
      <c r="AW17" s="5"/>
      <c r="AX17" s="5"/>
      <c r="AY17" s="5"/>
      <c r="AZ17" s="5"/>
      <c r="BA17" s="5"/>
      <c r="BB17" s="5"/>
      <c r="BC17" s="5"/>
      <c r="BD17" s="5"/>
      <c r="BE17" s="5"/>
      <c r="BF17" s="5"/>
      <c r="BG17" s="5"/>
      <c r="BH17" s="5"/>
    </row>
    <row r="18">
      <c r="A18" s="147"/>
      <c r="B18" s="122"/>
      <c r="C18" s="123"/>
      <c r="D18" s="148"/>
      <c r="E18" s="126"/>
      <c r="F18" s="126"/>
      <c r="G18" s="149"/>
      <c r="H18" s="127"/>
      <c r="I18" s="127"/>
      <c r="J18" s="126"/>
      <c r="K18" s="126" t="s">
        <v>42</v>
      </c>
      <c r="L18" s="131"/>
      <c r="M18" s="150"/>
      <c r="N18" s="151" t="str">
        <f>IFERROR(__xludf.DUMMYFUNCTION("""COMPUTED_VALUE"""),"")</f>
        <v/>
      </c>
      <c r="O18" s="134"/>
      <c r="P18" s="134"/>
      <c r="Q18" s="135"/>
      <c r="R18" s="136"/>
      <c r="S18" s="137"/>
      <c r="T18" s="138"/>
      <c r="U18" s="136"/>
      <c r="V18" s="139"/>
      <c r="W18" s="140"/>
      <c r="X18" s="2"/>
      <c r="Y18" s="5"/>
      <c r="Z18" s="5"/>
      <c r="AA18" s="5"/>
      <c r="AB18" s="113">
        <f t="shared" si="1"/>
        <v>0</v>
      </c>
      <c r="AC18" s="33"/>
      <c r="AD18" s="65"/>
      <c r="AE18" s="66"/>
      <c r="AF18" s="144"/>
      <c r="AG18" s="68"/>
      <c r="AH18" s="69"/>
      <c r="AI18" s="39"/>
      <c r="AJ18" s="70"/>
      <c r="AK18" s="70"/>
      <c r="AL18" s="5"/>
      <c r="AM18" s="135" t="s">
        <v>42</v>
      </c>
      <c r="AN18" s="152"/>
      <c r="AO18" s="135" t="s">
        <v>42</v>
      </c>
      <c r="AP18" s="139"/>
      <c r="AQ18" s="5"/>
      <c r="AR18" s="5"/>
      <c r="AS18" s="5"/>
      <c r="AT18" s="5"/>
      <c r="AU18" s="5"/>
      <c r="AV18" s="5"/>
      <c r="AW18" s="5"/>
      <c r="AX18" s="5"/>
      <c r="AY18" s="5"/>
      <c r="AZ18" s="5"/>
      <c r="BA18" s="5"/>
      <c r="BB18" s="5"/>
      <c r="BC18" s="5"/>
      <c r="BD18" s="5"/>
      <c r="BE18" s="5"/>
      <c r="BF18" s="5"/>
      <c r="BG18" s="5"/>
      <c r="BH18" s="5"/>
    </row>
    <row r="19">
      <c r="A19" s="147"/>
      <c r="B19" s="122" t="s">
        <v>43</v>
      </c>
      <c r="C19" s="123" t="s">
        <v>44</v>
      </c>
      <c r="D19" s="148" t="s">
        <v>45</v>
      </c>
      <c r="E19" s="126"/>
      <c r="F19" s="126" t="str">
        <f>F59</f>
        <v>9°</v>
      </c>
      <c r="G19" s="149"/>
      <c r="H19" s="127"/>
      <c r="I19" s="161">
        <f t="shared" ref="I19:I20" si="2">Q19+Q39</f>
        <v>1471.405527</v>
      </c>
      <c r="J19" s="126" t="s">
        <v>14</v>
      </c>
      <c r="K19" s="126" t="s">
        <v>41</v>
      </c>
      <c r="L19" s="131">
        <v>539.5</v>
      </c>
      <c r="M19" s="150">
        <f t="shared" ref="M19:M20" si="3">L19</f>
        <v>539.5</v>
      </c>
      <c r="N19" s="151">
        <f>IFERROR(__xludf.DUMMYFUNCTION("""COMPUTED_VALUE"""),1.0124651257880029)</f>
        <v>1.012465126</v>
      </c>
      <c r="O19" s="134">
        <v>1.0</v>
      </c>
      <c r="P19" s="134">
        <v>1.0</v>
      </c>
      <c r="Q19" s="135">
        <f t="shared" ref="Q19:Q20" si="4">M19*N19*O19*P19</f>
        <v>546.2249354</v>
      </c>
      <c r="R19" s="136" t="s">
        <v>42</v>
      </c>
      <c r="S19" s="137">
        <f t="shared" ref="S19:S20" si="5">R19*Q19</f>
        <v>0</v>
      </c>
      <c r="T19" s="138"/>
      <c r="U19" s="136" t="s">
        <v>42</v>
      </c>
      <c r="V19" s="139"/>
      <c r="W19" s="140">
        <f t="shared" ref="W19:W20" si="6">U19*Q19</f>
        <v>0</v>
      </c>
      <c r="X19" s="2"/>
      <c r="Y19" s="5"/>
      <c r="Z19" s="5"/>
      <c r="AA19" s="5"/>
      <c r="AB19" s="113">
        <f t="shared" si="1"/>
        <v>0</v>
      </c>
      <c r="AC19" s="33"/>
      <c r="AD19" s="65"/>
      <c r="AE19" s="66"/>
      <c r="AF19" s="144"/>
      <c r="AG19" s="68"/>
      <c r="AH19" s="69"/>
      <c r="AI19" s="39"/>
      <c r="AJ19" s="70"/>
      <c r="AK19" s="70"/>
      <c r="AL19" s="5"/>
      <c r="AM19" s="135">
        <v>539.5</v>
      </c>
      <c r="AN19" s="152" t="s">
        <v>46</v>
      </c>
      <c r="AO19" s="135">
        <v>0.0</v>
      </c>
      <c r="AP19" s="139"/>
      <c r="AQ19" s="5"/>
      <c r="AR19" s="5"/>
      <c r="AS19" s="5"/>
      <c r="AT19" s="5"/>
      <c r="AU19" s="5"/>
      <c r="AV19" s="5"/>
      <c r="AW19" s="5"/>
      <c r="AX19" s="5"/>
      <c r="AY19" s="5"/>
      <c r="AZ19" s="5"/>
      <c r="BA19" s="5"/>
      <c r="BB19" s="5"/>
      <c r="BC19" s="5"/>
      <c r="BD19" s="5"/>
      <c r="BE19" s="5"/>
      <c r="BF19" s="5"/>
      <c r="BG19" s="5"/>
      <c r="BH19" s="5"/>
    </row>
    <row r="20">
      <c r="A20" s="147"/>
      <c r="B20" s="122" t="s">
        <v>47</v>
      </c>
      <c r="C20" s="123" t="s">
        <v>48</v>
      </c>
      <c r="D20" s="148" t="s">
        <v>45</v>
      </c>
      <c r="E20" s="126"/>
      <c r="F20" s="126" t="str">
        <f>F19</f>
        <v>9°</v>
      </c>
      <c r="G20" s="149"/>
      <c r="H20" s="127"/>
      <c r="I20" s="161">
        <f t="shared" si="2"/>
        <v>1471.405527</v>
      </c>
      <c r="J20" s="126" t="s">
        <v>14</v>
      </c>
      <c r="K20" s="126" t="s">
        <v>41</v>
      </c>
      <c r="L20" s="135">
        <f>M19</f>
        <v>539.5</v>
      </c>
      <c r="M20" s="150">
        <f t="shared" si="3"/>
        <v>539.5</v>
      </c>
      <c r="N20" s="151">
        <f>IFERROR(__xludf.DUMMYFUNCTION("""COMPUTED_VALUE"""),1.0124651257880029)</f>
        <v>1.012465126</v>
      </c>
      <c r="O20" s="134">
        <v>1.0</v>
      </c>
      <c r="P20" s="134">
        <v>1.0</v>
      </c>
      <c r="Q20" s="135">
        <f t="shared" si="4"/>
        <v>546.2249354</v>
      </c>
      <c r="R20" s="136" t="s">
        <v>42</v>
      </c>
      <c r="S20" s="137">
        <f t="shared" si="5"/>
        <v>0</v>
      </c>
      <c r="T20" s="138"/>
      <c r="U20" s="136" t="s">
        <v>42</v>
      </c>
      <c r="V20" s="139"/>
      <c r="W20" s="140">
        <f t="shared" si="6"/>
        <v>0</v>
      </c>
      <c r="X20" s="2"/>
      <c r="Y20" s="5"/>
      <c r="Z20" s="5"/>
      <c r="AA20" s="5"/>
      <c r="AB20" s="113">
        <f t="shared" si="1"/>
        <v>0</v>
      </c>
      <c r="AC20" s="33"/>
      <c r="AD20" s="65"/>
      <c r="AE20" s="66"/>
      <c r="AF20" s="144"/>
      <c r="AG20" s="68"/>
      <c r="AH20" s="69"/>
      <c r="AI20" s="39"/>
      <c r="AJ20" s="70"/>
      <c r="AK20" s="70"/>
      <c r="AL20" s="5"/>
      <c r="AM20" s="135">
        <v>539.5</v>
      </c>
      <c r="AN20" s="152" t="s">
        <v>46</v>
      </c>
      <c r="AO20" s="135">
        <v>0.0</v>
      </c>
      <c r="AP20" s="139"/>
      <c r="AQ20" s="5"/>
      <c r="AR20" s="5"/>
      <c r="AS20" s="5"/>
      <c r="AT20" s="5"/>
      <c r="AU20" s="5"/>
      <c r="AV20" s="5"/>
      <c r="AW20" s="5"/>
      <c r="AX20" s="5"/>
      <c r="AY20" s="5"/>
      <c r="AZ20" s="5"/>
      <c r="BA20" s="5"/>
      <c r="BB20" s="5"/>
      <c r="BC20" s="5"/>
      <c r="BD20" s="5"/>
      <c r="BE20" s="5"/>
      <c r="BF20" s="5"/>
      <c r="BG20" s="5"/>
      <c r="BH20" s="5"/>
    </row>
    <row r="21" ht="12.75" customHeight="1">
      <c r="A21" s="147"/>
      <c r="B21" s="122"/>
      <c r="C21" s="123"/>
      <c r="D21" s="148"/>
      <c r="E21" s="126"/>
      <c r="F21" s="126"/>
      <c r="G21" s="129"/>
      <c r="H21" s="128"/>
      <c r="I21" s="127"/>
      <c r="J21" s="126"/>
      <c r="K21" s="126" t="s">
        <v>42</v>
      </c>
      <c r="L21" s="135"/>
      <c r="M21" s="150"/>
      <c r="N21" s="151" t="str">
        <f>IFERROR(__xludf.DUMMYFUNCTION("""COMPUTED_VALUE"""),"")</f>
        <v/>
      </c>
      <c r="O21" s="134"/>
      <c r="P21" s="134"/>
      <c r="Q21" s="135"/>
      <c r="R21" s="136"/>
      <c r="S21" s="137"/>
      <c r="T21" s="138"/>
      <c r="U21" s="136"/>
      <c r="V21" s="139"/>
      <c r="W21" s="140"/>
      <c r="X21" s="2"/>
      <c r="Y21" s="5"/>
      <c r="Z21" s="5"/>
      <c r="AA21" s="5"/>
      <c r="AB21" s="113">
        <f t="shared" si="1"/>
        <v>0</v>
      </c>
      <c r="AC21" s="33"/>
      <c r="AD21" s="65"/>
      <c r="AE21" s="66"/>
      <c r="AF21" s="144"/>
      <c r="AG21" s="68"/>
      <c r="AH21" s="69"/>
      <c r="AI21" s="39"/>
      <c r="AJ21" s="70"/>
      <c r="AK21" s="70"/>
      <c r="AL21" s="5"/>
      <c r="AM21" s="135" t="s">
        <v>42</v>
      </c>
      <c r="AN21" s="152"/>
      <c r="AO21" s="135" t="s">
        <v>42</v>
      </c>
      <c r="AP21" s="139"/>
      <c r="AQ21" s="5"/>
      <c r="AR21" s="5"/>
      <c r="AS21" s="5"/>
      <c r="AT21" s="5"/>
      <c r="AU21" s="5"/>
      <c r="AV21" s="5"/>
      <c r="AW21" s="5"/>
      <c r="AX21" s="5"/>
      <c r="AY21" s="5"/>
      <c r="AZ21" s="5"/>
      <c r="BA21" s="5"/>
      <c r="BB21" s="5"/>
      <c r="BC21" s="5"/>
      <c r="BD21" s="5"/>
      <c r="BE21" s="5"/>
      <c r="BF21" s="5"/>
      <c r="BG21" s="5"/>
      <c r="BH21" s="5"/>
    </row>
    <row r="22" ht="12.75" customHeight="1">
      <c r="A22" s="147"/>
      <c r="B22" s="122" t="s">
        <v>49</v>
      </c>
      <c r="C22" s="123" t="s">
        <v>50</v>
      </c>
      <c r="D22" s="148" t="s">
        <v>51</v>
      </c>
      <c r="E22" s="126"/>
      <c r="F22" s="126" t="str">
        <f>F17</f>
        <v>9°</v>
      </c>
      <c r="G22" s="129"/>
      <c r="H22" s="128" t="str">
        <f>IFERROR(__xludf.DUMMYFUNCTION("IFERROR(REGEXEXTRACT(C22, ""(\d*\.\d+)mm""), """")"),"")</f>
        <v/>
      </c>
      <c r="I22" s="127"/>
      <c r="J22" s="126" t="s">
        <v>14</v>
      </c>
      <c r="K22" s="126" t="s">
        <v>52</v>
      </c>
      <c r="L22" s="135">
        <f>M28</f>
        <v>676.68</v>
      </c>
      <c r="M22" s="150">
        <v>676.68</v>
      </c>
      <c r="N22" s="151">
        <f>IFERROR(__xludf.DUMMYFUNCTION("""COMPUTED_VALUE"""),1.0124651257880029)</f>
        <v>1.012465126</v>
      </c>
      <c r="O22" s="134">
        <v>1.0</v>
      </c>
      <c r="P22" s="134">
        <v>1.0</v>
      </c>
      <c r="Q22" s="135">
        <f>M22*N22*O22*P22</f>
        <v>685.1149013</v>
      </c>
      <c r="R22" s="136" t="s">
        <v>42</v>
      </c>
      <c r="S22" s="137">
        <f>R22*Q22</f>
        <v>0</v>
      </c>
      <c r="T22" s="138"/>
      <c r="U22" s="136" t="s">
        <v>42</v>
      </c>
      <c r="V22" s="139"/>
      <c r="W22" s="140">
        <f>U22*Q22</f>
        <v>0</v>
      </c>
      <c r="X22" s="2"/>
      <c r="Y22" s="5"/>
      <c r="Z22" s="5"/>
      <c r="AA22" s="5"/>
      <c r="AB22" s="113">
        <f t="shared" si="1"/>
        <v>0</v>
      </c>
      <c r="AC22" s="33"/>
      <c r="AD22" s="65"/>
      <c r="AE22" s="66"/>
      <c r="AF22" s="144"/>
      <c r="AG22" s="68"/>
      <c r="AH22" s="69"/>
      <c r="AI22" s="39"/>
      <c r="AJ22" s="70"/>
      <c r="AK22" s="70"/>
      <c r="AL22" s="5"/>
      <c r="AM22" s="135">
        <v>676.68</v>
      </c>
      <c r="AN22" s="152" t="s">
        <v>46</v>
      </c>
      <c r="AO22" s="135">
        <v>0.0</v>
      </c>
      <c r="AP22" s="139"/>
      <c r="AQ22" s="5"/>
      <c r="AR22" s="5"/>
      <c r="AS22" s="5"/>
      <c r="AT22" s="5"/>
      <c r="AU22" s="5"/>
      <c r="AV22" s="5"/>
      <c r="AW22" s="5"/>
      <c r="AX22" s="5"/>
      <c r="AY22" s="5"/>
      <c r="AZ22" s="5"/>
      <c r="BA22" s="5"/>
      <c r="BB22" s="5"/>
      <c r="BC22" s="5"/>
      <c r="BD22" s="5"/>
      <c r="BE22" s="5"/>
      <c r="BF22" s="5"/>
      <c r="BG22" s="5"/>
      <c r="BH22" s="5"/>
    </row>
    <row r="23" ht="12.75" customHeight="1">
      <c r="A23" s="147"/>
      <c r="B23" s="122" t="s">
        <v>53</v>
      </c>
      <c r="C23" s="123" t="s">
        <v>54</v>
      </c>
      <c r="D23" s="148" t="s">
        <v>51</v>
      </c>
      <c r="E23" s="126"/>
      <c r="F23" s="126" t="str">
        <f t="shared" ref="F23:F24" si="7">F22</f>
        <v>9°</v>
      </c>
      <c r="G23" s="129"/>
      <c r="H23" s="128"/>
      <c r="I23" s="127"/>
      <c r="J23" s="126" t="s">
        <v>14</v>
      </c>
      <c r="K23" s="126" t="s">
        <v>55</v>
      </c>
      <c r="L23" s="135">
        <f>M28</f>
        <v>676.68</v>
      </c>
      <c r="M23" s="150">
        <v>676.68</v>
      </c>
      <c r="N23" s="151">
        <f>IFERROR(__xludf.DUMMYFUNCTION("""COMPUTED_VALUE"""),1.0124651257880029)</f>
        <v>1.012465126</v>
      </c>
      <c r="O23" s="134"/>
      <c r="P23" s="134"/>
      <c r="Q23" s="135"/>
      <c r="R23" s="136" t="s">
        <v>42</v>
      </c>
      <c r="S23" s="137"/>
      <c r="T23" s="138"/>
      <c r="U23" s="136" t="s">
        <v>42</v>
      </c>
      <c r="V23" s="139"/>
      <c r="W23" s="140"/>
      <c r="X23" s="2"/>
      <c r="Y23" s="5"/>
      <c r="Z23" s="5"/>
      <c r="AA23" s="5"/>
      <c r="AB23" s="113">
        <f t="shared" si="1"/>
        <v>0</v>
      </c>
      <c r="AC23" s="33"/>
      <c r="AD23" s="65"/>
      <c r="AE23" s="66"/>
      <c r="AF23" s="144"/>
      <c r="AG23" s="68"/>
      <c r="AH23" s="69"/>
      <c r="AI23" s="39"/>
      <c r="AJ23" s="70"/>
      <c r="AK23" s="70"/>
      <c r="AL23" s="5"/>
      <c r="AM23" s="135">
        <v>676.68</v>
      </c>
      <c r="AN23" s="152" t="s">
        <v>46</v>
      </c>
      <c r="AO23" s="135">
        <v>0.0</v>
      </c>
      <c r="AP23" s="139"/>
      <c r="AQ23" s="5"/>
      <c r="AR23" s="5"/>
      <c r="AS23" s="5"/>
      <c r="AT23" s="5"/>
      <c r="AU23" s="5"/>
      <c r="AV23" s="5"/>
      <c r="AW23" s="5"/>
      <c r="AX23" s="5"/>
      <c r="AY23" s="5"/>
      <c r="AZ23" s="5"/>
      <c r="BA23" s="5"/>
      <c r="BB23" s="5"/>
      <c r="BC23" s="5"/>
      <c r="BD23" s="5"/>
      <c r="BE23" s="5"/>
      <c r="BF23" s="5"/>
      <c r="BG23" s="5"/>
      <c r="BH23" s="5"/>
    </row>
    <row r="24" ht="12.75" customHeight="1">
      <c r="A24" s="147"/>
      <c r="B24" s="122" t="s">
        <v>56</v>
      </c>
      <c r="C24" s="123" t="s">
        <v>57</v>
      </c>
      <c r="D24" s="148" t="s">
        <v>51</v>
      </c>
      <c r="E24" s="126"/>
      <c r="F24" s="126" t="str">
        <f t="shared" si="7"/>
        <v>9°</v>
      </c>
      <c r="G24" s="129"/>
      <c r="H24" s="128"/>
      <c r="I24" s="127"/>
      <c r="J24" s="126" t="s">
        <v>14</v>
      </c>
      <c r="K24" s="126" t="s">
        <v>52</v>
      </c>
      <c r="L24" s="135">
        <f>M28</f>
        <v>676.68</v>
      </c>
      <c r="M24" s="150">
        <v>676.68</v>
      </c>
      <c r="N24" s="151">
        <f>IFERROR(__xludf.DUMMYFUNCTION("""COMPUTED_VALUE"""),1.0124651257880029)</f>
        <v>1.012465126</v>
      </c>
      <c r="O24" s="134"/>
      <c r="P24" s="134"/>
      <c r="Q24" s="135"/>
      <c r="R24" s="136" t="s">
        <v>42</v>
      </c>
      <c r="S24" s="137"/>
      <c r="T24" s="138"/>
      <c r="U24" s="136" t="s">
        <v>42</v>
      </c>
      <c r="V24" s="139"/>
      <c r="W24" s="140"/>
      <c r="X24" s="2"/>
      <c r="Y24" s="5"/>
      <c r="Z24" s="5"/>
      <c r="AA24" s="5"/>
      <c r="AB24" s="113">
        <f t="shared" si="1"/>
        <v>0</v>
      </c>
      <c r="AC24" s="33"/>
      <c r="AD24" s="65"/>
      <c r="AE24" s="66"/>
      <c r="AF24" s="144"/>
      <c r="AG24" s="68"/>
      <c r="AH24" s="69"/>
      <c r="AI24" s="39"/>
      <c r="AJ24" s="70"/>
      <c r="AK24" s="70"/>
      <c r="AL24" s="5"/>
      <c r="AM24" s="135">
        <v>676.68</v>
      </c>
      <c r="AN24" s="152" t="s">
        <v>46</v>
      </c>
      <c r="AO24" s="135">
        <v>0.0</v>
      </c>
      <c r="AP24" s="139"/>
      <c r="AQ24" s="5"/>
      <c r="AR24" s="5"/>
      <c r="AS24" s="5"/>
      <c r="AT24" s="5"/>
      <c r="AU24" s="5"/>
      <c r="AV24" s="5"/>
      <c r="AW24" s="5"/>
      <c r="AX24" s="5"/>
      <c r="AY24" s="5"/>
      <c r="AZ24" s="5"/>
      <c r="BA24" s="5"/>
      <c r="BB24" s="5"/>
      <c r="BC24" s="5"/>
      <c r="BD24" s="5"/>
      <c r="BE24" s="5"/>
      <c r="BF24" s="5"/>
      <c r="BG24" s="5"/>
      <c r="BH24" s="5"/>
    </row>
    <row r="25">
      <c r="A25" s="147"/>
      <c r="B25" s="122"/>
      <c r="C25" s="123"/>
      <c r="D25" s="148"/>
      <c r="E25" s="126"/>
      <c r="F25" s="153"/>
      <c r="G25" s="149"/>
      <c r="H25" s="128"/>
      <c r="I25" s="127"/>
      <c r="J25" s="126"/>
      <c r="K25" s="126" t="s">
        <v>42</v>
      </c>
      <c r="L25" s="131"/>
      <c r="M25" s="150"/>
      <c r="N25" s="151" t="str">
        <f>IFERROR(__xludf.DUMMYFUNCTION("""COMPUTED_VALUE"""),"")</f>
        <v/>
      </c>
      <c r="O25" s="134"/>
      <c r="P25" s="134"/>
      <c r="Q25" s="135"/>
      <c r="R25" s="136"/>
      <c r="S25" s="137"/>
      <c r="T25" s="138"/>
      <c r="U25" s="136"/>
      <c r="V25" s="139"/>
      <c r="W25" s="140"/>
      <c r="X25" s="2"/>
      <c r="Y25" s="5"/>
      <c r="Z25" s="5"/>
      <c r="AA25" s="5"/>
      <c r="AB25" s="113">
        <f t="shared" si="1"/>
        <v>0</v>
      </c>
      <c r="AC25" s="33"/>
      <c r="AD25" s="65"/>
      <c r="AE25" s="66"/>
      <c r="AF25" s="144"/>
      <c r="AG25" s="68"/>
      <c r="AH25" s="69"/>
      <c r="AI25" s="39"/>
      <c r="AJ25" s="70"/>
      <c r="AK25" s="70"/>
      <c r="AL25" s="5"/>
      <c r="AM25" s="135" t="s">
        <v>42</v>
      </c>
      <c r="AN25" s="152"/>
      <c r="AO25" s="135" t="s">
        <v>42</v>
      </c>
      <c r="AP25" s="139"/>
      <c r="AQ25" s="5"/>
      <c r="AR25" s="5"/>
      <c r="AS25" s="5"/>
      <c r="AT25" s="5"/>
      <c r="AU25" s="5"/>
      <c r="AV25" s="5"/>
      <c r="AW25" s="5"/>
      <c r="AX25" s="5"/>
      <c r="AY25" s="5"/>
      <c r="AZ25" s="5"/>
      <c r="BA25" s="5"/>
      <c r="BB25" s="5"/>
      <c r="BC25" s="5"/>
      <c r="BD25" s="5"/>
      <c r="BE25" s="5"/>
      <c r="BF25" s="5"/>
      <c r="BG25" s="5"/>
      <c r="BH25" s="5"/>
    </row>
    <row r="26">
      <c r="A26" s="147"/>
      <c r="B26" s="122" t="s">
        <v>58</v>
      </c>
      <c r="C26" s="123" t="s">
        <v>59</v>
      </c>
      <c r="D26" s="148" t="s">
        <v>60</v>
      </c>
      <c r="E26" s="126"/>
      <c r="F26" s="153"/>
      <c r="G26" s="149"/>
      <c r="H26" s="128"/>
      <c r="I26" s="127"/>
      <c r="J26" s="126" t="s">
        <v>14</v>
      </c>
      <c r="K26" s="126" t="s">
        <v>55</v>
      </c>
      <c r="L26" s="131">
        <v>676.68</v>
      </c>
      <c r="M26" s="150">
        <v>676.68</v>
      </c>
      <c r="N26" s="151">
        <f>IFERROR(__xludf.DUMMYFUNCTION("""COMPUTED_VALUE"""),1.0)</f>
        <v>1</v>
      </c>
      <c r="O26" s="134">
        <v>1.0</v>
      </c>
      <c r="P26" s="134">
        <v>1.0</v>
      </c>
      <c r="Q26" s="135">
        <f>M26*N26*O26*P26</f>
        <v>676.68</v>
      </c>
      <c r="R26" s="136" t="s">
        <v>42</v>
      </c>
      <c r="S26" s="137">
        <f>R26*Q26</f>
        <v>0</v>
      </c>
      <c r="T26" s="138"/>
      <c r="U26" s="136" t="s">
        <v>42</v>
      </c>
      <c r="V26" s="139"/>
      <c r="W26" s="140">
        <f>U26*Q26</f>
        <v>0</v>
      </c>
      <c r="X26" s="2"/>
      <c r="Y26" s="5"/>
      <c r="Z26" s="5"/>
      <c r="AA26" s="5"/>
      <c r="AB26" s="113">
        <f t="shared" si="1"/>
        <v>0</v>
      </c>
      <c r="AC26" s="33"/>
      <c r="AD26" s="65"/>
      <c r="AE26" s="66"/>
      <c r="AF26" s="144"/>
      <c r="AG26" s="68"/>
      <c r="AH26" s="69"/>
      <c r="AI26" s="39"/>
      <c r="AJ26" s="70"/>
      <c r="AK26" s="70"/>
      <c r="AL26" s="5"/>
      <c r="AM26" s="135">
        <v>676.68</v>
      </c>
      <c r="AN26" s="152" t="s">
        <v>46</v>
      </c>
      <c r="AO26" s="135">
        <v>0.0</v>
      </c>
      <c r="AP26" s="139"/>
      <c r="AQ26" s="5"/>
      <c r="AR26" s="5"/>
      <c r="AS26" s="5"/>
      <c r="AT26" s="5"/>
      <c r="AU26" s="5"/>
      <c r="AV26" s="5"/>
      <c r="AW26" s="5"/>
      <c r="AX26" s="5"/>
      <c r="AY26" s="5"/>
      <c r="AZ26" s="5"/>
      <c r="BA26" s="5"/>
      <c r="BB26" s="5"/>
      <c r="BC26" s="5"/>
      <c r="BD26" s="5"/>
      <c r="BE26" s="5"/>
      <c r="BF26" s="5"/>
      <c r="BG26" s="5"/>
      <c r="BH26" s="5"/>
    </row>
    <row r="27">
      <c r="A27" s="147"/>
      <c r="B27" s="154"/>
      <c r="C27" s="123"/>
      <c r="D27" s="148"/>
      <c r="E27" s="153"/>
      <c r="F27" s="126"/>
      <c r="G27" s="149"/>
      <c r="H27" s="128"/>
      <c r="I27" s="155"/>
      <c r="J27" s="126"/>
      <c r="K27" s="126" t="s">
        <v>42</v>
      </c>
      <c r="L27" s="135"/>
      <c r="M27" s="150"/>
      <c r="N27" s="151" t="str">
        <f>IFERROR(__xludf.DUMMYFUNCTION("""COMPUTED_VALUE"""),"")</f>
        <v/>
      </c>
      <c r="O27" s="134"/>
      <c r="P27" s="134"/>
      <c r="Q27" s="135"/>
      <c r="R27" s="136"/>
      <c r="S27" s="137"/>
      <c r="T27" s="138"/>
      <c r="U27" s="136"/>
      <c r="V27" s="139"/>
      <c r="W27" s="140"/>
      <c r="X27" s="2"/>
      <c r="Y27" s="5"/>
      <c r="Z27" s="5"/>
      <c r="AA27" s="5"/>
      <c r="AB27" s="113">
        <f t="shared" si="1"/>
        <v>0</v>
      </c>
      <c r="AC27" s="33"/>
      <c r="AD27" s="65"/>
      <c r="AE27" s="66"/>
      <c r="AF27" s="144"/>
      <c r="AG27" s="68"/>
      <c r="AH27" s="69"/>
      <c r="AI27" s="39"/>
      <c r="AJ27" s="70"/>
      <c r="AK27" s="70"/>
      <c r="AL27" s="5"/>
      <c r="AM27" s="135" t="s">
        <v>42</v>
      </c>
      <c r="AN27" s="152"/>
      <c r="AO27" s="135" t="s">
        <v>42</v>
      </c>
      <c r="AP27" s="139"/>
      <c r="AQ27" s="5"/>
      <c r="AR27" s="5"/>
      <c r="AS27" s="5"/>
      <c r="AT27" s="5"/>
      <c r="AU27" s="5"/>
      <c r="AV27" s="5"/>
      <c r="AW27" s="5"/>
      <c r="AX27" s="5"/>
      <c r="AY27" s="5"/>
      <c r="AZ27" s="5"/>
      <c r="BA27" s="5"/>
      <c r="BB27" s="5"/>
      <c r="BC27" s="5"/>
      <c r="BD27" s="5"/>
      <c r="BE27" s="5"/>
      <c r="BF27" s="5"/>
      <c r="BG27" s="5"/>
      <c r="BH27" s="5"/>
    </row>
    <row r="28">
      <c r="A28" s="147"/>
      <c r="B28" s="154" t="s">
        <v>61</v>
      </c>
      <c r="C28" s="123" t="s">
        <v>62</v>
      </c>
      <c r="D28" s="148" t="s">
        <v>63</v>
      </c>
      <c r="E28" s="153">
        <v>1.0</v>
      </c>
      <c r="F28" s="126"/>
      <c r="G28" s="149"/>
      <c r="H28" s="128"/>
      <c r="I28" s="577">
        <f>L28+L48</f>
        <v>1748.09</v>
      </c>
      <c r="J28" s="126" t="s">
        <v>14</v>
      </c>
      <c r="K28" s="126" t="s">
        <v>52</v>
      </c>
      <c r="L28" s="135">
        <f>M26</f>
        <v>676.68</v>
      </c>
      <c r="M28" s="150">
        <f>L28/E28</f>
        <v>676.68</v>
      </c>
      <c r="N28" s="151">
        <f>IFERROR(__xludf.DUMMYFUNCTION("""COMPUTED_VALUE"""),1.0)</f>
        <v>1</v>
      </c>
      <c r="O28" s="134">
        <v>1.0</v>
      </c>
      <c r="P28" s="134">
        <v>1.0</v>
      </c>
      <c r="Q28" s="135">
        <f t="shared" ref="Q28:Q29" si="8">M28*N28*O28*P28</f>
        <v>676.68</v>
      </c>
      <c r="R28" s="136" t="s">
        <v>42</v>
      </c>
      <c r="S28" s="137">
        <f t="shared" ref="S28:S29" si="9">R28*Q28</f>
        <v>0</v>
      </c>
      <c r="T28" s="138"/>
      <c r="U28" s="136" t="s">
        <v>42</v>
      </c>
      <c r="V28" s="139"/>
      <c r="W28" s="140">
        <f t="shared" ref="W28:W29" si="10">U28*Q28</f>
        <v>0</v>
      </c>
      <c r="X28" s="2"/>
      <c r="Y28" s="5"/>
      <c r="Z28" s="5"/>
      <c r="AA28" s="5"/>
      <c r="AB28" s="113">
        <f t="shared" si="1"/>
        <v>0</v>
      </c>
      <c r="AC28" s="33"/>
      <c r="AD28" s="65"/>
      <c r="AE28" s="66"/>
      <c r="AF28" s="144"/>
      <c r="AG28" s="68"/>
      <c r="AH28" s="69"/>
      <c r="AI28" s="39"/>
      <c r="AJ28" s="70"/>
      <c r="AK28" s="70"/>
      <c r="AL28" s="5"/>
      <c r="AM28" s="135">
        <v>676.68</v>
      </c>
      <c r="AN28" s="152" t="s">
        <v>46</v>
      </c>
      <c r="AO28" s="135">
        <v>0.0</v>
      </c>
      <c r="AP28" s="139"/>
      <c r="AQ28" s="5"/>
      <c r="AR28" s="5"/>
      <c r="AS28" s="5"/>
      <c r="AT28" s="5"/>
      <c r="AU28" s="5"/>
      <c r="AV28" s="5"/>
      <c r="AW28" s="5"/>
      <c r="AX28" s="5"/>
      <c r="AY28" s="5"/>
      <c r="AZ28" s="5"/>
      <c r="BA28" s="5"/>
      <c r="BB28" s="5"/>
      <c r="BC28" s="5"/>
      <c r="BD28" s="5"/>
      <c r="BE28" s="5"/>
      <c r="BF28" s="5"/>
      <c r="BG28" s="5"/>
      <c r="BH28" s="5"/>
    </row>
    <row r="29">
      <c r="A29" s="147"/>
      <c r="B29" s="122" t="s">
        <v>64</v>
      </c>
      <c r="C29" s="123" t="s">
        <v>65</v>
      </c>
      <c r="D29" s="148" t="s">
        <v>66</v>
      </c>
      <c r="E29" s="153"/>
      <c r="F29" s="126"/>
      <c r="G29" s="149"/>
      <c r="H29" s="128"/>
      <c r="I29" s="127"/>
      <c r="J29" s="126" t="s">
        <v>14</v>
      </c>
      <c r="K29" s="126" t="s">
        <v>52</v>
      </c>
      <c r="L29" s="135">
        <f>M28</f>
        <v>676.68</v>
      </c>
      <c r="M29" s="150">
        <v>676.68</v>
      </c>
      <c r="N29" s="151">
        <f>IFERROR(__xludf.DUMMYFUNCTION("""COMPUTED_VALUE"""),1.0)</f>
        <v>1</v>
      </c>
      <c r="O29" s="134">
        <v>1.0</v>
      </c>
      <c r="P29" s="156">
        <v>2.0</v>
      </c>
      <c r="Q29" s="135">
        <f t="shared" si="8"/>
        <v>1353.36</v>
      </c>
      <c r="R29" s="136" t="s">
        <v>42</v>
      </c>
      <c r="S29" s="137">
        <f t="shared" si="9"/>
        <v>0</v>
      </c>
      <c r="T29" s="138"/>
      <c r="U29" s="136" t="s">
        <v>42</v>
      </c>
      <c r="V29" s="139"/>
      <c r="W29" s="140">
        <f t="shared" si="10"/>
        <v>0</v>
      </c>
      <c r="X29" s="2"/>
      <c r="Y29" s="5"/>
      <c r="Z29" s="5"/>
      <c r="AA29" s="5"/>
      <c r="AB29" s="113">
        <f t="shared" si="1"/>
        <v>0</v>
      </c>
      <c r="AC29" s="33"/>
      <c r="AD29" s="65"/>
      <c r="AE29" s="66"/>
      <c r="AF29" s="144"/>
      <c r="AG29" s="68"/>
      <c r="AH29" s="69"/>
      <c r="AI29" s="39"/>
      <c r="AJ29" s="70"/>
      <c r="AK29" s="70"/>
      <c r="AL29" s="5"/>
      <c r="AM29" s="135">
        <v>676.68</v>
      </c>
      <c r="AN29" s="152" t="s">
        <v>46</v>
      </c>
      <c r="AO29" s="135">
        <v>0.0</v>
      </c>
      <c r="AP29" s="139"/>
      <c r="AQ29" s="5"/>
      <c r="AR29" s="5"/>
      <c r="AS29" s="5"/>
      <c r="AT29" s="5"/>
      <c r="AU29" s="5"/>
      <c r="AV29" s="5"/>
      <c r="AW29" s="5"/>
      <c r="AX29" s="5"/>
      <c r="AY29" s="5"/>
      <c r="AZ29" s="5"/>
      <c r="BA29" s="5"/>
      <c r="BB29" s="5"/>
      <c r="BC29" s="5"/>
      <c r="BD29" s="5"/>
      <c r="BE29" s="5"/>
      <c r="BF29" s="5"/>
      <c r="BG29" s="5"/>
      <c r="BH29" s="5"/>
    </row>
    <row r="30">
      <c r="A30" s="147"/>
      <c r="B30" s="122"/>
      <c r="C30" s="123"/>
      <c r="D30" s="148"/>
      <c r="E30" s="126"/>
      <c r="F30" s="126"/>
      <c r="G30" s="149"/>
      <c r="H30" s="128"/>
      <c r="I30" s="127"/>
      <c r="J30" s="126"/>
      <c r="K30" s="126" t="s">
        <v>42</v>
      </c>
      <c r="L30" s="135"/>
      <c r="M30" s="150"/>
      <c r="N30" s="151" t="str">
        <f>IFERROR(__xludf.DUMMYFUNCTION("""COMPUTED_VALUE"""),"")</f>
        <v/>
      </c>
      <c r="O30" s="134"/>
      <c r="P30" s="134"/>
      <c r="Q30" s="135"/>
      <c r="R30" s="136"/>
      <c r="S30" s="137"/>
      <c r="T30" s="138"/>
      <c r="U30" s="136"/>
      <c r="V30" s="139"/>
      <c r="W30" s="140"/>
      <c r="X30" s="2"/>
      <c r="Y30" s="5"/>
      <c r="Z30" s="5"/>
      <c r="AA30" s="5"/>
      <c r="AB30" s="113">
        <f t="shared" si="1"/>
        <v>0</v>
      </c>
      <c r="AC30" s="33"/>
      <c r="AD30" s="65"/>
      <c r="AE30" s="66"/>
      <c r="AF30" s="144"/>
      <c r="AG30" s="68"/>
      <c r="AH30" s="69"/>
      <c r="AI30" s="39"/>
      <c r="AJ30" s="70"/>
      <c r="AK30" s="70"/>
      <c r="AL30" s="5"/>
      <c r="AM30" s="135" t="s">
        <v>42</v>
      </c>
      <c r="AN30" s="152"/>
      <c r="AO30" s="135" t="s">
        <v>42</v>
      </c>
      <c r="AP30" s="139"/>
      <c r="AQ30" s="5"/>
      <c r="AR30" s="5"/>
      <c r="AS30" s="5"/>
      <c r="AT30" s="5"/>
      <c r="AU30" s="5"/>
      <c r="AV30" s="5"/>
      <c r="AW30" s="5"/>
      <c r="AX30" s="5"/>
      <c r="AY30" s="5"/>
      <c r="AZ30" s="5"/>
      <c r="BA30" s="5"/>
      <c r="BB30" s="5"/>
      <c r="BC30" s="5"/>
      <c r="BD30" s="5"/>
      <c r="BE30" s="5"/>
      <c r="BF30" s="5"/>
      <c r="BG30" s="5"/>
      <c r="BH30" s="5"/>
    </row>
    <row r="31">
      <c r="A31" s="147"/>
      <c r="B31" s="122" t="s">
        <v>67</v>
      </c>
      <c r="C31" s="123" t="s">
        <v>68</v>
      </c>
      <c r="D31" s="148" t="s">
        <v>69</v>
      </c>
      <c r="E31" s="126"/>
      <c r="F31" s="126"/>
      <c r="G31" s="149"/>
      <c r="H31" s="128"/>
      <c r="I31" s="127"/>
      <c r="J31" s="126" t="s">
        <v>14</v>
      </c>
      <c r="K31" s="126" t="s">
        <v>55</v>
      </c>
      <c r="L31" s="135">
        <f>M26</f>
        <v>676.68</v>
      </c>
      <c r="M31" s="150">
        <f>L31</f>
        <v>676.68</v>
      </c>
      <c r="N31" s="151">
        <f>IFERROR(__xludf.DUMMYFUNCTION("""COMPUTED_VALUE"""),1.0)</f>
        <v>1</v>
      </c>
      <c r="O31" s="134">
        <v>1.0</v>
      </c>
      <c r="P31" s="134">
        <v>1.0</v>
      </c>
      <c r="Q31" s="135">
        <f>M31*N31*O31*P31</f>
        <v>676.68</v>
      </c>
      <c r="R31" s="136" t="s">
        <v>42</v>
      </c>
      <c r="S31" s="137">
        <f>R31*Q31</f>
        <v>0</v>
      </c>
      <c r="T31" s="138"/>
      <c r="U31" s="136" t="s">
        <v>42</v>
      </c>
      <c r="V31" s="139"/>
      <c r="W31" s="140">
        <f>U31*Q31</f>
        <v>0</v>
      </c>
      <c r="X31" s="2"/>
      <c r="Y31" s="5"/>
      <c r="Z31" s="5"/>
      <c r="AA31" s="5"/>
      <c r="AB31" s="113">
        <f t="shared" si="1"/>
        <v>0</v>
      </c>
      <c r="AC31" s="33"/>
      <c r="AD31" s="65"/>
      <c r="AE31" s="66"/>
      <c r="AF31" s="144"/>
      <c r="AG31" s="68"/>
      <c r="AH31" s="69"/>
      <c r="AI31" s="39"/>
      <c r="AJ31" s="70"/>
      <c r="AK31" s="70"/>
      <c r="AL31" s="5"/>
      <c r="AM31" s="135">
        <v>676.68</v>
      </c>
      <c r="AN31" s="152" t="s">
        <v>46</v>
      </c>
      <c r="AO31" s="135">
        <v>0.0</v>
      </c>
      <c r="AP31" s="139"/>
      <c r="AQ31" s="5"/>
      <c r="AR31" s="5"/>
      <c r="AS31" s="5"/>
      <c r="AT31" s="5"/>
      <c r="AU31" s="5"/>
      <c r="AV31" s="5"/>
      <c r="AW31" s="5"/>
      <c r="AX31" s="5"/>
      <c r="AY31" s="5"/>
      <c r="AZ31" s="5"/>
      <c r="BA31" s="5"/>
      <c r="BB31" s="5"/>
      <c r="BC31" s="5"/>
      <c r="BD31" s="5"/>
      <c r="BE31" s="5"/>
      <c r="BF31" s="5"/>
      <c r="BG31" s="5"/>
      <c r="BH31" s="5"/>
    </row>
    <row r="32">
      <c r="A32" s="147"/>
      <c r="B32" s="122"/>
      <c r="C32" s="123"/>
      <c r="D32" s="124"/>
      <c r="E32" s="125"/>
      <c r="F32" s="153"/>
      <c r="G32" s="127"/>
      <c r="H32" s="125"/>
      <c r="I32" s="129"/>
      <c r="J32" s="126"/>
      <c r="K32" s="126" t="s">
        <v>42</v>
      </c>
      <c r="L32" s="135"/>
      <c r="M32" s="150"/>
      <c r="N32" s="151" t="str">
        <f>IFERROR(__xludf.DUMMYFUNCTION("""COMPUTED_VALUE"""),"")</f>
        <v/>
      </c>
      <c r="O32" s="134"/>
      <c r="P32" s="134"/>
      <c r="Q32" s="135"/>
      <c r="R32" s="136"/>
      <c r="S32" s="137"/>
      <c r="T32" s="138"/>
      <c r="U32" s="136"/>
      <c r="V32" s="139"/>
      <c r="W32" s="140"/>
      <c r="X32" s="2"/>
      <c r="Y32" s="5"/>
      <c r="Z32" s="5"/>
      <c r="AA32" s="5"/>
      <c r="AB32" s="113">
        <f t="shared" si="1"/>
        <v>0</v>
      </c>
      <c r="AC32" s="33"/>
      <c r="AD32" s="65"/>
      <c r="AE32" s="66"/>
      <c r="AF32" s="144"/>
      <c r="AG32" s="68"/>
      <c r="AH32" s="69"/>
      <c r="AI32" s="39"/>
      <c r="AJ32" s="70"/>
      <c r="AK32" s="70"/>
      <c r="AL32" s="5"/>
      <c r="AM32" s="135" t="s">
        <v>42</v>
      </c>
      <c r="AN32" s="152"/>
      <c r="AO32" s="135" t="s">
        <v>42</v>
      </c>
      <c r="AP32" s="139"/>
      <c r="AQ32" s="5"/>
      <c r="AR32" s="5"/>
      <c r="AS32" s="5"/>
      <c r="AT32" s="5"/>
      <c r="AU32" s="5"/>
      <c r="AV32" s="5"/>
      <c r="AW32" s="5"/>
      <c r="AX32" s="5"/>
      <c r="AY32" s="5"/>
      <c r="AZ32" s="5"/>
      <c r="BA32" s="5"/>
      <c r="BB32" s="5"/>
      <c r="BC32" s="5"/>
      <c r="BD32" s="5"/>
      <c r="BE32" s="5"/>
      <c r="BF32" s="5"/>
      <c r="BG32" s="5"/>
      <c r="BH32" s="5"/>
    </row>
    <row r="33">
      <c r="A33" s="147"/>
      <c r="B33" s="122" t="s">
        <v>70</v>
      </c>
      <c r="C33" s="123" t="s">
        <v>71</v>
      </c>
      <c r="D33" s="124" t="s">
        <v>40</v>
      </c>
      <c r="E33" s="125" t="str">
        <f>IFERROR(__xludf.DUMMYFUNCTION("IF($B$17:$B386="""","""",
  VLOOKUP(
    $B$17:$B386,
    QUERY(
      IMPORTRANGE(""1Ag27m9YF5mMfJh2E6NipJDFvPLlDI1p-s_1XEnzMHcc"",""Merge!F2:R""),
      ""select Col1, Col11"",
      0
    ),
    2,
    FALSE
  )
)
"),"#REF!")</f>
        <v>#REF!</v>
      </c>
      <c r="F33" s="153" t="s">
        <v>72</v>
      </c>
      <c r="G33" s="127"/>
      <c r="H33" s="125">
        <v>0.55</v>
      </c>
      <c r="I33" s="129"/>
      <c r="J33" s="126" t="s">
        <v>14</v>
      </c>
      <c r="K33" s="126" t="s">
        <v>41</v>
      </c>
      <c r="L33" s="135">
        <f>L17</f>
        <v>602.91</v>
      </c>
      <c r="M33" s="150" t="str">
        <f>L33*E33</f>
        <v>#REF!</v>
      </c>
      <c r="N33" s="151">
        <f>IFERROR(__xludf.DUMMYFUNCTION("""COMPUTED_VALUE"""),1.0124651257880029)</f>
        <v>1.012465126</v>
      </c>
      <c r="O33" s="134">
        <v>1.0</v>
      </c>
      <c r="P33" s="134">
        <v>1.0</v>
      </c>
      <c r="Q33" s="135" t="str">
        <f t="shared" ref="Q33:Q34" si="11">M33*N33*O33*P33</f>
        <v>#REF!</v>
      </c>
      <c r="R33" s="136" t="s">
        <v>42</v>
      </c>
      <c r="S33" s="137" t="str">
        <f t="shared" ref="S33:S34" si="12">R33*Q33</f>
        <v>#REF!</v>
      </c>
      <c r="T33" s="138"/>
      <c r="U33" s="136" t="s">
        <v>42</v>
      </c>
      <c r="V33" s="139"/>
      <c r="W33" s="140" t="str">
        <f t="shared" ref="W33:W34" si="13">U33*Q33</f>
        <v>#REF!</v>
      </c>
      <c r="X33" s="2"/>
      <c r="Y33" s="5"/>
      <c r="Z33" s="5"/>
      <c r="AA33" s="5"/>
      <c r="AB33" s="113" t="str">
        <f t="shared" si="1"/>
        <v>#REF!</v>
      </c>
      <c r="AC33" s="33"/>
      <c r="AD33" s="65"/>
      <c r="AE33" s="66"/>
      <c r="AF33" s="144"/>
      <c r="AG33" s="68"/>
      <c r="AH33" s="69"/>
      <c r="AI33" s="39"/>
      <c r="AJ33" s="70"/>
      <c r="AK33" s="70"/>
      <c r="AL33" s="5"/>
      <c r="AM33" s="135" t="s">
        <v>42</v>
      </c>
      <c r="AN33" s="152" t="e">
        <v>#REF!</v>
      </c>
      <c r="AO33" s="135" t="s">
        <v>42</v>
      </c>
      <c r="AP33" s="139"/>
      <c r="AQ33" s="5"/>
      <c r="AR33" s="5"/>
      <c r="AS33" s="5"/>
      <c r="AT33" s="5"/>
      <c r="AU33" s="5"/>
      <c r="AV33" s="5"/>
      <c r="AW33" s="5"/>
      <c r="AX33" s="5"/>
      <c r="AY33" s="5"/>
      <c r="AZ33" s="5"/>
      <c r="BA33" s="5"/>
      <c r="BB33" s="5"/>
      <c r="BC33" s="5"/>
      <c r="BD33" s="5"/>
      <c r="BE33" s="5"/>
      <c r="BF33" s="5"/>
      <c r="BG33" s="5"/>
      <c r="BH33" s="5"/>
    </row>
    <row r="34">
      <c r="A34" s="147"/>
      <c r="B34" s="122" t="s">
        <v>73</v>
      </c>
      <c r="C34" s="123" t="s">
        <v>74</v>
      </c>
      <c r="D34" s="148" t="s">
        <v>51</v>
      </c>
      <c r="E34" s="153"/>
      <c r="F34" s="126"/>
      <c r="G34" s="149"/>
      <c r="H34" s="128"/>
      <c r="I34" s="155"/>
      <c r="J34" s="126" t="s">
        <v>14</v>
      </c>
      <c r="K34" s="126" t="s">
        <v>52</v>
      </c>
      <c r="L34" s="135">
        <v>676.68</v>
      </c>
      <c r="M34" s="150">
        <v>676.68</v>
      </c>
      <c r="N34" s="151">
        <f>IFERROR(__xludf.DUMMYFUNCTION("""COMPUTED_VALUE"""),1.0)</f>
        <v>1</v>
      </c>
      <c r="O34" s="134">
        <v>1.0</v>
      </c>
      <c r="P34" s="134">
        <v>1.0</v>
      </c>
      <c r="Q34" s="135">
        <f t="shared" si="11"/>
        <v>676.68</v>
      </c>
      <c r="R34" s="136" t="s">
        <v>42</v>
      </c>
      <c r="S34" s="137">
        <f t="shared" si="12"/>
        <v>0</v>
      </c>
      <c r="T34" s="138"/>
      <c r="U34" s="136" t="s">
        <v>42</v>
      </c>
      <c r="V34" s="139"/>
      <c r="W34" s="140">
        <f t="shared" si="13"/>
        <v>0</v>
      </c>
      <c r="X34" s="2"/>
      <c r="Y34" s="5"/>
      <c r="Z34" s="5"/>
      <c r="AA34" s="5"/>
      <c r="AB34" s="113">
        <f t="shared" si="1"/>
        <v>0</v>
      </c>
      <c r="AC34" s="33"/>
      <c r="AD34" s="65"/>
      <c r="AE34" s="66"/>
      <c r="AF34" s="144"/>
      <c r="AG34" s="68"/>
      <c r="AH34" s="69"/>
      <c r="AI34" s="39"/>
      <c r="AJ34" s="70"/>
      <c r="AK34" s="70"/>
      <c r="AL34" s="5"/>
      <c r="AM34" s="135">
        <v>676.68</v>
      </c>
      <c r="AN34" s="152" t="s">
        <v>46</v>
      </c>
      <c r="AO34" s="135">
        <v>0.0</v>
      </c>
      <c r="AP34" s="139"/>
      <c r="AQ34" s="5"/>
      <c r="AR34" s="5"/>
      <c r="AS34" s="5"/>
      <c r="AT34" s="5"/>
      <c r="AU34" s="5"/>
      <c r="AV34" s="5"/>
      <c r="AW34" s="5"/>
      <c r="AX34" s="5"/>
      <c r="AY34" s="5"/>
      <c r="AZ34" s="5"/>
      <c r="BA34" s="5"/>
      <c r="BB34" s="5"/>
      <c r="BC34" s="5"/>
      <c r="BD34" s="5"/>
      <c r="BE34" s="5"/>
      <c r="BF34" s="5"/>
      <c r="BG34" s="5"/>
      <c r="BH34" s="5"/>
    </row>
    <row r="35">
      <c r="A35" s="147"/>
      <c r="B35" s="154"/>
      <c r="C35" s="123"/>
      <c r="D35" s="124"/>
      <c r="E35" s="125"/>
      <c r="F35" s="126"/>
      <c r="G35" s="149"/>
      <c r="H35" s="128"/>
      <c r="I35" s="127"/>
      <c r="J35" s="126"/>
      <c r="K35" s="126" t="s">
        <v>42</v>
      </c>
      <c r="L35" s="135"/>
      <c r="M35" s="150"/>
      <c r="N35" s="151" t="str">
        <f>IFERROR(__xludf.DUMMYFUNCTION("""COMPUTED_VALUE"""),"")</f>
        <v/>
      </c>
      <c r="O35" s="134"/>
      <c r="P35" s="134"/>
      <c r="Q35" s="135"/>
      <c r="R35" s="136"/>
      <c r="S35" s="137"/>
      <c r="T35" s="138"/>
      <c r="U35" s="136"/>
      <c r="V35" s="139"/>
      <c r="W35" s="140"/>
      <c r="X35" s="2"/>
      <c r="Y35" s="5"/>
      <c r="Z35" s="5"/>
      <c r="AA35" s="5"/>
      <c r="AB35" s="113"/>
      <c r="AC35" s="33"/>
      <c r="AD35" s="65"/>
      <c r="AE35" s="66"/>
      <c r="AF35" s="144"/>
      <c r="AG35" s="68"/>
      <c r="AH35" s="69"/>
      <c r="AI35" s="39"/>
      <c r="AJ35" s="70"/>
      <c r="AK35" s="70"/>
      <c r="AL35" s="5"/>
      <c r="AM35" s="135" t="s">
        <v>42</v>
      </c>
      <c r="AN35" s="152"/>
      <c r="AO35" s="135" t="s">
        <v>42</v>
      </c>
      <c r="AP35" s="139"/>
      <c r="AQ35" s="5"/>
      <c r="AR35" s="5"/>
      <c r="AS35" s="5"/>
      <c r="AT35" s="5"/>
      <c r="AU35" s="5"/>
      <c r="AV35" s="5"/>
      <c r="AW35" s="5"/>
      <c r="AX35" s="5"/>
      <c r="AY35" s="5"/>
      <c r="AZ35" s="5"/>
      <c r="BA35" s="5"/>
      <c r="BB35" s="5"/>
      <c r="BC35" s="5"/>
      <c r="BD35" s="5"/>
      <c r="BE35" s="5"/>
      <c r="BF35" s="5"/>
      <c r="BG35" s="5"/>
      <c r="BH35" s="5"/>
    </row>
    <row r="36">
      <c r="A36" s="147">
        <v>1.0</v>
      </c>
      <c r="B36" s="102"/>
      <c r="C36" s="157" t="s">
        <v>37</v>
      </c>
      <c r="D36" s="104"/>
      <c r="E36" s="105"/>
      <c r="F36" s="104"/>
      <c r="G36" s="104"/>
      <c r="H36" s="104"/>
      <c r="I36" s="104"/>
      <c r="J36" s="104"/>
      <c r="K36" s="104" t="s">
        <v>42</v>
      </c>
      <c r="L36" s="106" t="str">
        <f>Q36</f>
        <v>#REF!</v>
      </c>
      <c r="M36" s="105" t="s">
        <v>42</v>
      </c>
      <c r="N36" s="107" t="str">
        <f>IFERROR(__xludf.DUMMYFUNCTION("""COMPUTED_VALUE"""),"")</f>
        <v/>
      </c>
      <c r="O36" s="104"/>
      <c r="P36" s="104" t="str">
        <f>Q16+Q36</f>
        <v>#REF!</v>
      </c>
      <c r="Q36" s="106" t="str">
        <f>Q37</f>
        <v>#REF!</v>
      </c>
      <c r="R36" s="108"/>
      <c r="S36" s="109" t="str">
        <f>T36/Q36</f>
        <v>#REF!</v>
      </c>
      <c r="T36" s="109" t="str">
        <f>SUM(S37:S55)</f>
        <v>#REF!</v>
      </c>
      <c r="U36" s="136"/>
      <c r="V36" s="109" t="str">
        <f>W36/Q36</f>
        <v>#REF!</v>
      </c>
      <c r="W36" s="110" t="str">
        <f>SUM(W37:W55)</f>
        <v>#REF!</v>
      </c>
      <c r="X36" s="111" t="str">
        <f>W36/$AC$176/$W$183/$X$173</f>
        <v>#REF!</v>
      </c>
      <c r="Y36" s="112" t="str">
        <f>(T36+W36)=(SUM(AB37:AB55))</f>
        <v>#REF!</v>
      </c>
      <c r="Z36" s="113" t="str">
        <f>(T36+W36)-(SUM(AB37:AB55))</f>
        <v>#REF!</v>
      </c>
      <c r="AA36" s="5"/>
      <c r="AB36" s="5"/>
      <c r="AC36" s="33"/>
      <c r="AD36" s="114" t="str">
        <f>W36+T36</f>
        <v>#REF!</v>
      </c>
      <c r="AE36" s="115" t="str">
        <f>AD36</f>
        <v>#REF!</v>
      </c>
      <c r="AF36" s="116" t="str">
        <f>AE36/$AE$151</f>
        <v>#REF!</v>
      </c>
      <c r="AG36" s="117" t="str">
        <f>AF36*$AG$158</f>
        <v>#REF!</v>
      </c>
      <c r="AH36" s="118" t="str">
        <f>AF36*$AG$161</f>
        <v>#REF!</v>
      </c>
      <c r="AI36" s="39"/>
      <c r="AJ36" s="119" t="str">
        <f>ROUND(AK36/L36,2)</f>
        <v>#REF!</v>
      </c>
      <c r="AK36" s="119" t="str">
        <f>ROUND(AH36+AG36+AD36,2)</f>
        <v>#REF!</v>
      </c>
      <c r="AL36" s="5"/>
      <c r="AM36" s="135" t="s">
        <v>42</v>
      </c>
      <c r="AN36" s="152"/>
      <c r="AO36" s="135" t="s">
        <v>42</v>
      </c>
      <c r="AP36" s="139"/>
      <c r="AQ36" s="5"/>
      <c r="AR36" s="5"/>
      <c r="AS36" s="5"/>
      <c r="AT36" s="5"/>
      <c r="AU36" s="5"/>
      <c r="AV36" s="5"/>
      <c r="AW36" s="5"/>
      <c r="AX36" s="5"/>
      <c r="AY36" s="5"/>
      <c r="AZ36" s="5"/>
      <c r="BA36" s="5"/>
      <c r="BB36" s="5"/>
      <c r="BC36" s="5"/>
      <c r="BD36" s="5"/>
      <c r="BE36" s="5"/>
      <c r="BF36" s="5"/>
      <c r="BG36" s="5"/>
      <c r="BH36" s="5"/>
    </row>
    <row r="37">
      <c r="A37" s="147"/>
      <c r="B37" s="154" t="s">
        <v>38</v>
      </c>
      <c r="C37" s="123" t="s">
        <v>76</v>
      </c>
      <c r="D37" s="124" t="s">
        <v>40</v>
      </c>
      <c r="E37" s="125" t="str">
        <f>IFERROR(__xludf.DUMMYFUNCTION("IF($B$17:$B386="""","""",
  VLOOKUP(
    $B$17:$B386,
    QUERY(
      IMPORTRANGE(""1Ag27m9YF5mMfJh2E6NipJDFvPLlDI1p-s_1XEnzMHcc"",""Merge!F2:R""),
      ""select Col1, Col11"",
      0
    ),
    2,
    FALSE
  )
)
"),"#REF!")</f>
        <v>#REF!</v>
      </c>
      <c r="F37" s="126" t="str">
        <f>IFERROR(__xludf.DUMMYFUNCTION("IFERROR(REGEXEXTRACT(C37,""@\s*(\d+)\s*deg"")&amp;""°"","""")
"),"5°")</f>
        <v>5°</v>
      </c>
      <c r="G37" s="127"/>
      <c r="H37" s="128" t="str">
        <f>IFERROR(__xludf.DUMMYFUNCTION("IFERROR(REGEXEXTRACT(C37, ""(\d*\.\d+)mm""), """")"),"0.55")</f>
        <v>0.55</v>
      </c>
      <c r="I37" s="129"/>
      <c r="J37" s="126" t="s">
        <v>14</v>
      </c>
      <c r="K37" s="126" t="s">
        <v>41</v>
      </c>
      <c r="L37" s="135">
        <v>1029.42</v>
      </c>
      <c r="M37" s="150" t="str">
        <f>L37*E37</f>
        <v>#REF!</v>
      </c>
      <c r="N37" s="151">
        <f>IFERROR(__xludf.DUMMYFUNCTION("""COMPUTED_VALUE"""),1.0038198375433474)</f>
        <v>1.003819838</v>
      </c>
      <c r="O37" s="134">
        <v>1.0</v>
      </c>
      <c r="P37" s="134">
        <v>1.0</v>
      </c>
      <c r="Q37" s="135" t="str">
        <f>M37*N37*O37*P37</f>
        <v>#REF!</v>
      </c>
      <c r="R37" s="136" t="s">
        <v>42</v>
      </c>
      <c r="S37" s="137" t="str">
        <f>R37*Q37</f>
        <v>#REF!</v>
      </c>
      <c r="T37" s="138"/>
      <c r="U37" s="136" t="s">
        <v>42</v>
      </c>
      <c r="V37" s="139"/>
      <c r="W37" s="140" t="str">
        <f>U37*Q37</f>
        <v>#REF!</v>
      </c>
      <c r="X37" s="111" t="str">
        <f>W37/$AC$176/$W$183/Y37</f>
        <v>#REF!</v>
      </c>
      <c r="Y37" s="141">
        <v>10.0</v>
      </c>
      <c r="Z37" s="142" t="str">
        <f>Q37/X37</f>
        <v>#REF!</v>
      </c>
      <c r="AA37" s="143">
        <f>27*15/60/8</f>
        <v>0.84375</v>
      </c>
      <c r="AB37" s="113" t="str">
        <f t="shared" ref="AB37:AB54" si="14">W37+S37</f>
        <v>#REF!</v>
      </c>
      <c r="AC37" s="33"/>
      <c r="AD37" s="65"/>
      <c r="AE37" s="66"/>
      <c r="AF37" s="144"/>
      <c r="AG37" s="68"/>
      <c r="AH37" s="69"/>
      <c r="AI37" s="39"/>
      <c r="AJ37" s="70"/>
      <c r="AK37" s="70"/>
      <c r="AL37" s="5"/>
      <c r="AM37" s="135" t="s">
        <v>42</v>
      </c>
      <c r="AN37" s="152" t="e">
        <v>#REF!</v>
      </c>
      <c r="AO37" s="135" t="s">
        <v>42</v>
      </c>
      <c r="AP37" s="139"/>
      <c r="AQ37" s="5"/>
      <c r="AR37" s="5"/>
      <c r="AS37" s="5"/>
      <c r="AT37" s="5"/>
      <c r="AU37" s="5"/>
      <c r="AV37" s="5"/>
      <c r="AW37" s="5"/>
      <c r="AX37" s="5"/>
      <c r="AY37" s="5"/>
      <c r="AZ37" s="5"/>
      <c r="BA37" s="5"/>
      <c r="BB37" s="5"/>
      <c r="BC37" s="5"/>
      <c r="BD37" s="5"/>
      <c r="BE37" s="5"/>
      <c r="BF37" s="5"/>
      <c r="BG37" s="5"/>
      <c r="BH37" s="5"/>
    </row>
    <row r="38" ht="12.75" customHeight="1">
      <c r="A38" s="147"/>
      <c r="B38" s="154"/>
      <c r="C38" s="158"/>
      <c r="D38" s="124"/>
      <c r="E38" s="129"/>
      <c r="F38" s="126"/>
      <c r="G38" s="127"/>
      <c r="H38" s="127"/>
      <c r="I38" s="127"/>
      <c r="J38" s="126"/>
      <c r="K38" s="126" t="s">
        <v>42</v>
      </c>
      <c r="L38" s="131"/>
      <c r="M38" s="150"/>
      <c r="N38" s="151" t="str">
        <f>IFERROR(__xludf.DUMMYFUNCTION("""COMPUTED_VALUE"""),"")</f>
        <v/>
      </c>
      <c r="O38" s="134"/>
      <c r="P38" s="134"/>
      <c r="Q38" s="135"/>
      <c r="R38" s="136"/>
      <c r="S38" s="137"/>
      <c r="T38" s="138"/>
      <c r="U38" s="136"/>
      <c r="V38" s="139"/>
      <c r="W38" s="140"/>
      <c r="X38" s="159"/>
      <c r="Y38" s="5"/>
      <c r="Z38" s="5"/>
      <c r="AA38" s="5"/>
      <c r="AB38" s="113">
        <f t="shared" si="14"/>
        <v>0</v>
      </c>
      <c r="AC38" s="33"/>
      <c r="AD38" s="65"/>
      <c r="AE38" s="66"/>
      <c r="AF38" s="144"/>
      <c r="AG38" s="68"/>
      <c r="AH38" s="69"/>
      <c r="AI38" s="39"/>
      <c r="AJ38" s="70"/>
      <c r="AK38" s="70"/>
      <c r="AL38" s="5"/>
      <c r="AM38" s="135" t="s">
        <v>42</v>
      </c>
      <c r="AN38" s="152"/>
      <c r="AO38" s="135" t="s">
        <v>42</v>
      </c>
      <c r="AP38" s="139"/>
      <c r="AQ38" s="5"/>
      <c r="AR38" s="5"/>
      <c r="AS38" s="5"/>
      <c r="AT38" s="5"/>
      <c r="AU38" s="5"/>
      <c r="AV38" s="5"/>
      <c r="AW38" s="5"/>
      <c r="AX38" s="5"/>
      <c r="AY38" s="5"/>
      <c r="AZ38" s="5"/>
      <c r="BA38" s="5"/>
      <c r="BB38" s="5"/>
      <c r="BC38" s="5"/>
      <c r="BD38" s="5"/>
      <c r="BE38" s="5"/>
      <c r="BF38" s="5"/>
      <c r="BG38" s="5"/>
      <c r="BH38" s="5"/>
    </row>
    <row r="39" ht="12.75" customHeight="1">
      <c r="A39" s="147"/>
      <c r="B39" s="154" t="s">
        <v>43</v>
      </c>
      <c r="C39" s="158" t="s">
        <v>44</v>
      </c>
      <c r="D39" s="124" t="s">
        <v>45</v>
      </c>
      <c r="E39" s="129"/>
      <c r="F39" s="126" t="str">
        <f>F61</f>
        <v>5°</v>
      </c>
      <c r="G39" s="127"/>
      <c r="H39" s="127"/>
      <c r="I39" s="127"/>
      <c r="J39" s="126" t="s">
        <v>14</v>
      </c>
      <c r="K39" s="126" t="s">
        <v>41</v>
      </c>
      <c r="L39" s="131">
        <v>921.66</v>
      </c>
      <c r="M39" s="150">
        <v>921.66</v>
      </c>
      <c r="N39" s="151">
        <f>IFERROR(__xludf.DUMMYFUNCTION("""COMPUTED_VALUE"""),1.0038198375433474)</f>
        <v>1.003819838</v>
      </c>
      <c r="O39" s="134">
        <v>1.0</v>
      </c>
      <c r="P39" s="134">
        <v>1.0</v>
      </c>
      <c r="Q39" s="135">
        <f t="shared" ref="Q39:Q40" si="15">M39*N39*O39*P39</f>
        <v>925.1805915</v>
      </c>
      <c r="R39" s="136" t="s">
        <v>42</v>
      </c>
      <c r="S39" s="137">
        <f t="shared" ref="S39:S40" si="16">R39*Q39</f>
        <v>0</v>
      </c>
      <c r="T39" s="138"/>
      <c r="U39" s="136" t="s">
        <v>42</v>
      </c>
      <c r="V39" s="139"/>
      <c r="W39" s="140">
        <f t="shared" ref="W39:W40" si="17">U39*Q39</f>
        <v>0</v>
      </c>
      <c r="X39" s="159"/>
      <c r="Y39" s="5"/>
      <c r="Z39" s="5"/>
      <c r="AA39" s="5"/>
      <c r="AB39" s="113">
        <f t="shared" si="14"/>
        <v>0</v>
      </c>
      <c r="AC39" s="33"/>
      <c r="AD39" s="65"/>
      <c r="AE39" s="66"/>
      <c r="AF39" s="144"/>
      <c r="AG39" s="68"/>
      <c r="AH39" s="69"/>
      <c r="AI39" s="39"/>
      <c r="AJ39" s="70"/>
      <c r="AK39" s="70"/>
      <c r="AL39" s="5"/>
      <c r="AM39" s="135">
        <v>921.66</v>
      </c>
      <c r="AN39" s="152" t="s">
        <v>46</v>
      </c>
      <c r="AO39" s="135">
        <v>0.0</v>
      </c>
      <c r="AP39" s="139"/>
      <c r="AQ39" s="5"/>
      <c r="AR39" s="5"/>
      <c r="AS39" s="5"/>
      <c r="AT39" s="5"/>
      <c r="AU39" s="5"/>
      <c r="AV39" s="5"/>
      <c r="AW39" s="5"/>
      <c r="AX39" s="5"/>
      <c r="AY39" s="5"/>
      <c r="AZ39" s="5"/>
      <c r="BA39" s="5"/>
      <c r="BB39" s="5"/>
      <c r="BC39" s="5"/>
      <c r="BD39" s="5"/>
      <c r="BE39" s="5"/>
      <c r="BF39" s="5"/>
      <c r="BG39" s="5"/>
      <c r="BH39" s="5"/>
    </row>
    <row r="40" ht="12.75" customHeight="1">
      <c r="A40" s="147"/>
      <c r="B40" s="154" t="s">
        <v>47</v>
      </c>
      <c r="C40" s="158" t="s">
        <v>48</v>
      </c>
      <c r="D40" s="124" t="s">
        <v>45</v>
      </c>
      <c r="E40" s="129"/>
      <c r="F40" s="126" t="str">
        <f>F39</f>
        <v>5°</v>
      </c>
      <c r="G40" s="127"/>
      <c r="H40" s="127"/>
      <c r="I40" s="127"/>
      <c r="J40" s="126" t="s">
        <v>14</v>
      </c>
      <c r="K40" s="126" t="s">
        <v>41</v>
      </c>
      <c r="L40" s="135">
        <f>M39</f>
        <v>921.66</v>
      </c>
      <c r="M40" s="150">
        <v>921.66</v>
      </c>
      <c r="N40" s="151">
        <f>IFERROR(__xludf.DUMMYFUNCTION("""COMPUTED_VALUE"""),1.0038198375433474)</f>
        <v>1.003819838</v>
      </c>
      <c r="O40" s="134">
        <v>1.0</v>
      </c>
      <c r="P40" s="134">
        <v>1.0</v>
      </c>
      <c r="Q40" s="135">
        <f t="shared" si="15"/>
        <v>925.1805915</v>
      </c>
      <c r="R40" s="136" t="s">
        <v>42</v>
      </c>
      <c r="S40" s="137">
        <f t="shared" si="16"/>
        <v>0</v>
      </c>
      <c r="T40" s="138"/>
      <c r="U40" s="136" t="s">
        <v>42</v>
      </c>
      <c r="V40" s="139"/>
      <c r="W40" s="140">
        <f t="shared" si="17"/>
        <v>0</v>
      </c>
      <c r="X40" s="159"/>
      <c r="Y40" s="5"/>
      <c r="Z40" s="5"/>
      <c r="AA40" s="5"/>
      <c r="AB40" s="113">
        <f t="shared" si="14"/>
        <v>0</v>
      </c>
      <c r="AC40" s="33"/>
      <c r="AD40" s="65"/>
      <c r="AE40" s="66"/>
      <c r="AF40" s="144"/>
      <c r="AG40" s="68"/>
      <c r="AH40" s="69"/>
      <c r="AI40" s="39"/>
      <c r="AJ40" s="70"/>
      <c r="AK40" s="70"/>
      <c r="AL40" s="5"/>
      <c r="AM40" s="135">
        <v>921.66</v>
      </c>
      <c r="AN40" s="152" t="s">
        <v>46</v>
      </c>
      <c r="AO40" s="135">
        <v>0.0</v>
      </c>
      <c r="AP40" s="139"/>
      <c r="AQ40" s="5"/>
      <c r="AR40" s="5"/>
      <c r="AS40" s="5"/>
      <c r="AT40" s="5"/>
      <c r="AU40" s="5"/>
      <c r="AV40" s="5"/>
      <c r="AW40" s="5"/>
      <c r="AX40" s="5"/>
      <c r="AY40" s="5"/>
      <c r="AZ40" s="5"/>
      <c r="BA40" s="5"/>
      <c r="BB40" s="5"/>
      <c r="BC40" s="5"/>
      <c r="BD40" s="5"/>
      <c r="BE40" s="5"/>
      <c r="BF40" s="5"/>
      <c r="BG40" s="5"/>
      <c r="BH40" s="5"/>
    </row>
    <row r="41" ht="12.75" customHeight="1">
      <c r="A41" s="147"/>
      <c r="B41" s="154"/>
      <c r="C41" s="158"/>
      <c r="D41" s="124"/>
      <c r="E41" s="129"/>
      <c r="F41" s="126"/>
      <c r="G41" s="129"/>
      <c r="H41" s="127"/>
      <c r="I41" s="127"/>
      <c r="J41" s="126"/>
      <c r="K41" s="126" t="s">
        <v>42</v>
      </c>
      <c r="L41" s="135"/>
      <c r="M41" s="150"/>
      <c r="N41" s="151" t="str">
        <f>IFERROR(__xludf.DUMMYFUNCTION("""COMPUTED_VALUE"""),"")</f>
        <v/>
      </c>
      <c r="O41" s="134"/>
      <c r="P41" s="134"/>
      <c r="Q41" s="135"/>
      <c r="R41" s="136"/>
      <c r="S41" s="137"/>
      <c r="T41" s="138"/>
      <c r="U41" s="136"/>
      <c r="V41" s="139"/>
      <c r="W41" s="140"/>
      <c r="X41" s="159"/>
      <c r="Y41" s="5"/>
      <c r="Z41" s="5"/>
      <c r="AA41" s="5"/>
      <c r="AB41" s="113">
        <f t="shared" si="14"/>
        <v>0</v>
      </c>
      <c r="AC41" s="33"/>
      <c r="AD41" s="65"/>
      <c r="AE41" s="66"/>
      <c r="AF41" s="144"/>
      <c r="AG41" s="68"/>
      <c r="AH41" s="69"/>
      <c r="AI41" s="39"/>
      <c r="AJ41" s="70"/>
      <c r="AK41" s="70"/>
      <c r="AL41" s="5"/>
      <c r="AM41" s="135" t="s">
        <v>42</v>
      </c>
      <c r="AN41" s="152"/>
      <c r="AO41" s="135" t="s">
        <v>42</v>
      </c>
      <c r="AP41" s="139"/>
      <c r="AQ41" s="5"/>
      <c r="AR41" s="5"/>
      <c r="AS41" s="5"/>
      <c r="AT41" s="5"/>
      <c r="AU41" s="5"/>
      <c r="AV41" s="5"/>
      <c r="AW41" s="5"/>
      <c r="AX41" s="5"/>
      <c r="AY41" s="5"/>
      <c r="AZ41" s="5"/>
      <c r="BA41" s="5"/>
      <c r="BB41" s="5"/>
      <c r="BC41" s="5"/>
      <c r="BD41" s="5"/>
      <c r="BE41" s="5"/>
      <c r="BF41" s="5"/>
      <c r="BG41" s="5"/>
      <c r="BH41" s="5"/>
    </row>
    <row r="42" ht="12.75" customHeight="1">
      <c r="A42" s="147"/>
      <c r="B42" s="122" t="s">
        <v>49</v>
      </c>
      <c r="C42" s="123" t="s">
        <v>50</v>
      </c>
      <c r="D42" s="148" t="s">
        <v>51</v>
      </c>
      <c r="E42" s="129"/>
      <c r="F42" s="126" t="str">
        <f>F40</f>
        <v>5°</v>
      </c>
      <c r="G42" s="129"/>
      <c r="H42" s="127"/>
      <c r="I42" s="127"/>
      <c r="J42" s="126" t="s">
        <v>14</v>
      </c>
      <c r="K42" s="126" t="s">
        <v>52</v>
      </c>
      <c r="L42" s="135">
        <v>1071.41</v>
      </c>
      <c r="M42" s="150">
        <v>1071.41</v>
      </c>
      <c r="N42" s="151">
        <f>IFERROR(__xludf.DUMMYFUNCTION("""COMPUTED_VALUE"""),1.0038198375433474)</f>
        <v>1.003819838</v>
      </c>
      <c r="O42" s="134"/>
      <c r="P42" s="134"/>
      <c r="Q42" s="135"/>
      <c r="R42" s="136" t="s">
        <v>42</v>
      </c>
      <c r="S42" s="137"/>
      <c r="T42" s="138"/>
      <c r="U42" s="136" t="s">
        <v>42</v>
      </c>
      <c r="V42" s="139"/>
      <c r="W42" s="140"/>
      <c r="X42" s="159"/>
      <c r="Y42" s="5"/>
      <c r="Z42" s="5"/>
      <c r="AA42" s="5"/>
      <c r="AB42" s="113">
        <f t="shared" si="14"/>
        <v>0</v>
      </c>
      <c r="AC42" s="33"/>
      <c r="AD42" s="65"/>
      <c r="AE42" s="66"/>
      <c r="AF42" s="144"/>
      <c r="AG42" s="68"/>
      <c r="AH42" s="69"/>
      <c r="AI42" s="39"/>
      <c r="AJ42" s="70"/>
      <c r="AK42" s="70"/>
      <c r="AL42" s="5"/>
      <c r="AM42" s="135">
        <v>1071.41</v>
      </c>
      <c r="AN42" s="152" t="s">
        <v>46</v>
      </c>
      <c r="AO42" s="135">
        <v>0.0</v>
      </c>
      <c r="AP42" s="139"/>
      <c r="AQ42" s="5"/>
      <c r="AR42" s="5"/>
      <c r="AS42" s="5"/>
      <c r="AT42" s="5"/>
      <c r="AU42" s="5"/>
      <c r="AV42" s="5"/>
      <c r="AW42" s="5"/>
      <c r="AX42" s="5"/>
      <c r="AY42" s="5"/>
      <c r="AZ42" s="5"/>
      <c r="BA42" s="5"/>
      <c r="BB42" s="5"/>
      <c r="BC42" s="5"/>
      <c r="BD42" s="5"/>
      <c r="BE42" s="5"/>
      <c r="BF42" s="5"/>
      <c r="BG42" s="5"/>
      <c r="BH42" s="5"/>
    </row>
    <row r="43" ht="12.75" customHeight="1">
      <c r="A43" s="147"/>
      <c r="B43" s="122" t="s">
        <v>53</v>
      </c>
      <c r="C43" s="123" t="s">
        <v>54</v>
      </c>
      <c r="D43" s="148" t="s">
        <v>51</v>
      </c>
      <c r="E43" s="129"/>
      <c r="F43" s="126" t="str">
        <f t="shared" ref="F43:F44" si="18">F42</f>
        <v>5°</v>
      </c>
      <c r="G43" s="129"/>
      <c r="H43" s="127" t="str">
        <f>IFERROR(__xludf.DUMMYFUNCTION("IFERROR(REGEXEXTRACT(C43, ""(\d*\.\d+)mm""), """")"),"")</f>
        <v/>
      </c>
      <c r="I43" s="127"/>
      <c r="J43" s="126" t="s">
        <v>14</v>
      </c>
      <c r="K43" s="126" t="s">
        <v>55</v>
      </c>
      <c r="L43" s="135">
        <f>M48</f>
        <v>1071.41</v>
      </c>
      <c r="M43" s="150">
        <f>M48</f>
        <v>1071.41</v>
      </c>
      <c r="N43" s="151">
        <f>IFERROR(__xludf.DUMMYFUNCTION("""COMPUTED_VALUE"""),1.0038198375433474)</f>
        <v>1.003819838</v>
      </c>
      <c r="O43" s="134">
        <v>1.0</v>
      </c>
      <c r="P43" s="134">
        <v>1.0</v>
      </c>
      <c r="Q43" s="135">
        <f>M43*N43*O43*P43</f>
        <v>1075.502612</v>
      </c>
      <c r="R43" s="136" t="s">
        <v>42</v>
      </c>
      <c r="S43" s="137">
        <f>R43*Q43</f>
        <v>0</v>
      </c>
      <c r="T43" s="138"/>
      <c r="U43" s="136" t="s">
        <v>42</v>
      </c>
      <c r="V43" s="139"/>
      <c r="W43" s="140">
        <f>U43*Q43</f>
        <v>0</v>
      </c>
      <c r="X43" s="159"/>
      <c r="Y43" s="5"/>
      <c r="Z43" s="5"/>
      <c r="AA43" s="5"/>
      <c r="AB43" s="113">
        <f t="shared" si="14"/>
        <v>0</v>
      </c>
      <c r="AC43" s="33"/>
      <c r="AD43" s="65"/>
      <c r="AE43" s="66"/>
      <c r="AF43" s="144"/>
      <c r="AG43" s="68"/>
      <c r="AH43" s="69"/>
      <c r="AI43" s="39"/>
      <c r="AJ43" s="70"/>
      <c r="AK43" s="70"/>
      <c r="AL43" s="5"/>
      <c r="AM43" s="135">
        <v>1071.41</v>
      </c>
      <c r="AN43" s="152" t="s">
        <v>46</v>
      </c>
      <c r="AO43" s="135">
        <v>0.0</v>
      </c>
      <c r="AP43" s="139"/>
      <c r="AQ43" s="5"/>
      <c r="AR43" s="5"/>
      <c r="AS43" s="5"/>
      <c r="AT43" s="5"/>
      <c r="AU43" s="5"/>
      <c r="AV43" s="5"/>
      <c r="AW43" s="5"/>
      <c r="AX43" s="5"/>
      <c r="AY43" s="5"/>
      <c r="AZ43" s="5"/>
      <c r="BA43" s="5"/>
      <c r="BB43" s="5"/>
      <c r="BC43" s="5"/>
      <c r="BD43" s="5"/>
      <c r="BE43" s="5"/>
      <c r="BF43" s="5"/>
      <c r="BG43" s="5"/>
      <c r="BH43" s="5"/>
    </row>
    <row r="44" ht="12.75" customHeight="1">
      <c r="A44" s="147"/>
      <c r="B44" s="122" t="s">
        <v>56</v>
      </c>
      <c r="C44" s="123" t="s">
        <v>57</v>
      </c>
      <c r="D44" s="148" t="s">
        <v>51</v>
      </c>
      <c r="E44" s="129"/>
      <c r="F44" s="126" t="str">
        <f t="shared" si="18"/>
        <v>5°</v>
      </c>
      <c r="G44" s="129"/>
      <c r="H44" s="127"/>
      <c r="I44" s="127"/>
      <c r="J44" s="126" t="s">
        <v>14</v>
      </c>
      <c r="K44" s="126" t="s">
        <v>52</v>
      </c>
      <c r="L44" s="135">
        <v>1071.41</v>
      </c>
      <c r="M44" s="150">
        <v>1071.41</v>
      </c>
      <c r="N44" s="151">
        <f>IFERROR(__xludf.DUMMYFUNCTION("""COMPUTED_VALUE"""),1.0038198375433474)</f>
        <v>1.003819838</v>
      </c>
      <c r="O44" s="134"/>
      <c r="P44" s="134"/>
      <c r="Q44" s="135"/>
      <c r="R44" s="136" t="s">
        <v>42</v>
      </c>
      <c r="S44" s="137"/>
      <c r="T44" s="138"/>
      <c r="U44" s="136" t="s">
        <v>42</v>
      </c>
      <c r="V44" s="139"/>
      <c r="W44" s="140"/>
      <c r="X44" s="159"/>
      <c r="Y44" s="5"/>
      <c r="Z44" s="5"/>
      <c r="AA44" s="5"/>
      <c r="AB44" s="113">
        <f t="shared" si="14"/>
        <v>0</v>
      </c>
      <c r="AC44" s="33"/>
      <c r="AD44" s="65"/>
      <c r="AE44" s="66"/>
      <c r="AF44" s="144"/>
      <c r="AG44" s="68"/>
      <c r="AH44" s="69"/>
      <c r="AI44" s="39"/>
      <c r="AJ44" s="70"/>
      <c r="AK44" s="70"/>
      <c r="AL44" s="5"/>
      <c r="AM44" s="135">
        <v>1071.41</v>
      </c>
      <c r="AN44" s="152" t="s">
        <v>46</v>
      </c>
      <c r="AO44" s="135">
        <v>0.0</v>
      </c>
      <c r="AP44" s="139"/>
      <c r="AQ44" s="5"/>
      <c r="AR44" s="5"/>
      <c r="AS44" s="5"/>
      <c r="AT44" s="5"/>
      <c r="AU44" s="5"/>
      <c r="AV44" s="5"/>
      <c r="AW44" s="5"/>
      <c r="AX44" s="5"/>
      <c r="AY44" s="5"/>
      <c r="AZ44" s="5"/>
      <c r="BA44" s="5"/>
      <c r="BB44" s="5"/>
      <c r="BC44" s="5"/>
      <c r="BD44" s="5"/>
      <c r="BE44" s="5"/>
      <c r="BF44" s="5"/>
      <c r="BG44" s="5"/>
      <c r="BH44" s="5"/>
    </row>
    <row r="45" ht="12.75" customHeight="1">
      <c r="A45" s="147"/>
      <c r="B45" s="154"/>
      <c r="C45" s="158"/>
      <c r="D45" s="124"/>
      <c r="E45" s="129"/>
      <c r="F45" s="129"/>
      <c r="G45" s="127"/>
      <c r="H45" s="127"/>
      <c r="I45" s="127"/>
      <c r="J45" s="126"/>
      <c r="K45" s="126" t="s">
        <v>42</v>
      </c>
      <c r="L45" s="131"/>
      <c r="M45" s="150"/>
      <c r="N45" s="151" t="str">
        <f>IFERROR(__xludf.DUMMYFUNCTION("""COMPUTED_VALUE"""),"")</f>
        <v/>
      </c>
      <c r="O45" s="134"/>
      <c r="P45" s="134"/>
      <c r="Q45" s="135"/>
      <c r="R45" s="136"/>
      <c r="S45" s="137"/>
      <c r="T45" s="138"/>
      <c r="U45" s="136"/>
      <c r="V45" s="139"/>
      <c r="W45" s="140"/>
      <c r="X45" s="159"/>
      <c r="Y45" s="5"/>
      <c r="Z45" s="5"/>
      <c r="AA45" s="5"/>
      <c r="AB45" s="113">
        <f t="shared" si="14"/>
        <v>0</v>
      </c>
      <c r="AC45" s="33"/>
      <c r="AD45" s="65"/>
      <c r="AE45" s="66"/>
      <c r="AF45" s="144"/>
      <c r="AG45" s="68"/>
      <c r="AH45" s="69"/>
      <c r="AI45" s="39"/>
      <c r="AJ45" s="70"/>
      <c r="AK45" s="70"/>
      <c r="AL45" s="5"/>
      <c r="AM45" s="135" t="s">
        <v>42</v>
      </c>
      <c r="AN45" s="152"/>
      <c r="AO45" s="135" t="s">
        <v>42</v>
      </c>
      <c r="AP45" s="139"/>
      <c r="AQ45" s="5"/>
      <c r="AR45" s="5"/>
      <c r="AS45" s="5"/>
      <c r="AT45" s="5"/>
      <c r="AU45" s="5"/>
      <c r="AV45" s="5"/>
      <c r="AW45" s="5"/>
      <c r="AX45" s="5"/>
      <c r="AY45" s="5"/>
      <c r="AZ45" s="5"/>
      <c r="BA45" s="5"/>
      <c r="BB45" s="5"/>
      <c r="BC45" s="5"/>
      <c r="BD45" s="5"/>
      <c r="BE45" s="5"/>
      <c r="BF45" s="5"/>
      <c r="BG45" s="5"/>
      <c r="BH45" s="5"/>
    </row>
    <row r="46" ht="12.75" customHeight="1">
      <c r="A46" s="147"/>
      <c r="B46" s="154" t="s">
        <v>58</v>
      </c>
      <c r="C46" s="158" t="s">
        <v>59</v>
      </c>
      <c r="D46" s="124" t="s">
        <v>60</v>
      </c>
      <c r="E46" s="129"/>
      <c r="F46" s="129"/>
      <c r="G46" s="127"/>
      <c r="H46" s="127"/>
      <c r="I46" s="127"/>
      <c r="J46" s="126" t="s">
        <v>14</v>
      </c>
      <c r="K46" s="126" t="s">
        <v>55</v>
      </c>
      <c r="L46" s="131">
        <v>1071.41</v>
      </c>
      <c r="M46" s="150">
        <v>1071.41</v>
      </c>
      <c r="N46" s="151">
        <f>IFERROR(__xludf.DUMMYFUNCTION("""COMPUTED_VALUE"""),1.0)</f>
        <v>1</v>
      </c>
      <c r="O46" s="134">
        <v>1.0</v>
      </c>
      <c r="P46" s="134">
        <v>1.0</v>
      </c>
      <c r="Q46" s="135">
        <f>M46*N46*O46*P46</f>
        <v>1071.41</v>
      </c>
      <c r="R46" s="136" t="s">
        <v>42</v>
      </c>
      <c r="S46" s="137">
        <f>R46*Q46</f>
        <v>0</v>
      </c>
      <c r="T46" s="138"/>
      <c r="U46" s="136" t="s">
        <v>42</v>
      </c>
      <c r="V46" s="139"/>
      <c r="W46" s="140">
        <f>U46*Q46</f>
        <v>0</v>
      </c>
      <c r="X46" s="159"/>
      <c r="Y46" s="5"/>
      <c r="Z46" s="5"/>
      <c r="AA46" s="5"/>
      <c r="AB46" s="113">
        <f t="shared" si="14"/>
        <v>0</v>
      </c>
      <c r="AC46" s="33"/>
      <c r="AD46" s="65"/>
      <c r="AE46" s="66"/>
      <c r="AF46" s="144"/>
      <c r="AG46" s="68"/>
      <c r="AH46" s="69"/>
      <c r="AI46" s="39"/>
      <c r="AJ46" s="70"/>
      <c r="AK46" s="70"/>
      <c r="AL46" s="5"/>
      <c r="AM46" s="135">
        <v>1071.41</v>
      </c>
      <c r="AN46" s="152" t="s">
        <v>46</v>
      </c>
      <c r="AO46" s="135">
        <v>0.0</v>
      </c>
      <c r="AP46" s="139"/>
      <c r="AQ46" s="5"/>
      <c r="AR46" s="5"/>
      <c r="AS46" s="5"/>
      <c r="AT46" s="5"/>
      <c r="AU46" s="5"/>
      <c r="AV46" s="5"/>
      <c r="AW46" s="5"/>
      <c r="AX46" s="5"/>
      <c r="AY46" s="5"/>
      <c r="AZ46" s="5"/>
      <c r="BA46" s="5"/>
      <c r="BB46" s="5"/>
      <c r="BC46" s="5"/>
      <c r="BD46" s="5"/>
      <c r="BE46" s="5"/>
      <c r="BF46" s="5"/>
      <c r="BG46" s="5"/>
      <c r="BH46" s="5"/>
    </row>
    <row r="47" ht="12.75" customHeight="1">
      <c r="A47" s="147"/>
      <c r="B47" s="154"/>
      <c r="C47" s="158"/>
      <c r="D47" s="124"/>
      <c r="E47" s="153"/>
      <c r="F47" s="129"/>
      <c r="G47" s="127"/>
      <c r="H47" s="127"/>
      <c r="I47" s="127"/>
      <c r="J47" s="126"/>
      <c r="K47" s="126" t="s">
        <v>42</v>
      </c>
      <c r="L47" s="135"/>
      <c r="M47" s="150"/>
      <c r="N47" s="151" t="str">
        <f>IFERROR(__xludf.DUMMYFUNCTION("""COMPUTED_VALUE"""),"")</f>
        <v/>
      </c>
      <c r="O47" s="134"/>
      <c r="P47" s="134"/>
      <c r="Q47" s="135"/>
      <c r="R47" s="136"/>
      <c r="S47" s="137"/>
      <c r="T47" s="138"/>
      <c r="U47" s="136"/>
      <c r="V47" s="139"/>
      <c r="W47" s="140"/>
      <c r="X47" s="159"/>
      <c r="Y47" s="5"/>
      <c r="Z47" s="5"/>
      <c r="AA47" s="5"/>
      <c r="AB47" s="113">
        <f t="shared" si="14"/>
        <v>0</v>
      </c>
      <c r="AC47" s="33"/>
      <c r="AD47" s="65"/>
      <c r="AE47" s="66"/>
      <c r="AF47" s="144"/>
      <c r="AG47" s="68"/>
      <c r="AH47" s="69"/>
      <c r="AI47" s="39"/>
      <c r="AJ47" s="70"/>
      <c r="AK47" s="70"/>
      <c r="AL47" s="5"/>
      <c r="AM47" s="135" t="s">
        <v>42</v>
      </c>
      <c r="AN47" s="152"/>
      <c r="AO47" s="135" t="s">
        <v>42</v>
      </c>
      <c r="AP47" s="139"/>
      <c r="AQ47" s="5"/>
      <c r="AR47" s="5"/>
      <c r="AS47" s="5"/>
      <c r="AT47" s="5"/>
      <c r="AU47" s="5"/>
      <c r="AV47" s="5"/>
      <c r="AW47" s="5"/>
      <c r="AX47" s="5"/>
      <c r="AY47" s="5"/>
      <c r="AZ47" s="5"/>
      <c r="BA47" s="5"/>
      <c r="BB47" s="5"/>
      <c r="BC47" s="5"/>
      <c r="BD47" s="5"/>
      <c r="BE47" s="5"/>
      <c r="BF47" s="5"/>
      <c r="BG47" s="5"/>
      <c r="BH47" s="5"/>
    </row>
    <row r="48" ht="12.75" customHeight="1">
      <c r="A48" s="147"/>
      <c r="B48" s="154" t="s">
        <v>61</v>
      </c>
      <c r="C48" s="158" t="s">
        <v>62</v>
      </c>
      <c r="D48" s="124" t="s">
        <v>63</v>
      </c>
      <c r="E48" s="153">
        <v>1.0</v>
      </c>
      <c r="F48" s="129"/>
      <c r="G48" s="127"/>
      <c r="H48" s="127"/>
      <c r="I48" s="127"/>
      <c r="J48" s="126" t="s">
        <v>14</v>
      </c>
      <c r="K48" s="126" t="s">
        <v>52</v>
      </c>
      <c r="L48" s="135">
        <f>M46</f>
        <v>1071.41</v>
      </c>
      <c r="M48" s="150">
        <f>L48/E48</f>
        <v>1071.41</v>
      </c>
      <c r="N48" s="151">
        <f>IFERROR(__xludf.DUMMYFUNCTION("""COMPUTED_VALUE"""),1.0)</f>
        <v>1</v>
      </c>
      <c r="O48" s="134">
        <v>1.0</v>
      </c>
      <c r="P48" s="134">
        <v>1.0</v>
      </c>
      <c r="Q48" s="135">
        <f t="shared" ref="Q48:Q49" si="19">M48*N48*O48*P48</f>
        <v>1071.41</v>
      </c>
      <c r="R48" s="136" t="s">
        <v>42</v>
      </c>
      <c r="S48" s="137">
        <f t="shared" ref="S48:S49" si="20">R48*Q48</f>
        <v>0</v>
      </c>
      <c r="T48" s="138"/>
      <c r="U48" s="136" t="s">
        <v>42</v>
      </c>
      <c r="V48" s="139"/>
      <c r="W48" s="140">
        <f t="shared" ref="W48:W49" si="21">U48*Q48</f>
        <v>0</v>
      </c>
      <c r="X48" s="159"/>
      <c r="Y48" s="5"/>
      <c r="Z48" s="5"/>
      <c r="AA48" s="5"/>
      <c r="AB48" s="113">
        <f t="shared" si="14"/>
        <v>0</v>
      </c>
      <c r="AC48" s="33"/>
      <c r="AD48" s="65"/>
      <c r="AE48" s="66"/>
      <c r="AF48" s="144"/>
      <c r="AG48" s="68"/>
      <c r="AH48" s="69"/>
      <c r="AI48" s="39"/>
      <c r="AJ48" s="70"/>
      <c r="AK48" s="70"/>
      <c r="AL48" s="5"/>
      <c r="AM48" s="135">
        <v>1071.41</v>
      </c>
      <c r="AN48" s="152" t="s">
        <v>46</v>
      </c>
      <c r="AO48" s="135">
        <v>0.0</v>
      </c>
      <c r="AP48" s="139"/>
      <c r="AQ48" s="5"/>
      <c r="AR48" s="5"/>
      <c r="AS48" s="5"/>
      <c r="AT48" s="5"/>
      <c r="AU48" s="5"/>
      <c r="AV48" s="5"/>
      <c r="AW48" s="5"/>
      <c r="AX48" s="5"/>
      <c r="AY48" s="5"/>
      <c r="AZ48" s="5"/>
      <c r="BA48" s="5"/>
      <c r="BB48" s="5"/>
      <c r="BC48" s="5"/>
      <c r="BD48" s="5"/>
      <c r="BE48" s="5"/>
      <c r="BF48" s="5"/>
      <c r="BG48" s="5"/>
      <c r="BH48" s="5"/>
    </row>
    <row r="49">
      <c r="A49" s="147"/>
      <c r="B49" s="154" t="str">
        <f>IFERROR(__xludf.DUMMYFUNCTION("IFERROR(
  IF(C49="""","""",
    IF(OR(REGEXMATCH(D49,""(?i)-Flashing""), REGEXMATCH(D49,""(?i)-EavesGut""), REGEXMATCH(D49,""(?i)Valley"")),
        ""DR"" &amp;
        TEXT(
            ROUNDUP(
                MIN(
                    VALUE(MID(C49, FIND("&amp;"""("",C49)+1, FIND(""/"",C49)-FIND(""("",C49)-1)),
                    1200
                ) / 50, 0
            ) * 50, ""0""
        ) &amp;
        MID(C49, FIND(""/"",C49)+1, FIND("")"",C49)-FIND(""/"",C49)-1) &amp;
        TEXT(H49*100,""0"") &amp;
        I49,"&amp;"
    IF(AND(D49=""Roof Sheet"", REGEXMATCH(C49,""(?i)KS\d{4}[A-Z]{2}"")),
       REGEXEXTRACT(C49,""(?i)KS\d{4}[A-Z]{2}""),
    IF(AND(REGEXMATCH(D49,""(?i)-DP""), REGEXMATCH(C49,""(?i)Downpipe"")),
       ""dp"" &amp; REGEXEXTRACT(C49,""(\d+)"") &amp; ""mm"",
  "&amp;"  IF(AND(REGEXMATCH(D49,""(?i)Bracket""), REGEXMATCH(C49,""(?i)Bracket"")),
       ""Brkt"" &amp; REGEXEXTRACT(C49,""(\d+)"") &amp; ""mm"",
    IF(AND(REGEXMATCH(D49,""(?i)-OP""), REGEXMATCH(C49,""(?i)pops"")),
       ""op"" &amp; REGEXEXTRACT(C49,""(\d+)"") &amp; ""mm"""&amp;",
    IF(OR(D49=""R-FFTop"", D49=""R-FFBottom"", D49=""R-FFSide""),
        IF(REGEXMATCH(C49,""(?i)Profiled.*Top|Top.*Profiled""),""pfft"",
        IF(REGEXMATCH(C49,""(?i)Profiled.*Bottom|Bottom.*Profiled""),""pffb"",
        IF(REGEXMATCH(C49,""(?i)Squ"&amp;"are""),""sff"",""""))),
    IF(REGEXMATCH(D49,""(?i)-Rivets""),""Rvt"",
    IF(REGEXMATCH(D49,""(?i)Silicone""),""300ml"",
    IF(REGEXMATCH(D49,""(?i)R-Butyl""),""300ml"",
    IF(REGEXMATCH(D49,""(?i)Fix""),""GenFix"",
    IF(AND(REGEXMATCH(C49,""(?i)Tim"&amp;"ber""), REGEXMATCH(D49,""(?i)Timber"")),""tp"",
    IF(AND(REGEXMATCH(C49,""(?i)Vent G1275""), REGEXMATCH(D49,""(?i)Comb FIller"")),""CFV1275"",
    IF(REGEXMATCH(C49,""(?i)DPC""),""dpc"",
    IF(REGEXMATCH(C49,""(?i)Concealed Clips""),""ConClips"",
    I"&amp;"F(REGEXMATCH(D49,""(?i)-Takeoff ea""),""Takeoff ea"",
    IF(REGEXMATCH(D49,""(?i)-Takeoff LM""),""Takeoff LM"",
    IF(REGEXMATCH(D49,""(?i)-Takeoff m2""),""Takeoff m2"",
    IF(D49=""R-TU/TD"",""TU/TD"","""")))))))))))))))))
  )))"),"GenFix")</f>
        <v>GenFix</v>
      </c>
      <c r="C49" s="158" t="s">
        <v>77</v>
      </c>
      <c r="D49" s="124" t="s">
        <v>66</v>
      </c>
      <c r="E49" s="129"/>
      <c r="F49" s="129"/>
      <c r="G49" s="127"/>
      <c r="H49" s="127"/>
      <c r="I49" s="127"/>
      <c r="J49" s="126" t="s">
        <v>14</v>
      </c>
      <c r="K49" s="126" t="s">
        <v>52</v>
      </c>
      <c r="L49" s="135">
        <f>M48</f>
        <v>1071.41</v>
      </c>
      <c r="M49" s="150">
        <f>M48</f>
        <v>1071.41</v>
      </c>
      <c r="N49" s="151">
        <f>IFERROR(__xludf.DUMMYFUNCTION("""COMPUTED_VALUE"""),1.0)</f>
        <v>1</v>
      </c>
      <c r="O49" s="134">
        <v>1.0</v>
      </c>
      <c r="P49" s="134">
        <v>2.0</v>
      </c>
      <c r="Q49" s="135">
        <f t="shared" si="19"/>
        <v>2142.82</v>
      </c>
      <c r="R49" s="136" t="s">
        <v>42</v>
      </c>
      <c r="S49" s="137">
        <f t="shared" si="20"/>
        <v>0</v>
      </c>
      <c r="T49" s="138"/>
      <c r="U49" s="136" t="s">
        <v>42</v>
      </c>
      <c r="V49" s="139"/>
      <c r="W49" s="140">
        <f t="shared" si="21"/>
        <v>0</v>
      </c>
      <c r="X49" s="159"/>
      <c r="Y49" s="5"/>
      <c r="Z49" s="5"/>
      <c r="AA49" s="5"/>
      <c r="AB49" s="113">
        <f t="shared" si="14"/>
        <v>0</v>
      </c>
      <c r="AC49" s="33"/>
      <c r="AD49" s="65"/>
      <c r="AE49" s="66"/>
      <c r="AF49" s="144"/>
      <c r="AG49" s="68"/>
      <c r="AH49" s="69"/>
      <c r="AI49" s="39"/>
      <c r="AJ49" s="70"/>
      <c r="AK49" s="70"/>
      <c r="AL49" s="5"/>
      <c r="AM49" s="135">
        <v>1071.41</v>
      </c>
      <c r="AN49" s="152" t="s">
        <v>46</v>
      </c>
      <c r="AO49" s="135">
        <v>0.0</v>
      </c>
      <c r="AP49" s="139"/>
      <c r="AQ49" s="5"/>
      <c r="AR49" s="5"/>
      <c r="AS49" s="5"/>
      <c r="AT49" s="5"/>
      <c r="AU49" s="5"/>
      <c r="AV49" s="5"/>
      <c r="AW49" s="5"/>
      <c r="AX49" s="5"/>
      <c r="AY49" s="5"/>
      <c r="AZ49" s="5"/>
      <c r="BA49" s="5"/>
      <c r="BB49" s="5"/>
      <c r="BC49" s="5"/>
      <c r="BD49" s="5"/>
      <c r="BE49" s="5"/>
      <c r="BF49" s="5"/>
      <c r="BG49" s="5"/>
      <c r="BH49" s="5"/>
    </row>
    <row r="50" ht="12.75" customHeight="1">
      <c r="A50" s="147"/>
      <c r="B50" s="154"/>
      <c r="C50" s="158"/>
      <c r="D50" s="124"/>
      <c r="E50" s="129"/>
      <c r="F50" s="129"/>
      <c r="G50" s="127"/>
      <c r="H50" s="127"/>
      <c r="I50" s="127"/>
      <c r="J50" s="126"/>
      <c r="K50" s="126" t="s">
        <v>42</v>
      </c>
      <c r="L50" s="135"/>
      <c r="M50" s="150"/>
      <c r="N50" s="151" t="str">
        <f>IFERROR(__xludf.DUMMYFUNCTION("""COMPUTED_VALUE"""),"")</f>
        <v/>
      </c>
      <c r="O50" s="134"/>
      <c r="P50" s="134"/>
      <c r="Q50" s="135"/>
      <c r="R50" s="136"/>
      <c r="S50" s="137"/>
      <c r="T50" s="138"/>
      <c r="U50" s="136"/>
      <c r="V50" s="139"/>
      <c r="W50" s="140"/>
      <c r="X50" s="159"/>
      <c r="Y50" s="5"/>
      <c r="Z50" s="5"/>
      <c r="AA50" s="5"/>
      <c r="AB50" s="113">
        <f t="shared" si="14"/>
        <v>0</v>
      </c>
      <c r="AC50" s="33"/>
      <c r="AD50" s="65"/>
      <c r="AE50" s="66"/>
      <c r="AF50" s="144"/>
      <c r="AG50" s="68"/>
      <c r="AH50" s="69"/>
      <c r="AI50" s="39"/>
      <c r="AJ50" s="70"/>
      <c r="AK50" s="70"/>
      <c r="AL50" s="5"/>
      <c r="AM50" s="135" t="s">
        <v>42</v>
      </c>
      <c r="AN50" s="152"/>
      <c r="AO50" s="135" t="s">
        <v>42</v>
      </c>
      <c r="AP50" s="139"/>
      <c r="AQ50" s="5"/>
      <c r="AR50" s="5"/>
      <c r="AS50" s="5"/>
      <c r="AT50" s="5"/>
      <c r="AU50" s="5"/>
      <c r="AV50" s="5"/>
      <c r="AW50" s="5"/>
      <c r="AX50" s="5"/>
      <c r="AY50" s="5"/>
      <c r="AZ50" s="5"/>
      <c r="BA50" s="5"/>
      <c r="BB50" s="5"/>
      <c r="BC50" s="5"/>
      <c r="BD50" s="5"/>
      <c r="BE50" s="5"/>
      <c r="BF50" s="5"/>
      <c r="BG50" s="5"/>
      <c r="BH50" s="5"/>
    </row>
    <row r="51" ht="12.75" customHeight="1">
      <c r="A51" s="147"/>
      <c r="B51" s="154" t="s">
        <v>67</v>
      </c>
      <c r="C51" s="158" t="s">
        <v>68</v>
      </c>
      <c r="D51" s="124" t="s">
        <v>69</v>
      </c>
      <c r="E51" s="129"/>
      <c r="F51" s="129"/>
      <c r="G51" s="127"/>
      <c r="H51" s="127"/>
      <c r="I51" s="127"/>
      <c r="J51" s="126" t="s">
        <v>14</v>
      </c>
      <c r="K51" s="126" t="s">
        <v>55</v>
      </c>
      <c r="L51" s="135">
        <f>M46</f>
        <v>1071.41</v>
      </c>
      <c r="M51" s="150">
        <f>M46</f>
        <v>1071.41</v>
      </c>
      <c r="N51" s="151">
        <f>IFERROR(__xludf.DUMMYFUNCTION("""COMPUTED_VALUE"""),1.0)</f>
        <v>1</v>
      </c>
      <c r="O51" s="134">
        <v>1.0</v>
      </c>
      <c r="P51" s="134">
        <v>1.0</v>
      </c>
      <c r="Q51" s="135">
        <f>M51*N51*O51*P51</f>
        <v>1071.41</v>
      </c>
      <c r="R51" s="136" t="s">
        <v>42</v>
      </c>
      <c r="S51" s="137">
        <f>R51*Q51</f>
        <v>0</v>
      </c>
      <c r="T51" s="138"/>
      <c r="U51" s="136" t="s">
        <v>42</v>
      </c>
      <c r="V51" s="139"/>
      <c r="W51" s="140">
        <f>U51*Q51</f>
        <v>0</v>
      </c>
      <c r="X51" s="159"/>
      <c r="Y51" s="5"/>
      <c r="Z51" s="5"/>
      <c r="AA51" s="5"/>
      <c r="AB51" s="113">
        <f t="shared" si="14"/>
        <v>0</v>
      </c>
      <c r="AC51" s="33"/>
      <c r="AD51" s="65"/>
      <c r="AE51" s="66"/>
      <c r="AF51" s="144"/>
      <c r="AG51" s="68"/>
      <c r="AH51" s="69"/>
      <c r="AI51" s="39"/>
      <c r="AJ51" s="70"/>
      <c r="AK51" s="70"/>
      <c r="AL51" s="5"/>
      <c r="AM51" s="135">
        <v>1071.41</v>
      </c>
      <c r="AN51" s="152" t="s">
        <v>46</v>
      </c>
      <c r="AO51" s="135">
        <v>0.0</v>
      </c>
      <c r="AP51" s="139"/>
      <c r="AQ51" s="5"/>
      <c r="AR51" s="5"/>
      <c r="AS51" s="5"/>
      <c r="AT51" s="5"/>
      <c r="AU51" s="5"/>
      <c r="AV51" s="5"/>
      <c r="AW51" s="5"/>
      <c r="AX51" s="5"/>
      <c r="AY51" s="5"/>
      <c r="AZ51" s="5"/>
      <c r="BA51" s="5"/>
      <c r="BB51" s="5"/>
      <c r="BC51" s="5"/>
      <c r="BD51" s="5"/>
      <c r="BE51" s="5"/>
      <c r="BF51" s="5"/>
      <c r="BG51" s="5"/>
      <c r="BH51" s="5"/>
    </row>
    <row r="52" ht="12.75" customHeight="1">
      <c r="A52" s="147"/>
      <c r="B52" s="160"/>
      <c r="C52" s="129"/>
      <c r="D52" s="129"/>
      <c r="E52" s="129"/>
      <c r="F52" s="129"/>
      <c r="G52" s="127"/>
      <c r="H52" s="127"/>
      <c r="I52" s="127"/>
      <c r="J52" s="129"/>
      <c r="K52" s="127" t="s">
        <v>42</v>
      </c>
      <c r="L52" s="161"/>
      <c r="M52" s="161"/>
      <c r="N52" s="162" t="str">
        <f>IFERROR(__xludf.DUMMYFUNCTION("""COMPUTED_VALUE"""),"")</f>
        <v/>
      </c>
      <c r="O52" s="127"/>
      <c r="P52" s="127"/>
      <c r="Q52" s="163"/>
      <c r="R52" s="136"/>
      <c r="S52" s="139"/>
      <c r="T52" s="138"/>
      <c r="U52" s="136"/>
      <c r="V52" s="139"/>
      <c r="W52" s="164"/>
      <c r="X52" s="159"/>
      <c r="Y52" s="165"/>
      <c r="Z52" s="166"/>
      <c r="AA52" s="5"/>
      <c r="AB52" s="113">
        <f t="shared" si="14"/>
        <v>0</v>
      </c>
      <c r="AC52" s="33"/>
      <c r="AD52" s="65"/>
      <c r="AE52" s="66"/>
      <c r="AF52" s="144"/>
      <c r="AG52" s="68"/>
      <c r="AH52" s="69"/>
      <c r="AI52" s="39"/>
      <c r="AJ52" s="70"/>
      <c r="AK52" s="70"/>
      <c r="AL52" s="5"/>
      <c r="AM52" s="135" t="s">
        <v>42</v>
      </c>
      <c r="AN52" s="152"/>
      <c r="AO52" s="135" t="s">
        <v>42</v>
      </c>
      <c r="AP52" s="139"/>
      <c r="AQ52" s="5"/>
      <c r="AR52" s="5"/>
      <c r="AS52" s="5"/>
      <c r="AT52" s="5"/>
      <c r="AU52" s="5"/>
      <c r="AV52" s="5"/>
      <c r="AW52" s="5"/>
      <c r="AX52" s="5"/>
      <c r="AY52" s="5"/>
      <c r="AZ52" s="5"/>
      <c r="BA52" s="5"/>
      <c r="BB52" s="5"/>
      <c r="BC52" s="5"/>
      <c r="BD52" s="5"/>
      <c r="BE52" s="5"/>
      <c r="BF52" s="5"/>
      <c r="BG52" s="5"/>
      <c r="BH52" s="5"/>
    </row>
    <row r="53">
      <c r="A53" s="147"/>
      <c r="B53" s="122" t="s">
        <v>70</v>
      </c>
      <c r="C53" s="123" t="s">
        <v>71</v>
      </c>
      <c r="D53" s="124" t="s">
        <v>40</v>
      </c>
      <c r="E53" s="125" t="str">
        <f>IFERROR(__xludf.DUMMYFUNCTION("IF($B$17:$B386="""","""",
  VLOOKUP(
    $B$17:$B386,
    QUERY(
      IMPORTRANGE(""1Ag27m9YF5mMfJh2E6NipJDFvPLlDI1p-s_1XEnzMHcc"",""Merge!F2:R""),
      ""select Col1, Col11"",
      0
    ),
    2,
    FALSE
  )
)
"),"#REF!")</f>
        <v>#REF!</v>
      </c>
      <c r="F53" s="153" t="str">
        <f>F37</f>
        <v>5°</v>
      </c>
      <c r="G53" s="127"/>
      <c r="H53" s="125">
        <v>0.55</v>
      </c>
      <c r="I53" s="129"/>
      <c r="J53" s="126" t="s">
        <v>14</v>
      </c>
      <c r="K53" s="126" t="s">
        <v>41</v>
      </c>
      <c r="L53" s="135">
        <f>L37</f>
        <v>1029.42</v>
      </c>
      <c r="M53" s="150" t="str">
        <f>L53*E53</f>
        <v>#REF!</v>
      </c>
      <c r="N53" s="151">
        <f>IFERROR(__xludf.DUMMYFUNCTION("""COMPUTED_VALUE"""),1.0038198375433474)</f>
        <v>1.003819838</v>
      </c>
      <c r="O53" s="134">
        <v>1.0</v>
      </c>
      <c r="P53" s="134">
        <v>1.0</v>
      </c>
      <c r="Q53" s="135" t="str">
        <f t="shared" ref="Q53:Q54" si="22">M53*N53*O53*P53</f>
        <v>#REF!</v>
      </c>
      <c r="R53" s="136" t="s">
        <v>42</v>
      </c>
      <c r="S53" s="137" t="str">
        <f t="shared" ref="S53:S54" si="23">R53*Q53</f>
        <v>#REF!</v>
      </c>
      <c r="T53" s="138"/>
      <c r="U53" s="136" t="s">
        <v>42</v>
      </c>
      <c r="V53" s="139"/>
      <c r="W53" s="140" t="str">
        <f t="shared" ref="W53:W54" si="24">U53*Q53</f>
        <v>#REF!</v>
      </c>
      <c r="X53" s="2"/>
      <c r="Y53" s="5"/>
      <c r="Z53" s="5"/>
      <c r="AA53" s="5"/>
      <c r="AB53" s="113" t="str">
        <f t="shared" si="14"/>
        <v>#REF!</v>
      </c>
      <c r="AC53" s="33"/>
      <c r="AD53" s="65"/>
      <c r="AE53" s="66"/>
      <c r="AF53" s="144"/>
      <c r="AG53" s="68"/>
      <c r="AH53" s="69"/>
      <c r="AI53" s="39"/>
      <c r="AJ53" s="70"/>
      <c r="AK53" s="70"/>
      <c r="AL53" s="5"/>
      <c r="AM53" s="135" t="s">
        <v>42</v>
      </c>
      <c r="AN53" s="152" t="e">
        <v>#REF!</v>
      </c>
      <c r="AO53" s="135" t="s">
        <v>42</v>
      </c>
      <c r="AP53" s="139"/>
      <c r="AQ53" s="5"/>
      <c r="AR53" s="5"/>
      <c r="AS53" s="5"/>
      <c r="AT53" s="5"/>
      <c r="AU53" s="5"/>
      <c r="AV53" s="5"/>
      <c r="AW53" s="5"/>
      <c r="AX53" s="5"/>
      <c r="AY53" s="5"/>
      <c r="AZ53" s="5"/>
      <c r="BA53" s="5"/>
      <c r="BB53" s="5"/>
      <c r="BC53" s="5"/>
      <c r="BD53" s="5"/>
      <c r="BE53" s="5"/>
      <c r="BF53" s="5"/>
      <c r="BG53" s="5"/>
      <c r="BH53" s="5"/>
    </row>
    <row r="54">
      <c r="A54" s="147"/>
      <c r="B54" s="122" t="s">
        <v>73</v>
      </c>
      <c r="C54" s="123" t="s">
        <v>74</v>
      </c>
      <c r="D54" s="148" t="s">
        <v>51</v>
      </c>
      <c r="E54" s="153"/>
      <c r="F54" s="126"/>
      <c r="G54" s="149"/>
      <c r="H54" s="128"/>
      <c r="I54" s="155"/>
      <c r="J54" s="126" t="s">
        <v>14</v>
      </c>
      <c r="K54" s="126" t="s">
        <v>52</v>
      </c>
      <c r="L54" s="135">
        <v>1071.41</v>
      </c>
      <c r="M54" s="150">
        <v>1071.41</v>
      </c>
      <c r="N54" s="151">
        <f>IFERROR(__xludf.DUMMYFUNCTION("""COMPUTED_VALUE"""),1.0)</f>
        <v>1</v>
      </c>
      <c r="O54" s="134">
        <v>1.0</v>
      </c>
      <c r="P54" s="134">
        <v>1.0</v>
      </c>
      <c r="Q54" s="135">
        <f t="shared" si="22"/>
        <v>1071.41</v>
      </c>
      <c r="R54" s="136" t="s">
        <v>42</v>
      </c>
      <c r="S54" s="137">
        <f t="shared" si="23"/>
        <v>0</v>
      </c>
      <c r="T54" s="138"/>
      <c r="U54" s="136" t="s">
        <v>42</v>
      </c>
      <c r="V54" s="139"/>
      <c r="W54" s="140">
        <f t="shared" si="24"/>
        <v>0</v>
      </c>
      <c r="X54" s="2"/>
      <c r="Y54" s="5"/>
      <c r="Z54" s="5"/>
      <c r="AA54" s="5"/>
      <c r="AB54" s="113">
        <f t="shared" si="14"/>
        <v>0</v>
      </c>
      <c r="AC54" s="33"/>
      <c r="AD54" s="65"/>
      <c r="AE54" s="66"/>
      <c r="AF54" s="144"/>
      <c r="AG54" s="68"/>
      <c r="AH54" s="69"/>
      <c r="AI54" s="39"/>
      <c r="AJ54" s="70"/>
      <c r="AK54" s="70"/>
      <c r="AL54" s="5"/>
      <c r="AM54" s="135">
        <v>1071.41</v>
      </c>
      <c r="AN54" s="152" t="s">
        <v>46</v>
      </c>
      <c r="AO54" s="135">
        <v>0.0</v>
      </c>
      <c r="AP54" s="139"/>
      <c r="AQ54" s="5"/>
      <c r="AR54" s="5"/>
      <c r="AS54" s="5"/>
      <c r="AT54" s="5"/>
      <c r="AU54" s="5"/>
      <c r="AV54" s="5"/>
      <c r="AW54" s="5"/>
      <c r="AX54" s="5"/>
      <c r="AY54" s="5"/>
      <c r="AZ54" s="5"/>
      <c r="BA54" s="5"/>
      <c r="BB54" s="5"/>
      <c r="BC54" s="5"/>
      <c r="BD54" s="5"/>
      <c r="BE54" s="5"/>
      <c r="BF54" s="5"/>
      <c r="BG54" s="5"/>
      <c r="BH54" s="5"/>
    </row>
    <row r="55" ht="12.75" customHeight="1">
      <c r="A55" s="147"/>
      <c r="B55" s="160"/>
      <c r="C55" s="129"/>
      <c r="D55" s="129"/>
      <c r="E55" s="129"/>
      <c r="F55" s="129"/>
      <c r="G55" s="127"/>
      <c r="H55" s="127"/>
      <c r="I55" s="127"/>
      <c r="J55" s="129"/>
      <c r="K55" s="127" t="s">
        <v>42</v>
      </c>
      <c r="L55" s="161"/>
      <c r="M55" s="161" t="s">
        <v>42</v>
      </c>
      <c r="N55" s="162" t="str">
        <f>IFERROR(__xludf.DUMMYFUNCTION("""COMPUTED_VALUE"""),"")</f>
        <v/>
      </c>
      <c r="O55" s="127"/>
      <c r="P55" s="127"/>
      <c r="Q55" s="163"/>
      <c r="R55" s="136"/>
      <c r="S55" s="139"/>
      <c r="T55" s="138"/>
      <c r="U55" s="136"/>
      <c r="V55" s="139"/>
      <c r="W55" s="164"/>
      <c r="X55" s="159"/>
      <c r="Y55" s="165"/>
      <c r="Z55" s="166"/>
      <c r="AA55" s="5"/>
      <c r="AB55" s="5"/>
      <c r="AC55" s="33"/>
      <c r="AD55" s="65"/>
      <c r="AE55" s="66"/>
      <c r="AF55" s="144"/>
      <c r="AG55" s="68"/>
      <c r="AH55" s="69"/>
      <c r="AI55" s="39"/>
      <c r="AJ55" s="70"/>
      <c r="AK55" s="70"/>
      <c r="AL55" s="5"/>
      <c r="AM55" s="135" t="s">
        <v>42</v>
      </c>
      <c r="AN55" s="152"/>
      <c r="AO55" s="135" t="s">
        <v>42</v>
      </c>
      <c r="AP55" s="139"/>
      <c r="AQ55" s="5"/>
      <c r="AR55" s="5"/>
      <c r="AS55" s="5"/>
      <c r="AT55" s="5"/>
      <c r="AU55" s="5"/>
      <c r="AV55" s="5"/>
      <c r="AW55" s="5"/>
      <c r="AX55" s="5"/>
      <c r="AY55" s="5"/>
      <c r="AZ55" s="5"/>
      <c r="BA55" s="5"/>
      <c r="BB55" s="5"/>
      <c r="BC55" s="5"/>
      <c r="BD55" s="5"/>
      <c r="BE55" s="5"/>
      <c r="BF55" s="5"/>
      <c r="BG55" s="5"/>
      <c r="BH55" s="5"/>
    </row>
    <row r="56" ht="12.75" customHeight="1">
      <c r="A56" s="87">
        <v>1.0</v>
      </c>
      <c r="B56" s="88"/>
      <c r="C56" s="167" t="s">
        <v>78</v>
      </c>
      <c r="D56" s="90"/>
      <c r="E56" s="91"/>
      <c r="F56" s="90"/>
      <c r="G56" s="90"/>
      <c r="H56" s="90"/>
      <c r="I56" s="90"/>
      <c r="J56" s="90"/>
      <c r="K56" s="90" t="s">
        <v>42</v>
      </c>
      <c r="L56" s="91"/>
      <c r="M56" s="91"/>
      <c r="N56" s="92" t="str">
        <f>IFERROR(__xludf.DUMMYFUNCTION("""COMPUTED_VALUE"""),"")</f>
        <v/>
      </c>
      <c r="O56" s="90"/>
      <c r="P56" s="90"/>
      <c r="Q56" s="90"/>
      <c r="R56" s="136"/>
      <c r="S56" s="90"/>
      <c r="T56" s="90"/>
      <c r="U56" s="136"/>
      <c r="V56" s="90"/>
      <c r="W56" s="93"/>
      <c r="X56" s="94"/>
      <c r="Y56" s="5"/>
      <c r="Z56" s="5"/>
      <c r="AA56" s="5"/>
      <c r="AB56" s="5"/>
      <c r="AC56" s="94"/>
      <c r="AD56" s="95"/>
      <c r="AE56" s="96"/>
      <c r="AF56" s="97"/>
      <c r="AG56" s="98"/>
      <c r="AH56" s="99"/>
      <c r="AI56" s="100"/>
      <c r="AJ56" s="101"/>
      <c r="AK56" s="101"/>
      <c r="AL56" s="5"/>
      <c r="AM56" s="7" t="s">
        <v>42</v>
      </c>
      <c r="AN56" s="5"/>
      <c r="AO56" s="5" t="s">
        <v>42</v>
      </c>
      <c r="AP56" s="5"/>
      <c r="AQ56" s="5"/>
      <c r="AR56" s="5"/>
      <c r="AS56" s="5"/>
      <c r="AT56" s="5"/>
      <c r="AU56" s="5"/>
      <c r="AV56" s="5"/>
      <c r="AW56" s="5"/>
      <c r="AX56" s="5"/>
      <c r="AY56" s="5"/>
      <c r="AZ56" s="5"/>
      <c r="BA56" s="5"/>
      <c r="BB56" s="5"/>
      <c r="BC56" s="5"/>
      <c r="BD56" s="5"/>
      <c r="BE56" s="5"/>
      <c r="BF56" s="5"/>
      <c r="BG56" s="5"/>
      <c r="BH56" s="5"/>
    </row>
    <row r="57">
      <c r="A57" s="87">
        <v>1.0</v>
      </c>
      <c r="B57" s="102"/>
      <c r="C57" s="103" t="s">
        <v>79</v>
      </c>
      <c r="D57" s="104"/>
      <c r="E57" s="105"/>
      <c r="F57" s="104"/>
      <c r="G57" s="104"/>
      <c r="H57" s="104"/>
      <c r="I57" s="104"/>
      <c r="J57" s="104"/>
      <c r="K57" s="104" t="s">
        <v>42</v>
      </c>
      <c r="L57" s="106" t="str">
        <f>Q57</f>
        <v>#REF!</v>
      </c>
      <c r="M57" s="105"/>
      <c r="N57" s="107" t="str">
        <f>IFERROR(__xludf.DUMMYFUNCTION("""COMPUTED_VALUE"""),"")</f>
        <v/>
      </c>
      <c r="O57" s="104"/>
      <c r="P57" s="104"/>
      <c r="Q57" s="106" t="str">
        <f>Q58</f>
        <v>#REF!</v>
      </c>
      <c r="R57" s="136"/>
      <c r="S57" s="109" t="str">
        <f>T57/Q57</f>
        <v>#REF!</v>
      </c>
      <c r="T57" s="109" t="str">
        <f>SUM(S58:S62)</f>
        <v>#REF!</v>
      </c>
      <c r="U57" s="136"/>
      <c r="V57" s="109" t="str">
        <f>W57/Q57</f>
        <v>#REF!</v>
      </c>
      <c r="W57" s="110" t="str">
        <f>SUM(W58:W62)</f>
        <v>#REF!</v>
      </c>
      <c r="X57" s="111" t="str">
        <f>W57/$AC$176/$W$183/$X$173</f>
        <v>#REF!</v>
      </c>
      <c r="Y57" s="112" t="str">
        <f>(T57+W57)=(SUM(AB58:AB62))</f>
        <v>#REF!</v>
      </c>
      <c r="Z57" s="113" t="str">
        <f>(T57+W57)-(SUM(AB58:AB62))</f>
        <v>#REF!</v>
      </c>
      <c r="AA57" s="5"/>
      <c r="AB57" s="5"/>
      <c r="AC57" s="33"/>
      <c r="AD57" s="114" t="str">
        <f>W57+T57</f>
        <v>#REF!</v>
      </c>
      <c r="AE57" s="115" t="str">
        <f>AD57</f>
        <v>#REF!</v>
      </c>
      <c r="AF57" s="116" t="str">
        <f>AE57/$AE$151</f>
        <v>#REF!</v>
      </c>
      <c r="AG57" s="117" t="str">
        <f>AF57*$AG$158</f>
        <v>#REF!</v>
      </c>
      <c r="AH57" s="118" t="str">
        <f>AF57*$AG$161</f>
        <v>#REF!</v>
      </c>
      <c r="AI57" s="39"/>
      <c r="AJ57" s="119" t="str">
        <f>ROUND(AK57/L57,2)</f>
        <v>#REF!</v>
      </c>
      <c r="AK57" s="119" t="str">
        <f>ROUND(AH57+AG57+AD57,2)</f>
        <v>#REF!</v>
      </c>
      <c r="AL57" s="5"/>
      <c r="AM57" s="105" t="s">
        <v>42</v>
      </c>
      <c r="AN57" s="120"/>
      <c r="AO57" s="105" t="s">
        <v>42</v>
      </c>
      <c r="AP57" s="120"/>
      <c r="AQ57" s="5"/>
      <c r="AR57" s="5"/>
      <c r="AS57" s="5"/>
      <c r="AT57" s="5"/>
      <c r="AU57" s="5"/>
      <c r="AV57" s="5"/>
      <c r="AW57" s="5"/>
      <c r="AX57" s="5"/>
      <c r="AY57" s="5"/>
      <c r="AZ57" s="5"/>
      <c r="BA57" s="5"/>
      <c r="BB57" s="5"/>
      <c r="BC57" s="5"/>
      <c r="BD57" s="5"/>
      <c r="BE57" s="5"/>
      <c r="BF57" s="5"/>
      <c r="BG57" s="5"/>
      <c r="BH57" s="5"/>
    </row>
    <row r="58">
      <c r="A58" s="147"/>
      <c r="B58" s="154" t="s">
        <v>80</v>
      </c>
      <c r="C58" s="123" t="s">
        <v>81</v>
      </c>
      <c r="D58" s="124" t="s">
        <v>82</v>
      </c>
      <c r="E58" s="125" t="str">
        <f>IFERROR(__xludf.DUMMYFUNCTION("IF($B$17:$B386="""","""",
  VLOOKUP(
    $B$17:$B386,
    QUERY(
      IMPORTRANGE(""1Ag27m9YF5mMfJh2E6NipJDFvPLlDI1p-s_1XEnzMHcc"",""Merge!F2:R""),
      ""select Col1, Col11"",
      0
    ),
    2,
    FALSE
  )
)
"),"#REF!")</f>
        <v>#REF!</v>
      </c>
      <c r="F58" s="126" t="str">
        <f>F17</f>
        <v>9°</v>
      </c>
      <c r="G58" s="149" t="s">
        <v>83</v>
      </c>
      <c r="H58" s="128" t="str">
        <f>IFERROR(__xludf.DUMMYFUNCTION("IFERROR(REGEXEXTRACT(C58, ""(\d*\.\d+)mm""), """")"),"")</f>
        <v/>
      </c>
      <c r="I58" s="127"/>
      <c r="J58" s="126" t="s">
        <v>14</v>
      </c>
      <c r="K58" s="126" t="s">
        <v>41</v>
      </c>
      <c r="L58" s="135" t="str">
        <f>M17</f>
        <v>#REF!</v>
      </c>
      <c r="M58" s="150" t="str">
        <f>(M17/(E58-0.15))*0.15+M17</f>
        <v>#REF!</v>
      </c>
      <c r="N58" s="151">
        <f>IFERROR(__xludf.DUMMYFUNCTION("""COMPUTED_VALUE"""),1.0124651257880029)</f>
        <v>1.012465126</v>
      </c>
      <c r="O58" s="134">
        <v>1.0</v>
      </c>
      <c r="P58" s="134">
        <v>1.0</v>
      </c>
      <c r="Q58" s="135" t="str">
        <f t="shared" ref="Q58:Q61" si="26">M58*N58*O58*P58</f>
        <v>#REF!</v>
      </c>
      <c r="R58" s="136" t="s">
        <v>42</v>
      </c>
      <c r="S58" s="137" t="str">
        <f t="shared" ref="S58:S61" si="27">R58*Q58</f>
        <v>#REF!</v>
      </c>
      <c r="T58" s="138"/>
      <c r="U58" s="136" t="s">
        <v>42</v>
      </c>
      <c r="V58" s="139"/>
      <c r="W58" s="140" t="str">
        <f t="shared" ref="W58:W61" si="28">U58*Q58</f>
        <v>#REF!</v>
      </c>
      <c r="X58" s="2"/>
      <c r="Y58" s="5"/>
      <c r="Z58" s="5"/>
      <c r="AA58" s="5"/>
      <c r="AB58" s="113" t="str">
        <f t="shared" ref="AB58:AB62" si="29">W58+S58</f>
        <v>#REF!</v>
      </c>
      <c r="AC58" s="33"/>
      <c r="AD58" s="65"/>
      <c r="AE58" s="66"/>
      <c r="AF58" s="144"/>
      <c r="AG58" s="68"/>
      <c r="AH58" s="69"/>
      <c r="AI58" s="39"/>
      <c r="AJ58" s="70"/>
      <c r="AK58" s="70"/>
      <c r="AL58" s="5"/>
      <c r="AM58" s="135" t="s">
        <v>42</v>
      </c>
      <c r="AN58" s="152" t="e">
        <v>#REF!</v>
      </c>
      <c r="AO58" s="135" t="s">
        <v>42</v>
      </c>
      <c r="AP58" s="139"/>
      <c r="AQ58" s="5"/>
      <c r="AR58" s="5"/>
      <c r="AS58" s="5"/>
      <c r="AT58" s="5"/>
      <c r="AU58" s="5"/>
      <c r="AV58" s="5"/>
      <c r="AW58" s="5"/>
      <c r="AX58" s="5"/>
      <c r="AY58" s="5"/>
      <c r="AZ58" s="5"/>
      <c r="BA58" s="5"/>
      <c r="BB58" s="5"/>
      <c r="BC58" s="5"/>
      <c r="BD58" s="5"/>
      <c r="BE58" s="5"/>
      <c r="BF58" s="5"/>
      <c r="BG58" s="5"/>
      <c r="BH58" s="5"/>
    </row>
    <row r="59" ht="12.75" customHeight="1">
      <c r="A59" s="147"/>
      <c r="B59" s="122" t="s">
        <v>84</v>
      </c>
      <c r="C59" s="123" t="s">
        <v>85</v>
      </c>
      <c r="D59" s="124" t="s">
        <v>86</v>
      </c>
      <c r="E59" s="126" t="str">
        <f t="shared" ref="E59:F59" si="25">E58</f>
        <v>#REF!</v>
      </c>
      <c r="F59" s="126" t="str">
        <f t="shared" si="25"/>
        <v>9°</v>
      </c>
      <c r="G59" s="127"/>
      <c r="H59" s="125" t="str">
        <f>IFERROR(__xludf.DUMMYFUNCTION("IF($B$17:$B386="""","""",
  VLOOKUP(
    $B$17:$B386,
    QUERY(
      IMPORTRANGE(""1Ag27m9YF5mMfJh2E6NipJDFvPLlDI1p-s_1XEnzMHcc"",""Merge!F2:R""),
      ""select Col1, Col11"",
      0
    ),
    2,
    FALSE
  )
)
"),"#REF!")</f>
        <v>#REF!</v>
      </c>
      <c r="I59" s="127"/>
      <c r="J59" s="126" t="s">
        <v>87</v>
      </c>
      <c r="K59" s="128" t="s">
        <v>52</v>
      </c>
      <c r="L59" s="168" t="str">
        <f>M58</f>
        <v>#REF!</v>
      </c>
      <c r="M59" s="169" t="str">
        <f>M58/E59/H59</f>
        <v>#REF!</v>
      </c>
      <c r="N59" s="151">
        <f>IFERROR(__xludf.DUMMYFUNCTION("""COMPUTED_VALUE"""),1.0124651257880029)</f>
        <v>1.012465126</v>
      </c>
      <c r="O59" s="134">
        <v>1.0</v>
      </c>
      <c r="P59" s="134">
        <v>1.0</v>
      </c>
      <c r="Q59" s="135" t="str">
        <f t="shared" si="26"/>
        <v>#REF!</v>
      </c>
      <c r="R59" s="136" t="s">
        <v>42</v>
      </c>
      <c r="S59" s="137" t="str">
        <f t="shared" si="27"/>
        <v>#REF!</v>
      </c>
      <c r="T59" s="138"/>
      <c r="U59" s="136" t="s">
        <v>42</v>
      </c>
      <c r="V59" s="139"/>
      <c r="W59" s="140" t="str">
        <f t="shared" si="28"/>
        <v>#REF!</v>
      </c>
      <c r="X59" s="159"/>
      <c r="Y59" s="165"/>
      <c r="Z59" s="166"/>
      <c r="AA59" s="5"/>
      <c r="AB59" s="113" t="str">
        <f t="shared" si="29"/>
        <v>#REF!</v>
      </c>
      <c r="AC59" s="33"/>
      <c r="AD59" s="65"/>
      <c r="AE59" s="66"/>
      <c r="AF59" s="144"/>
      <c r="AG59" s="68"/>
      <c r="AH59" s="69"/>
      <c r="AI59" s="39"/>
      <c r="AJ59" s="70"/>
      <c r="AK59" s="70"/>
      <c r="AL59" s="5"/>
      <c r="AM59" s="135" t="s">
        <v>42</v>
      </c>
      <c r="AN59" s="152" t="e">
        <v>#REF!</v>
      </c>
      <c r="AO59" s="135" t="s">
        <v>42</v>
      </c>
      <c r="AP59" s="139"/>
      <c r="AQ59" s="5"/>
      <c r="AR59" s="5"/>
      <c r="AS59" s="5"/>
      <c r="AT59" s="5"/>
      <c r="AU59" s="5"/>
      <c r="AV59" s="5"/>
      <c r="AW59" s="5"/>
      <c r="AX59" s="5"/>
      <c r="AY59" s="5"/>
      <c r="AZ59" s="5"/>
      <c r="BA59" s="5"/>
      <c r="BB59" s="5"/>
      <c r="BC59" s="5"/>
      <c r="BD59" s="5"/>
      <c r="BE59" s="5"/>
      <c r="BF59" s="5"/>
      <c r="BG59" s="5"/>
      <c r="BH59" s="5"/>
    </row>
    <row r="60" ht="12.75" customHeight="1">
      <c r="A60" s="147"/>
      <c r="B60" s="154" t="s">
        <v>80</v>
      </c>
      <c r="C60" s="158" t="s">
        <v>81</v>
      </c>
      <c r="D60" s="124" t="s">
        <v>82</v>
      </c>
      <c r="E60" s="125" t="str">
        <f>IFERROR(__xludf.DUMMYFUNCTION("IF($B$17:$B386="""","""",
  VLOOKUP(
    $B$17:$B386,
    QUERY(
      IMPORTRANGE(""1Ag27m9YF5mMfJh2E6NipJDFvPLlDI1p-s_1XEnzMHcc"",""Merge!F2:R""),
      ""select Col1, Col11"",
      0
    ),
    2,
    FALSE
  )
)
"),"#REF!")</f>
        <v>#REF!</v>
      </c>
      <c r="F60" s="153" t="s">
        <v>88</v>
      </c>
      <c r="G60" s="149" t="s">
        <v>83</v>
      </c>
      <c r="H60" s="128" t="str">
        <f>IFERROR(__xludf.DUMMYFUNCTION("IFERROR(REGEXEXTRACT(C60, ""(\d*\.\d+)mm""), """")"),"")</f>
        <v/>
      </c>
      <c r="I60" s="127"/>
      <c r="J60" s="126" t="s">
        <v>14</v>
      </c>
      <c r="K60" s="126" t="s">
        <v>41</v>
      </c>
      <c r="L60" s="135">
        <f>M43</f>
        <v>1071.41</v>
      </c>
      <c r="M60" s="150">
        <v>1352.790404040404</v>
      </c>
      <c r="N60" s="151">
        <f>IFERROR(__xludf.DUMMYFUNCTION("""COMPUTED_VALUE"""),1.0038198375433474)</f>
        <v>1.003819838</v>
      </c>
      <c r="O60" s="134">
        <v>1.0</v>
      </c>
      <c r="P60" s="134">
        <v>1.0</v>
      </c>
      <c r="Q60" s="135">
        <f t="shared" si="26"/>
        <v>1357.957844</v>
      </c>
      <c r="R60" s="136" t="s">
        <v>42</v>
      </c>
      <c r="S60" s="137">
        <f t="shared" si="27"/>
        <v>0</v>
      </c>
      <c r="T60" s="138"/>
      <c r="U60" s="136" t="s">
        <v>42</v>
      </c>
      <c r="V60" s="139"/>
      <c r="W60" s="140">
        <f t="shared" si="28"/>
        <v>0</v>
      </c>
      <c r="X60" s="159"/>
      <c r="Y60" s="5"/>
      <c r="Z60" s="5"/>
      <c r="AA60" s="5"/>
      <c r="AB60" s="113">
        <f t="shared" si="29"/>
        <v>0</v>
      </c>
      <c r="AC60" s="33"/>
      <c r="AD60" s="65"/>
      <c r="AE60" s="66"/>
      <c r="AF60" s="144"/>
      <c r="AG60" s="68"/>
      <c r="AH60" s="69"/>
      <c r="AI60" s="39"/>
      <c r="AJ60" s="70"/>
      <c r="AK60" s="70"/>
      <c r="AL60" s="5"/>
      <c r="AM60" s="135" t="s">
        <v>42</v>
      </c>
      <c r="AN60" s="152" t="s">
        <v>75</v>
      </c>
      <c r="AO60" s="135" t="s">
        <v>42</v>
      </c>
      <c r="AP60" s="139"/>
      <c r="AQ60" s="5"/>
      <c r="AR60" s="5"/>
      <c r="AS60" s="5"/>
      <c r="AT60" s="5"/>
      <c r="AU60" s="5"/>
      <c r="AV60" s="5"/>
      <c r="AW60" s="5"/>
      <c r="AX60" s="5"/>
      <c r="AY60" s="5"/>
      <c r="AZ60" s="5"/>
      <c r="BA60" s="5"/>
      <c r="BB60" s="5"/>
      <c r="BC60" s="5"/>
      <c r="BD60" s="5"/>
      <c r="BE60" s="5"/>
      <c r="BF60" s="5"/>
      <c r="BG60" s="5"/>
      <c r="BH60" s="5"/>
    </row>
    <row r="61" ht="12.75" customHeight="1">
      <c r="A61" s="147"/>
      <c r="B61" s="122" t="s">
        <v>84</v>
      </c>
      <c r="C61" s="123" t="s">
        <v>85</v>
      </c>
      <c r="D61" s="124" t="s">
        <v>86</v>
      </c>
      <c r="E61" s="126" t="str">
        <f t="shared" ref="E61:F61" si="30">E60</f>
        <v>#REF!</v>
      </c>
      <c r="F61" s="126" t="str">
        <f t="shared" si="30"/>
        <v>5°</v>
      </c>
      <c r="G61" s="127"/>
      <c r="H61" s="125" t="str">
        <f>IFERROR(__xludf.DUMMYFUNCTION("IF($B$17:$B386="""","""",
  VLOOKUP(
    $B$17:$B386,
    QUERY(
      IMPORTRANGE(""1Ag27m9YF5mMfJh2E6NipJDFvPLlDI1p-s_1XEnzMHcc"",""Merge!F2:R""),
      ""select Col1, Col11"",
      0
    ),
    2,
    FALSE
  )
)
"),"#REF!")</f>
        <v>#REF!</v>
      </c>
      <c r="I61" s="127"/>
      <c r="J61" s="126" t="s">
        <v>87</v>
      </c>
      <c r="K61" s="128" t="s">
        <v>52</v>
      </c>
      <c r="L61" s="168">
        <f>M60</f>
        <v>1352.790404</v>
      </c>
      <c r="M61" s="169" t="str">
        <f>M60/E61/H61</f>
        <v>#REF!</v>
      </c>
      <c r="N61" s="151">
        <f>IFERROR(__xludf.DUMMYFUNCTION("""COMPUTED_VALUE"""),1.0038198375433474)</f>
        <v>1.003819838</v>
      </c>
      <c r="O61" s="134">
        <v>1.0</v>
      </c>
      <c r="P61" s="134">
        <v>1.0</v>
      </c>
      <c r="Q61" s="135" t="str">
        <f t="shared" si="26"/>
        <v>#REF!</v>
      </c>
      <c r="R61" s="136" t="s">
        <v>42</v>
      </c>
      <c r="S61" s="137" t="str">
        <f t="shared" si="27"/>
        <v>#REF!</v>
      </c>
      <c r="T61" s="138"/>
      <c r="U61" s="136" t="s">
        <v>42</v>
      </c>
      <c r="V61" s="139"/>
      <c r="W61" s="140" t="str">
        <f t="shared" si="28"/>
        <v>#REF!</v>
      </c>
      <c r="X61" s="159"/>
      <c r="Y61" s="165"/>
      <c r="Z61" s="166"/>
      <c r="AA61" s="5"/>
      <c r="AB61" s="113" t="str">
        <f t="shared" si="29"/>
        <v>#REF!</v>
      </c>
      <c r="AC61" s="33"/>
      <c r="AD61" s="65"/>
      <c r="AE61" s="66"/>
      <c r="AF61" s="144"/>
      <c r="AG61" s="68"/>
      <c r="AH61" s="69"/>
      <c r="AI61" s="39"/>
      <c r="AJ61" s="70"/>
      <c r="AK61" s="70"/>
      <c r="AL61" s="5"/>
      <c r="AM61" s="135" t="s">
        <v>42</v>
      </c>
      <c r="AN61" s="152" t="e">
        <v>#REF!</v>
      </c>
      <c r="AO61" s="135" t="s">
        <v>42</v>
      </c>
      <c r="AP61" s="139"/>
      <c r="AQ61" s="5"/>
      <c r="AR61" s="5"/>
      <c r="AS61" s="5"/>
      <c r="AT61" s="5"/>
      <c r="AU61" s="5"/>
      <c r="AV61" s="5"/>
      <c r="AW61" s="5"/>
      <c r="AX61" s="5"/>
      <c r="AY61" s="5"/>
      <c r="AZ61" s="5"/>
      <c r="BA61" s="5"/>
      <c r="BB61" s="5"/>
      <c r="BC61" s="5"/>
      <c r="BD61" s="5"/>
      <c r="BE61" s="5"/>
      <c r="BF61" s="5"/>
      <c r="BG61" s="5"/>
      <c r="BH61" s="5"/>
    </row>
    <row r="62">
      <c r="A62" s="147"/>
      <c r="B62" s="154"/>
      <c r="C62" s="158"/>
      <c r="D62" s="124"/>
      <c r="E62" s="126"/>
      <c r="F62" s="126"/>
      <c r="G62" s="127"/>
      <c r="H62" s="127"/>
      <c r="I62" s="127"/>
      <c r="J62" s="126"/>
      <c r="K62" s="128" t="s">
        <v>42</v>
      </c>
      <c r="L62" s="168"/>
      <c r="M62" s="169"/>
      <c r="N62" s="151" t="str">
        <f>IFERROR(__xludf.DUMMYFUNCTION("""COMPUTED_VALUE"""),"")</f>
        <v/>
      </c>
      <c r="O62" s="134"/>
      <c r="P62" s="134"/>
      <c r="Q62" s="168"/>
      <c r="R62" s="136"/>
      <c r="S62" s="137"/>
      <c r="T62" s="138"/>
      <c r="U62" s="136"/>
      <c r="V62" s="139"/>
      <c r="W62" s="140"/>
      <c r="X62" s="111"/>
      <c r="Y62" s="141"/>
      <c r="Z62" s="142"/>
      <c r="AA62" s="5"/>
      <c r="AB62" s="113">
        <f t="shared" si="29"/>
        <v>0</v>
      </c>
      <c r="AC62" s="33"/>
      <c r="AD62" s="65"/>
      <c r="AE62" s="66"/>
      <c r="AF62" s="144"/>
      <c r="AG62" s="68"/>
      <c r="AH62" s="69"/>
      <c r="AI62" s="39"/>
      <c r="AJ62" s="70"/>
      <c r="AK62" s="70"/>
      <c r="AL62" s="5"/>
      <c r="AM62" s="135" t="s">
        <v>42</v>
      </c>
      <c r="AN62" s="152"/>
      <c r="AO62" s="135" t="s">
        <v>42</v>
      </c>
      <c r="AP62" s="139"/>
      <c r="AQ62" s="5"/>
      <c r="AR62" s="5"/>
      <c r="AS62" s="5"/>
      <c r="AT62" s="5"/>
      <c r="AU62" s="5"/>
      <c r="AV62" s="5"/>
      <c r="AW62" s="5"/>
      <c r="AX62" s="5"/>
      <c r="AY62" s="5"/>
      <c r="AZ62" s="5"/>
      <c r="BA62" s="5"/>
      <c r="BB62" s="5"/>
      <c r="BC62" s="5"/>
      <c r="BD62" s="5"/>
      <c r="BE62" s="5"/>
      <c r="BF62" s="5"/>
      <c r="BG62" s="5"/>
      <c r="BH62" s="5"/>
    </row>
    <row r="63" ht="12.75" customHeight="1">
      <c r="A63" s="87">
        <v>1.0</v>
      </c>
      <c r="B63" s="88"/>
      <c r="C63" s="167" t="s">
        <v>89</v>
      </c>
      <c r="D63" s="90"/>
      <c r="E63" s="91"/>
      <c r="F63" s="90"/>
      <c r="G63" s="90"/>
      <c r="H63" s="90"/>
      <c r="I63" s="90"/>
      <c r="J63" s="90"/>
      <c r="K63" s="90" t="s">
        <v>42</v>
      </c>
      <c r="L63" s="91"/>
      <c r="M63" s="91"/>
      <c r="N63" s="92" t="str">
        <f>IFERROR(__xludf.DUMMYFUNCTION("""COMPUTED_VALUE"""),"")</f>
        <v/>
      </c>
      <c r="O63" s="90"/>
      <c r="P63" s="90"/>
      <c r="Q63" s="90"/>
      <c r="R63" s="136"/>
      <c r="S63" s="90"/>
      <c r="T63" s="90"/>
      <c r="U63" s="136"/>
      <c r="V63" s="90"/>
      <c r="W63" s="93"/>
      <c r="X63" s="94"/>
      <c r="Y63" s="5"/>
      <c r="Z63" s="5"/>
      <c r="AA63" s="5"/>
      <c r="AB63" s="5"/>
      <c r="AC63" s="94"/>
      <c r="AD63" s="95"/>
      <c r="AE63" s="96"/>
      <c r="AF63" s="97"/>
      <c r="AG63" s="98"/>
      <c r="AH63" s="99"/>
      <c r="AI63" s="100"/>
      <c r="AJ63" s="101"/>
      <c r="AK63" s="101"/>
      <c r="AL63" s="5"/>
      <c r="AM63" s="7" t="s">
        <v>42</v>
      </c>
      <c r="AN63" s="5"/>
      <c r="AO63" s="5" t="s">
        <v>42</v>
      </c>
      <c r="AP63" s="5"/>
      <c r="AQ63" s="5"/>
      <c r="AR63" s="5"/>
      <c r="AS63" s="5"/>
      <c r="AT63" s="5"/>
      <c r="AU63" s="5"/>
      <c r="AV63" s="5"/>
      <c r="AW63" s="5"/>
      <c r="AX63" s="5"/>
      <c r="AY63" s="5"/>
      <c r="AZ63" s="5"/>
      <c r="BA63" s="5"/>
      <c r="BB63" s="5"/>
      <c r="BC63" s="5"/>
      <c r="BD63" s="5"/>
      <c r="BE63" s="5"/>
      <c r="BF63" s="5"/>
      <c r="BG63" s="5"/>
      <c r="BH63" s="5"/>
    </row>
    <row r="64">
      <c r="A64" s="87">
        <v>1.0</v>
      </c>
      <c r="B64" s="102"/>
      <c r="C64" s="103" t="s">
        <v>90</v>
      </c>
      <c r="D64" s="104"/>
      <c r="E64" s="105"/>
      <c r="F64" s="104"/>
      <c r="G64" s="104"/>
      <c r="H64" s="104"/>
      <c r="I64" s="104"/>
      <c r="J64" s="104"/>
      <c r="K64" s="104" t="s">
        <v>42</v>
      </c>
      <c r="L64" s="106" t="str">
        <f>Q64</f>
        <v>#REF!</v>
      </c>
      <c r="M64" s="105"/>
      <c r="N64" s="107" t="str">
        <f>IFERROR(__xludf.DUMMYFUNCTION("""COMPUTED_VALUE"""),"")</f>
        <v/>
      </c>
      <c r="O64" s="104"/>
      <c r="P64" s="104"/>
      <c r="Q64" s="106" t="str">
        <f>Q65</f>
        <v>#REF!</v>
      </c>
      <c r="R64" s="136"/>
      <c r="S64" s="109" t="str">
        <f>T64/Q64</f>
        <v>#REF!</v>
      </c>
      <c r="T64" s="109" t="str">
        <f>SUM(S65:S67)</f>
        <v>#REF!</v>
      </c>
      <c r="U64" s="136"/>
      <c r="V64" s="109" t="str">
        <f>W64/Q64</f>
        <v>#REF!</v>
      </c>
      <c r="W64" s="110" t="str">
        <f>SUM(W65:W67)</f>
        <v>#REF!</v>
      </c>
      <c r="X64" s="111" t="str">
        <f>W64/$AC$176/$W$183/$X$173</f>
        <v>#REF!</v>
      </c>
      <c r="Y64" s="112" t="str">
        <f>(T64+W64)=(SUM(AB65:AB67))</f>
        <v>#REF!</v>
      </c>
      <c r="Z64" s="113" t="str">
        <f>(T64+W64)-(SUM(AB65:AB67))</f>
        <v>#REF!</v>
      </c>
      <c r="AA64" s="5"/>
      <c r="AB64" s="5"/>
      <c r="AC64" s="33"/>
      <c r="AD64" s="114" t="str">
        <f>W64+T64</f>
        <v>#REF!</v>
      </c>
      <c r="AE64" s="115" t="str">
        <f>AD64</f>
        <v>#REF!</v>
      </c>
      <c r="AF64" s="116" t="str">
        <f>AE64/$AE$151</f>
        <v>#REF!</v>
      </c>
      <c r="AG64" s="117" t="str">
        <f>AF64*$AG$158</f>
        <v>#REF!</v>
      </c>
      <c r="AH64" s="118" t="str">
        <f>AF64*$AG$161</f>
        <v>#REF!</v>
      </c>
      <c r="AI64" s="39"/>
      <c r="AJ64" s="119" t="str">
        <f>ROUND(AK64/L64,2)</f>
        <v>#REF!</v>
      </c>
      <c r="AK64" s="119" t="str">
        <f>ROUND(AH64+AG64+AD64,2)</f>
        <v>#REF!</v>
      </c>
      <c r="AL64" s="5"/>
      <c r="AM64" s="105" t="s">
        <v>42</v>
      </c>
      <c r="AN64" s="120"/>
      <c r="AO64" s="105" t="s">
        <v>42</v>
      </c>
      <c r="AP64" s="120"/>
      <c r="AQ64" s="5"/>
      <c r="AR64" s="5"/>
      <c r="AS64" s="5"/>
      <c r="AT64" s="5"/>
      <c r="AU64" s="5"/>
      <c r="AV64" s="5"/>
      <c r="AW64" s="5"/>
      <c r="AX64" s="5"/>
      <c r="AY64" s="5"/>
      <c r="AZ64" s="5"/>
      <c r="BA64" s="5"/>
      <c r="BB64" s="5"/>
      <c r="BC64" s="5"/>
      <c r="BD64" s="5"/>
      <c r="BE64" s="5"/>
      <c r="BF64" s="5"/>
      <c r="BG64" s="5"/>
      <c r="BH64" s="5"/>
    </row>
    <row r="65">
      <c r="A65" s="147"/>
      <c r="B65" s="154" t="s">
        <v>91</v>
      </c>
      <c r="C65" s="158" t="s">
        <v>89</v>
      </c>
      <c r="D65" s="124" t="s">
        <v>92</v>
      </c>
      <c r="E65" s="126"/>
      <c r="F65" s="126" t="str">
        <f>F59</f>
        <v>9°</v>
      </c>
      <c r="G65" s="127"/>
      <c r="H65" s="127" t="str">
        <f>IFERROR(__xludf.DUMMYFUNCTION("IFERROR(REGEXEXTRACT(C65, ""(\d*\.\d+)mm""), """")"),"")</f>
        <v/>
      </c>
      <c r="I65" s="127"/>
      <c r="J65" s="126" t="s">
        <v>87</v>
      </c>
      <c r="K65" s="128" t="s">
        <v>41</v>
      </c>
      <c r="L65" s="168" t="str">
        <f>M58</f>
        <v>#REF!</v>
      </c>
      <c r="M65" s="169" t="str">
        <f>M58</f>
        <v>#REF!</v>
      </c>
      <c r="N65" s="151">
        <f>IFERROR(__xludf.DUMMYFUNCTION("""COMPUTED_VALUE"""),1.0124651257880029)</f>
        <v>1.012465126</v>
      </c>
      <c r="O65" s="134">
        <v>1.0</v>
      </c>
      <c r="P65" s="134">
        <v>1.0</v>
      </c>
      <c r="Q65" s="168" t="str">
        <f t="shared" ref="Q65:Q66" si="31">M65*N65*O65*P65</f>
        <v>#REF!</v>
      </c>
      <c r="R65" s="136" t="s">
        <v>42</v>
      </c>
      <c r="S65" s="137" t="str">
        <f t="shared" ref="S65:S66" si="32">R65*Q65</f>
        <v>#REF!</v>
      </c>
      <c r="T65" s="138"/>
      <c r="U65" s="136" t="s">
        <v>42</v>
      </c>
      <c r="V65" s="139"/>
      <c r="W65" s="140" t="str">
        <f t="shared" ref="W65:W66" si="33">U65*Q65</f>
        <v>#REF!</v>
      </c>
      <c r="X65" s="111" t="str">
        <f t="shared" ref="X65:X66" si="34">W65/$AC$176/$W$183/Y65</f>
        <v>#REF!</v>
      </c>
      <c r="Y65" s="141">
        <v>4.0</v>
      </c>
      <c r="Z65" s="142" t="str">
        <f t="shared" ref="Z65:Z66" si="35">Q65/X65</f>
        <v>#REF!</v>
      </c>
      <c r="AA65" s="5"/>
      <c r="AB65" s="113" t="str">
        <f t="shared" ref="AB65:AB67" si="36">W65+S65</f>
        <v>#REF!</v>
      </c>
      <c r="AC65" s="33"/>
      <c r="AD65" s="65"/>
      <c r="AE65" s="66"/>
      <c r="AF65" s="144"/>
      <c r="AG65" s="68"/>
      <c r="AH65" s="69"/>
      <c r="AI65" s="39"/>
      <c r="AJ65" s="70"/>
      <c r="AK65" s="70"/>
      <c r="AL65" s="5"/>
      <c r="AM65" s="135" t="s">
        <v>42</v>
      </c>
      <c r="AN65" s="152" t="e">
        <v>#REF!</v>
      </c>
      <c r="AO65" s="135" t="s">
        <v>42</v>
      </c>
      <c r="AP65" s="139"/>
      <c r="AQ65" s="5"/>
      <c r="AR65" s="5"/>
      <c r="AS65" s="5"/>
      <c r="AT65" s="5"/>
      <c r="AU65" s="5"/>
      <c r="AV65" s="5"/>
      <c r="AW65" s="5"/>
      <c r="AX65" s="5"/>
      <c r="AY65" s="5"/>
      <c r="AZ65" s="5"/>
      <c r="BA65" s="5"/>
      <c r="BB65" s="5"/>
      <c r="BC65" s="5"/>
      <c r="BD65" s="5"/>
      <c r="BE65" s="5"/>
      <c r="BF65" s="5"/>
      <c r="BG65" s="5"/>
      <c r="BH65" s="5"/>
    </row>
    <row r="66" ht="12.75" customHeight="1">
      <c r="A66" s="147"/>
      <c r="B66" s="154" t="s">
        <v>91</v>
      </c>
      <c r="C66" s="158" t="s">
        <v>89</v>
      </c>
      <c r="D66" s="124" t="s">
        <v>92</v>
      </c>
      <c r="E66" s="129"/>
      <c r="F66" s="126" t="str">
        <f>F61</f>
        <v>5°</v>
      </c>
      <c r="G66" s="127"/>
      <c r="H66" s="127" t="str">
        <f>IFERROR(__xludf.DUMMYFUNCTION("IFERROR(REGEXEXTRACT(C66, ""(\d*\.\d+)mm""), """")"),"")</f>
        <v/>
      </c>
      <c r="I66" s="127"/>
      <c r="J66" s="126" t="s">
        <v>87</v>
      </c>
      <c r="K66" s="128" t="s">
        <v>41</v>
      </c>
      <c r="L66" s="168">
        <f>M60</f>
        <v>1352.790404</v>
      </c>
      <c r="M66" s="169">
        <v>1352.790404040404</v>
      </c>
      <c r="N66" s="151">
        <f>IFERROR(__xludf.DUMMYFUNCTION("""COMPUTED_VALUE"""),1.0038198375433474)</f>
        <v>1.003819838</v>
      </c>
      <c r="O66" s="134">
        <v>1.0</v>
      </c>
      <c r="P66" s="134">
        <v>1.0</v>
      </c>
      <c r="Q66" s="168">
        <f t="shared" si="31"/>
        <v>1357.957844</v>
      </c>
      <c r="R66" s="136" t="s">
        <v>42</v>
      </c>
      <c r="S66" s="137">
        <f t="shared" si="32"/>
        <v>0</v>
      </c>
      <c r="T66" s="138"/>
      <c r="U66" s="136" t="s">
        <v>42</v>
      </c>
      <c r="V66" s="139"/>
      <c r="W66" s="140">
        <f t="shared" si="33"/>
        <v>0</v>
      </c>
      <c r="X66" s="111" t="str">
        <f t="shared" si="34"/>
        <v>#REF!</v>
      </c>
      <c r="Y66" s="141">
        <v>4.0</v>
      </c>
      <c r="Z66" s="142" t="str">
        <f t="shared" si="35"/>
        <v>#REF!</v>
      </c>
      <c r="AA66" s="5"/>
      <c r="AB66" s="113">
        <f t="shared" si="36"/>
        <v>0</v>
      </c>
      <c r="AC66" s="33"/>
      <c r="AD66" s="65"/>
      <c r="AE66" s="66"/>
      <c r="AF66" s="144"/>
      <c r="AG66" s="68"/>
      <c r="AH66" s="69"/>
      <c r="AI66" s="39"/>
      <c r="AJ66" s="70"/>
      <c r="AK66" s="70"/>
      <c r="AL66" s="5"/>
      <c r="AM66" s="135">
        <v>1352.790404040404</v>
      </c>
      <c r="AN66" s="152" t="s">
        <v>46</v>
      </c>
      <c r="AO66" s="135">
        <v>0.0</v>
      </c>
      <c r="AP66" s="139"/>
      <c r="AQ66" s="5"/>
      <c r="AR66" s="5"/>
      <c r="AS66" s="5"/>
      <c r="AT66" s="5"/>
      <c r="AU66" s="5"/>
      <c r="AV66" s="5"/>
      <c r="AW66" s="5"/>
      <c r="AX66" s="5"/>
      <c r="AY66" s="5"/>
      <c r="AZ66" s="5"/>
      <c r="BA66" s="5"/>
      <c r="BB66" s="5"/>
      <c r="BC66" s="5"/>
      <c r="BD66" s="5"/>
      <c r="BE66" s="5"/>
      <c r="BF66" s="5"/>
      <c r="BG66" s="5"/>
      <c r="BH66" s="5"/>
    </row>
    <row r="67" ht="12.75" customHeight="1">
      <c r="A67" s="147"/>
      <c r="B67" s="154"/>
      <c r="C67" s="158"/>
      <c r="D67" s="124"/>
      <c r="E67" s="126"/>
      <c r="F67" s="126"/>
      <c r="G67" s="127"/>
      <c r="H67" s="128"/>
      <c r="I67" s="127"/>
      <c r="J67" s="126"/>
      <c r="K67" s="125" t="s">
        <v>42</v>
      </c>
      <c r="L67" s="168"/>
      <c r="M67" s="169" t="s">
        <v>42</v>
      </c>
      <c r="N67" s="151" t="str">
        <f>IFERROR(__xludf.DUMMYFUNCTION("""COMPUTED_VALUE"""),"")</f>
        <v/>
      </c>
      <c r="O67" s="134"/>
      <c r="P67" s="134"/>
      <c r="Q67" s="135"/>
      <c r="R67" s="136"/>
      <c r="S67" s="137"/>
      <c r="T67" s="138"/>
      <c r="U67" s="136"/>
      <c r="V67" s="139"/>
      <c r="W67" s="140"/>
      <c r="X67" s="159"/>
      <c r="Y67" s="165"/>
      <c r="Z67" s="166"/>
      <c r="AA67" s="5"/>
      <c r="AB67" s="113">
        <f t="shared" si="36"/>
        <v>0</v>
      </c>
      <c r="AC67" s="33"/>
      <c r="AD67" s="65"/>
      <c r="AE67" s="66"/>
      <c r="AF67" s="144"/>
      <c r="AG67" s="68"/>
      <c r="AH67" s="69"/>
      <c r="AI67" s="39"/>
      <c r="AJ67" s="70"/>
      <c r="AK67" s="70"/>
      <c r="AL67" s="5"/>
      <c r="AM67" s="135" t="s">
        <v>42</v>
      </c>
      <c r="AN67" s="152"/>
      <c r="AO67" s="135" t="s">
        <v>42</v>
      </c>
      <c r="AP67" s="139"/>
      <c r="AQ67" s="5"/>
      <c r="AR67" s="5"/>
      <c r="AS67" s="5"/>
      <c r="AT67" s="5"/>
      <c r="AU67" s="5"/>
      <c r="AV67" s="5"/>
      <c r="AW67" s="5"/>
      <c r="AX67" s="5"/>
      <c r="AY67" s="5"/>
      <c r="AZ67" s="5"/>
      <c r="BA67" s="5"/>
      <c r="BB67" s="5"/>
      <c r="BC67" s="5"/>
      <c r="BD67" s="5"/>
      <c r="BE67" s="5"/>
      <c r="BF67" s="5"/>
      <c r="BG67" s="5"/>
      <c r="BH67" s="5"/>
    </row>
    <row r="68" ht="14.25" customHeight="1">
      <c r="A68" s="71">
        <v>1.0</v>
      </c>
      <c r="B68" s="170"/>
      <c r="C68" s="171" t="s">
        <v>93</v>
      </c>
      <c r="D68" s="172"/>
      <c r="E68" s="173"/>
      <c r="F68" s="174"/>
      <c r="G68" s="174"/>
      <c r="H68" s="174"/>
      <c r="I68" s="174"/>
      <c r="J68" s="174"/>
      <c r="K68" s="174" t="s">
        <v>42</v>
      </c>
      <c r="L68" s="173"/>
      <c r="M68" s="175" t="s">
        <v>42</v>
      </c>
      <c r="N68" s="176" t="str">
        <f>IFERROR(__xludf.DUMMYFUNCTION("""COMPUTED_VALUE"""),"")</f>
        <v/>
      </c>
      <c r="O68" s="174"/>
      <c r="P68" s="174"/>
      <c r="Q68" s="174"/>
      <c r="R68" s="136"/>
      <c r="S68" s="177"/>
      <c r="T68" s="177"/>
      <c r="U68" s="136"/>
      <c r="V68" s="177"/>
      <c r="W68" s="178"/>
      <c r="X68" s="179"/>
      <c r="Y68" s="180"/>
      <c r="Z68" s="180"/>
      <c r="AA68" s="180"/>
      <c r="AB68" s="180"/>
      <c r="AC68" s="181"/>
      <c r="AD68" s="182"/>
      <c r="AE68" s="183"/>
      <c r="AF68" s="184"/>
      <c r="AG68" s="185"/>
      <c r="AH68" s="186"/>
      <c r="AI68" s="187"/>
      <c r="AJ68" s="188"/>
      <c r="AK68" s="188"/>
      <c r="AL68" s="180"/>
      <c r="AM68" s="135" t="s">
        <v>42</v>
      </c>
      <c r="AN68" s="152"/>
      <c r="AO68" s="135" t="s">
        <v>42</v>
      </c>
      <c r="AP68" s="139"/>
      <c r="AQ68" s="189"/>
      <c r="AR68" s="189"/>
      <c r="AS68" s="180"/>
      <c r="AT68" s="180"/>
      <c r="AU68" s="180"/>
      <c r="AV68" s="180"/>
      <c r="AW68" s="180"/>
      <c r="AX68" s="180"/>
      <c r="AY68" s="180"/>
      <c r="AZ68" s="180"/>
      <c r="BA68" s="180"/>
      <c r="BB68" s="180"/>
      <c r="BC68" s="180"/>
      <c r="BD68" s="180"/>
      <c r="BE68" s="180"/>
      <c r="BF68" s="180"/>
      <c r="BG68" s="180"/>
      <c r="BH68" s="180"/>
    </row>
    <row r="69">
      <c r="A69" s="71">
        <v>1.0</v>
      </c>
      <c r="B69" s="190"/>
      <c r="C69" s="191" t="s">
        <v>94</v>
      </c>
      <c r="D69" s="192"/>
      <c r="E69" s="193"/>
      <c r="F69" s="192"/>
      <c r="G69" s="192"/>
      <c r="H69" s="194"/>
      <c r="I69" s="194"/>
      <c r="J69" s="194"/>
      <c r="K69" s="194" t="s">
        <v>42</v>
      </c>
      <c r="L69" s="195">
        <f>Q69</f>
        <v>56.39</v>
      </c>
      <c r="M69" s="196" t="s">
        <v>42</v>
      </c>
      <c r="N69" s="197" t="str">
        <f>IFERROR(__xludf.DUMMYFUNCTION("""COMPUTED_VALUE"""),"")</f>
        <v/>
      </c>
      <c r="O69" s="194"/>
      <c r="P69" s="194"/>
      <c r="Q69" s="195">
        <f>Q70</f>
        <v>56.39</v>
      </c>
      <c r="R69" s="136"/>
      <c r="S69" s="198">
        <f>T69/Q69</f>
        <v>0</v>
      </c>
      <c r="T69" s="198">
        <f>SUM(S70:S76)</f>
        <v>0</v>
      </c>
      <c r="U69" s="136"/>
      <c r="V69" s="198">
        <f>W69/Q69</f>
        <v>0</v>
      </c>
      <c r="W69" s="199">
        <f>SUM(W70:W76)</f>
        <v>0</v>
      </c>
      <c r="X69" s="111" t="str">
        <f>W69/$AC$176/$W$183/$X$173</f>
        <v>#REF!</v>
      </c>
      <c r="Y69" s="200" t="b">
        <f>(T69+W69)=(SUM(AB70:AB76))</f>
        <v>1</v>
      </c>
      <c r="Z69" s="180">
        <f>(T69+W69)-(SUM(AB70:AB76))</f>
        <v>0</v>
      </c>
      <c r="AA69" s="180"/>
      <c r="AB69" s="180"/>
      <c r="AC69" s="181"/>
      <c r="AD69" s="114">
        <f>W69+T69</f>
        <v>0</v>
      </c>
      <c r="AE69" s="115">
        <f>AD69</f>
        <v>0</v>
      </c>
      <c r="AF69" s="116" t="str">
        <f>AE69/$AE$151</f>
        <v>#REF!</v>
      </c>
      <c r="AG69" s="117" t="str">
        <f>AF69*$AG$158</f>
        <v>#REF!</v>
      </c>
      <c r="AH69" s="118" t="str">
        <f>AF69*$AG$161</f>
        <v>#REF!</v>
      </c>
      <c r="AI69" s="39"/>
      <c r="AJ69" s="119" t="str">
        <f>ROUND(AK69/L69,2)</f>
        <v>#REF!</v>
      </c>
      <c r="AK69" s="119" t="str">
        <f>ROUND(AH69+AG69+AD69,2)</f>
        <v>#REF!</v>
      </c>
      <c r="AL69" s="180"/>
      <c r="AM69" s="135" t="s">
        <v>42</v>
      </c>
      <c r="AN69" s="152"/>
      <c r="AO69" s="135" t="s">
        <v>42</v>
      </c>
      <c r="AP69" s="139"/>
      <c r="AQ69" s="189"/>
      <c r="AR69" s="189"/>
      <c r="AS69" s="180"/>
      <c r="AT69" s="180"/>
      <c r="AU69" s="180"/>
      <c r="AV69" s="180"/>
      <c r="AW69" s="180"/>
      <c r="AX69" s="180"/>
      <c r="AY69" s="180"/>
      <c r="AZ69" s="180"/>
      <c r="BA69" s="180"/>
      <c r="BB69" s="180"/>
      <c r="BC69" s="180"/>
      <c r="BD69" s="180"/>
      <c r="BE69" s="180"/>
      <c r="BF69" s="180"/>
      <c r="BG69" s="180"/>
      <c r="BH69" s="180"/>
    </row>
    <row r="70" ht="12.75" customHeight="1">
      <c r="A70" s="71"/>
      <c r="B70" s="154" t="str">
        <f>IFERROR(__xludf.DUMMYFUNCTION("IFERROR(
  IF(C70="""","""",
    IF(OR(REGEXMATCH(D70,""(?i)-Flashing""), REGEXMATCH(D70,""(?i)-EavesGut""), REGEXMATCH(D70,""(?i)Valley"")),
        ""DR"" &amp;
        TEXT(
            ROUNDUP(
                MIN(
                    VALUE(MID(C70, FIND("&amp;"""("",C70)+1, FIND(""/"",C70)-FIND(""("",C70)-1)),
                    1200
                ) / 50, 0
            ) * 50, ""0""
        ) &amp;
        MID(C70, FIND(""/"",C70)+1, FIND("")"",C70)-FIND(""/"",C70)-1) &amp;
        TEXT(H70*100,""0"") &amp;
        I70,"&amp;"
    IF(AND(D70=""Roof Sheet"", REGEXMATCH(C70,""(?i)KS\d{4}[A-Z]{2}"")),
       REGEXEXTRACT(C70,""(?i)KS\d{4}[A-Z]{2}""),
    IF(AND(REGEXMATCH(D70,""(?i)-DP""), REGEXMATCH(C70,""(?i)Downpipe"")),
       ""dp"" &amp; REGEXEXTRACT(C70,""(\d+)"") &amp; ""mm"",
  "&amp;"  IF(AND(REGEXMATCH(D70,""(?i)Bracket""), REGEXMATCH(C70,""(?i)Bracket"")),
       ""Brkt"" &amp; REGEXEXTRACT(C70,""(\d+)"") &amp; ""mm"",
    IF(AND(REGEXMATCH(D70,""(?i)-OP""), REGEXMATCH(C70,""(?i)pops"")),
       ""op"" &amp; REGEXEXTRACT(C70,""(\d+)"") &amp; ""mm"""&amp;",
    IF(OR(D70=""R-FFTop"", D70=""R-FFBottom"", D70=""R-FFSide""),
        IF(REGEXMATCH(C70,""(?i)Profiled.*Top|Top.*Profiled""),""pfft"",
        IF(REGEXMATCH(C70,""(?i)Profiled.*Bottom|Bottom.*Profiled""),""pffb"",
        IF(REGEXMATCH(C70,""(?i)Squ"&amp;"are""),""sff"",""""))),
    IF(REGEXMATCH(D70,""(?i)-Rivets""),""Rvt"",
    IF(REGEXMATCH(D70,""(?i)Silicone""),""300ml"",
    IF(REGEXMATCH(D70,""(?i)R-Butyl""),""300ml"",
    IF(REGEXMATCH(D70,""(?i)Fix""),""GenFix"",
    IF(AND(REGEXMATCH(C70,""(?i)Tim"&amp;"ber""), REGEXMATCH(D70,""(?i)Timber"")),""tp"",
    IF(AND(REGEXMATCH(C70,""(?i)Vent G1275""), REGEXMATCH(D70,""(?i)Comb FIller"")),""CFV1275"",
    IF(REGEXMATCH(C70,""(?i)DPC""),""dpc"",
    IF(REGEXMATCH(C70,""(?i)Concealed Clips""),""ConClips"",
    I"&amp;"F(REGEXMATCH(D70,""(?i)-Takeoff ea""),""Takeoff ea"",
    IF(REGEXMATCH(D70,""(?i)-Takeoff LM""),""Takeoff LM"",
    IF(REGEXMATCH(D70,""(?i)-Takeoff m2""),""Takeoff m2"",
    IF(D70=""R-TU/TD"",""TU/TD"","""")))))))))))))))))
  )))"),"DR7006B55Mag")</f>
        <v>DR7006B55Mag</v>
      </c>
      <c r="C70" s="201" t="s">
        <v>95</v>
      </c>
      <c r="D70" s="202" t="s">
        <v>96</v>
      </c>
      <c r="E70" s="203">
        <f>VALUE(MID(C70, FIND("(", C70)+1, FIND("/", C70)-FIND("(", C70)-1)) / 1000</f>
        <v>0.69</v>
      </c>
      <c r="F70" s="126" t="str">
        <f>IFERROR(__xludf.DUMMYFUNCTION("IFERROR(REGEXEXTRACT(C70,""@\s*(\d+)\s*deg"")&amp;""°"","""")
"),"")</f>
        <v/>
      </c>
      <c r="G70" s="204"/>
      <c r="H70" s="204" t="str">
        <f>IFERROR(__xludf.DUMMYFUNCTION("IFERROR(REGEXEXTRACT(C70, ""(\d*\.\d+)mm""), """")"),"0.55")</f>
        <v>0.55</v>
      </c>
      <c r="I70" s="204" t="s">
        <v>97</v>
      </c>
      <c r="J70" s="126" t="s">
        <v>14</v>
      </c>
      <c r="K70" s="205" t="s">
        <v>55</v>
      </c>
      <c r="L70" s="206">
        <v>56.39</v>
      </c>
      <c r="M70" s="150">
        <f>L70</f>
        <v>56.39</v>
      </c>
      <c r="N70" s="207">
        <f>IFERROR(__xludf.DUMMYFUNCTION("""COMPUTED_VALUE"""),1.0)</f>
        <v>1</v>
      </c>
      <c r="O70" s="208">
        <v>1.0</v>
      </c>
      <c r="P70" s="208">
        <v>1.0</v>
      </c>
      <c r="Q70" s="203">
        <f t="shared" ref="Q70:Q75" si="37">M70*N70*O70*P70</f>
        <v>56.39</v>
      </c>
      <c r="R70" s="136" t="s">
        <v>42</v>
      </c>
      <c r="S70" s="209">
        <f t="shared" ref="S70:S75" si="38">R70*Q70</f>
        <v>0</v>
      </c>
      <c r="T70" s="210"/>
      <c r="U70" s="136" t="s">
        <v>42</v>
      </c>
      <c r="V70" s="209"/>
      <c r="W70" s="211">
        <f t="shared" ref="W70:W75" si="39">U70*Q70</f>
        <v>0</v>
      </c>
      <c r="X70" s="111" t="str">
        <f>W70/$AC$176/$W$183/Y70</f>
        <v>#REF!</v>
      </c>
      <c r="Y70" s="212">
        <v>2.0</v>
      </c>
      <c r="Z70" s="213" t="str">
        <f>Q70/X70</f>
        <v>#REF!</v>
      </c>
      <c r="AA70" s="180"/>
      <c r="AB70" s="180">
        <f t="shared" ref="AB70:AB75" si="40">W70+S70</f>
        <v>0</v>
      </c>
      <c r="AC70" s="181"/>
      <c r="AD70" s="182"/>
      <c r="AE70" s="183"/>
      <c r="AF70" s="184"/>
      <c r="AG70" s="185"/>
      <c r="AH70" s="186"/>
      <c r="AI70" s="187"/>
      <c r="AJ70" s="188"/>
      <c r="AK70" s="188"/>
      <c r="AL70" s="180"/>
      <c r="AM70" s="135">
        <v>56.39</v>
      </c>
      <c r="AN70" s="152" t="s">
        <v>46</v>
      </c>
      <c r="AO70" s="135">
        <v>0.0</v>
      </c>
      <c r="AP70" s="139"/>
      <c r="AQ70" s="189"/>
      <c r="AR70" s="189"/>
      <c r="AS70" s="180"/>
      <c r="AT70" s="180"/>
      <c r="AU70" s="180"/>
      <c r="AV70" s="180"/>
      <c r="AW70" s="180"/>
      <c r="AX70" s="180"/>
      <c r="AY70" s="180"/>
      <c r="AZ70" s="180"/>
      <c r="BA70" s="180"/>
      <c r="BB70" s="180"/>
      <c r="BC70" s="180"/>
      <c r="BD70" s="180"/>
      <c r="BE70" s="180"/>
      <c r="BF70" s="180"/>
      <c r="BG70" s="180"/>
      <c r="BH70" s="180"/>
    </row>
    <row r="71" ht="12.75" customHeight="1">
      <c r="A71" s="71"/>
      <c r="B71" s="154" t="str">
        <f>IFERROR(__xludf.DUMMYFUNCTION("IFERROR(
  IF(C71="""","""",
    IF(OR(REGEXMATCH(D71,""(?i)-Flashing""), REGEXMATCH(D71,""(?i)-EavesGut""), REGEXMATCH(D71,""(?i)Valley"")),
        ""DR"" &amp;
        TEXT(
            ROUNDUP(
                MIN(
                    VALUE(MID(C71, FIND("&amp;"""("",C71)+1, FIND(""/"",C71)-FIND(""("",C71)-1)),
                    1200
                ) / 50, 0
            ) * 50, ""0""
        ) &amp;
        MID(C71, FIND(""/"",C71)+1, FIND("")"",C71)-FIND(""/"",C71)-1) &amp;
        TEXT(H71*100,""0"") &amp;
        I71,"&amp;"
    IF(AND(D71=""Roof Sheet"", REGEXMATCH(C71,""(?i)KS\d{4}[A-Z]{2}"")),
       REGEXEXTRACT(C71,""(?i)KS\d{4}[A-Z]{2}""),
    IF(AND(REGEXMATCH(D71,""(?i)-DP""), REGEXMATCH(C71,""(?i)Downpipe"")),
       ""dp"" &amp; REGEXEXTRACT(C71,""(\d+)"") &amp; ""mm"",
  "&amp;"  IF(AND(REGEXMATCH(D71,""(?i)Bracket""), REGEXMATCH(C71,""(?i)Bracket"")),
       ""Brkt"" &amp; REGEXEXTRACT(C71,""(\d+)"") &amp; ""mm"",
    IF(AND(REGEXMATCH(D71,""(?i)-OP""), REGEXMATCH(C71,""(?i)pops"")),
       ""op"" &amp; REGEXEXTRACT(C71,""(\d+)"") &amp; ""mm"""&amp;",
    IF(OR(D71=""R-FFTop"", D71=""R-FFBottom"", D71=""R-FFSide""),
        IF(REGEXMATCH(C71,""(?i)Profiled.*Top|Top.*Profiled""),""pfft"",
        IF(REGEXMATCH(C71,""(?i)Profiled.*Bottom|Bottom.*Profiled""),""pffb"",
        IF(REGEXMATCH(C71,""(?i)Squ"&amp;"are""),""sff"",""""))),
    IF(REGEXMATCH(D71,""(?i)-Rivets""),""Rvt"",
    IF(REGEXMATCH(D71,""(?i)Silicone""),""300ml"",
    IF(REGEXMATCH(D71,""(?i)R-Butyl""),""300ml"",
    IF(REGEXMATCH(D71,""(?i)Fix""),""GenFix"",
    IF(AND(REGEXMATCH(C71,""(?i)Tim"&amp;"ber""), REGEXMATCH(D71,""(?i)Timber"")),""tp"",
    IF(AND(REGEXMATCH(C71,""(?i)Vent G1275""), REGEXMATCH(D71,""(?i)Comb FIller"")),""CFV1275"",
    IF(REGEXMATCH(C71,""(?i)DPC""),""dpc"",
    IF(REGEXMATCH(C71,""(?i)Concealed Clips""),""ConClips"",
    I"&amp;"F(REGEXMATCH(D71,""(?i)-Takeoff ea""),""Takeoff ea"",
    IF(REGEXMATCH(D71,""(?i)-Takeoff LM""),""Takeoff LM"",
    IF(REGEXMATCH(D71,""(?i)-Takeoff m2""),""Takeoff m2"",
    IF(D71=""R-TU/TD"",""TU/TD"","""")))))))))))))))))
  )))"),"300ml")</f>
        <v>300ml</v>
      </c>
      <c r="C71" s="214" t="s">
        <v>98</v>
      </c>
      <c r="D71" s="202" t="s">
        <v>99</v>
      </c>
      <c r="E71" s="203">
        <f>E70</f>
        <v>0.69</v>
      </c>
      <c r="F71" s="204"/>
      <c r="G71" s="204"/>
      <c r="H71" s="204" t="str">
        <f>IFERROR(__xludf.DUMMYFUNCTION("IFERROR(REGEXEXTRACT(C71, ""(\d*\.\d+)mm""), """")"),"")</f>
        <v/>
      </c>
      <c r="I71" s="204"/>
      <c r="J71" s="205" t="s">
        <v>87</v>
      </c>
      <c r="K71" s="204" t="s">
        <v>52</v>
      </c>
      <c r="L71" s="206">
        <f>M70</f>
        <v>56.39</v>
      </c>
      <c r="M71" s="150">
        <f>(ROUNDDOWN((M70/5.7)+2,0)*E71)/8</f>
        <v>0.94875</v>
      </c>
      <c r="N71" s="207">
        <f>IFERROR(__xludf.DUMMYFUNCTION("""COMPUTED_VALUE"""),1.0)</f>
        <v>1</v>
      </c>
      <c r="O71" s="208">
        <v>1.0</v>
      </c>
      <c r="P71" s="208">
        <v>1.0</v>
      </c>
      <c r="Q71" s="203">
        <f t="shared" si="37"/>
        <v>0.94875</v>
      </c>
      <c r="R71" s="136" t="s">
        <v>42</v>
      </c>
      <c r="S71" s="209">
        <f t="shared" si="38"/>
        <v>0</v>
      </c>
      <c r="T71" s="210"/>
      <c r="U71" s="136" t="s">
        <v>42</v>
      </c>
      <c r="V71" s="209"/>
      <c r="W71" s="211">
        <f t="shared" si="39"/>
        <v>0</v>
      </c>
      <c r="X71" s="179"/>
      <c r="Y71" s="180"/>
      <c r="Z71" s="180"/>
      <c r="AA71" s="180"/>
      <c r="AB71" s="180">
        <f t="shared" si="40"/>
        <v>0</v>
      </c>
      <c r="AC71" s="181"/>
      <c r="AD71" s="182"/>
      <c r="AE71" s="183"/>
      <c r="AF71" s="184"/>
      <c r="AG71" s="185"/>
      <c r="AH71" s="186"/>
      <c r="AI71" s="187"/>
      <c r="AJ71" s="188"/>
      <c r="AK71" s="188"/>
      <c r="AL71" s="180"/>
      <c r="AM71" s="135">
        <v>0.94875</v>
      </c>
      <c r="AN71" s="152" t="s">
        <v>46</v>
      </c>
      <c r="AO71" s="135">
        <v>0.0</v>
      </c>
      <c r="AP71" s="139"/>
      <c r="AQ71" s="189"/>
      <c r="AR71" s="189"/>
      <c r="AS71" s="180"/>
      <c r="AT71" s="180"/>
      <c r="AU71" s="180"/>
      <c r="AV71" s="180"/>
      <c r="AW71" s="180"/>
      <c r="AX71" s="180"/>
      <c r="AY71" s="180"/>
      <c r="AZ71" s="180"/>
      <c r="BA71" s="180"/>
      <c r="BB71" s="180"/>
      <c r="BC71" s="180"/>
      <c r="BD71" s="180"/>
      <c r="BE71" s="180"/>
      <c r="BF71" s="180"/>
      <c r="BG71" s="180"/>
      <c r="BH71" s="180"/>
    </row>
    <row r="72" ht="12.75" customHeight="1">
      <c r="A72" s="71"/>
      <c r="B72" s="154" t="str">
        <f>IFERROR(__xludf.DUMMYFUNCTION("IFERROR(
  IF(C72="""","""",
    IF(OR(REGEXMATCH(D72,""(?i)-Flashing""), REGEXMATCH(D72,""(?i)-EavesGut""), REGEXMATCH(D72,""(?i)Valley"")),
        ""DR"" &amp;
        TEXT(
            ROUNDUP(
                MIN(
                    VALUE(MID(C72, FIND("&amp;"""("",C72)+1, FIND(""/"",C72)-FIND(""("",C72)-1)),
                    1200
                ) / 50, 0
            ) * 50, ""0""
        ) &amp;
        MID(C72, FIND(""/"",C72)+1, FIND("")"",C72)-FIND(""/"",C72)-1) &amp;
        TEXT(H72*100,""0"") &amp;
        I72,"&amp;"
    IF(AND(D72=""Roof Sheet"", REGEXMATCH(C72,""(?i)KS\d{4}[A-Z]{2}"")),
       REGEXEXTRACT(C72,""(?i)KS\d{4}[A-Z]{2}""),
    IF(AND(REGEXMATCH(D72,""(?i)-DP""), REGEXMATCH(C72,""(?i)Downpipe"")),
       ""dp"" &amp; REGEXEXTRACT(C72,""(\d+)"") &amp; ""mm"",
  "&amp;"  IF(AND(REGEXMATCH(D72,""(?i)Bracket""), REGEXMATCH(C72,""(?i)Bracket"")),
       ""Brkt"" &amp; REGEXEXTRACT(C72,""(\d+)"") &amp; ""mm"",
    IF(AND(REGEXMATCH(D72,""(?i)-OP""), REGEXMATCH(C72,""(?i)pops"")),
       ""op"" &amp; REGEXEXTRACT(C72,""(\d+)"") &amp; ""mm"""&amp;",
    IF(OR(D72=""R-FFTop"", D72=""R-FFBottom"", D72=""R-FFSide""),
        IF(REGEXMATCH(C72,""(?i)Profiled.*Top|Top.*Profiled""),""pfft"",
        IF(REGEXMATCH(C72,""(?i)Profiled.*Bottom|Bottom.*Profiled""),""pffb"",
        IF(REGEXMATCH(C72,""(?i)Squ"&amp;"are""),""sff"",""""))),
    IF(REGEXMATCH(D72,""(?i)-Rivets""),""Rvt"",
    IF(REGEXMATCH(D72,""(?i)Silicone""),""300ml"",
    IF(REGEXMATCH(D72,""(?i)R-Butyl""),""300ml"",
    IF(REGEXMATCH(D72,""(?i)Fix""),""GenFix"",
    IF(AND(REGEXMATCH(C72,""(?i)Tim"&amp;"ber""), REGEXMATCH(D72,""(?i)Timber"")),""tp"",
    IF(AND(REGEXMATCH(C72,""(?i)Vent G1275""), REGEXMATCH(D72,""(?i)Comb FIller"")),""CFV1275"",
    IF(REGEXMATCH(C72,""(?i)DPC""),""dpc"",
    IF(REGEXMATCH(C72,""(?i)Concealed Clips""),""ConClips"",
    I"&amp;"F(REGEXMATCH(D72,""(?i)-Takeoff ea""),""Takeoff ea"",
    IF(REGEXMATCH(D72,""(?i)-Takeoff LM""),""Takeoff LM"",
    IF(REGEXMATCH(D72,""(?i)-Takeoff m2""),""Takeoff m2"",
    IF(D72=""R-TU/TD"",""TU/TD"","""")))))))))))))))))
  )))"),"Rvt")</f>
        <v>Rvt</v>
      </c>
      <c r="C72" s="214" t="s">
        <v>100</v>
      </c>
      <c r="D72" s="202" t="s">
        <v>101</v>
      </c>
      <c r="E72" s="203">
        <f>E70</f>
        <v>0.69</v>
      </c>
      <c r="F72" s="204"/>
      <c r="G72" s="204"/>
      <c r="H72" s="204" t="str">
        <f>IFERROR(__xludf.DUMMYFUNCTION("IFERROR(REGEXEXTRACT(C72, ""(\d*\.\d+)mm""), """")"),"")</f>
        <v/>
      </c>
      <c r="I72" s="204"/>
      <c r="J72" s="205" t="s">
        <v>87</v>
      </c>
      <c r="K72" s="204" t="s">
        <v>52</v>
      </c>
      <c r="L72" s="206">
        <f>M70</f>
        <v>56.39</v>
      </c>
      <c r="M72" s="150">
        <f>ROUNDUP(((M70/5.7)+1)*(E72/0.05),0)</f>
        <v>151</v>
      </c>
      <c r="N72" s="207">
        <f>IFERROR(__xludf.DUMMYFUNCTION("""COMPUTED_VALUE"""),1.0)</f>
        <v>1</v>
      </c>
      <c r="O72" s="208">
        <v>1.0</v>
      </c>
      <c r="P72" s="208">
        <v>1.0</v>
      </c>
      <c r="Q72" s="203">
        <f t="shared" si="37"/>
        <v>151</v>
      </c>
      <c r="R72" s="136" t="s">
        <v>42</v>
      </c>
      <c r="S72" s="209">
        <f t="shared" si="38"/>
        <v>0</v>
      </c>
      <c r="T72" s="210"/>
      <c r="U72" s="136" t="s">
        <v>42</v>
      </c>
      <c r="V72" s="209"/>
      <c r="W72" s="211">
        <f t="shared" si="39"/>
        <v>0</v>
      </c>
      <c r="X72" s="179"/>
      <c r="Y72" s="180"/>
      <c r="Z72" s="180"/>
      <c r="AA72" s="180"/>
      <c r="AB72" s="180">
        <f t="shared" si="40"/>
        <v>0</v>
      </c>
      <c r="AC72" s="181"/>
      <c r="AD72" s="182"/>
      <c r="AE72" s="183"/>
      <c r="AF72" s="184"/>
      <c r="AG72" s="185"/>
      <c r="AH72" s="186"/>
      <c r="AI72" s="187"/>
      <c r="AJ72" s="188"/>
      <c r="AK72" s="188"/>
      <c r="AL72" s="180"/>
      <c r="AM72" s="135">
        <v>151.0</v>
      </c>
      <c r="AN72" s="152" t="s">
        <v>46</v>
      </c>
      <c r="AO72" s="135">
        <v>0.0</v>
      </c>
      <c r="AP72" s="139"/>
      <c r="AQ72" s="189"/>
      <c r="AR72" s="189"/>
      <c r="AS72" s="180"/>
      <c r="AT72" s="180"/>
      <c r="AU72" s="180"/>
      <c r="AV72" s="180"/>
      <c r="AW72" s="180"/>
      <c r="AX72" s="180"/>
      <c r="AY72" s="180"/>
      <c r="AZ72" s="180"/>
      <c r="BA72" s="180"/>
      <c r="BB72" s="180"/>
      <c r="BC72" s="180"/>
      <c r="BD72" s="180"/>
      <c r="BE72" s="180"/>
      <c r="BF72" s="180"/>
      <c r="BG72" s="180"/>
      <c r="BH72" s="180"/>
    </row>
    <row r="73" ht="12.75" customHeight="1">
      <c r="A73" s="71"/>
      <c r="B73" s="154" t="str">
        <f>IFERROR(__xludf.DUMMYFUNCTION("IFERROR(
  IF(C73="""","""",
    IF(OR(REGEXMATCH(D73,""(?i)-Flashing""), REGEXMATCH(D73,""(?i)-EavesGut""), REGEXMATCH(D73,""(?i)Valley"")),
        ""DR"" &amp;
        TEXT(
            ROUNDUP(
                MIN(
                    VALUE(MID(C73, FIND("&amp;"""("",C73)+1, FIND(""/"",C73)-FIND(""("",C73)-1)),
                    1200
                ) / 50, 0
            ) * 50, ""0""
        ) &amp;
        MID(C73, FIND(""/"",C73)+1, FIND("")"",C73)-FIND(""/"",C73)-1) &amp;
        TEXT(H73*100,""0"") &amp;
        I73,"&amp;"
    IF(AND(D73=""Roof Sheet"", REGEXMATCH(C73,""(?i)KS\d{4}[A-Z]{2}"")),
       REGEXEXTRACT(C73,""(?i)KS\d{4}[A-Z]{2}""),
    IF(AND(REGEXMATCH(D73,""(?i)-DP""), REGEXMATCH(C73,""(?i)Downpipe"")),
       ""dp"" &amp; REGEXEXTRACT(C73,""(\d+)"") &amp; ""mm"",
  "&amp;"  IF(AND(REGEXMATCH(D73,""(?i)Bracket""), REGEXMATCH(C73,""(?i)Bracket"")),
       ""Brkt"" &amp; REGEXEXTRACT(C73,""(\d+)"") &amp; ""mm"",
    IF(AND(REGEXMATCH(D73,""(?i)-OP""), REGEXMATCH(C73,""(?i)pops"")),
       ""op"" &amp; REGEXEXTRACT(C73,""(\d+)"") &amp; ""mm"""&amp;",
    IF(OR(D73=""R-FFTop"", D73=""R-FFBottom"", D73=""R-FFSide""),
        IF(REGEXMATCH(C73,""(?i)Profiled.*Top|Top.*Profiled""),""pfft"",
        IF(REGEXMATCH(C73,""(?i)Profiled.*Bottom|Bottom.*Profiled""),""pffb"",
        IF(REGEXMATCH(C73,""(?i)Squ"&amp;"are""),""sff"",""""))),
    IF(REGEXMATCH(D73,""(?i)-Rivets""),""Rvt"",
    IF(REGEXMATCH(D73,""(?i)Silicone""),""300ml"",
    IF(REGEXMATCH(D73,""(?i)R-Butyl""),""300ml"",
    IF(REGEXMATCH(D73,""(?i)Fix""),""GenFix"",
    IF(AND(REGEXMATCH(C73,""(?i)Tim"&amp;"ber""), REGEXMATCH(D73,""(?i)Timber"")),""tp"",
    IF(AND(REGEXMATCH(C73,""(?i)Vent G1275""), REGEXMATCH(D73,""(?i)Comb FIller"")),""CFV1275"",
    IF(REGEXMATCH(C73,""(?i)DPC""),""dpc"",
    IF(REGEXMATCH(C73,""(?i)Concealed Clips""),""ConClips"",
    I"&amp;"F(REGEXMATCH(D73,""(?i)-Takeoff ea""),""Takeoff ea"",
    IF(REGEXMATCH(D73,""(?i)-Takeoff LM""),""Takeoff LM"",
    IF(REGEXMATCH(D73,""(?i)-Takeoff m2""),""Takeoff m2"",
    IF(D73=""R-TU/TD"",""TU/TD"","""")))))))))))))))))
  )))"),"GenFix")</f>
        <v>GenFix</v>
      </c>
      <c r="C73" s="158" t="s">
        <v>102</v>
      </c>
      <c r="D73" s="124" t="s">
        <v>103</v>
      </c>
      <c r="E73" s="161"/>
      <c r="F73" s="168" t="str">
        <f>F72</f>
        <v/>
      </c>
      <c r="G73" s="129"/>
      <c r="H73" s="127"/>
      <c r="I73" s="127"/>
      <c r="J73" s="126" t="s">
        <v>87</v>
      </c>
      <c r="K73" s="126" t="s">
        <v>52</v>
      </c>
      <c r="L73" s="168">
        <f>M70</f>
        <v>56.39</v>
      </c>
      <c r="M73" s="150">
        <f>ROUNDUP(M70/0.6,0)+1</f>
        <v>95</v>
      </c>
      <c r="N73" s="215">
        <f>IFERROR(__xludf.DUMMYFUNCTION("""COMPUTED_VALUE"""),1.0)</f>
        <v>1</v>
      </c>
      <c r="O73" s="134">
        <v>1.0</v>
      </c>
      <c r="P73" s="134">
        <v>1.0</v>
      </c>
      <c r="Q73" s="168">
        <f t="shared" si="37"/>
        <v>95</v>
      </c>
      <c r="R73" s="136" t="s">
        <v>42</v>
      </c>
      <c r="S73" s="137">
        <f t="shared" si="38"/>
        <v>0</v>
      </c>
      <c r="T73" s="138"/>
      <c r="U73" s="136" t="s">
        <v>42</v>
      </c>
      <c r="V73" s="139"/>
      <c r="W73" s="140">
        <f t="shared" si="39"/>
        <v>0</v>
      </c>
      <c r="X73" s="2"/>
      <c r="Y73" s="5"/>
      <c r="Z73" s="5"/>
      <c r="AA73" s="5"/>
      <c r="AB73" s="180">
        <f t="shared" si="40"/>
        <v>0</v>
      </c>
      <c r="AC73" s="33"/>
      <c r="AD73" s="65"/>
      <c r="AE73" s="66"/>
      <c r="AF73" s="144"/>
      <c r="AG73" s="68"/>
      <c r="AH73" s="69"/>
      <c r="AI73" s="39"/>
      <c r="AJ73" s="70"/>
      <c r="AK73" s="70"/>
      <c r="AL73" s="5"/>
      <c r="AM73" s="135">
        <v>95.0</v>
      </c>
      <c r="AN73" s="152" t="s">
        <v>46</v>
      </c>
      <c r="AO73" s="135">
        <v>0.0</v>
      </c>
      <c r="AP73" s="139"/>
      <c r="AQ73" s="5"/>
      <c r="AR73" s="5"/>
      <c r="AS73" s="5"/>
      <c r="AT73" s="5"/>
      <c r="AU73" s="5"/>
      <c r="AV73" s="5"/>
      <c r="AW73" s="5"/>
      <c r="AX73" s="5"/>
      <c r="AY73" s="5"/>
      <c r="AZ73" s="5"/>
      <c r="BA73" s="5"/>
      <c r="BB73" s="5"/>
      <c r="BC73" s="5"/>
      <c r="BD73" s="5"/>
      <c r="BE73" s="5"/>
      <c r="BF73" s="5"/>
      <c r="BG73" s="5"/>
      <c r="BH73" s="5"/>
    </row>
    <row r="74" ht="12.75" customHeight="1">
      <c r="A74" s="71"/>
      <c r="B74" s="154" t="str">
        <f>IFERROR(__xludf.DUMMYFUNCTION("IFERROR(
  IF(C74="""","""",
    IF(OR(REGEXMATCH(D74,""(?i)-Flashing""), REGEXMATCH(D74,""(?i)-EavesGut""), REGEXMATCH(D74,""(?i)Valley"")),
        ""DR"" &amp;
        TEXT(
            ROUNDUP(
                MIN(
                    VALUE(MID(C74, FIND("&amp;"""("",C74)+1, FIND(""/"",C74)-FIND(""("",C74)-1)),
                    1200
                ) / 50, 0
            ) * 50, ""0""
        ) &amp;
        MID(C74, FIND(""/"",C74)+1, FIND("")"",C74)-FIND(""/"",C74)-1) &amp;
        TEXT(H74*100,""0"") &amp;
        I74,"&amp;"
    IF(AND(D74=""Roof Sheet"", REGEXMATCH(C74,""(?i)KS\d{4}[A-Z]{2}"")),
       REGEXEXTRACT(C74,""(?i)KS\d{4}[A-Z]{2}""),
    IF(AND(REGEXMATCH(D74,""(?i)-DP""), REGEXMATCH(C74,""(?i)Downpipe"")),
       ""dp"" &amp; REGEXEXTRACT(C74,""(\d+)"") &amp; ""mm"",
  "&amp;"  IF(AND(REGEXMATCH(D74,""(?i)Bracket""), REGEXMATCH(C74,""(?i)Bracket"")),
       ""Brkt"" &amp; REGEXEXTRACT(C74,""(\d+)"") &amp; ""mm"",
    IF(AND(REGEXMATCH(D74,""(?i)-OP""), REGEXMATCH(C74,""(?i)pops"")),
       ""op"" &amp; REGEXEXTRACT(C74,""(\d+)"") &amp; ""mm"""&amp;",
    IF(OR(D74=""R-FFTop"", D74=""R-FFBottom"", D74=""R-FFSide""),
        IF(REGEXMATCH(C74,""(?i)Profiled.*Top|Top.*Profiled""),""pfft"",
        IF(REGEXMATCH(C74,""(?i)Profiled.*Bottom|Bottom.*Profiled""),""pffb"",
        IF(REGEXMATCH(C74,""(?i)Squ"&amp;"are""),""sff"",""""))),
    IF(REGEXMATCH(D74,""(?i)-Rivets""),""Rvt"",
    IF(REGEXMATCH(D74,""(?i)Silicone""),""300ml"",
    IF(REGEXMATCH(D74,""(?i)R-Butyl""),""300ml"",
    IF(REGEXMATCH(D74,""(?i)Fix""),""GenFix"",
    IF(AND(REGEXMATCH(C74,""(?i)Tim"&amp;"ber""), REGEXMATCH(D74,""(?i)Timber"")),""tp"",
    IF(AND(REGEXMATCH(C74,""(?i)Vent G1275""), REGEXMATCH(D74,""(?i)Comb FIller"")),""CFV1275"",
    IF(REGEXMATCH(C74,""(?i)DPC""),""dpc"",
    IF(REGEXMATCH(C74,""(?i)Concealed Clips""),""ConClips"",
    I"&amp;"F(REGEXMATCH(D74,""(?i)-Takeoff ea""),""Takeoff ea"",
    IF(REGEXMATCH(D74,""(?i)-Takeoff LM""),""Takeoff LM"",
    IF(REGEXMATCH(D74,""(?i)-Takeoff m2""),""Takeoff m2"",
    IF(D74=""R-TU/TD"",""TU/TD"","""")))))))))))))))))
  )))"),"pfft")</f>
        <v>pfft</v>
      </c>
      <c r="C74" s="214" t="s">
        <v>104</v>
      </c>
      <c r="D74" s="202" t="s">
        <v>105</v>
      </c>
      <c r="E74" s="216"/>
      <c r="F74" s="217"/>
      <c r="G74" s="218"/>
      <c r="H74" s="204"/>
      <c r="I74" s="204"/>
      <c r="J74" s="205" t="s">
        <v>87</v>
      </c>
      <c r="K74" s="205" t="s">
        <v>55</v>
      </c>
      <c r="L74" s="203">
        <f>M70</f>
        <v>56.39</v>
      </c>
      <c r="M74" s="150">
        <f>M70</f>
        <v>56.39</v>
      </c>
      <c r="N74" s="219">
        <f>IFERROR(__xludf.DUMMYFUNCTION("""COMPUTED_VALUE"""),1.0)</f>
        <v>1</v>
      </c>
      <c r="O74" s="208">
        <v>1.0</v>
      </c>
      <c r="P74" s="208">
        <v>2.0</v>
      </c>
      <c r="Q74" s="203">
        <f t="shared" si="37"/>
        <v>112.78</v>
      </c>
      <c r="R74" s="136" t="s">
        <v>42</v>
      </c>
      <c r="S74" s="209">
        <f t="shared" si="38"/>
        <v>0</v>
      </c>
      <c r="T74" s="210"/>
      <c r="U74" s="136" t="s">
        <v>42</v>
      </c>
      <c r="V74" s="209"/>
      <c r="W74" s="211">
        <f t="shared" si="39"/>
        <v>0</v>
      </c>
      <c r="X74" s="179"/>
      <c r="Y74" s="180"/>
      <c r="Z74" s="180"/>
      <c r="AA74" s="180"/>
      <c r="AB74" s="180">
        <f t="shared" si="40"/>
        <v>0</v>
      </c>
      <c r="AC74" s="181"/>
      <c r="AD74" s="182"/>
      <c r="AE74" s="183"/>
      <c r="AF74" s="184"/>
      <c r="AG74" s="185"/>
      <c r="AH74" s="186"/>
      <c r="AI74" s="187"/>
      <c r="AJ74" s="188"/>
      <c r="AK74" s="188"/>
      <c r="AL74" s="180"/>
      <c r="AM74" s="135">
        <v>56.39</v>
      </c>
      <c r="AN74" s="152" t="s">
        <v>46</v>
      </c>
      <c r="AO74" s="135">
        <v>0.0</v>
      </c>
      <c r="AP74" s="139"/>
      <c r="AQ74" s="189"/>
      <c r="AR74" s="189"/>
      <c r="AS74" s="180"/>
      <c r="AT74" s="180"/>
      <c r="AU74" s="180"/>
      <c r="AV74" s="180"/>
      <c r="AW74" s="180"/>
      <c r="AX74" s="180"/>
      <c r="AY74" s="180"/>
      <c r="AZ74" s="180"/>
      <c r="BA74" s="180"/>
      <c r="BB74" s="180"/>
      <c r="BC74" s="180"/>
      <c r="BD74" s="180"/>
      <c r="BE74" s="180"/>
      <c r="BF74" s="180"/>
      <c r="BG74" s="180"/>
      <c r="BH74" s="180"/>
    </row>
    <row r="75" ht="12.75" customHeight="1">
      <c r="A75" s="71"/>
      <c r="B75" s="154" t="str">
        <f>IFERROR(__xludf.DUMMYFUNCTION("IFERROR(
  IF(C75="""","""",
    IF(OR(REGEXMATCH(D75,""(?i)-Flashing""), REGEXMATCH(D75,""(?i)-EavesGut""), REGEXMATCH(D75,""(?i)Valley"")),
        ""DR"" &amp;
        TEXT(
            ROUNDUP(
                MIN(
                    VALUE(MID(C75, FIND("&amp;"""("",C75)+1, FIND(""/"",C75)-FIND(""("",C75)-1)),
                    1200
                ) / 50, 0
            ) * 50, ""0""
        ) &amp;
        MID(C75, FIND(""/"",C75)+1, FIND("")"",C75)-FIND(""/"",C75)-1) &amp;
        TEXT(H75*100,""0"") &amp;
        I75,"&amp;"
    IF(AND(D75=""Roof Sheet"", REGEXMATCH(C75,""(?i)KS\d{4}[A-Z]{2}"")),
       REGEXEXTRACT(C75,""(?i)KS\d{4}[A-Z]{2}""),
    IF(AND(REGEXMATCH(D75,""(?i)-DP""), REGEXMATCH(C75,""(?i)Downpipe"")),
       ""dp"" &amp; REGEXEXTRACT(C75,""(\d+)"") &amp; ""mm"",
  "&amp;"  IF(AND(REGEXMATCH(D75,""(?i)Bracket""), REGEXMATCH(C75,""(?i)Bracket"")),
       ""Brkt"" &amp; REGEXEXTRACT(C75,""(\d+)"") &amp; ""mm"",
    IF(AND(REGEXMATCH(D75,""(?i)-OP""), REGEXMATCH(C75,""(?i)pops"")),
       ""op"" &amp; REGEXEXTRACT(C75,""(\d+)"") &amp; ""mm"""&amp;",
    IF(OR(D75=""R-FFTop"", D75=""R-FFBottom"", D75=""R-FFSide""),
        IF(REGEXMATCH(C75,""(?i)Profiled.*Top|Top.*Profiled""),""pfft"",
        IF(REGEXMATCH(C75,""(?i)Profiled.*Bottom|Bottom.*Profiled""),""pffb"",
        IF(REGEXMATCH(C75,""(?i)Squ"&amp;"are""),""sff"",""""))),
    IF(REGEXMATCH(D75,""(?i)-Rivets""),""Rvt"",
    IF(REGEXMATCH(D75,""(?i)Silicone""),""300ml"",
    IF(REGEXMATCH(D75,""(?i)R-Butyl""),""300ml"",
    IF(REGEXMATCH(D75,""(?i)Fix""),""GenFix"",
    IF(AND(REGEXMATCH(C75,""(?i)Tim"&amp;"ber""), REGEXMATCH(D75,""(?i)Timber"")),""tp"",
    IF(AND(REGEXMATCH(C75,""(?i)Vent G1275""), REGEXMATCH(D75,""(?i)Comb FIller"")),""CFV1275"",
    IF(REGEXMATCH(C75,""(?i)DPC""),""dpc"",
    IF(REGEXMATCH(C75,""(?i)Concealed Clips""),""ConClips"",
    I"&amp;"F(REGEXMATCH(D75,""(?i)-Takeoff ea""),""Takeoff ea"",
    IF(REGEXMATCH(D75,""(?i)-Takeoff LM""),""Takeoff LM"",
    IF(REGEXMATCH(D75,""(?i)-Takeoff m2""),""Takeoff m2"",
    IF(D75=""R-TU/TD"",""TU/TD"","""")))))))))))))))))
  )))"),"TU/TD")</f>
        <v>TU/TD</v>
      </c>
      <c r="C75" s="214" t="s">
        <v>106</v>
      </c>
      <c r="D75" s="202" t="s">
        <v>107</v>
      </c>
      <c r="E75" s="216"/>
      <c r="F75" s="217"/>
      <c r="G75" s="218"/>
      <c r="H75" s="204"/>
      <c r="I75" s="204"/>
      <c r="J75" s="205" t="s">
        <v>87</v>
      </c>
      <c r="K75" s="205" t="s">
        <v>55</v>
      </c>
      <c r="L75" s="203">
        <f>M70</f>
        <v>56.39</v>
      </c>
      <c r="M75" s="220">
        <f>M70</f>
        <v>56.39</v>
      </c>
      <c r="N75" s="207">
        <f>IFERROR(__xludf.DUMMYFUNCTION("""COMPUTED_VALUE"""),1.0)</f>
        <v>1</v>
      </c>
      <c r="O75" s="208">
        <v>1.0</v>
      </c>
      <c r="P75" s="208">
        <v>2.0</v>
      </c>
      <c r="Q75" s="203">
        <f t="shared" si="37"/>
        <v>112.78</v>
      </c>
      <c r="R75" s="136" t="s">
        <v>42</v>
      </c>
      <c r="S75" s="209">
        <f t="shared" si="38"/>
        <v>0</v>
      </c>
      <c r="T75" s="210"/>
      <c r="U75" s="136" t="s">
        <v>42</v>
      </c>
      <c r="V75" s="209"/>
      <c r="W75" s="211">
        <f t="shared" si="39"/>
        <v>0</v>
      </c>
      <c r="X75" s="179"/>
      <c r="Y75" s="180"/>
      <c r="Z75" s="180"/>
      <c r="AA75" s="180"/>
      <c r="AB75" s="180">
        <f t="shared" si="40"/>
        <v>0</v>
      </c>
      <c r="AC75" s="181"/>
      <c r="AD75" s="182"/>
      <c r="AE75" s="183"/>
      <c r="AF75" s="184"/>
      <c r="AG75" s="185"/>
      <c r="AH75" s="186"/>
      <c r="AI75" s="187"/>
      <c r="AJ75" s="188"/>
      <c r="AK75" s="188"/>
      <c r="AL75" s="180"/>
      <c r="AM75" s="135">
        <v>56.39</v>
      </c>
      <c r="AN75" s="152" t="s">
        <v>46</v>
      </c>
      <c r="AO75" s="135">
        <v>0.0</v>
      </c>
      <c r="AP75" s="139"/>
      <c r="AQ75" s="189"/>
      <c r="AR75" s="189"/>
      <c r="AS75" s="180"/>
      <c r="AT75" s="180"/>
      <c r="AU75" s="180"/>
      <c r="AV75" s="180"/>
      <c r="AW75" s="180"/>
      <c r="AX75" s="180"/>
      <c r="AY75" s="180"/>
      <c r="AZ75" s="180"/>
      <c r="BA75" s="180"/>
      <c r="BB75" s="180"/>
      <c r="BC75" s="180"/>
      <c r="BD75" s="180"/>
      <c r="BE75" s="180"/>
      <c r="BF75" s="180"/>
      <c r="BG75" s="180"/>
      <c r="BH75" s="180"/>
    </row>
    <row r="76" ht="12.75" customHeight="1">
      <c r="A76" s="71"/>
      <c r="B76" s="221"/>
      <c r="C76" s="214"/>
      <c r="D76" s="202"/>
      <c r="E76" s="203"/>
      <c r="F76" s="204"/>
      <c r="G76" s="204"/>
      <c r="H76" s="204"/>
      <c r="I76" s="204"/>
      <c r="J76" s="205"/>
      <c r="K76" s="204" t="s">
        <v>42</v>
      </c>
      <c r="L76" s="206"/>
      <c r="M76" s="220" t="s">
        <v>42</v>
      </c>
      <c r="N76" s="207" t="str">
        <f>IFERROR(__xludf.DUMMYFUNCTION("""COMPUTED_VALUE"""),"")</f>
        <v/>
      </c>
      <c r="O76" s="208"/>
      <c r="P76" s="208"/>
      <c r="Q76" s="203"/>
      <c r="R76" s="136"/>
      <c r="S76" s="209"/>
      <c r="T76" s="210"/>
      <c r="U76" s="136"/>
      <c r="V76" s="209"/>
      <c r="W76" s="211"/>
      <c r="X76" s="179"/>
      <c r="Y76" s="180"/>
      <c r="Z76" s="180"/>
      <c r="AA76" s="180"/>
      <c r="AB76" s="180"/>
      <c r="AC76" s="181"/>
      <c r="AD76" s="182"/>
      <c r="AE76" s="183"/>
      <c r="AF76" s="184"/>
      <c r="AG76" s="185"/>
      <c r="AH76" s="186"/>
      <c r="AI76" s="187"/>
      <c r="AJ76" s="188"/>
      <c r="AK76" s="188"/>
      <c r="AL76" s="180"/>
      <c r="AM76" s="135" t="s">
        <v>42</v>
      </c>
      <c r="AN76" s="152"/>
      <c r="AO76" s="135" t="s">
        <v>42</v>
      </c>
      <c r="AP76" s="139"/>
      <c r="AQ76" s="189"/>
      <c r="AR76" s="189"/>
      <c r="AS76" s="180"/>
      <c r="AT76" s="180"/>
      <c r="AU76" s="180"/>
      <c r="AV76" s="180"/>
      <c r="AW76" s="180"/>
      <c r="AX76" s="180"/>
      <c r="AY76" s="180"/>
      <c r="AZ76" s="180"/>
      <c r="BA76" s="180"/>
      <c r="BB76" s="180"/>
      <c r="BC76" s="180"/>
      <c r="BD76" s="180"/>
      <c r="BE76" s="180"/>
      <c r="BF76" s="180"/>
      <c r="BG76" s="180"/>
      <c r="BH76" s="180"/>
    </row>
    <row r="77">
      <c r="A77" s="71">
        <v>1.0</v>
      </c>
      <c r="B77" s="102"/>
      <c r="C77" s="103" t="s">
        <v>108</v>
      </c>
      <c r="D77" s="104"/>
      <c r="E77" s="105"/>
      <c r="F77" s="104"/>
      <c r="G77" s="104"/>
      <c r="H77" s="104"/>
      <c r="I77" s="104"/>
      <c r="J77" s="104"/>
      <c r="K77" s="104" t="s">
        <v>42</v>
      </c>
      <c r="L77" s="106">
        <f>Q77</f>
        <v>19.37858251</v>
      </c>
      <c r="M77" s="105" t="s">
        <v>42</v>
      </c>
      <c r="N77" s="107" t="str">
        <f>IFERROR(__xludf.DUMMYFUNCTION("""COMPUTED_VALUE"""),"")</f>
        <v/>
      </c>
      <c r="O77" s="104"/>
      <c r="P77" s="104"/>
      <c r="Q77" s="106">
        <f>Q78</f>
        <v>19.37858251</v>
      </c>
      <c r="R77" s="136"/>
      <c r="S77" s="109">
        <f>T77/Q77</f>
        <v>0</v>
      </c>
      <c r="T77" s="109">
        <f>SUM(S78:S82)</f>
        <v>0</v>
      </c>
      <c r="U77" s="136"/>
      <c r="V77" s="109">
        <f>W77/Q77</f>
        <v>0</v>
      </c>
      <c r="W77" s="110">
        <f>SUM(W78:W82)</f>
        <v>0</v>
      </c>
      <c r="X77" s="111" t="str">
        <f>W77/$AC$176/$W$183/$X$173</f>
        <v>#REF!</v>
      </c>
      <c r="Y77" s="112" t="b">
        <f>(T77+W77)=(SUM(AB78:AB82))</f>
        <v>1</v>
      </c>
      <c r="Z77" s="222">
        <f>(T77+W77)-(SUM(AB78:AB82))</f>
        <v>0</v>
      </c>
      <c r="AA77" s="5"/>
      <c r="AB77" s="5"/>
      <c r="AC77" s="33"/>
      <c r="AD77" s="114">
        <f>W77+T77</f>
        <v>0</v>
      </c>
      <c r="AE77" s="115">
        <f>AD77</f>
        <v>0</v>
      </c>
      <c r="AF77" s="116" t="str">
        <f>AE77/$AE$151</f>
        <v>#REF!</v>
      </c>
      <c r="AG77" s="117" t="str">
        <f>AF77*$AG$158</f>
        <v>#REF!</v>
      </c>
      <c r="AH77" s="118" t="str">
        <f>AF77*$AG$161</f>
        <v>#REF!</v>
      </c>
      <c r="AI77" s="39"/>
      <c r="AJ77" s="119" t="str">
        <f>ROUND(AK77/L77,2)</f>
        <v>#REF!</v>
      </c>
      <c r="AK77" s="119" t="str">
        <f>ROUND(AH77+AG77+AD77,2)</f>
        <v>#REF!</v>
      </c>
      <c r="AL77" s="5"/>
      <c r="AM77" s="135" t="s">
        <v>42</v>
      </c>
      <c r="AN77" s="152"/>
      <c r="AO77" s="135" t="s">
        <v>42</v>
      </c>
      <c r="AP77" s="139"/>
      <c r="AQ77" s="5"/>
      <c r="AR77" s="5"/>
      <c r="AS77" s="5"/>
      <c r="AT77" s="5"/>
      <c r="AU77" s="5"/>
      <c r="AV77" s="5"/>
      <c r="AW77" s="5"/>
      <c r="AX77" s="5"/>
      <c r="AY77" s="5"/>
      <c r="AZ77" s="5"/>
      <c r="BA77" s="5"/>
      <c r="BB77" s="5"/>
      <c r="BC77" s="5"/>
      <c r="BD77" s="5"/>
      <c r="BE77" s="5"/>
      <c r="BF77" s="5"/>
      <c r="BG77" s="5"/>
      <c r="BH77" s="5"/>
    </row>
    <row r="78">
      <c r="A78" s="71"/>
      <c r="B78" s="154" t="str">
        <f>IFERROR(__xludf.DUMMYFUNCTION("IFERROR(
  IF(C78="""","""",
    IF(OR(REGEXMATCH(D78,""(?i)-Flashing""), REGEXMATCH(D78,""(?i)-EavesGut""), REGEXMATCH(D78,""(?i)Valley"")),
        ""DR"" &amp;
        TEXT(
            ROUNDUP(
                MIN(
                    VALUE(MID(C78, FIND("&amp;"""("",C78)+1, FIND(""/"",C78)-FIND(""("",C78)-1)),
                    1200
                ) / 50, 0
            ) * 50, ""0""
        ) &amp;
        MID(C78, FIND(""/"",C78)+1, FIND("")"",C78)-FIND(""/"",C78)-1) &amp;
        TEXT(H78*100,""0"") &amp;
        I78,"&amp;"
    IF(AND(D78=""Roof Sheet"", REGEXMATCH(C78,""(?i)KS\d{4}[A-Z]{2}"")),
       REGEXEXTRACT(C78,""(?i)KS\d{4}[A-Z]{2}""),
    IF(AND(REGEXMATCH(D78,""(?i)-DP""), REGEXMATCH(C78,""(?i)Downpipe"")),
       ""dp"" &amp; REGEXEXTRACT(C78,""(\d+)"") &amp; ""mm"",
  "&amp;"  IF(AND(REGEXMATCH(D78,""(?i)Bracket""), REGEXMATCH(C78,""(?i)Bracket"")),
       ""Brkt"" &amp; REGEXEXTRACT(C78,""(\d+)"") &amp; ""mm"",
    IF(AND(REGEXMATCH(D78,""(?i)-OP""), REGEXMATCH(C78,""(?i)pops"")),
       ""op"" &amp; REGEXEXTRACT(C78,""(\d+)"") &amp; ""mm"""&amp;",
    IF(OR(D78=""R-FFTop"", D78=""R-FFBottom"", D78=""R-FFSide""),
        IF(REGEXMATCH(C78,""(?i)Profiled.*Top|Top.*Profiled""),""pfft"",
        IF(REGEXMATCH(C78,""(?i)Profiled.*Bottom|Bottom.*Profiled""),""pffb"",
        IF(REGEXMATCH(C78,""(?i)Squ"&amp;"are""),""sff"",""""))),
    IF(REGEXMATCH(D78,""(?i)-Rivets""),""Rvt"",
    IF(REGEXMATCH(D78,""(?i)Silicone""),""300ml"",
    IF(REGEXMATCH(D78,""(?i)R-Butyl""),""300ml"",
    IF(REGEXMATCH(D78,""(?i)Fix""),""GenFix"",
    IF(AND(REGEXMATCH(C78,""(?i)Tim"&amp;"ber""), REGEXMATCH(D78,""(?i)Timber"")),""tp"",
    IF(AND(REGEXMATCH(C78,""(?i)Vent G1275""), REGEXMATCH(D78,""(?i)Comb FIller"")),""CFV1275"",
    IF(REGEXMATCH(C78,""(?i)DPC""),""dpc"",
    IF(REGEXMATCH(C78,""(?i)Concealed Clips""),""ConClips"",
    I"&amp;"F(REGEXMATCH(D78,""(?i)-Takeoff ea""),""Takeoff ea"",
    IF(REGEXMATCH(D78,""(?i)-Takeoff LM""),""Takeoff LM"",
    IF(REGEXMATCH(D78,""(?i)-Takeoff m2""),""Takeoff m2"",
    IF(D78=""R-TU/TD"",""TU/TD"","""")))))))))))))))))
  )))"),"DR6003B55Mag")</f>
        <v>DR6003B55Mag</v>
      </c>
      <c r="C78" s="223" t="s">
        <v>109</v>
      </c>
      <c r="D78" s="124" t="s">
        <v>96</v>
      </c>
      <c r="E78" s="168">
        <f>VALUE(MID(C78, FIND("(", C78)+1, FIND("/", C78)-FIND("(", C78)-1)) / 1000</f>
        <v>0.57</v>
      </c>
      <c r="F78" s="218" t="str">
        <f>IFERROR(__xludf.DUMMYFUNCTION("IFERROR(REGEXEXTRACT(C78,""@\s*(\d+)\s*deg"")&amp;""°"","""")
"),"9°")</f>
        <v>9°</v>
      </c>
      <c r="G78" s="129"/>
      <c r="H78" s="128" t="str">
        <f>IFERROR(__xludf.DUMMYFUNCTION("IFERROR(REGEXEXTRACT(C78, ""(\d*\.\d+)mm""), """")"),"0.55")</f>
        <v>0.55</v>
      </c>
      <c r="I78" s="128" t="s">
        <v>97</v>
      </c>
      <c r="J78" s="126" t="s">
        <v>14</v>
      </c>
      <c r="K78" s="126" t="s">
        <v>55</v>
      </c>
      <c r="L78" s="224">
        <v>19.14</v>
      </c>
      <c r="M78" s="150">
        <f>L78</f>
        <v>19.14</v>
      </c>
      <c r="N78" s="215">
        <f>IFERROR(__xludf.DUMMYFUNCTION("""COMPUTED_VALUE"""),1.0124651257880029)</f>
        <v>1.012465126</v>
      </c>
      <c r="O78" s="134">
        <v>1.0</v>
      </c>
      <c r="P78" s="134">
        <v>1.0</v>
      </c>
      <c r="Q78" s="168">
        <f t="shared" ref="Q78:Q82" si="42">M78*N78*O78*P78</f>
        <v>19.37858251</v>
      </c>
      <c r="R78" s="136" t="s">
        <v>42</v>
      </c>
      <c r="S78" s="137">
        <f t="shared" ref="S78:S82" si="43">R78*Q78</f>
        <v>0</v>
      </c>
      <c r="T78" s="138"/>
      <c r="U78" s="136" t="s">
        <v>42</v>
      </c>
      <c r="V78" s="139"/>
      <c r="W78" s="140">
        <f t="shared" ref="W78:W82" si="44">U78*Q78</f>
        <v>0</v>
      </c>
      <c r="X78" s="111"/>
      <c r="Y78" s="5"/>
      <c r="Z78" s="5"/>
      <c r="AA78" s="5"/>
      <c r="AB78" s="180">
        <f t="shared" ref="AB78:AB82" si="45">W78+S78</f>
        <v>0</v>
      </c>
      <c r="AC78" s="33"/>
      <c r="AD78" s="65"/>
      <c r="AE78" s="66"/>
      <c r="AF78" s="144"/>
      <c r="AG78" s="68"/>
      <c r="AH78" s="69"/>
      <c r="AI78" s="39"/>
      <c r="AJ78" s="70"/>
      <c r="AK78" s="70"/>
      <c r="AL78" s="5"/>
      <c r="AM78" s="135">
        <v>19.14</v>
      </c>
      <c r="AN78" s="152" t="s">
        <v>46</v>
      </c>
      <c r="AO78" s="135">
        <v>0.0</v>
      </c>
      <c r="AP78" s="139"/>
      <c r="AQ78" s="5"/>
      <c r="AR78" s="5"/>
      <c r="AS78" s="5"/>
      <c r="AT78" s="5"/>
      <c r="AU78" s="5"/>
      <c r="AV78" s="5"/>
      <c r="AW78" s="5"/>
      <c r="AX78" s="5"/>
      <c r="AY78" s="5"/>
      <c r="AZ78" s="5"/>
      <c r="BA78" s="5"/>
      <c r="BB78" s="5"/>
      <c r="BC78" s="5"/>
      <c r="BD78" s="5"/>
      <c r="BE78" s="5"/>
      <c r="BF78" s="5"/>
      <c r="BG78" s="5"/>
      <c r="BH78" s="5"/>
    </row>
    <row r="79" ht="12.75" customHeight="1">
      <c r="A79" s="71"/>
      <c r="B79" s="154" t="str">
        <f>IFERROR(__xludf.DUMMYFUNCTION("IFERROR(
  IF(C79="""","""",
    IF(OR(REGEXMATCH(D79,""(?i)-Flashing""), REGEXMATCH(D79,""(?i)-EavesGut""), REGEXMATCH(D79,""(?i)Valley"")),
        ""DR"" &amp;
        TEXT(
            ROUNDUP(
                MIN(
                    VALUE(MID(C79, FIND("&amp;"""("",C79)+1, FIND(""/"",C79)-FIND(""("",C79)-1)),
                    1200
                ) / 50, 0
            ) * 50, ""0""
        ) &amp;
        MID(C79, FIND(""/"",C79)+1, FIND("")"",C79)-FIND(""/"",C79)-1) &amp;
        TEXT(H79*100,""0"") &amp;
        I79,"&amp;"
    IF(AND(D79=""Roof Sheet"", REGEXMATCH(C79,""(?i)KS\d{4}[A-Z]{2}"")),
       REGEXEXTRACT(C79,""(?i)KS\d{4}[A-Z]{2}""),
    IF(AND(REGEXMATCH(D79,""(?i)-DP""), REGEXMATCH(C79,""(?i)Downpipe"")),
       ""dp"" &amp; REGEXEXTRACT(C79,""(\d+)"") &amp; ""mm"",
  "&amp;"  IF(AND(REGEXMATCH(D79,""(?i)Bracket""), REGEXMATCH(C79,""(?i)Bracket"")),
       ""Brkt"" &amp; REGEXEXTRACT(C79,""(\d+)"") &amp; ""mm"",
    IF(AND(REGEXMATCH(D79,""(?i)-OP""), REGEXMATCH(C79,""(?i)pops"")),
       ""op"" &amp; REGEXEXTRACT(C79,""(\d+)"") &amp; ""mm"""&amp;",
    IF(OR(D79=""R-FFTop"", D79=""R-FFBottom"", D79=""R-FFSide""),
        IF(REGEXMATCH(C79,""(?i)Profiled.*Top|Top.*Profiled""),""pfft"",
        IF(REGEXMATCH(C79,""(?i)Profiled.*Bottom|Bottom.*Profiled""),""pffb"",
        IF(REGEXMATCH(C79,""(?i)Squ"&amp;"are""),""sff"",""""))),
    IF(REGEXMATCH(D79,""(?i)-Rivets""),""Rvt"",
    IF(REGEXMATCH(D79,""(?i)Silicone""),""300ml"",
    IF(REGEXMATCH(D79,""(?i)R-Butyl""),""300ml"",
    IF(REGEXMATCH(D79,""(?i)Fix""),""GenFix"",
    IF(AND(REGEXMATCH(C79,""(?i)Tim"&amp;"ber""), REGEXMATCH(D79,""(?i)Timber"")),""tp"",
    IF(AND(REGEXMATCH(C79,""(?i)Vent G1275""), REGEXMATCH(D79,""(?i)Comb FIller"")),""CFV1275"",
    IF(REGEXMATCH(C79,""(?i)DPC""),""dpc"",
    IF(REGEXMATCH(C79,""(?i)Concealed Clips""),""ConClips"",
    I"&amp;"F(REGEXMATCH(D79,""(?i)-Takeoff ea""),""Takeoff ea"",
    IF(REGEXMATCH(D79,""(?i)-Takeoff LM""),""Takeoff LM"",
    IF(REGEXMATCH(D79,""(?i)-Takeoff m2""),""Takeoff m2"",
    IF(D79=""R-TU/TD"",""TU/TD"","""")))))))))))))))))
  )))"),"300ml")</f>
        <v>300ml</v>
      </c>
      <c r="C79" s="225" t="s">
        <v>98</v>
      </c>
      <c r="D79" s="124" t="s">
        <v>99</v>
      </c>
      <c r="E79" s="168">
        <f t="shared" ref="E79:F79" si="41">E78</f>
        <v>0.57</v>
      </c>
      <c r="F79" s="168" t="str">
        <f t="shared" si="41"/>
        <v>9°</v>
      </c>
      <c r="G79" s="129"/>
      <c r="H79" s="127"/>
      <c r="I79" s="127"/>
      <c r="J79" s="126" t="s">
        <v>87</v>
      </c>
      <c r="K79" s="126" t="s">
        <v>52</v>
      </c>
      <c r="L79" s="168">
        <f>M78</f>
        <v>19.14</v>
      </c>
      <c r="M79" s="150">
        <f>(ROUNDDOWN((M78/5.7)+2,0)*E79)/8</f>
        <v>0.35625</v>
      </c>
      <c r="N79" s="215">
        <f>IFERROR(__xludf.DUMMYFUNCTION("""COMPUTED_VALUE"""),1.0124651257880029)</f>
        <v>1.012465126</v>
      </c>
      <c r="O79" s="134">
        <v>1.0</v>
      </c>
      <c r="P79" s="134">
        <v>1.0</v>
      </c>
      <c r="Q79" s="168">
        <f t="shared" si="42"/>
        <v>0.3606907011</v>
      </c>
      <c r="R79" s="136" t="s">
        <v>42</v>
      </c>
      <c r="S79" s="137">
        <f t="shared" si="43"/>
        <v>0</v>
      </c>
      <c r="T79" s="138"/>
      <c r="U79" s="136" t="s">
        <v>42</v>
      </c>
      <c r="V79" s="139"/>
      <c r="W79" s="140">
        <f t="shared" si="44"/>
        <v>0</v>
      </c>
      <c r="X79" s="2"/>
      <c r="Y79" s="5"/>
      <c r="Z79" s="5"/>
      <c r="AA79" s="5"/>
      <c r="AB79" s="180">
        <f t="shared" si="45"/>
        <v>0</v>
      </c>
      <c r="AC79" s="33"/>
      <c r="AD79" s="65"/>
      <c r="AE79" s="66"/>
      <c r="AF79" s="144"/>
      <c r="AG79" s="68"/>
      <c r="AH79" s="69"/>
      <c r="AI79" s="39"/>
      <c r="AJ79" s="70"/>
      <c r="AK79" s="70"/>
      <c r="AL79" s="5"/>
      <c r="AM79" s="135">
        <v>0.35624999999999996</v>
      </c>
      <c r="AN79" s="152" t="s">
        <v>46</v>
      </c>
      <c r="AO79" s="135">
        <v>0.0</v>
      </c>
      <c r="AP79" s="139"/>
      <c r="AQ79" s="5"/>
      <c r="AR79" s="5"/>
      <c r="AS79" s="5"/>
      <c r="AT79" s="5"/>
      <c r="AU79" s="5"/>
      <c r="AV79" s="5"/>
      <c r="AW79" s="5"/>
      <c r="AX79" s="5"/>
      <c r="AY79" s="5"/>
      <c r="AZ79" s="5"/>
      <c r="BA79" s="5"/>
      <c r="BB79" s="5"/>
      <c r="BC79" s="5"/>
      <c r="BD79" s="5"/>
      <c r="BE79" s="5"/>
      <c r="BF79" s="5"/>
      <c r="BG79" s="5"/>
      <c r="BH79" s="5"/>
    </row>
    <row r="80" ht="12.75" customHeight="1">
      <c r="A80" s="71"/>
      <c r="B80" s="154" t="str">
        <f>IFERROR(__xludf.DUMMYFUNCTION("IFERROR(
  IF(C80="""","""",
    IF(OR(REGEXMATCH(D80,""(?i)-Flashing""), REGEXMATCH(D80,""(?i)-EavesGut""), REGEXMATCH(D80,""(?i)Valley"")),
        ""DR"" &amp;
        TEXT(
            ROUNDUP(
                MIN(
                    VALUE(MID(C80, FIND("&amp;"""("",C80)+1, FIND(""/"",C80)-FIND(""("",C80)-1)),
                    1200
                ) / 50, 0
            ) * 50, ""0""
        ) &amp;
        MID(C80, FIND(""/"",C80)+1, FIND("")"",C80)-FIND(""/"",C80)-1) &amp;
        TEXT(H80*100,""0"") &amp;
        I80,"&amp;"
    IF(AND(D80=""Roof Sheet"", REGEXMATCH(C80,""(?i)KS\d{4}[A-Z]{2}"")),
       REGEXEXTRACT(C80,""(?i)KS\d{4}[A-Z]{2}""),
    IF(AND(REGEXMATCH(D80,""(?i)-DP""), REGEXMATCH(C80,""(?i)Downpipe"")),
       ""dp"" &amp; REGEXEXTRACT(C80,""(\d+)"") &amp; ""mm"",
  "&amp;"  IF(AND(REGEXMATCH(D80,""(?i)Bracket""), REGEXMATCH(C80,""(?i)Bracket"")),
       ""Brkt"" &amp; REGEXEXTRACT(C80,""(\d+)"") &amp; ""mm"",
    IF(AND(REGEXMATCH(D80,""(?i)-OP""), REGEXMATCH(C80,""(?i)pops"")),
       ""op"" &amp; REGEXEXTRACT(C80,""(\d+)"") &amp; ""mm"""&amp;",
    IF(OR(D80=""R-FFTop"", D80=""R-FFBottom"", D80=""R-FFSide""),
        IF(REGEXMATCH(C80,""(?i)Profiled.*Top|Top.*Profiled""),""pfft"",
        IF(REGEXMATCH(C80,""(?i)Profiled.*Bottom|Bottom.*Profiled""),""pffb"",
        IF(REGEXMATCH(C80,""(?i)Squ"&amp;"are""),""sff"",""""))),
    IF(REGEXMATCH(D80,""(?i)-Rivets""),""Rvt"",
    IF(REGEXMATCH(D80,""(?i)Silicone""),""300ml"",
    IF(REGEXMATCH(D80,""(?i)R-Butyl""),""300ml"",
    IF(REGEXMATCH(D80,""(?i)Fix""),""GenFix"",
    IF(AND(REGEXMATCH(C80,""(?i)Tim"&amp;"ber""), REGEXMATCH(D80,""(?i)Timber"")),""tp"",
    IF(AND(REGEXMATCH(C80,""(?i)Vent G1275""), REGEXMATCH(D80,""(?i)Comb FIller"")),""CFV1275"",
    IF(REGEXMATCH(C80,""(?i)DPC""),""dpc"",
    IF(REGEXMATCH(C80,""(?i)Concealed Clips""),""ConClips"",
    I"&amp;"F(REGEXMATCH(D80,""(?i)-Takeoff ea""),""Takeoff ea"",
    IF(REGEXMATCH(D80,""(?i)-Takeoff LM""),""Takeoff LM"",
    IF(REGEXMATCH(D80,""(?i)-Takeoff m2""),""Takeoff m2"",
    IF(D80=""R-TU/TD"",""TU/TD"","""")))))))))))))))))
  )))"),"Rvt")</f>
        <v>Rvt</v>
      </c>
      <c r="C80" s="225" t="s">
        <v>100</v>
      </c>
      <c r="D80" s="124" t="s">
        <v>101</v>
      </c>
      <c r="E80" s="168">
        <f>E78</f>
        <v>0.57</v>
      </c>
      <c r="F80" s="168" t="str">
        <f t="shared" ref="F80:F82" si="46">F79</f>
        <v>9°</v>
      </c>
      <c r="G80" s="129"/>
      <c r="H80" s="127"/>
      <c r="I80" s="127"/>
      <c r="J80" s="126" t="s">
        <v>87</v>
      </c>
      <c r="K80" s="126" t="s">
        <v>52</v>
      </c>
      <c r="L80" s="168">
        <f>M78</f>
        <v>19.14</v>
      </c>
      <c r="M80" s="150">
        <f>ROUNDUP(((M78/5.7)+1)*(E80/0.05),0)</f>
        <v>50</v>
      </c>
      <c r="N80" s="215">
        <f>IFERROR(__xludf.DUMMYFUNCTION("""COMPUTED_VALUE"""),1.0124651257880029)</f>
        <v>1.012465126</v>
      </c>
      <c r="O80" s="134">
        <v>1.0</v>
      </c>
      <c r="P80" s="134">
        <v>1.0</v>
      </c>
      <c r="Q80" s="168">
        <f t="shared" si="42"/>
        <v>50.62325629</v>
      </c>
      <c r="R80" s="136" t="s">
        <v>42</v>
      </c>
      <c r="S80" s="137">
        <f t="shared" si="43"/>
        <v>0</v>
      </c>
      <c r="T80" s="138"/>
      <c r="U80" s="136" t="s">
        <v>42</v>
      </c>
      <c r="V80" s="139"/>
      <c r="W80" s="140">
        <f t="shared" si="44"/>
        <v>0</v>
      </c>
      <c r="X80" s="2"/>
      <c r="Y80" s="5"/>
      <c r="Z80" s="5"/>
      <c r="AA80" s="5"/>
      <c r="AB80" s="180">
        <f t="shared" si="45"/>
        <v>0</v>
      </c>
      <c r="AC80" s="33"/>
      <c r="AD80" s="65"/>
      <c r="AE80" s="66"/>
      <c r="AF80" s="144"/>
      <c r="AG80" s="68"/>
      <c r="AH80" s="69"/>
      <c r="AI80" s="39"/>
      <c r="AJ80" s="70"/>
      <c r="AK80" s="70"/>
      <c r="AL80" s="5"/>
      <c r="AM80" s="135">
        <v>50.0</v>
      </c>
      <c r="AN80" s="152" t="s">
        <v>46</v>
      </c>
      <c r="AO80" s="135">
        <v>0.0</v>
      </c>
      <c r="AP80" s="139"/>
      <c r="AQ80" s="5"/>
      <c r="AR80" s="5"/>
      <c r="AS80" s="5"/>
      <c r="AT80" s="5"/>
      <c r="AU80" s="5"/>
      <c r="AV80" s="5"/>
      <c r="AW80" s="5"/>
      <c r="AX80" s="5"/>
      <c r="AY80" s="5"/>
      <c r="AZ80" s="5"/>
      <c r="BA80" s="5"/>
      <c r="BB80" s="5"/>
      <c r="BC80" s="5"/>
      <c r="BD80" s="5"/>
      <c r="BE80" s="5"/>
      <c r="BF80" s="5"/>
      <c r="BG80" s="5"/>
      <c r="BH80" s="5"/>
    </row>
    <row r="81" ht="12.75" customHeight="1">
      <c r="A81" s="71"/>
      <c r="B81" s="154" t="str">
        <f>IFERROR(__xludf.DUMMYFUNCTION("IFERROR(
  IF(C81="""","""",
    IF(OR(REGEXMATCH(D81,""(?i)-Flashing""), REGEXMATCH(D81,""(?i)-EavesGut""), REGEXMATCH(D81,""(?i)Valley"")),
        ""DR"" &amp;
        TEXT(
            ROUNDUP(
                MIN(
                    VALUE(MID(C81, FIND("&amp;"""("",C81)+1, FIND(""/"",C81)-FIND(""("",C81)-1)),
                    1200
                ) / 50, 0
            ) * 50, ""0""
        ) &amp;
        MID(C81, FIND(""/"",C81)+1, FIND("")"",C81)-FIND(""/"",C81)-1) &amp;
        TEXT(H81*100,""0"") &amp;
        I81,"&amp;"
    IF(AND(D81=""Roof Sheet"", REGEXMATCH(C81,""(?i)KS\d{4}[A-Z]{2}"")),
       REGEXEXTRACT(C81,""(?i)KS\d{4}[A-Z]{2}""),
    IF(AND(REGEXMATCH(D81,""(?i)-DP""), REGEXMATCH(C81,""(?i)Downpipe"")),
       ""dp"" &amp; REGEXEXTRACT(C81,""(\d+)"") &amp; ""mm"",
  "&amp;"  IF(AND(REGEXMATCH(D81,""(?i)Bracket""), REGEXMATCH(C81,""(?i)Bracket"")),
       ""Brkt"" &amp; REGEXEXTRACT(C81,""(\d+)"") &amp; ""mm"",
    IF(AND(REGEXMATCH(D81,""(?i)-OP""), REGEXMATCH(C81,""(?i)pops"")),
       ""op"" &amp; REGEXEXTRACT(C81,""(\d+)"") &amp; ""mm"""&amp;",
    IF(OR(D81=""R-FFTop"", D81=""R-FFBottom"", D81=""R-FFSide""),
        IF(REGEXMATCH(C81,""(?i)Profiled.*Top|Top.*Profiled""),""pfft"",
        IF(REGEXMATCH(C81,""(?i)Profiled.*Bottom|Bottom.*Profiled""),""pffb"",
        IF(REGEXMATCH(C81,""(?i)Squ"&amp;"are""),""sff"",""""))),
    IF(REGEXMATCH(D81,""(?i)-Rivets""),""Rvt"",
    IF(REGEXMATCH(D81,""(?i)Silicone""),""300ml"",
    IF(REGEXMATCH(D81,""(?i)R-Butyl""),""300ml"",
    IF(REGEXMATCH(D81,""(?i)Fix""),""GenFix"",
    IF(AND(REGEXMATCH(C81,""(?i)Tim"&amp;"ber""), REGEXMATCH(D81,""(?i)Timber"")),""tp"",
    IF(AND(REGEXMATCH(C81,""(?i)Vent G1275""), REGEXMATCH(D81,""(?i)Comb FIller"")),""CFV1275"",
    IF(REGEXMATCH(C81,""(?i)DPC""),""dpc"",
    IF(REGEXMATCH(C81,""(?i)Concealed Clips""),""ConClips"",
    I"&amp;"F(REGEXMATCH(D81,""(?i)-Takeoff ea""),""Takeoff ea"",
    IF(REGEXMATCH(D81,""(?i)-Takeoff LM""),""Takeoff LM"",
    IF(REGEXMATCH(D81,""(?i)-Takeoff m2""),""Takeoff m2"",
    IF(D81=""R-TU/TD"",""TU/TD"","""")))))))))))))))))
  )))"),"GenFix")</f>
        <v>GenFix</v>
      </c>
      <c r="C81" s="158" t="s">
        <v>102</v>
      </c>
      <c r="D81" s="124" t="s">
        <v>103</v>
      </c>
      <c r="E81" s="161"/>
      <c r="F81" s="168" t="str">
        <f t="shared" si="46"/>
        <v>9°</v>
      </c>
      <c r="G81" s="129"/>
      <c r="H81" s="127"/>
      <c r="I81" s="127"/>
      <c r="J81" s="126" t="s">
        <v>87</v>
      </c>
      <c r="K81" s="126" t="s">
        <v>52</v>
      </c>
      <c r="L81" s="168">
        <f>M78</f>
        <v>19.14</v>
      </c>
      <c r="M81" s="150">
        <f>ROUNDUP(M78/0.6,0)+1</f>
        <v>33</v>
      </c>
      <c r="N81" s="215">
        <f>IFERROR(__xludf.DUMMYFUNCTION("""COMPUTED_VALUE"""),1.0124651257880029)</f>
        <v>1.012465126</v>
      </c>
      <c r="O81" s="134">
        <v>1.0</v>
      </c>
      <c r="P81" s="134">
        <v>1.0</v>
      </c>
      <c r="Q81" s="168">
        <f t="shared" si="42"/>
        <v>33.41134915</v>
      </c>
      <c r="R81" s="136" t="s">
        <v>42</v>
      </c>
      <c r="S81" s="137">
        <f t="shared" si="43"/>
        <v>0</v>
      </c>
      <c r="T81" s="138"/>
      <c r="U81" s="136" t="s">
        <v>42</v>
      </c>
      <c r="V81" s="139"/>
      <c r="W81" s="140">
        <f t="shared" si="44"/>
        <v>0</v>
      </c>
      <c r="X81" s="2"/>
      <c r="Y81" s="5"/>
      <c r="Z81" s="5"/>
      <c r="AA81" s="5"/>
      <c r="AB81" s="180">
        <f t="shared" si="45"/>
        <v>0</v>
      </c>
      <c r="AC81" s="33"/>
      <c r="AD81" s="65"/>
      <c r="AE81" s="66"/>
      <c r="AF81" s="144"/>
      <c r="AG81" s="68"/>
      <c r="AH81" s="69"/>
      <c r="AI81" s="39"/>
      <c r="AJ81" s="70"/>
      <c r="AK81" s="70"/>
      <c r="AL81" s="5"/>
      <c r="AM81" s="135">
        <v>33.0</v>
      </c>
      <c r="AN81" s="152" t="s">
        <v>46</v>
      </c>
      <c r="AO81" s="135">
        <v>0.0</v>
      </c>
      <c r="AP81" s="139"/>
      <c r="AQ81" s="5"/>
      <c r="AR81" s="5"/>
      <c r="AS81" s="5"/>
      <c r="AT81" s="5"/>
      <c r="AU81" s="5"/>
      <c r="AV81" s="5"/>
      <c r="AW81" s="5"/>
      <c r="AX81" s="5"/>
      <c r="AY81" s="5"/>
      <c r="AZ81" s="5"/>
      <c r="BA81" s="5"/>
      <c r="BB81" s="5"/>
      <c r="BC81" s="5"/>
      <c r="BD81" s="5"/>
      <c r="BE81" s="5"/>
      <c r="BF81" s="5"/>
      <c r="BG81" s="5"/>
      <c r="BH81" s="5"/>
    </row>
    <row r="82" ht="12.75" customHeight="1">
      <c r="A82" s="71"/>
      <c r="B82" s="154" t="str">
        <f>IFERROR(__xludf.DUMMYFUNCTION("IFERROR(
  IF(C82="""","""",
    IF(OR(REGEXMATCH(D82,""(?i)-Flashing""), REGEXMATCH(D82,""(?i)-EavesGut""), REGEXMATCH(D82,""(?i)Valley"")),
        ""DR"" &amp;
        TEXT(
            ROUNDUP(
                MIN(
                    VALUE(MID(C82, FIND("&amp;"""("",C82)+1, FIND(""/"",C82)-FIND(""("",C82)-1)),
                    1200
                ) / 50, 0
            ) * 50, ""0""
        ) &amp;
        MID(C82, FIND(""/"",C82)+1, FIND("")"",C82)-FIND(""/"",C82)-1) &amp;
        TEXT(H82*100,""0"") &amp;
        I82,"&amp;"
    IF(AND(D82=""Roof Sheet"", REGEXMATCH(C82,""(?i)KS\d{4}[A-Z]{2}"")),
       REGEXEXTRACT(C82,""(?i)KS\d{4}[A-Z]{2}""),
    IF(AND(REGEXMATCH(D82,""(?i)-DP""), REGEXMATCH(C82,""(?i)Downpipe"")),
       ""dp"" &amp; REGEXEXTRACT(C82,""(\d+)"") &amp; ""mm"",
  "&amp;"  IF(AND(REGEXMATCH(D82,""(?i)Bracket""), REGEXMATCH(C82,""(?i)Bracket"")),
       ""Brkt"" &amp; REGEXEXTRACT(C82,""(\d+)"") &amp; ""mm"",
    IF(AND(REGEXMATCH(D82,""(?i)-OP""), REGEXMATCH(C82,""(?i)pops"")),
       ""op"" &amp; REGEXEXTRACT(C82,""(\d+)"") &amp; ""mm"""&amp;",
    IF(OR(D82=""R-FFTop"", D82=""R-FFBottom"", D82=""R-FFSide""),
        IF(REGEXMATCH(C82,""(?i)Profiled.*Top|Top.*Profiled""),""pfft"",
        IF(REGEXMATCH(C82,""(?i)Profiled.*Bottom|Bottom.*Profiled""),""pffb"",
        IF(REGEXMATCH(C82,""(?i)Squ"&amp;"are""),""sff"",""""))),
    IF(REGEXMATCH(D82,""(?i)-Rivets""),""Rvt"",
    IF(REGEXMATCH(D82,""(?i)Silicone""),""300ml"",
    IF(REGEXMATCH(D82,""(?i)R-Butyl""),""300ml"",
    IF(REGEXMATCH(D82,""(?i)Fix""),""GenFix"",
    IF(AND(REGEXMATCH(C82,""(?i)Tim"&amp;"ber""), REGEXMATCH(D82,""(?i)Timber"")),""tp"",
    IF(AND(REGEXMATCH(C82,""(?i)Vent G1275""), REGEXMATCH(D82,""(?i)Comb FIller"")),""CFV1275"",
    IF(REGEXMATCH(C82,""(?i)DPC""),""dpc"",
    IF(REGEXMATCH(C82,""(?i)Concealed Clips""),""ConClips"",
    I"&amp;"F(REGEXMATCH(D82,""(?i)-Takeoff ea""),""Takeoff ea"",
    IF(REGEXMATCH(D82,""(?i)-Takeoff LM""),""Takeoff LM"",
    IF(REGEXMATCH(D82,""(?i)-Takeoff m2""),""Takeoff m2"",
    IF(D82=""R-TU/TD"",""TU/TD"","""")))))))))))))))))
  )))"),"sff")</f>
        <v>sff</v>
      </c>
      <c r="C82" s="158" t="s">
        <v>110</v>
      </c>
      <c r="D82" s="124" t="s">
        <v>111</v>
      </c>
      <c r="E82" s="161"/>
      <c r="F82" s="168" t="str">
        <f t="shared" si="46"/>
        <v>9°</v>
      </c>
      <c r="G82" s="129"/>
      <c r="H82" s="127"/>
      <c r="I82" s="127"/>
      <c r="J82" s="126" t="s">
        <v>87</v>
      </c>
      <c r="K82" s="126" t="s">
        <v>55</v>
      </c>
      <c r="L82" s="168">
        <f>M78</f>
        <v>19.14</v>
      </c>
      <c r="M82" s="150">
        <f>M78</f>
        <v>19.14</v>
      </c>
      <c r="N82" s="215">
        <f>IFERROR(__xludf.DUMMYFUNCTION("""COMPUTED_VALUE"""),1.0124651257880029)</f>
        <v>1.012465126</v>
      </c>
      <c r="O82" s="134">
        <v>1.0</v>
      </c>
      <c r="P82" s="134">
        <v>1.0</v>
      </c>
      <c r="Q82" s="168">
        <f t="shared" si="42"/>
        <v>19.37858251</v>
      </c>
      <c r="R82" s="136" t="s">
        <v>42</v>
      </c>
      <c r="S82" s="137">
        <f t="shared" si="43"/>
        <v>0</v>
      </c>
      <c r="T82" s="138"/>
      <c r="U82" s="136" t="s">
        <v>42</v>
      </c>
      <c r="V82" s="139"/>
      <c r="W82" s="140">
        <f t="shared" si="44"/>
        <v>0</v>
      </c>
      <c r="X82" s="2"/>
      <c r="Y82" s="5"/>
      <c r="Z82" s="5"/>
      <c r="AA82" s="5"/>
      <c r="AB82" s="180">
        <f t="shared" si="45"/>
        <v>0</v>
      </c>
      <c r="AC82" s="33"/>
      <c r="AD82" s="65"/>
      <c r="AE82" s="66"/>
      <c r="AF82" s="144"/>
      <c r="AG82" s="68"/>
      <c r="AH82" s="69"/>
      <c r="AI82" s="39"/>
      <c r="AJ82" s="70"/>
      <c r="AK82" s="70"/>
      <c r="AL82" s="5"/>
      <c r="AM82" s="135">
        <v>19.14</v>
      </c>
      <c r="AN82" s="152" t="s">
        <v>46</v>
      </c>
      <c r="AO82" s="135">
        <v>0.0</v>
      </c>
      <c r="AP82" s="139"/>
      <c r="AQ82" s="5"/>
      <c r="AR82" s="5"/>
      <c r="AS82" s="5"/>
      <c r="AT82" s="5"/>
      <c r="AU82" s="5"/>
      <c r="AV82" s="5"/>
      <c r="AW82" s="5"/>
      <c r="AX82" s="5"/>
      <c r="AY82" s="5"/>
      <c r="AZ82" s="5"/>
      <c r="BA82" s="5"/>
      <c r="BB82" s="5"/>
      <c r="BC82" s="5"/>
      <c r="BD82" s="5"/>
      <c r="BE82" s="5"/>
      <c r="BF82" s="5"/>
      <c r="BG82" s="5"/>
      <c r="BH82" s="5"/>
    </row>
    <row r="83" ht="12.75" customHeight="1">
      <c r="A83" s="71"/>
      <c r="B83" s="160"/>
      <c r="C83" s="127"/>
      <c r="D83" s="129"/>
      <c r="E83" s="161"/>
      <c r="F83" s="127"/>
      <c r="G83" s="127"/>
      <c r="H83" s="127"/>
      <c r="I83" s="127"/>
      <c r="J83" s="129"/>
      <c r="K83" s="127" t="s">
        <v>42</v>
      </c>
      <c r="L83" s="163"/>
      <c r="M83" s="163" t="s">
        <v>42</v>
      </c>
      <c r="N83" s="162" t="str">
        <f>IFERROR(__xludf.DUMMYFUNCTION("""COMPUTED_VALUE"""),"")</f>
        <v/>
      </c>
      <c r="O83" s="127"/>
      <c r="P83" s="127"/>
      <c r="Q83" s="161"/>
      <c r="R83" s="136"/>
      <c r="S83" s="139"/>
      <c r="T83" s="138"/>
      <c r="U83" s="136"/>
      <c r="V83" s="139"/>
      <c r="W83" s="164"/>
      <c r="X83" s="2"/>
      <c r="Y83" s="5"/>
      <c r="Z83" s="5"/>
      <c r="AA83" s="5"/>
      <c r="AB83" s="5"/>
      <c r="AC83" s="33"/>
      <c r="AD83" s="226"/>
      <c r="AE83" s="227"/>
      <c r="AF83" s="228"/>
      <c r="AG83" s="229"/>
      <c r="AH83" s="230"/>
      <c r="AI83" s="39"/>
      <c r="AJ83" s="231"/>
      <c r="AK83" s="231"/>
      <c r="AL83" s="5"/>
      <c r="AM83" s="135" t="s">
        <v>42</v>
      </c>
      <c r="AN83" s="152"/>
      <c r="AO83" s="135" t="s">
        <v>42</v>
      </c>
      <c r="AP83" s="139"/>
      <c r="AQ83" s="5"/>
      <c r="AR83" s="5"/>
      <c r="AS83" s="5"/>
      <c r="AT83" s="5"/>
      <c r="AU83" s="5"/>
      <c r="AV83" s="5"/>
      <c r="AW83" s="5"/>
      <c r="AX83" s="5"/>
      <c r="AY83" s="5"/>
      <c r="AZ83" s="5"/>
      <c r="BA83" s="5"/>
      <c r="BB83" s="5"/>
      <c r="BC83" s="5"/>
      <c r="BD83" s="5"/>
      <c r="BE83" s="5"/>
      <c r="BF83" s="5"/>
      <c r="BG83" s="5"/>
      <c r="BH83" s="5"/>
    </row>
    <row r="84">
      <c r="A84" s="71">
        <v>1.0</v>
      </c>
      <c r="B84" s="102"/>
      <c r="C84" s="157" t="s">
        <v>108</v>
      </c>
      <c r="D84" s="104"/>
      <c r="E84" s="105"/>
      <c r="F84" s="104"/>
      <c r="G84" s="104"/>
      <c r="H84" s="104"/>
      <c r="I84" s="104"/>
      <c r="J84" s="104"/>
      <c r="K84" s="104" t="s">
        <v>42</v>
      </c>
      <c r="L84" s="106">
        <f>Q84</f>
        <v>32.80483229</v>
      </c>
      <c r="M84" s="105" t="s">
        <v>42</v>
      </c>
      <c r="N84" s="107" t="str">
        <f>IFERROR(__xludf.DUMMYFUNCTION("""COMPUTED_VALUE"""),"")</f>
        <v/>
      </c>
      <c r="O84" s="104"/>
      <c r="P84" s="104"/>
      <c r="Q84" s="106">
        <f>Q85</f>
        <v>32.80483229</v>
      </c>
      <c r="R84" s="108"/>
      <c r="S84" s="109">
        <f>T84/Q84</f>
        <v>0</v>
      </c>
      <c r="T84" s="109">
        <f>SUM(S85:S89)</f>
        <v>0</v>
      </c>
      <c r="U84" s="108"/>
      <c r="V84" s="109">
        <f>W84/Q84</f>
        <v>0</v>
      </c>
      <c r="W84" s="110">
        <f>SUM(W85:W89)</f>
        <v>0</v>
      </c>
      <c r="X84" s="111" t="str">
        <f>W84/$AC$176/$W$183/$X$173</f>
        <v>#REF!</v>
      </c>
      <c r="Y84" s="112" t="b">
        <f>(T84+W84)=(SUM(AB85:AB89))</f>
        <v>1</v>
      </c>
      <c r="Z84" s="222">
        <f>(T84+W84)-(SUM(AB85:AB89))</f>
        <v>0</v>
      </c>
      <c r="AA84" s="5"/>
      <c r="AB84" s="5"/>
      <c r="AC84" s="33"/>
      <c r="AD84" s="114">
        <f>W84+T84</f>
        <v>0</v>
      </c>
      <c r="AE84" s="115">
        <f>AD84</f>
        <v>0</v>
      </c>
      <c r="AF84" s="116" t="str">
        <f>AE84/$AE$151</f>
        <v>#REF!</v>
      </c>
      <c r="AG84" s="117" t="str">
        <f>AF84*$AG$158</f>
        <v>#REF!</v>
      </c>
      <c r="AH84" s="118" t="str">
        <f>AF84*$AG$161</f>
        <v>#REF!</v>
      </c>
      <c r="AI84" s="39"/>
      <c r="AJ84" s="119" t="str">
        <f>ROUND(AK84/L84,2)</f>
        <v>#REF!</v>
      </c>
      <c r="AK84" s="119" t="str">
        <f>ROUND(AH84+AG84+AD84,2)</f>
        <v>#REF!</v>
      </c>
      <c r="AL84" s="5"/>
      <c r="AM84" s="135" t="s">
        <v>42</v>
      </c>
      <c r="AN84" s="152"/>
      <c r="AO84" s="135" t="s">
        <v>42</v>
      </c>
      <c r="AP84" s="139"/>
      <c r="AQ84" s="5"/>
      <c r="AR84" s="5"/>
      <c r="AS84" s="5"/>
      <c r="AT84" s="5"/>
      <c r="AU84" s="5"/>
      <c r="AV84" s="5"/>
      <c r="AW84" s="5"/>
      <c r="AX84" s="5"/>
      <c r="AY84" s="5"/>
      <c r="AZ84" s="5"/>
      <c r="BA84" s="5"/>
      <c r="BB84" s="5"/>
      <c r="BC84" s="5"/>
      <c r="BD84" s="5"/>
      <c r="BE84" s="5"/>
      <c r="BF84" s="5"/>
      <c r="BG84" s="5"/>
      <c r="BH84" s="5"/>
    </row>
    <row r="85">
      <c r="A85" s="232"/>
      <c r="B85" s="154" t="str">
        <f>IFERROR(__xludf.DUMMYFUNCTION("IFERROR(
  IF(C85="""","""",
    IF(OR(REGEXMATCH(D85,""(?i)-Flashing""), REGEXMATCH(D85,""(?i)-EavesGut""), REGEXMATCH(D85,""(?i)Valley"")),
        ""DR"" &amp;
        TEXT(
            ROUNDUP(
                MIN(
                    VALUE(MID(C85, FIND("&amp;"""("",C85)+1, FIND(""/"",C85)-FIND(""("",C85)-1)),
                    1200
                ) / 50, 0
            ) * 50, ""0""
        ) &amp;
        MID(C85, FIND(""/"",C85)+1, FIND("")"",C85)-FIND(""/"",C85)-1) &amp;
        TEXT(H85*100,""0"") &amp;
        I85,"&amp;"
    IF(AND(D85=""Roof Sheet"", REGEXMATCH(C85,""(?i)KS\d{4}[A-Z]{2}"")),
       REGEXEXTRACT(C85,""(?i)KS\d{4}[A-Z]{2}""),
    IF(AND(REGEXMATCH(D85,""(?i)-DP""), REGEXMATCH(C85,""(?i)Downpipe"")),
       ""dp"" &amp; REGEXEXTRACT(C85,""(\d+)"") &amp; ""mm"",
  "&amp;"  IF(AND(REGEXMATCH(D85,""(?i)Bracket""), REGEXMATCH(C85,""(?i)Bracket"")),
       ""Brkt"" &amp; REGEXEXTRACT(C85,""(\d+)"") &amp; ""mm"",
    IF(AND(REGEXMATCH(D85,""(?i)-OP""), REGEXMATCH(C85,""(?i)pops"")),
       ""op"" &amp; REGEXEXTRACT(C85,""(\d+)"") &amp; ""mm"""&amp;",
    IF(OR(D85=""R-FFTop"", D85=""R-FFBottom"", D85=""R-FFSide""),
        IF(REGEXMATCH(C85,""(?i)Profiled.*Top|Top.*Profiled""),""pfft"",
        IF(REGEXMATCH(C85,""(?i)Profiled.*Bottom|Bottom.*Profiled""),""pffb"",
        IF(REGEXMATCH(C85,""(?i)Squ"&amp;"are""),""sff"",""""))),
    IF(REGEXMATCH(D85,""(?i)-Rivets""),""Rvt"",
    IF(REGEXMATCH(D85,""(?i)Silicone""),""300ml"",
    IF(REGEXMATCH(D85,""(?i)R-Butyl""),""300ml"",
    IF(REGEXMATCH(D85,""(?i)Fix""),""GenFix"",
    IF(AND(REGEXMATCH(C85,""(?i)Tim"&amp;"ber""), REGEXMATCH(D85,""(?i)Timber"")),""tp"",
    IF(AND(REGEXMATCH(C85,""(?i)Vent G1275""), REGEXMATCH(D85,""(?i)Comb FIller"")),""CFV1275"",
    IF(REGEXMATCH(C85,""(?i)DPC""),""dpc"",
    IF(REGEXMATCH(C85,""(?i)Concealed Clips""),""ConClips"",
    I"&amp;"F(REGEXMATCH(D85,""(?i)-Takeoff ea""),""Takeoff ea"",
    IF(REGEXMATCH(D85,""(?i)-Takeoff LM""),""Takeoff LM"",
    IF(REGEXMATCH(D85,""(?i)-Takeoff m2""),""Takeoff m2"",
    IF(D85=""R-TU/TD"",""TU/TD"","""")))))))))))))))))
  )))"),"DR6003B55Mag")</f>
        <v>DR6003B55Mag</v>
      </c>
      <c r="C85" s="223" t="s">
        <v>112</v>
      </c>
      <c r="D85" s="124" t="s">
        <v>96</v>
      </c>
      <c r="E85" s="168">
        <f>VALUE(MID(C85, FIND("(", C85)+1, FIND("/", C85)-FIND("(", C85)-1)) / 1000</f>
        <v>0.57</v>
      </c>
      <c r="F85" s="126" t="str">
        <f>IFERROR(__xludf.DUMMYFUNCTION("IFERROR(REGEXEXTRACT(C85,""@\s*(\d+)\s*deg"")&amp;""°"","""")
"),"5°")</f>
        <v>5°</v>
      </c>
      <c r="G85" s="129"/>
      <c r="H85" s="128" t="str">
        <f>IFERROR(__xludf.DUMMYFUNCTION("IFERROR(REGEXEXTRACT(C85, ""(\d*\.\d+)mm""), """")"),"0.55")</f>
        <v>0.55</v>
      </c>
      <c r="I85" s="128" t="s">
        <v>97</v>
      </c>
      <c r="J85" s="126" t="s">
        <v>14</v>
      </c>
      <c r="K85" s="126" t="s">
        <v>55</v>
      </c>
      <c r="L85" s="168">
        <v>32.68</v>
      </c>
      <c r="M85" s="150">
        <f>L85</f>
        <v>32.68</v>
      </c>
      <c r="N85" s="215">
        <f>IFERROR(__xludf.DUMMYFUNCTION("""COMPUTED_VALUE"""),1.0038198375433474)</f>
        <v>1.003819838</v>
      </c>
      <c r="O85" s="134">
        <v>1.0</v>
      </c>
      <c r="P85" s="134">
        <v>1.0</v>
      </c>
      <c r="Q85" s="168">
        <f t="shared" ref="Q85:Q89" si="48">M85*N85*O85*P85</f>
        <v>32.80483229</v>
      </c>
      <c r="R85" s="136" t="s">
        <v>42</v>
      </c>
      <c r="S85" s="137">
        <f t="shared" ref="S85:S89" si="49">R85*Q85</f>
        <v>0</v>
      </c>
      <c r="T85" s="138"/>
      <c r="U85" s="136" t="s">
        <v>42</v>
      </c>
      <c r="V85" s="139"/>
      <c r="W85" s="140">
        <f t="shared" ref="W85:W89" si="50">U85*Q85</f>
        <v>0</v>
      </c>
      <c r="X85" s="2"/>
      <c r="Y85" s="5"/>
      <c r="Z85" s="5"/>
      <c r="AA85" s="5"/>
      <c r="AB85" s="180">
        <f t="shared" ref="AB85:AB89" si="51">W85+S85</f>
        <v>0</v>
      </c>
      <c r="AC85" s="33"/>
      <c r="AD85" s="65"/>
      <c r="AE85" s="66"/>
      <c r="AF85" s="144"/>
      <c r="AG85" s="68"/>
      <c r="AH85" s="69"/>
      <c r="AI85" s="39"/>
      <c r="AJ85" s="70"/>
      <c r="AK85" s="70"/>
      <c r="AL85" s="5"/>
      <c r="AM85" s="135">
        <v>32.68</v>
      </c>
      <c r="AN85" s="152" t="s">
        <v>46</v>
      </c>
      <c r="AO85" s="135">
        <v>0.0</v>
      </c>
      <c r="AP85" s="139"/>
      <c r="AQ85" s="5"/>
      <c r="AR85" s="5"/>
      <c r="AS85" s="5"/>
      <c r="AT85" s="5"/>
      <c r="AU85" s="5"/>
      <c r="AV85" s="5"/>
      <c r="AW85" s="5"/>
      <c r="AX85" s="5"/>
      <c r="AY85" s="5"/>
      <c r="AZ85" s="5"/>
      <c r="BA85" s="5"/>
      <c r="BB85" s="5"/>
      <c r="BC85" s="5"/>
      <c r="BD85" s="5"/>
      <c r="BE85" s="5"/>
      <c r="BF85" s="5"/>
      <c r="BG85" s="5"/>
      <c r="BH85" s="5"/>
    </row>
    <row r="86" ht="12.75" customHeight="1">
      <c r="A86" s="232"/>
      <c r="B86" s="154" t="str">
        <f>IFERROR(__xludf.DUMMYFUNCTION("IFERROR(
  IF(C86="""","""",
    IF(OR(REGEXMATCH(D86,""(?i)-Flashing""), REGEXMATCH(D86,""(?i)-EavesGut""), REGEXMATCH(D86,""(?i)Valley"")),
        ""DR"" &amp;
        TEXT(
            ROUNDUP(
                MIN(
                    VALUE(MID(C86, FIND("&amp;"""("",C86)+1, FIND(""/"",C86)-FIND(""("",C86)-1)),
                    1200
                ) / 50, 0
            ) * 50, ""0""
        ) &amp;
        MID(C86, FIND(""/"",C86)+1, FIND("")"",C86)-FIND(""/"",C86)-1) &amp;
        TEXT(H86*100,""0"") &amp;
        I86,"&amp;"
    IF(AND(D86=""Roof Sheet"", REGEXMATCH(C86,""(?i)KS\d{4}[A-Z]{2}"")),
       REGEXEXTRACT(C86,""(?i)KS\d{4}[A-Z]{2}""),
    IF(AND(REGEXMATCH(D86,""(?i)-DP""), REGEXMATCH(C86,""(?i)Downpipe"")),
       ""dp"" &amp; REGEXEXTRACT(C86,""(\d+)"") &amp; ""mm"",
  "&amp;"  IF(AND(REGEXMATCH(D86,""(?i)Bracket""), REGEXMATCH(C86,""(?i)Bracket"")),
       ""Brkt"" &amp; REGEXEXTRACT(C86,""(\d+)"") &amp; ""mm"",
    IF(AND(REGEXMATCH(D86,""(?i)-OP""), REGEXMATCH(C86,""(?i)pops"")),
       ""op"" &amp; REGEXEXTRACT(C86,""(\d+)"") &amp; ""mm"""&amp;",
    IF(OR(D86=""R-FFTop"", D86=""R-FFBottom"", D86=""R-FFSide""),
        IF(REGEXMATCH(C86,""(?i)Profiled.*Top|Top.*Profiled""),""pfft"",
        IF(REGEXMATCH(C86,""(?i)Profiled.*Bottom|Bottom.*Profiled""),""pffb"",
        IF(REGEXMATCH(C86,""(?i)Squ"&amp;"are""),""sff"",""""))),
    IF(REGEXMATCH(D86,""(?i)-Rivets""),""Rvt"",
    IF(REGEXMATCH(D86,""(?i)Silicone""),""300ml"",
    IF(REGEXMATCH(D86,""(?i)R-Butyl""),""300ml"",
    IF(REGEXMATCH(D86,""(?i)Fix""),""GenFix"",
    IF(AND(REGEXMATCH(C86,""(?i)Tim"&amp;"ber""), REGEXMATCH(D86,""(?i)Timber"")),""tp"",
    IF(AND(REGEXMATCH(C86,""(?i)Vent G1275""), REGEXMATCH(D86,""(?i)Comb FIller"")),""CFV1275"",
    IF(REGEXMATCH(C86,""(?i)DPC""),""dpc"",
    IF(REGEXMATCH(C86,""(?i)Concealed Clips""),""ConClips"",
    I"&amp;"F(REGEXMATCH(D86,""(?i)-Takeoff ea""),""Takeoff ea"",
    IF(REGEXMATCH(D86,""(?i)-Takeoff LM""),""Takeoff LM"",
    IF(REGEXMATCH(D86,""(?i)-Takeoff m2""),""Takeoff m2"",
    IF(D86=""R-TU/TD"",""TU/TD"","""")))))))))))))))))
  )))"),"300ml")</f>
        <v>300ml</v>
      </c>
      <c r="C86" s="225" t="s">
        <v>98</v>
      </c>
      <c r="D86" s="124" t="s">
        <v>99</v>
      </c>
      <c r="E86" s="168">
        <f t="shared" ref="E86:F86" si="47">E85</f>
        <v>0.57</v>
      </c>
      <c r="F86" s="168" t="str">
        <f t="shared" si="47"/>
        <v>5°</v>
      </c>
      <c r="G86" s="129"/>
      <c r="H86" s="127"/>
      <c r="I86" s="127"/>
      <c r="J86" s="126" t="s">
        <v>87</v>
      </c>
      <c r="K86" s="126" t="s">
        <v>52</v>
      </c>
      <c r="L86" s="168">
        <f>M85</f>
        <v>32.68</v>
      </c>
      <c r="M86" s="150">
        <f>(ROUNDDOWN((M85/5.7)+2,0)*E86)/8</f>
        <v>0.49875</v>
      </c>
      <c r="N86" s="215">
        <f>IFERROR(__xludf.DUMMYFUNCTION("""COMPUTED_VALUE"""),1.0038198375433474)</f>
        <v>1.003819838</v>
      </c>
      <c r="O86" s="134">
        <v>1.0</v>
      </c>
      <c r="P86" s="134">
        <v>1.0</v>
      </c>
      <c r="Q86" s="168">
        <f t="shared" si="48"/>
        <v>0.500655144</v>
      </c>
      <c r="R86" s="136" t="s">
        <v>42</v>
      </c>
      <c r="S86" s="137">
        <f t="shared" si="49"/>
        <v>0</v>
      </c>
      <c r="T86" s="138"/>
      <c r="U86" s="108" t="s">
        <v>42</v>
      </c>
      <c r="V86" s="139"/>
      <c r="W86" s="140">
        <f t="shared" si="50"/>
        <v>0</v>
      </c>
      <c r="X86" s="2"/>
      <c r="Y86" s="5"/>
      <c r="Z86" s="5"/>
      <c r="AA86" s="5"/>
      <c r="AB86" s="180">
        <f t="shared" si="51"/>
        <v>0</v>
      </c>
      <c r="AC86" s="33"/>
      <c r="AD86" s="65"/>
      <c r="AE86" s="66"/>
      <c r="AF86" s="144"/>
      <c r="AG86" s="68"/>
      <c r="AH86" s="69"/>
      <c r="AI86" s="39"/>
      <c r="AJ86" s="70"/>
      <c r="AK86" s="70"/>
      <c r="AL86" s="5"/>
      <c r="AM86" s="135">
        <v>0.49874999999999997</v>
      </c>
      <c r="AN86" s="152" t="s">
        <v>46</v>
      </c>
      <c r="AO86" s="135">
        <v>0.0</v>
      </c>
      <c r="AP86" s="139"/>
      <c r="AQ86" s="5"/>
      <c r="AR86" s="5"/>
      <c r="AS86" s="5"/>
      <c r="AT86" s="5"/>
      <c r="AU86" s="5"/>
      <c r="AV86" s="5"/>
      <c r="AW86" s="5"/>
      <c r="AX86" s="5"/>
      <c r="AY86" s="5"/>
      <c r="AZ86" s="5"/>
      <c r="BA86" s="5"/>
      <c r="BB86" s="5"/>
      <c r="BC86" s="5"/>
      <c r="BD86" s="5"/>
      <c r="BE86" s="5"/>
      <c r="BF86" s="5"/>
      <c r="BG86" s="5"/>
      <c r="BH86" s="5"/>
    </row>
    <row r="87" ht="12.75" customHeight="1">
      <c r="A87" s="232"/>
      <c r="B87" s="154" t="str">
        <f>IFERROR(__xludf.DUMMYFUNCTION("IFERROR(
  IF(C87="""","""",
    IF(OR(REGEXMATCH(D87,""(?i)-Flashing""), REGEXMATCH(D87,""(?i)-EavesGut""), REGEXMATCH(D87,""(?i)Valley"")),
        ""DR"" &amp;
        TEXT(
            ROUNDUP(
                MIN(
                    VALUE(MID(C87, FIND("&amp;"""("",C87)+1, FIND(""/"",C87)-FIND(""("",C87)-1)),
                    1200
                ) / 50, 0
            ) * 50, ""0""
        ) &amp;
        MID(C87, FIND(""/"",C87)+1, FIND("")"",C87)-FIND(""/"",C87)-1) &amp;
        TEXT(H87*100,""0"") &amp;
        I87,"&amp;"
    IF(AND(D87=""Roof Sheet"", REGEXMATCH(C87,""(?i)KS\d{4}[A-Z]{2}"")),
       REGEXEXTRACT(C87,""(?i)KS\d{4}[A-Z]{2}""),
    IF(AND(REGEXMATCH(D87,""(?i)-DP""), REGEXMATCH(C87,""(?i)Downpipe"")),
       ""dp"" &amp; REGEXEXTRACT(C87,""(\d+)"") &amp; ""mm"",
  "&amp;"  IF(AND(REGEXMATCH(D87,""(?i)Bracket""), REGEXMATCH(C87,""(?i)Bracket"")),
       ""Brkt"" &amp; REGEXEXTRACT(C87,""(\d+)"") &amp; ""mm"",
    IF(AND(REGEXMATCH(D87,""(?i)-OP""), REGEXMATCH(C87,""(?i)pops"")),
       ""op"" &amp; REGEXEXTRACT(C87,""(\d+)"") &amp; ""mm"""&amp;",
    IF(OR(D87=""R-FFTop"", D87=""R-FFBottom"", D87=""R-FFSide""),
        IF(REGEXMATCH(C87,""(?i)Profiled.*Top|Top.*Profiled""),""pfft"",
        IF(REGEXMATCH(C87,""(?i)Profiled.*Bottom|Bottom.*Profiled""),""pffb"",
        IF(REGEXMATCH(C87,""(?i)Squ"&amp;"are""),""sff"",""""))),
    IF(REGEXMATCH(D87,""(?i)-Rivets""),""Rvt"",
    IF(REGEXMATCH(D87,""(?i)Silicone""),""300ml"",
    IF(REGEXMATCH(D87,""(?i)R-Butyl""),""300ml"",
    IF(REGEXMATCH(D87,""(?i)Fix""),""GenFix"",
    IF(AND(REGEXMATCH(C87,""(?i)Tim"&amp;"ber""), REGEXMATCH(D87,""(?i)Timber"")),""tp"",
    IF(AND(REGEXMATCH(C87,""(?i)Vent G1275""), REGEXMATCH(D87,""(?i)Comb FIller"")),""CFV1275"",
    IF(REGEXMATCH(C87,""(?i)DPC""),""dpc"",
    IF(REGEXMATCH(C87,""(?i)Concealed Clips""),""ConClips"",
    I"&amp;"F(REGEXMATCH(D87,""(?i)-Takeoff ea""),""Takeoff ea"",
    IF(REGEXMATCH(D87,""(?i)-Takeoff LM""),""Takeoff LM"",
    IF(REGEXMATCH(D87,""(?i)-Takeoff m2""),""Takeoff m2"",
    IF(D87=""R-TU/TD"",""TU/TD"","""")))))))))))))))))
  )))"),"Rvt")</f>
        <v>Rvt</v>
      </c>
      <c r="C87" s="225" t="s">
        <v>100</v>
      </c>
      <c r="D87" s="124" t="s">
        <v>101</v>
      </c>
      <c r="E87" s="168">
        <f>E85</f>
        <v>0.57</v>
      </c>
      <c r="F87" s="168" t="str">
        <f t="shared" ref="F87:F89" si="52">F86</f>
        <v>5°</v>
      </c>
      <c r="G87" s="129"/>
      <c r="H87" s="127"/>
      <c r="I87" s="127"/>
      <c r="J87" s="126" t="s">
        <v>87</v>
      </c>
      <c r="K87" s="126" t="s">
        <v>52</v>
      </c>
      <c r="L87" s="168">
        <f>M85</f>
        <v>32.68</v>
      </c>
      <c r="M87" s="150">
        <f>ROUNDUP(((M85/5.7)+1)*(E87/0.05),0)</f>
        <v>77</v>
      </c>
      <c r="N87" s="215">
        <f>IFERROR(__xludf.DUMMYFUNCTION("""COMPUTED_VALUE"""),1.0038198375433474)</f>
        <v>1.003819838</v>
      </c>
      <c r="O87" s="134">
        <v>1.0</v>
      </c>
      <c r="P87" s="134">
        <v>1.0</v>
      </c>
      <c r="Q87" s="168">
        <f t="shared" si="48"/>
        <v>77.29412749</v>
      </c>
      <c r="R87" s="136" t="s">
        <v>42</v>
      </c>
      <c r="S87" s="137">
        <f t="shared" si="49"/>
        <v>0</v>
      </c>
      <c r="T87" s="138"/>
      <c r="U87" s="108" t="s">
        <v>42</v>
      </c>
      <c r="V87" s="139"/>
      <c r="W87" s="140">
        <f t="shared" si="50"/>
        <v>0</v>
      </c>
      <c r="X87" s="2"/>
      <c r="Y87" s="5"/>
      <c r="Z87" s="5"/>
      <c r="AA87" s="5"/>
      <c r="AB87" s="180">
        <f t="shared" si="51"/>
        <v>0</v>
      </c>
      <c r="AC87" s="33"/>
      <c r="AD87" s="65"/>
      <c r="AE87" s="66"/>
      <c r="AF87" s="144"/>
      <c r="AG87" s="68"/>
      <c r="AH87" s="69"/>
      <c r="AI87" s="39"/>
      <c r="AJ87" s="70"/>
      <c r="AK87" s="70"/>
      <c r="AL87" s="5"/>
      <c r="AM87" s="135">
        <v>77.0</v>
      </c>
      <c r="AN87" s="152" t="s">
        <v>46</v>
      </c>
      <c r="AO87" s="135">
        <v>0.0</v>
      </c>
      <c r="AP87" s="139"/>
      <c r="AQ87" s="5"/>
      <c r="AR87" s="5"/>
      <c r="AS87" s="5"/>
      <c r="AT87" s="5"/>
      <c r="AU87" s="5"/>
      <c r="AV87" s="5"/>
      <c r="AW87" s="5"/>
      <c r="AX87" s="5"/>
      <c r="AY87" s="5"/>
      <c r="AZ87" s="5"/>
      <c r="BA87" s="5"/>
      <c r="BB87" s="5"/>
      <c r="BC87" s="5"/>
      <c r="BD87" s="5"/>
      <c r="BE87" s="5"/>
      <c r="BF87" s="5"/>
      <c r="BG87" s="5"/>
      <c r="BH87" s="5"/>
    </row>
    <row r="88" ht="12.75" customHeight="1">
      <c r="A88" s="232"/>
      <c r="B88" s="154" t="str">
        <f>IFERROR(__xludf.DUMMYFUNCTION("IFERROR(
  IF(C88="""","""",
    IF(OR(REGEXMATCH(D88,""(?i)-Flashing""), REGEXMATCH(D88,""(?i)-EavesGut""), REGEXMATCH(D88,""(?i)Valley"")),
        ""DR"" &amp;
        TEXT(
            ROUNDUP(
                MIN(
                    VALUE(MID(C88, FIND("&amp;"""("",C88)+1, FIND(""/"",C88)-FIND(""("",C88)-1)),
                    1200
                ) / 50, 0
            ) * 50, ""0""
        ) &amp;
        MID(C88, FIND(""/"",C88)+1, FIND("")"",C88)-FIND(""/"",C88)-1) &amp;
        TEXT(H88*100,""0"") &amp;
        I88,"&amp;"
    IF(AND(D88=""Roof Sheet"", REGEXMATCH(C88,""(?i)KS\d{4}[A-Z]{2}"")),
       REGEXEXTRACT(C88,""(?i)KS\d{4}[A-Z]{2}""),
    IF(AND(REGEXMATCH(D88,""(?i)-DP""), REGEXMATCH(C88,""(?i)Downpipe"")),
       ""dp"" &amp; REGEXEXTRACT(C88,""(\d+)"") &amp; ""mm"",
  "&amp;"  IF(AND(REGEXMATCH(D88,""(?i)Bracket""), REGEXMATCH(C88,""(?i)Bracket"")),
       ""Brkt"" &amp; REGEXEXTRACT(C88,""(\d+)"") &amp; ""mm"",
    IF(AND(REGEXMATCH(D88,""(?i)-OP""), REGEXMATCH(C88,""(?i)pops"")),
       ""op"" &amp; REGEXEXTRACT(C88,""(\d+)"") &amp; ""mm"""&amp;",
    IF(OR(D88=""R-FFTop"", D88=""R-FFBottom"", D88=""R-FFSide""),
        IF(REGEXMATCH(C88,""(?i)Profiled.*Top|Top.*Profiled""),""pfft"",
        IF(REGEXMATCH(C88,""(?i)Profiled.*Bottom|Bottom.*Profiled""),""pffb"",
        IF(REGEXMATCH(C88,""(?i)Squ"&amp;"are""),""sff"",""""))),
    IF(REGEXMATCH(D88,""(?i)-Rivets""),""Rvt"",
    IF(REGEXMATCH(D88,""(?i)Silicone""),""300ml"",
    IF(REGEXMATCH(D88,""(?i)R-Butyl""),""300ml"",
    IF(REGEXMATCH(D88,""(?i)Fix""),""GenFix"",
    IF(AND(REGEXMATCH(C88,""(?i)Tim"&amp;"ber""), REGEXMATCH(D88,""(?i)Timber"")),""tp"",
    IF(AND(REGEXMATCH(C88,""(?i)Vent G1275""), REGEXMATCH(D88,""(?i)Comb FIller"")),""CFV1275"",
    IF(REGEXMATCH(C88,""(?i)DPC""),""dpc"",
    IF(REGEXMATCH(C88,""(?i)Concealed Clips""),""ConClips"",
    I"&amp;"F(REGEXMATCH(D88,""(?i)-Takeoff ea""),""Takeoff ea"",
    IF(REGEXMATCH(D88,""(?i)-Takeoff LM""),""Takeoff LM"",
    IF(REGEXMATCH(D88,""(?i)-Takeoff m2""),""Takeoff m2"",
    IF(D88=""R-TU/TD"",""TU/TD"","""")))))))))))))))))
  )))"),"GenFix")</f>
        <v>GenFix</v>
      </c>
      <c r="C88" s="158" t="s">
        <v>102</v>
      </c>
      <c r="D88" s="124" t="s">
        <v>103</v>
      </c>
      <c r="E88" s="161"/>
      <c r="F88" s="168" t="str">
        <f t="shared" si="52"/>
        <v>5°</v>
      </c>
      <c r="G88" s="129"/>
      <c r="H88" s="127"/>
      <c r="I88" s="127"/>
      <c r="J88" s="126" t="s">
        <v>87</v>
      </c>
      <c r="K88" s="126" t="s">
        <v>52</v>
      </c>
      <c r="L88" s="168">
        <f>M85</f>
        <v>32.68</v>
      </c>
      <c r="M88" s="150">
        <f>ROUNDUP(M85/0.6,0)+1</f>
        <v>56</v>
      </c>
      <c r="N88" s="215">
        <f>IFERROR(__xludf.DUMMYFUNCTION("""COMPUTED_VALUE"""),1.0038198375433474)</f>
        <v>1.003819838</v>
      </c>
      <c r="O88" s="134">
        <v>1.0</v>
      </c>
      <c r="P88" s="134">
        <v>1.0</v>
      </c>
      <c r="Q88" s="168">
        <f t="shared" si="48"/>
        <v>56.2139109</v>
      </c>
      <c r="R88" s="136" t="s">
        <v>42</v>
      </c>
      <c r="S88" s="137">
        <f t="shared" si="49"/>
        <v>0</v>
      </c>
      <c r="T88" s="138"/>
      <c r="U88" s="108" t="s">
        <v>42</v>
      </c>
      <c r="V88" s="139"/>
      <c r="W88" s="140">
        <f t="shared" si="50"/>
        <v>0</v>
      </c>
      <c r="X88" s="2"/>
      <c r="Y88" s="5"/>
      <c r="Z88" s="5"/>
      <c r="AA88" s="5"/>
      <c r="AB88" s="180">
        <f t="shared" si="51"/>
        <v>0</v>
      </c>
      <c r="AC88" s="33"/>
      <c r="AD88" s="65"/>
      <c r="AE88" s="66"/>
      <c r="AF88" s="144"/>
      <c r="AG88" s="68"/>
      <c r="AH88" s="69"/>
      <c r="AI88" s="39"/>
      <c r="AJ88" s="70"/>
      <c r="AK88" s="70"/>
      <c r="AL88" s="5"/>
      <c r="AM88" s="135">
        <v>56.0</v>
      </c>
      <c r="AN88" s="152" t="s">
        <v>46</v>
      </c>
      <c r="AO88" s="135">
        <v>0.0</v>
      </c>
      <c r="AP88" s="139"/>
      <c r="AQ88" s="5"/>
      <c r="AR88" s="5"/>
      <c r="AS88" s="5"/>
      <c r="AT88" s="5"/>
      <c r="AU88" s="5"/>
      <c r="AV88" s="5"/>
      <c r="AW88" s="5"/>
      <c r="AX88" s="5"/>
      <c r="AY88" s="5"/>
      <c r="AZ88" s="5"/>
      <c r="BA88" s="5"/>
      <c r="BB88" s="5"/>
      <c r="BC88" s="5"/>
      <c r="BD88" s="5"/>
      <c r="BE88" s="5"/>
      <c r="BF88" s="5"/>
      <c r="BG88" s="5"/>
      <c r="BH88" s="5"/>
    </row>
    <row r="89" ht="12.75" customHeight="1">
      <c r="A89" s="232"/>
      <c r="B89" s="154" t="str">
        <f>IFERROR(__xludf.DUMMYFUNCTION("IFERROR(
  IF(C89="""","""",
    IF(OR(REGEXMATCH(D89,""(?i)-Flashing""), REGEXMATCH(D89,""(?i)-EavesGut""), REGEXMATCH(D89,""(?i)Valley"")),
        ""DR"" &amp;
        TEXT(
            ROUNDUP(
                MIN(
                    VALUE(MID(C89, FIND("&amp;"""("",C89)+1, FIND(""/"",C89)-FIND(""("",C89)-1)),
                    1200
                ) / 50, 0
            ) * 50, ""0""
        ) &amp;
        MID(C89, FIND(""/"",C89)+1, FIND("")"",C89)-FIND(""/"",C89)-1) &amp;
        TEXT(H89*100,""0"") &amp;
        I89,"&amp;"
    IF(AND(D89=""Roof Sheet"", REGEXMATCH(C89,""(?i)KS\d{4}[A-Z]{2}"")),
       REGEXEXTRACT(C89,""(?i)KS\d{4}[A-Z]{2}""),
    IF(AND(REGEXMATCH(D89,""(?i)-DP""), REGEXMATCH(C89,""(?i)Downpipe"")),
       ""dp"" &amp; REGEXEXTRACT(C89,""(\d+)"") &amp; ""mm"",
  "&amp;"  IF(AND(REGEXMATCH(D89,""(?i)Bracket""), REGEXMATCH(C89,""(?i)Bracket"")),
       ""Brkt"" &amp; REGEXEXTRACT(C89,""(\d+)"") &amp; ""mm"",
    IF(AND(REGEXMATCH(D89,""(?i)-OP""), REGEXMATCH(C89,""(?i)pops"")),
       ""op"" &amp; REGEXEXTRACT(C89,""(\d+)"") &amp; ""mm"""&amp;",
    IF(OR(D89=""R-FFTop"", D89=""R-FFBottom"", D89=""R-FFSide""),
        IF(REGEXMATCH(C89,""(?i)Profiled.*Top|Top.*Profiled""),""pfft"",
        IF(REGEXMATCH(C89,""(?i)Profiled.*Bottom|Bottom.*Profiled""),""pffb"",
        IF(REGEXMATCH(C89,""(?i)Squ"&amp;"are""),""sff"",""""))),
    IF(REGEXMATCH(D89,""(?i)-Rivets""),""Rvt"",
    IF(REGEXMATCH(D89,""(?i)Silicone""),""300ml"",
    IF(REGEXMATCH(D89,""(?i)R-Butyl""),""300ml"",
    IF(REGEXMATCH(D89,""(?i)Fix""),""GenFix"",
    IF(AND(REGEXMATCH(C89,""(?i)Tim"&amp;"ber""), REGEXMATCH(D89,""(?i)Timber"")),""tp"",
    IF(AND(REGEXMATCH(C89,""(?i)Vent G1275""), REGEXMATCH(D89,""(?i)Comb FIller"")),""CFV1275"",
    IF(REGEXMATCH(C89,""(?i)DPC""),""dpc"",
    IF(REGEXMATCH(C89,""(?i)Concealed Clips""),""ConClips"",
    I"&amp;"F(REGEXMATCH(D89,""(?i)-Takeoff ea""),""Takeoff ea"",
    IF(REGEXMATCH(D89,""(?i)-Takeoff LM""),""Takeoff LM"",
    IF(REGEXMATCH(D89,""(?i)-Takeoff m2""),""Takeoff m2"",
    IF(D89=""R-TU/TD"",""TU/TD"","""")))))))))))))))))
  )))"),"sff")</f>
        <v>sff</v>
      </c>
      <c r="C89" s="158" t="s">
        <v>110</v>
      </c>
      <c r="D89" s="124" t="s">
        <v>111</v>
      </c>
      <c r="E89" s="161"/>
      <c r="F89" s="168" t="str">
        <f t="shared" si="52"/>
        <v>5°</v>
      </c>
      <c r="G89" s="129"/>
      <c r="H89" s="127"/>
      <c r="I89" s="127"/>
      <c r="J89" s="126" t="s">
        <v>87</v>
      </c>
      <c r="K89" s="126" t="s">
        <v>55</v>
      </c>
      <c r="L89" s="168">
        <f>M85</f>
        <v>32.68</v>
      </c>
      <c r="M89" s="150">
        <f>M85</f>
        <v>32.68</v>
      </c>
      <c r="N89" s="215">
        <f>IFERROR(__xludf.DUMMYFUNCTION("""COMPUTED_VALUE"""),1.0038198375433474)</f>
        <v>1.003819838</v>
      </c>
      <c r="O89" s="134">
        <v>1.0</v>
      </c>
      <c r="P89" s="134">
        <v>1.0</v>
      </c>
      <c r="Q89" s="168">
        <f t="shared" si="48"/>
        <v>32.80483229</v>
      </c>
      <c r="R89" s="136" t="s">
        <v>42</v>
      </c>
      <c r="S89" s="137">
        <f t="shared" si="49"/>
        <v>0</v>
      </c>
      <c r="T89" s="138"/>
      <c r="U89" s="136" t="s">
        <v>42</v>
      </c>
      <c r="V89" s="139"/>
      <c r="W89" s="140">
        <f t="shared" si="50"/>
        <v>0</v>
      </c>
      <c r="X89" s="2"/>
      <c r="Y89" s="5"/>
      <c r="Z89" s="5"/>
      <c r="AA89" s="5"/>
      <c r="AB89" s="180">
        <f t="shared" si="51"/>
        <v>0</v>
      </c>
      <c r="AC89" s="33"/>
      <c r="AD89" s="65"/>
      <c r="AE89" s="66"/>
      <c r="AF89" s="144"/>
      <c r="AG89" s="68"/>
      <c r="AH89" s="69"/>
      <c r="AI89" s="39"/>
      <c r="AJ89" s="70"/>
      <c r="AK89" s="70"/>
      <c r="AL89" s="5"/>
      <c r="AM89" s="135">
        <v>32.68</v>
      </c>
      <c r="AN89" s="152" t="s">
        <v>46</v>
      </c>
      <c r="AO89" s="135">
        <v>0.0</v>
      </c>
      <c r="AP89" s="139"/>
      <c r="AQ89" s="5"/>
      <c r="AR89" s="5"/>
      <c r="AS89" s="5"/>
      <c r="AT89" s="5"/>
      <c r="AU89" s="5"/>
      <c r="AV89" s="5"/>
      <c r="AW89" s="5"/>
      <c r="AX89" s="5"/>
      <c r="AY89" s="5"/>
      <c r="AZ89" s="5"/>
      <c r="BA89" s="5"/>
      <c r="BB89" s="5"/>
      <c r="BC89" s="5"/>
      <c r="BD89" s="5"/>
      <c r="BE89" s="5"/>
      <c r="BF89" s="5"/>
      <c r="BG89" s="5"/>
      <c r="BH89" s="5"/>
    </row>
    <row r="90" ht="12.75" customHeight="1">
      <c r="A90" s="232"/>
      <c r="B90" s="160"/>
      <c r="C90" s="127"/>
      <c r="D90" s="129"/>
      <c r="E90" s="161"/>
      <c r="F90" s="127"/>
      <c r="G90" s="127"/>
      <c r="H90" s="127"/>
      <c r="I90" s="127"/>
      <c r="J90" s="129"/>
      <c r="K90" s="127" t="s">
        <v>42</v>
      </c>
      <c r="L90" s="168"/>
      <c r="M90" s="150" t="s">
        <v>42</v>
      </c>
      <c r="N90" s="162" t="str">
        <f>IFERROR(__xludf.DUMMYFUNCTION("""COMPUTED_VALUE"""),"")</f>
        <v/>
      </c>
      <c r="O90" s="127"/>
      <c r="P90" s="127"/>
      <c r="Q90" s="161"/>
      <c r="R90" s="108"/>
      <c r="S90" s="139"/>
      <c r="T90" s="138"/>
      <c r="U90" s="108"/>
      <c r="V90" s="139"/>
      <c r="W90" s="164"/>
      <c r="X90" s="2"/>
      <c r="Y90" s="5"/>
      <c r="Z90" s="5"/>
      <c r="AA90" s="5"/>
      <c r="AB90" s="5"/>
      <c r="AC90" s="33"/>
      <c r="AD90" s="226"/>
      <c r="AE90" s="227"/>
      <c r="AF90" s="228"/>
      <c r="AG90" s="229"/>
      <c r="AH90" s="230"/>
      <c r="AI90" s="39"/>
      <c r="AJ90" s="231"/>
      <c r="AK90" s="231"/>
      <c r="AL90" s="5"/>
      <c r="AM90" s="135" t="s">
        <v>42</v>
      </c>
      <c r="AN90" s="152"/>
      <c r="AO90" s="135" t="s">
        <v>42</v>
      </c>
      <c r="AP90" s="139"/>
      <c r="AQ90" s="5"/>
      <c r="AR90" s="5"/>
      <c r="AS90" s="5"/>
      <c r="AT90" s="5"/>
      <c r="AU90" s="5"/>
      <c r="AV90" s="5"/>
      <c r="AW90" s="5"/>
      <c r="AX90" s="5"/>
      <c r="AY90" s="5"/>
      <c r="AZ90" s="5"/>
      <c r="BA90" s="5"/>
      <c r="BB90" s="5"/>
      <c r="BC90" s="5"/>
      <c r="BD90" s="5"/>
      <c r="BE90" s="5"/>
      <c r="BF90" s="5"/>
      <c r="BG90" s="5"/>
      <c r="BH90" s="5"/>
    </row>
    <row r="91">
      <c r="A91" s="71">
        <v>1.0</v>
      </c>
      <c r="B91" s="190"/>
      <c r="C91" s="191" t="s">
        <v>113</v>
      </c>
      <c r="D91" s="192"/>
      <c r="E91" s="193"/>
      <c r="F91" s="192"/>
      <c r="G91" s="192"/>
      <c r="H91" s="194"/>
      <c r="I91" s="194"/>
      <c r="J91" s="194"/>
      <c r="K91" s="194" t="s">
        <v>42</v>
      </c>
      <c r="L91" s="195">
        <f>Q91</f>
        <v>112.78</v>
      </c>
      <c r="M91" s="196" t="s">
        <v>42</v>
      </c>
      <c r="N91" s="197" t="str">
        <f>IFERROR(__xludf.DUMMYFUNCTION("""COMPUTED_VALUE"""),"")</f>
        <v/>
      </c>
      <c r="O91" s="194"/>
      <c r="P91" s="194"/>
      <c r="Q91" s="195">
        <f>Q92</f>
        <v>112.78</v>
      </c>
      <c r="R91" s="136"/>
      <c r="S91" s="198">
        <f>T91/Q91</f>
        <v>0</v>
      </c>
      <c r="T91" s="198">
        <f>SUM(S92:S95)</f>
        <v>0</v>
      </c>
      <c r="U91" s="136"/>
      <c r="V91" s="198">
        <f>W91/Q91</f>
        <v>0</v>
      </c>
      <c r="W91" s="199">
        <f>SUM(W92:W95)</f>
        <v>0</v>
      </c>
      <c r="X91" s="111" t="str">
        <f>W91/$AC$176/$W$183/$X$173</f>
        <v>#REF!</v>
      </c>
      <c r="Y91" s="200" t="b">
        <f>(T91+W91)=(SUM(AB92:AB95))</f>
        <v>1</v>
      </c>
      <c r="Z91" s="180">
        <f>(T91+W91)-(SUM(AB92:AB95))</f>
        <v>0</v>
      </c>
      <c r="AA91" s="180"/>
      <c r="AB91" s="180"/>
      <c r="AC91" s="181"/>
      <c r="AD91" s="114">
        <f>W91+T91</f>
        <v>0</v>
      </c>
      <c r="AE91" s="115">
        <f>AD91</f>
        <v>0</v>
      </c>
      <c r="AF91" s="116" t="str">
        <f>AE91/$AE$151</f>
        <v>#REF!</v>
      </c>
      <c r="AG91" s="117" t="str">
        <f>AF91*$AG$158</f>
        <v>#REF!</v>
      </c>
      <c r="AH91" s="118" t="str">
        <f>AF91*$AG$161</f>
        <v>#REF!</v>
      </c>
      <c r="AI91" s="39"/>
      <c r="AJ91" s="119" t="str">
        <f>ROUND(AK91/L91,2)</f>
        <v>#REF!</v>
      </c>
      <c r="AK91" s="119" t="str">
        <f>ROUND(AH91+AG91+AD91,2)</f>
        <v>#REF!</v>
      </c>
      <c r="AL91" s="180"/>
      <c r="AM91" s="135" t="s">
        <v>42</v>
      </c>
      <c r="AN91" s="152"/>
      <c r="AO91" s="135" t="s">
        <v>42</v>
      </c>
      <c r="AP91" s="139"/>
      <c r="AQ91" s="189"/>
      <c r="AR91" s="189"/>
      <c r="AS91" s="180"/>
      <c r="AT91" s="180"/>
      <c r="AU91" s="180"/>
      <c r="AV91" s="180"/>
      <c r="AW91" s="180"/>
      <c r="AX91" s="180"/>
      <c r="AY91" s="180"/>
      <c r="AZ91" s="180"/>
      <c r="BA91" s="180"/>
      <c r="BB91" s="180"/>
      <c r="BC91" s="180"/>
      <c r="BD91" s="180"/>
      <c r="BE91" s="180"/>
      <c r="BF91" s="180"/>
      <c r="BG91" s="180"/>
      <c r="BH91" s="180"/>
    </row>
    <row r="92" ht="12.75" customHeight="1">
      <c r="A92" s="71"/>
      <c r="B92" s="154" t="str">
        <f>IFERROR(__xludf.DUMMYFUNCTION("IFERROR(
  IF(C92="""","""",
    IF(OR(REGEXMATCH(D92,""(?i)-Flashing""), REGEXMATCH(D92,""(?i)-EavesGut""), REGEXMATCH(D92,""(?i)Valley"")),
        ""DR"" &amp;
        TEXT(
            ROUNDUP(
                MIN(
                    VALUE(MID(C92, FIND("&amp;"""("",C92)+1, FIND(""/"",C92)-FIND(""("",C92)-1)),
                    1200
                ) / 50, 0
            ) * 50, ""0""
        ) &amp;
        MID(C92, FIND(""/"",C92)+1, FIND("")"",C92)-FIND(""/"",C92)-1) &amp;
        TEXT(H92*100,""0"") &amp;
        I92,"&amp;"
    IF(AND(D92=""Roof Sheet"", REGEXMATCH(C92,""(?i)KS\d{4}[A-Z]{2}"")),
       REGEXEXTRACT(C92,""(?i)KS\d{4}[A-Z]{2}""),
    IF(AND(REGEXMATCH(D92,""(?i)-DP""), REGEXMATCH(C92,""(?i)Downpipe"")),
       ""dp"" &amp; REGEXEXTRACT(C92,""(\d+)"") &amp; ""mm"",
  "&amp;"  IF(AND(REGEXMATCH(D92,""(?i)Bracket""), REGEXMATCH(C92,""(?i)Bracket"")),
       ""Brkt"" &amp; REGEXEXTRACT(C92,""(\d+)"") &amp; ""mm"",
    IF(AND(REGEXMATCH(D92,""(?i)-OP""), REGEXMATCH(C92,""(?i)pops"")),
       ""op"" &amp; REGEXEXTRACT(C92,""(\d+)"") &amp; ""mm"""&amp;",
    IF(OR(D92=""R-FFTop"", D92=""R-FFBottom"", D92=""R-FFSide""),
        IF(REGEXMATCH(C92,""(?i)Profiled.*Top|Top.*Profiled""),""pfft"",
        IF(REGEXMATCH(C92,""(?i)Profiled.*Bottom|Bottom.*Profiled""),""pffb"",
        IF(REGEXMATCH(C92,""(?i)Squ"&amp;"are""),""sff"",""""))),
    IF(REGEXMATCH(D92,""(?i)-Rivets""),""Rvt"",
    IF(REGEXMATCH(D92,""(?i)Silicone""),""300ml"",
    IF(REGEXMATCH(D92,""(?i)R-Butyl""),""300ml"",
    IF(REGEXMATCH(D92,""(?i)Fix""),""GenFix"",
    IF(AND(REGEXMATCH(C92,""(?i)Tim"&amp;"ber""), REGEXMATCH(D92,""(?i)Timber"")),""tp"",
    IF(AND(REGEXMATCH(C92,""(?i)Vent G1275""), REGEXMATCH(D92,""(?i)Comb FIller"")),""CFV1275"",
    IF(REGEXMATCH(C92,""(?i)DPC""),""dpc"",
    IF(REGEXMATCH(C92,""(?i)Concealed Clips""),""ConClips"",
    I"&amp;"F(REGEXMATCH(D92,""(?i)-Takeoff ea""),""Takeoff ea"",
    IF(REGEXMATCH(D92,""(?i)-Takeoff LM""),""Takeoff LM"",
    IF(REGEXMATCH(D92,""(?i)-Takeoff m2""),""Takeoff m2"",
    IF(D92=""R-TU/TD"",""TU/TD"","""")))))))))))))))))
  )))"),"DR7508B55Mag")</f>
        <v>DR7508B55Mag</v>
      </c>
      <c r="C92" s="201" t="s">
        <v>114</v>
      </c>
      <c r="D92" s="202" t="s">
        <v>96</v>
      </c>
      <c r="E92" s="203">
        <f>VALUE(MID(C92, FIND("(", C92)+1, FIND("/", C92)-FIND("(", C92)-1)) / 1000</f>
        <v>0.71</v>
      </c>
      <c r="F92" s="218" t="str">
        <f>IFERROR(__xludf.DUMMYFUNCTION("IFERROR(REGEXEXTRACT(C92,""@\s*(\d+)\s*deg"")&amp;""°"","""")
"),"")</f>
        <v/>
      </c>
      <c r="G92" s="204"/>
      <c r="H92" s="204" t="str">
        <f>IFERROR(__xludf.DUMMYFUNCTION("IFERROR(REGEXEXTRACT(C92, ""(\d*\.\d+)mm""), """")"),"0.55")</f>
        <v>0.55</v>
      </c>
      <c r="I92" s="204" t="s">
        <v>97</v>
      </c>
      <c r="J92" s="126" t="s">
        <v>14</v>
      </c>
      <c r="K92" s="205" t="s">
        <v>55</v>
      </c>
      <c r="L92" s="206">
        <f>L105</f>
        <v>112.78</v>
      </c>
      <c r="M92" s="150">
        <f>L92</f>
        <v>112.78</v>
      </c>
      <c r="N92" s="207">
        <f>IFERROR(__xludf.DUMMYFUNCTION("""COMPUTED_VALUE"""),1.0)</f>
        <v>1</v>
      </c>
      <c r="O92" s="208">
        <v>1.0</v>
      </c>
      <c r="P92" s="208">
        <v>1.0</v>
      </c>
      <c r="Q92" s="203">
        <f t="shared" ref="Q92:Q95" si="54">M92*N92*O92*P92</f>
        <v>112.78</v>
      </c>
      <c r="R92" s="136" t="s">
        <v>42</v>
      </c>
      <c r="S92" s="209">
        <f t="shared" ref="S92:S95" si="55">R92*Q92</f>
        <v>0</v>
      </c>
      <c r="T92" s="210"/>
      <c r="U92" s="136" t="s">
        <v>42</v>
      </c>
      <c r="V92" s="209"/>
      <c r="W92" s="211">
        <f t="shared" ref="W92:W95" si="56">U92*Q92</f>
        <v>0</v>
      </c>
      <c r="X92" s="111" t="str">
        <f>W92/$AC$176/$W$183/Y92</f>
        <v>#REF!</v>
      </c>
      <c r="Y92" s="212">
        <v>2.0</v>
      </c>
      <c r="Z92" s="213" t="str">
        <f>Q92/X92</f>
        <v>#REF!</v>
      </c>
      <c r="AA92" s="180"/>
      <c r="AB92" s="180">
        <f t="shared" ref="AB92:AB95" si="57">W92+S92</f>
        <v>0</v>
      </c>
      <c r="AC92" s="181"/>
      <c r="AD92" s="182"/>
      <c r="AE92" s="183"/>
      <c r="AF92" s="184"/>
      <c r="AG92" s="185"/>
      <c r="AH92" s="186"/>
      <c r="AI92" s="187"/>
      <c r="AJ92" s="188"/>
      <c r="AK92" s="188"/>
      <c r="AL92" s="180"/>
      <c r="AM92" s="135">
        <v>112.78</v>
      </c>
      <c r="AN92" s="152" t="s">
        <v>46</v>
      </c>
      <c r="AO92" s="135">
        <v>0.0</v>
      </c>
      <c r="AP92" s="139"/>
      <c r="AQ92" s="189"/>
      <c r="AR92" s="189"/>
      <c r="AS92" s="180"/>
      <c r="AT92" s="180"/>
      <c r="AU92" s="180"/>
      <c r="AV92" s="180"/>
      <c r="AW92" s="180"/>
      <c r="AX92" s="180"/>
      <c r="AY92" s="180"/>
      <c r="AZ92" s="180"/>
      <c r="BA92" s="180"/>
      <c r="BB92" s="180"/>
      <c r="BC92" s="180"/>
      <c r="BD92" s="180"/>
      <c r="BE92" s="180"/>
      <c r="BF92" s="180"/>
      <c r="BG92" s="180"/>
      <c r="BH92" s="180"/>
    </row>
    <row r="93" ht="12.75" customHeight="1">
      <c r="A93" s="71"/>
      <c r="B93" s="154" t="str">
        <f>IFERROR(__xludf.DUMMYFUNCTION("IFERROR(
  IF(C93="""","""",
    IF(OR(REGEXMATCH(D93,""(?i)-Flashing""), REGEXMATCH(D93,""(?i)-EavesGut""), REGEXMATCH(D93,""(?i)Valley"")),
        ""DR"" &amp;
        TEXT(
            ROUNDUP(
                MIN(
                    VALUE(MID(C93, FIND("&amp;"""("",C93)+1, FIND(""/"",C93)-FIND(""("",C93)-1)),
                    1200
                ) / 50, 0
            ) * 50, ""0""
        ) &amp;
        MID(C93, FIND(""/"",C93)+1, FIND("")"",C93)-FIND(""/"",C93)-1) &amp;
        TEXT(H93*100,""0"") &amp;
        I93,"&amp;"
    IF(AND(D93=""Roof Sheet"", REGEXMATCH(C93,""(?i)KS\d{4}[A-Z]{2}"")),
       REGEXEXTRACT(C93,""(?i)KS\d{4}[A-Z]{2}""),
    IF(AND(REGEXMATCH(D93,""(?i)-DP""), REGEXMATCH(C93,""(?i)Downpipe"")),
       ""dp"" &amp; REGEXEXTRACT(C93,""(\d+)"") &amp; ""mm"",
  "&amp;"  IF(AND(REGEXMATCH(D93,""(?i)Bracket""), REGEXMATCH(C93,""(?i)Bracket"")),
       ""Brkt"" &amp; REGEXEXTRACT(C93,""(\d+)"") &amp; ""mm"",
    IF(AND(REGEXMATCH(D93,""(?i)-OP""), REGEXMATCH(C93,""(?i)pops"")),
       ""op"" &amp; REGEXEXTRACT(C93,""(\d+)"") &amp; ""mm"""&amp;",
    IF(OR(D93=""R-FFTop"", D93=""R-FFBottom"", D93=""R-FFSide""),
        IF(REGEXMATCH(C93,""(?i)Profiled.*Top|Top.*Profiled""),""pfft"",
        IF(REGEXMATCH(C93,""(?i)Profiled.*Bottom|Bottom.*Profiled""),""pffb"",
        IF(REGEXMATCH(C93,""(?i)Squ"&amp;"are""),""sff"",""""))),
    IF(REGEXMATCH(D93,""(?i)-Rivets""),""Rvt"",
    IF(REGEXMATCH(D93,""(?i)Silicone""),""300ml"",
    IF(REGEXMATCH(D93,""(?i)R-Butyl""),""300ml"",
    IF(REGEXMATCH(D93,""(?i)Fix""),""GenFix"",
    IF(AND(REGEXMATCH(C93,""(?i)Tim"&amp;"ber""), REGEXMATCH(D93,""(?i)Timber"")),""tp"",
    IF(AND(REGEXMATCH(C93,""(?i)Vent G1275""), REGEXMATCH(D93,""(?i)Comb FIller"")),""CFV1275"",
    IF(REGEXMATCH(C93,""(?i)DPC""),""dpc"",
    IF(REGEXMATCH(C93,""(?i)Concealed Clips""),""ConClips"",
    I"&amp;"F(REGEXMATCH(D93,""(?i)-Takeoff ea""),""Takeoff ea"",
    IF(REGEXMATCH(D93,""(?i)-Takeoff LM""),""Takeoff LM"",
    IF(REGEXMATCH(D93,""(?i)-Takeoff m2""),""Takeoff m2"",
    IF(D93=""R-TU/TD"",""TU/TD"","""")))))))))))))))))
  )))"),"300ml")</f>
        <v>300ml</v>
      </c>
      <c r="C93" s="225" t="s">
        <v>98</v>
      </c>
      <c r="D93" s="124" t="s">
        <v>99</v>
      </c>
      <c r="E93" s="168">
        <f t="shared" ref="E93:F93" si="53">E92</f>
        <v>0.71</v>
      </c>
      <c r="F93" s="168" t="str">
        <f t="shared" si="53"/>
        <v/>
      </c>
      <c r="G93" s="129"/>
      <c r="H93" s="127"/>
      <c r="I93" s="127"/>
      <c r="J93" s="126" t="s">
        <v>87</v>
      </c>
      <c r="K93" s="126" t="s">
        <v>52</v>
      </c>
      <c r="L93" s="168">
        <f>M92</f>
        <v>112.78</v>
      </c>
      <c r="M93" s="150">
        <f>(ROUNDDOWN((M92/5.7)+2,0)*E93)/8</f>
        <v>1.86375</v>
      </c>
      <c r="N93" s="215">
        <f>IFERROR(__xludf.DUMMYFUNCTION("""COMPUTED_VALUE"""),1.0)</f>
        <v>1</v>
      </c>
      <c r="O93" s="134">
        <v>1.0</v>
      </c>
      <c r="P93" s="134">
        <v>1.0</v>
      </c>
      <c r="Q93" s="168">
        <f t="shared" si="54"/>
        <v>1.86375</v>
      </c>
      <c r="R93" s="136" t="s">
        <v>42</v>
      </c>
      <c r="S93" s="137">
        <f t="shared" si="55"/>
        <v>0</v>
      </c>
      <c r="T93" s="138"/>
      <c r="U93" s="136" t="s">
        <v>42</v>
      </c>
      <c r="V93" s="139"/>
      <c r="W93" s="140">
        <f t="shared" si="56"/>
        <v>0</v>
      </c>
      <c r="X93" s="2"/>
      <c r="Y93" s="5"/>
      <c r="Z93" s="5"/>
      <c r="AA93" s="5"/>
      <c r="AB93" s="180">
        <f t="shared" si="57"/>
        <v>0</v>
      </c>
      <c r="AC93" s="33"/>
      <c r="AD93" s="65"/>
      <c r="AE93" s="66"/>
      <c r="AF93" s="144"/>
      <c r="AG93" s="68"/>
      <c r="AH93" s="69"/>
      <c r="AI93" s="39"/>
      <c r="AJ93" s="70"/>
      <c r="AK93" s="70"/>
      <c r="AL93" s="5"/>
      <c r="AM93" s="135">
        <v>1.86375</v>
      </c>
      <c r="AN93" s="152" t="s">
        <v>46</v>
      </c>
      <c r="AO93" s="135">
        <v>0.0</v>
      </c>
      <c r="AP93" s="139"/>
      <c r="AQ93" s="5"/>
      <c r="AR93" s="5"/>
      <c r="AS93" s="5"/>
      <c r="AT93" s="5"/>
      <c r="AU93" s="5"/>
      <c r="AV93" s="5"/>
      <c r="AW93" s="5"/>
      <c r="AX93" s="5"/>
      <c r="AY93" s="5"/>
      <c r="AZ93" s="5"/>
      <c r="BA93" s="5"/>
      <c r="BB93" s="5"/>
      <c r="BC93" s="5"/>
      <c r="BD93" s="5"/>
      <c r="BE93" s="5"/>
      <c r="BF93" s="5"/>
      <c r="BG93" s="5"/>
      <c r="BH93" s="5"/>
    </row>
    <row r="94" ht="12.75" customHeight="1">
      <c r="A94" s="71"/>
      <c r="B94" s="154" t="str">
        <f>IFERROR(__xludf.DUMMYFUNCTION("IFERROR(
  IF(C94="""","""",
    IF(OR(REGEXMATCH(D94,""(?i)-Flashing""), REGEXMATCH(D94,""(?i)-EavesGut""), REGEXMATCH(D94,""(?i)Valley"")),
        ""DR"" &amp;
        TEXT(
            ROUNDUP(
                MIN(
                    VALUE(MID(C94, FIND("&amp;"""("",C94)+1, FIND(""/"",C94)-FIND(""("",C94)-1)),
                    1200
                ) / 50, 0
            ) * 50, ""0""
        ) &amp;
        MID(C94, FIND(""/"",C94)+1, FIND("")"",C94)-FIND(""/"",C94)-1) &amp;
        TEXT(H94*100,""0"") &amp;
        I94,"&amp;"
    IF(AND(D94=""Roof Sheet"", REGEXMATCH(C94,""(?i)KS\d{4}[A-Z]{2}"")),
       REGEXEXTRACT(C94,""(?i)KS\d{4}[A-Z]{2}""),
    IF(AND(REGEXMATCH(D94,""(?i)-DP""), REGEXMATCH(C94,""(?i)Downpipe"")),
       ""dp"" &amp; REGEXEXTRACT(C94,""(\d+)"") &amp; ""mm"",
  "&amp;"  IF(AND(REGEXMATCH(D94,""(?i)Bracket""), REGEXMATCH(C94,""(?i)Bracket"")),
       ""Brkt"" &amp; REGEXEXTRACT(C94,""(\d+)"") &amp; ""mm"",
    IF(AND(REGEXMATCH(D94,""(?i)-OP""), REGEXMATCH(C94,""(?i)pops"")),
       ""op"" &amp; REGEXEXTRACT(C94,""(\d+)"") &amp; ""mm"""&amp;",
    IF(OR(D94=""R-FFTop"", D94=""R-FFBottom"", D94=""R-FFSide""),
        IF(REGEXMATCH(C94,""(?i)Profiled.*Top|Top.*Profiled""),""pfft"",
        IF(REGEXMATCH(C94,""(?i)Profiled.*Bottom|Bottom.*Profiled""),""pffb"",
        IF(REGEXMATCH(C94,""(?i)Squ"&amp;"are""),""sff"",""""))),
    IF(REGEXMATCH(D94,""(?i)-Rivets""),""Rvt"",
    IF(REGEXMATCH(D94,""(?i)Silicone""),""300ml"",
    IF(REGEXMATCH(D94,""(?i)R-Butyl""),""300ml"",
    IF(REGEXMATCH(D94,""(?i)Fix""),""GenFix"",
    IF(AND(REGEXMATCH(C94,""(?i)Tim"&amp;"ber""), REGEXMATCH(D94,""(?i)Timber"")),""tp"",
    IF(AND(REGEXMATCH(C94,""(?i)Vent G1275""), REGEXMATCH(D94,""(?i)Comb FIller"")),""CFV1275"",
    IF(REGEXMATCH(C94,""(?i)DPC""),""dpc"",
    IF(REGEXMATCH(C94,""(?i)Concealed Clips""),""ConClips"",
    I"&amp;"F(REGEXMATCH(D94,""(?i)-Takeoff ea""),""Takeoff ea"",
    IF(REGEXMATCH(D94,""(?i)-Takeoff LM""),""Takeoff LM"",
    IF(REGEXMATCH(D94,""(?i)-Takeoff m2""),""Takeoff m2"",
    IF(D94=""R-TU/TD"",""TU/TD"","""")))))))))))))))))
  )))"),"Rvt")</f>
        <v>Rvt</v>
      </c>
      <c r="C94" s="225" t="s">
        <v>100</v>
      </c>
      <c r="D94" s="124" t="s">
        <v>101</v>
      </c>
      <c r="E94" s="168">
        <f>E92</f>
        <v>0.71</v>
      </c>
      <c r="F94" s="168" t="str">
        <f t="shared" ref="F94:F95" si="58">F93</f>
        <v/>
      </c>
      <c r="G94" s="129"/>
      <c r="H94" s="127"/>
      <c r="I94" s="127"/>
      <c r="J94" s="126" t="s">
        <v>87</v>
      </c>
      <c r="K94" s="126" t="s">
        <v>52</v>
      </c>
      <c r="L94" s="168">
        <f>M92</f>
        <v>112.78</v>
      </c>
      <c r="M94" s="150">
        <f>ROUNDUP(((M92/5.7)+1)*(E94/0.05),0)</f>
        <v>296</v>
      </c>
      <c r="N94" s="215">
        <f>IFERROR(__xludf.DUMMYFUNCTION("""COMPUTED_VALUE"""),1.0)</f>
        <v>1</v>
      </c>
      <c r="O94" s="134">
        <v>1.0</v>
      </c>
      <c r="P94" s="134">
        <v>1.0</v>
      </c>
      <c r="Q94" s="168">
        <f t="shared" si="54"/>
        <v>296</v>
      </c>
      <c r="R94" s="136" t="s">
        <v>42</v>
      </c>
      <c r="S94" s="137">
        <f t="shared" si="55"/>
        <v>0</v>
      </c>
      <c r="T94" s="138"/>
      <c r="U94" s="136" t="s">
        <v>42</v>
      </c>
      <c r="V94" s="139"/>
      <c r="W94" s="140">
        <f t="shared" si="56"/>
        <v>0</v>
      </c>
      <c r="X94" s="2"/>
      <c r="Y94" s="5"/>
      <c r="Z94" s="5"/>
      <c r="AA94" s="5"/>
      <c r="AB94" s="180">
        <f t="shared" si="57"/>
        <v>0</v>
      </c>
      <c r="AC94" s="33"/>
      <c r="AD94" s="65"/>
      <c r="AE94" s="66"/>
      <c r="AF94" s="144"/>
      <c r="AG94" s="68"/>
      <c r="AH94" s="69"/>
      <c r="AI94" s="39"/>
      <c r="AJ94" s="70"/>
      <c r="AK94" s="70"/>
      <c r="AL94" s="5"/>
      <c r="AM94" s="135">
        <v>296.0</v>
      </c>
      <c r="AN94" s="152" t="s">
        <v>46</v>
      </c>
      <c r="AO94" s="135">
        <v>0.0</v>
      </c>
      <c r="AP94" s="139"/>
      <c r="AQ94" s="5"/>
      <c r="AR94" s="5"/>
      <c r="AS94" s="5"/>
      <c r="AT94" s="5"/>
      <c r="AU94" s="5"/>
      <c r="AV94" s="5"/>
      <c r="AW94" s="5"/>
      <c r="AX94" s="5"/>
      <c r="AY94" s="5"/>
      <c r="AZ94" s="5"/>
      <c r="BA94" s="5"/>
      <c r="BB94" s="5"/>
      <c r="BC94" s="5"/>
      <c r="BD94" s="5"/>
      <c r="BE94" s="5"/>
      <c r="BF94" s="5"/>
      <c r="BG94" s="5"/>
      <c r="BH94" s="5"/>
    </row>
    <row r="95" ht="12.75" customHeight="1">
      <c r="A95" s="71"/>
      <c r="B95" s="154" t="str">
        <f>IFERROR(__xludf.DUMMYFUNCTION("IFERROR(
  IF(C95="""","""",
    IF(OR(REGEXMATCH(D95,""(?i)-Flashing""), REGEXMATCH(D95,""(?i)-EavesGut""), REGEXMATCH(D95,""(?i)Valley"")),
        ""DR"" &amp;
        TEXT(
            ROUNDUP(
                MIN(
                    VALUE(MID(C95, FIND("&amp;"""("",C95)+1, FIND(""/"",C95)-FIND(""("",C95)-1)),
                    1200
                ) / 50, 0
            ) * 50, ""0""
        ) &amp;
        MID(C95, FIND(""/"",C95)+1, FIND("")"",C95)-FIND(""/"",C95)-1) &amp;
        TEXT(H95*100,""0"") &amp;
        I95,"&amp;"
    IF(AND(D95=""Roof Sheet"", REGEXMATCH(C95,""(?i)KS\d{4}[A-Z]{2}"")),
       REGEXEXTRACT(C95,""(?i)KS\d{4}[A-Z]{2}""),
    IF(AND(REGEXMATCH(D95,""(?i)-DP""), REGEXMATCH(C95,""(?i)Downpipe"")),
       ""dp"" &amp; REGEXEXTRACT(C95,""(\d+)"") &amp; ""mm"",
  "&amp;"  IF(AND(REGEXMATCH(D95,""(?i)Bracket""), REGEXMATCH(C95,""(?i)Bracket"")),
       ""Brkt"" &amp; REGEXEXTRACT(C95,""(\d+)"") &amp; ""mm"",
    IF(AND(REGEXMATCH(D95,""(?i)-OP""), REGEXMATCH(C95,""(?i)pops"")),
       ""op"" &amp; REGEXEXTRACT(C95,""(\d+)"") &amp; ""mm"""&amp;",
    IF(OR(D95=""R-FFTop"", D95=""R-FFBottom"", D95=""R-FFSide""),
        IF(REGEXMATCH(C95,""(?i)Profiled.*Top|Top.*Profiled""),""pfft"",
        IF(REGEXMATCH(C95,""(?i)Profiled.*Bottom|Bottom.*Profiled""),""pffb"",
        IF(REGEXMATCH(C95,""(?i)Squ"&amp;"are""),""sff"",""""))),
    IF(REGEXMATCH(D95,""(?i)-Rivets""),""Rvt"",
    IF(REGEXMATCH(D95,""(?i)Silicone""),""300ml"",
    IF(REGEXMATCH(D95,""(?i)R-Butyl""),""300ml"",
    IF(REGEXMATCH(D95,""(?i)Fix""),""GenFix"",
    IF(AND(REGEXMATCH(C95,""(?i)Tim"&amp;"ber""), REGEXMATCH(D95,""(?i)Timber"")),""tp"",
    IF(AND(REGEXMATCH(C95,""(?i)Vent G1275""), REGEXMATCH(D95,""(?i)Comb FIller"")),""CFV1275"",
    IF(REGEXMATCH(C95,""(?i)DPC""),""dpc"",
    IF(REGEXMATCH(C95,""(?i)Concealed Clips""),""ConClips"",
    I"&amp;"F(REGEXMATCH(D95,""(?i)-Takeoff ea""),""Takeoff ea"",
    IF(REGEXMATCH(D95,""(?i)-Takeoff LM""),""Takeoff LM"",
    IF(REGEXMATCH(D95,""(?i)-Takeoff m2""),""Takeoff m2"",
    IF(D95=""R-TU/TD"",""TU/TD"","""")))))))))))))))))
  )))"),"GenFix")</f>
        <v>GenFix</v>
      </c>
      <c r="C95" s="158" t="s">
        <v>102</v>
      </c>
      <c r="D95" s="124" t="s">
        <v>103</v>
      </c>
      <c r="E95" s="161"/>
      <c r="F95" s="168" t="str">
        <f t="shared" si="58"/>
        <v/>
      </c>
      <c r="G95" s="129"/>
      <c r="H95" s="127"/>
      <c r="I95" s="127"/>
      <c r="J95" s="126" t="s">
        <v>87</v>
      </c>
      <c r="K95" s="126" t="s">
        <v>52</v>
      </c>
      <c r="L95" s="168">
        <f>M92</f>
        <v>112.78</v>
      </c>
      <c r="M95" s="150">
        <f>ROUNDUP(M92/0.6,0)+1</f>
        <v>189</v>
      </c>
      <c r="N95" s="215">
        <f>IFERROR(__xludf.DUMMYFUNCTION("""COMPUTED_VALUE"""),1.0)</f>
        <v>1</v>
      </c>
      <c r="O95" s="134">
        <v>1.0</v>
      </c>
      <c r="P95" s="134">
        <v>1.0</v>
      </c>
      <c r="Q95" s="168">
        <f t="shared" si="54"/>
        <v>189</v>
      </c>
      <c r="R95" s="136" t="s">
        <v>42</v>
      </c>
      <c r="S95" s="137">
        <f t="shared" si="55"/>
        <v>0</v>
      </c>
      <c r="T95" s="138"/>
      <c r="U95" s="136" t="s">
        <v>42</v>
      </c>
      <c r="V95" s="139"/>
      <c r="W95" s="140">
        <f t="shared" si="56"/>
        <v>0</v>
      </c>
      <c r="X95" s="2"/>
      <c r="Y95" s="5"/>
      <c r="Z95" s="5"/>
      <c r="AA95" s="5"/>
      <c r="AB95" s="180">
        <f t="shared" si="57"/>
        <v>0</v>
      </c>
      <c r="AC95" s="33"/>
      <c r="AD95" s="65"/>
      <c r="AE95" s="66"/>
      <c r="AF95" s="144"/>
      <c r="AG95" s="68"/>
      <c r="AH95" s="69"/>
      <c r="AI95" s="39"/>
      <c r="AJ95" s="70"/>
      <c r="AK95" s="70"/>
      <c r="AL95" s="5"/>
      <c r="AM95" s="135">
        <v>189.0</v>
      </c>
      <c r="AN95" s="152" t="s">
        <v>46</v>
      </c>
      <c r="AO95" s="135">
        <v>0.0</v>
      </c>
      <c r="AP95" s="139"/>
      <c r="AQ95" s="5"/>
      <c r="AR95" s="5"/>
      <c r="AS95" s="5"/>
      <c r="AT95" s="5"/>
      <c r="AU95" s="5"/>
      <c r="AV95" s="5"/>
      <c r="AW95" s="5"/>
      <c r="AX95" s="5"/>
      <c r="AY95" s="5"/>
      <c r="AZ95" s="5"/>
      <c r="BA95" s="5"/>
      <c r="BB95" s="5"/>
      <c r="BC95" s="5"/>
      <c r="BD95" s="5"/>
      <c r="BE95" s="5"/>
      <c r="BF95" s="5"/>
      <c r="BG95" s="5"/>
      <c r="BH95" s="5"/>
    </row>
    <row r="96" ht="12.75" customHeight="1">
      <c r="A96" s="71"/>
      <c r="B96" s="160"/>
      <c r="C96" s="127"/>
      <c r="D96" s="129"/>
      <c r="E96" s="161"/>
      <c r="F96" s="127"/>
      <c r="G96" s="127"/>
      <c r="H96" s="127"/>
      <c r="I96" s="127"/>
      <c r="J96" s="129"/>
      <c r="K96" s="127" t="s">
        <v>42</v>
      </c>
      <c r="L96" s="168"/>
      <c r="M96" s="150"/>
      <c r="N96" s="215" t="str">
        <f>IFERROR(__xludf.DUMMYFUNCTION("""COMPUTED_VALUE"""),"")</f>
        <v/>
      </c>
      <c r="O96" s="134"/>
      <c r="P96" s="134"/>
      <c r="Q96" s="168"/>
      <c r="R96" s="136"/>
      <c r="S96" s="139"/>
      <c r="T96" s="138"/>
      <c r="U96" s="136"/>
      <c r="V96" s="139"/>
      <c r="W96" s="164"/>
      <c r="X96" s="2"/>
      <c r="Y96" s="5"/>
      <c r="Z96" s="5"/>
      <c r="AA96" s="5"/>
      <c r="AB96" s="5"/>
      <c r="AC96" s="33"/>
      <c r="AD96" s="226"/>
      <c r="AE96" s="227"/>
      <c r="AF96" s="228"/>
      <c r="AG96" s="229"/>
      <c r="AH96" s="230"/>
      <c r="AI96" s="39"/>
      <c r="AJ96" s="231"/>
      <c r="AK96" s="231"/>
      <c r="AL96" s="5"/>
      <c r="AM96" s="135" t="s">
        <v>42</v>
      </c>
      <c r="AN96" s="152"/>
      <c r="AO96" s="135" t="s">
        <v>42</v>
      </c>
      <c r="AP96" s="139"/>
      <c r="AQ96" s="5"/>
      <c r="AR96" s="5"/>
      <c r="AS96" s="5"/>
      <c r="AT96" s="5"/>
      <c r="AU96" s="5"/>
      <c r="AV96" s="5"/>
      <c r="AW96" s="5"/>
      <c r="AX96" s="5"/>
      <c r="AY96" s="5"/>
      <c r="AZ96" s="5"/>
      <c r="BA96" s="5"/>
      <c r="BB96" s="5"/>
      <c r="BC96" s="5"/>
      <c r="BD96" s="5"/>
      <c r="BE96" s="5"/>
      <c r="BF96" s="5"/>
      <c r="BG96" s="5"/>
      <c r="BH96" s="5"/>
    </row>
    <row r="97">
      <c r="A97" s="71">
        <v>1.0</v>
      </c>
      <c r="B97" s="190"/>
      <c r="C97" s="191" t="s">
        <v>115</v>
      </c>
      <c r="D97" s="192"/>
      <c r="E97" s="193"/>
      <c r="F97" s="192"/>
      <c r="G97" s="192"/>
      <c r="H97" s="194"/>
      <c r="I97" s="194"/>
      <c r="J97" s="194"/>
      <c r="K97" s="194" t="s">
        <v>42</v>
      </c>
      <c r="L97" s="195">
        <f>Q97</f>
        <v>112.78</v>
      </c>
      <c r="M97" s="196" t="s">
        <v>42</v>
      </c>
      <c r="N97" s="197" t="str">
        <f>IFERROR(__xludf.DUMMYFUNCTION("""COMPUTED_VALUE"""),"")</f>
        <v/>
      </c>
      <c r="O97" s="194"/>
      <c r="P97" s="194"/>
      <c r="Q97" s="195">
        <f>Q98</f>
        <v>112.78</v>
      </c>
      <c r="R97" s="136"/>
      <c r="S97" s="198">
        <f>T97/Q97</f>
        <v>0</v>
      </c>
      <c r="T97" s="198">
        <f>SUM(S98:S102)</f>
        <v>0</v>
      </c>
      <c r="U97" s="136"/>
      <c r="V97" s="198">
        <f>W97/Q97</f>
        <v>0</v>
      </c>
      <c r="W97" s="199">
        <f>SUM(W98:W102)</f>
        <v>0</v>
      </c>
      <c r="X97" s="111" t="str">
        <f t="shared" ref="X97:X98" si="59">W97/$AC$176/$W$183/Y97</f>
        <v>#REF!</v>
      </c>
      <c r="Y97" s="200" t="b">
        <f>(T97+W97)=(SUM(AB98:AB102))</f>
        <v>1</v>
      </c>
      <c r="Z97" s="180">
        <f>(T97+W97)-(SUM(AB98:AB102))</f>
        <v>0</v>
      </c>
      <c r="AA97" s="180"/>
      <c r="AB97" s="180"/>
      <c r="AC97" s="181"/>
      <c r="AD97" s="114">
        <f>W97+T97</f>
        <v>0</v>
      </c>
      <c r="AE97" s="115">
        <f>AD97</f>
        <v>0</v>
      </c>
      <c r="AF97" s="116" t="str">
        <f>AE97/$AE$151</f>
        <v>#REF!</v>
      </c>
      <c r="AG97" s="117" t="str">
        <f>AF97*$AG$158</f>
        <v>#REF!</v>
      </c>
      <c r="AH97" s="118" t="str">
        <f>AF97*$AG$161</f>
        <v>#REF!</v>
      </c>
      <c r="AI97" s="39"/>
      <c r="AJ97" s="119" t="str">
        <f>ROUND(AK97/L97,2)</f>
        <v>#REF!</v>
      </c>
      <c r="AK97" s="119" t="str">
        <f>ROUND(AH97+AG97+AD97,2)</f>
        <v>#REF!</v>
      </c>
      <c r="AL97" s="180"/>
      <c r="AM97" s="135" t="s">
        <v>42</v>
      </c>
      <c r="AN97" s="152"/>
      <c r="AO97" s="135" t="s">
        <v>42</v>
      </c>
      <c r="AP97" s="139"/>
      <c r="AQ97" s="189"/>
      <c r="AR97" s="189"/>
      <c r="AS97" s="180"/>
      <c r="AT97" s="180"/>
      <c r="AU97" s="180"/>
      <c r="AV97" s="180"/>
      <c r="AW97" s="180"/>
      <c r="AX97" s="180"/>
      <c r="AY97" s="180"/>
      <c r="AZ97" s="180"/>
      <c r="BA97" s="180"/>
      <c r="BB97" s="180"/>
      <c r="BC97" s="180"/>
      <c r="BD97" s="180"/>
      <c r="BE97" s="180"/>
      <c r="BF97" s="180"/>
      <c r="BG97" s="180"/>
      <c r="BH97" s="180"/>
    </row>
    <row r="98" ht="12.75" customHeight="1">
      <c r="A98" s="71"/>
      <c r="B98" s="154" t="str">
        <f>IFERROR(__xludf.DUMMYFUNCTION("IFERROR(
  IF(C98="""","""",
    IF(OR(REGEXMATCH(D98,""(?i)-Flashing""), REGEXMATCH(D98,""(?i)-EavesGut""), REGEXMATCH(D98,""(?i)Valley"")),
        ""DR"" &amp;
        TEXT(
            ROUNDUP(
                MIN(
                    VALUE(MID(C98, FIND("&amp;"""("",C98)+1, FIND(""/"",C98)-FIND(""("",C98)-1)),
                    1200
                ) / 50, 0
            ) * 50, ""0""
        ) &amp;
        MID(C98, FIND(""/"",C98)+1, FIND("")"",C98)-FIND(""/"",C98)-1) &amp;
        TEXT(H98*100,""0"") &amp;
        I98,"&amp;"
    IF(AND(D98=""Roof Sheet"", REGEXMATCH(C98,""(?i)KS\d{4}[A-Z]{2}"")),
       REGEXEXTRACT(C98,""(?i)KS\d{4}[A-Z]{2}""),
    IF(AND(REGEXMATCH(D98,""(?i)-DP""), REGEXMATCH(C98,""(?i)Downpipe"")),
       ""dp"" &amp; REGEXEXTRACT(C98,""(\d+)"") &amp; ""mm"",
  "&amp;"  IF(AND(REGEXMATCH(D98,""(?i)Bracket""), REGEXMATCH(C98,""(?i)Bracket"")),
       ""Brkt"" &amp; REGEXEXTRACT(C98,""(\d+)"") &amp; ""mm"",
    IF(AND(REGEXMATCH(D98,""(?i)-OP""), REGEXMATCH(C98,""(?i)pops"")),
       ""op"" &amp; REGEXEXTRACT(C98,""(\d+)"") &amp; ""mm"""&amp;",
    IF(OR(D98=""R-FFTop"", D98=""R-FFBottom"", D98=""R-FFSide""),
        IF(REGEXMATCH(C98,""(?i)Profiled.*Top|Top.*Profiled""),""pfft"",
        IF(REGEXMATCH(C98,""(?i)Profiled.*Bottom|Bottom.*Profiled""),""pffb"",
        IF(REGEXMATCH(C98,""(?i)Squ"&amp;"are""),""sff"",""""))),
    IF(REGEXMATCH(D98,""(?i)-Rivets""),""Rvt"",
    IF(REGEXMATCH(D98,""(?i)Silicone""),""300ml"",
    IF(REGEXMATCH(D98,""(?i)R-Butyl""),""300ml"",
    IF(REGEXMATCH(D98,""(?i)Fix""),""GenFix"",
    IF(AND(REGEXMATCH(C98,""(?i)Tim"&amp;"ber""), REGEXMATCH(D98,""(?i)Timber"")),""tp"",
    IF(AND(REGEXMATCH(C98,""(?i)Vent G1275""), REGEXMATCH(D98,""(?i)Comb FIller"")),""CFV1275"",
    IF(REGEXMATCH(C98,""(?i)DPC""),""dpc"",
    IF(REGEXMATCH(C98,""(?i)Concealed Clips""),""ConClips"",
    I"&amp;"F(REGEXMATCH(D98,""(?i)-Takeoff ea""),""Takeoff ea"",
    IF(REGEXMATCH(D98,""(?i)-Takeoff LM""),""Takeoff LM"",
    IF(REGEXMATCH(D98,""(?i)-Takeoff m2""),""Takeoff m2"",
    IF(D98=""R-TU/TD"",""TU/TD"","""")))))))))))))))))
  )))"),"DR3503B55Mag")</f>
        <v>DR3503B55Mag</v>
      </c>
      <c r="C98" s="201" t="s">
        <v>116</v>
      </c>
      <c r="D98" s="202" t="s">
        <v>96</v>
      </c>
      <c r="E98" s="203">
        <f>VALUE(MID(C98, FIND("(", C98)+1, FIND("/", C98)-FIND("(", C98)-1)) / 1000</f>
        <v>0.32</v>
      </c>
      <c r="F98" s="218" t="str">
        <f>IFERROR(__xludf.DUMMYFUNCTION("IFERROR(REGEXEXTRACT(C98,""@\s*(\d+)\s*deg"")&amp;""°"","""")
"),"")</f>
        <v/>
      </c>
      <c r="G98" s="204"/>
      <c r="H98" s="204" t="str">
        <f>IFERROR(__xludf.DUMMYFUNCTION("IFERROR(REGEXEXTRACT(C98, ""(\d*\.\d+)mm""), """")"),"0.55")</f>
        <v>0.55</v>
      </c>
      <c r="I98" s="204" t="s">
        <v>97</v>
      </c>
      <c r="J98" s="126" t="s">
        <v>14</v>
      </c>
      <c r="K98" s="205" t="s">
        <v>55</v>
      </c>
      <c r="L98" s="206">
        <f>L105</f>
        <v>112.78</v>
      </c>
      <c r="M98" s="150">
        <f>L98</f>
        <v>112.78</v>
      </c>
      <c r="N98" s="207">
        <f>IFERROR(__xludf.DUMMYFUNCTION("""COMPUTED_VALUE"""),1.0)</f>
        <v>1</v>
      </c>
      <c r="O98" s="208">
        <v>1.0</v>
      </c>
      <c r="P98" s="208">
        <v>1.0</v>
      </c>
      <c r="Q98" s="203">
        <f t="shared" ref="Q98:Q101" si="61">M98*N98*O98*P98</f>
        <v>112.78</v>
      </c>
      <c r="R98" s="136" t="s">
        <v>42</v>
      </c>
      <c r="S98" s="137">
        <f t="shared" ref="S98:S101" si="62">R98*Q98</f>
        <v>0</v>
      </c>
      <c r="T98" s="210"/>
      <c r="U98" s="136" t="s">
        <v>42</v>
      </c>
      <c r="V98" s="209"/>
      <c r="W98" s="211">
        <f t="shared" ref="W98:W101" si="63">U98*Q98</f>
        <v>0</v>
      </c>
      <c r="X98" s="111" t="str">
        <f t="shared" si="59"/>
        <v>#REF!</v>
      </c>
      <c r="Y98" s="212">
        <v>2.0</v>
      </c>
      <c r="Z98" s="213" t="str">
        <f>Q98/X98</f>
        <v>#REF!</v>
      </c>
      <c r="AA98" s="180"/>
      <c r="AB98" s="180">
        <f t="shared" ref="AB98:AB102" si="64">W98+S98</f>
        <v>0</v>
      </c>
      <c r="AC98" s="181"/>
      <c r="AD98" s="182"/>
      <c r="AE98" s="183"/>
      <c r="AF98" s="184"/>
      <c r="AG98" s="185"/>
      <c r="AH98" s="186"/>
      <c r="AI98" s="187"/>
      <c r="AJ98" s="188"/>
      <c r="AK98" s="188"/>
      <c r="AL98" s="180"/>
      <c r="AM98" s="135">
        <v>112.78</v>
      </c>
      <c r="AN98" s="152" t="s">
        <v>46</v>
      </c>
      <c r="AO98" s="135">
        <v>0.0</v>
      </c>
      <c r="AP98" s="139"/>
      <c r="AQ98" s="189"/>
      <c r="AR98" s="189"/>
      <c r="AS98" s="180"/>
      <c r="AT98" s="180"/>
      <c r="AU98" s="180"/>
      <c r="AV98" s="180"/>
      <c r="AW98" s="180"/>
      <c r="AX98" s="180"/>
      <c r="AY98" s="180"/>
      <c r="AZ98" s="180"/>
      <c r="BA98" s="180"/>
      <c r="BB98" s="180"/>
      <c r="BC98" s="180"/>
      <c r="BD98" s="180"/>
      <c r="BE98" s="180"/>
      <c r="BF98" s="180"/>
      <c r="BG98" s="180"/>
      <c r="BH98" s="180"/>
    </row>
    <row r="99" ht="12.75" customHeight="1">
      <c r="A99" s="71"/>
      <c r="B99" s="154" t="str">
        <f>IFERROR(__xludf.DUMMYFUNCTION("IFERROR(
  IF(C99="""","""",
    IF(OR(REGEXMATCH(D99,""(?i)-Flashing""), REGEXMATCH(D99,""(?i)-EavesGut""), REGEXMATCH(D99,""(?i)Valley"")),
        ""DR"" &amp;
        TEXT(
            ROUNDUP(
                MIN(
                    VALUE(MID(C99, FIND("&amp;"""("",C99)+1, FIND(""/"",C99)-FIND(""("",C99)-1)),
                    1200
                ) / 50, 0
            ) * 50, ""0""
        ) &amp;
        MID(C99, FIND(""/"",C99)+1, FIND("")"",C99)-FIND(""/"",C99)-1) &amp;
        TEXT(H99*100,""0"") &amp;
        I99,"&amp;"
    IF(AND(D99=""Roof Sheet"", REGEXMATCH(C99,""(?i)KS\d{4}[A-Z]{2}"")),
       REGEXEXTRACT(C99,""(?i)KS\d{4}[A-Z]{2}""),
    IF(AND(REGEXMATCH(D99,""(?i)-DP""), REGEXMATCH(C99,""(?i)Downpipe"")),
       ""dp"" &amp; REGEXEXTRACT(C99,""(\d+)"") &amp; ""mm"",
  "&amp;"  IF(AND(REGEXMATCH(D99,""(?i)Bracket""), REGEXMATCH(C99,""(?i)Bracket"")),
       ""Brkt"" &amp; REGEXEXTRACT(C99,""(\d+)"") &amp; ""mm"",
    IF(AND(REGEXMATCH(D99,""(?i)-OP""), REGEXMATCH(C99,""(?i)pops"")),
       ""op"" &amp; REGEXEXTRACT(C99,""(\d+)"") &amp; ""mm"""&amp;",
    IF(OR(D99=""R-FFTop"", D99=""R-FFBottom"", D99=""R-FFSide""),
        IF(REGEXMATCH(C99,""(?i)Profiled.*Top|Top.*Profiled""),""pfft"",
        IF(REGEXMATCH(C99,""(?i)Profiled.*Bottom|Bottom.*Profiled""),""pffb"",
        IF(REGEXMATCH(C99,""(?i)Squ"&amp;"are""),""sff"",""""))),
    IF(REGEXMATCH(D99,""(?i)-Rivets""),""Rvt"",
    IF(REGEXMATCH(D99,""(?i)Silicone""),""300ml"",
    IF(REGEXMATCH(D99,""(?i)R-Butyl""),""300ml"",
    IF(REGEXMATCH(D99,""(?i)Fix""),""GenFix"",
    IF(AND(REGEXMATCH(C99,""(?i)Tim"&amp;"ber""), REGEXMATCH(D99,""(?i)Timber"")),""tp"",
    IF(AND(REGEXMATCH(C99,""(?i)Vent G1275""), REGEXMATCH(D99,""(?i)Comb FIller"")),""CFV1275"",
    IF(REGEXMATCH(C99,""(?i)DPC""),""dpc"",
    IF(REGEXMATCH(C99,""(?i)Concealed Clips""),""ConClips"",
    I"&amp;"F(REGEXMATCH(D99,""(?i)-Takeoff ea""),""Takeoff ea"",
    IF(REGEXMATCH(D99,""(?i)-Takeoff LM""),""Takeoff LM"",
    IF(REGEXMATCH(D99,""(?i)-Takeoff m2""),""Takeoff m2"",
    IF(D99=""R-TU/TD"",""TU/TD"","""")))))))))))))))))
  )))"),"300ml")</f>
        <v>300ml</v>
      </c>
      <c r="C99" s="225" t="s">
        <v>98</v>
      </c>
      <c r="D99" s="124" t="s">
        <v>99</v>
      </c>
      <c r="E99" s="168">
        <f t="shared" ref="E99:F99" si="60">E98</f>
        <v>0.32</v>
      </c>
      <c r="F99" s="168" t="str">
        <f t="shared" si="60"/>
        <v/>
      </c>
      <c r="G99" s="129"/>
      <c r="H99" s="127"/>
      <c r="I99" s="127"/>
      <c r="J99" s="126" t="s">
        <v>87</v>
      </c>
      <c r="K99" s="126" t="s">
        <v>52</v>
      </c>
      <c r="L99" s="168">
        <f>M98</f>
        <v>112.78</v>
      </c>
      <c r="M99" s="150">
        <f>(ROUNDDOWN((M98/5.7)+2,0)*E99)/8</f>
        <v>0.84</v>
      </c>
      <c r="N99" s="215">
        <f>IFERROR(__xludf.DUMMYFUNCTION("""COMPUTED_VALUE"""),1.0)</f>
        <v>1</v>
      </c>
      <c r="O99" s="134">
        <v>1.0</v>
      </c>
      <c r="P99" s="134">
        <v>1.0</v>
      </c>
      <c r="Q99" s="168">
        <f t="shared" si="61"/>
        <v>0.84</v>
      </c>
      <c r="R99" s="136" t="s">
        <v>42</v>
      </c>
      <c r="S99" s="137">
        <f t="shared" si="62"/>
        <v>0</v>
      </c>
      <c r="T99" s="138"/>
      <c r="U99" s="136" t="s">
        <v>42</v>
      </c>
      <c r="V99" s="139"/>
      <c r="W99" s="140">
        <f t="shared" si="63"/>
        <v>0</v>
      </c>
      <c r="X99" s="2"/>
      <c r="Y99" s="5"/>
      <c r="Z99" s="5"/>
      <c r="AA99" s="5"/>
      <c r="AB99" s="180">
        <f t="shared" si="64"/>
        <v>0</v>
      </c>
      <c r="AC99" s="33"/>
      <c r="AD99" s="65"/>
      <c r="AE99" s="66"/>
      <c r="AF99" s="144"/>
      <c r="AG99" s="68"/>
      <c r="AH99" s="69"/>
      <c r="AI99" s="39"/>
      <c r="AJ99" s="70"/>
      <c r="AK99" s="70"/>
      <c r="AL99" s="5"/>
      <c r="AM99" s="135">
        <v>0.84</v>
      </c>
      <c r="AN99" s="152" t="s">
        <v>46</v>
      </c>
      <c r="AO99" s="135">
        <v>0.0</v>
      </c>
      <c r="AP99" s="139"/>
      <c r="AQ99" s="5"/>
      <c r="AR99" s="5"/>
      <c r="AS99" s="5"/>
      <c r="AT99" s="5"/>
      <c r="AU99" s="5"/>
      <c r="AV99" s="5"/>
      <c r="AW99" s="5"/>
      <c r="AX99" s="5"/>
      <c r="AY99" s="5"/>
      <c r="AZ99" s="5"/>
      <c r="BA99" s="5"/>
      <c r="BB99" s="5"/>
      <c r="BC99" s="5"/>
      <c r="BD99" s="5"/>
      <c r="BE99" s="5"/>
      <c r="BF99" s="5"/>
      <c r="BG99" s="5"/>
      <c r="BH99" s="5"/>
    </row>
    <row r="100" ht="12.75" customHeight="1">
      <c r="A100" s="71"/>
      <c r="B100" s="154" t="str">
        <f>IFERROR(__xludf.DUMMYFUNCTION("IFERROR(
  IF(C100="""","""",
    IF(OR(REGEXMATCH(D100,""(?i)-Flashing""), REGEXMATCH(D100,""(?i)-EavesGut""), REGEXMATCH(D100,""(?i)Valley"")),
        ""DR"" &amp;
        TEXT(
            ROUNDUP(
                MIN(
                    VALUE(MID(C100, "&amp;"FIND(""("",C100)+1, FIND(""/"",C100)-FIND(""("",C100)-1)),
                    1200
                ) / 50, 0
            ) * 50, ""0""
        ) &amp;
        MID(C100, FIND(""/"",C100)+1, FIND("")"",C100)-FIND(""/"",C100)-1) &amp;
        TEXT(H100*100,""0"") &amp;"&amp;"
        I100,
    IF(AND(D100=""Roof Sheet"", REGEXMATCH(C100,""(?i)KS\d{4}[A-Z]{2}"")),
       REGEXEXTRACT(C100,""(?i)KS\d{4}[A-Z]{2}""),
    IF(AND(REGEXMATCH(D100,""(?i)-DP""), REGEXMATCH(C100,""(?i)Downpipe"")),
       ""dp"" &amp; REGEXEXTRACT(C100,""("&amp;"\d+)"") &amp; ""mm"",
    IF(AND(REGEXMATCH(D100,""(?i)Bracket""), REGEXMATCH(C100,""(?i)Bracket"")),
       ""Brkt"" &amp; REGEXEXTRACT(C100,""(\d+)"") &amp; ""mm"",
    IF(AND(REGEXMATCH(D100,""(?i)-OP""), REGEXMATCH(C100,""(?i)pops"")),
       ""op"" &amp; REGEXEXTRAC"&amp;"T(C100,""(\d+)"") &amp; ""mm"",
    IF(OR(D100=""R-FFTop"", D100=""R-FFBottom"", D100=""R-FFSide""),
        IF(REGEXMATCH(C100,""(?i)Profiled.*Top|Top.*Profiled""),""pfft"",
        IF(REGEXMATCH(C100,""(?i)Profiled.*Bottom|Bottom.*Profiled""),""pffb"",
    "&amp;"    IF(REGEXMATCH(C100,""(?i)Square""),""sff"",""""))),
    IF(REGEXMATCH(D100,""(?i)-Rivets""),""Rvt"",
    IF(REGEXMATCH(D100,""(?i)Silicone""),""300ml"",
    IF(REGEXMATCH(D100,""(?i)R-Butyl""),""300ml"",
    IF(REGEXMATCH(D100,""(?i)Fix""),""GenFix"","&amp;"
    IF(AND(REGEXMATCH(C100,""(?i)Timber""), REGEXMATCH(D100,""(?i)Timber"")),""tp"",
    IF(AND(REGEXMATCH(C100,""(?i)Vent G1275""), REGEXMATCH(D100,""(?i)Comb FIller"")),""CFV1275"",
    IF(REGEXMATCH(C100,""(?i)DPC""),""dpc"",
    IF(REGEXMATCH(C100,"""&amp;"(?i)Concealed Clips""),""ConClips"",
    IF(REGEXMATCH(D100,""(?i)-Takeoff ea""),""Takeoff ea"",
    IF(REGEXMATCH(D100,""(?i)-Takeoff LM""),""Takeoff LM"",
    IF(REGEXMATCH(D100,""(?i)-Takeoff m2""),""Takeoff m2"",
    IF(D100=""R-TU/TD"",""TU/TD"","""""&amp;")))))))))))))))))
  )))"),"Rvt")</f>
        <v>Rvt</v>
      </c>
      <c r="C100" s="225" t="s">
        <v>100</v>
      </c>
      <c r="D100" s="124" t="s">
        <v>101</v>
      </c>
      <c r="E100" s="168">
        <f>E98</f>
        <v>0.32</v>
      </c>
      <c r="F100" s="168" t="str">
        <f t="shared" ref="F100:F101" si="65">F99</f>
        <v/>
      </c>
      <c r="G100" s="129"/>
      <c r="H100" s="127"/>
      <c r="I100" s="127"/>
      <c r="J100" s="126" t="s">
        <v>87</v>
      </c>
      <c r="K100" s="126" t="s">
        <v>52</v>
      </c>
      <c r="L100" s="168">
        <f>M98</f>
        <v>112.78</v>
      </c>
      <c r="M100" s="150">
        <f>ROUNDUP(((M98/5.7)+1)*(E100/0.05),0)</f>
        <v>134</v>
      </c>
      <c r="N100" s="215">
        <f>IFERROR(__xludf.DUMMYFUNCTION("""COMPUTED_VALUE"""),1.0)</f>
        <v>1</v>
      </c>
      <c r="O100" s="134">
        <v>1.0</v>
      </c>
      <c r="P100" s="134">
        <v>1.0</v>
      </c>
      <c r="Q100" s="168">
        <f t="shared" si="61"/>
        <v>134</v>
      </c>
      <c r="R100" s="136" t="s">
        <v>42</v>
      </c>
      <c r="S100" s="137">
        <f t="shared" si="62"/>
        <v>0</v>
      </c>
      <c r="T100" s="138"/>
      <c r="U100" s="136" t="s">
        <v>42</v>
      </c>
      <c r="V100" s="139"/>
      <c r="W100" s="140">
        <f t="shared" si="63"/>
        <v>0</v>
      </c>
      <c r="X100" s="2"/>
      <c r="Y100" s="5"/>
      <c r="Z100" s="5"/>
      <c r="AA100" s="5"/>
      <c r="AB100" s="180">
        <f t="shared" si="64"/>
        <v>0</v>
      </c>
      <c r="AC100" s="33"/>
      <c r="AD100" s="65"/>
      <c r="AE100" s="66"/>
      <c r="AF100" s="144"/>
      <c r="AG100" s="68"/>
      <c r="AH100" s="69"/>
      <c r="AI100" s="39"/>
      <c r="AJ100" s="70"/>
      <c r="AK100" s="70"/>
      <c r="AL100" s="5"/>
      <c r="AM100" s="135">
        <v>134.0</v>
      </c>
      <c r="AN100" s="152" t="s">
        <v>46</v>
      </c>
      <c r="AO100" s="135">
        <v>0.0</v>
      </c>
      <c r="AP100" s="139"/>
      <c r="AQ100" s="5"/>
      <c r="AR100" s="5"/>
      <c r="AS100" s="5"/>
      <c r="AT100" s="5"/>
      <c r="AU100" s="5"/>
      <c r="AV100" s="5"/>
      <c r="AW100" s="5"/>
      <c r="AX100" s="5"/>
      <c r="AY100" s="5"/>
      <c r="AZ100" s="5"/>
      <c r="BA100" s="5"/>
      <c r="BB100" s="5"/>
      <c r="BC100" s="5"/>
      <c r="BD100" s="5"/>
      <c r="BE100" s="5"/>
      <c r="BF100" s="5"/>
      <c r="BG100" s="5"/>
      <c r="BH100" s="5"/>
    </row>
    <row r="101" ht="12.75" customHeight="1">
      <c r="A101" s="71"/>
      <c r="B101" s="154" t="str">
        <f>IFERROR(__xludf.DUMMYFUNCTION("IFERROR(
  IF(C101="""","""",
    IF(OR(REGEXMATCH(D101,""(?i)-Flashing""), REGEXMATCH(D101,""(?i)-EavesGut""), REGEXMATCH(D101,""(?i)Valley"")),
        ""DR"" &amp;
        TEXT(
            ROUNDUP(
                MIN(
                    VALUE(MID(C101, "&amp;"FIND(""("",C101)+1, FIND(""/"",C101)-FIND(""("",C101)-1)),
                    1200
                ) / 50, 0
            ) * 50, ""0""
        ) &amp;
        MID(C101, FIND(""/"",C101)+1, FIND("")"",C101)-FIND(""/"",C101)-1) &amp;
        TEXT(H101*100,""0"") &amp;"&amp;"
        I101,
    IF(AND(D101=""Roof Sheet"", REGEXMATCH(C101,""(?i)KS\d{4}[A-Z]{2}"")),
       REGEXEXTRACT(C101,""(?i)KS\d{4}[A-Z]{2}""),
    IF(AND(REGEXMATCH(D101,""(?i)-DP""), REGEXMATCH(C101,""(?i)Downpipe"")),
       ""dp"" &amp; REGEXEXTRACT(C101,""("&amp;"\d+)"") &amp; ""mm"",
    IF(AND(REGEXMATCH(D101,""(?i)Bracket""), REGEXMATCH(C101,""(?i)Bracket"")),
       ""Brkt"" &amp; REGEXEXTRACT(C101,""(\d+)"") &amp; ""mm"",
    IF(AND(REGEXMATCH(D101,""(?i)-OP""), REGEXMATCH(C101,""(?i)pops"")),
       ""op"" &amp; REGEXEXTRAC"&amp;"T(C101,""(\d+)"") &amp; ""mm"",
    IF(OR(D101=""R-FFTop"", D101=""R-FFBottom"", D101=""R-FFSide""),
        IF(REGEXMATCH(C101,""(?i)Profiled.*Top|Top.*Profiled""),""pfft"",
        IF(REGEXMATCH(C101,""(?i)Profiled.*Bottom|Bottom.*Profiled""),""pffb"",
    "&amp;"    IF(REGEXMATCH(C101,""(?i)Square""),""sff"",""""))),
    IF(REGEXMATCH(D101,""(?i)-Rivets""),""Rvt"",
    IF(REGEXMATCH(D101,""(?i)Silicone""),""300ml"",
    IF(REGEXMATCH(D101,""(?i)R-Butyl""),""300ml"",
    IF(REGEXMATCH(D101,""(?i)Fix""),""GenFix"","&amp;"
    IF(AND(REGEXMATCH(C101,""(?i)Timber""), REGEXMATCH(D101,""(?i)Timber"")),""tp"",
    IF(AND(REGEXMATCH(C101,""(?i)Vent G1275""), REGEXMATCH(D101,""(?i)Comb FIller"")),""CFV1275"",
    IF(REGEXMATCH(C101,""(?i)DPC""),""dpc"",
    IF(REGEXMATCH(C101,"""&amp;"(?i)Concealed Clips""),""ConClips"",
    IF(REGEXMATCH(D101,""(?i)-Takeoff ea""),""Takeoff ea"",
    IF(REGEXMATCH(D101,""(?i)-Takeoff LM""),""Takeoff LM"",
    IF(REGEXMATCH(D101,""(?i)-Takeoff m2""),""Takeoff m2"",
    IF(D101=""R-TU/TD"",""TU/TD"","""""&amp;")))))))))))))))))
  )))"),"GenFix")</f>
        <v>GenFix</v>
      </c>
      <c r="C101" s="158" t="s">
        <v>102</v>
      </c>
      <c r="D101" s="124" t="s">
        <v>103</v>
      </c>
      <c r="E101" s="161"/>
      <c r="F101" s="168" t="str">
        <f t="shared" si="65"/>
        <v/>
      </c>
      <c r="G101" s="129"/>
      <c r="H101" s="127"/>
      <c r="I101" s="127"/>
      <c r="J101" s="126" t="s">
        <v>87</v>
      </c>
      <c r="K101" s="126" t="s">
        <v>52</v>
      </c>
      <c r="L101" s="168">
        <f>M98</f>
        <v>112.78</v>
      </c>
      <c r="M101" s="150">
        <f>ROUNDUP(M98/0.6,0)+1</f>
        <v>189</v>
      </c>
      <c r="N101" s="215">
        <f>IFERROR(__xludf.DUMMYFUNCTION("""COMPUTED_VALUE"""),1.0)</f>
        <v>1</v>
      </c>
      <c r="O101" s="134">
        <v>1.0</v>
      </c>
      <c r="P101" s="134">
        <v>1.0</v>
      </c>
      <c r="Q101" s="168">
        <f t="shared" si="61"/>
        <v>189</v>
      </c>
      <c r="R101" s="136" t="s">
        <v>42</v>
      </c>
      <c r="S101" s="137">
        <f t="shared" si="62"/>
        <v>0</v>
      </c>
      <c r="T101" s="138"/>
      <c r="U101" s="136" t="s">
        <v>42</v>
      </c>
      <c r="V101" s="139"/>
      <c r="W101" s="140">
        <f t="shared" si="63"/>
        <v>0</v>
      </c>
      <c r="X101" s="2"/>
      <c r="Y101" s="5"/>
      <c r="Z101" s="5"/>
      <c r="AA101" s="5"/>
      <c r="AB101" s="180">
        <f t="shared" si="64"/>
        <v>0</v>
      </c>
      <c r="AC101" s="33"/>
      <c r="AD101" s="65"/>
      <c r="AE101" s="66"/>
      <c r="AF101" s="144"/>
      <c r="AG101" s="68"/>
      <c r="AH101" s="69"/>
      <c r="AI101" s="39"/>
      <c r="AJ101" s="70"/>
      <c r="AK101" s="70"/>
      <c r="AL101" s="5"/>
      <c r="AM101" s="135">
        <v>189.0</v>
      </c>
      <c r="AN101" s="152" t="s">
        <v>46</v>
      </c>
      <c r="AO101" s="135">
        <v>0.0</v>
      </c>
      <c r="AP101" s="139"/>
      <c r="AQ101" s="5"/>
      <c r="AR101" s="5"/>
      <c r="AS101" s="5"/>
      <c r="AT101" s="5"/>
      <c r="AU101" s="5"/>
      <c r="AV101" s="5"/>
      <c r="AW101" s="5"/>
      <c r="AX101" s="5"/>
      <c r="AY101" s="5"/>
      <c r="AZ101" s="5"/>
      <c r="BA101" s="5"/>
      <c r="BB101" s="5"/>
      <c r="BC101" s="5"/>
      <c r="BD101" s="5"/>
      <c r="BE101" s="5"/>
      <c r="BF101" s="5"/>
      <c r="BG101" s="5"/>
      <c r="BH101" s="5"/>
    </row>
    <row r="102" ht="12.75" customHeight="1">
      <c r="A102" s="71"/>
      <c r="B102" s="221"/>
      <c r="C102" s="214"/>
      <c r="D102" s="202"/>
      <c r="E102" s="203"/>
      <c r="F102" s="204"/>
      <c r="G102" s="204"/>
      <c r="H102" s="204"/>
      <c r="I102" s="204"/>
      <c r="J102" s="205"/>
      <c r="K102" s="204" t="s">
        <v>42</v>
      </c>
      <c r="L102" s="206"/>
      <c r="M102" s="150"/>
      <c r="N102" s="207" t="str">
        <f>IFERROR(__xludf.DUMMYFUNCTION("""COMPUTED_VALUE"""),"")</f>
        <v/>
      </c>
      <c r="O102" s="208"/>
      <c r="P102" s="208"/>
      <c r="Q102" s="203"/>
      <c r="R102" s="136"/>
      <c r="S102" s="209"/>
      <c r="T102" s="210"/>
      <c r="U102" s="136"/>
      <c r="V102" s="209"/>
      <c r="W102" s="211"/>
      <c r="X102" s="179"/>
      <c r="Y102" s="180"/>
      <c r="Z102" s="180"/>
      <c r="AA102" s="180"/>
      <c r="AB102" s="180">
        <f t="shared" si="64"/>
        <v>0</v>
      </c>
      <c r="AC102" s="181"/>
      <c r="AD102" s="182"/>
      <c r="AE102" s="183"/>
      <c r="AF102" s="184"/>
      <c r="AG102" s="185"/>
      <c r="AH102" s="186"/>
      <c r="AI102" s="187"/>
      <c r="AJ102" s="188"/>
      <c r="AK102" s="188"/>
      <c r="AL102" s="180"/>
      <c r="AM102" s="135" t="s">
        <v>42</v>
      </c>
      <c r="AN102" s="152"/>
      <c r="AO102" s="135" t="s">
        <v>42</v>
      </c>
      <c r="AP102" s="139"/>
      <c r="AQ102" s="189"/>
      <c r="AR102" s="189"/>
      <c r="AS102" s="180"/>
      <c r="AT102" s="180"/>
      <c r="AU102" s="180"/>
      <c r="AV102" s="180"/>
      <c r="AW102" s="180"/>
      <c r="AX102" s="180"/>
      <c r="AY102" s="180"/>
      <c r="AZ102" s="180"/>
      <c r="BA102" s="180"/>
      <c r="BB102" s="180"/>
      <c r="BC102" s="180"/>
      <c r="BD102" s="180"/>
      <c r="BE102" s="180"/>
      <c r="BF102" s="180"/>
      <c r="BG102" s="180"/>
      <c r="BH102" s="180"/>
    </row>
    <row r="103" ht="12.75" customHeight="1">
      <c r="A103" s="71">
        <v>1.0</v>
      </c>
      <c r="B103" s="88"/>
      <c r="C103" s="233" t="s">
        <v>117</v>
      </c>
      <c r="D103" s="90"/>
      <c r="E103" s="91"/>
      <c r="F103" s="90"/>
      <c r="G103" s="90"/>
      <c r="H103" s="90"/>
      <c r="I103" s="90"/>
      <c r="J103" s="90"/>
      <c r="K103" s="90" t="s">
        <v>42</v>
      </c>
      <c r="L103" s="91"/>
      <c r="M103" s="91" t="s">
        <v>42</v>
      </c>
      <c r="N103" s="92" t="str">
        <f>IFERROR(__xludf.DUMMYFUNCTION("""COMPUTED_VALUE"""),"")</f>
        <v/>
      </c>
      <c r="O103" s="90"/>
      <c r="P103" s="90"/>
      <c r="Q103" s="91"/>
      <c r="R103" s="136"/>
      <c r="S103" s="234"/>
      <c r="T103" s="235"/>
      <c r="U103" s="136"/>
      <c r="V103" s="234"/>
      <c r="W103" s="236"/>
      <c r="X103" s="2"/>
      <c r="Y103" s="5"/>
      <c r="Z103" s="5"/>
      <c r="AA103" s="5"/>
      <c r="AB103" s="180"/>
      <c r="AC103" s="33"/>
      <c r="AD103" s="65"/>
      <c r="AE103" s="66"/>
      <c r="AF103" s="144"/>
      <c r="AG103" s="68"/>
      <c r="AH103" s="69"/>
      <c r="AI103" s="39"/>
      <c r="AJ103" s="70"/>
      <c r="AK103" s="70"/>
      <c r="AL103" s="5"/>
      <c r="AM103" s="135" t="s">
        <v>42</v>
      </c>
      <c r="AN103" s="152"/>
      <c r="AO103" s="135" t="s">
        <v>42</v>
      </c>
      <c r="AP103" s="139"/>
      <c r="AQ103" s="5"/>
      <c r="AR103" s="5"/>
      <c r="AS103" s="5"/>
      <c r="AT103" s="5"/>
      <c r="AU103" s="5"/>
      <c r="AV103" s="5"/>
      <c r="AW103" s="5"/>
      <c r="AX103" s="5"/>
      <c r="AY103" s="5"/>
      <c r="AZ103" s="5"/>
      <c r="BA103" s="5"/>
      <c r="BB103" s="5"/>
      <c r="BC103" s="5"/>
      <c r="BD103" s="5"/>
      <c r="BE103" s="5"/>
      <c r="BF103" s="5"/>
      <c r="BG103" s="5"/>
      <c r="BH103" s="5"/>
    </row>
    <row r="104">
      <c r="A104" s="71">
        <v>1.0</v>
      </c>
      <c r="B104" s="102"/>
      <c r="C104" s="103" t="s">
        <v>118</v>
      </c>
      <c r="D104" s="104"/>
      <c r="E104" s="105"/>
      <c r="F104" s="104"/>
      <c r="G104" s="104"/>
      <c r="H104" s="104"/>
      <c r="I104" s="104"/>
      <c r="J104" s="104"/>
      <c r="K104" s="104" t="s">
        <v>42</v>
      </c>
      <c r="L104" s="106">
        <f>Q104</f>
        <v>112.78</v>
      </c>
      <c r="M104" s="105" t="s">
        <v>42</v>
      </c>
      <c r="N104" s="107" t="str">
        <f>IFERROR(__xludf.DUMMYFUNCTION("""COMPUTED_VALUE"""),"")</f>
        <v/>
      </c>
      <c r="O104" s="104"/>
      <c r="P104" s="104"/>
      <c r="Q104" s="106">
        <f>Q105</f>
        <v>112.78</v>
      </c>
      <c r="R104" s="136"/>
      <c r="S104" s="109">
        <f>T104/Q104</f>
        <v>0</v>
      </c>
      <c r="T104" s="109">
        <f>SUM(S105:S116)</f>
        <v>0</v>
      </c>
      <c r="U104" s="136"/>
      <c r="V104" s="109">
        <f>W104/Q104</f>
        <v>0</v>
      </c>
      <c r="W104" s="110">
        <f>SUM(W105:W116)</f>
        <v>0</v>
      </c>
      <c r="X104" s="111" t="str">
        <f>W104/$AC$176/$W$183/$X$173</f>
        <v>#REF!</v>
      </c>
      <c r="Y104" s="112" t="b">
        <f>(T104+W104)=(SUM(AB105:AB116))</f>
        <v>1</v>
      </c>
      <c r="Z104" s="113">
        <f>(T104+W104)-(SUM(AB105:AB116))</f>
        <v>0</v>
      </c>
      <c r="AA104" s="5"/>
      <c r="AB104" s="5"/>
      <c r="AC104" s="33"/>
      <c r="AD104" s="114">
        <f>W104+T104</f>
        <v>0</v>
      </c>
      <c r="AE104" s="115">
        <f>AD104</f>
        <v>0</v>
      </c>
      <c r="AF104" s="116" t="str">
        <f>AE104/$AE$151</f>
        <v>#REF!</v>
      </c>
      <c r="AG104" s="117" t="str">
        <f>AF104*$AG$158</f>
        <v>#REF!</v>
      </c>
      <c r="AH104" s="118" t="str">
        <f>AF104*$AG$161</f>
        <v>#REF!</v>
      </c>
      <c r="AI104" s="39"/>
      <c r="AJ104" s="119" t="str">
        <f>ROUND(AK104/L104,2)</f>
        <v>#REF!</v>
      </c>
      <c r="AK104" s="119" t="str">
        <f>ROUND(AH104+AG104+AD104,2)</f>
        <v>#REF!</v>
      </c>
      <c r="AL104" s="5"/>
      <c r="AM104" s="135" t="s">
        <v>42</v>
      </c>
      <c r="AN104" s="152"/>
      <c r="AO104" s="135" t="s">
        <v>42</v>
      </c>
      <c r="AP104" s="139"/>
      <c r="AQ104" s="5"/>
      <c r="AR104" s="5"/>
      <c r="AS104" s="5"/>
      <c r="AT104" s="5"/>
      <c r="AU104" s="5"/>
      <c r="AV104" s="5"/>
      <c r="AW104" s="5"/>
      <c r="AX104" s="5"/>
      <c r="AY104" s="5"/>
      <c r="AZ104" s="5"/>
      <c r="BA104" s="5"/>
      <c r="BB104" s="5"/>
      <c r="BC104" s="5"/>
      <c r="BD104" s="5"/>
      <c r="BE104" s="5"/>
      <c r="BF104" s="5"/>
      <c r="BG104" s="5"/>
      <c r="BH104" s="5"/>
    </row>
    <row r="105">
      <c r="A105" s="71"/>
      <c r="B105" s="154" t="str">
        <f>IFERROR(__xludf.DUMMYFUNCTION("IFERROR(
  IF(C105="""","""",
    IF(OR(REGEXMATCH(D105,""(?i)-Flashing""), REGEXMATCH(D105,""(?i)-EavesGut""), REGEXMATCH(D105,""(?i)Valley"")),
        ""DR"" &amp;
        TEXT(
            ROUNDUP(
                MIN(
                    VALUE(MID(C105, "&amp;"FIND(""("",C105)+1, FIND(""/"",C105)-FIND(""("",C105)-1)),
                    1200
                ) / 50, 0
            ) * 50, ""0""
        ) &amp;
        MID(C105, FIND(""/"",C105)+1, FIND("")"",C105)-FIND(""/"",C105)-1) &amp;
        TEXT(H105*100,""0"") &amp;"&amp;"
        I105,
    IF(AND(D105=""Roof Sheet"", REGEXMATCH(C105,""(?i)KS\d{4}[A-Z]{2}"")),
       REGEXEXTRACT(C105,""(?i)KS\d{4}[A-Z]{2}""),
    IF(AND(REGEXMATCH(D105,""(?i)-DP""), REGEXMATCH(C105,""(?i)Downpipe"")),
       ""dp"" &amp; REGEXEXTRACT(C105,""("&amp;"\d+)"") &amp; ""mm"",
    IF(AND(REGEXMATCH(D105,""(?i)Bracket""), REGEXMATCH(C105,""(?i)Bracket"")),
       ""Brkt"" &amp; REGEXEXTRACT(C105,""(\d+)"") &amp; ""mm"",
    IF(AND(REGEXMATCH(D105,""(?i)-OP""), REGEXMATCH(C105,""(?i)pops"")),
       ""op"" &amp; REGEXEXTRAC"&amp;"T(C105,""(\d+)"") &amp; ""mm"",
    IF(OR(D105=""R-FFTop"", D105=""R-FFBottom"", D105=""R-FFSide""),
        IF(REGEXMATCH(C105,""(?i)Profiled.*Top|Top.*Profiled""),""pfft"",
        IF(REGEXMATCH(C105,""(?i)Profiled.*Bottom|Bottom.*Profiled""),""pffb"",
    "&amp;"    IF(REGEXMATCH(C105,""(?i)Square""),""sff"",""""))),
    IF(REGEXMATCH(D105,""(?i)-Rivets""),""Rvt"",
    IF(REGEXMATCH(D105,""(?i)Silicone""),""300ml"",
    IF(REGEXMATCH(D105,""(?i)R-Butyl""),""300ml"",
    IF(REGEXMATCH(D105,""(?i)Fix""),""GenFix"","&amp;"
    IF(AND(REGEXMATCH(C105,""(?i)Timber""), REGEXMATCH(D105,""(?i)Timber"")),""tp"",
    IF(AND(REGEXMATCH(C105,""(?i)Vent G1275""), REGEXMATCH(D105,""(?i)Comb FIller"")),""CFV1275"",
    IF(REGEXMATCH(C105,""(?i)DPC""),""dpc"",
    IF(REGEXMATCH(C105,"""&amp;"(?i)Concealed Clips""),""ConClips"",
    IF(REGEXMATCH(D105,""(?i)-Takeoff ea""),""Takeoff ea"",
    IF(REGEXMATCH(D105,""(?i)-Takeoff LM""),""Takeoff LM"",
    IF(REGEXMATCH(D105,""(?i)-Takeoff m2""),""Takeoff m2"",
    IF(D105=""R-TU/TD"",""TU/TD"","""""&amp;")))))))))))))))))
  )))"),"DR6505B55Mag")</f>
        <v>DR6505B55Mag</v>
      </c>
      <c r="C105" s="223" t="s">
        <v>119</v>
      </c>
      <c r="D105" s="124" t="s">
        <v>120</v>
      </c>
      <c r="E105" s="237"/>
      <c r="F105" s="127"/>
      <c r="G105" s="129"/>
      <c r="H105" s="128" t="str">
        <f>IFERROR(__xludf.DUMMYFUNCTION("IFERROR(REGEXEXTRACT(C105, ""(\d*\.\d+)mm""), """")"),"0.55")</f>
        <v>0.55</v>
      </c>
      <c r="I105" s="128" t="s">
        <v>97</v>
      </c>
      <c r="J105" s="126" t="s">
        <v>14</v>
      </c>
      <c r="K105" s="126" t="s">
        <v>55</v>
      </c>
      <c r="L105" s="224">
        <v>112.78</v>
      </c>
      <c r="M105" s="150">
        <v>112.78</v>
      </c>
      <c r="N105" s="215">
        <f>IFERROR(__xludf.DUMMYFUNCTION("""COMPUTED_VALUE"""),1.0)</f>
        <v>1</v>
      </c>
      <c r="O105" s="134">
        <v>1.0</v>
      </c>
      <c r="P105" s="134">
        <v>1.0</v>
      </c>
      <c r="Q105" s="168">
        <f t="shared" ref="Q105:Q110" si="66">M105*N105*O105*P105</f>
        <v>112.78</v>
      </c>
      <c r="R105" s="136" t="s">
        <v>42</v>
      </c>
      <c r="S105" s="137">
        <f t="shared" ref="S105:S110" si="67">R105*Q105</f>
        <v>0</v>
      </c>
      <c r="T105" s="138"/>
      <c r="U105" s="136" t="s">
        <v>42</v>
      </c>
      <c r="V105" s="139"/>
      <c r="W105" s="140">
        <f t="shared" ref="W105:W110" si="68">U105*Q105</f>
        <v>0</v>
      </c>
      <c r="X105" s="2"/>
      <c r="Y105" s="5"/>
      <c r="Z105" s="5"/>
      <c r="AA105" s="5"/>
      <c r="AB105" s="113">
        <f t="shared" ref="AB105:AB116" si="69">W105+S105</f>
        <v>0</v>
      </c>
      <c r="AC105" s="33"/>
      <c r="AD105" s="226"/>
      <c r="AE105" s="227"/>
      <c r="AF105" s="228"/>
      <c r="AG105" s="229"/>
      <c r="AH105" s="230"/>
      <c r="AI105" s="39"/>
      <c r="AJ105" s="231"/>
      <c r="AK105" s="231"/>
      <c r="AL105" s="5"/>
      <c r="AM105" s="135">
        <v>112.78</v>
      </c>
      <c r="AN105" s="152" t="s">
        <v>46</v>
      </c>
      <c r="AO105" s="135">
        <v>0.0</v>
      </c>
      <c r="AP105" s="139"/>
      <c r="AQ105" s="5"/>
      <c r="AR105" s="5"/>
      <c r="AS105" s="5"/>
      <c r="AT105" s="5"/>
      <c r="AU105" s="5"/>
      <c r="AV105" s="5"/>
      <c r="AW105" s="5"/>
      <c r="AX105" s="5"/>
      <c r="AY105" s="5"/>
      <c r="AZ105" s="5"/>
      <c r="BA105" s="5"/>
      <c r="BB105" s="5"/>
      <c r="BC105" s="5"/>
      <c r="BD105" s="5"/>
      <c r="BE105" s="5"/>
      <c r="BF105" s="5"/>
      <c r="BG105" s="5"/>
      <c r="BH105" s="5"/>
    </row>
    <row r="106">
      <c r="A106" s="71"/>
      <c r="B106" s="154" t="str">
        <f>IFERROR(__xludf.DUMMYFUNCTION("IFERROR(
  IF(C106="""","""",
    IF(OR(REGEXMATCH(D106,""(?i)-Flashing""), REGEXMATCH(D106,""(?i)-EavesGut""), REGEXMATCH(D106,""(?i)Valley"")),
        ""DR"" &amp;
        TEXT(
            ROUNDUP(
                MIN(
                    VALUE(MID(C106, "&amp;"FIND(""("",C106)+1, FIND(""/"",C106)-FIND(""("",C106)-1)),
                    1200
                ) / 50, 0
            ) * 50, ""0""
        ) &amp;
        MID(C106, FIND(""/"",C106)+1, FIND("")"",C106)-FIND(""/"",C106)-1) &amp;
        TEXT(H106*100,""0"") &amp;"&amp;"
        I106,
    IF(AND(D106=""Roof Sheet"", REGEXMATCH(C106,""(?i)KS\d{4}[A-Z]{2}"")),
       REGEXEXTRACT(C106,""(?i)KS\d{4}[A-Z]{2}""),
    IF(AND(REGEXMATCH(D106,""(?i)-DP""), REGEXMATCH(C106,""(?i)Downpipe"")),
       ""dp"" &amp; REGEXEXTRACT(C106,""("&amp;"\d+)"") &amp; ""mm"",
    IF(AND(REGEXMATCH(D106,""(?i)Bracket""), REGEXMATCH(C106,""(?i)Bracket"")),
       ""Brkt"" &amp; REGEXEXTRACT(C106,""(\d+)"") &amp; ""mm"",
    IF(AND(REGEXMATCH(D106,""(?i)-OP""), REGEXMATCH(C106,""(?i)pops"")),
       ""op"" &amp; REGEXEXTRAC"&amp;"T(C106,""(\d+)"") &amp; ""mm"",
    IF(OR(D106=""R-FFTop"", D106=""R-FFBottom"", D106=""R-FFSide""),
        IF(REGEXMATCH(C106,""(?i)Profiled.*Top|Top.*Profiled""),""pfft"",
        IF(REGEXMATCH(C106,""(?i)Profiled.*Bottom|Bottom.*Profiled""),""pffb"",
    "&amp;"    IF(REGEXMATCH(C106,""(?i)Square""),""sff"",""""))),
    IF(REGEXMATCH(D106,""(?i)-Rivets""),""Rvt"",
    IF(REGEXMATCH(D106,""(?i)Silicone""),""300ml"",
    IF(REGEXMATCH(D106,""(?i)R-Butyl""),""300ml"",
    IF(REGEXMATCH(D106,""(?i)Fix""),""GenFix"","&amp;"
    IF(AND(REGEXMATCH(C106,""(?i)Timber""), REGEXMATCH(D106,""(?i)Timber"")),""tp"",
    IF(AND(REGEXMATCH(C106,""(?i)Vent G1275""), REGEXMATCH(D106,""(?i)Comb FIller"")),""CFV1275"",
    IF(REGEXMATCH(C106,""(?i)DPC""),""dpc"",
    IF(REGEXMATCH(C106,"""&amp;"(?i)Concealed Clips""),""ConClips"",
    IF(REGEXMATCH(D106,""(?i)-Takeoff ea""),""Takeoff ea"",
    IF(REGEXMATCH(D106,""(?i)-Takeoff LM""),""Takeoff LM"",
    IF(REGEXMATCH(D106,""(?i)-Takeoff m2""),""Takeoff m2"",
    IF(D106=""R-TU/TD"",""TU/TD"","""""&amp;")))))))))))))))))
  )))"),"Brkt300mm")</f>
        <v>Brkt300mm</v>
      </c>
      <c r="C106" s="123" t="s">
        <v>121</v>
      </c>
      <c r="D106" s="124" t="s">
        <v>122</v>
      </c>
      <c r="E106" s="238">
        <v>0.9</v>
      </c>
      <c r="F106" s="129"/>
      <c r="G106" s="129"/>
      <c r="H106" s="127"/>
      <c r="I106" s="127"/>
      <c r="J106" s="126" t="s">
        <v>87</v>
      </c>
      <c r="K106" s="126" t="s">
        <v>52</v>
      </c>
      <c r="L106" s="135">
        <f t="shared" ref="L106:L107" si="70">M105</f>
        <v>112.78</v>
      </c>
      <c r="M106" s="150">
        <f>ROUNDUP(M105/E106,0)+1</f>
        <v>127</v>
      </c>
      <c r="N106" s="151">
        <f>IFERROR(__xludf.DUMMYFUNCTION("""COMPUTED_VALUE"""),1.0)</f>
        <v>1</v>
      </c>
      <c r="O106" s="134">
        <v>1.0</v>
      </c>
      <c r="P106" s="134">
        <v>1.0</v>
      </c>
      <c r="Q106" s="168">
        <f t="shared" si="66"/>
        <v>127</v>
      </c>
      <c r="R106" s="136" t="s">
        <v>42</v>
      </c>
      <c r="S106" s="137">
        <f t="shared" si="67"/>
        <v>0</v>
      </c>
      <c r="T106" s="138"/>
      <c r="U106" s="136" t="s">
        <v>42</v>
      </c>
      <c r="V106" s="139"/>
      <c r="W106" s="140">
        <f t="shared" si="68"/>
        <v>0</v>
      </c>
      <c r="X106" s="2"/>
      <c r="Y106" s="5"/>
      <c r="Z106" s="5"/>
      <c r="AA106" s="5"/>
      <c r="AB106" s="113">
        <f t="shared" si="69"/>
        <v>0</v>
      </c>
      <c r="AC106" s="33"/>
      <c r="AD106" s="65"/>
      <c r="AE106" s="66"/>
      <c r="AF106" s="144"/>
      <c r="AG106" s="68"/>
      <c r="AH106" s="69"/>
      <c r="AI106" s="39"/>
      <c r="AJ106" s="70"/>
      <c r="AK106" s="70"/>
      <c r="AL106" s="5"/>
      <c r="AM106" s="135">
        <v>127.0</v>
      </c>
      <c r="AN106" s="152" t="s">
        <v>46</v>
      </c>
      <c r="AO106" s="135">
        <v>0.0</v>
      </c>
      <c r="AP106" s="139"/>
      <c r="AQ106" s="5"/>
      <c r="AR106" s="5"/>
      <c r="AS106" s="5"/>
      <c r="AT106" s="5"/>
      <c r="AU106" s="5"/>
      <c r="AV106" s="5"/>
      <c r="AW106" s="5"/>
      <c r="AX106" s="5"/>
      <c r="AY106" s="5"/>
      <c r="AZ106" s="5"/>
      <c r="BA106" s="5"/>
      <c r="BB106" s="5"/>
      <c r="BC106" s="5"/>
      <c r="BD106" s="5"/>
      <c r="BE106" s="5"/>
      <c r="BF106" s="5"/>
      <c r="BG106" s="5"/>
      <c r="BH106" s="5"/>
    </row>
    <row r="107" ht="12.75" customHeight="1">
      <c r="A107" s="71"/>
      <c r="B107" s="154" t="str">
        <f>IFERROR(__xludf.DUMMYFUNCTION("IFERROR(
  IF(C107="""","""",
    IF(OR(REGEXMATCH(D107,""(?i)-Flashing""), REGEXMATCH(D107,""(?i)-EavesGut""), REGEXMATCH(D107,""(?i)Valley"")),
        ""DR"" &amp;
        TEXT(
            ROUNDUP(
                MIN(
                    VALUE(MID(C107, "&amp;"FIND(""("",C107)+1, FIND(""/"",C107)-FIND(""("",C107)-1)),
                    1200
                ) / 50, 0
            ) * 50, ""0""
        ) &amp;
        MID(C107, FIND(""/"",C107)+1, FIND("")"",C107)-FIND(""/"",C107)-1) &amp;
        TEXT(H107*100,""0"") &amp;"&amp;"
        I107,
    IF(AND(D107=""Roof Sheet"", REGEXMATCH(C107,""(?i)KS\d{4}[A-Z]{2}"")),
       REGEXEXTRACT(C107,""(?i)KS\d{4}[A-Z]{2}""),
    IF(AND(REGEXMATCH(D107,""(?i)-DP""), REGEXMATCH(C107,""(?i)Downpipe"")),
       ""dp"" &amp; REGEXEXTRACT(C107,""("&amp;"\d+)"") &amp; ""mm"",
    IF(AND(REGEXMATCH(D107,""(?i)Bracket""), REGEXMATCH(C107,""(?i)Bracket"")),
       ""Brkt"" &amp; REGEXEXTRACT(C107,""(\d+)"") &amp; ""mm"",
    IF(AND(REGEXMATCH(D107,""(?i)-OP""), REGEXMATCH(C107,""(?i)pops"")),
       ""op"" &amp; REGEXEXTRAC"&amp;"T(C107,""(\d+)"") &amp; ""mm"",
    IF(OR(D107=""R-FFTop"", D107=""R-FFBottom"", D107=""R-FFSide""),
        IF(REGEXMATCH(C107,""(?i)Profiled.*Top|Top.*Profiled""),""pfft"",
        IF(REGEXMATCH(C107,""(?i)Profiled.*Bottom|Bottom.*Profiled""),""pffb"",
    "&amp;"    IF(REGEXMATCH(C107,""(?i)Square""),""sff"",""""))),
    IF(REGEXMATCH(D107,""(?i)-Rivets""),""Rvt"",
    IF(REGEXMATCH(D107,""(?i)Silicone""),""300ml"",
    IF(REGEXMATCH(D107,""(?i)R-Butyl""),""300ml"",
    IF(REGEXMATCH(D107,""(?i)Fix""),""GenFix"","&amp;"
    IF(AND(REGEXMATCH(C107,""(?i)Timber""), REGEXMATCH(D107,""(?i)Timber"")),""tp"",
    IF(AND(REGEXMATCH(C107,""(?i)Vent G1275""), REGEXMATCH(D107,""(?i)Comb FIller"")),""CFV1275"",
    IF(REGEXMATCH(C107,""(?i)DPC""),""dpc"",
    IF(REGEXMATCH(C107,"""&amp;"(?i)Concealed Clips""),""ConClips"",
    IF(REGEXMATCH(D107,""(?i)-Takeoff ea""),""Takeoff ea"",
    IF(REGEXMATCH(D107,""(?i)-Takeoff LM""),""Takeoff LM"",
    IF(REGEXMATCH(D107,""(?i)-Takeoff m2""),""Takeoff m2"",
    IF(D107=""R-TU/TD"",""TU/TD"","""""&amp;")))))))))))))))))
  )))"),"GenFix")</f>
        <v>GenFix</v>
      </c>
      <c r="C107" s="158" t="s">
        <v>102</v>
      </c>
      <c r="D107" s="124" t="s">
        <v>123</v>
      </c>
      <c r="E107" s="238">
        <v>3.0</v>
      </c>
      <c r="F107" s="129"/>
      <c r="G107" s="129"/>
      <c r="H107" s="127"/>
      <c r="I107" s="127"/>
      <c r="J107" s="126" t="s">
        <v>87</v>
      </c>
      <c r="K107" s="126" t="s">
        <v>52</v>
      </c>
      <c r="L107" s="135">
        <f t="shared" si="70"/>
        <v>127</v>
      </c>
      <c r="M107" s="150">
        <f>ROUNDUP(M106*E107,0)+1</f>
        <v>382</v>
      </c>
      <c r="N107" s="151">
        <f>IFERROR(__xludf.DUMMYFUNCTION("""COMPUTED_VALUE"""),1.0)</f>
        <v>1</v>
      </c>
      <c r="O107" s="134">
        <v>1.0</v>
      </c>
      <c r="P107" s="134">
        <v>1.0</v>
      </c>
      <c r="Q107" s="168">
        <f t="shared" si="66"/>
        <v>382</v>
      </c>
      <c r="R107" s="136" t="s">
        <v>42</v>
      </c>
      <c r="S107" s="137">
        <f t="shared" si="67"/>
        <v>0</v>
      </c>
      <c r="T107" s="138"/>
      <c r="U107" s="136" t="s">
        <v>42</v>
      </c>
      <c r="V107" s="139"/>
      <c r="W107" s="140">
        <f t="shared" si="68"/>
        <v>0</v>
      </c>
      <c r="X107" s="2"/>
      <c r="Y107" s="5"/>
      <c r="Z107" s="5"/>
      <c r="AA107" s="5"/>
      <c r="AB107" s="113">
        <f t="shared" si="69"/>
        <v>0</v>
      </c>
      <c r="AC107" s="33"/>
      <c r="AD107" s="65"/>
      <c r="AE107" s="66"/>
      <c r="AF107" s="144"/>
      <c r="AG107" s="68"/>
      <c r="AH107" s="69"/>
      <c r="AI107" s="39"/>
      <c r="AJ107" s="70"/>
      <c r="AK107" s="70"/>
      <c r="AL107" s="5"/>
      <c r="AM107" s="135">
        <v>382.0</v>
      </c>
      <c r="AN107" s="152" t="s">
        <v>46</v>
      </c>
      <c r="AO107" s="135">
        <v>0.0</v>
      </c>
      <c r="AP107" s="139"/>
      <c r="AQ107" s="5"/>
      <c r="AR107" s="5"/>
      <c r="AS107" s="5"/>
      <c r="AT107" s="5"/>
      <c r="AU107" s="5"/>
      <c r="AV107" s="5"/>
      <c r="AW107" s="5"/>
      <c r="AX107" s="5"/>
      <c r="AY107" s="5"/>
      <c r="AZ107" s="5"/>
      <c r="BA107" s="5"/>
      <c r="BB107" s="5"/>
      <c r="BC107" s="5"/>
      <c r="BD107" s="5"/>
      <c r="BE107" s="5"/>
      <c r="BF107" s="5"/>
      <c r="BG107" s="5"/>
      <c r="BH107" s="5"/>
    </row>
    <row r="108" ht="12.75" customHeight="1">
      <c r="A108" s="71"/>
      <c r="B108" s="154" t="str">
        <f>IFERROR(__xludf.DUMMYFUNCTION("IFERROR(
  IF(C108="""","""",
    IF(OR(REGEXMATCH(D108,""(?i)-Flashing""), REGEXMATCH(D108,""(?i)-EavesGut""), REGEXMATCH(D108,""(?i)Valley"")),
        ""DR"" &amp;
        TEXT(
            ROUNDUP(
                MIN(
                    VALUE(MID(C108, "&amp;"FIND(""("",C108)+1, FIND(""/"",C108)-FIND(""("",C108)-1)),
                    1200
                ) / 50, 0
            ) * 50, ""0""
        ) &amp;
        MID(C108, FIND(""/"",C108)+1, FIND("")"",C108)-FIND(""/"",C108)-1) &amp;
        TEXT(H108*100,""0"") &amp;"&amp;"
        I108,
    IF(AND(D108=""Roof Sheet"", REGEXMATCH(C108,""(?i)KS\d{4}[A-Z]{2}"")),
       REGEXEXTRACT(C108,""(?i)KS\d{4}[A-Z]{2}""),
    IF(AND(REGEXMATCH(D108,""(?i)-DP""), REGEXMATCH(C108,""(?i)Downpipe"")),
       ""dp"" &amp; REGEXEXTRACT(C108,""("&amp;"\d+)"") &amp; ""mm"",
    IF(AND(REGEXMATCH(D108,""(?i)Bracket""), REGEXMATCH(C108,""(?i)Bracket"")),
       ""Brkt"" &amp; REGEXEXTRACT(C108,""(\d+)"") &amp; ""mm"",
    IF(AND(REGEXMATCH(D108,""(?i)-OP""), REGEXMATCH(C108,""(?i)pops"")),
       ""op"" &amp; REGEXEXTRAC"&amp;"T(C108,""(\d+)"") &amp; ""mm"",
    IF(OR(D108=""R-FFTop"", D108=""R-FFBottom"", D108=""R-FFSide""),
        IF(REGEXMATCH(C108,""(?i)Profiled.*Top|Top.*Profiled""),""pfft"",
        IF(REGEXMATCH(C108,""(?i)Profiled.*Bottom|Bottom.*Profiled""),""pffb"",
    "&amp;"    IF(REGEXMATCH(C108,""(?i)Square""),""sff"",""""))),
    IF(REGEXMATCH(D108,""(?i)-Rivets""),""Rvt"",
    IF(REGEXMATCH(D108,""(?i)Silicone""),""300ml"",
    IF(REGEXMATCH(D108,""(?i)R-Butyl""),""300ml"",
    IF(REGEXMATCH(D108,""(?i)Fix""),""GenFix"","&amp;"
    IF(AND(REGEXMATCH(C108,""(?i)Timber""), REGEXMATCH(D108,""(?i)Timber"")),""tp"",
    IF(AND(REGEXMATCH(C108,""(?i)Vent G1275""), REGEXMATCH(D108,""(?i)Comb FIller"")),""CFV1275"",
    IF(REGEXMATCH(C108,""(?i)DPC""),""dpc"",
    IF(REGEXMATCH(C108,"""&amp;"(?i)Concealed Clips""),""ConClips"",
    IF(REGEXMATCH(D108,""(?i)-Takeoff ea""),""Takeoff ea"",
    IF(REGEXMATCH(D108,""(?i)-Takeoff LM""),""Takeoff LM"",
    IF(REGEXMATCH(D108,""(?i)-Takeoff m2""),""Takeoff m2"",
    IF(D108=""R-TU/TD"",""TU/TD"","""""&amp;")))))))))))))))))
  )))"),"Rvt")</f>
        <v>Rvt</v>
      </c>
      <c r="C108" s="214" t="s">
        <v>100</v>
      </c>
      <c r="D108" s="239" t="s">
        <v>124</v>
      </c>
      <c r="E108" s="203">
        <f>E106</f>
        <v>0.9</v>
      </c>
      <c r="F108" s="204"/>
      <c r="G108" s="204"/>
      <c r="H108" s="204" t="str">
        <f>IFERROR(__xludf.DUMMYFUNCTION("IFERROR(REGEXEXTRACT(C108, ""(\d*\.\d+)mm""), """")"),"")</f>
        <v/>
      </c>
      <c r="I108" s="204"/>
      <c r="J108" s="205" t="s">
        <v>87</v>
      </c>
      <c r="K108" s="204" t="s">
        <v>52</v>
      </c>
      <c r="L108" s="206">
        <f>M106</f>
        <v>127</v>
      </c>
      <c r="M108" s="220">
        <v>127.0</v>
      </c>
      <c r="N108" s="207">
        <f>IFERROR(__xludf.DUMMYFUNCTION("""COMPUTED_VALUE"""),1.0)</f>
        <v>1</v>
      </c>
      <c r="O108" s="208">
        <v>1.0</v>
      </c>
      <c r="P108" s="208">
        <v>1.0</v>
      </c>
      <c r="Q108" s="203">
        <f t="shared" si="66"/>
        <v>127</v>
      </c>
      <c r="R108" s="136" t="s">
        <v>42</v>
      </c>
      <c r="S108" s="137">
        <f t="shared" si="67"/>
        <v>0</v>
      </c>
      <c r="T108" s="210"/>
      <c r="U108" s="136" t="s">
        <v>42</v>
      </c>
      <c r="V108" s="209"/>
      <c r="W108" s="211">
        <f t="shared" si="68"/>
        <v>0</v>
      </c>
      <c r="X108" s="179"/>
      <c r="Y108" s="180"/>
      <c r="Z108" s="180"/>
      <c r="AA108" s="180"/>
      <c r="AB108" s="113">
        <f t="shared" si="69"/>
        <v>0</v>
      </c>
      <c r="AC108" s="181"/>
      <c r="AD108" s="182"/>
      <c r="AE108" s="183"/>
      <c r="AF108" s="184"/>
      <c r="AG108" s="185"/>
      <c r="AH108" s="186"/>
      <c r="AI108" s="187"/>
      <c r="AJ108" s="188"/>
      <c r="AK108" s="188"/>
      <c r="AL108" s="180"/>
      <c r="AM108" s="135">
        <v>127.0</v>
      </c>
      <c r="AN108" s="152" t="s">
        <v>46</v>
      </c>
      <c r="AO108" s="135">
        <v>0.0</v>
      </c>
      <c r="AP108" s="139"/>
      <c r="AQ108" s="189"/>
      <c r="AR108" s="189"/>
      <c r="AS108" s="180"/>
      <c r="AT108" s="180"/>
      <c r="AU108" s="180"/>
      <c r="AV108" s="180"/>
      <c r="AW108" s="180"/>
      <c r="AX108" s="180"/>
      <c r="AY108" s="180"/>
      <c r="AZ108" s="180"/>
      <c r="BA108" s="180"/>
      <c r="BB108" s="180"/>
      <c r="BC108" s="180"/>
      <c r="BD108" s="180"/>
      <c r="BE108" s="180"/>
      <c r="BF108" s="180"/>
      <c r="BG108" s="180"/>
      <c r="BH108" s="180"/>
    </row>
    <row r="109" ht="12.75" customHeight="1">
      <c r="A109" s="71"/>
      <c r="B109" s="154" t="str">
        <f>IFERROR(__xludf.DUMMYFUNCTION("IFERROR(
  IF(C109="""","""",
    IF(OR(REGEXMATCH(D109,""(?i)-Flashing""), REGEXMATCH(D109,""(?i)-EavesGut""), REGEXMATCH(D109,""(?i)Valley"")),
        ""DR"" &amp;
        TEXT(
            ROUNDUP(
                MIN(
                    VALUE(MID(C109, "&amp;"FIND(""("",C109)+1, FIND(""/"",C109)-FIND(""("",C109)-1)),
                    1200
                ) / 50, 0
            ) * 50, ""0""
        ) &amp;
        MID(C109, FIND(""/"",C109)+1, FIND("")"",C109)-FIND(""/"",C109)-1) &amp;
        TEXT(H109*100,""0"") &amp;"&amp;"
        I109,
    IF(AND(D109=""Roof Sheet"", REGEXMATCH(C109,""(?i)KS\d{4}[A-Z]{2}"")),
       REGEXEXTRACT(C109,""(?i)KS\d{4}[A-Z]{2}""),
    IF(AND(REGEXMATCH(D109,""(?i)-DP""), REGEXMATCH(C109,""(?i)Downpipe"")),
       ""dp"" &amp; REGEXEXTRACT(C109,""("&amp;"\d+)"") &amp; ""mm"",
    IF(AND(REGEXMATCH(D109,""(?i)Bracket""), REGEXMATCH(C109,""(?i)Bracket"")),
       ""Brkt"" &amp; REGEXEXTRACT(C109,""(\d+)"") &amp; ""mm"",
    IF(AND(REGEXMATCH(D109,""(?i)-OP""), REGEXMATCH(C109,""(?i)pops"")),
       ""op"" &amp; REGEXEXTRAC"&amp;"T(C109,""(\d+)"") &amp; ""mm"",
    IF(OR(D109=""R-FFTop"", D109=""R-FFBottom"", D109=""R-FFSide""),
        IF(REGEXMATCH(C109,""(?i)Profiled.*Top|Top.*Profiled""),""pfft"",
        IF(REGEXMATCH(C109,""(?i)Profiled.*Bottom|Bottom.*Profiled""),""pffb"",
    "&amp;"    IF(REGEXMATCH(C109,""(?i)Square""),""sff"",""""))),
    IF(REGEXMATCH(D109,""(?i)-Rivets""),""Rvt"",
    IF(REGEXMATCH(D109,""(?i)Silicone""),""300ml"",
    IF(REGEXMATCH(D109,""(?i)R-Butyl""),""300ml"",
    IF(REGEXMATCH(D109,""(?i)Fix""),""GenFix"","&amp;"
    IF(AND(REGEXMATCH(C109,""(?i)Timber""), REGEXMATCH(D109,""(?i)Timber"")),""tp"",
    IF(AND(REGEXMATCH(C109,""(?i)Vent G1275""), REGEXMATCH(D109,""(?i)Comb FIller"")),""CFV1275"",
    IF(REGEXMATCH(C109,""(?i)DPC""),""dpc"",
    IF(REGEXMATCH(C109,"""&amp;"(?i)Concealed Clips""),""ConClips"",
    IF(REGEXMATCH(D109,""(?i)-Takeoff ea""),""Takeoff ea"",
    IF(REGEXMATCH(D109,""(?i)-Takeoff LM""),""Takeoff LM"",
    IF(REGEXMATCH(D109,""(?i)-Takeoff m2""),""Takeoff m2"",
    IF(D109=""R-TU/TD"",""TU/TD"","""""&amp;")))))))))))))))))
  )))"),"pffb")</f>
        <v>pffb</v>
      </c>
      <c r="C109" s="158" t="s">
        <v>125</v>
      </c>
      <c r="D109" s="124" t="s">
        <v>126</v>
      </c>
      <c r="E109" s="237"/>
      <c r="F109" s="129"/>
      <c r="G109" s="129"/>
      <c r="H109" s="127"/>
      <c r="I109" s="127"/>
      <c r="J109" s="126" t="s">
        <v>87</v>
      </c>
      <c r="K109" s="126" t="s">
        <v>55</v>
      </c>
      <c r="L109" s="135">
        <f>M105</f>
        <v>112.78</v>
      </c>
      <c r="M109" s="150">
        <f>M105</f>
        <v>112.78</v>
      </c>
      <c r="N109" s="151">
        <f>IFERROR(__xludf.DUMMYFUNCTION("""COMPUTED_VALUE"""),1.0)</f>
        <v>1</v>
      </c>
      <c r="O109" s="134">
        <v>1.0</v>
      </c>
      <c r="P109" s="134">
        <v>1.0</v>
      </c>
      <c r="Q109" s="168">
        <f t="shared" si="66"/>
        <v>112.78</v>
      </c>
      <c r="R109" s="136" t="s">
        <v>42</v>
      </c>
      <c r="S109" s="137">
        <f t="shared" si="67"/>
        <v>0</v>
      </c>
      <c r="T109" s="138"/>
      <c r="U109" s="136" t="s">
        <v>42</v>
      </c>
      <c r="V109" s="139"/>
      <c r="W109" s="140">
        <f t="shared" si="68"/>
        <v>0</v>
      </c>
      <c r="X109" s="2"/>
      <c r="Y109" s="5"/>
      <c r="Z109" s="5"/>
      <c r="AA109" s="5"/>
      <c r="AB109" s="113">
        <f t="shared" si="69"/>
        <v>0</v>
      </c>
      <c r="AC109" s="33"/>
      <c r="AD109" s="65"/>
      <c r="AE109" s="66"/>
      <c r="AF109" s="144"/>
      <c r="AG109" s="68"/>
      <c r="AH109" s="69"/>
      <c r="AI109" s="39"/>
      <c r="AJ109" s="70"/>
      <c r="AK109" s="70"/>
      <c r="AL109" s="5"/>
      <c r="AM109" s="135">
        <v>112.78</v>
      </c>
      <c r="AN109" s="152" t="s">
        <v>46</v>
      </c>
      <c r="AO109" s="135">
        <v>0.0</v>
      </c>
      <c r="AP109" s="139"/>
      <c r="AQ109" s="5"/>
      <c r="AR109" s="5"/>
      <c r="AS109" s="5"/>
      <c r="AT109" s="5"/>
      <c r="AU109" s="5"/>
      <c r="AV109" s="5"/>
      <c r="AW109" s="5"/>
      <c r="AX109" s="5"/>
      <c r="AY109" s="5"/>
      <c r="AZ109" s="5"/>
      <c r="BA109" s="5"/>
      <c r="BB109" s="5"/>
      <c r="BC109" s="5"/>
      <c r="BD109" s="5"/>
      <c r="BE109" s="5"/>
      <c r="BF109" s="5"/>
      <c r="BG109" s="5"/>
      <c r="BH109" s="5"/>
    </row>
    <row r="110" ht="12.75" customHeight="1">
      <c r="A110" s="71"/>
      <c r="B110" s="154" t="str">
        <f>IFERROR(__xludf.DUMMYFUNCTION("IFERROR(
  IF(C110="""","""",
    IF(OR(REGEXMATCH(D110,""(?i)-Flashing""), REGEXMATCH(D110,""(?i)-EavesGut""), REGEXMATCH(D110,""(?i)Valley"")),
        ""DR"" &amp;
        TEXT(
            ROUNDUP(
                MIN(
                    VALUE(MID(C110, "&amp;"FIND(""("",C110)+1, FIND(""/"",C110)-FIND(""("",C110)-1)),
                    1200
                ) / 50, 0
            ) * 50, ""0""
        ) &amp;
        MID(C110, FIND(""/"",C110)+1, FIND("")"",C110)-FIND(""/"",C110)-1) &amp;
        TEXT(H110*100,""0"") &amp;"&amp;"
        I110,
    IF(AND(D110=""Roof Sheet"", REGEXMATCH(C110,""(?i)KS\d{4}[A-Z]{2}"")),
       REGEXEXTRACT(C110,""(?i)KS\d{4}[A-Z]{2}""),
    IF(AND(REGEXMATCH(D110,""(?i)-DP""), REGEXMATCH(C110,""(?i)Downpipe"")),
       ""dp"" &amp; REGEXEXTRACT(C110,""("&amp;"\d+)"") &amp; ""mm"",
    IF(AND(REGEXMATCH(D110,""(?i)Bracket""), REGEXMATCH(C110,""(?i)Bracket"")),
       ""Brkt"" &amp; REGEXEXTRACT(C110,""(\d+)"") &amp; ""mm"",
    IF(AND(REGEXMATCH(D110,""(?i)-OP""), REGEXMATCH(C110,""(?i)pops"")),
       ""op"" &amp; REGEXEXTRAC"&amp;"T(C110,""(\d+)"") &amp; ""mm"",
    IF(OR(D110=""R-FFTop"", D110=""R-FFBottom"", D110=""R-FFSide""),
        IF(REGEXMATCH(C110,""(?i)Profiled.*Top|Top.*Profiled""),""pfft"",
        IF(REGEXMATCH(C110,""(?i)Profiled.*Bottom|Bottom.*Profiled""),""pffb"",
    "&amp;"    IF(REGEXMATCH(C110,""(?i)Square""),""sff"",""""))),
    IF(REGEXMATCH(D110,""(?i)-Rivets""),""Rvt"",
    IF(REGEXMATCH(D110,""(?i)Silicone""),""300ml"",
    IF(REGEXMATCH(D110,""(?i)R-Butyl""),""300ml"",
    IF(REGEXMATCH(D110,""(?i)Fix""),""GenFix"","&amp;"
    IF(AND(REGEXMATCH(C110,""(?i)Timber""), REGEXMATCH(D110,""(?i)Timber"")),""tp"",
    IF(AND(REGEXMATCH(C110,""(?i)Vent G1275""), REGEXMATCH(D110,""(?i)Comb FIller"")),""CFV1275"",
    IF(REGEXMATCH(C110,""(?i)DPC""),""dpc"",
    IF(REGEXMATCH(C110,"""&amp;"(?i)Concealed Clips""),""ConClips"",
    IF(REGEXMATCH(D110,""(?i)-Takeoff ea""),""Takeoff ea"",
    IF(REGEXMATCH(D110,""(?i)-Takeoff LM""),""Takeoff LM"",
    IF(REGEXMATCH(D110,""(?i)-Takeoff m2""),""Takeoff m2"",
    IF(D110=""R-TU/TD"",""TU/TD"","""""&amp;")))))))))))))))))
  )))"),"TU/TD")</f>
        <v>TU/TD</v>
      </c>
      <c r="C110" s="158" t="s">
        <v>127</v>
      </c>
      <c r="D110" s="124" t="s">
        <v>107</v>
      </c>
      <c r="E110" s="237"/>
      <c r="F110" s="129"/>
      <c r="G110" s="129"/>
      <c r="H110" s="127"/>
      <c r="I110" s="127"/>
      <c r="J110" s="126" t="s">
        <v>87</v>
      </c>
      <c r="K110" s="126" t="s">
        <v>55</v>
      </c>
      <c r="L110" s="135">
        <f>M105</f>
        <v>112.78</v>
      </c>
      <c r="M110" s="150">
        <f>M105</f>
        <v>112.78</v>
      </c>
      <c r="N110" s="151">
        <f>IFERROR(__xludf.DUMMYFUNCTION("""COMPUTED_VALUE"""),1.0)</f>
        <v>1</v>
      </c>
      <c r="O110" s="134">
        <v>1.0</v>
      </c>
      <c r="P110" s="134">
        <v>1.0</v>
      </c>
      <c r="Q110" s="168">
        <f t="shared" si="66"/>
        <v>112.78</v>
      </c>
      <c r="R110" s="136" t="s">
        <v>42</v>
      </c>
      <c r="S110" s="137">
        <f t="shared" si="67"/>
        <v>0</v>
      </c>
      <c r="T110" s="138"/>
      <c r="U110" s="136" t="s">
        <v>42</v>
      </c>
      <c r="V110" s="139"/>
      <c r="W110" s="140">
        <f t="shared" si="68"/>
        <v>0</v>
      </c>
      <c r="X110" s="2"/>
      <c r="Y110" s="5"/>
      <c r="Z110" s="5"/>
      <c r="AA110" s="5"/>
      <c r="AB110" s="113">
        <f t="shared" si="69"/>
        <v>0</v>
      </c>
      <c r="AC110" s="33"/>
      <c r="AD110" s="65"/>
      <c r="AE110" s="66"/>
      <c r="AF110" s="144"/>
      <c r="AG110" s="68"/>
      <c r="AH110" s="69"/>
      <c r="AI110" s="39"/>
      <c r="AJ110" s="70"/>
      <c r="AK110" s="70"/>
      <c r="AL110" s="5"/>
      <c r="AM110" s="135">
        <v>112.78</v>
      </c>
      <c r="AN110" s="152" t="s">
        <v>46</v>
      </c>
      <c r="AO110" s="135">
        <v>0.0</v>
      </c>
      <c r="AP110" s="139"/>
      <c r="AQ110" s="5"/>
      <c r="AR110" s="5"/>
      <c r="AS110" s="5"/>
      <c r="AT110" s="5"/>
      <c r="AU110" s="5"/>
      <c r="AV110" s="5"/>
      <c r="AW110" s="5"/>
      <c r="AX110" s="5"/>
      <c r="AY110" s="5"/>
      <c r="AZ110" s="5"/>
      <c r="BA110" s="5"/>
      <c r="BB110" s="5"/>
      <c r="BC110" s="5"/>
      <c r="BD110" s="5"/>
      <c r="BE110" s="5"/>
      <c r="BF110" s="5"/>
      <c r="BG110" s="5"/>
      <c r="BH110" s="5"/>
    </row>
    <row r="111" ht="12.75" customHeight="1">
      <c r="A111" s="71"/>
      <c r="B111" s="154"/>
      <c r="C111" s="158"/>
      <c r="D111" s="124"/>
      <c r="E111" s="237"/>
      <c r="F111" s="129"/>
      <c r="G111" s="129"/>
      <c r="H111" s="127"/>
      <c r="I111" s="127"/>
      <c r="J111" s="126"/>
      <c r="K111" s="126" t="s">
        <v>42</v>
      </c>
      <c r="L111" s="135"/>
      <c r="M111" s="150" t="s">
        <v>42</v>
      </c>
      <c r="N111" s="151" t="str">
        <f>IFERROR(__xludf.DUMMYFUNCTION("""COMPUTED_VALUE"""),"")</f>
        <v/>
      </c>
      <c r="O111" s="134"/>
      <c r="P111" s="134"/>
      <c r="Q111" s="168"/>
      <c r="R111" s="136"/>
      <c r="S111" s="137"/>
      <c r="T111" s="138"/>
      <c r="U111" s="136"/>
      <c r="V111" s="139"/>
      <c r="W111" s="140"/>
      <c r="X111" s="2"/>
      <c r="Y111" s="5"/>
      <c r="Z111" s="5"/>
      <c r="AA111" s="5"/>
      <c r="AB111" s="113">
        <f t="shared" si="69"/>
        <v>0</v>
      </c>
      <c r="AC111" s="33"/>
      <c r="AD111" s="65"/>
      <c r="AE111" s="66"/>
      <c r="AF111" s="144"/>
      <c r="AG111" s="68"/>
      <c r="AH111" s="69"/>
      <c r="AI111" s="39"/>
      <c r="AJ111" s="70"/>
      <c r="AK111" s="70"/>
      <c r="AL111" s="5"/>
      <c r="AM111" s="135" t="s">
        <v>42</v>
      </c>
      <c r="AN111" s="152"/>
      <c r="AO111" s="135" t="s">
        <v>42</v>
      </c>
      <c r="AP111" s="139"/>
      <c r="AQ111" s="5"/>
      <c r="AR111" s="5"/>
      <c r="AS111" s="5"/>
      <c r="AT111" s="5"/>
      <c r="AU111" s="5"/>
      <c r="AV111" s="5"/>
      <c r="AW111" s="5"/>
      <c r="AX111" s="5"/>
      <c r="AY111" s="5"/>
      <c r="AZ111" s="5"/>
      <c r="BA111" s="5"/>
      <c r="BB111" s="5"/>
      <c r="BC111" s="5"/>
      <c r="BD111" s="5"/>
      <c r="BE111" s="5"/>
      <c r="BF111" s="5"/>
      <c r="BG111" s="5"/>
      <c r="BH111" s="5"/>
    </row>
    <row r="112" ht="12.75" customHeight="1">
      <c r="A112" s="71"/>
      <c r="B112" s="122" t="s">
        <v>128</v>
      </c>
      <c r="C112" s="123" t="s">
        <v>129</v>
      </c>
      <c r="D112" s="148" t="s">
        <v>130</v>
      </c>
      <c r="E112" s="237"/>
      <c r="F112" s="129"/>
      <c r="G112" s="129"/>
      <c r="H112" s="127"/>
      <c r="I112" s="127"/>
      <c r="J112" s="126" t="s">
        <v>14</v>
      </c>
      <c r="K112" s="126" t="s">
        <v>55</v>
      </c>
      <c r="L112" s="135">
        <f>M105</f>
        <v>112.78</v>
      </c>
      <c r="M112" s="150">
        <f>M105</f>
        <v>112.78</v>
      </c>
      <c r="N112" s="151">
        <f>IFERROR(__xludf.DUMMYFUNCTION("""COMPUTED_VALUE"""),1.0)</f>
        <v>1</v>
      </c>
      <c r="O112" s="134">
        <v>1.0</v>
      </c>
      <c r="P112" s="134">
        <v>1.0</v>
      </c>
      <c r="Q112" s="168">
        <f>M112*N112*O112*P112</f>
        <v>112.78</v>
      </c>
      <c r="R112" s="136" t="s">
        <v>42</v>
      </c>
      <c r="S112" s="137">
        <f>R112*Q112</f>
        <v>0</v>
      </c>
      <c r="T112" s="138"/>
      <c r="U112" s="136" t="s">
        <v>42</v>
      </c>
      <c r="V112" s="139"/>
      <c r="W112" s="140">
        <f>U112*Q112</f>
        <v>0</v>
      </c>
      <c r="X112" s="2"/>
      <c r="Y112" s="5"/>
      <c r="Z112" s="5"/>
      <c r="AA112" s="5"/>
      <c r="AB112" s="113">
        <f t="shared" si="69"/>
        <v>0</v>
      </c>
      <c r="AC112" s="33"/>
      <c r="AD112" s="65"/>
      <c r="AE112" s="66"/>
      <c r="AF112" s="144"/>
      <c r="AG112" s="68"/>
      <c r="AH112" s="69"/>
      <c r="AI112" s="39"/>
      <c r="AJ112" s="70"/>
      <c r="AK112" s="70"/>
      <c r="AL112" s="5"/>
      <c r="AM112" s="135">
        <v>112.78</v>
      </c>
      <c r="AN112" s="152" t="s">
        <v>46</v>
      </c>
      <c r="AO112" s="135">
        <v>0.0</v>
      </c>
      <c r="AP112" s="139"/>
      <c r="AQ112" s="5"/>
      <c r="AR112" s="5"/>
      <c r="AS112" s="5"/>
      <c r="AT112" s="5"/>
      <c r="AU112" s="5"/>
      <c r="AV112" s="5"/>
      <c r="AW112" s="5"/>
      <c r="AX112" s="5"/>
      <c r="AY112" s="5"/>
      <c r="AZ112" s="5"/>
      <c r="BA112" s="5"/>
      <c r="BB112" s="5"/>
      <c r="BC112" s="5"/>
      <c r="BD112" s="5"/>
      <c r="BE112" s="5"/>
      <c r="BF112" s="5"/>
      <c r="BG112" s="5"/>
      <c r="BH112" s="5"/>
    </row>
    <row r="113" ht="12.75" customHeight="1">
      <c r="A113" s="71"/>
      <c r="B113" s="154"/>
      <c r="C113" s="158"/>
      <c r="D113" s="124"/>
      <c r="E113" s="237"/>
      <c r="F113" s="129"/>
      <c r="G113" s="129"/>
      <c r="H113" s="127"/>
      <c r="I113" s="127"/>
      <c r="J113" s="126"/>
      <c r="K113" s="126" t="s">
        <v>42</v>
      </c>
      <c r="L113" s="135"/>
      <c r="M113" s="150" t="s">
        <v>42</v>
      </c>
      <c r="N113" s="151" t="str">
        <f>IFERROR(__xludf.DUMMYFUNCTION("""COMPUTED_VALUE"""),"")</f>
        <v/>
      </c>
      <c r="O113" s="134"/>
      <c r="P113" s="134"/>
      <c r="Q113" s="168"/>
      <c r="R113" s="136"/>
      <c r="S113" s="137"/>
      <c r="T113" s="138"/>
      <c r="U113" s="136"/>
      <c r="V113" s="139"/>
      <c r="W113" s="140"/>
      <c r="X113" s="2"/>
      <c r="Y113" s="5"/>
      <c r="Z113" s="5"/>
      <c r="AA113" s="5"/>
      <c r="AB113" s="113">
        <f t="shared" si="69"/>
        <v>0</v>
      </c>
      <c r="AC113" s="33"/>
      <c r="AD113" s="65"/>
      <c r="AE113" s="66"/>
      <c r="AF113" s="144"/>
      <c r="AG113" s="68"/>
      <c r="AH113" s="69"/>
      <c r="AI113" s="39"/>
      <c r="AJ113" s="70"/>
      <c r="AK113" s="70"/>
      <c r="AL113" s="5"/>
      <c r="AM113" s="135" t="s">
        <v>42</v>
      </c>
      <c r="AN113" s="152"/>
      <c r="AO113" s="135" t="s">
        <v>42</v>
      </c>
      <c r="AP113" s="139"/>
      <c r="AQ113" s="5"/>
      <c r="AR113" s="5"/>
      <c r="AS113" s="5"/>
      <c r="AT113" s="5"/>
      <c r="AU113" s="5"/>
      <c r="AV113" s="5"/>
      <c r="AW113" s="5"/>
      <c r="AX113" s="5"/>
      <c r="AY113" s="5"/>
      <c r="AZ113" s="5"/>
      <c r="BA113" s="5"/>
      <c r="BB113" s="5"/>
      <c r="BC113" s="5"/>
      <c r="BD113" s="5"/>
      <c r="BE113" s="5"/>
      <c r="BF113" s="5"/>
      <c r="BG113" s="5"/>
      <c r="BH113" s="5"/>
    </row>
    <row r="114" ht="12.75" customHeight="1">
      <c r="A114" s="71"/>
      <c r="B114" s="154" t="s">
        <v>131</v>
      </c>
      <c r="C114" s="225" t="s">
        <v>132</v>
      </c>
      <c r="D114" s="124" t="s">
        <v>133</v>
      </c>
      <c r="E114" s="237"/>
      <c r="F114" s="127"/>
      <c r="G114" s="129"/>
      <c r="H114" s="127"/>
      <c r="I114" s="127"/>
      <c r="J114" s="126" t="s">
        <v>87</v>
      </c>
      <c r="K114" s="126" t="s">
        <v>52</v>
      </c>
      <c r="L114" s="224">
        <v>2.0</v>
      </c>
      <c r="M114" s="150">
        <v>2.0</v>
      </c>
      <c r="N114" s="215">
        <f>IFERROR(__xludf.DUMMYFUNCTION("""COMPUTED_VALUE"""),1.0)</f>
        <v>1</v>
      </c>
      <c r="O114" s="134">
        <v>1.0</v>
      </c>
      <c r="P114" s="134">
        <v>1.0</v>
      </c>
      <c r="Q114" s="168">
        <f t="shared" ref="Q114:Q115" si="71">M114*N114*O114*P114</f>
        <v>2</v>
      </c>
      <c r="R114" s="136" t="s">
        <v>42</v>
      </c>
      <c r="S114" s="137">
        <f t="shared" ref="S114:S115" si="72">R114*Q114</f>
        <v>0</v>
      </c>
      <c r="T114" s="138"/>
      <c r="U114" s="136" t="s">
        <v>42</v>
      </c>
      <c r="V114" s="139"/>
      <c r="W114" s="140">
        <f t="shared" ref="W114:W115" si="73">U114*Q114</f>
        <v>0</v>
      </c>
      <c r="X114" s="2"/>
      <c r="Y114" s="5"/>
      <c r="Z114" s="5"/>
      <c r="AA114" s="5"/>
      <c r="AB114" s="113">
        <f t="shared" si="69"/>
        <v>0</v>
      </c>
      <c r="AC114" s="33"/>
      <c r="AD114" s="226"/>
      <c r="AE114" s="227"/>
      <c r="AF114" s="228"/>
      <c r="AG114" s="229"/>
      <c r="AH114" s="230"/>
      <c r="AI114" s="39"/>
      <c r="AJ114" s="231"/>
      <c r="AK114" s="231"/>
      <c r="AL114" s="5"/>
      <c r="AM114" s="135">
        <v>2.0</v>
      </c>
      <c r="AN114" s="152" t="s">
        <v>46</v>
      </c>
      <c r="AO114" s="135">
        <v>0.0</v>
      </c>
      <c r="AP114" s="139"/>
      <c r="AQ114" s="5"/>
      <c r="AR114" s="5"/>
      <c r="AS114" s="5"/>
      <c r="AT114" s="5"/>
      <c r="AU114" s="5"/>
      <c r="AV114" s="5"/>
      <c r="AW114" s="5"/>
      <c r="AX114" s="5"/>
      <c r="AY114" s="5"/>
      <c r="AZ114" s="5"/>
      <c r="BA114" s="5"/>
      <c r="BB114" s="5"/>
      <c r="BC114" s="5"/>
      <c r="BD114" s="5"/>
      <c r="BE114" s="5"/>
      <c r="BF114" s="5"/>
      <c r="BG114" s="5"/>
      <c r="BH114" s="5"/>
    </row>
    <row r="115" ht="12.75" customHeight="1">
      <c r="A115" s="71"/>
      <c r="B115" s="154" t="s">
        <v>134</v>
      </c>
      <c r="C115" s="225" t="s">
        <v>135</v>
      </c>
      <c r="D115" s="124" t="s">
        <v>133</v>
      </c>
      <c r="E115" s="237"/>
      <c r="F115" s="127"/>
      <c r="G115" s="129"/>
      <c r="H115" s="127"/>
      <c r="I115" s="127"/>
      <c r="J115" s="126" t="s">
        <v>87</v>
      </c>
      <c r="K115" s="126" t="s">
        <v>52</v>
      </c>
      <c r="L115" s="224">
        <v>2.0</v>
      </c>
      <c r="M115" s="150">
        <v>2.0</v>
      </c>
      <c r="N115" s="215">
        <f>IFERROR(__xludf.DUMMYFUNCTION("""COMPUTED_VALUE"""),1.0)</f>
        <v>1</v>
      </c>
      <c r="O115" s="134">
        <v>1.0</v>
      </c>
      <c r="P115" s="134">
        <v>1.0</v>
      </c>
      <c r="Q115" s="168">
        <f t="shared" si="71"/>
        <v>2</v>
      </c>
      <c r="R115" s="136" t="s">
        <v>42</v>
      </c>
      <c r="S115" s="137">
        <f t="shared" si="72"/>
        <v>0</v>
      </c>
      <c r="T115" s="138"/>
      <c r="U115" s="136" t="s">
        <v>42</v>
      </c>
      <c r="V115" s="139"/>
      <c r="W115" s="140">
        <f t="shared" si="73"/>
        <v>0</v>
      </c>
      <c r="X115" s="2"/>
      <c r="Y115" s="5"/>
      <c r="Z115" s="5"/>
      <c r="AA115" s="5"/>
      <c r="AB115" s="113">
        <f t="shared" si="69"/>
        <v>0</v>
      </c>
      <c r="AC115" s="33"/>
      <c r="AD115" s="226"/>
      <c r="AE115" s="227"/>
      <c r="AF115" s="228"/>
      <c r="AG115" s="229"/>
      <c r="AH115" s="230"/>
      <c r="AI115" s="39"/>
      <c r="AJ115" s="231"/>
      <c r="AK115" s="231"/>
      <c r="AL115" s="5"/>
      <c r="AM115" s="135">
        <v>2.0</v>
      </c>
      <c r="AN115" s="152" t="s">
        <v>46</v>
      </c>
      <c r="AO115" s="135">
        <v>0.0</v>
      </c>
      <c r="AP115" s="139"/>
      <c r="AQ115" s="5"/>
      <c r="AR115" s="5"/>
      <c r="AS115" s="5"/>
      <c r="AT115" s="5"/>
      <c r="AU115" s="5"/>
      <c r="AV115" s="5"/>
      <c r="AW115" s="5"/>
      <c r="AX115" s="5"/>
      <c r="AY115" s="5"/>
      <c r="AZ115" s="5"/>
      <c r="BA115" s="5"/>
      <c r="BB115" s="5"/>
      <c r="BC115" s="5"/>
      <c r="BD115" s="5"/>
      <c r="BE115" s="5"/>
      <c r="BF115" s="5"/>
      <c r="BG115" s="5"/>
      <c r="BH115" s="5"/>
    </row>
    <row r="116" ht="12.75" customHeight="1">
      <c r="A116" s="71"/>
      <c r="B116" s="160"/>
      <c r="C116" s="127"/>
      <c r="D116" s="127"/>
      <c r="E116" s="161"/>
      <c r="F116" s="127"/>
      <c r="G116" s="129"/>
      <c r="H116" s="127"/>
      <c r="I116" s="127"/>
      <c r="J116" s="129"/>
      <c r="K116" s="129" t="s">
        <v>42</v>
      </c>
      <c r="L116" s="161"/>
      <c r="M116" s="163" t="s">
        <v>42</v>
      </c>
      <c r="N116" s="240" t="str">
        <f>IFERROR(__xludf.DUMMYFUNCTION("""COMPUTED_VALUE"""),"")</f>
        <v/>
      </c>
      <c r="O116" s="127"/>
      <c r="P116" s="127"/>
      <c r="Q116" s="161"/>
      <c r="R116" s="136"/>
      <c r="S116" s="139"/>
      <c r="T116" s="138"/>
      <c r="U116" s="136"/>
      <c r="V116" s="139"/>
      <c r="W116" s="164"/>
      <c r="X116" s="2"/>
      <c r="Y116" s="5"/>
      <c r="Z116" s="5"/>
      <c r="AA116" s="5"/>
      <c r="AB116" s="113">
        <f t="shared" si="69"/>
        <v>0</v>
      </c>
      <c r="AC116" s="33"/>
      <c r="AD116" s="226"/>
      <c r="AE116" s="227"/>
      <c r="AF116" s="228"/>
      <c r="AG116" s="229"/>
      <c r="AH116" s="230"/>
      <c r="AI116" s="39"/>
      <c r="AJ116" s="231"/>
      <c r="AK116" s="231"/>
      <c r="AL116" s="5"/>
      <c r="AM116" s="135" t="s">
        <v>42</v>
      </c>
      <c r="AN116" s="152"/>
      <c r="AO116" s="135" t="s">
        <v>42</v>
      </c>
      <c r="AP116" s="139"/>
      <c r="AQ116" s="5"/>
      <c r="AR116" s="5"/>
      <c r="AS116" s="5"/>
      <c r="AT116" s="5"/>
      <c r="AU116" s="5"/>
      <c r="AV116" s="5"/>
      <c r="AW116" s="5"/>
      <c r="AX116" s="5"/>
      <c r="AY116" s="5"/>
      <c r="AZ116" s="5"/>
      <c r="BA116" s="5"/>
      <c r="BB116" s="5"/>
      <c r="BC116" s="5"/>
      <c r="BD116" s="5"/>
      <c r="BE116" s="5"/>
      <c r="BF116" s="5"/>
      <c r="BG116" s="5"/>
      <c r="BH116" s="5"/>
    </row>
    <row r="117" ht="12.75" customHeight="1">
      <c r="A117" s="71">
        <v>1.0</v>
      </c>
      <c r="B117" s="170"/>
      <c r="C117" s="171" t="s">
        <v>136</v>
      </c>
      <c r="D117" s="172"/>
      <c r="E117" s="173"/>
      <c r="F117" s="174"/>
      <c r="G117" s="174"/>
      <c r="H117" s="174"/>
      <c r="I117" s="174"/>
      <c r="J117" s="174"/>
      <c r="K117" s="174" t="s">
        <v>42</v>
      </c>
      <c r="L117" s="173"/>
      <c r="M117" s="175" t="s">
        <v>42</v>
      </c>
      <c r="N117" s="176" t="str">
        <f>IFERROR(__xludf.DUMMYFUNCTION("""COMPUTED_VALUE"""),"")</f>
        <v/>
      </c>
      <c r="O117" s="174"/>
      <c r="P117" s="174"/>
      <c r="Q117" s="174"/>
      <c r="R117" s="136"/>
      <c r="S117" s="177"/>
      <c r="T117" s="177"/>
      <c r="U117" s="136"/>
      <c r="V117" s="177"/>
      <c r="W117" s="178"/>
      <c r="X117" s="179"/>
      <c r="Y117" s="180"/>
      <c r="Z117" s="180"/>
      <c r="AA117" s="180"/>
      <c r="AB117" s="180"/>
      <c r="AC117" s="181"/>
      <c r="AD117" s="182"/>
      <c r="AE117" s="183"/>
      <c r="AF117" s="184"/>
      <c r="AG117" s="185"/>
      <c r="AH117" s="186"/>
      <c r="AI117" s="187"/>
      <c r="AJ117" s="188"/>
      <c r="AK117" s="188"/>
      <c r="AL117" s="180"/>
      <c r="AM117" s="135" t="s">
        <v>42</v>
      </c>
      <c r="AN117" s="152"/>
      <c r="AO117" s="135" t="s">
        <v>42</v>
      </c>
      <c r="AP117" s="139"/>
      <c r="AQ117" s="189"/>
      <c r="AR117" s="189"/>
      <c r="AS117" s="180"/>
      <c r="AT117" s="180"/>
      <c r="AU117" s="180"/>
      <c r="AV117" s="180"/>
      <c r="AW117" s="180"/>
      <c r="AX117" s="180"/>
      <c r="AY117" s="180"/>
      <c r="AZ117" s="180"/>
      <c r="BA117" s="180"/>
      <c r="BB117" s="180"/>
      <c r="BC117" s="180"/>
      <c r="BD117" s="180"/>
      <c r="BE117" s="180"/>
      <c r="BF117" s="180"/>
      <c r="BG117" s="180"/>
      <c r="BH117" s="180"/>
    </row>
    <row r="118">
      <c r="A118" s="71">
        <v>1.0</v>
      </c>
      <c r="B118" s="190"/>
      <c r="C118" s="191" t="s">
        <v>137</v>
      </c>
      <c r="D118" s="192"/>
      <c r="E118" s="193"/>
      <c r="F118" s="241"/>
      <c r="G118" s="192"/>
      <c r="H118" s="194"/>
      <c r="I118" s="194"/>
      <c r="J118" s="194"/>
      <c r="K118" s="194" t="s">
        <v>42</v>
      </c>
      <c r="L118" s="195">
        <f>Q118</f>
        <v>24</v>
      </c>
      <c r="M118" s="196" t="s">
        <v>42</v>
      </c>
      <c r="N118" s="197" t="str">
        <f>IFERROR(__xludf.DUMMYFUNCTION("""COMPUTED_VALUE"""),"")</f>
        <v/>
      </c>
      <c r="O118" s="194"/>
      <c r="P118" s="194"/>
      <c r="Q118" s="195">
        <f>Q119</f>
        <v>24</v>
      </c>
      <c r="R118" s="136"/>
      <c r="S118" s="198">
        <f>T118/Q118</f>
        <v>0</v>
      </c>
      <c r="T118" s="198">
        <f>SUM(S119:S124)</f>
        <v>0</v>
      </c>
      <c r="U118" s="136"/>
      <c r="V118" s="198">
        <f>W118/Q118</f>
        <v>0</v>
      </c>
      <c r="W118" s="199">
        <f>SUM(W119:W124)</f>
        <v>0</v>
      </c>
      <c r="X118" s="111" t="str">
        <f>W118/$AC$176/$W$183/$X$173</f>
        <v>#REF!</v>
      </c>
      <c r="Y118" s="200" t="b">
        <f>(T118+W118)=(SUM(AB119:AB125))</f>
        <v>1</v>
      </c>
      <c r="Z118" s="180">
        <f>(T118+W118)-(SUM(AB119:AB125))</f>
        <v>0</v>
      </c>
      <c r="AA118" s="180"/>
      <c r="AB118" s="180"/>
      <c r="AC118" s="181"/>
      <c r="AD118" s="114">
        <f>W118+T118</f>
        <v>0</v>
      </c>
      <c r="AE118" s="115">
        <f>AD118</f>
        <v>0</v>
      </c>
      <c r="AF118" s="116" t="str">
        <f>AE118/$AE$151</f>
        <v>#REF!</v>
      </c>
      <c r="AG118" s="117" t="str">
        <f>AF118*$AG$158</f>
        <v>#REF!</v>
      </c>
      <c r="AH118" s="118" t="str">
        <f>AF118*$AG$161</f>
        <v>#REF!</v>
      </c>
      <c r="AI118" s="39"/>
      <c r="AJ118" s="119" t="str">
        <f>ROUND(AK118/L118,2)</f>
        <v>#REF!</v>
      </c>
      <c r="AK118" s="119" t="str">
        <f>ROUND(AH118+AG118+AD118,2)</f>
        <v>#REF!</v>
      </c>
      <c r="AL118" s="180"/>
      <c r="AM118" s="135" t="s">
        <v>42</v>
      </c>
      <c r="AN118" s="152"/>
      <c r="AO118" s="135" t="s">
        <v>42</v>
      </c>
      <c r="AP118" s="139"/>
      <c r="AQ118" s="189"/>
      <c r="AR118" s="189"/>
      <c r="AS118" s="180"/>
      <c r="AT118" s="180"/>
      <c r="AU118" s="180"/>
      <c r="AV118" s="180"/>
      <c r="AW118" s="180"/>
      <c r="AX118" s="180"/>
      <c r="AY118" s="180"/>
      <c r="AZ118" s="180"/>
      <c r="BA118" s="180"/>
      <c r="BB118" s="180"/>
      <c r="BC118" s="180"/>
      <c r="BD118" s="180"/>
      <c r="BE118" s="180"/>
      <c r="BF118" s="180"/>
      <c r="BG118" s="180"/>
      <c r="BH118" s="180"/>
    </row>
    <row r="119" ht="12.75" customHeight="1">
      <c r="A119" s="71"/>
      <c r="B119" s="154" t="str">
        <f>IFERROR(__xludf.DUMMYFUNCTION("IFERROR(
  IF(C119="""","""",
    IF(OR(REGEXMATCH(D119,""(?i)-Flashing""), REGEXMATCH(D119,""(?i)-EavesGut""), REGEXMATCH(D119,""(?i)Valley"")),
        ""DR"" &amp;
        TEXT(
            ROUNDUP(
                MIN(
                    VALUE(MID(C119, "&amp;"FIND(""("",C119)+1, FIND(""/"",C119)-FIND(""("",C119)-1)),
                    1200
                ) / 50, 0
            ) * 50, ""0""
        ) &amp;
        MID(C119, FIND(""/"",C119)+1, FIND("")"",C119)-FIND(""/"",C119)-1) &amp;
        TEXT(H119*100,""0"") &amp;"&amp;"
        I119,
    IF(AND(D119=""Roof Sheet"", REGEXMATCH(C119,""(?i)KS\d{4}[A-Z]{2}"")),
       REGEXEXTRACT(C119,""(?i)KS\d{4}[A-Z]{2}""),
    IF(AND(REGEXMATCH(D119,""(?i)-DP""), REGEXMATCH(C119,""(?i)Downpipe"")),
       ""dp"" &amp; REGEXEXTRACT(C119,""("&amp;"\d+)"") &amp; ""mm"",
    IF(AND(REGEXMATCH(D119,""(?i)Bracket""), REGEXMATCH(C119,""(?i)Bracket"")),
       ""Brkt"" &amp; REGEXEXTRACT(C119,""(\d+)"") &amp; ""mm"",
    IF(AND(REGEXMATCH(D119,""(?i)-OP""), REGEXMATCH(C119,""(?i)pops"")),
       ""op"" &amp; REGEXEXTRAC"&amp;"T(C119,""(\d+)"") &amp; ""mm"",
    IF(OR(D119=""R-FFTop"", D119=""R-FFBottom"", D119=""R-FFSide""),
        IF(REGEXMATCH(C119,""(?i)Profiled.*Top|Top.*Profiled""),""pfft"",
        IF(REGEXMATCH(C119,""(?i)Profiled.*Bottom|Bottom.*Profiled""),""pffb"",
    "&amp;"    IF(REGEXMATCH(C119,""(?i)Square""),""sff"",""""))),
    IF(REGEXMATCH(D119,""(?i)-Rivets""),""Rvt"",
    IF(REGEXMATCH(D119,""(?i)Silicone""),""300ml"",
    IF(REGEXMATCH(D119,""(?i)R-Butyl""),""300ml"",
    IF(REGEXMATCH(D119,""(?i)Fix""),""GenFix"","&amp;"
    IF(AND(REGEXMATCH(C119,""(?i)Timber""), REGEXMATCH(D119,""(?i)Timber"")),""tp"",
    IF(AND(REGEXMATCH(C119,""(?i)Vent G1275""), REGEXMATCH(D119,""(?i)Comb FIller"")),""CFV1275"",
    IF(REGEXMATCH(C119,""(?i)DPC""),""dpc"",
    IF(REGEXMATCH(C119,"""&amp;"(?i)Concealed Clips""),""ConClips"",
    IF(REGEXMATCH(D119,""(?i)-Takeoff ea""),""Takeoff ea"",
    IF(REGEXMATCH(D119,""(?i)-Takeoff LM""),""Takeoff LM"",
    IF(REGEXMATCH(D119,""(?i)-Takeoff m2""),""Takeoff m2"",
    IF(D119=""R-TU/TD"",""TU/TD"","""""&amp;")))))))))))))))))
  )))"),"dp150mm")</f>
        <v>dp150mm</v>
      </c>
      <c r="C119" s="123" t="s">
        <v>138</v>
      </c>
      <c r="D119" s="124" t="s">
        <v>139</v>
      </c>
      <c r="E119" s="163"/>
      <c r="F119" s="129"/>
      <c r="G119" s="129"/>
      <c r="H119" s="127"/>
      <c r="I119" s="155"/>
      <c r="J119" s="126" t="s">
        <v>14</v>
      </c>
      <c r="K119" s="126" t="s">
        <v>55</v>
      </c>
      <c r="L119" s="131">
        <v>5.0</v>
      </c>
      <c r="M119" s="150">
        <v>5.0</v>
      </c>
      <c r="N119" s="151">
        <f>IFERROR(__xludf.DUMMYFUNCTION("""COMPUTED_VALUE"""),1.0)</f>
        <v>1</v>
      </c>
      <c r="O119" s="156">
        <v>2.0</v>
      </c>
      <c r="P119" s="156">
        <v>2.4</v>
      </c>
      <c r="Q119" s="242">
        <f t="shared" ref="Q119:Q120" si="74">M119*N119*O119*P119</f>
        <v>24</v>
      </c>
      <c r="R119" s="136" t="s">
        <v>42</v>
      </c>
      <c r="S119" s="137">
        <f t="shared" ref="S119:S120" si="75">R119*Q119</f>
        <v>0</v>
      </c>
      <c r="T119" s="138"/>
      <c r="U119" s="136" t="s">
        <v>42</v>
      </c>
      <c r="V119" s="139"/>
      <c r="W119" s="140">
        <f t="shared" ref="W119:W120" si="76">U119*Q119</f>
        <v>0</v>
      </c>
      <c r="X119" s="165"/>
      <c r="Y119" s="5"/>
      <c r="Z119" s="5"/>
      <c r="AA119" s="5"/>
      <c r="AB119" s="113">
        <f t="shared" ref="AB119:AB125" si="77">W119+S119</f>
        <v>0</v>
      </c>
      <c r="AC119" s="33"/>
      <c r="AD119" s="65"/>
      <c r="AE119" s="66"/>
      <c r="AF119" s="144"/>
      <c r="AG119" s="68"/>
      <c r="AH119" s="69"/>
      <c r="AI119" s="39"/>
      <c r="AJ119" s="70"/>
      <c r="AK119" s="70"/>
      <c r="AL119" s="5"/>
      <c r="AM119" s="135">
        <v>5.0</v>
      </c>
      <c r="AN119" s="152" t="s">
        <v>46</v>
      </c>
      <c r="AO119" s="135">
        <v>0.0</v>
      </c>
      <c r="AP119" s="139"/>
      <c r="AQ119" s="5"/>
      <c r="AR119" s="5"/>
      <c r="AS119" s="5"/>
      <c r="AT119" s="5"/>
      <c r="AU119" s="5"/>
      <c r="AV119" s="5"/>
      <c r="AW119" s="5"/>
      <c r="AX119" s="5"/>
      <c r="AY119" s="5"/>
      <c r="AZ119" s="5"/>
      <c r="BA119" s="5"/>
      <c r="BB119" s="5"/>
      <c r="BC119" s="5"/>
      <c r="BD119" s="5"/>
      <c r="BE119" s="5"/>
      <c r="BF119" s="5"/>
      <c r="BG119" s="5"/>
      <c r="BH119" s="5"/>
    </row>
    <row r="120" ht="12.75" customHeight="1">
      <c r="A120" s="71"/>
      <c r="B120" s="154" t="str">
        <f>IFERROR(__xludf.DUMMYFUNCTION("IFERROR(
  IF(C120="""","""",
    IF(OR(REGEXMATCH(D120,""(?i)-Flashing""), REGEXMATCH(D120,""(?i)-EavesGut""), REGEXMATCH(D120,""(?i)Valley"")),
        ""DR"" &amp;
        TEXT(
            ROUNDUP(
                MIN(
                    VALUE(MID(C120, "&amp;"FIND(""("",C120)+1, FIND(""/"",C120)-FIND(""("",C120)-1)),
                    1200
                ) / 50, 0
            ) * 50, ""0""
        ) &amp;
        MID(C120, FIND(""/"",C120)+1, FIND("")"",C120)-FIND(""/"",C120)-1) &amp;
        TEXT(H120*100,""0"") &amp;"&amp;"
        I120,
    IF(AND(D120=""Roof Sheet"", REGEXMATCH(C120,""(?i)KS\d{4}[A-Z]{2}"")),
       REGEXEXTRACT(C120,""(?i)KS\d{4}[A-Z]{2}""),
    IF(AND(REGEXMATCH(D120,""(?i)-DP""), REGEXMATCH(C120,""(?i)Downpipe"")),
       ""dp"" &amp; REGEXEXTRACT(C120,""("&amp;"\d+)"") &amp; ""mm"",
    IF(AND(REGEXMATCH(D120,""(?i)Bracket""), REGEXMATCH(C120,""(?i)Bracket"")),
       ""Brkt"" &amp; REGEXEXTRACT(C120,""(\d+)"") &amp; ""mm"",
    IF(AND(REGEXMATCH(D120,""(?i)-OP""), REGEXMATCH(C120,""(?i)pops"")),
       ""op"" &amp; REGEXEXTRAC"&amp;"T(C120,""(\d+)"") &amp; ""mm"",
    IF(OR(D120=""R-FFTop"", D120=""R-FFBottom"", D120=""R-FFSide""),
        IF(REGEXMATCH(C120,""(?i)Profiled.*Top|Top.*Profiled""),""pfft"",
        IF(REGEXMATCH(C120,""(?i)Profiled.*Bottom|Bottom.*Profiled""),""pffb"",
    "&amp;"    IF(REGEXMATCH(C120,""(?i)Square""),""sff"",""""))),
    IF(REGEXMATCH(D120,""(?i)-Rivets""),""Rvt"",
    IF(REGEXMATCH(D120,""(?i)Silicone""),""300ml"",
    IF(REGEXMATCH(D120,""(?i)R-Butyl""),""300ml"",
    IF(REGEXMATCH(D120,""(?i)Fix""),""GenFix"","&amp;"
    IF(AND(REGEXMATCH(C120,""(?i)Timber""), REGEXMATCH(D120,""(?i)Timber"")),""tp"",
    IF(AND(REGEXMATCH(C120,""(?i)Vent G1275""), REGEXMATCH(D120,""(?i)Comb FIller"")),""CFV1275"",
    IF(REGEXMATCH(C120,""(?i)DPC""),""dpc"",
    IF(REGEXMATCH(C120,"""&amp;"(?i)Concealed Clips""),""ConClips"",
    IF(REGEXMATCH(D120,""(?i)-Takeoff ea""),""Takeoff ea"",
    IF(REGEXMATCH(D120,""(?i)-Takeoff LM""),""Takeoff LM"",
    IF(REGEXMATCH(D120,""(?i)-Takeoff m2""),""Takeoff m2"",
    IF(D120=""R-TU/TD"",""TU/TD"","""""&amp;")))))))))))))))))
  )))"),"Brkt150mm")</f>
        <v>Brkt150mm</v>
      </c>
      <c r="C120" s="123" t="s">
        <v>140</v>
      </c>
      <c r="D120" s="124" t="s">
        <v>141</v>
      </c>
      <c r="E120" s="163"/>
      <c r="F120" s="129"/>
      <c r="G120" s="129"/>
      <c r="H120" s="127"/>
      <c r="I120" s="127"/>
      <c r="J120" s="126" t="s">
        <v>87</v>
      </c>
      <c r="K120" s="126" t="s">
        <v>52</v>
      </c>
      <c r="L120" s="135">
        <f>M119</f>
        <v>5</v>
      </c>
      <c r="M120" s="150">
        <v>5.0</v>
      </c>
      <c r="N120" s="151">
        <f>IFERROR(__xludf.DUMMYFUNCTION("""COMPUTED_VALUE"""),1.0)</f>
        <v>1</v>
      </c>
      <c r="O120" s="134">
        <f>O119</f>
        <v>2</v>
      </c>
      <c r="P120" s="134">
        <v>1.0</v>
      </c>
      <c r="Q120" s="242">
        <f t="shared" si="74"/>
        <v>10</v>
      </c>
      <c r="R120" s="136" t="s">
        <v>42</v>
      </c>
      <c r="S120" s="137">
        <f t="shared" si="75"/>
        <v>0</v>
      </c>
      <c r="T120" s="138"/>
      <c r="U120" s="136" t="s">
        <v>42</v>
      </c>
      <c r="V120" s="139"/>
      <c r="W120" s="140">
        <f t="shared" si="76"/>
        <v>0</v>
      </c>
      <c r="X120" s="2"/>
      <c r="Y120" s="5"/>
      <c r="Z120" s="5"/>
      <c r="AA120" s="5"/>
      <c r="AB120" s="113">
        <f t="shared" si="77"/>
        <v>0</v>
      </c>
      <c r="AC120" s="33"/>
      <c r="AD120" s="65"/>
      <c r="AE120" s="66"/>
      <c r="AF120" s="144"/>
      <c r="AG120" s="68"/>
      <c r="AH120" s="69"/>
      <c r="AI120" s="39"/>
      <c r="AJ120" s="70"/>
      <c r="AK120" s="70"/>
      <c r="AL120" s="5"/>
      <c r="AM120" s="135">
        <v>5.0</v>
      </c>
      <c r="AN120" s="152" t="s">
        <v>46</v>
      </c>
      <c r="AO120" s="135">
        <v>0.0</v>
      </c>
      <c r="AP120" s="139"/>
      <c r="AQ120" s="5"/>
      <c r="AR120" s="5"/>
      <c r="AS120" s="5"/>
      <c r="AT120" s="5"/>
      <c r="AU120" s="5"/>
      <c r="AV120" s="5"/>
      <c r="AW120" s="5"/>
      <c r="AX120" s="5"/>
      <c r="AY120" s="5"/>
      <c r="AZ120" s="5"/>
      <c r="BA120" s="5"/>
      <c r="BB120" s="5"/>
      <c r="BC120" s="5"/>
      <c r="BD120" s="5"/>
      <c r="BE120" s="5"/>
      <c r="BF120" s="5"/>
      <c r="BG120" s="5"/>
      <c r="BH120" s="5"/>
    </row>
    <row r="121" ht="12.75" customHeight="1">
      <c r="A121" s="71"/>
      <c r="B121" s="154" t="str">
        <f>IFERROR(__xludf.DUMMYFUNCTION("IFERROR(
  IF(C121="""","""",
    IF(OR(REGEXMATCH(D121,""(?i)-Flashing""), REGEXMATCH(D121,""(?i)-EavesGut""), REGEXMATCH(D121,""(?i)Valley"")),
        ""DR"" &amp;
        TEXT(
            ROUNDUP(
                MIN(
                    VALUE(MID(C121, "&amp;"FIND(""("",C121)+1, FIND(""/"",C121)-FIND(""("",C121)-1)),
                    1200
                ) / 50, 0
            ) * 50, ""0""
        ) &amp;
        MID(C121, FIND(""/"",C121)+1, FIND("")"",C121)-FIND(""/"",C121)-1) &amp;
        TEXT(H121*100,""0"") &amp;"&amp;"
        I121,
    IF(AND(D121=""Roof Sheet"", REGEXMATCH(C121,""(?i)KS\d{4}[A-Z]{2}"")),
       REGEXEXTRACT(C121,""(?i)KS\d{4}[A-Z]{2}""),
    IF(AND(REGEXMATCH(D121,""(?i)-DP""), REGEXMATCH(C121,""(?i)Downpipe"")),
       ""dp"" &amp; REGEXEXTRACT(C121,""("&amp;"\d+)"") &amp; ""mm"",
    IF(AND(REGEXMATCH(D121,""(?i)Bracket""), REGEXMATCH(C121,""(?i)Bracket"")),
       ""Brkt"" &amp; REGEXEXTRACT(C121,""(\d+)"") &amp; ""mm"",
    IF(AND(REGEXMATCH(D121,""(?i)-OP""), REGEXMATCH(C121,""(?i)pops"")),
       ""op"" &amp; REGEXEXTRAC"&amp;"T(C121,""(\d+)"") &amp; ""mm"",
    IF(OR(D121=""R-FFTop"", D121=""R-FFBottom"", D121=""R-FFSide""),
        IF(REGEXMATCH(C121,""(?i)Profiled.*Top|Top.*Profiled""),""pfft"",
        IF(REGEXMATCH(C121,""(?i)Profiled.*Bottom|Bottom.*Profiled""),""pffb"",
    "&amp;"    IF(REGEXMATCH(C121,""(?i)Square""),""sff"",""""))),
    IF(REGEXMATCH(D121,""(?i)-Rivets""),""Rvt"",
    IF(REGEXMATCH(D121,""(?i)Silicone""),""300ml"",
    IF(REGEXMATCH(D121,""(?i)R-Butyl""),""300ml"",
    IF(REGEXMATCH(D121,""(?i)Fix""),""GenFix"","&amp;"
    IF(AND(REGEXMATCH(C121,""(?i)Timber""), REGEXMATCH(D121,""(?i)Timber"")),""tp"",
    IF(AND(REGEXMATCH(C121,""(?i)Vent G1275""), REGEXMATCH(D121,""(?i)Comb FIller"")),""CFV1275"",
    IF(REGEXMATCH(C121,""(?i)DPC""),""dpc"",
    IF(REGEXMATCH(C121,"""&amp;"(?i)Concealed Clips""),""ConClips"",
    IF(REGEXMATCH(D121,""(?i)-Takeoff ea""),""Takeoff ea"",
    IF(REGEXMATCH(D121,""(?i)-Takeoff LM""),""Takeoff LM"",
    IF(REGEXMATCH(D121,""(?i)-Takeoff m2""),""Takeoff m2"",
    IF(D121=""R-TU/TD"",""TU/TD"","""""&amp;")))))))))))))))))
  )))"),"")</f>
        <v/>
      </c>
      <c r="C121" s="129"/>
      <c r="D121" s="129"/>
      <c r="E121" s="161"/>
      <c r="F121" s="129"/>
      <c r="G121" s="129"/>
      <c r="H121" s="127"/>
      <c r="I121" s="127"/>
      <c r="J121" s="129"/>
      <c r="K121" s="129" t="s">
        <v>42</v>
      </c>
      <c r="L121" s="163"/>
      <c r="M121" s="163" t="s">
        <v>42</v>
      </c>
      <c r="N121" s="162" t="str">
        <f>IFERROR(__xludf.DUMMYFUNCTION("""COMPUTED_VALUE"""),"")</f>
        <v/>
      </c>
      <c r="O121" s="127"/>
      <c r="P121" s="127"/>
      <c r="Q121" s="161"/>
      <c r="R121" s="136"/>
      <c r="S121" s="139"/>
      <c r="T121" s="138"/>
      <c r="U121" s="136"/>
      <c r="V121" s="139"/>
      <c r="W121" s="164"/>
      <c r="X121" s="2"/>
      <c r="Y121" s="5"/>
      <c r="Z121" s="5"/>
      <c r="AA121" s="5"/>
      <c r="AB121" s="113">
        <f t="shared" si="77"/>
        <v>0</v>
      </c>
      <c r="AC121" s="33"/>
      <c r="AD121" s="65"/>
      <c r="AE121" s="66"/>
      <c r="AF121" s="144"/>
      <c r="AG121" s="68"/>
      <c r="AH121" s="69"/>
      <c r="AI121" s="39"/>
      <c r="AJ121" s="70"/>
      <c r="AK121" s="70"/>
      <c r="AL121" s="5"/>
      <c r="AM121" s="135" t="s">
        <v>42</v>
      </c>
      <c r="AN121" s="152"/>
      <c r="AO121" s="135" t="s">
        <v>42</v>
      </c>
      <c r="AP121" s="139"/>
      <c r="AQ121" s="5"/>
      <c r="AR121" s="5"/>
      <c r="AS121" s="5"/>
      <c r="AT121" s="5"/>
      <c r="AU121" s="5"/>
      <c r="AV121" s="5"/>
      <c r="AW121" s="5"/>
      <c r="AX121" s="5"/>
      <c r="AY121" s="5"/>
      <c r="AZ121" s="5"/>
      <c r="BA121" s="5"/>
      <c r="BB121" s="5"/>
      <c r="BC121" s="5"/>
      <c r="BD121" s="5"/>
      <c r="BE121" s="5"/>
      <c r="BF121" s="5"/>
      <c r="BG121" s="5"/>
      <c r="BH121" s="5"/>
    </row>
    <row r="122" ht="12.75" customHeight="1">
      <c r="A122" s="71"/>
      <c r="B122" s="154" t="str">
        <f>IFERROR(__xludf.DUMMYFUNCTION("IFERROR(
  IF(C122="""","""",
    IF(OR(REGEXMATCH(D122,""(?i)-Flashing""), REGEXMATCH(D122,""(?i)-EavesGut""), REGEXMATCH(D122,""(?i)Valley"")),
        ""DR"" &amp;
        TEXT(
            ROUNDUP(
                MIN(
                    VALUE(MID(C122, "&amp;"FIND(""("",C122)+1, FIND(""/"",C122)-FIND(""("",C122)-1)),
                    1200
                ) / 50, 0
            ) * 50, ""0""
        ) &amp;
        MID(C122, FIND(""/"",C122)+1, FIND("")"",C122)-FIND(""/"",C122)-1) &amp;
        TEXT(H122*100,""0"") &amp;"&amp;"
        I122,
    IF(AND(D122=""Roof Sheet"", REGEXMATCH(C122,""(?i)KS\d{4}[A-Z]{2}"")),
       REGEXEXTRACT(C122,""(?i)KS\d{4}[A-Z]{2}""),
    IF(AND(REGEXMATCH(D122,""(?i)-DP""), REGEXMATCH(C122,""(?i)Downpipe"")),
       ""dp"" &amp; REGEXEXTRACT(C122,""("&amp;"\d+)"") &amp; ""mm"",
    IF(AND(REGEXMATCH(D122,""(?i)Bracket""), REGEXMATCH(C122,""(?i)Bracket"")),
       ""Brkt"" &amp; REGEXEXTRACT(C122,""(\d+)"") &amp; ""mm"",
    IF(AND(REGEXMATCH(D122,""(?i)-OP""), REGEXMATCH(C122,""(?i)pops"")),
       ""op"" &amp; REGEXEXTRAC"&amp;"T(C122,""(\d+)"") &amp; ""mm"",
    IF(OR(D122=""R-FFTop"", D122=""R-FFBottom"", D122=""R-FFSide""),
        IF(REGEXMATCH(C122,""(?i)Profiled.*Top|Top.*Profiled""),""pfft"",
        IF(REGEXMATCH(C122,""(?i)Profiled.*Bottom|Bottom.*Profiled""),""pffb"",
    "&amp;"    IF(REGEXMATCH(C122,""(?i)Square""),""sff"",""""))),
    IF(REGEXMATCH(D122,""(?i)-Rivets""),""Rvt"",
    IF(REGEXMATCH(D122,""(?i)Silicone""),""300ml"",
    IF(REGEXMATCH(D122,""(?i)R-Butyl""),""300ml"",
    IF(REGEXMATCH(D122,""(?i)Fix""),""GenFix"","&amp;"
    IF(AND(REGEXMATCH(C122,""(?i)Timber""), REGEXMATCH(D122,""(?i)Timber"")),""tp"",
    IF(AND(REGEXMATCH(C122,""(?i)Vent G1275""), REGEXMATCH(D122,""(?i)Comb FIller"")),""CFV1275"",
    IF(REGEXMATCH(C122,""(?i)DPC""),""dpc"",
    IF(REGEXMATCH(C122,"""&amp;"(?i)Concealed Clips""),""ConClips"",
    IF(REGEXMATCH(D122,""(?i)-Takeoff ea""),""Takeoff ea"",
    IF(REGEXMATCH(D122,""(?i)-Takeoff LM""),""Takeoff LM"",
    IF(REGEXMATCH(D122,""(?i)-Takeoff m2""),""Takeoff m2"",
    IF(D122=""R-TU/TD"",""TU/TD"","""""&amp;")))))))))))))))))
  )))"),"op150mm")</f>
        <v>op150mm</v>
      </c>
      <c r="C122" s="123" t="s">
        <v>142</v>
      </c>
      <c r="D122" s="124" t="s">
        <v>143</v>
      </c>
      <c r="E122" s="168">
        <f>IFERROR(__xludf.DUMMYFUNCTION("IF(REGEXMATCH(C122, ""\d+mmØ""), VALUE(REGEXEXTRACT(C122, ""(\d+)mmØ""))/1000, """")
"),0.15)</f>
        <v>0.15</v>
      </c>
      <c r="F122" s="129"/>
      <c r="G122" s="129"/>
      <c r="H122" s="127"/>
      <c r="I122" s="127"/>
      <c r="J122" s="126" t="s">
        <v>87</v>
      </c>
      <c r="K122" s="126" t="s">
        <v>52</v>
      </c>
      <c r="L122" s="135">
        <v>1.0</v>
      </c>
      <c r="M122" s="150">
        <v>1.0</v>
      </c>
      <c r="N122" s="151">
        <f>IFERROR(__xludf.DUMMYFUNCTION("""COMPUTED_VALUE"""),1.0)</f>
        <v>1</v>
      </c>
      <c r="O122" s="169">
        <f>M119</f>
        <v>5</v>
      </c>
      <c r="P122" s="134">
        <v>1.0</v>
      </c>
      <c r="Q122" s="242">
        <f t="shared" ref="Q122:Q124" si="78">M122*N122*O122*P122</f>
        <v>5</v>
      </c>
      <c r="R122" s="136" t="s">
        <v>42</v>
      </c>
      <c r="S122" s="137">
        <f t="shared" ref="S122:S124" si="79">R122*Q122</f>
        <v>0</v>
      </c>
      <c r="T122" s="138"/>
      <c r="U122" s="136" t="s">
        <v>42</v>
      </c>
      <c r="V122" s="139"/>
      <c r="W122" s="140">
        <f t="shared" ref="W122:W124" si="80">U122*Q122</f>
        <v>0</v>
      </c>
      <c r="X122" s="2"/>
      <c r="Y122" s="5"/>
      <c r="Z122" s="5"/>
      <c r="AA122" s="5"/>
      <c r="AB122" s="113">
        <f t="shared" si="77"/>
        <v>0</v>
      </c>
      <c r="AC122" s="33"/>
      <c r="AD122" s="65"/>
      <c r="AE122" s="66"/>
      <c r="AF122" s="144"/>
      <c r="AG122" s="68"/>
      <c r="AH122" s="69"/>
      <c r="AI122" s="39"/>
      <c r="AJ122" s="70"/>
      <c r="AK122" s="70"/>
      <c r="AL122" s="5"/>
      <c r="AM122" s="135">
        <v>1.0</v>
      </c>
      <c r="AN122" s="152" t="s">
        <v>46</v>
      </c>
      <c r="AO122" s="135">
        <v>0.0</v>
      </c>
      <c r="AP122" s="139"/>
      <c r="AQ122" s="5"/>
      <c r="AR122" s="5"/>
      <c r="AS122" s="5"/>
      <c r="AT122" s="5"/>
      <c r="AU122" s="5"/>
      <c r="AV122" s="5"/>
      <c r="AW122" s="5"/>
      <c r="AX122" s="5"/>
      <c r="AY122" s="5"/>
      <c r="AZ122" s="5"/>
      <c r="BA122" s="5"/>
      <c r="BB122" s="5"/>
      <c r="BC122" s="5"/>
      <c r="BD122" s="5"/>
      <c r="BE122" s="5"/>
      <c r="BF122" s="5"/>
      <c r="BG122" s="5"/>
      <c r="BH122" s="5"/>
    </row>
    <row r="123" ht="12.75" customHeight="1">
      <c r="A123" s="71"/>
      <c r="B123" s="154" t="str">
        <f>IFERROR(__xludf.DUMMYFUNCTION("IFERROR(
  IF(C123="""","""",
    IF(OR(REGEXMATCH(D123,""(?i)-Flashing""), REGEXMATCH(D123,""(?i)-EavesGut""), REGEXMATCH(D123,""(?i)Valley"")),
        ""DR"" &amp;
        TEXT(
            ROUNDUP(
                MIN(
                    VALUE(MID(C123, "&amp;"FIND(""("",C123)+1, FIND(""/"",C123)-FIND(""("",C123)-1)),
                    1200
                ) / 50, 0
            ) * 50, ""0""
        ) &amp;
        MID(C123, FIND(""/"",C123)+1, FIND("")"",C123)-FIND(""/"",C123)-1) &amp;
        TEXT(H123*100,""0"") &amp;"&amp;"
        I123,
    IF(AND(D123=""Roof Sheet"", REGEXMATCH(C123,""(?i)KS\d{4}[A-Z]{2}"")),
       REGEXEXTRACT(C123,""(?i)KS\d{4}[A-Z]{2}""),
    IF(AND(REGEXMATCH(D123,""(?i)-DP""), REGEXMATCH(C123,""(?i)Downpipe"")),
       ""dp"" &amp; REGEXEXTRACT(C123,""("&amp;"\d+)"") &amp; ""mm"",
    IF(AND(REGEXMATCH(D123,""(?i)Bracket""), REGEXMATCH(C123,""(?i)Bracket"")),
       ""Brkt"" &amp; REGEXEXTRACT(C123,""(\d+)"") &amp; ""mm"",
    IF(AND(REGEXMATCH(D123,""(?i)-OP""), REGEXMATCH(C123,""(?i)pops"")),
       ""op"" &amp; REGEXEXTRAC"&amp;"T(C123,""(\d+)"") &amp; ""mm"",
    IF(OR(D123=""R-FFTop"", D123=""R-FFBottom"", D123=""R-FFSide""),
        IF(REGEXMATCH(C123,""(?i)Profiled.*Top|Top.*Profiled""),""pfft"",
        IF(REGEXMATCH(C123,""(?i)Profiled.*Bottom|Bottom.*Profiled""),""pffb"",
    "&amp;"    IF(REGEXMATCH(C123,""(?i)Square""),""sff"",""""))),
    IF(REGEXMATCH(D123,""(?i)-Rivets""),""Rvt"",
    IF(REGEXMATCH(D123,""(?i)Silicone""),""300ml"",
    IF(REGEXMATCH(D123,""(?i)R-Butyl""),""300ml"",
    IF(REGEXMATCH(D123,""(?i)Fix""),""GenFix"","&amp;"
    IF(AND(REGEXMATCH(C123,""(?i)Timber""), REGEXMATCH(D123,""(?i)Timber"")),""tp"",
    IF(AND(REGEXMATCH(C123,""(?i)Vent G1275""), REGEXMATCH(D123,""(?i)Comb FIller"")),""CFV1275"",
    IF(REGEXMATCH(C123,""(?i)DPC""),""dpc"",
    IF(REGEXMATCH(C123,"""&amp;"(?i)Concealed Clips""),""ConClips"",
    IF(REGEXMATCH(D123,""(?i)-Takeoff ea""),""Takeoff ea"",
    IF(REGEXMATCH(D123,""(?i)-Takeoff LM""),""Takeoff LM"",
    IF(REGEXMATCH(D123,""(?i)-Takeoff m2""),""Takeoff m2"",
    IF(D123=""R-TU/TD"",""TU/TD"","""""&amp;")))))))))))))))))
  )))"),"300ml")</f>
        <v>300ml</v>
      </c>
      <c r="C123" s="225" t="s">
        <v>98</v>
      </c>
      <c r="D123" s="124" t="s">
        <v>99</v>
      </c>
      <c r="E123" s="168">
        <f>E122</f>
        <v>0.15</v>
      </c>
      <c r="F123" s="129"/>
      <c r="G123" s="129"/>
      <c r="H123" s="127"/>
      <c r="I123" s="127"/>
      <c r="J123" s="126" t="s">
        <v>87</v>
      </c>
      <c r="K123" s="126" t="s">
        <v>52</v>
      </c>
      <c r="L123" s="135">
        <f>(3.14*0.1)</f>
        <v>0.314</v>
      </c>
      <c r="M123" s="150">
        <v>0.0375</v>
      </c>
      <c r="N123" s="151">
        <f>IFERROR(__xludf.DUMMYFUNCTION("""COMPUTED_VALUE"""),1.0)</f>
        <v>1</v>
      </c>
      <c r="O123" s="169">
        <f>O122</f>
        <v>5</v>
      </c>
      <c r="P123" s="134">
        <v>1.0</v>
      </c>
      <c r="Q123" s="242">
        <f t="shared" si="78"/>
        <v>0.1875</v>
      </c>
      <c r="R123" s="136" t="s">
        <v>42</v>
      </c>
      <c r="S123" s="137">
        <f t="shared" si="79"/>
        <v>0</v>
      </c>
      <c r="T123" s="138"/>
      <c r="U123" s="136" t="s">
        <v>42</v>
      </c>
      <c r="V123" s="139"/>
      <c r="W123" s="140">
        <f t="shared" si="80"/>
        <v>0</v>
      </c>
      <c r="X123" s="2"/>
      <c r="Y123" s="5"/>
      <c r="Z123" s="5"/>
      <c r="AA123" s="5"/>
      <c r="AB123" s="113">
        <f t="shared" si="77"/>
        <v>0</v>
      </c>
      <c r="AC123" s="33"/>
      <c r="AD123" s="65"/>
      <c r="AE123" s="66"/>
      <c r="AF123" s="144"/>
      <c r="AG123" s="68"/>
      <c r="AH123" s="69"/>
      <c r="AI123" s="39"/>
      <c r="AJ123" s="70"/>
      <c r="AK123" s="70"/>
      <c r="AL123" s="5"/>
      <c r="AM123" s="135">
        <v>0.0375</v>
      </c>
      <c r="AN123" s="152" t="s">
        <v>46</v>
      </c>
      <c r="AO123" s="135">
        <v>0.0</v>
      </c>
      <c r="AP123" s="139"/>
      <c r="AQ123" s="5"/>
      <c r="AR123" s="5"/>
      <c r="AS123" s="5"/>
      <c r="AT123" s="5"/>
      <c r="AU123" s="5"/>
      <c r="AV123" s="5"/>
      <c r="AW123" s="5"/>
      <c r="AX123" s="5"/>
      <c r="AY123" s="5"/>
      <c r="AZ123" s="5"/>
      <c r="BA123" s="5"/>
      <c r="BB123" s="5"/>
      <c r="BC123" s="5"/>
      <c r="BD123" s="5"/>
      <c r="BE123" s="5"/>
      <c r="BF123" s="5"/>
      <c r="BG123" s="5"/>
      <c r="BH123" s="5"/>
    </row>
    <row r="124">
      <c r="A124" s="71"/>
      <c r="B124" s="154" t="str">
        <f>IFERROR(__xludf.DUMMYFUNCTION("IFERROR(
  IF(C124="""","""",
    IF(OR(REGEXMATCH(D124,""(?i)-Flashing""), REGEXMATCH(D124,""(?i)-EavesGut""), REGEXMATCH(D124,""(?i)Valley"")),
        ""DR"" &amp;
        TEXT(
            ROUNDUP(
                MIN(
                    VALUE(MID(C124, "&amp;"FIND(""("",C124)+1, FIND(""/"",C124)-FIND(""("",C124)-1)),
                    1200
                ) / 50, 0
            ) * 50, ""0""
        ) &amp;
        MID(C124, FIND(""/"",C124)+1, FIND("")"",C124)-FIND(""/"",C124)-1) &amp;
        TEXT(H124*100,""0"") &amp;"&amp;"
        I124,
    IF(AND(D124=""Roof Sheet"", REGEXMATCH(C124,""(?i)KS\d{4}[A-Z]{2}"")),
       REGEXEXTRACT(C124,""(?i)KS\d{4}[A-Z]{2}""),
    IF(AND(REGEXMATCH(D124,""(?i)-DP""), REGEXMATCH(C124,""(?i)Downpipe"")),
       ""dp"" &amp; REGEXEXTRACT(C124,""("&amp;"\d+)"") &amp; ""mm"",
    IF(AND(REGEXMATCH(D124,""(?i)Bracket""), REGEXMATCH(C124,""(?i)Bracket"")),
       ""Brkt"" &amp; REGEXEXTRACT(C124,""(\d+)"") &amp; ""mm"",
    IF(AND(REGEXMATCH(D124,""(?i)-OP""), REGEXMATCH(C124,""(?i)pops"")),
       ""op"" &amp; REGEXEXTRAC"&amp;"T(C124,""(\d+)"") &amp; ""mm"",
    IF(OR(D124=""R-FFTop"", D124=""R-FFBottom"", D124=""R-FFSide""),
        IF(REGEXMATCH(C124,""(?i)Profiled.*Top|Top.*Profiled""),""pfft"",
        IF(REGEXMATCH(C124,""(?i)Profiled.*Bottom|Bottom.*Profiled""),""pffb"",
    "&amp;"    IF(REGEXMATCH(C124,""(?i)Square""),""sff"",""""))),
    IF(REGEXMATCH(D124,""(?i)-Rivets""),""Rvt"",
    IF(REGEXMATCH(D124,""(?i)Silicone""),""300ml"",
    IF(REGEXMATCH(D124,""(?i)R-Butyl""),""300ml"",
    IF(REGEXMATCH(D124,""(?i)Fix""),""GenFix"","&amp;"
    IF(AND(REGEXMATCH(C124,""(?i)Timber""), REGEXMATCH(D124,""(?i)Timber"")),""tp"",
    IF(AND(REGEXMATCH(C124,""(?i)Vent G1275""), REGEXMATCH(D124,""(?i)Comb FIller"")),""CFV1275"",
    IF(REGEXMATCH(C124,""(?i)DPC""),""dpc"",
    IF(REGEXMATCH(C124,"""&amp;"(?i)Concealed Clips""),""ConClips"",
    IF(REGEXMATCH(D124,""(?i)-Takeoff ea""),""Takeoff ea"",
    IF(REGEXMATCH(D124,""(?i)-Takeoff LM""),""Takeoff LM"",
    IF(REGEXMATCH(D124,""(?i)-Takeoff m2""),""Takeoff m2"",
    IF(D124=""R-TU/TD"",""TU/TD"","""""&amp;")))))))))))))))))
  )))"),"GenFix")</f>
        <v>GenFix</v>
      </c>
      <c r="C124" s="225" t="s">
        <v>102</v>
      </c>
      <c r="D124" s="124" t="s">
        <v>144</v>
      </c>
      <c r="E124" s="168">
        <f>E122</f>
        <v>0.15</v>
      </c>
      <c r="F124" s="129"/>
      <c r="G124" s="129"/>
      <c r="H124" s="127"/>
      <c r="I124" s="127"/>
      <c r="J124" s="126" t="s">
        <v>87</v>
      </c>
      <c r="K124" s="126" t="s">
        <v>52</v>
      </c>
      <c r="L124" s="135">
        <v>6.0</v>
      </c>
      <c r="M124" s="150">
        <v>58.0</v>
      </c>
      <c r="N124" s="151">
        <f>IFERROR(__xludf.DUMMYFUNCTION("""COMPUTED_VALUE"""),1.0)</f>
        <v>1</v>
      </c>
      <c r="O124" s="169">
        <f>O122</f>
        <v>5</v>
      </c>
      <c r="P124" s="134">
        <v>1.0</v>
      </c>
      <c r="Q124" s="242">
        <f t="shared" si="78"/>
        <v>290</v>
      </c>
      <c r="R124" s="136" t="s">
        <v>42</v>
      </c>
      <c r="S124" s="137">
        <f t="shared" si="79"/>
        <v>0</v>
      </c>
      <c r="T124" s="138"/>
      <c r="U124" s="136" t="s">
        <v>42</v>
      </c>
      <c r="V124" s="139"/>
      <c r="W124" s="140">
        <f t="shared" si="80"/>
        <v>0</v>
      </c>
      <c r="X124" s="159"/>
      <c r="Y124" s="5"/>
      <c r="Z124" s="5"/>
      <c r="AA124" s="5"/>
      <c r="AB124" s="113">
        <f t="shared" si="77"/>
        <v>0</v>
      </c>
      <c r="AC124" s="33"/>
      <c r="AD124" s="65"/>
      <c r="AE124" s="66"/>
      <c r="AF124" s="144"/>
      <c r="AG124" s="68"/>
      <c r="AH124" s="69"/>
      <c r="AI124" s="39"/>
      <c r="AJ124" s="70"/>
      <c r="AK124" s="70"/>
      <c r="AL124" s="5"/>
      <c r="AM124" s="135">
        <v>60.0</v>
      </c>
      <c r="AN124" s="152" t="s">
        <v>75</v>
      </c>
      <c r="AO124" s="135">
        <v>2.0</v>
      </c>
      <c r="AP124" s="139"/>
      <c r="AQ124" s="5"/>
      <c r="AR124" s="5"/>
      <c r="AS124" s="5"/>
      <c r="AT124" s="5"/>
      <c r="AU124" s="5"/>
      <c r="AV124" s="5"/>
      <c r="AW124" s="5"/>
      <c r="AX124" s="5"/>
      <c r="AY124" s="5"/>
      <c r="AZ124" s="5"/>
      <c r="BA124" s="5"/>
      <c r="BB124" s="5"/>
      <c r="BC124" s="5"/>
      <c r="BD124" s="5"/>
      <c r="BE124" s="5"/>
      <c r="BF124" s="5"/>
      <c r="BG124" s="5"/>
      <c r="BH124" s="5"/>
    </row>
    <row r="125" ht="12.75" customHeight="1">
      <c r="A125" s="71"/>
      <c r="B125" s="243"/>
      <c r="C125" s="244"/>
      <c r="D125" s="244"/>
      <c r="E125" s="245"/>
      <c r="F125" s="244"/>
      <c r="G125" s="244"/>
      <c r="H125" s="244"/>
      <c r="I125" s="245"/>
      <c r="J125" s="246"/>
      <c r="K125" s="246" t="s">
        <v>42</v>
      </c>
      <c r="L125" s="245"/>
      <c r="M125" s="245" t="s">
        <v>42</v>
      </c>
      <c r="N125" s="247" t="str">
        <f>IFERROR(__xludf.DUMMYFUNCTION("""COMPUTED_VALUE"""),"")</f>
        <v/>
      </c>
      <c r="O125" s="244"/>
      <c r="P125" s="244"/>
      <c r="Q125" s="246"/>
      <c r="R125" s="136"/>
      <c r="S125" s="248"/>
      <c r="T125" s="248"/>
      <c r="U125" s="136"/>
      <c r="V125" s="248"/>
      <c r="W125" s="249"/>
      <c r="X125" s="113"/>
      <c r="Y125" s="5"/>
      <c r="Z125" s="5"/>
      <c r="AA125" s="5"/>
      <c r="AB125" s="113">
        <f t="shared" si="77"/>
        <v>0</v>
      </c>
      <c r="AC125" s="250"/>
      <c r="AD125" s="65"/>
      <c r="AE125" s="66"/>
      <c r="AF125" s="67"/>
      <c r="AG125" s="68"/>
      <c r="AH125" s="69"/>
      <c r="AI125" s="39"/>
      <c r="AJ125" s="70"/>
      <c r="AK125" s="70"/>
      <c r="AL125" s="2"/>
      <c r="AM125" s="135" t="s">
        <v>42</v>
      </c>
      <c r="AN125" s="152"/>
      <c r="AO125" s="135" t="s">
        <v>42</v>
      </c>
      <c r="AP125" s="139"/>
      <c r="AQ125" s="5"/>
      <c r="AR125" s="5"/>
      <c r="AS125" s="5"/>
      <c r="AT125" s="5"/>
      <c r="AU125" s="5"/>
      <c r="AV125" s="5"/>
      <c r="AW125" s="5"/>
      <c r="AX125" s="5"/>
      <c r="AY125" s="5"/>
      <c r="AZ125" s="5"/>
      <c r="BA125" s="5"/>
      <c r="BB125" s="5"/>
      <c r="BC125" s="5"/>
      <c r="BD125" s="5"/>
      <c r="BE125" s="5"/>
      <c r="BF125" s="5"/>
      <c r="BG125" s="5"/>
      <c r="BH125" s="5"/>
    </row>
    <row r="126" ht="12.75" customHeight="1">
      <c r="A126" s="71">
        <v>1.0</v>
      </c>
      <c r="B126" s="72"/>
      <c r="C126" s="251" t="s">
        <v>145</v>
      </c>
      <c r="D126" s="74"/>
      <c r="E126" s="75"/>
      <c r="F126" s="74"/>
      <c r="G126" s="74"/>
      <c r="H126" s="74"/>
      <c r="I126" s="75"/>
      <c r="J126" s="74"/>
      <c r="K126" s="74" t="s">
        <v>42</v>
      </c>
      <c r="L126" s="75"/>
      <c r="M126" s="75" t="s">
        <v>42</v>
      </c>
      <c r="N126" s="76" t="str">
        <f>IFERROR(__xludf.DUMMYFUNCTION("""COMPUTED_VALUE"""),"")</f>
        <v/>
      </c>
      <c r="O126" s="74"/>
      <c r="P126" s="74"/>
      <c r="Q126" s="77"/>
      <c r="R126" s="136"/>
      <c r="S126" s="78"/>
      <c r="T126" s="77"/>
      <c r="U126" s="136"/>
      <c r="V126" s="78"/>
      <c r="W126" s="79"/>
      <c r="X126" s="21"/>
      <c r="Y126" s="5"/>
      <c r="Z126" s="5"/>
      <c r="AA126" s="5"/>
      <c r="AB126" s="5"/>
      <c r="AC126" s="21"/>
      <c r="AD126" s="80"/>
      <c r="AE126" s="81"/>
      <c r="AF126" s="82"/>
      <c r="AG126" s="83"/>
      <c r="AH126" s="84"/>
      <c r="AI126" s="85"/>
      <c r="AJ126" s="86"/>
      <c r="AK126" s="86"/>
      <c r="AL126" s="5"/>
      <c r="AM126" s="135" t="s">
        <v>42</v>
      </c>
      <c r="AN126" s="152"/>
      <c r="AO126" s="135" t="s">
        <v>42</v>
      </c>
      <c r="AP126" s="139"/>
      <c r="AQ126" s="5"/>
      <c r="AR126" s="5"/>
      <c r="AS126" s="5"/>
      <c r="AT126" s="5"/>
      <c r="AU126" s="5"/>
      <c r="AV126" s="5"/>
      <c r="AW126" s="5"/>
      <c r="AX126" s="5"/>
      <c r="AY126" s="5"/>
      <c r="AZ126" s="5"/>
      <c r="BA126" s="5"/>
      <c r="BB126" s="5"/>
      <c r="BC126" s="5"/>
      <c r="BD126" s="5"/>
      <c r="BE126" s="5"/>
      <c r="BF126" s="5"/>
      <c r="BG126" s="5"/>
      <c r="BH126" s="5"/>
    </row>
    <row r="127" ht="12.75" customHeight="1">
      <c r="A127" s="71">
        <v>1.0</v>
      </c>
      <c r="B127" s="170"/>
      <c r="C127" s="252" t="s">
        <v>146</v>
      </c>
      <c r="D127" s="253"/>
      <c r="E127" s="254"/>
      <c r="F127" s="253"/>
      <c r="G127" s="253"/>
      <c r="H127" s="253"/>
      <c r="I127" s="254"/>
      <c r="J127" s="255"/>
      <c r="K127" s="255" t="s">
        <v>42</v>
      </c>
      <c r="L127" s="254"/>
      <c r="M127" s="254" t="s">
        <v>42</v>
      </c>
      <c r="N127" s="256" t="str">
        <f>IFERROR(__xludf.DUMMYFUNCTION("""COMPUTED_VALUE"""),"")</f>
        <v/>
      </c>
      <c r="O127" s="253"/>
      <c r="P127" s="253"/>
      <c r="Q127" s="255"/>
      <c r="R127" s="136"/>
      <c r="S127" s="257"/>
      <c r="T127" s="257"/>
      <c r="U127" s="136"/>
      <c r="V127" s="257"/>
      <c r="W127" s="258"/>
      <c r="X127" s="259"/>
      <c r="Y127" s="260"/>
      <c r="Z127" s="260"/>
      <c r="AA127" s="260"/>
      <c r="AB127" s="260"/>
      <c r="AC127" s="261"/>
      <c r="AD127" s="262"/>
      <c r="AE127" s="262"/>
      <c r="AF127" s="263"/>
      <c r="AG127" s="264"/>
      <c r="AH127" s="265"/>
      <c r="AI127" s="266"/>
      <c r="AJ127" s="265"/>
      <c r="AK127" s="265"/>
      <c r="AL127" s="267"/>
      <c r="AM127" s="135" t="s">
        <v>42</v>
      </c>
      <c r="AN127" s="152"/>
      <c r="AO127" s="135" t="s">
        <v>42</v>
      </c>
      <c r="AP127" s="139"/>
      <c r="AQ127" s="260"/>
      <c r="AR127" s="260"/>
      <c r="AS127" s="260"/>
      <c r="AT127" s="260"/>
      <c r="AU127" s="260"/>
      <c r="AV127" s="260"/>
      <c r="AW127" s="260"/>
      <c r="AX127" s="260"/>
      <c r="AY127" s="260"/>
      <c r="AZ127" s="260"/>
      <c r="BA127" s="260"/>
      <c r="BB127" s="260"/>
      <c r="BC127" s="260"/>
      <c r="BD127" s="260"/>
      <c r="BE127" s="260"/>
      <c r="BF127" s="260"/>
      <c r="BG127" s="260"/>
      <c r="BH127" s="260"/>
    </row>
    <row r="128">
      <c r="A128" s="71">
        <v>1.0</v>
      </c>
      <c r="B128" s="190"/>
      <c r="C128" s="268" t="s">
        <v>147</v>
      </c>
      <c r="D128" s="269"/>
      <c r="E128" s="270"/>
      <c r="F128" s="269"/>
      <c r="G128" s="269"/>
      <c r="H128" s="269"/>
      <c r="I128" s="270"/>
      <c r="J128" s="271"/>
      <c r="K128" s="271" t="s">
        <v>42</v>
      </c>
      <c r="L128" s="272">
        <v>549.38</v>
      </c>
      <c r="M128" s="270" t="s">
        <v>42</v>
      </c>
      <c r="N128" s="273" t="str">
        <f>IFERROR(__xludf.DUMMYFUNCTION("""COMPUTED_VALUE"""),"")</f>
        <v/>
      </c>
      <c r="O128" s="269"/>
      <c r="P128" s="269"/>
      <c r="Q128" s="274">
        <v>549.38</v>
      </c>
      <c r="R128" s="136"/>
      <c r="S128" s="109" t="str">
        <f>T128/Q128</f>
        <v>#REF!</v>
      </c>
      <c r="T128" s="109" t="str">
        <f>SUM(S129:S135)</f>
        <v>#REF!</v>
      </c>
      <c r="U128" s="136"/>
      <c r="V128" s="198" t="str">
        <f>W128/Q128</f>
        <v>#REF!</v>
      </c>
      <c r="W128" s="199" t="str">
        <f>SUM(W129:W134)</f>
        <v>#REF!</v>
      </c>
      <c r="X128" s="111" t="str">
        <f>W128/$AC$176/$W$183/$X$173</f>
        <v>#REF!</v>
      </c>
      <c r="Y128" s="200" t="str">
        <f>(T128+W128)=(SUM(AB129:AB134))</f>
        <v>#REF!</v>
      </c>
      <c r="Z128" s="180" t="str">
        <f>(T128+W128)-(SUM(AB129:AB134))</f>
        <v>#REF!</v>
      </c>
      <c r="AA128" s="180"/>
      <c r="AB128" s="180"/>
      <c r="AC128" s="275"/>
      <c r="AD128" s="114" t="str">
        <f>W128+T128</f>
        <v>#REF!</v>
      </c>
      <c r="AE128" s="115" t="str">
        <f>AD128</f>
        <v>#REF!</v>
      </c>
      <c r="AF128" s="116" t="str">
        <f>AE128/$AE$151</f>
        <v>#REF!</v>
      </c>
      <c r="AG128" s="117" t="str">
        <f>AF128*$AG$158</f>
        <v>#REF!</v>
      </c>
      <c r="AH128" s="118" t="str">
        <f>AF128*$AG$161</f>
        <v>#REF!</v>
      </c>
      <c r="AI128" s="39"/>
      <c r="AJ128" s="119" t="str">
        <f>ROUND(AK128/L128,2)</f>
        <v>#REF!</v>
      </c>
      <c r="AK128" s="119" t="str">
        <f>ROUND(AH128+AG128+AD128,2)</f>
        <v>#REF!</v>
      </c>
      <c r="AL128" s="267"/>
      <c r="AM128" s="135" t="s">
        <v>42</v>
      </c>
      <c r="AN128" s="152"/>
      <c r="AO128" s="135" t="s">
        <v>42</v>
      </c>
      <c r="AP128" s="139"/>
      <c r="AQ128" s="260"/>
      <c r="AR128" s="260"/>
      <c r="AS128" s="260"/>
      <c r="AT128" s="260"/>
      <c r="AU128" s="260"/>
      <c r="AV128" s="260"/>
      <c r="AW128" s="260"/>
      <c r="AX128" s="260"/>
      <c r="AY128" s="260"/>
      <c r="AZ128" s="260"/>
      <c r="BA128" s="260"/>
      <c r="BB128" s="260"/>
      <c r="BC128" s="260"/>
      <c r="BD128" s="260"/>
      <c r="BE128" s="260"/>
      <c r="BF128" s="260"/>
      <c r="BG128" s="260"/>
      <c r="BH128" s="260"/>
    </row>
    <row r="129" ht="12.75" customHeight="1">
      <c r="A129" s="71"/>
      <c r="B129" s="154" t="s">
        <v>38</v>
      </c>
      <c r="C129" s="276" t="s">
        <v>148</v>
      </c>
      <c r="D129" s="148" t="s">
        <v>149</v>
      </c>
      <c r="E129" s="125" t="str">
        <f>IFERROR(__xludf.DUMMYFUNCTION("IF($B$17:$B386="""","""",
  VLOOKUP(
    $B$17:$B386,
    QUERY(
      IMPORTRANGE(""1Ag27m9YF5mMfJh2E6NipJDFvPLlDI1p-s_1XEnzMHcc"",""Merge!F2:R""),
      ""select Col1, Col11"",
      0
    ),
    2,
    FALSE
  )
)
"),"#REF!")</f>
        <v>#REF!</v>
      </c>
      <c r="F129" s="277"/>
      <c r="G129" s="278"/>
      <c r="H129" s="279">
        <v>0.55</v>
      </c>
      <c r="I129" s="280"/>
      <c r="J129" s="281" t="s">
        <v>14</v>
      </c>
      <c r="K129" s="281" t="s">
        <v>41</v>
      </c>
      <c r="L129" s="282">
        <f>111.11+113.1</f>
        <v>224.21</v>
      </c>
      <c r="M129" s="283" t="str">
        <f>L129*E129</f>
        <v>#REF!</v>
      </c>
      <c r="N129" s="284">
        <f>IFERROR(__xludf.DUMMYFUNCTION("""COMPUTED_VALUE"""),1.0)</f>
        <v>1</v>
      </c>
      <c r="O129" s="285">
        <v>1.0</v>
      </c>
      <c r="P129" s="285">
        <v>1.0</v>
      </c>
      <c r="Q129" s="135" t="str">
        <f t="shared" ref="Q129:Q134" si="81">M129*N129*O129*P129</f>
        <v>#REF!</v>
      </c>
      <c r="R129" s="136" t="s">
        <v>42</v>
      </c>
      <c r="S129" s="137" t="str">
        <f t="shared" ref="S129:S132" si="82">R129*Q129</f>
        <v>#REF!</v>
      </c>
      <c r="T129" s="286"/>
      <c r="U129" s="136" t="s">
        <v>42</v>
      </c>
      <c r="V129" s="286"/>
      <c r="W129" s="140" t="str">
        <f t="shared" ref="W129:W132" si="83">U129*Q129</f>
        <v>#REF!</v>
      </c>
      <c r="X129" s="111" t="str">
        <f>W129/$AC$176/$W$183/Y129</f>
        <v>#REF!</v>
      </c>
      <c r="Y129" s="200" t="s">
        <v>150</v>
      </c>
      <c r="Z129" s="180" t="e">
        <v>#REF!</v>
      </c>
      <c r="AA129" s="180" t="s">
        <v>151</v>
      </c>
      <c r="AB129" s="180" t="str">
        <f t="shared" ref="AB129:AB134" si="84">W129+S129</f>
        <v>#REF!</v>
      </c>
      <c r="AC129" s="275"/>
      <c r="AD129" s="287"/>
      <c r="AE129" s="287"/>
      <c r="AF129" s="288"/>
      <c r="AG129" s="289"/>
      <c r="AH129" s="290"/>
      <c r="AI129" s="291"/>
      <c r="AJ129" s="290"/>
      <c r="AK129" s="290"/>
      <c r="AL129" s="267"/>
      <c r="AM129" s="135" t="s">
        <v>42</v>
      </c>
      <c r="AN129" s="152" t="e">
        <v>#REF!</v>
      </c>
      <c r="AO129" s="135" t="s">
        <v>42</v>
      </c>
      <c r="AP129" s="139"/>
      <c r="AQ129" s="260"/>
      <c r="AR129" s="260"/>
      <c r="AS129" s="260"/>
      <c r="AT129" s="260"/>
      <c r="AU129" s="260"/>
      <c r="AV129" s="260"/>
      <c r="AW129" s="260"/>
      <c r="AX129" s="260"/>
      <c r="AY129" s="260"/>
      <c r="AZ129" s="260"/>
      <c r="BA129" s="260"/>
      <c r="BB129" s="260"/>
      <c r="BC129" s="260"/>
      <c r="BD129" s="260"/>
      <c r="BE129" s="260"/>
      <c r="BF129" s="260"/>
      <c r="BG129" s="260"/>
      <c r="BH129" s="260"/>
    </row>
    <row r="130" ht="12.75" customHeight="1">
      <c r="A130" s="71"/>
      <c r="B130" s="154" t="str">
        <f>IFERROR(__xludf.DUMMYFUNCTION("IFERROR(
  IF(C130="""","""",
    IF(OR(REGEXMATCH(D130,""(?i)-Flashing""), REGEXMATCH(D130,""(?i)-EavesGut""), REGEXMATCH(D130,""(?i)Valley"")),
        ""DR"" &amp;
        TEXT(
            ROUNDUP(
                MIN(
                    VALUE(MID(C130, "&amp;"FIND(""("",C130)+1, FIND(""/"",C130)-FIND(""("",C130)-1)),
                    1200
                ) / 50, 0
            ) * 50, ""0""
        ) &amp;
        MID(C130, FIND(""/"",C130)+1, FIND("")"",C130)-FIND(""/"",C130)-1) &amp;
        TEXT(H130*100,""0"") &amp;"&amp;"
        I130,
    IF(AND(D130=""Roof Sheet"", REGEXMATCH(C130,""(?i)KS\d{4}[A-Z]{2}"")),
       REGEXEXTRACT(C130,""(?i)KS\d{4}[A-Z]{2}""),
    IF(AND(REGEXMATCH(D130,""(?i)-DP""), REGEXMATCH(C130,""(?i)Downpipe"")),
       ""dp"" &amp; REGEXEXTRACT(C130,""("&amp;"\d+)"") &amp; ""mm"",
    IF(AND(REGEXMATCH(D130,""(?i)Bracket""), REGEXMATCH(C130,""(?i)Bracket"")),
       ""Brkt"" &amp; REGEXEXTRACT(C130,""(\d+)"") &amp; ""mm"",
    IF(AND(REGEXMATCH(D130,""(?i)-OP""), REGEXMATCH(C130,""(?i)pops"")),
       ""op"" &amp; REGEXEXTRAC"&amp;"T(C130,""(\d+)"") &amp; ""mm"",
    IF(OR(D130=""R-FFTop"", D130=""R-FFBottom"", D130=""R-FFSide""),
        IF(REGEXMATCH(C130,""(?i)Profiled.*Top|Top.*Profiled""),""pfft"",
        IF(REGEXMATCH(C130,""(?i)Profiled.*Bottom|Bottom.*Profiled""),""pffb"",
    "&amp;"    IF(REGEXMATCH(C130,""(?i)Square""),""sff"",""""))),
    IF(REGEXMATCH(D130,""(?i)-Rivets""),""Rvt"",
    IF(REGEXMATCH(D130,""(?i)Silicone""),""300ml"",
    IF(REGEXMATCH(D130,""(?i)R-Butyl""),""300ml"",
    IF(REGEXMATCH(D130,""(?i)Fix""),""GenFix"","&amp;"
    IF(AND(REGEXMATCH(C130,""(?i)Timber""), REGEXMATCH(D130,""(?i)Timber"")),""tp"",
    IF(AND(REGEXMATCH(C130,""(?i)Vent G1275""), REGEXMATCH(D130,""(?i)Comb FIller"")),""CFV1275"",
    IF(REGEXMATCH(C130,""(?i)DPC""),""dpc"",
    IF(REGEXMATCH(C130,"""&amp;"(?i)Concealed Clips""),""ConClips"",
    IF(REGEXMATCH(D130,""(?i)-Takeoff ea""),""Takeoff ea"",
    IF(REGEXMATCH(D130,""(?i)-Takeoff LM""),""Takeoff LM"",
    IF(REGEXMATCH(D130,""(?i)-Takeoff m2""),""Takeoff m2"",
    IF(D130=""R-TU/TD"",""TU/TD"","""""&amp;")))))))))))))))))
  )))"),"GenFix")</f>
        <v>GenFix</v>
      </c>
      <c r="C130" s="276" t="s">
        <v>152</v>
      </c>
      <c r="D130" s="148" t="s">
        <v>153</v>
      </c>
      <c r="E130" s="168"/>
      <c r="F130" s="277"/>
      <c r="G130" s="278"/>
      <c r="H130" s="279"/>
      <c r="I130" s="280"/>
      <c r="J130" s="281" t="s">
        <v>87</v>
      </c>
      <c r="K130" s="281" t="s">
        <v>52</v>
      </c>
      <c r="L130" s="282" t="str">
        <f>M129</f>
        <v>#REF!</v>
      </c>
      <c r="M130" s="220" t="str">
        <f>roundup(M129*6,0)+1</f>
        <v>#REF!</v>
      </c>
      <c r="N130" s="284">
        <f>IFERROR(__xludf.DUMMYFUNCTION("""COMPUTED_VALUE"""),1.0)</f>
        <v>1</v>
      </c>
      <c r="O130" s="285">
        <v>1.0</v>
      </c>
      <c r="P130" s="285">
        <v>1.0</v>
      </c>
      <c r="Q130" s="135" t="str">
        <f t="shared" si="81"/>
        <v>#REF!</v>
      </c>
      <c r="R130" s="136" t="s">
        <v>42</v>
      </c>
      <c r="S130" s="137" t="str">
        <f t="shared" si="82"/>
        <v>#REF!</v>
      </c>
      <c r="T130" s="286"/>
      <c r="U130" s="136" t="s">
        <v>42</v>
      </c>
      <c r="V130" s="286"/>
      <c r="W130" s="140" t="str">
        <f t="shared" si="83"/>
        <v>#REF!</v>
      </c>
      <c r="X130" s="292"/>
      <c r="Y130" s="200"/>
      <c r="Z130" s="180"/>
      <c r="AA130" s="180"/>
      <c r="AB130" s="180" t="str">
        <f t="shared" si="84"/>
        <v>#REF!</v>
      </c>
      <c r="AC130" s="275"/>
      <c r="AD130" s="287"/>
      <c r="AE130" s="287"/>
      <c r="AF130" s="288"/>
      <c r="AG130" s="289"/>
      <c r="AH130" s="290"/>
      <c r="AI130" s="291"/>
      <c r="AJ130" s="290"/>
      <c r="AK130" s="290"/>
      <c r="AL130" s="267"/>
      <c r="AM130" s="135" t="s">
        <v>42</v>
      </c>
      <c r="AN130" s="152" t="e">
        <v>#REF!</v>
      </c>
      <c r="AO130" s="135" t="s">
        <v>42</v>
      </c>
      <c r="AP130" s="139"/>
      <c r="AQ130" s="260"/>
      <c r="AR130" s="260"/>
      <c r="AS130" s="260"/>
      <c r="AT130" s="260"/>
      <c r="AU130" s="260"/>
      <c r="AV130" s="260"/>
      <c r="AW130" s="260"/>
      <c r="AX130" s="260"/>
      <c r="AY130" s="260"/>
      <c r="AZ130" s="260"/>
      <c r="BA130" s="260"/>
      <c r="BB130" s="260"/>
      <c r="BC130" s="260"/>
      <c r="BD130" s="260"/>
      <c r="BE130" s="260"/>
      <c r="BF130" s="260"/>
      <c r="BG130" s="260"/>
      <c r="BH130" s="260"/>
    </row>
    <row r="131" ht="12.75" customHeight="1">
      <c r="A131" s="71"/>
      <c r="B131" s="154" t="s">
        <v>80</v>
      </c>
      <c r="C131" s="276" t="s">
        <v>81</v>
      </c>
      <c r="D131" s="148" t="s">
        <v>154</v>
      </c>
      <c r="E131" s="125" t="str">
        <f>IFERROR(__xludf.DUMMYFUNCTION("IF($B$17:$B386="""","""",
  VLOOKUP(
    $B$17:$B386,
    QUERY(
      IMPORTRANGE(""1Ag27m9YF5mMfJh2E6NipJDFvPLlDI1p-s_1XEnzMHcc"",""Merge!F2:R""),
      ""select Col1, Col11"",
      0
    ),
    2,
    FALSE
  )
)
"),"#REF!")</f>
        <v>#REF!</v>
      </c>
      <c r="F131" s="277"/>
      <c r="G131" s="278"/>
      <c r="H131" s="279"/>
      <c r="I131" s="280"/>
      <c r="J131" s="281" t="s">
        <v>14</v>
      </c>
      <c r="K131" s="281" t="s">
        <v>41</v>
      </c>
      <c r="L131" s="282" t="str">
        <f>M129</f>
        <v>#REF!</v>
      </c>
      <c r="M131" s="283">
        <v>229.3056818181818</v>
      </c>
      <c r="N131" s="284">
        <f>IFERROR(__xludf.DUMMYFUNCTION("""COMPUTED_VALUE"""),1.0)</f>
        <v>1</v>
      </c>
      <c r="O131" s="285">
        <v>1.0</v>
      </c>
      <c r="P131" s="285">
        <v>1.0</v>
      </c>
      <c r="Q131" s="135">
        <f t="shared" si="81"/>
        <v>229.3056818</v>
      </c>
      <c r="R131" s="136" t="s">
        <v>42</v>
      </c>
      <c r="S131" s="137">
        <f t="shared" si="82"/>
        <v>0</v>
      </c>
      <c r="T131" s="286"/>
      <c r="U131" s="136" t="s">
        <v>42</v>
      </c>
      <c r="V131" s="286"/>
      <c r="W131" s="140">
        <f t="shared" si="83"/>
        <v>0</v>
      </c>
      <c r="X131" s="292"/>
      <c r="Y131" s="200"/>
      <c r="Z131" s="180"/>
      <c r="AA131" s="180"/>
      <c r="AB131" s="180">
        <f t="shared" si="84"/>
        <v>0</v>
      </c>
      <c r="AC131" s="275"/>
      <c r="AD131" s="287"/>
      <c r="AE131" s="287"/>
      <c r="AF131" s="288"/>
      <c r="AG131" s="289"/>
      <c r="AH131" s="290"/>
      <c r="AI131" s="291"/>
      <c r="AJ131" s="290"/>
      <c r="AK131" s="290"/>
      <c r="AL131" s="267"/>
      <c r="AM131" s="135" t="s">
        <v>42</v>
      </c>
      <c r="AN131" s="152" t="s">
        <v>75</v>
      </c>
      <c r="AO131" s="135" t="s">
        <v>42</v>
      </c>
      <c r="AP131" s="139"/>
      <c r="AQ131" s="260"/>
      <c r="AR131" s="260"/>
      <c r="AS131" s="260"/>
      <c r="AT131" s="260"/>
      <c r="AU131" s="260"/>
      <c r="AV131" s="260"/>
      <c r="AW131" s="260"/>
      <c r="AX131" s="260"/>
      <c r="AY131" s="260"/>
      <c r="AZ131" s="260"/>
      <c r="BA131" s="260"/>
      <c r="BB131" s="260"/>
      <c r="BC131" s="260"/>
      <c r="BD131" s="260"/>
      <c r="BE131" s="260"/>
      <c r="BF131" s="260"/>
      <c r="BG131" s="260"/>
      <c r="BH131" s="260"/>
    </row>
    <row r="132" ht="12.75" customHeight="1">
      <c r="A132" s="71"/>
      <c r="B132" s="122" t="s">
        <v>84</v>
      </c>
      <c r="C132" s="123" t="s">
        <v>85</v>
      </c>
      <c r="D132" s="148" t="s">
        <v>155</v>
      </c>
      <c r="E132" s="126" t="str">
        <f t="shared" ref="E132:F132" si="85">E131</f>
        <v>#REF!</v>
      </c>
      <c r="F132" s="126" t="str">
        <f t="shared" si="85"/>
        <v/>
      </c>
      <c r="G132" s="127"/>
      <c r="H132" s="125" t="str">
        <f>IFERROR(__xludf.DUMMYFUNCTION("IF($B$17:$B386="""","""",
  VLOOKUP(
    $B$17:$B386,
    QUERY(
      IMPORTRANGE(""1Ag27m9YF5mMfJh2E6NipJDFvPLlDI1p-s_1XEnzMHcc"",""Merge!F2:R""),
      ""select Col1, Col11"",
      0
    ),
    2,
    FALSE
  )
)
"),"#REF!")</f>
        <v>#REF!</v>
      </c>
      <c r="I132" s="280"/>
      <c r="J132" s="281" t="s">
        <v>87</v>
      </c>
      <c r="K132" s="281" t="s">
        <v>52</v>
      </c>
      <c r="L132" s="282">
        <f>M131</f>
        <v>229.3056818</v>
      </c>
      <c r="M132" s="169" t="str">
        <f>M131/E132/H132</f>
        <v>#REF!</v>
      </c>
      <c r="N132" s="284">
        <f>IFERROR(__xludf.DUMMYFUNCTION("""COMPUTED_VALUE"""),1.0)</f>
        <v>1</v>
      </c>
      <c r="O132" s="285">
        <v>1.0</v>
      </c>
      <c r="P132" s="285">
        <v>1.0</v>
      </c>
      <c r="Q132" s="135" t="str">
        <f t="shared" si="81"/>
        <v>#REF!</v>
      </c>
      <c r="R132" s="136" t="s">
        <v>42</v>
      </c>
      <c r="S132" s="137" t="str">
        <f t="shared" si="82"/>
        <v>#REF!</v>
      </c>
      <c r="T132" s="286"/>
      <c r="U132" s="136" t="s">
        <v>42</v>
      </c>
      <c r="V132" s="286"/>
      <c r="W132" s="140" t="str">
        <f t="shared" si="83"/>
        <v>#REF!</v>
      </c>
      <c r="X132" s="292"/>
      <c r="Y132" s="200"/>
      <c r="Z132" s="180"/>
      <c r="AA132" s="180"/>
      <c r="AB132" s="180" t="str">
        <f t="shared" si="84"/>
        <v>#REF!</v>
      </c>
      <c r="AC132" s="275"/>
      <c r="AD132" s="287"/>
      <c r="AE132" s="287"/>
      <c r="AF132" s="288"/>
      <c r="AG132" s="289"/>
      <c r="AH132" s="290"/>
      <c r="AI132" s="291"/>
      <c r="AJ132" s="290"/>
      <c r="AK132" s="290"/>
      <c r="AL132" s="267"/>
      <c r="AM132" s="135" t="s">
        <v>42</v>
      </c>
      <c r="AN132" s="152" t="e">
        <v>#REF!</v>
      </c>
      <c r="AO132" s="135" t="s">
        <v>42</v>
      </c>
      <c r="AP132" s="139"/>
      <c r="AQ132" s="260"/>
      <c r="AR132" s="260"/>
      <c r="AS132" s="260"/>
      <c r="AT132" s="260"/>
      <c r="AU132" s="260"/>
      <c r="AV132" s="260"/>
      <c r="AW132" s="260"/>
      <c r="AX132" s="260"/>
      <c r="AY132" s="260"/>
      <c r="AZ132" s="260"/>
      <c r="BA132" s="260"/>
      <c r="BB132" s="260"/>
      <c r="BC132" s="260"/>
      <c r="BD132" s="260"/>
      <c r="BE132" s="260"/>
      <c r="BF132" s="260"/>
      <c r="BG132" s="260"/>
      <c r="BH132" s="260"/>
    </row>
    <row r="133" ht="12.75" customHeight="1">
      <c r="A133" s="71"/>
      <c r="B133" s="154"/>
      <c r="C133" s="276"/>
      <c r="D133" s="148"/>
      <c r="E133" s="168"/>
      <c r="F133" s="277"/>
      <c r="G133" s="278"/>
      <c r="H133" s="279"/>
      <c r="I133" s="280"/>
      <c r="J133" s="281"/>
      <c r="K133" s="281" t="s">
        <v>42</v>
      </c>
      <c r="L133" s="282"/>
      <c r="M133" s="283" t="s">
        <v>42</v>
      </c>
      <c r="N133" s="284" t="str">
        <f>IFERROR(__xludf.DUMMYFUNCTION("""COMPUTED_VALUE"""),"")</f>
        <v/>
      </c>
      <c r="O133" s="285"/>
      <c r="P133" s="285"/>
      <c r="Q133" s="135">
        <f t="shared" si="81"/>
        <v>0</v>
      </c>
      <c r="R133" s="293"/>
      <c r="S133" s="294"/>
      <c r="T133" s="286"/>
      <c r="U133" s="136"/>
      <c r="V133" s="286"/>
      <c r="W133" s="140"/>
      <c r="X133" s="292"/>
      <c r="Y133" s="200"/>
      <c r="Z133" s="180"/>
      <c r="AA133" s="180"/>
      <c r="AB133" s="180">
        <f t="shared" si="84"/>
        <v>0</v>
      </c>
      <c r="AC133" s="275"/>
      <c r="AD133" s="287"/>
      <c r="AE133" s="287"/>
      <c r="AF133" s="288"/>
      <c r="AG133" s="289"/>
      <c r="AH133" s="290"/>
      <c r="AI133" s="291"/>
      <c r="AJ133" s="290"/>
      <c r="AK133" s="290"/>
      <c r="AL133" s="267"/>
      <c r="AM133" s="135" t="s">
        <v>42</v>
      </c>
      <c r="AN133" s="152"/>
      <c r="AO133" s="135" t="s">
        <v>42</v>
      </c>
      <c r="AP133" s="139"/>
      <c r="AQ133" s="260"/>
      <c r="AR133" s="260"/>
      <c r="AS133" s="260"/>
      <c r="AT133" s="260"/>
      <c r="AU133" s="260"/>
      <c r="AV133" s="260"/>
      <c r="AW133" s="260"/>
      <c r="AX133" s="260"/>
      <c r="AY133" s="260"/>
      <c r="AZ133" s="260"/>
      <c r="BA133" s="260"/>
      <c r="BB133" s="260"/>
      <c r="BC133" s="260"/>
      <c r="BD133" s="260"/>
      <c r="BE133" s="260"/>
      <c r="BF133" s="260"/>
      <c r="BG133" s="260"/>
      <c r="BH133" s="260"/>
    </row>
    <row r="134" ht="12.75" customHeight="1">
      <c r="A134" s="71"/>
      <c r="B134" s="154" t="s">
        <v>156</v>
      </c>
      <c r="C134" s="276" t="s">
        <v>157</v>
      </c>
      <c r="D134" s="148" t="s">
        <v>158</v>
      </c>
      <c r="E134" s="125" t="str">
        <f>IFERROR(__xludf.DUMMYFUNCTION("IF($B$17:$B386="""","""",
  VLOOKUP(
    $B$17:$B386,
    QUERY(
      IMPORTRANGE(""1Ag27m9YF5mMfJh2E6NipJDFvPLlDI1p-s_1XEnzMHcc"",""Merge!F2:R""),
      ""select Col1, Col11"",
      0
    ),
    2,
    FALSE
  )
)
"),"#REF!")</f>
        <v>#REF!</v>
      </c>
      <c r="F134" s="277"/>
      <c r="G134" s="278"/>
      <c r="H134" s="279"/>
      <c r="I134" s="280"/>
      <c r="J134" s="281" t="s">
        <v>14</v>
      </c>
      <c r="K134" s="281" t="s">
        <v>52</v>
      </c>
      <c r="L134" s="282">
        <f>143.09+142.87</f>
        <v>285.96</v>
      </c>
      <c r="M134" s="283" t="str">
        <f>L134/E134</f>
        <v>#REF!</v>
      </c>
      <c r="N134" s="284">
        <f>IFERROR(__xludf.DUMMYFUNCTION("""COMPUTED_VALUE"""),1.0)</f>
        <v>1</v>
      </c>
      <c r="O134" s="285">
        <v>1.0</v>
      </c>
      <c r="P134" s="285">
        <v>1.0</v>
      </c>
      <c r="Q134" s="135" t="str">
        <f t="shared" si="81"/>
        <v>#REF!</v>
      </c>
      <c r="R134" s="293" t="s">
        <v>42</v>
      </c>
      <c r="S134" s="137" t="str">
        <f>R134*Q134</f>
        <v>#REF!</v>
      </c>
      <c r="T134" s="286"/>
      <c r="U134" s="136" t="s">
        <v>42</v>
      </c>
      <c r="V134" s="286"/>
      <c r="W134" s="140" t="str">
        <f>U134*Q134</f>
        <v>#REF!</v>
      </c>
      <c r="X134" s="292"/>
      <c r="Y134" s="200"/>
      <c r="Z134" s="180"/>
      <c r="AA134" s="180"/>
      <c r="AB134" s="180" t="str">
        <f t="shared" si="84"/>
        <v>#REF!</v>
      </c>
      <c r="AC134" s="275"/>
      <c r="AD134" s="287"/>
      <c r="AE134" s="287"/>
      <c r="AF134" s="288"/>
      <c r="AG134" s="289"/>
      <c r="AH134" s="290"/>
      <c r="AI134" s="291"/>
      <c r="AJ134" s="290"/>
      <c r="AK134" s="290"/>
      <c r="AL134" s="267"/>
      <c r="AM134" s="135" t="s">
        <v>42</v>
      </c>
      <c r="AN134" s="152" t="e">
        <v>#REF!</v>
      </c>
      <c r="AO134" s="135" t="s">
        <v>42</v>
      </c>
      <c r="AP134" s="139"/>
      <c r="AQ134" s="260"/>
      <c r="AR134" s="260"/>
      <c r="AS134" s="260"/>
      <c r="AT134" s="260"/>
      <c r="AU134" s="260"/>
      <c r="AV134" s="260"/>
      <c r="AW134" s="260"/>
      <c r="AX134" s="260"/>
      <c r="AY134" s="260"/>
      <c r="AZ134" s="260"/>
      <c r="BA134" s="260"/>
      <c r="BB134" s="260"/>
      <c r="BC134" s="260"/>
      <c r="BD134" s="260"/>
      <c r="BE134" s="260"/>
      <c r="BF134" s="260"/>
      <c r="BG134" s="260"/>
      <c r="BH134" s="260"/>
    </row>
    <row r="135" ht="12.75" customHeight="1">
      <c r="A135" s="71"/>
      <c r="B135" s="154"/>
      <c r="C135" s="276"/>
      <c r="D135" s="148"/>
      <c r="E135" s="168"/>
      <c r="F135" s="277"/>
      <c r="G135" s="278"/>
      <c r="H135" s="279"/>
      <c r="I135" s="280"/>
      <c r="J135" s="281"/>
      <c r="K135" s="281" t="s">
        <v>42</v>
      </c>
      <c r="L135" s="282"/>
      <c r="M135" s="283" t="s">
        <v>42</v>
      </c>
      <c r="N135" s="284" t="str">
        <f>IFERROR(__xludf.DUMMYFUNCTION("""COMPUTED_VALUE"""),"")</f>
        <v/>
      </c>
      <c r="O135" s="285"/>
      <c r="P135" s="285"/>
      <c r="Q135" s="281"/>
      <c r="R135" s="293"/>
      <c r="S135" s="294"/>
      <c r="T135" s="286"/>
      <c r="U135" s="136"/>
      <c r="V135" s="286"/>
      <c r="W135" s="295"/>
      <c r="X135" s="292"/>
      <c r="Y135" s="200"/>
      <c r="Z135" s="180"/>
      <c r="AA135" s="180"/>
      <c r="AB135" s="180"/>
      <c r="AC135" s="275"/>
      <c r="AD135" s="287"/>
      <c r="AE135" s="287"/>
      <c r="AF135" s="288"/>
      <c r="AG135" s="289"/>
      <c r="AH135" s="290"/>
      <c r="AI135" s="291"/>
      <c r="AJ135" s="290"/>
      <c r="AK135" s="290"/>
      <c r="AL135" s="267"/>
      <c r="AM135" s="135" t="s">
        <v>42</v>
      </c>
      <c r="AN135" s="152"/>
      <c r="AO135" s="135" t="s">
        <v>42</v>
      </c>
      <c r="AP135" s="139"/>
      <c r="AQ135" s="260"/>
      <c r="AR135" s="260"/>
      <c r="AS135" s="260"/>
      <c r="AT135" s="260"/>
      <c r="AU135" s="260"/>
      <c r="AV135" s="260"/>
      <c r="AW135" s="260"/>
      <c r="AX135" s="260"/>
      <c r="AY135" s="260"/>
      <c r="AZ135" s="260"/>
      <c r="BA135" s="260"/>
      <c r="BB135" s="260"/>
      <c r="BC135" s="260"/>
      <c r="BD135" s="260"/>
      <c r="BE135" s="260"/>
      <c r="BF135" s="260"/>
      <c r="BG135" s="260"/>
      <c r="BH135" s="260"/>
    </row>
    <row r="136">
      <c r="A136" s="71">
        <v>1.0</v>
      </c>
      <c r="B136" s="190"/>
      <c r="C136" s="191" t="s">
        <v>300</v>
      </c>
      <c r="D136" s="192"/>
      <c r="E136" s="193"/>
      <c r="F136" s="192"/>
      <c r="G136" s="192"/>
      <c r="H136" s="194"/>
      <c r="I136" s="194"/>
      <c r="J136" s="194"/>
      <c r="K136" s="194" t="s">
        <v>42</v>
      </c>
      <c r="L136" s="195">
        <f>Q136</f>
        <v>14.74</v>
      </c>
      <c r="M136" s="196" t="s">
        <v>42</v>
      </c>
      <c r="N136" s="197" t="str">
        <f>IFERROR(__xludf.DUMMYFUNCTION("""COMPUTED_VALUE"""),"")</f>
        <v/>
      </c>
      <c r="O136" s="194"/>
      <c r="P136" s="194"/>
      <c r="Q136" s="195">
        <f>Q137</f>
        <v>14.74</v>
      </c>
      <c r="R136" s="136"/>
      <c r="S136" s="198">
        <f>T136/Q136</f>
        <v>0</v>
      </c>
      <c r="T136" s="198">
        <f>SUM(S137:S141)</f>
        <v>0</v>
      </c>
      <c r="U136" s="136"/>
      <c r="V136" s="198">
        <f>W136/Q136</f>
        <v>0</v>
      </c>
      <c r="W136" s="199">
        <f>SUM(W137:W141)</f>
        <v>0</v>
      </c>
      <c r="X136" s="111" t="str">
        <f>W136/$AC$176/$W$183/$X$173</f>
        <v>#REF!</v>
      </c>
      <c r="Y136" s="200" t="b">
        <f>(T136+W136)=(SUM(AB137:AB141))</f>
        <v>1</v>
      </c>
      <c r="Z136" s="180">
        <f>(T136+W136)-(SUM(AB137:AB141))</f>
        <v>0</v>
      </c>
      <c r="AA136" s="180"/>
      <c r="AB136" s="180"/>
      <c r="AC136" s="181"/>
      <c r="AD136" s="114">
        <f>W136+T136</f>
        <v>0</v>
      </c>
      <c r="AE136" s="115">
        <f>AD136</f>
        <v>0</v>
      </c>
      <c r="AF136" s="116" t="str">
        <f>AE136/$AE$151</f>
        <v>#REF!</v>
      </c>
      <c r="AG136" s="117" t="str">
        <f>AF136*$AG$158</f>
        <v>#REF!</v>
      </c>
      <c r="AH136" s="118" t="str">
        <f>AF136*$AG$161</f>
        <v>#REF!</v>
      </c>
      <c r="AI136" s="39"/>
      <c r="AJ136" s="119" t="str">
        <f>ROUND(AK136/L136,2)</f>
        <v>#REF!</v>
      </c>
      <c r="AK136" s="119" t="str">
        <f>ROUND(AH136+AG136+AD136,2)</f>
        <v>#REF!</v>
      </c>
      <c r="AL136" s="180"/>
      <c r="AM136" s="135" t="s">
        <v>42</v>
      </c>
      <c r="AN136" s="152"/>
      <c r="AO136" s="135" t="s">
        <v>42</v>
      </c>
      <c r="AP136" s="139"/>
      <c r="AQ136" s="189"/>
      <c r="AR136" s="189"/>
      <c r="AS136" s="180"/>
      <c r="AT136" s="180"/>
      <c r="AU136" s="180"/>
      <c r="AV136" s="180"/>
      <c r="AW136" s="180"/>
      <c r="AX136" s="180"/>
      <c r="AY136" s="180"/>
      <c r="AZ136" s="180"/>
      <c r="BA136" s="180"/>
      <c r="BB136" s="180"/>
      <c r="BC136" s="180"/>
      <c r="BD136" s="180"/>
      <c r="BE136" s="180"/>
      <c r="BF136" s="180"/>
      <c r="BG136" s="180"/>
      <c r="BH136" s="180"/>
    </row>
    <row r="137">
      <c r="A137" s="71"/>
      <c r="B137" s="154" t="str">
        <f>IFERROR(__xludf.DUMMYFUNCTION("IFERROR(
  IF(C137="""","""",
    IF(OR(REGEXMATCH(D137,""(?i)-Flashing""), REGEXMATCH(D137,""(?i)-EavesGut""), REGEXMATCH(D137,""(?i)Valley"")),
        ""DR"" &amp;
        TEXT(
            ROUNDUP(
                MIN(
                    VALUE(MID(C137, "&amp;"FIND(""("",C137)+1, FIND(""/"",C137)-FIND(""("",C137)-1)),
                    1200
                ) / 50, 0
            ) * 50, ""0""
        ) &amp;
        MID(C137, FIND(""/"",C137)+1, FIND("")"",C137)-FIND(""/"",C137)-1) &amp;
        TEXT(H137*100,""0"") &amp;"&amp;"
        I137,
    IF(AND(D137=""Roof Sheet"", REGEXMATCH(C137,""(?i)KS\d{4}[A-Z]{2}"")),
       REGEXEXTRACT(C137,""(?i)KS\d{4}[A-Z]{2}""),
    IF(AND(REGEXMATCH(D137,""(?i)-DP""), REGEXMATCH(C137,""(?i)Downpipe"")),
       ""dp"" &amp; REGEXEXTRACT(C137,""("&amp;"\d+)"") &amp; ""mm"",
    IF(AND(REGEXMATCH(D137,""(?i)Bracket""), REGEXMATCH(C137,""(?i)Bracket"")),
       ""Brkt"" &amp; REGEXEXTRACT(C137,""(\d+)"") &amp; ""mm"",
    IF(AND(REGEXMATCH(D137,""(?i)-OP""), REGEXMATCH(C137,""(?i)pops"")),
       ""op"" &amp; REGEXEXTRAC"&amp;"T(C137,""(\d+)"") &amp; ""mm"",
    IF(OR(D137=""R-FFTop"", D137=""R-FFBottom"", D137=""R-FFSide""),
        IF(REGEXMATCH(C137,""(?i)Profiled.*Top|Top.*Profiled""),""pfft"",
        IF(REGEXMATCH(C137,""(?i)Profiled.*Bottom|Bottom.*Profiled""),""pffb"",
    "&amp;"    IF(REGEXMATCH(C137,""(?i)Square""),""sff"",""""))),
    IF(REGEXMATCH(D137,""(?i)-Rivets""),""Rvt"",
    IF(REGEXMATCH(D137,""(?i)Silicone""),""300ml"",
    IF(REGEXMATCH(D137,""(?i)R-Butyl""),""300ml"",
    IF(REGEXMATCH(D137,""(?i)Fix""),""GenFix"","&amp;"
    IF(AND(REGEXMATCH(C137,""(?i)Timber""), REGEXMATCH(D137,""(?i)Timber"")),""tp"",
    IF(AND(REGEXMATCH(C137,""(?i)Vent G1275""), REGEXMATCH(D137,""(?i)Comb FIller"")),""CFV1275"",
    IF(REGEXMATCH(C137,""(?i)DPC""),""dpc"",
    IF(REGEXMATCH(C137,"""&amp;"(?i)Concealed Clips""),""ConClips"",
    IF(REGEXMATCH(D137,""(?i)-Takeoff ea""),""Takeoff ea"",
    IF(REGEXMATCH(D137,""(?i)-Takeoff LM""),""Takeoff LM"",
    IF(REGEXMATCH(D137,""(?i)-Takeoff m2""),""Takeoff m2"",
    IF(D137=""R-TU/TD"",""TU/TD"","""""&amp;")))))))))))))))))
  )))"),"DR5003B55Mag")</f>
        <v>DR5003B55Mag</v>
      </c>
      <c r="C137" s="201" t="s">
        <v>160</v>
      </c>
      <c r="D137" s="239" t="s">
        <v>161</v>
      </c>
      <c r="E137" s="203">
        <f>VALUE(MID(C137, FIND("(", C137)+1, FIND("/", C137)-FIND("(", C137)-1)) / 1000</f>
        <v>0.5</v>
      </c>
      <c r="F137" s="218" t="str">
        <f>IFERROR(__xludf.DUMMYFUNCTION("IFERROR(REGEXEXTRACT(C137,""@\s*(\d+)\s*deg"")&amp;""°"","""")
"),"")</f>
        <v/>
      </c>
      <c r="G137" s="204"/>
      <c r="H137" s="204" t="str">
        <f>IFERROR(__xludf.DUMMYFUNCTION("IFERROR(REGEXEXTRACT(C137, ""(\d*\.\d+)mm""), """")"),"0.55")</f>
        <v>0.55</v>
      </c>
      <c r="I137" s="204" t="s">
        <v>97</v>
      </c>
      <c r="J137" s="126" t="s">
        <v>87</v>
      </c>
      <c r="K137" s="205" t="s">
        <v>55</v>
      </c>
      <c r="L137" s="206">
        <v>14.74</v>
      </c>
      <c r="M137" s="150">
        <f>L137</f>
        <v>14.74</v>
      </c>
      <c r="N137" s="207">
        <f>IFERROR(__xludf.DUMMYFUNCTION("""COMPUTED_VALUE"""),1.0)</f>
        <v>1</v>
      </c>
      <c r="O137" s="208">
        <v>1.0</v>
      </c>
      <c r="P137" s="208">
        <v>1.0</v>
      </c>
      <c r="Q137" s="203">
        <f t="shared" ref="Q137:Q140" si="87">M137*N137*O137*P137</f>
        <v>14.74</v>
      </c>
      <c r="R137" s="136" t="s">
        <v>42</v>
      </c>
      <c r="S137" s="137">
        <f t="shared" ref="S137:S140" si="88">R137*Q137</f>
        <v>0</v>
      </c>
      <c r="T137" s="210"/>
      <c r="U137" s="136" t="s">
        <v>42</v>
      </c>
      <c r="V137" s="209"/>
      <c r="W137" s="211">
        <f t="shared" ref="W137:W140" si="89">U137*Q137</f>
        <v>0</v>
      </c>
      <c r="X137" s="292" t="str">
        <f>W137/$AC$227/$W$233/Y137</f>
        <v>#VALUE!</v>
      </c>
      <c r="Y137" s="200">
        <v>2.0</v>
      </c>
      <c r="Z137" s="180" t="str">
        <f>Q137/X137</f>
        <v>#VALUE!</v>
      </c>
      <c r="AA137" s="180"/>
      <c r="AB137" s="180">
        <f t="shared" ref="AB137:AB141" si="90">W137+S137</f>
        <v>0</v>
      </c>
      <c r="AC137" s="181"/>
      <c r="AD137" s="182"/>
      <c r="AE137" s="183"/>
      <c r="AF137" s="184"/>
      <c r="AG137" s="185"/>
      <c r="AH137" s="186"/>
      <c r="AI137" s="187"/>
      <c r="AJ137" s="188"/>
      <c r="AK137" s="188"/>
      <c r="AL137" s="180"/>
      <c r="AM137" s="135">
        <v>14.74</v>
      </c>
      <c r="AN137" s="152" t="s">
        <v>46</v>
      </c>
      <c r="AO137" s="135">
        <v>0.0</v>
      </c>
      <c r="AP137" s="139"/>
      <c r="AQ137" s="189"/>
      <c r="AR137" s="189"/>
      <c r="AS137" s="180"/>
      <c r="AT137" s="180"/>
      <c r="AU137" s="180"/>
      <c r="AV137" s="180"/>
      <c r="AW137" s="180"/>
      <c r="AX137" s="180"/>
      <c r="AY137" s="180"/>
      <c r="AZ137" s="180"/>
      <c r="BA137" s="180"/>
      <c r="BB137" s="180"/>
      <c r="BC137" s="180"/>
      <c r="BD137" s="180"/>
      <c r="BE137" s="180"/>
      <c r="BF137" s="180"/>
      <c r="BG137" s="180"/>
      <c r="BH137" s="180"/>
    </row>
    <row r="138" ht="12.75" customHeight="1">
      <c r="A138" s="71"/>
      <c r="B138" s="154" t="str">
        <f>IFERROR(__xludf.DUMMYFUNCTION("IFERROR(
  IF(C138="""","""",
    IF(OR(REGEXMATCH(D138,""(?i)-Flashing""), REGEXMATCH(D138,""(?i)-EavesGut""), REGEXMATCH(D138,""(?i)Valley"")),
        ""DR"" &amp;
        TEXT(
            ROUNDUP(
                MIN(
                    VALUE(MID(C138, "&amp;"FIND(""("",C138)+1, FIND(""/"",C138)-FIND(""("",C138)-1)),
                    1200
                ) / 50, 0
            ) * 50, ""0""
        ) &amp;
        MID(C138, FIND(""/"",C138)+1, FIND("")"",C138)-FIND(""/"",C138)-1) &amp;
        TEXT(H138*100,""0"") &amp;"&amp;"
        I138,
    IF(AND(D138=""Roof Sheet"", REGEXMATCH(C138,""(?i)KS\d{4}[A-Z]{2}"")),
       REGEXEXTRACT(C138,""(?i)KS\d{4}[A-Z]{2}""),
    IF(AND(REGEXMATCH(D138,""(?i)-DP""), REGEXMATCH(C138,""(?i)Downpipe"")),
       ""dp"" &amp; REGEXEXTRACT(C138,""("&amp;"\d+)"") &amp; ""mm"",
    IF(AND(REGEXMATCH(D138,""(?i)Bracket""), REGEXMATCH(C138,""(?i)Bracket"")),
       ""Brkt"" &amp; REGEXEXTRACT(C138,""(\d+)"") &amp; ""mm"",
    IF(AND(REGEXMATCH(D138,""(?i)-OP""), REGEXMATCH(C138,""(?i)pops"")),
       ""op"" &amp; REGEXEXTRAC"&amp;"T(C138,""(\d+)"") &amp; ""mm"",
    IF(OR(D138=""R-FFTop"", D138=""R-FFBottom"", D138=""R-FFSide""),
        IF(REGEXMATCH(C138,""(?i)Profiled.*Top|Top.*Profiled""),""pfft"",
        IF(REGEXMATCH(C138,""(?i)Profiled.*Bottom|Bottom.*Profiled""),""pffb"",
    "&amp;"    IF(REGEXMATCH(C138,""(?i)Square""),""sff"",""""))),
    IF(REGEXMATCH(D138,""(?i)-Rivets""),""Rvt"",
    IF(REGEXMATCH(D138,""(?i)Silicone""),""300ml"",
    IF(REGEXMATCH(D138,""(?i)R-Butyl""),""300ml"",
    IF(REGEXMATCH(D138,""(?i)Fix""),""GenFix"","&amp;"
    IF(AND(REGEXMATCH(C138,""(?i)Timber""), REGEXMATCH(D138,""(?i)Timber"")),""tp"",
    IF(AND(REGEXMATCH(C138,""(?i)Vent G1275""), REGEXMATCH(D138,""(?i)Comb FIller"")),""CFV1275"",
    IF(REGEXMATCH(C138,""(?i)DPC""),""dpc"",
    IF(REGEXMATCH(C138,"""&amp;"(?i)Concealed Clips""),""ConClips"",
    IF(REGEXMATCH(D138,""(?i)-Takeoff ea""),""Takeoff ea"",
    IF(REGEXMATCH(D138,""(?i)-Takeoff LM""),""Takeoff LM"",
    IF(REGEXMATCH(D138,""(?i)-Takeoff m2""),""Takeoff m2"",
    IF(D138=""R-TU/TD"",""TU/TD"","""""&amp;")))))))))))))))))
  )))"),"300ml")</f>
        <v>300ml</v>
      </c>
      <c r="C138" s="225" t="s">
        <v>98</v>
      </c>
      <c r="D138" s="148" t="s">
        <v>162</v>
      </c>
      <c r="E138" s="168">
        <f t="shared" ref="E138:F138" si="86">E137</f>
        <v>0.5</v>
      </c>
      <c r="F138" s="168" t="str">
        <f t="shared" si="86"/>
        <v/>
      </c>
      <c r="G138" s="129"/>
      <c r="H138" s="127"/>
      <c r="I138" s="127"/>
      <c r="J138" s="126" t="s">
        <v>87</v>
      </c>
      <c r="K138" s="126" t="s">
        <v>52</v>
      </c>
      <c r="L138" s="168">
        <f>M137</f>
        <v>14.74</v>
      </c>
      <c r="M138" s="150">
        <f>(ROUNDDOWN((M137/5.7)+2,0)*E138)/8</f>
        <v>0.25</v>
      </c>
      <c r="N138" s="215">
        <f>IFERROR(__xludf.DUMMYFUNCTION("""COMPUTED_VALUE"""),1.0)</f>
        <v>1</v>
      </c>
      <c r="O138" s="134">
        <v>1.0</v>
      </c>
      <c r="P138" s="134">
        <v>1.0</v>
      </c>
      <c r="Q138" s="168">
        <f t="shared" si="87"/>
        <v>0.25</v>
      </c>
      <c r="R138" s="136" t="s">
        <v>42</v>
      </c>
      <c r="S138" s="137">
        <f t="shared" si="88"/>
        <v>0</v>
      </c>
      <c r="T138" s="138"/>
      <c r="U138" s="136" t="s">
        <v>42</v>
      </c>
      <c r="V138" s="139"/>
      <c r="W138" s="140">
        <f t="shared" si="89"/>
        <v>0</v>
      </c>
      <c r="X138" s="292"/>
      <c r="Y138" s="200"/>
      <c r="Z138" s="180"/>
      <c r="AA138" s="180"/>
      <c r="AB138" s="180">
        <f t="shared" si="90"/>
        <v>0</v>
      </c>
      <c r="AC138" s="33"/>
      <c r="AD138" s="65"/>
      <c r="AE138" s="66"/>
      <c r="AF138" s="144"/>
      <c r="AG138" s="68"/>
      <c r="AH138" s="69"/>
      <c r="AI138" s="39"/>
      <c r="AJ138" s="70"/>
      <c r="AK138" s="70"/>
      <c r="AL138" s="5"/>
      <c r="AM138" s="135">
        <v>0.25</v>
      </c>
      <c r="AN138" s="152" t="s">
        <v>46</v>
      </c>
      <c r="AO138" s="135">
        <v>0.0</v>
      </c>
      <c r="AP138" s="139"/>
      <c r="AQ138" s="5"/>
      <c r="AR138" s="5"/>
      <c r="AS138" s="5"/>
      <c r="AT138" s="5"/>
      <c r="AU138" s="5"/>
      <c r="AV138" s="5"/>
      <c r="AW138" s="5"/>
      <c r="AX138" s="5"/>
      <c r="AY138" s="5"/>
      <c r="AZ138" s="5"/>
      <c r="BA138" s="5"/>
      <c r="BB138" s="5"/>
      <c r="BC138" s="5"/>
      <c r="BD138" s="5"/>
      <c r="BE138" s="5"/>
      <c r="BF138" s="5"/>
      <c r="BG138" s="5"/>
      <c r="BH138" s="5"/>
    </row>
    <row r="139" ht="12.75" customHeight="1">
      <c r="A139" s="71"/>
      <c r="B139" s="154" t="str">
        <f>IFERROR(__xludf.DUMMYFUNCTION("IFERROR(
  IF(C139="""","""",
    IF(OR(REGEXMATCH(D139,""(?i)-Flashing""), REGEXMATCH(D139,""(?i)-EavesGut""), REGEXMATCH(D139,""(?i)Valley"")),
        ""DR"" &amp;
        TEXT(
            ROUNDUP(
                MIN(
                    VALUE(MID(C139, "&amp;"FIND(""("",C139)+1, FIND(""/"",C139)-FIND(""("",C139)-1)),
                    1200
                ) / 50, 0
            ) * 50, ""0""
        ) &amp;
        MID(C139, FIND(""/"",C139)+1, FIND("")"",C139)-FIND(""/"",C139)-1) &amp;
        TEXT(H139*100,""0"") &amp;"&amp;"
        I139,
    IF(AND(D139=""Roof Sheet"", REGEXMATCH(C139,""(?i)KS\d{4}[A-Z]{2}"")),
       REGEXEXTRACT(C139,""(?i)KS\d{4}[A-Z]{2}""),
    IF(AND(REGEXMATCH(D139,""(?i)-DP""), REGEXMATCH(C139,""(?i)Downpipe"")),
       ""dp"" &amp; REGEXEXTRACT(C139,""("&amp;"\d+)"") &amp; ""mm"",
    IF(AND(REGEXMATCH(D139,""(?i)Bracket""), REGEXMATCH(C139,""(?i)Bracket"")),
       ""Brkt"" &amp; REGEXEXTRACT(C139,""(\d+)"") &amp; ""mm"",
    IF(AND(REGEXMATCH(D139,""(?i)-OP""), REGEXMATCH(C139,""(?i)pops"")),
       ""op"" &amp; REGEXEXTRAC"&amp;"T(C139,""(\d+)"") &amp; ""mm"",
    IF(OR(D139=""R-FFTop"", D139=""R-FFBottom"", D139=""R-FFSide""),
        IF(REGEXMATCH(C139,""(?i)Profiled.*Top|Top.*Profiled""),""pfft"",
        IF(REGEXMATCH(C139,""(?i)Profiled.*Bottom|Bottom.*Profiled""),""pffb"",
    "&amp;"    IF(REGEXMATCH(C139,""(?i)Square""),""sff"",""""))),
    IF(REGEXMATCH(D139,""(?i)-Rivets""),""Rvt"",
    IF(REGEXMATCH(D139,""(?i)Silicone""),""300ml"",
    IF(REGEXMATCH(D139,""(?i)R-Butyl""),""300ml"",
    IF(REGEXMATCH(D139,""(?i)Fix""),""GenFix"","&amp;"
    IF(AND(REGEXMATCH(C139,""(?i)Timber""), REGEXMATCH(D139,""(?i)Timber"")),""tp"",
    IF(AND(REGEXMATCH(C139,""(?i)Vent G1275""), REGEXMATCH(D139,""(?i)Comb FIller"")),""CFV1275"",
    IF(REGEXMATCH(C139,""(?i)DPC""),""dpc"",
    IF(REGEXMATCH(C139,"""&amp;"(?i)Concealed Clips""),""ConClips"",
    IF(REGEXMATCH(D139,""(?i)-Takeoff ea""),""Takeoff ea"",
    IF(REGEXMATCH(D139,""(?i)-Takeoff LM""),""Takeoff LM"",
    IF(REGEXMATCH(D139,""(?i)-Takeoff m2""),""Takeoff m2"",
    IF(D139=""R-TU/TD"",""TU/TD"","""""&amp;")))))))))))))))))
  )))"),"Rvt")</f>
        <v>Rvt</v>
      </c>
      <c r="C139" s="225" t="s">
        <v>100</v>
      </c>
      <c r="D139" s="148" t="s">
        <v>163</v>
      </c>
      <c r="E139" s="168">
        <f>E137</f>
        <v>0.5</v>
      </c>
      <c r="F139" s="168" t="str">
        <f t="shared" ref="F139:F140" si="91">F138</f>
        <v/>
      </c>
      <c r="G139" s="129"/>
      <c r="H139" s="127"/>
      <c r="I139" s="127"/>
      <c r="J139" s="126" t="s">
        <v>87</v>
      </c>
      <c r="K139" s="126" t="s">
        <v>52</v>
      </c>
      <c r="L139" s="168">
        <f>M137</f>
        <v>14.74</v>
      </c>
      <c r="M139" s="150">
        <f>ROUNDUP(((M137/5.7)+1)*(E139/0.05),0)</f>
        <v>36</v>
      </c>
      <c r="N139" s="215">
        <f>IFERROR(__xludf.DUMMYFUNCTION("""COMPUTED_VALUE"""),1.0)</f>
        <v>1</v>
      </c>
      <c r="O139" s="134">
        <v>1.0</v>
      </c>
      <c r="P139" s="134">
        <v>1.0</v>
      </c>
      <c r="Q139" s="168">
        <f t="shared" si="87"/>
        <v>36</v>
      </c>
      <c r="R139" s="136" t="s">
        <v>42</v>
      </c>
      <c r="S139" s="137">
        <f t="shared" si="88"/>
        <v>0</v>
      </c>
      <c r="T139" s="138"/>
      <c r="U139" s="136" t="s">
        <v>42</v>
      </c>
      <c r="V139" s="139"/>
      <c r="W139" s="140">
        <f t="shared" si="89"/>
        <v>0</v>
      </c>
      <c r="X139" s="292"/>
      <c r="Y139" s="200"/>
      <c r="Z139" s="180"/>
      <c r="AA139" s="180"/>
      <c r="AB139" s="180">
        <f t="shared" si="90"/>
        <v>0</v>
      </c>
      <c r="AC139" s="33"/>
      <c r="AD139" s="65"/>
      <c r="AE139" s="66"/>
      <c r="AF139" s="144"/>
      <c r="AG139" s="68"/>
      <c r="AH139" s="69"/>
      <c r="AI139" s="39"/>
      <c r="AJ139" s="70"/>
      <c r="AK139" s="70"/>
      <c r="AL139" s="5"/>
      <c r="AM139" s="135">
        <v>36.0</v>
      </c>
      <c r="AN139" s="152" t="s">
        <v>46</v>
      </c>
      <c r="AO139" s="135">
        <v>0.0</v>
      </c>
      <c r="AP139" s="139"/>
      <c r="AQ139" s="5"/>
      <c r="AR139" s="5"/>
      <c r="AS139" s="5"/>
      <c r="AT139" s="5"/>
      <c r="AU139" s="5"/>
      <c r="AV139" s="5"/>
      <c r="AW139" s="5"/>
      <c r="AX139" s="5"/>
      <c r="AY139" s="5"/>
      <c r="AZ139" s="5"/>
      <c r="BA139" s="5"/>
      <c r="BB139" s="5"/>
      <c r="BC139" s="5"/>
      <c r="BD139" s="5"/>
      <c r="BE139" s="5"/>
      <c r="BF139" s="5"/>
      <c r="BG139" s="5"/>
      <c r="BH139" s="5"/>
    </row>
    <row r="140" ht="12.75" customHeight="1">
      <c r="A140" s="71"/>
      <c r="B140" s="154" t="str">
        <f>IFERROR(__xludf.DUMMYFUNCTION("IFERROR(
  IF(C140="""","""",
    IF(OR(REGEXMATCH(D140,""(?i)-Flashing""), REGEXMATCH(D140,""(?i)-EavesGut""), REGEXMATCH(D140,""(?i)Valley"")),
        ""DR"" &amp;
        TEXT(
            ROUNDUP(
                MIN(
                    VALUE(MID(C140, "&amp;"FIND(""("",C140)+1, FIND(""/"",C140)-FIND(""("",C140)-1)),
                    1200
                ) / 50, 0
            ) * 50, ""0""
        ) &amp;
        MID(C140, FIND(""/"",C140)+1, FIND("")"",C140)-FIND(""/"",C140)-1) &amp;
        TEXT(H140*100,""0"") &amp;"&amp;"
        I140,
    IF(AND(D140=""Roof Sheet"", REGEXMATCH(C140,""(?i)KS\d{4}[A-Z]{2}"")),
       REGEXEXTRACT(C140,""(?i)KS\d{4}[A-Z]{2}""),
    IF(AND(REGEXMATCH(D140,""(?i)-DP""), REGEXMATCH(C140,""(?i)Downpipe"")),
       ""dp"" &amp; REGEXEXTRACT(C140,""("&amp;"\d+)"") &amp; ""mm"",
    IF(AND(REGEXMATCH(D140,""(?i)Bracket""), REGEXMATCH(C140,""(?i)Bracket"")),
       ""Brkt"" &amp; REGEXEXTRACT(C140,""(\d+)"") &amp; ""mm"",
    IF(AND(REGEXMATCH(D140,""(?i)-OP""), REGEXMATCH(C140,""(?i)pops"")),
       ""op"" &amp; REGEXEXTRAC"&amp;"T(C140,""(\d+)"") &amp; ""mm"",
    IF(OR(D140=""R-FFTop"", D140=""R-FFBottom"", D140=""R-FFSide""),
        IF(REGEXMATCH(C140,""(?i)Profiled.*Top|Top.*Profiled""),""pfft"",
        IF(REGEXMATCH(C140,""(?i)Profiled.*Bottom|Bottom.*Profiled""),""pffb"",
    "&amp;"    IF(REGEXMATCH(C140,""(?i)Square""),""sff"",""""))),
    IF(REGEXMATCH(D140,""(?i)-Rivets""),""Rvt"",
    IF(REGEXMATCH(D140,""(?i)Silicone""),""300ml"",
    IF(REGEXMATCH(D140,""(?i)R-Butyl""),""300ml"",
    IF(REGEXMATCH(D140,""(?i)Fix""),""GenFix"","&amp;"
    IF(AND(REGEXMATCH(C140,""(?i)Timber""), REGEXMATCH(D140,""(?i)Timber"")),""tp"",
    IF(AND(REGEXMATCH(C140,""(?i)Vent G1275""), REGEXMATCH(D140,""(?i)Comb FIller"")),""CFV1275"",
    IF(REGEXMATCH(C140,""(?i)DPC""),""dpc"",
    IF(REGEXMATCH(C140,"""&amp;"(?i)Concealed Clips""),""ConClips"",
    IF(REGEXMATCH(D140,""(?i)-Takeoff ea""),""Takeoff ea"",
    IF(REGEXMATCH(D140,""(?i)-Takeoff LM""),""Takeoff LM"",
    IF(REGEXMATCH(D140,""(?i)-Takeoff m2""),""Takeoff m2"",
    IF(D140=""R-TU/TD"",""TU/TD"","""""&amp;")))))))))))))))))
  )))"),"GenFix")</f>
        <v>GenFix</v>
      </c>
      <c r="C140" s="158" t="s">
        <v>102</v>
      </c>
      <c r="D140" s="148" t="s">
        <v>164</v>
      </c>
      <c r="E140" s="161"/>
      <c r="F140" s="168" t="str">
        <f t="shared" si="91"/>
        <v/>
      </c>
      <c r="G140" s="129"/>
      <c r="H140" s="127"/>
      <c r="I140" s="127"/>
      <c r="J140" s="126" t="s">
        <v>87</v>
      </c>
      <c r="K140" s="126" t="s">
        <v>52</v>
      </c>
      <c r="L140" s="168">
        <f>M137</f>
        <v>14.74</v>
      </c>
      <c r="M140" s="150">
        <f>ROUNDUP(M137/0.6,0)+1</f>
        <v>26</v>
      </c>
      <c r="N140" s="215">
        <f>IFERROR(__xludf.DUMMYFUNCTION("""COMPUTED_VALUE"""),1.0)</f>
        <v>1</v>
      </c>
      <c r="O140" s="134">
        <v>1.0</v>
      </c>
      <c r="P140" s="134">
        <v>1.0</v>
      </c>
      <c r="Q140" s="168">
        <f t="shared" si="87"/>
        <v>26</v>
      </c>
      <c r="R140" s="136" t="s">
        <v>42</v>
      </c>
      <c r="S140" s="137">
        <f t="shared" si="88"/>
        <v>0</v>
      </c>
      <c r="T140" s="138"/>
      <c r="U140" s="136" t="s">
        <v>42</v>
      </c>
      <c r="V140" s="139"/>
      <c r="W140" s="140">
        <f t="shared" si="89"/>
        <v>0</v>
      </c>
      <c r="X140" s="292"/>
      <c r="Y140" s="200"/>
      <c r="Z140" s="180"/>
      <c r="AA140" s="180"/>
      <c r="AB140" s="180">
        <f t="shared" si="90"/>
        <v>0</v>
      </c>
      <c r="AC140" s="33"/>
      <c r="AD140" s="65"/>
      <c r="AE140" s="66"/>
      <c r="AF140" s="144"/>
      <c r="AG140" s="68"/>
      <c r="AH140" s="69"/>
      <c r="AI140" s="39"/>
      <c r="AJ140" s="70"/>
      <c r="AK140" s="70"/>
      <c r="AL140" s="5"/>
      <c r="AM140" s="135">
        <v>26.0</v>
      </c>
      <c r="AN140" s="152" t="s">
        <v>46</v>
      </c>
      <c r="AO140" s="135">
        <v>0.0</v>
      </c>
      <c r="AP140" s="139"/>
      <c r="AQ140" s="5"/>
      <c r="AR140" s="5"/>
      <c r="AS140" s="5"/>
      <c r="AT140" s="5"/>
      <c r="AU140" s="5"/>
      <c r="AV140" s="5"/>
      <c r="AW140" s="5"/>
      <c r="AX140" s="5"/>
      <c r="AY140" s="5"/>
      <c r="AZ140" s="5"/>
      <c r="BA140" s="5"/>
      <c r="BB140" s="5"/>
      <c r="BC140" s="5"/>
      <c r="BD140" s="5"/>
      <c r="BE140" s="5"/>
      <c r="BF140" s="5"/>
      <c r="BG140" s="5"/>
      <c r="BH140" s="5"/>
    </row>
    <row r="141" ht="12.75" customHeight="1">
      <c r="A141" s="71"/>
      <c r="B141" s="221"/>
      <c r="C141" s="214"/>
      <c r="D141" s="202"/>
      <c r="E141" s="203"/>
      <c r="F141" s="204"/>
      <c r="G141" s="204"/>
      <c r="H141" s="204"/>
      <c r="I141" s="204"/>
      <c r="J141" s="205"/>
      <c r="K141" s="204" t="s">
        <v>42</v>
      </c>
      <c r="L141" s="206"/>
      <c r="M141" s="220" t="s">
        <v>42</v>
      </c>
      <c r="N141" s="207" t="str">
        <f>IFERROR(__xludf.DUMMYFUNCTION("""COMPUTED_VALUE"""),"")</f>
        <v/>
      </c>
      <c r="O141" s="208"/>
      <c r="P141" s="208"/>
      <c r="Q141" s="203"/>
      <c r="R141" s="136"/>
      <c r="S141" s="209"/>
      <c r="T141" s="210"/>
      <c r="U141" s="136"/>
      <c r="V141" s="209"/>
      <c r="W141" s="211"/>
      <c r="X141" s="292"/>
      <c r="Y141" s="200"/>
      <c r="Z141" s="180"/>
      <c r="AA141" s="180"/>
      <c r="AB141" s="180">
        <f t="shared" si="90"/>
        <v>0</v>
      </c>
      <c r="AC141" s="181"/>
      <c r="AD141" s="182"/>
      <c r="AE141" s="183"/>
      <c r="AF141" s="184"/>
      <c r="AG141" s="185"/>
      <c r="AH141" s="186"/>
      <c r="AI141" s="187"/>
      <c r="AJ141" s="188"/>
      <c r="AK141" s="188"/>
      <c r="AL141" s="180"/>
      <c r="AM141" s="135" t="s">
        <v>42</v>
      </c>
      <c r="AN141" s="152"/>
      <c r="AO141" s="135" t="s">
        <v>42</v>
      </c>
      <c r="AP141" s="139"/>
      <c r="AQ141" s="189"/>
      <c r="AR141" s="189"/>
      <c r="AS141" s="180"/>
      <c r="AT141" s="180"/>
      <c r="AU141" s="180"/>
      <c r="AV141" s="180"/>
      <c r="AW141" s="180"/>
      <c r="AX141" s="180"/>
      <c r="AY141" s="180"/>
      <c r="AZ141" s="180"/>
      <c r="BA141" s="180"/>
      <c r="BB141" s="180"/>
      <c r="BC141" s="180"/>
      <c r="BD141" s="180"/>
      <c r="BE141" s="180"/>
      <c r="BF141" s="180"/>
      <c r="BG141" s="180"/>
      <c r="BH141" s="180"/>
    </row>
    <row r="142">
      <c r="A142" s="71">
        <v>1.0</v>
      </c>
      <c r="B142" s="190"/>
      <c r="C142" s="191" t="s">
        <v>165</v>
      </c>
      <c r="D142" s="192"/>
      <c r="E142" s="193"/>
      <c r="F142" s="192"/>
      <c r="G142" s="192"/>
      <c r="H142" s="194"/>
      <c r="I142" s="194"/>
      <c r="J142" s="194"/>
      <c r="K142" s="194" t="s">
        <v>42</v>
      </c>
      <c r="L142" s="195">
        <f>Q142</f>
        <v>14.74</v>
      </c>
      <c r="M142" s="196" t="s">
        <v>42</v>
      </c>
      <c r="N142" s="197" t="str">
        <f>IFERROR(__xludf.DUMMYFUNCTION("""COMPUTED_VALUE"""),"")</f>
        <v/>
      </c>
      <c r="O142" s="194"/>
      <c r="P142" s="194"/>
      <c r="Q142" s="195">
        <f>Q143</f>
        <v>14.74</v>
      </c>
      <c r="R142" s="136"/>
      <c r="S142" s="198">
        <f>T142/Q142</f>
        <v>0</v>
      </c>
      <c r="T142" s="198">
        <f>SUM(S143:S145)</f>
        <v>0</v>
      </c>
      <c r="U142" s="136"/>
      <c r="V142" s="198">
        <f>W142/Q142</f>
        <v>0</v>
      </c>
      <c r="W142" s="199">
        <f>SUM(W143:W145)</f>
        <v>0</v>
      </c>
      <c r="X142" s="111" t="str">
        <f>W142/$AC$176/$W$183/$X$173</f>
        <v>#REF!</v>
      </c>
      <c r="Y142" s="200" t="b">
        <f>(T142+W142)=(SUM(AB143:AB145))</f>
        <v>1</v>
      </c>
      <c r="Z142" s="180">
        <f>(T142+W142)-(SUM(AB143:AB145))</f>
        <v>0</v>
      </c>
      <c r="AA142" s="180"/>
      <c r="AB142" s="180"/>
      <c r="AC142" s="181"/>
      <c r="AD142" s="114">
        <f>W142+T142</f>
        <v>0</v>
      </c>
      <c r="AE142" s="115">
        <f>AD142</f>
        <v>0</v>
      </c>
      <c r="AF142" s="116" t="str">
        <f>AE142/$AE$151</f>
        <v>#REF!</v>
      </c>
      <c r="AG142" s="117" t="str">
        <f>AF142*$AG$158</f>
        <v>#REF!</v>
      </c>
      <c r="AH142" s="118" t="str">
        <f>AF142*$AG$161</f>
        <v>#REF!</v>
      </c>
      <c r="AI142" s="39"/>
      <c r="AJ142" s="119" t="str">
        <f>ROUND(AK142/L142,2)</f>
        <v>#REF!</v>
      </c>
      <c r="AK142" s="119" t="str">
        <f>ROUND(AH142+AG142+AD142,2)</f>
        <v>#REF!</v>
      </c>
      <c r="AL142" s="180"/>
      <c r="AM142" s="135" t="s">
        <v>42</v>
      </c>
      <c r="AN142" s="152"/>
      <c r="AO142" s="135" t="s">
        <v>42</v>
      </c>
      <c r="AP142" s="139"/>
      <c r="AQ142" s="189"/>
      <c r="AR142" s="189"/>
      <c r="AS142" s="180"/>
      <c r="AT142" s="180"/>
      <c r="AU142" s="180"/>
      <c r="AV142" s="180"/>
      <c r="AW142" s="180"/>
      <c r="AX142" s="180"/>
      <c r="AY142" s="180"/>
      <c r="AZ142" s="180"/>
      <c r="BA142" s="180"/>
      <c r="BB142" s="180"/>
      <c r="BC142" s="180"/>
      <c r="BD142" s="180"/>
      <c r="BE142" s="180"/>
      <c r="BF142" s="180"/>
      <c r="BG142" s="180"/>
      <c r="BH142" s="180"/>
    </row>
    <row r="143">
      <c r="A143" s="71"/>
      <c r="B143" s="122" t="s">
        <v>166</v>
      </c>
      <c r="C143" s="276" t="s">
        <v>167</v>
      </c>
      <c r="D143" s="239" t="s">
        <v>168</v>
      </c>
      <c r="E143" s="168"/>
      <c r="F143" s="277"/>
      <c r="G143" s="278"/>
      <c r="H143" s="279"/>
      <c r="I143" s="280"/>
      <c r="J143" s="126" t="s">
        <v>14</v>
      </c>
      <c r="K143" s="281" t="s">
        <v>55</v>
      </c>
      <c r="L143" s="282">
        <f>L137</f>
        <v>14.74</v>
      </c>
      <c r="M143" s="283">
        <v>14.74</v>
      </c>
      <c r="N143" s="284">
        <f>IFERROR(__xludf.DUMMYFUNCTION("""COMPUTED_VALUE"""),1.0)</f>
        <v>1</v>
      </c>
      <c r="O143" s="134">
        <v>1.0</v>
      </c>
      <c r="P143" s="134">
        <v>1.0</v>
      </c>
      <c r="Q143" s="168">
        <f t="shared" ref="Q143:Q144" si="92">M143*N143*O143*P143</f>
        <v>14.74</v>
      </c>
      <c r="R143" s="136" t="s">
        <v>42</v>
      </c>
      <c r="S143" s="137">
        <f t="shared" ref="S143:S144" si="93">R143*Q143</f>
        <v>0</v>
      </c>
      <c r="T143" s="138"/>
      <c r="U143" s="136" t="s">
        <v>42</v>
      </c>
      <c r="V143" s="139"/>
      <c r="W143" s="140">
        <f t="shared" ref="W143:W144" si="94">U143*Q143</f>
        <v>0</v>
      </c>
      <c r="X143" s="292"/>
      <c r="Y143" s="200"/>
      <c r="Z143" s="180"/>
      <c r="AA143" s="180"/>
      <c r="AB143" s="180">
        <f t="shared" ref="AB143:AB145" si="95">W143+S143</f>
        <v>0</v>
      </c>
      <c r="AC143" s="275"/>
      <c r="AD143" s="287"/>
      <c r="AE143" s="287"/>
      <c r="AF143" s="288"/>
      <c r="AG143" s="289"/>
      <c r="AH143" s="290"/>
      <c r="AI143" s="291"/>
      <c r="AJ143" s="290"/>
      <c r="AK143" s="290"/>
      <c r="AL143" s="267"/>
      <c r="AM143" s="135">
        <v>14.74</v>
      </c>
      <c r="AN143" s="152" t="s">
        <v>46</v>
      </c>
      <c r="AO143" s="135">
        <v>0.0</v>
      </c>
      <c r="AP143" s="139"/>
      <c r="AQ143" s="260"/>
      <c r="AR143" s="260"/>
      <c r="AS143" s="260"/>
      <c r="AT143" s="260"/>
      <c r="AU143" s="260"/>
      <c r="AV143" s="260"/>
      <c r="AW143" s="260"/>
      <c r="AX143" s="260"/>
      <c r="AY143" s="260"/>
      <c r="AZ143" s="260"/>
      <c r="BA143" s="260"/>
      <c r="BB143" s="260"/>
      <c r="BC143" s="260"/>
      <c r="BD143" s="260"/>
      <c r="BE143" s="260"/>
      <c r="BF143" s="260"/>
      <c r="BG143" s="260"/>
      <c r="BH143" s="260"/>
    </row>
    <row r="144" ht="12.75" customHeight="1">
      <c r="A144" s="71"/>
      <c r="B144" s="154" t="str">
        <f>IFERROR(__xludf.DUMMYFUNCTION("IFERROR(
  IF(C144="""","""",
    IF(OR(REGEXMATCH(D144,""(?i)-Flashing""), REGEXMATCH(D144,""(?i)-EavesGut""), REGEXMATCH(D144,""(?i)Valley"")),
        ""DR"" &amp;
        TEXT(
            ROUNDUP(
                MIN(
                    VALUE(MID(C144, "&amp;"FIND(""("",C144)+1, FIND(""/"",C144)-FIND(""("",C144)-1)),
                    1200
                ) / 50, 0
            ) * 50, ""0""
        ) &amp;
        MID(C144, FIND(""/"",C144)+1, FIND("")"",C144)-FIND(""/"",C144)-1) &amp;
        TEXT(H144*100,""0"") &amp;"&amp;"
        I144,
    IF(AND(D144=""Roof Sheet"", REGEXMATCH(C144,""(?i)KS\d{4}[A-Z]{2}"")),
       REGEXEXTRACT(C144,""(?i)KS\d{4}[A-Z]{2}""),
    IF(AND(REGEXMATCH(D144,""(?i)-DP""), REGEXMATCH(C144,""(?i)Downpipe"")),
       ""dp"" &amp; REGEXEXTRACT(C144,""("&amp;"\d+)"") &amp; ""mm"",
    IF(AND(REGEXMATCH(D144,""(?i)Bracket""), REGEXMATCH(C144,""(?i)Bracket"")),
       ""Brkt"" &amp; REGEXEXTRACT(C144,""(\d+)"") &amp; ""mm"",
    IF(AND(REGEXMATCH(D144,""(?i)-OP""), REGEXMATCH(C144,""(?i)pops"")),
       ""op"" &amp; REGEXEXTRAC"&amp;"T(C144,""(\d+)"") &amp; ""mm"",
    IF(OR(D144=""R-FFTop"", D144=""R-FFBottom"", D144=""R-FFSide""),
        IF(REGEXMATCH(C144,""(?i)Profiled.*Top|Top.*Profiled""),""pfft"",
        IF(REGEXMATCH(C144,""(?i)Profiled.*Bottom|Bottom.*Profiled""),""pffb"",
    "&amp;"    IF(REGEXMATCH(C144,""(?i)Square""),""sff"",""""))),
    IF(REGEXMATCH(D144,""(?i)-Rivets""),""Rvt"",
    IF(REGEXMATCH(D144,""(?i)Silicone""),""300ml"",
    IF(REGEXMATCH(D144,""(?i)R-Butyl""),""300ml"",
    IF(REGEXMATCH(D144,""(?i)Fix""),""GenFix"","&amp;"
    IF(AND(REGEXMATCH(C144,""(?i)Timber""), REGEXMATCH(D144,""(?i)Timber"")),""tp"",
    IF(AND(REGEXMATCH(C144,""(?i)Vent G1275""), REGEXMATCH(D144,""(?i)Comb FIller"")),""CFV1275"",
    IF(REGEXMATCH(C144,""(?i)DPC""),""dpc"",
    IF(REGEXMATCH(C144,"""&amp;"(?i)Concealed Clips""),""ConClips"",
    IF(REGEXMATCH(D144,""(?i)-Takeoff ea""),""Takeoff ea"",
    IF(REGEXMATCH(D144,""(?i)-Takeoff LM""),""Takeoff LM"",
    IF(REGEXMATCH(D144,""(?i)-Takeoff m2""),""Takeoff m2"",
    IF(D144=""R-TU/TD"",""TU/TD"","""""&amp;")))))))))))))))))
  )))"),"dpc")</f>
        <v>dpc</v>
      </c>
      <c r="C144" s="276" t="s">
        <v>169</v>
      </c>
      <c r="D144" s="239" t="s">
        <v>170</v>
      </c>
      <c r="E144" s="168"/>
      <c r="F144" s="277"/>
      <c r="G144" s="278"/>
      <c r="H144" s="279"/>
      <c r="I144" s="280"/>
      <c r="J144" s="126" t="s">
        <v>14</v>
      </c>
      <c r="K144" s="281" t="s">
        <v>55</v>
      </c>
      <c r="L144" s="282">
        <f>M143</f>
        <v>14.74</v>
      </c>
      <c r="M144" s="283">
        <f>M143</f>
        <v>14.74</v>
      </c>
      <c r="N144" s="284">
        <f>IFERROR(__xludf.DUMMYFUNCTION("""COMPUTED_VALUE"""),1.0)</f>
        <v>1</v>
      </c>
      <c r="O144" s="134">
        <v>1.0</v>
      </c>
      <c r="P144" s="134">
        <v>1.0</v>
      </c>
      <c r="Q144" s="168">
        <f t="shared" si="92"/>
        <v>14.74</v>
      </c>
      <c r="R144" s="136" t="s">
        <v>42</v>
      </c>
      <c r="S144" s="137">
        <f t="shared" si="93"/>
        <v>0</v>
      </c>
      <c r="T144" s="138"/>
      <c r="U144" s="136" t="s">
        <v>42</v>
      </c>
      <c r="V144" s="139"/>
      <c r="W144" s="140">
        <f t="shared" si="94"/>
        <v>0</v>
      </c>
      <c r="X144" s="292"/>
      <c r="Y144" s="200"/>
      <c r="Z144" s="180"/>
      <c r="AA144" s="180"/>
      <c r="AB144" s="180">
        <f t="shared" si="95"/>
        <v>0</v>
      </c>
      <c r="AC144" s="275"/>
      <c r="AD144" s="287"/>
      <c r="AE144" s="287"/>
      <c r="AF144" s="288"/>
      <c r="AG144" s="289"/>
      <c r="AH144" s="290"/>
      <c r="AI144" s="291"/>
      <c r="AJ144" s="290"/>
      <c r="AK144" s="290"/>
      <c r="AL144" s="267"/>
      <c r="AM144" s="135">
        <v>14.74</v>
      </c>
      <c r="AN144" s="152" t="s">
        <v>46</v>
      </c>
      <c r="AO144" s="135">
        <v>0.0</v>
      </c>
      <c r="AP144" s="139"/>
      <c r="AQ144" s="260"/>
      <c r="AR144" s="260"/>
      <c r="AS144" s="260"/>
      <c r="AT144" s="260"/>
      <c r="AU144" s="260"/>
      <c r="AV144" s="260"/>
      <c r="AW144" s="260"/>
      <c r="AX144" s="260"/>
      <c r="AY144" s="260"/>
      <c r="AZ144" s="260"/>
      <c r="BA144" s="260"/>
      <c r="BB144" s="260"/>
      <c r="BC144" s="260"/>
      <c r="BD144" s="260"/>
      <c r="BE144" s="260"/>
      <c r="BF144" s="260"/>
      <c r="BG144" s="260"/>
      <c r="BH144" s="260"/>
    </row>
    <row r="145" ht="12.75" customHeight="1">
      <c r="A145" s="71"/>
      <c r="B145" s="154"/>
      <c r="C145" s="276"/>
      <c r="D145" s="148"/>
      <c r="E145" s="168"/>
      <c r="F145" s="277"/>
      <c r="G145" s="278"/>
      <c r="H145" s="279"/>
      <c r="I145" s="280"/>
      <c r="J145" s="281"/>
      <c r="K145" s="281" t="s">
        <v>42</v>
      </c>
      <c r="L145" s="282"/>
      <c r="M145" s="283" t="s">
        <v>42</v>
      </c>
      <c r="N145" s="284" t="str">
        <f>IFERROR(__xludf.DUMMYFUNCTION("""COMPUTED_VALUE"""),"")</f>
        <v/>
      </c>
      <c r="O145" s="285"/>
      <c r="P145" s="285"/>
      <c r="Q145" s="281"/>
      <c r="R145" s="293"/>
      <c r="S145" s="294"/>
      <c r="T145" s="286"/>
      <c r="U145" s="296"/>
      <c r="V145" s="286"/>
      <c r="W145" s="295"/>
      <c r="X145" s="292"/>
      <c r="Y145" s="200"/>
      <c r="Z145" s="180"/>
      <c r="AA145" s="180"/>
      <c r="AB145" s="180">
        <f t="shared" si="95"/>
        <v>0</v>
      </c>
      <c r="AC145" s="275"/>
      <c r="AD145" s="287"/>
      <c r="AE145" s="287"/>
      <c r="AF145" s="288"/>
      <c r="AG145" s="289"/>
      <c r="AH145" s="290"/>
      <c r="AI145" s="291"/>
      <c r="AJ145" s="290"/>
      <c r="AK145" s="290"/>
      <c r="AL145" s="267"/>
      <c r="AM145" s="135" t="s">
        <v>42</v>
      </c>
      <c r="AN145" s="152"/>
      <c r="AO145" s="135" t="s">
        <v>42</v>
      </c>
      <c r="AP145" s="139"/>
      <c r="AQ145" s="260"/>
      <c r="AR145" s="260"/>
      <c r="AS145" s="260"/>
      <c r="AT145" s="260"/>
      <c r="AU145" s="260"/>
      <c r="AV145" s="260"/>
      <c r="AW145" s="260"/>
      <c r="AX145" s="260"/>
      <c r="AY145" s="260"/>
      <c r="AZ145" s="260"/>
      <c r="BA145" s="260"/>
      <c r="BB145" s="260"/>
      <c r="BC145" s="260"/>
      <c r="BD145" s="260"/>
      <c r="BE145" s="260"/>
      <c r="BF145" s="260"/>
      <c r="BG145" s="260"/>
      <c r="BH145" s="260"/>
    </row>
    <row r="146">
      <c r="A146" s="71">
        <v>1.0</v>
      </c>
      <c r="B146" s="190"/>
      <c r="C146" s="191" t="s">
        <v>171</v>
      </c>
      <c r="D146" s="192"/>
      <c r="E146" s="193"/>
      <c r="F146" s="192"/>
      <c r="G146" s="192"/>
      <c r="H146" s="194"/>
      <c r="I146" s="194"/>
      <c r="J146" s="194"/>
      <c r="K146" s="194" t="s">
        <v>42</v>
      </c>
      <c r="L146" s="195">
        <f>Q146</f>
        <v>103.47</v>
      </c>
      <c r="M146" s="196" t="s">
        <v>42</v>
      </c>
      <c r="N146" s="197" t="str">
        <f>IFERROR(__xludf.DUMMYFUNCTION("""COMPUTED_VALUE"""),"")</f>
        <v/>
      </c>
      <c r="O146" s="194"/>
      <c r="P146" s="194"/>
      <c r="Q146" s="195">
        <f>Q147</f>
        <v>103.47</v>
      </c>
      <c r="R146" s="136"/>
      <c r="S146" s="198">
        <f>T146/Q146</f>
        <v>0</v>
      </c>
      <c r="T146" s="198">
        <f>SUM(S147:S148)</f>
        <v>0</v>
      </c>
      <c r="U146" s="136"/>
      <c r="V146" s="198">
        <f>W146/Q146</f>
        <v>0</v>
      </c>
      <c r="W146" s="199">
        <f>SUM(W147:W148)</f>
        <v>0</v>
      </c>
      <c r="X146" s="111" t="str">
        <f>W146/$AC$176/$W$183/$X$173</f>
        <v>#REF!</v>
      </c>
      <c r="Y146" s="200" t="b">
        <f>(T146+W146)=(SUM(AB147))</f>
        <v>1</v>
      </c>
      <c r="Z146" s="180">
        <f>(T146+W146)-(SUM(AB147))</f>
        <v>0</v>
      </c>
      <c r="AA146" s="180"/>
      <c r="AB146" s="180"/>
      <c r="AC146" s="181"/>
      <c r="AD146" s="114">
        <f>W146+T146</f>
        <v>0</v>
      </c>
      <c r="AE146" s="115">
        <f>AD146</f>
        <v>0</v>
      </c>
      <c r="AF146" s="116" t="str">
        <f>AE146/$AE$151</f>
        <v>#REF!</v>
      </c>
      <c r="AG146" s="117" t="str">
        <f>AF146*$AG$158</f>
        <v>#REF!</v>
      </c>
      <c r="AH146" s="118" t="str">
        <f>AF146*$AG$161</f>
        <v>#REF!</v>
      </c>
      <c r="AI146" s="39"/>
      <c r="AJ146" s="119" t="str">
        <f>ROUND(AK146/L146,2)</f>
        <v>#REF!</v>
      </c>
      <c r="AK146" s="119" t="str">
        <f>ROUND(AH146+AG146+AD146,2)</f>
        <v>#REF!</v>
      </c>
      <c r="AL146" s="180"/>
      <c r="AM146" s="135" t="s">
        <v>42</v>
      </c>
      <c r="AN146" s="152"/>
      <c r="AO146" s="135" t="s">
        <v>42</v>
      </c>
      <c r="AP146" s="139"/>
      <c r="AQ146" s="189"/>
      <c r="AR146" s="189"/>
      <c r="AS146" s="180"/>
      <c r="AT146" s="180"/>
      <c r="AU146" s="180"/>
      <c r="AV146" s="180"/>
      <c r="AW146" s="180"/>
      <c r="AX146" s="180"/>
      <c r="AY146" s="180"/>
      <c r="AZ146" s="180"/>
      <c r="BA146" s="180"/>
      <c r="BB146" s="180"/>
      <c r="BC146" s="180"/>
      <c r="BD146" s="180"/>
      <c r="BE146" s="180"/>
      <c r="BF146" s="180"/>
      <c r="BG146" s="180"/>
      <c r="BH146" s="180"/>
    </row>
    <row r="147" ht="12.75" customHeight="1">
      <c r="A147" s="71"/>
      <c r="B147" s="122" t="s">
        <v>128</v>
      </c>
      <c r="C147" s="276" t="s">
        <v>172</v>
      </c>
      <c r="D147" s="239" t="s">
        <v>173</v>
      </c>
      <c r="E147" s="168"/>
      <c r="F147" s="277"/>
      <c r="G147" s="278"/>
      <c r="H147" s="279"/>
      <c r="I147" s="280"/>
      <c r="J147" s="126" t="s">
        <v>14</v>
      </c>
      <c r="K147" s="281" t="s">
        <v>55</v>
      </c>
      <c r="L147" s="282">
        <v>103.47</v>
      </c>
      <c r="M147" s="283">
        <v>103.47</v>
      </c>
      <c r="N147" s="284">
        <f>IFERROR(__xludf.DUMMYFUNCTION("""COMPUTED_VALUE"""),1.0)</f>
        <v>1</v>
      </c>
      <c r="O147" s="134">
        <v>1.0</v>
      </c>
      <c r="P147" s="134">
        <v>1.0</v>
      </c>
      <c r="Q147" s="168">
        <f>M147*N147*O147*P147</f>
        <v>103.47</v>
      </c>
      <c r="R147" s="136" t="s">
        <v>42</v>
      </c>
      <c r="S147" s="137">
        <f>R147*Q147</f>
        <v>0</v>
      </c>
      <c r="T147" s="138"/>
      <c r="U147" s="136" t="s">
        <v>42</v>
      </c>
      <c r="V147" s="139"/>
      <c r="W147" s="140">
        <f>U147*Q147</f>
        <v>0</v>
      </c>
      <c r="X147" s="292"/>
      <c r="Y147" s="200"/>
      <c r="Z147" s="180"/>
      <c r="AA147" s="180"/>
      <c r="AB147" s="180">
        <f>W147+S147</f>
        <v>0</v>
      </c>
      <c r="AC147" s="275"/>
      <c r="AD147" s="287"/>
      <c r="AE147" s="287"/>
      <c r="AF147" s="288"/>
      <c r="AG147" s="289"/>
      <c r="AH147" s="290"/>
      <c r="AI147" s="291"/>
      <c r="AJ147" s="290"/>
      <c r="AK147" s="290"/>
      <c r="AL147" s="267"/>
      <c r="AM147" s="135">
        <v>103.47</v>
      </c>
      <c r="AN147" s="152" t="s">
        <v>46</v>
      </c>
      <c r="AO147" s="135">
        <v>0.0</v>
      </c>
      <c r="AP147" s="139"/>
      <c r="AQ147" s="260"/>
      <c r="AR147" s="260"/>
      <c r="AS147" s="260"/>
      <c r="AT147" s="260"/>
      <c r="AU147" s="260"/>
      <c r="AV147" s="260"/>
      <c r="AW147" s="260"/>
      <c r="AX147" s="260"/>
      <c r="AY147" s="260"/>
      <c r="AZ147" s="260"/>
      <c r="BA147" s="260"/>
      <c r="BB147" s="260"/>
      <c r="BC147" s="260"/>
      <c r="BD147" s="260"/>
      <c r="BE147" s="260"/>
      <c r="BF147" s="260"/>
      <c r="BG147" s="260"/>
      <c r="BH147" s="260"/>
    </row>
    <row r="148" ht="12.75" customHeight="1">
      <c r="A148" s="71"/>
      <c r="B148" s="154" t="str">
        <f>IFERROR(__xludf.DUMMYFUNCTION("IFERROR(
  IF(C148="""","""",
    IF(OR(D148=""Flashings"", D148=""Box Gutter""),
        ""DR"" &amp;
        TEXT(
            ROUNDUP(
                MIN(
                    VALUE(MID(C148,FIND(""("",C148)+1,FIND(""/"",C148)-FIND(""("",C148)-1)),
       "&amp;"             1200
                )/50,0
            )*50,""0""
        ) &amp;
        MID(C148,FIND(""/"",C148)+1,FIND("")"",C148)-FIND(""/"",C148)-1) &amp;
        TEXT(H148*100,""0"") &amp;
        I148,
  IF(C148="""","""",
    IF(D148=""Wall Flashings"",
      "&amp;"  ""wDR"" &amp;
        TEXT(
            ROUNDUP(
                MIN(
                    VALUE(MID(C148,FIND(""("",C148)+1,FIND(""/"",C148)-FIND(""("",C148)-1)),
                    1200
                )/50,0
            )*50,""0""
        ) &amp;
        MID"&amp;"(C148,FIND(""/"",C148)+1,FIND("")"",C148)-FIND(""/"",C148)-1) &amp;
        TEXT(H148*100,""0"") &amp;
        I148,
    IF(AND(D148=""Downpipe"", REGEXMATCH(C148,""(?i)Downpipe"")), 
       ""dp"" &amp; REGEXEXTRACT(C148,""(\d+)"") &amp; ""mm"",
    IF(AND(D148=""DP Bra"&amp;"cket"", REGEXMATCH(C148,""(?i)Bracket"")), 
       ""Brkt"" &amp; REGEXEXTRACT(C148,""(\d+)"") &amp; ""mm"",
    IF(AND(OR(D148=""Outlet Pops"",D148=""Overflow Pops""), REGEXMATCH(C148,""(?i)pops"")), 
       ""op"" &amp; REGEXEXTRACT(C148,""(\d+)"") &amp; ""mm"",
    IF"&amp;"(D148=""Foam Filler"",
        IF(REGEXMATCH(C148,""(?i)Profiled.*Top|Top.*Profiled""),""pfft"",
        IF(REGEXMATCH(C148,""(?i)Profiled.*Bottom|Bottom.*Profiled""),""pffb"",
        IF(REGEXMATCH(C148,""(?i)Square.*Top|Top.*Square""),""sfft"",
        "&amp;"IF(REGEXMATCH(C148,""(?i)Square.*Bottom|Bottom.*Square""),""sffb"","""")))),
    IF(D148=""Rivets"",""Rvt"",
    IF(REGEXMATCH(D148, ""(?i)Takeoff""),""[Input Code]"",
    IF(REGEXMATCH(D148, ""(?i)Sealant""),""300ml"",
    IF(REGEXMATCH(D148, ""(?i)Fix"""&amp;"),""GenFix"",
    IF(AND(REGEXMATCH(C148, ""(?i)Timber""), REGEXMATCH(D148, ""(?i)Timber"")), ""tp"",
    IF(AND(REGEXMATCH(C148, ""(?i)Vent G1275""), REGEXMATCH(D148, ""(?i)Comb FIller"")), ""CFV1275"",
    IF(REGEXMATCH(C148, ""(?i)DPC""),""dpc"",
    I"&amp;"F(REGEXMATCH(C148, ""(?i)Concealed Clips""),""ConClips"",
    IF(D148=""TU Roof End"",""TU"",
    IF(D148=""TD Roof End"",""TD"",""""))))))))))))
)))))))"),"")</f>
        <v/>
      </c>
      <c r="C148" s="276"/>
      <c r="D148" s="148"/>
      <c r="E148" s="168"/>
      <c r="F148" s="277"/>
      <c r="G148" s="278"/>
      <c r="H148" s="279"/>
      <c r="I148" s="280"/>
      <c r="J148" s="281"/>
      <c r="K148" s="281" t="s">
        <v>42</v>
      </c>
      <c r="L148" s="282"/>
      <c r="M148" s="283" t="s">
        <v>42</v>
      </c>
      <c r="N148" s="284" t="str">
        <f>IFERROR(__xludf.DUMMYFUNCTION("""COMPUTED_VALUE"""),"")</f>
        <v/>
      </c>
      <c r="O148" s="285"/>
      <c r="P148" s="285"/>
      <c r="Q148" s="281"/>
      <c r="R148" s="293"/>
      <c r="S148" s="294"/>
      <c r="T148" s="286"/>
      <c r="U148" s="296"/>
      <c r="V148" s="286"/>
      <c r="W148" s="295"/>
      <c r="X148" s="297" t="str">
        <f>SUM(AB13:AB148)</f>
        <v>#REF!</v>
      </c>
      <c r="Y148" s="297"/>
      <c r="Z148" s="297"/>
      <c r="AA148" s="297"/>
      <c r="AB148" s="298"/>
      <c r="AC148" s="275"/>
      <c r="AD148" s="287"/>
      <c r="AE148" s="287"/>
      <c r="AF148" s="288"/>
      <c r="AG148" s="289"/>
      <c r="AH148" s="290"/>
      <c r="AI148" s="291"/>
      <c r="AJ148" s="290"/>
      <c r="AK148" s="290"/>
      <c r="AL148" s="267"/>
      <c r="AM148" s="135" t="s">
        <v>42</v>
      </c>
      <c r="AN148" s="152"/>
      <c r="AO148" s="135" t="s">
        <v>42</v>
      </c>
      <c r="AP148" s="139"/>
      <c r="AQ148" s="260"/>
      <c r="AR148" s="260"/>
      <c r="AS148" s="260"/>
      <c r="AT148" s="260"/>
      <c r="AU148" s="260"/>
      <c r="AV148" s="260"/>
      <c r="AW148" s="260"/>
      <c r="AX148" s="260"/>
      <c r="AY148" s="260"/>
      <c r="AZ148" s="260"/>
      <c r="BA148" s="260"/>
      <c r="BB148" s="260"/>
      <c r="BC148" s="260"/>
      <c r="BD148" s="260"/>
      <c r="BE148" s="260"/>
      <c r="BF148" s="260"/>
      <c r="BG148" s="260"/>
      <c r="BH148" s="260"/>
    </row>
    <row r="149" ht="12.75" customHeight="1">
      <c r="A149" s="8"/>
      <c r="B149" s="299"/>
      <c r="C149" s="2"/>
      <c r="D149" s="2"/>
      <c r="E149" s="3"/>
      <c r="F149" s="2"/>
      <c r="G149" s="2"/>
      <c r="H149" s="2"/>
      <c r="I149" s="5"/>
      <c r="J149" s="5"/>
      <c r="K149" s="5"/>
      <c r="L149" s="3"/>
      <c r="M149" s="3"/>
      <c r="N149" s="4"/>
      <c r="O149" s="2"/>
      <c r="P149" s="2"/>
      <c r="Q149" s="6"/>
      <c r="R149" s="300"/>
      <c r="S149" s="301"/>
      <c r="T149" s="302" t="str">
        <f>sumif(A13:A148,1,T13:T148)</f>
        <v>#REF!</v>
      </c>
      <c r="U149" s="303"/>
      <c r="V149" s="304"/>
      <c r="W149" s="302" t="str">
        <f>sumif(A13:A148,1,W13:W148)</f>
        <v>#REF!</v>
      </c>
      <c r="X149" s="305" t="str">
        <f>X148=(T149+W149)</f>
        <v>#REF!</v>
      </c>
      <c r="Y149" s="113" t="str">
        <f>(T149+W149)-X148</f>
        <v>#REF!</v>
      </c>
      <c r="Z149" s="5"/>
      <c r="AA149" s="5"/>
      <c r="AB149" s="5"/>
      <c r="AC149" s="33"/>
      <c r="AD149" s="65"/>
      <c r="AE149" s="66"/>
      <c r="AF149" s="67"/>
      <c r="AG149" s="68"/>
      <c r="AH149" s="69"/>
      <c r="AI149" s="39"/>
      <c r="AJ149" s="70"/>
      <c r="AK149" s="70"/>
      <c r="AL149" s="2"/>
      <c r="AM149" s="5"/>
      <c r="AN149" s="5"/>
      <c r="AO149" s="2"/>
      <c r="AP149" s="2"/>
      <c r="AQ149" s="2"/>
      <c r="AR149" s="2"/>
      <c r="AS149" s="2"/>
      <c r="AT149" s="2"/>
      <c r="AU149" s="2"/>
      <c r="AV149" s="2"/>
      <c r="AW149" s="2"/>
      <c r="AX149" s="2"/>
      <c r="AY149" s="2"/>
      <c r="AZ149" s="2"/>
      <c r="BA149" s="2"/>
      <c r="BB149" s="2"/>
      <c r="BC149" s="2"/>
      <c r="BD149" s="2"/>
      <c r="BE149" s="2"/>
      <c r="BF149" s="2"/>
      <c r="BG149" s="2"/>
      <c r="BH149" s="2"/>
    </row>
    <row r="150" ht="12.75" customHeight="1">
      <c r="A150" s="8"/>
      <c r="B150" s="2"/>
      <c r="C150" s="2"/>
      <c r="D150" s="2"/>
      <c r="E150" s="3"/>
      <c r="F150" s="2"/>
      <c r="G150" s="2"/>
      <c r="H150" s="2"/>
      <c r="I150" s="2"/>
      <c r="J150" s="2"/>
      <c r="K150" s="2"/>
      <c r="L150" s="3"/>
      <c r="M150" s="3"/>
      <c r="N150" s="4"/>
      <c r="O150" s="2"/>
      <c r="P150" s="2"/>
      <c r="Q150" s="6"/>
      <c r="R150" s="5"/>
      <c r="S150" s="5"/>
      <c r="T150" s="5"/>
      <c r="U150" s="5"/>
      <c r="V150" s="5"/>
      <c r="W150" s="5"/>
      <c r="X150" s="306" t="str">
        <f>W149/70/8/$X$173</f>
        <v>#REF!</v>
      </c>
      <c r="Y150" s="5"/>
      <c r="Z150" s="5"/>
      <c r="AA150" s="5"/>
      <c r="AB150" s="5"/>
      <c r="AC150" s="33"/>
      <c r="AD150" s="65"/>
      <c r="AE150" s="66"/>
      <c r="AF150" s="67"/>
      <c r="AG150" s="68"/>
      <c r="AH150" s="69"/>
      <c r="AI150" s="39"/>
      <c r="AJ150" s="70"/>
      <c r="AK150" s="70"/>
      <c r="AL150" s="6"/>
      <c r="AM150" s="5"/>
      <c r="AN150" s="5"/>
      <c r="AO150" s="5"/>
      <c r="AP150" s="5"/>
      <c r="AQ150" s="2"/>
      <c r="AR150" s="5"/>
      <c r="AS150" s="5"/>
      <c r="AT150" s="2"/>
      <c r="AU150" s="6"/>
      <c r="AV150" s="6"/>
      <c r="AW150" s="6"/>
      <c r="AX150" s="2"/>
      <c r="AY150" s="2"/>
      <c r="AZ150" s="2"/>
      <c r="BA150" s="2"/>
      <c r="BB150" s="2"/>
      <c r="BC150" s="2"/>
      <c r="BD150" s="2"/>
      <c r="BE150" s="2"/>
      <c r="BF150" s="2"/>
      <c r="BG150" s="2"/>
      <c r="BH150" s="2"/>
    </row>
    <row r="151" ht="12.75" customHeight="1">
      <c r="A151" s="8">
        <v>1.0</v>
      </c>
      <c r="B151" s="307"/>
      <c r="C151" s="307"/>
      <c r="D151" s="307"/>
      <c r="E151" s="308"/>
      <c r="F151" s="307"/>
      <c r="G151" s="307"/>
      <c r="H151" s="307"/>
      <c r="I151" s="307"/>
      <c r="J151" s="307"/>
      <c r="K151" s="307"/>
      <c r="L151" s="308"/>
      <c r="M151" s="308"/>
      <c r="N151" s="309"/>
      <c r="O151" s="307"/>
      <c r="P151" s="307"/>
      <c r="Q151" s="307"/>
      <c r="R151" s="307"/>
      <c r="S151" s="310"/>
      <c r="T151" s="311" t="str">
        <f>T149</f>
        <v>#REF!</v>
      </c>
      <c r="U151" s="307"/>
      <c r="V151" s="310"/>
      <c r="W151" s="311" t="str">
        <f>W149</f>
        <v>#REF!</v>
      </c>
      <c r="X151" s="307"/>
      <c r="Y151" s="310"/>
      <c r="Z151" s="310"/>
      <c r="AA151" s="310"/>
      <c r="AB151" s="311" t="str">
        <f>SUM(AB13:AB150)</f>
        <v>#REF!</v>
      </c>
      <c r="AC151" s="307"/>
      <c r="AD151" s="311" t="str">
        <f t="shared" ref="AD151:AH151" si="96">SUM(AD13:AD150)</f>
        <v>#REF!</v>
      </c>
      <c r="AE151" s="311" t="str">
        <f t="shared" si="96"/>
        <v>#REF!</v>
      </c>
      <c r="AF151" s="312" t="str">
        <f t="shared" si="96"/>
        <v>#REF!</v>
      </c>
      <c r="AG151" s="311" t="str">
        <f t="shared" si="96"/>
        <v>#REF!</v>
      </c>
      <c r="AH151" s="311" t="str">
        <f t="shared" si="96"/>
        <v>#REF!</v>
      </c>
      <c r="AI151" s="310"/>
      <c r="AJ151" s="310"/>
      <c r="AK151" s="311" t="str">
        <f>SUM(AK13:AK150)</f>
        <v>#REF!</v>
      </c>
      <c r="AL151" s="5"/>
      <c r="AM151" s="5"/>
      <c r="AN151" s="5"/>
      <c r="AO151" s="5"/>
      <c r="AP151" s="5"/>
      <c r="AQ151" s="6"/>
      <c r="AR151" s="5"/>
      <c r="AS151" s="6"/>
      <c r="AT151" s="2"/>
      <c r="AU151" s="6"/>
      <c r="AV151" s="2"/>
      <c r="AW151" s="5"/>
      <c r="AX151" s="2"/>
      <c r="AY151" s="2"/>
      <c r="AZ151" s="2"/>
      <c r="BA151" s="2"/>
      <c r="BB151" s="2"/>
      <c r="BC151" s="2"/>
      <c r="BD151" s="2"/>
      <c r="BE151" s="2"/>
      <c r="BF151" s="2"/>
      <c r="BG151" s="2"/>
      <c r="BH151" s="2"/>
    </row>
    <row r="152" ht="12.75" customHeight="1">
      <c r="A152" s="1"/>
      <c r="B152" s="2"/>
      <c r="C152" s="2"/>
      <c r="D152" s="2"/>
      <c r="E152" s="3"/>
      <c r="F152" s="2"/>
      <c r="G152" s="2"/>
      <c r="H152" s="2"/>
      <c r="I152" s="313"/>
      <c r="J152" s="313"/>
      <c r="K152" s="6"/>
      <c r="L152" s="3"/>
      <c r="M152" s="3"/>
      <c r="N152" s="4"/>
      <c r="O152" s="5"/>
      <c r="P152" s="2"/>
      <c r="Q152" s="6"/>
      <c r="R152" s="2"/>
      <c r="S152" s="5"/>
      <c r="T152" s="5"/>
      <c r="U152" s="6"/>
      <c r="V152" s="5"/>
      <c r="W152" s="5"/>
      <c r="X152" s="314"/>
      <c r="Y152" s="5"/>
      <c r="Z152" s="5"/>
      <c r="AA152" s="5"/>
      <c r="AB152" s="5"/>
      <c r="AC152" s="2"/>
      <c r="AD152" s="5"/>
      <c r="AE152" s="315" t="str">
        <f>W166/AE151</f>
        <v>#REF!</v>
      </c>
      <c r="AF152" s="6"/>
      <c r="AG152" s="5"/>
      <c r="AH152" s="5"/>
      <c r="AI152" s="5"/>
      <c r="AJ152" s="5"/>
      <c r="AK152" s="316" t="str">
        <f>AK151-T174</f>
        <v>#REF!</v>
      </c>
      <c r="AL152" s="5"/>
      <c r="AM152" s="5"/>
      <c r="AN152" s="5"/>
      <c r="AO152" s="5"/>
      <c r="AP152" s="5"/>
      <c r="AQ152" s="6"/>
      <c r="AR152" s="5"/>
      <c r="AS152" s="6"/>
      <c r="AT152" s="2"/>
      <c r="AU152" s="6"/>
      <c r="AV152" s="2"/>
      <c r="AW152" s="5"/>
      <c r="AX152" s="2"/>
      <c r="AY152" s="2"/>
      <c r="AZ152" s="2"/>
      <c r="BA152" s="2"/>
      <c r="BB152" s="2"/>
      <c r="BC152" s="2"/>
      <c r="BD152" s="2"/>
      <c r="BE152" s="2"/>
      <c r="BF152" s="2"/>
      <c r="BG152" s="2"/>
      <c r="BH152" s="2"/>
    </row>
    <row r="153" ht="12.75" customHeight="1">
      <c r="A153" s="1"/>
      <c r="B153" s="2"/>
      <c r="C153" s="317" t="s">
        <v>174</v>
      </c>
      <c r="D153" s="318"/>
      <c r="E153" s="319"/>
      <c r="F153" s="320"/>
      <c r="G153" s="320"/>
      <c r="H153" s="320"/>
      <c r="I153" s="321"/>
      <c r="J153" s="322"/>
      <c r="K153" s="322"/>
      <c r="L153" s="319"/>
      <c r="M153" s="319"/>
      <c r="N153" s="323"/>
      <c r="O153" s="2"/>
      <c r="P153" s="2"/>
      <c r="Q153" s="6"/>
      <c r="R153" s="2"/>
      <c r="S153" s="324" t="s">
        <v>175</v>
      </c>
      <c r="T153" s="325" t="str">
        <f>T151</f>
        <v>#REF!</v>
      </c>
      <c r="U153" s="5"/>
      <c r="V153" s="324" t="s">
        <v>175</v>
      </c>
      <c r="W153" s="325" t="str">
        <f>W151</f>
        <v>#REF!</v>
      </c>
      <c r="X153" s="326" t="str">
        <f>Z283+AK236+AV267</f>
        <v>#REF!</v>
      </c>
      <c r="Y153" s="5"/>
      <c r="Z153" s="5"/>
      <c r="AA153" s="5"/>
      <c r="AB153" s="5"/>
      <c r="AC153" s="2"/>
      <c r="AD153" s="5"/>
      <c r="AE153" s="5"/>
      <c r="AF153" s="6"/>
      <c r="AG153" s="5"/>
      <c r="AH153" s="5"/>
      <c r="AI153" s="5"/>
      <c r="AJ153" s="5"/>
      <c r="AK153" s="327" t="str">
        <f>AK151=T174</f>
        <v>#REF!</v>
      </c>
      <c r="AL153" s="5"/>
      <c r="AM153" s="5"/>
      <c r="AN153" s="5"/>
      <c r="AO153" s="5"/>
      <c r="AP153" s="6"/>
      <c r="AQ153" s="6"/>
      <c r="AR153" s="5"/>
      <c r="AS153" s="6"/>
      <c r="AT153" s="6"/>
      <c r="AU153" s="6"/>
      <c r="AV153" s="328"/>
      <c r="AW153" s="5"/>
      <c r="AX153" s="2"/>
      <c r="AY153" s="2"/>
      <c r="AZ153" s="2"/>
      <c r="BA153" s="2"/>
      <c r="BB153" s="2"/>
      <c r="BC153" s="2"/>
      <c r="BD153" s="2"/>
      <c r="BE153" s="2"/>
      <c r="BF153" s="2"/>
      <c r="BG153" s="2"/>
      <c r="BH153" s="2"/>
    </row>
    <row r="154" ht="12.75" customHeight="1">
      <c r="A154" s="1"/>
      <c r="B154" s="12" t="s">
        <v>176</v>
      </c>
      <c r="C154" s="329" t="s">
        <v>177</v>
      </c>
      <c r="D154" s="330"/>
      <c r="E154" s="331"/>
      <c r="F154" s="332"/>
      <c r="G154" s="332"/>
      <c r="H154" s="332"/>
      <c r="I154" s="333" t="s">
        <v>178</v>
      </c>
      <c r="J154" s="334" t="s">
        <v>179</v>
      </c>
      <c r="K154" s="335" t="s">
        <v>180</v>
      </c>
      <c r="L154" s="336" t="s">
        <v>181</v>
      </c>
      <c r="M154" s="337" t="s">
        <v>182</v>
      </c>
      <c r="N154" s="338">
        <f>SUM(N155:N161)</f>
        <v>0</v>
      </c>
      <c r="O154" s="2"/>
      <c r="P154" s="2"/>
      <c r="Q154" s="6"/>
      <c r="R154" s="339">
        <v>0.018</v>
      </c>
      <c r="S154" s="340" t="s">
        <v>183</v>
      </c>
      <c r="T154" s="341" t="str">
        <f>(T151)*R154</f>
        <v>#REF!</v>
      </c>
      <c r="U154" s="5"/>
      <c r="V154" s="342"/>
      <c r="W154" s="343"/>
      <c r="X154" s="344" t="str">
        <f>W157-X153</f>
        <v>#REF!</v>
      </c>
      <c r="Y154" s="5"/>
      <c r="Z154" s="5"/>
      <c r="AA154" s="5"/>
      <c r="AB154" s="345" t="str">
        <f>(T153+W153)=AB151</f>
        <v>#REF!</v>
      </c>
      <c r="AC154" s="2"/>
      <c r="AD154" s="346" t="s">
        <v>184</v>
      </c>
      <c r="AE154" s="5"/>
      <c r="AF154" s="6"/>
      <c r="AG154" s="222" t="str">
        <f>AD151</f>
        <v>#REF!</v>
      </c>
      <c r="AH154" s="5"/>
      <c r="AI154" s="5"/>
      <c r="AJ154" s="5"/>
      <c r="AK154" s="5"/>
      <c r="AL154" s="5"/>
      <c r="AM154" s="5"/>
      <c r="AN154" s="5"/>
      <c r="AO154" s="5"/>
      <c r="AP154" s="6"/>
      <c r="AQ154" s="6"/>
      <c r="AR154" s="5"/>
      <c r="AS154" s="6"/>
      <c r="AT154" s="6"/>
      <c r="AU154" s="6"/>
      <c r="AV154" s="328"/>
      <c r="AW154" s="5"/>
      <c r="AX154" s="2"/>
      <c r="AY154" s="2"/>
      <c r="AZ154" s="2"/>
      <c r="BA154" s="2"/>
      <c r="BB154" s="2"/>
      <c r="BC154" s="2"/>
      <c r="BD154" s="2"/>
      <c r="BE154" s="2"/>
      <c r="BF154" s="2"/>
      <c r="BG154" s="2"/>
      <c r="BH154" s="2"/>
    </row>
    <row r="155" ht="12.75" customHeight="1">
      <c r="A155" s="1"/>
      <c r="B155" s="2"/>
      <c r="C155" s="347" t="s">
        <v>185</v>
      </c>
      <c r="D155" s="348"/>
      <c r="E155" s="3"/>
      <c r="F155" s="2"/>
      <c r="G155" s="2"/>
      <c r="H155" s="2"/>
      <c r="I155" s="349">
        <f>X173</f>
        <v>4</v>
      </c>
      <c r="J155" s="349">
        <f>I155</f>
        <v>4</v>
      </c>
      <c r="K155" s="349">
        <f>I155</f>
        <v>4</v>
      </c>
      <c r="L155" s="350">
        <v>2.0</v>
      </c>
      <c r="M155" s="350">
        <v>1.0</v>
      </c>
      <c r="N155" s="351"/>
      <c r="O155" s="2"/>
      <c r="P155" s="2"/>
      <c r="Q155" s="6"/>
      <c r="R155" s="352"/>
      <c r="S155" s="340" t="s">
        <v>186</v>
      </c>
      <c r="T155" s="341">
        <v>0.0</v>
      </c>
      <c r="U155" s="353" t="str">
        <f>W155/(W151)</f>
        <v>#REF!</v>
      </c>
      <c r="V155" s="340" t="s">
        <v>186</v>
      </c>
      <c r="W155" s="343"/>
      <c r="X155" s="6"/>
      <c r="Y155" s="5"/>
      <c r="Z155" s="5"/>
      <c r="AA155" s="5"/>
      <c r="AB155" s="5"/>
      <c r="AC155" s="2"/>
      <c r="AD155" s="5"/>
      <c r="AE155" s="5"/>
      <c r="AF155" s="6"/>
      <c r="AG155" s="5"/>
      <c r="AH155" s="5"/>
      <c r="AI155" s="5"/>
      <c r="AJ155" s="5"/>
      <c r="AK155" s="5"/>
      <c r="AL155" s="5"/>
      <c r="AM155" s="5"/>
      <c r="AN155" s="5"/>
      <c r="AO155" s="5"/>
      <c r="AP155" s="6"/>
      <c r="AQ155" s="6"/>
      <c r="AR155" s="5"/>
      <c r="AS155" s="6"/>
      <c r="AT155" s="6"/>
      <c r="AU155" s="6"/>
      <c r="AV155" s="328"/>
      <c r="AW155" s="5"/>
      <c r="AX155" s="2"/>
      <c r="AY155" s="2"/>
      <c r="AZ155" s="2"/>
      <c r="BA155" s="2"/>
      <c r="BB155" s="2"/>
      <c r="BC155" s="2"/>
      <c r="BD155" s="2"/>
      <c r="BE155" s="2"/>
      <c r="BF155" s="2"/>
      <c r="BG155" s="2"/>
      <c r="BH155" s="2"/>
    </row>
    <row r="156" ht="12.75" customHeight="1">
      <c r="A156" s="1"/>
      <c r="B156" s="2"/>
      <c r="C156" s="347" t="s">
        <v>26</v>
      </c>
      <c r="D156" s="348"/>
      <c r="E156" s="3"/>
      <c r="F156" s="2"/>
      <c r="G156" s="2"/>
      <c r="H156" s="2"/>
      <c r="I156" s="354">
        <v>350.0</v>
      </c>
      <c r="J156" s="354">
        <v>350.0</v>
      </c>
      <c r="K156" s="354">
        <v>400.0</v>
      </c>
      <c r="L156" s="350">
        <v>350.0</v>
      </c>
      <c r="M156" s="350">
        <f>55*1.25</f>
        <v>68.75</v>
      </c>
      <c r="N156" s="351"/>
      <c r="O156" s="2"/>
      <c r="P156" s="2"/>
      <c r="Q156" s="6"/>
      <c r="R156" s="2"/>
      <c r="S156" s="342"/>
      <c r="T156" s="343"/>
      <c r="U156" s="5"/>
      <c r="V156" s="342"/>
      <c r="W156" s="343"/>
      <c r="X156" s="6"/>
      <c r="Y156" s="5"/>
      <c r="Z156" s="5"/>
      <c r="AA156" s="5"/>
      <c r="AB156" s="5"/>
      <c r="AC156" s="2"/>
      <c r="AD156" s="355" t="s">
        <v>187</v>
      </c>
      <c r="AE156" s="356"/>
      <c r="AF156" s="357"/>
      <c r="AG156" s="358" t="str">
        <f>T166+U166</f>
        <v>#REF!</v>
      </c>
      <c r="AH156" s="5"/>
      <c r="AI156" s="5"/>
      <c r="AJ156" s="5"/>
      <c r="AK156" s="5"/>
      <c r="AL156" s="5"/>
      <c r="AM156" s="5"/>
      <c r="AN156" s="5"/>
      <c r="AO156" s="5"/>
      <c r="AP156" s="6"/>
      <c r="AQ156" s="6"/>
      <c r="AR156" s="5"/>
      <c r="AS156" s="6"/>
      <c r="AT156" s="6"/>
      <c r="AU156" s="6"/>
      <c r="AV156" s="328"/>
      <c r="AW156" s="5"/>
      <c r="AX156" s="2"/>
      <c r="AY156" s="2"/>
      <c r="AZ156" s="2"/>
      <c r="BA156" s="2"/>
      <c r="BB156" s="2"/>
      <c r="BC156" s="2"/>
      <c r="BD156" s="2"/>
      <c r="BE156" s="2"/>
      <c r="BF156" s="2"/>
      <c r="BG156" s="2"/>
      <c r="BH156" s="2"/>
    </row>
    <row r="157" ht="12.75" customHeight="1">
      <c r="A157" s="1"/>
      <c r="B157" s="2"/>
      <c r="C157" s="359" t="s">
        <v>188</v>
      </c>
      <c r="D157" s="348"/>
      <c r="E157" s="3"/>
      <c r="F157" s="2"/>
      <c r="G157" s="2"/>
      <c r="H157" s="2"/>
      <c r="I157" s="360"/>
      <c r="J157" s="360"/>
      <c r="K157" s="360"/>
      <c r="L157" s="361"/>
      <c r="M157" s="361"/>
      <c r="N157" s="351"/>
      <c r="O157" s="2"/>
      <c r="P157" s="2"/>
      <c r="Q157" s="6"/>
      <c r="R157" s="2"/>
      <c r="S157" s="362"/>
      <c r="T157" s="363" t="str">
        <f>SUM(T153:T156)</f>
        <v>#REF!</v>
      </c>
      <c r="U157" s="5"/>
      <c r="V157" s="362"/>
      <c r="W157" s="363" t="str">
        <f>SUM(W153:W156)</f>
        <v>#REF!</v>
      </c>
      <c r="X157" s="6"/>
      <c r="Y157" s="5"/>
      <c r="Z157" s="5"/>
      <c r="AA157" s="5"/>
      <c r="AB157" s="5"/>
      <c r="AC157" s="2"/>
      <c r="AD157" s="346" t="s">
        <v>24</v>
      </c>
      <c r="AE157" s="5"/>
      <c r="AF157" s="6"/>
      <c r="AG157" s="364" t="str">
        <f>N253-AH157</f>
        <v>#REF!</v>
      </c>
      <c r="AH157" s="5"/>
      <c r="AI157" s="5"/>
      <c r="AJ157" s="5"/>
      <c r="AK157" s="5"/>
      <c r="AL157" s="5"/>
      <c r="AM157" s="5"/>
      <c r="AN157" s="5"/>
      <c r="AO157" s="5"/>
      <c r="AP157" s="6"/>
      <c r="AQ157" s="6"/>
      <c r="AR157" s="5"/>
      <c r="AS157" s="6"/>
      <c r="AT157" s="6"/>
      <c r="AU157" s="6"/>
      <c r="AV157" s="328"/>
      <c r="AW157" s="5"/>
      <c r="AX157" s="2"/>
      <c r="AY157" s="2"/>
      <c r="AZ157" s="2"/>
      <c r="BA157" s="2"/>
      <c r="BB157" s="2"/>
      <c r="BC157" s="2"/>
      <c r="BD157" s="2"/>
      <c r="BE157" s="2"/>
      <c r="BF157" s="2"/>
      <c r="BG157" s="2"/>
      <c r="BH157" s="2"/>
    </row>
    <row r="158" ht="12.75" customHeight="1">
      <c r="A158" s="1"/>
      <c r="B158" s="2"/>
      <c r="C158" s="365" t="s">
        <v>189</v>
      </c>
      <c r="D158" s="366"/>
      <c r="E158" s="367"/>
      <c r="F158" s="368"/>
      <c r="G158" s="368"/>
      <c r="H158" s="368"/>
      <c r="I158" s="369">
        <f t="shared" ref="I158:M158" si="97">I156*I155*I157</f>
        <v>0</v>
      </c>
      <c r="J158" s="369">
        <f t="shared" si="97"/>
        <v>0</v>
      </c>
      <c r="K158" s="370">
        <f t="shared" si="97"/>
        <v>0</v>
      </c>
      <c r="L158" s="371">
        <f t="shared" si="97"/>
        <v>0</v>
      </c>
      <c r="M158" s="371">
        <f t="shared" si="97"/>
        <v>0</v>
      </c>
      <c r="N158" s="372">
        <f>SUM(I158:M158)</f>
        <v>0</v>
      </c>
      <c r="O158" s="2"/>
      <c r="P158" s="2"/>
      <c r="Q158" s="6"/>
      <c r="R158" s="2"/>
      <c r="S158" s="342"/>
      <c r="T158" s="343"/>
      <c r="U158" s="5"/>
      <c r="V158" s="342"/>
      <c r="W158" s="343"/>
      <c r="X158" s="6"/>
      <c r="Y158" s="5"/>
      <c r="Z158" s="5"/>
      <c r="AA158" s="5"/>
      <c r="AB158" s="5"/>
      <c r="AC158" s="2"/>
      <c r="AD158" s="5"/>
      <c r="AE158" s="5"/>
      <c r="AF158" s="6"/>
      <c r="AG158" s="222" t="str">
        <f>SUM(AG156:AG157)</f>
        <v>#REF!</v>
      </c>
      <c r="AH158" s="5"/>
      <c r="AI158" s="5"/>
      <c r="AJ158" s="5"/>
      <c r="AK158" s="5"/>
      <c r="AL158" s="5"/>
      <c r="AM158" s="5"/>
      <c r="AN158" s="5"/>
      <c r="AO158" s="5"/>
      <c r="AP158" s="6"/>
      <c r="AQ158" s="6"/>
      <c r="AR158" s="5"/>
      <c r="AS158" s="6"/>
      <c r="AT158" s="6"/>
      <c r="AU158" s="6"/>
      <c r="AV158" s="328"/>
      <c r="AW158" s="5"/>
      <c r="AX158" s="2"/>
      <c r="AY158" s="2"/>
      <c r="AZ158" s="2"/>
      <c r="BA158" s="2"/>
      <c r="BB158" s="2"/>
      <c r="BC158" s="2"/>
      <c r="BD158" s="2"/>
      <c r="BE158" s="2"/>
      <c r="BF158" s="2"/>
      <c r="BG158" s="2"/>
      <c r="BH158" s="2"/>
    </row>
    <row r="159" ht="12.75" customHeight="1">
      <c r="A159" s="1"/>
      <c r="B159" s="2"/>
      <c r="C159" s="347" t="s">
        <v>190</v>
      </c>
      <c r="D159" s="348"/>
      <c r="E159" s="3"/>
      <c r="F159" s="2"/>
      <c r="G159" s="2"/>
      <c r="H159" s="2"/>
      <c r="I159" s="373">
        <v>8.0</v>
      </c>
      <c r="J159" s="373">
        <v>2.0</v>
      </c>
      <c r="K159" s="374">
        <v>1.0</v>
      </c>
      <c r="L159" s="375">
        <v>2.0</v>
      </c>
      <c r="M159" s="3"/>
      <c r="N159" s="351"/>
      <c r="O159" s="2"/>
      <c r="P159" s="2"/>
      <c r="Q159" s="6"/>
      <c r="R159" s="2"/>
      <c r="S159" s="342"/>
      <c r="T159" s="343"/>
      <c r="U159" s="5"/>
      <c r="V159" s="342"/>
      <c r="W159" s="343"/>
      <c r="X159" s="6"/>
      <c r="Y159" s="5"/>
      <c r="Z159" s="5"/>
      <c r="AA159" s="5"/>
      <c r="AB159" s="5"/>
      <c r="AC159" s="2"/>
      <c r="AD159" s="5"/>
      <c r="AE159" s="5"/>
      <c r="AF159" s="6"/>
      <c r="AG159" s="5"/>
      <c r="AH159" s="5"/>
      <c r="AI159" s="5"/>
      <c r="AJ159" s="5"/>
      <c r="AK159" s="5"/>
      <c r="AL159" s="5"/>
      <c r="AM159" s="5"/>
      <c r="AN159" s="5"/>
      <c r="AO159" s="5"/>
      <c r="AP159" s="6"/>
      <c r="AQ159" s="6"/>
      <c r="AR159" s="5"/>
      <c r="AS159" s="6"/>
      <c r="AT159" s="6"/>
      <c r="AU159" s="6"/>
      <c r="AV159" s="328"/>
      <c r="AW159" s="5"/>
      <c r="AX159" s="2"/>
      <c r="AY159" s="2"/>
      <c r="AZ159" s="2"/>
      <c r="BA159" s="2"/>
      <c r="BB159" s="2"/>
      <c r="BC159" s="2"/>
      <c r="BD159" s="2"/>
      <c r="BE159" s="2"/>
      <c r="BF159" s="2"/>
      <c r="BG159" s="2"/>
      <c r="BH159" s="2"/>
    </row>
    <row r="160" ht="12.75" customHeight="1">
      <c r="A160" s="1"/>
      <c r="B160" s="2"/>
      <c r="C160" s="365" t="s">
        <v>191</v>
      </c>
      <c r="D160" s="366"/>
      <c r="E160" s="367"/>
      <c r="F160" s="368"/>
      <c r="G160" s="368"/>
      <c r="H160" s="368"/>
      <c r="I160" s="369">
        <f>I155*I157*I159*X175</f>
        <v>0</v>
      </c>
      <c r="J160" s="369">
        <f>J155*J157*J159*X175</f>
        <v>0</v>
      </c>
      <c r="K160" s="370">
        <f>K155*K157*K159*X175*X175</f>
        <v>0</v>
      </c>
      <c r="L160" s="371">
        <f>L155*L157*L159*X175</f>
        <v>0</v>
      </c>
      <c r="M160" s="367"/>
      <c r="N160" s="372">
        <f>SUM(I160:M160)</f>
        <v>0</v>
      </c>
      <c r="O160" s="2"/>
      <c r="P160" s="2"/>
      <c r="Q160" s="6"/>
      <c r="R160" s="2"/>
      <c r="S160" s="342"/>
      <c r="T160" s="343"/>
      <c r="U160" s="5"/>
      <c r="V160" s="342"/>
      <c r="W160" s="343"/>
      <c r="X160" s="6"/>
      <c r="Y160" s="5"/>
      <c r="Z160" s="5"/>
      <c r="AA160" s="5"/>
      <c r="AB160" s="5"/>
      <c r="AC160" s="2"/>
      <c r="AD160" s="346" t="s">
        <v>192</v>
      </c>
      <c r="AE160" s="5"/>
      <c r="AF160" s="6"/>
      <c r="AG160" s="222" t="str">
        <f>+AG158+AG154</f>
        <v>#REF!</v>
      </c>
      <c r="AH160" s="5"/>
      <c r="AI160" s="5"/>
      <c r="AJ160" s="5"/>
      <c r="AK160" s="5"/>
      <c r="AL160" s="5"/>
      <c r="AM160" s="5"/>
      <c r="AN160" s="5"/>
      <c r="AO160" s="5"/>
      <c r="AP160" s="6"/>
      <c r="AQ160" s="6"/>
      <c r="AR160" s="5"/>
      <c r="AS160" s="6"/>
      <c r="AT160" s="6"/>
      <c r="AU160" s="6"/>
      <c r="AV160" s="328"/>
      <c r="AW160" s="5"/>
      <c r="AX160" s="2"/>
      <c r="AY160" s="2"/>
      <c r="AZ160" s="2"/>
      <c r="BA160" s="2"/>
      <c r="BB160" s="2"/>
      <c r="BC160" s="2"/>
      <c r="BD160" s="2"/>
      <c r="BE160" s="2"/>
      <c r="BF160" s="2"/>
      <c r="BG160" s="2"/>
      <c r="BH160" s="2"/>
    </row>
    <row r="161" ht="12.75" customHeight="1">
      <c r="A161" s="1"/>
      <c r="B161" s="2"/>
      <c r="C161" s="376"/>
      <c r="D161" s="348"/>
      <c r="E161" s="3"/>
      <c r="F161" s="2"/>
      <c r="G161" s="2"/>
      <c r="H161" s="2"/>
      <c r="I161" s="6"/>
      <c r="J161" s="377"/>
      <c r="K161" s="313"/>
      <c r="L161" s="3"/>
      <c r="M161" s="3"/>
      <c r="N161" s="351"/>
      <c r="O161" s="2"/>
      <c r="P161" s="2"/>
      <c r="Q161" s="6"/>
      <c r="R161" s="2"/>
      <c r="S161" s="378" t="s">
        <v>193</v>
      </c>
      <c r="T161" s="379" t="str">
        <f>T157+T159</f>
        <v>#REF!</v>
      </c>
      <c r="U161" s="5"/>
      <c r="V161" s="378" t="s">
        <v>193</v>
      </c>
      <c r="W161" s="379" t="str">
        <f>W157+W159</f>
        <v>#REF!</v>
      </c>
      <c r="X161" s="6"/>
      <c r="Y161" s="5"/>
      <c r="Z161" s="5"/>
      <c r="AA161" s="5"/>
      <c r="AB161" s="5"/>
      <c r="AC161" s="2"/>
      <c r="AD161" s="346" t="s">
        <v>194</v>
      </c>
      <c r="AE161" s="5"/>
      <c r="AF161" s="380"/>
      <c r="AG161" s="364" t="str">
        <f>W166</f>
        <v>#REF!</v>
      </c>
      <c r="AH161" s="353" t="str">
        <f>AG161/AG160</f>
        <v>#REF!</v>
      </c>
      <c r="AI161" s="5"/>
      <c r="AJ161" s="5"/>
      <c r="AK161" s="5"/>
      <c r="AL161" s="5"/>
      <c r="AM161" s="5"/>
      <c r="AN161" s="5"/>
      <c r="AO161" s="5"/>
      <c r="AP161" s="6"/>
      <c r="AQ161" s="6"/>
      <c r="AR161" s="5"/>
      <c r="AS161" s="6"/>
      <c r="AT161" s="6"/>
      <c r="AU161" s="6"/>
      <c r="AV161" s="328"/>
      <c r="AW161" s="5"/>
      <c r="AX161" s="2"/>
      <c r="AY161" s="2"/>
      <c r="AZ161" s="2"/>
      <c r="BA161" s="2"/>
      <c r="BB161" s="2"/>
      <c r="BC161" s="2"/>
      <c r="BD161" s="2"/>
      <c r="BE161" s="2"/>
      <c r="BF161" s="2"/>
      <c r="BG161" s="2"/>
      <c r="BH161" s="2"/>
    </row>
    <row r="162" ht="12.75" customHeight="1">
      <c r="A162" s="1"/>
      <c r="B162" s="12" t="s">
        <v>176</v>
      </c>
      <c r="C162" s="329" t="s">
        <v>195</v>
      </c>
      <c r="D162" s="330"/>
      <c r="E162" s="331"/>
      <c r="F162" s="332"/>
      <c r="G162" s="332"/>
      <c r="H162" s="332"/>
      <c r="I162" s="333" t="s">
        <v>196</v>
      </c>
      <c r="J162" s="334" t="s">
        <v>197</v>
      </c>
      <c r="K162" s="335" t="s">
        <v>198</v>
      </c>
      <c r="L162" s="336" t="s">
        <v>199</v>
      </c>
      <c r="M162" s="337" t="s">
        <v>200</v>
      </c>
      <c r="N162" s="381" t="str">
        <f>SUM(N163:N167)</f>
        <v>#REF!</v>
      </c>
      <c r="O162" s="2"/>
      <c r="P162" s="2"/>
      <c r="Q162" s="6"/>
      <c r="R162" s="2"/>
      <c r="S162" s="5"/>
      <c r="T162" s="5"/>
      <c r="U162" s="6"/>
      <c r="V162" s="5"/>
      <c r="W162" s="5"/>
      <c r="X162" s="6"/>
      <c r="Y162" s="5"/>
      <c r="Z162" s="5"/>
      <c r="AA162" s="5"/>
      <c r="AB162" s="5"/>
      <c r="AC162" s="2"/>
      <c r="AD162" s="355" t="s">
        <v>201</v>
      </c>
      <c r="AE162" s="356"/>
      <c r="AF162" s="357"/>
      <c r="AG162" s="358" t="str">
        <f>SUM(AG160:AG161)</f>
        <v>#REF!</v>
      </c>
      <c r="AH162" s="356"/>
      <c r="AI162" s="5"/>
      <c r="AJ162" s="5"/>
      <c r="AK162" s="5"/>
      <c r="AL162" s="5"/>
      <c r="AM162" s="5"/>
      <c r="AN162" s="5"/>
      <c r="AO162" s="5"/>
      <c r="AP162" s="6"/>
      <c r="AQ162" s="6"/>
      <c r="AR162" s="5"/>
      <c r="AS162" s="6"/>
      <c r="AT162" s="6"/>
      <c r="AU162" s="6"/>
      <c r="AV162" s="328"/>
      <c r="AW162" s="5"/>
      <c r="AX162" s="2"/>
      <c r="AY162" s="2"/>
      <c r="AZ162" s="2"/>
      <c r="BA162" s="2"/>
      <c r="BB162" s="2"/>
      <c r="BC162" s="2"/>
      <c r="BD162" s="2"/>
      <c r="BE162" s="2"/>
      <c r="BF162" s="2"/>
      <c r="BG162" s="2"/>
      <c r="BH162" s="2"/>
    </row>
    <row r="163" ht="12.75" customHeight="1">
      <c r="A163" s="1"/>
      <c r="B163" s="2"/>
      <c r="C163" s="376"/>
      <c r="D163" s="348"/>
      <c r="E163" s="3"/>
      <c r="F163" s="2"/>
      <c r="G163" s="2"/>
      <c r="H163" s="2"/>
      <c r="I163" s="382">
        <v>6.0</v>
      </c>
      <c r="J163" s="382">
        <v>3.0</v>
      </c>
      <c r="K163" s="383">
        <v>500.0</v>
      </c>
      <c r="L163" s="350">
        <v>0.0</v>
      </c>
      <c r="M163" s="350">
        <v>1.0</v>
      </c>
      <c r="N163" s="351"/>
      <c r="O163" s="2"/>
      <c r="P163" s="2"/>
      <c r="Q163" s="6"/>
      <c r="R163" s="384" t="s">
        <v>7</v>
      </c>
      <c r="S163" s="385" t="s">
        <v>202</v>
      </c>
      <c r="T163" s="386" t="s">
        <v>203</v>
      </c>
      <c r="U163" s="386" t="s">
        <v>186</v>
      </c>
      <c r="V163" s="387" t="s">
        <v>204</v>
      </c>
      <c r="W163" s="387" t="s">
        <v>194</v>
      </c>
      <c r="X163" s="387" t="s">
        <v>24</v>
      </c>
      <c r="Y163" s="388"/>
      <c r="Z163" s="388"/>
      <c r="AA163" s="388"/>
      <c r="AB163" s="389" t="s">
        <v>205</v>
      </c>
      <c r="AC163" s="2"/>
      <c r="AD163" s="5"/>
      <c r="AE163" s="5"/>
      <c r="AF163" s="6"/>
      <c r="AG163" s="5"/>
      <c r="AH163" s="5"/>
      <c r="AI163" s="5"/>
      <c r="AJ163" s="5"/>
      <c r="AK163" s="5"/>
      <c r="AL163" s="5"/>
      <c r="AM163" s="5"/>
      <c r="AN163" s="5"/>
      <c r="AO163" s="5"/>
      <c r="AP163" s="6"/>
      <c r="AQ163" s="6"/>
      <c r="AR163" s="5"/>
      <c r="AS163" s="6"/>
      <c r="AT163" s="6"/>
      <c r="AU163" s="6"/>
      <c r="AV163" s="328"/>
      <c r="AW163" s="5"/>
      <c r="AX163" s="2"/>
      <c r="AY163" s="2"/>
      <c r="AZ163" s="2"/>
      <c r="BA163" s="2"/>
      <c r="BB163" s="2"/>
      <c r="BC163" s="2"/>
      <c r="BD163" s="2"/>
      <c r="BE163" s="2"/>
      <c r="BF163" s="2"/>
      <c r="BG163" s="2"/>
      <c r="BH163" s="2"/>
    </row>
    <row r="164" ht="12.75" customHeight="1">
      <c r="A164" s="1"/>
      <c r="B164" s="2"/>
      <c r="C164" s="347" t="s">
        <v>26</v>
      </c>
      <c r="D164" s="348"/>
      <c r="E164" s="3"/>
      <c r="F164" s="2"/>
      <c r="G164" s="2"/>
      <c r="H164" s="2"/>
      <c r="I164" s="354" t="str">
        <f>$AC$176</f>
        <v>#REF!</v>
      </c>
      <c r="J164" s="354" t="str">
        <f>I164</f>
        <v>#REF!</v>
      </c>
      <c r="K164" s="390">
        <v>0.95</v>
      </c>
      <c r="L164" s="391">
        <v>1200.0</v>
      </c>
      <c r="M164" s="391">
        <v>120.0</v>
      </c>
      <c r="N164" s="351"/>
      <c r="O164" s="2"/>
      <c r="P164" s="2"/>
      <c r="Q164" s="392" t="str">
        <f>S164/S166</f>
        <v>#REF!</v>
      </c>
      <c r="R164" s="393" t="s">
        <v>206</v>
      </c>
      <c r="S164" s="394" t="str">
        <f>T151</f>
        <v>#REF!</v>
      </c>
      <c r="T164" s="394" t="str">
        <f>T154</f>
        <v>#REF!</v>
      </c>
      <c r="U164" s="394">
        <f>T155</f>
        <v>0</v>
      </c>
      <c r="V164" s="395"/>
      <c r="W164" s="396" t="str">
        <f>W167*Q164</f>
        <v>#REF!</v>
      </c>
      <c r="X164" s="397"/>
      <c r="Y164" s="398"/>
      <c r="Z164" s="398"/>
      <c r="AA164" s="398"/>
      <c r="AB164" s="399"/>
      <c r="AC164" s="2"/>
      <c r="AD164" s="5"/>
      <c r="AE164" s="5"/>
      <c r="AF164" s="6"/>
      <c r="AG164" s="5"/>
      <c r="AH164" s="5"/>
      <c r="AI164" s="5"/>
      <c r="AJ164" s="5"/>
      <c r="AK164" s="5"/>
      <c r="AL164" s="5"/>
      <c r="AM164" s="5"/>
      <c r="AN164" s="5"/>
      <c r="AO164" s="5"/>
      <c r="AP164" s="6"/>
      <c r="AQ164" s="6"/>
      <c r="AR164" s="5"/>
      <c r="AS164" s="6"/>
      <c r="AT164" s="6"/>
      <c r="AU164" s="6"/>
      <c r="AV164" s="328"/>
      <c r="AW164" s="5"/>
      <c r="AX164" s="2"/>
      <c r="AY164" s="2"/>
      <c r="AZ164" s="2"/>
      <c r="BA164" s="2"/>
      <c r="BB164" s="2"/>
      <c r="BC164" s="2"/>
      <c r="BD164" s="2"/>
      <c r="BE164" s="2"/>
      <c r="BF164" s="2"/>
      <c r="BG164" s="2"/>
      <c r="BH164" s="2"/>
    </row>
    <row r="165" ht="12.75" customHeight="1">
      <c r="A165" s="1"/>
      <c r="B165" s="2"/>
      <c r="C165" s="359" t="s">
        <v>188</v>
      </c>
      <c r="D165" s="348"/>
      <c r="E165" s="3"/>
      <c r="F165" s="2"/>
      <c r="G165" s="2"/>
      <c r="H165" s="2"/>
      <c r="I165" s="400">
        <v>2.0</v>
      </c>
      <c r="J165" s="400">
        <v>2.0</v>
      </c>
      <c r="K165" s="400">
        <v>2.0</v>
      </c>
      <c r="L165" s="401">
        <v>1.0</v>
      </c>
      <c r="M165" s="401">
        <v>2.0</v>
      </c>
      <c r="N165" s="351"/>
      <c r="O165" s="2"/>
      <c r="P165" s="2"/>
      <c r="Q165" s="392" t="str">
        <f>S165/S166</f>
        <v>#REF!</v>
      </c>
      <c r="R165" s="393" t="s">
        <v>185</v>
      </c>
      <c r="S165" s="402" t="str">
        <f>W151</f>
        <v>#REF!</v>
      </c>
      <c r="T165" s="397"/>
      <c r="U165" s="397" t="str">
        <f>W155</f>
        <v/>
      </c>
      <c r="V165" s="403"/>
      <c r="W165" s="396" t="str">
        <f>W167*Q165</f>
        <v>#REF!</v>
      </c>
      <c r="X165" s="397"/>
      <c r="Y165" s="398"/>
      <c r="Z165" s="398"/>
      <c r="AA165" s="398"/>
      <c r="AB165" s="399"/>
      <c r="AC165" s="2"/>
      <c r="AD165" s="5"/>
      <c r="AE165" s="5"/>
      <c r="AF165" s="6"/>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row>
    <row r="166" ht="12.75" customHeight="1">
      <c r="A166" s="1"/>
      <c r="B166" s="2"/>
      <c r="C166" s="365" t="s">
        <v>189</v>
      </c>
      <c r="D166" s="366"/>
      <c r="E166" s="367"/>
      <c r="F166" s="368"/>
      <c r="G166" s="368"/>
      <c r="H166" s="368"/>
      <c r="I166" s="369" t="str">
        <f t="shared" ref="I166:M166" si="98">I164*I163*I165</f>
        <v>#REF!</v>
      </c>
      <c r="J166" s="369" t="str">
        <f t="shared" si="98"/>
        <v>#REF!</v>
      </c>
      <c r="K166" s="370">
        <f t="shared" si="98"/>
        <v>950</v>
      </c>
      <c r="L166" s="371">
        <f t="shared" si="98"/>
        <v>0</v>
      </c>
      <c r="M166" s="371">
        <f t="shared" si="98"/>
        <v>240</v>
      </c>
      <c r="N166" s="372" t="str">
        <f>SUM(I166:M166)</f>
        <v>#REF!</v>
      </c>
      <c r="O166" s="2"/>
      <c r="P166" s="2"/>
      <c r="Q166" s="6"/>
      <c r="R166" s="404" t="s">
        <v>207</v>
      </c>
      <c r="S166" s="405" t="str">
        <f>SUM(S164:S165)</f>
        <v>#REF!</v>
      </c>
      <c r="T166" s="405" t="str">
        <f>T154</f>
        <v>#REF!</v>
      </c>
      <c r="U166" s="405">
        <f>SUM(U164:U165)</f>
        <v>0</v>
      </c>
      <c r="V166" s="406" t="str">
        <f>W166/AE151</f>
        <v>#REF!</v>
      </c>
      <c r="W166" s="407" t="str">
        <f>SUM(W164:W165)</f>
        <v>#REF!</v>
      </c>
      <c r="X166" s="405" t="str">
        <f>N253</f>
        <v>#REF!</v>
      </c>
      <c r="Y166" s="408"/>
      <c r="Z166" s="408"/>
      <c r="AA166" s="408"/>
      <c r="AB166" s="409" t="str">
        <f>X166+W166+U166+T166+S166</f>
        <v>#REF!</v>
      </c>
      <c r="AC166" s="2"/>
      <c r="AD166" s="5"/>
      <c r="AE166" s="5"/>
      <c r="AF166" s="6"/>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row>
    <row r="167" ht="12.75" customHeight="1">
      <c r="A167" s="1"/>
      <c r="B167" s="2"/>
      <c r="C167" s="376"/>
      <c r="D167" s="348"/>
      <c r="E167" s="3"/>
      <c r="F167" s="2"/>
      <c r="G167" s="2"/>
      <c r="H167" s="2"/>
      <c r="I167" s="2"/>
      <c r="J167" s="2"/>
      <c r="K167" s="2"/>
      <c r="L167" s="3"/>
      <c r="M167" s="3"/>
      <c r="N167" s="351"/>
      <c r="O167" s="2"/>
      <c r="P167" s="2"/>
      <c r="Q167" s="6"/>
      <c r="R167" s="2"/>
      <c r="S167" s="5"/>
      <c r="T167" s="5"/>
      <c r="U167" s="6"/>
      <c r="V167" s="410" t="str">
        <f>W167/AE151</f>
        <v>#REF!</v>
      </c>
      <c r="W167" s="411" t="str">
        <f>I276</f>
        <v>#REF!</v>
      </c>
      <c r="X167" s="6"/>
      <c r="Y167" s="5"/>
      <c r="Z167" s="5"/>
      <c r="AA167" s="5"/>
      <c r="AB167" s="354" t="str">
        <f>AB166=T174</f>
        <v>#REF!</v>
      </c>
      <c r="AC167" s="2"/>
      <c r="AD167" s="5"/>
      <c r="AE167" s="5"/>
      <c r="AF167" s="6"/>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row>
    <row r="168" ht="12.75" customHeight="1">
      <c r="A168" s="1"/>
      <c r="B168" s="12" t="s">
        <v>176</v>
      </c>
      <c r="C168" s="412" t="s">
        <v>208</v>
      </c>
      <c r="D168" s="330"/>
      <c r="E168" s="331"/>
      <c r="F168" s="332"/>
      <c r="G168" s="332"/>
      <c r="H168" s="332"/>
      <c r="I168" s="333" t="s">
        <v>209</v>
      </c>
      <c r="J168" s="333" t="s">
        <v>210</v>
      </c>
      <c r="K168" s="333" t="s">
        <v>211</v>
      </c>
      <c r="L168" s="413" t="s">
        <v>212</v>
      </c>
      <c r="M168" s="414"/>
      <c r="N168" s="381">
        <f>SUM(N169:N177)</f>
        <v>1200</v>
      </c>
      <c r="O168" s="2"/>
      <c r="P168" s="2"/>
      <c r="Q168" s="2"/>
      <c r="R168" s="2"/>
      <c r="S168" s="5"/>
      <c r="T168" s="5"/>
      <c r="U168" s="6"/>
      <c r="V168" s="314"/>
      <c r="W168" s="5"/>
      <c r="X168" s="6"/>
      <c r="Y168" s="5"/>
      <c r="Z168" s="5"/>
      <c r="AA168" s="5"/>
      <c r="AB168" s="5"/>
      <c r="AC168" s="415">
        <v>1.0</v>
      </c>
      <c r="AD168" s="416" t="s">
        <v>213</v>
      </c>
      <c r="AE168" s="5"/>
      <c r="AF168" s="6"/>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row>
    <row r="169" ht="12.75" customHeight="1">
      <c r="A169" s="1"/>
      <c r="B169" s="2"/>
      <c r="C169" s="376"/>
      <c r="D169" s="348"/>
      <c r="E169" s="3"/>
      <c r="F169" s="2"/>
      <c r="G169" s="2"/>
      <c r="H169" s="2"/>
      <c r="I169" s="354">
        <v>150.0</v>
      </c>
      <c r="J169" s="354">
        <v>300.0</v>
      </c>
      <c r="K169" s="354">
        <v>300.0</v>
      </c>
      <c r="L169" s="350">
        <v>150.0</v>
      </c>
      <c r="M169" s="3"/>
      <c r="N169" s="351"/>
      <c r="O169" s="2"/>
      <c r="P169" s="2"/>
      <c r="Q169" s="328"/>
      <c r="R169" s="328"/>
      <c r="S169" s="5"/>
      <c r="T169" s="5"/>
      <c r="U169" s="6"/>
      <c r="V169" s="417" t="s">
        <v>214</v>
      </c>
      <c r="W169" s="418">
        <f t="shared" ref="W169:W172" si="99">X169*AB169</f>
        <v>55</v>
      </c>
      <c r="X169" s="326">
        <v>1.0</v>
      </c>
      <c r="Y169" s="5"/>
      <c r="Z169" s="5"/>
      <c r="AA169" s="5"/>
      <c r="AB169" s="113">
        <v>55.0</v>
      </c>
      <c r="AC169" s="2"/>
      <c r="AD169" s="5"/>
      <c r="AE169" s="5"/>
      <c r="AF169" s="6"/>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row>
    <row r="170" ht="12.75" customHeight="1">
      <c r="A170" s="1"/>
      <c r="B170" s="2"/>
      <c r="C170" s="359" t="s">
        <v>188</v>
      </c>
      <c r="D170" s="348"/>
      <c r="E170" s="3"/>
      <c r="F170" s="2"/>
      <c r="G170" s="2"/>
      <c r="H170" s="2"/>
      <c r="I170" s="419">
        <v>1.0</v>
      </c>
      <c r="J170" s="419">
        <v>1.0</v>
      </c>
      <c r="K170" s="419">
        <v>1.0</v>
      </c>
      <c r="L170" s="420">
        <v>3.0</v>
      </c>
      <c r="M170" s="361"/>
      <c r="N170" s="351"/>
      <c r="O170" s="2"/>
      <c r="P170" s="2"/>
      <c r="Q170" s="5"/>
      <c r="R170" s="222" t="str">
        <f>R169-T174</f>
        <v>#REF!</v>
      </c>
      <c r="S170" s="421" t="s">
        <v>206</v>
      </c>
      <c r="T170" s="422" t="str">
        <f t="shared" ref="T170:T171" si="101">S164+T164+U164</f>
        <v>#REF!</v>
      </c>
      <c r="U170" s="423" t="str">
        <f>T170/T174</f>
        <v>#REF!</v>
      </c>
      <c r="V170" s="424" t="s">
        <v>215</v>
      </c>
      <c r="W170" s="140">
        <f t="shared" si="99"/>
        <v>45</v>
      </c>
      <c r="X170" s="326">
        <v>1.0</v>
      </c>
      <c r="Y170" s="5"/>
      <c r="Z170" s="5"/>
      <c r="AA170" s="5"/>
      <c r="AB170" s="113">
        <v>45.0</v>
      </c>
      <c r="AC170" s="2"/>
      <c r="AD170" s="5"/>
      <c r="AE170" s="5"/>
      <c r="AF170" s="6"/>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row>
    <row r="171" ht="12.75" customHeight="1">
      <c r="A171" s="1"/>
      <c r="B171" s="2"/>
      <c r="C171" s="365" t="s">
        <v>189</v>
      </c>
      <c r="D171" s="366"/>
      <c r="E171" s="367"/>
      <c r="F171" s="368"/>
      <c r="G171" s="368"/>
      <c r="H171" s="368"/>
      <c r="I171" s="369">
        <f t="shared" ref="I171:M171" si="100">I169*I170</f>
        <v>150</v>
      </c>
      <c r="J171" s="369">
        <f t="shared" si="100"/>
        <v>300</v>
      </c>
      <c r="K171" s="370">
        <f t="shared" si="100"/>
        <v>300</v>
      </c>
      <c r="L171" s="371">
        <f t="shared" si="100"/>
        <v>450</v>
      </c>
      <c r="M171" s="371">
        <f t="shared" si="100"/>
        <v>0</v>
      </c>
      <c r="N171" s="372">
        <f>SUM(I171:M171)</f>
        <v>1200</v>
      </c>
      <c r="O171" s="2"/>
      <c r="P171" s="2"/>
      <c r="Q171" s="5"/>
      <c r="R171" s="5"/>
      <c r="S171" s="425" t="s">
        <v>185</v>
      </c>
      <c r="T171" s="426" t="str">
        <f t="shared" si="101"/>
        <v>#REF!</v>
      </c>
      <c r="U171" s="423" t="str">
        <f>T171/T174</f>
        <v>#REF!</v>
      </c>
      <c r="V171" s="424" t="s">
        <v>216</v>
      </c>
      <c r="W171" s="140">
        <f t="shared" si="99"/>
        <v>45</v>
      </c>
      <c r="X171" s="326">
        <v>1.0</v>
      </c>
      <c r="Y171" s="5"/>
      <c r="Z171" s="5"/>
      <c r="AA171" s="5"/>
      <c r="AB171" s="113">
        <v>45.0</v>
      </c>
      <c r="AC171" s="2"/>
      <c r="AD171" s="5"/>
      <c r="AE171" s="5"/>
      <c r="AF171" s="6"/>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row>
    <row r="172" ht="12.75" customHeight="1">
      <c r="A172" s="1"/>
      <c r="B172" s="2"/>
      <c r="C172" s="376"/>
      <c r="D172" s="348"/>
      <c r="E172" s="3"/>
      <c r="F172" s="2"/>
      <c r="G172" s="2"/>
      <c r="H172" s="2"/>
      <c r="I172" s="6"/>
      <c r="J172" s="313"/>
      <c r="K172" s="6"/>
      <c r="L172" s="3"/>
      <c r="M172" s="3"/>
      <c r="N172" s="351"/>
      <c r="O172" s="2"/>
      <c r="P172" s="2"/>
      <c r="Q172" s="5"/>
      <c r="R172" s="5"/>
      <c r="S172" s="425" t="s">
        <v>24</v>
      </c>
      <c r="T172" s="426" t="str">
        <f>N253</f>
        <v>#REF!</v>
      </c>
      <c r="U172" s="423" t="str">
        <f>T172/T174</f>
        <v>#REF!</v>
      </c>
      <c r="V172" s="424" t="s">
        <v>217</v>
      </c>
      <c r="W172" s="140">
        <f t="shared" si="99"/>
        <v>45</v>
      </c>
      <c r="X172" s="326">
        <v>1.0</v>
      </c>
      <c r="Y172" s="5"/>
      <c r="Z172" s="5"/>
      <c r="AA172" s="5"/>
      <c r="AB172" s="113">
        <v>45.0</v>
      </c>
      <c r="AC172" s="2"/>
      <c r="AD172" s="5"/>
      <c r="AE172" s="5"/>
      <c r="AF172" s="6"/>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row>
    <row r="173" ht="12.75" customHeight="1">
      <c r="A173" s="1"/>
      <c r="B173" s="2"/>
      <c r="C173" s="376"/>
      <c r="D173" s="348"/>
      <c r="E173" s="3"/>
      <c r="F173" s="2"/>
      <c r="G173" s="2"/>
      <c r="H173" s="2"/>
      <c r="I173" s="427"/>
      <c r="J173" s="427"/>
      <c r="K173" s="427"/>
      <c r="L173" s="414"/>
      <c r="M173" s="414"/>
      <c r="N173" s="351"/>
      <c r="O173" s="2"/>
      <c r="P173" s="2"/>
      <c r="Q173" s="5"/>
      <c r="R173" s="5"/>
      <c r="S173" s="425" t="s">
        <v>194</v>
      </c>
      <c r="T173" s="428" t="str">
        <f>I276</f>
        <v>#REF!</v>
      </c>
      <c r="U173" s="423" t="str">
        <f>T173/T174</f>
        <v>#REF!</v>
      </c>
      <c r="V173" s="424" t="s">
        <v>218</v>
      </c>
      <c r="W173" s="140">
        <f t="shared" ref="W173:X173" si="102">SUM(W169:W172)</f>
        <v>190</v>
      </c>
      <c r="X173" s="326">
        <f t="shared" si="102"/>
        <v>4</v>
      </c>
      <c r="Y173" s="5"/>
      <c r="Z173" s="5"/>
      <c r="AA173" s="5"/>
      <c r="AB173" s="5"/>
      <c r="AC173" s="2"/>
      <c r="AD173" s="5"/>
      <c r="AE173" s="5"/>
      <c r="AF173" s="6"/>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row>
    <row r="174" ht="12.75" customHeight="1">
      <c r="A174" s="1"/>
      <c r="B174" s="2"/>
      <c r="C174" s="347" t="s">
        <v>219</v>
      </c>
      <c r="D174" s="348"/>
      <c r="E174" s="3"/>
      <c r="F174" s="2"/>
      <c r="G174" s="2"/>
      <c r="H174" s="2"/>
      <c r="I174" s="5"/>
      <c r="J174" s="5"/>
      <c r="K174" s="5"/>
      <c r="L174" s="3"/>
      <c r="M174" s="3"/>
      <c r="N174" s="351"/>
      <c r="O174" s="2"/>
      <c r="P174" s="2"/>
      <c r="Q174" s="5"/>
      <c r="R174" s="327" t="str">
        <f>U180=T174</f>
        <v>#REF!</v>
      </c>
      <c r="S174" s="429" t="s">
        <v>207</v>
      </c>
      <c r="T174" s="430" t="str">
        <f>SUM(T170:T173)</f>
        <v>#REF!</v>
      </c>
      <c r="U174" s="431" t="s">
        <v>220</v>
      </c>
      <c r="V174" s="432">
        <v>0.2</v>
      </c>
      <c r="W174" s="140">
        <f>W173*(1+V174)</f>
        <v>228</v>
      </c>
      <c r="X174" s="6"/>
      <c r="Y174" s="5"/>
      <c r="Z174" s="5"/>
      <c r="AA174" s="5"/>
      <c r="AB174" s="5"/>
      <c r="AC174" s="2"/>
      <c r="AD174" s="5"/>
      <c r="AE174" s="5"/>
      <c r="AF174" s="6"/>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row>
    <row r="175" ht="12.75" customHeight="1">
      <c r="A175" s="1"/>
      <c r="B175" s="2"/>
      <c r="C175" s="359" t="s">
        <v>188</v>
      </c>
      <c r="D175" s="348"/>
      <c r="E175" s="3"/>
      <c r="F175" s="2"/>
      <c r="G175" s="2"/>
      <c r="H175" s="2"/>
      <c r="I175" s="360"/>
      <c r="J175" s="360"/>
      <c r="K175" s="360"/>
      <c r="L175" s="361"/>
      <c r="M175" s="361"/>
      <c r="N175" s="351"/>
      <c r="O175" s="2"/>
      <c r="P175" s="2"/>
      <c r="Q175" s="5"/>
      <c r="R175" s="5"/>
      <c r="S175" s="5"/>
      <c r="T175" s="5"/>
      <c r="U175" s="6"/>
      <c r="V175" s="433" t="s">
        <v>221</v>
      </c>
      <c r="W175" s="434" t="str">
        <f>W157/W174/W183</f>
        <v>#REF!</v>
      </c>
      <c r="X175" s="6"/>
      <c r="Y175" s="5"/>
      <c r="Z175" s="5"/>
      <c r="AA175" s="5"/>
      <c r="AB175" s="5"/>
      <c r="AC175" s="127"/>
      <c r="AD175" s="435" t="str">
        <f>W175*W183*X173</f>
        <v>#REF!</v>
      </c>
      <c r="AE175" s="5"/>
      <c r="AF175" s="6"/>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row>
    <row r="176" ht="12.75" customHeight="1">
      <c r="A176" s="1"/>
      <c r="B176" s="2"/>
      <c r="C176" s="365" t="s">
        <v>189</v>
      </c>
      <c r="D176" s="366"/>
      <c r="E176" s="367"/>
      <c r="F176" s="368"/>
      <c r="G176" s="368"/>
      <c r="H176" s="368"/>
      <c r="I176" s="436">
        <f t="shared" ref="I176:K176" si="103">I174*I175</f>
        <v>0</v>
      </c>
      <c r="J176" s="436">
        <f t="shared" si="103"/>
        <v>0</v>
      </c>
      <c r="K176" s="437">
        <f t="shared" si="103"/>
        <v>0</v>
      </c>
      <c r="L176" s="371">
        <f>SUM(L175)</f>
        <v>0</v>
      </c>
      <c r="M176" s="371">
        <f>M174*M175</f>
        <v>0</v>
      </c>
      <c r="N176" s="372">
        <f>SUM(I176:M176)</f>
        <v>0</v>
      </c>
      <c r="O176" s="2"/>
      <c r="P176" s="2"/>
      <c r="Q176" s="5"/>
      <c r="R176" s="438"/>
      <c r="S176" s="439" t="s">
        <v>222</v>
      </c>
      <c r="T176" s="440" t="s">
        <v>223</v>
      </c>
      <c r="U176" s="441" t="s">
        <v>27</v>
      </c>
      <c r="V176" s="5"/>
      <c r="W176" s="442" t="str">
        <f>W175/5</f>
        <v>#REF!</v>
      </c>
      <c r="X176" s="443" t="s">
        <v>224</v>
      </c>
      <c r="Y176" s="5"/>
      <c r="Z176" s="5"/>
      <c r="AA176" s="444"/>
      <c r="AB176" s="445"/>
      <c r="AC176" s="446" t="str">
        <f>W157/W175/X173/W183</f>
        <v>#REF!</v>
      </c>
      <c r="AD176" s="447" t="str">
        <f>AC176*AD175</f>
        <v>#REF!</v>
      </c>
      <c r="AE176" s="443" t="s">
        <v>202</v>
      </c>
      <c r="AF176" s="6"/>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row>
    <row r="177" ht="12.75" customHeight="1">
      <c r="A177" s="1"/>
      <c r="B177" s="2"/>
      <c r="C177" s="376"/>
      <c r="D177" s="348"/>
      <c r="E177" s="3"/>
      <c r="F177" s="2"/>
      <c r="G177" s="2"/>
      <c r="H177" s="2"/>
      <c r="I177" s="6"/>
      <c r="J177" s="313"/>
      <c r="K177" s="5"/>
      <c r="L177" s="3"/>
      <c r="M177" s="3"/>
      <c r="N177" s="351"/>
      <c r="O177" s="2"/>
      <c r="P177" s="2"/>
      <c r="Q177" s="2"/>
      <c r="R177" s="448" t="s">
        <v>210</v>
      </c>
      <c r="S177" s="449">
        <f>T188+T227+T195</f>
        <v>402.78</v>
      </c>
      <c r="T177" s="450">
        <f t="shared" ref="T177:T179" si="104">U177/S177</f>
        <v>0</v>
      </c>
      <c r="U177" s="164" t="str">
        <f>AM151</f>
        <v/>
      </c>
      <c r="V177" s="451" t="s">
        <v>225</v>
      </c>
      <c r="W177" s="452">
        <f>Y229</f>
        <v>0</v>
      </c>
      <c r="X177" s="6"/>
      <c r="Y177" s="5"/>
      <c r="Z177" s="5"/>
      <c r="AA177" s="444"/>
      <c r="AB177" s="445"/>
      <c r="AC177" s="446" t="str">
        <f>W161/W175/X173/W183</f>
        <v>#REF!</v>
      </c>
      <c r="AD177" s="447" t="str">
        <f>AC177*AD175</f>
        <v>#REF!</v>
      </c>
      <c r="AE177" s="443" t="s">
        <v>226</v>
      </c>
      <c r="AF177" s="6"/>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row>
    <row r="178" ht="12.75" customHeight="1">
      <c r="A178" s="1"/>
      <c r="B178" s="12" t="s">
        <v>176</v>
      </c>
      <c r="C178" s="412" t="s">
        <v>227</v>
      </c>
      <c r="D178" s="330"/>
      <c r="E178" s="331"/>
      <c r="F178" s="332"/>
      <c r="G178" s="332"/>
      <c r="H178" s="332"/>
      <c r="I178" s="333" t="s">
        <v>228</v>
      </c>
      <c r="J178" s="333" t="s">
        <v>229</v>
      </c>
      <c r="K178" s="333" t="s">
        <v>230</v>
      </c>
      <c r="L178" s="413" t="s">
        <v>231</v>
      </c>
      <c r="M178" s="413" t="s">
        <v>232</v>
      </c>
      <c r="N178" s="381">
        <f>SUM(N179:N182)</f>
        <v>0</v>
      </c>
      <c r="O178" s="2"/>
      <c r="P178" s="2"/>
      <c r="Q178" s="5"/>
      <c r="R178" s="448" t="s">
        <v>233</v>
      </c>
      <c r="S178" s="449" t="str">
        <f>AE186+AE212+AE193</f>
        <v>#REF!</v>
      </c>
      <c r="T178" s="450" t="str">
        <f t="shared" si="104"/>
        <v>#REF!</v>
      </c>
      <c r="U178" s="164" t="str">
        <f>AN151</f>
        <v/>
      </c>
      <c r="V178" s="5"/>
      <c r="W178" s="453">
        <f>W177/5</f>
        <v>0</v>
      </c>
      <c r="X178" s="443" t="s">
        <v>224</v>
      </c>
      <c r="Y178" s="5"/>
      <c r="Z178" s="5"/>
      <c r="AA178" s="444"/>
      <c r="AB178" s="445"/>
      <c r="AC178" s="2"/>
      <c r="AD178" s="454" t="str">
        <f>AD177-AD176</f>
        <v>#REF!</v>
      </c>
      <c r="AE178" s="6"/>
      <c r="AF178" s="6"/>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row>
    <row r="179" ht="12.75" customHeight="1">
      <c r="A179" s="1"/>
      <c r="B179" s="2"/>
      <c r="C179" s="347" t="s">
        <v>26</v>
      </c>
      <c r="D179" s="348"/>
      <c r="E179" s="3"/>
      <c r="F179" s="2"/>
      <c r="G179" s="2"/>
      <c r="H179" s="2"/>
      <c r="I179" s="354">
        <v>0.0</v>
      </c>
      <c r="J179" s="354">
        <v>0.0</v>
      </c>
      <c r="K179" s="354">
        <v>0.0</v>
      </c>
      <c r="L179" s="350">
        <v>0.0</v>
      </c>
      <c r="M179" s="350">
        <v>0.0</v>
      </c>
      <c r="N179" s="351"/>
      <c r="O179" s="2"/>
      <c r="P179" s="2"/>
      <c r="Q179" s="5"/>
      <c r="R179" s="448" t="s">
        <v>234</v>
      </c>
      <c r="S179" s="455">
        <f>AP186+AP193+AP212</f>
        <v>0</v>
      </c>
      <c r="T179" s="450" t="str">
        <f t="shared" si="104"/>
        <v>#DIV/0!</v>
      </c>
      <c r="U179" s="456"/>
      <c r="V179" s="5"/>
      <c r="W179" s="453">
        <f>W178/4</f>
        <v>0</v>
      </c>
      <c r="X179" s="443" t="s">
        <v>235</v>
      </c>
      <c r="Y179" s="6"/>
      <c r="Z179" s="6"/>
      <c r="AA179" s="6"/>
      <c r="AB179" s="6"/>
      <c r="AC179" s="6"/>
      <c r="AD179" s="5"/>
      <c r="AE179" s="6"/>
      <c r="AF179" s="6"/>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row>
    <row r="180" ht="12.75" customHeight="1">
      <c r="A180" s="1"/>
      <c r="B180" s="2"/>
      <c r="C180" s="359" t="s">
        <v>188</v>
      </c>
      <c r="D180" s="348"/>
      <c r="E180" s="3"/>
      <c r="F180" s="2"/>
      <c r="G180" s="2"/>
      <c r="H180" s="2"/>
      <c r="I180" s="400">
        <v>1.0</v>
      </c>
      <c r="J180" s="400">
        <v>1.0</v>
      </c>
      <c r="K180" s="400">
        <v>1.0</v>
      </c>
      <c r="L180" s="401">
        <v>1.0</v>
      </c>
      <c r="M180" s="401">
        <v>1.0</v>
      </c>
      <c r="N180" s="351"/>
      <c r="O180" s="2"/>
      <c r="P180" s="2"/>
      <c r="Q180" s="5"/>
      <c r="R180" s="457" t="s">
        <v>207</v>
      </c>
      <c r="S180" s="458" t="str">
        <f>SUM(S177:S179)</f>
        <v>#REF!</v>
      </c>
      <c r="T180" s="459" t="str">
        <f>T174/S180</f>
        <v>#REF!</v>
      </c>
      <c r="U180" s="460" t="str">
        <f>T180*S180</f>
        <v>#REF!</v>
      </c>
      <c r="V180" s="5"/>
      <c r="W180" s="5"/>
      <c r="X180" s="6"/>
      <c r="Y180" s="6"/>
      <c r="Z180" s="6"/>
      <c r="AA180" s="6"/>
      <c r="AB180" s="6"/>
      <c r="AC180" s="6"/>
      <c r="AD180" s="344" t="str">
        <f>W175*X173*(55*1.25)*W183</f>
        <v>#REF!</v>
      </c>
      <c r="AE180" s="6"/>
      <c r="AF180" s="6"/>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row>
    <row r="181" ht="12.75" customHeight="1">
      <c r="A181" s="1"/>
      <c r="B181" s="2"/>
      <c r="C181" s="365" t="s">
        <v>189</v>
      </c>
      <c r="D181" s="366"/>
      <c r="E181" s="367"/>
      <c r="F181" s="368"/>
      <c r="G181" s="368"/>
      <c r="H181" s="368"/>
      <c r="I181" s="369">
        <f t="shared" ref="I181:M181" si="105">I179*I180</f>
        <v>0</v>
      </c>
      <c r="J181" s="369">
        <f t="shared" si="105"/>
        <v>0</v>
      </c>
      <c r="K181" s="370">
        <f t="shared" si="105"/>
        <v>0</v>
      </c>
      <c r="L181" s="371">
        <f t="shared" si="105"/>
        <v>0</v>
      </c>
      <c r="M181" s="371">
        <f t="shared" si="105"/>
        <v>0</v>
      </c>
      <c r="N181" s="372">
        <f>SUM(I181:M181)</f>
        <v>0</v>
      </c>
      <c r="O181" s="2"/>
      <c r="P181" s="2"/>
      <c r="Q181" s="5"/>
      <c r="R181" s="2"/>
      <c r="S181" s="5"/>
      <c r="T181" s="5"/>
      <c r="U181" s="6"/>
      <c r="V181" s="5"/>
      <c r="W181" s="5"/>
      <c r="X181" s="6"/>
      <c r="Y181" s="6"/>
      <c r="Z181" s="6"/>
      <c r="AA181" s="6"/>
      <c r="AB181" s="6"/>
      <c r="AC181" s="2"/>
      <c r="AD181" s="5"/>
      <c r="AE181" s="5"/>
      <c r="AF181" s="6"/>
      <c r="AG181" s="5"/>
      <c r="AH181" s="5"/>
      <c r="AI181" s="5"/>
      <c r="AJ181" s="5"/>
      <c r="AK181" s="5"/>
      <c r="AL181" s="5"/>
      <c r="AM181" s="5"/>
      <c r="AN181" s="5"/>
      <c r="AO181" s="5"/>
      <c r="AP181" s="6"/>
      <c r="AQ181" s="6"/>
      <c r="AR181" s="5"/>
      <c r="AS181" s="6"/>
      <c r="AT181" s="6"/>
      <c r="AU181" s="6"/>
      <c r="AV181" s="328"/>
      <c r="AW181" s="5"/>
      <c r="AX181" s="2"/>
      <c r="AY181" s="2"/>
      <c r="AZ181" s="2"/>
      <c r="BA181" s="2"/>
      <c r="BB181" s="2"/>
      <c r="BC181" s="2"/>
      <c r="BD181" s="2"/>
      <c r="BE181" s="2"/>
      <c r="BF181" s="2"/>
      <c r="BG181" s="2"/>
      <c r="BH181" s="2"/>
    </row>
    <row r="182" ht="12.75" customHeight="1">
      <c r="A182" s="1"/>
      <c r="B182" s="2"/>
      <c r="C182" s="376"/>
      <c r="D182" s="348"/>
      <c r="E182" s="3"/>
      <c r="F182" s="2"/>
      <c r="G182" s="2"/>
      <c r="H182" s="2"/>
      <c r="I182" s="6"/>
      <c r="J182" s="313"/>
      <c r="K182" s="5"/>
      <c r="L182" s="3"/>
      <c r="M182" s="3"/>
      <c r="N182" s="351"/>
      <c r="O182" s="2"/>
      <c r="P182" s="2"/>
      <c r="Q182" s="6"/>
      <c r="R182" s="461" t="s">
        <v>236</v>
      </c>
      <c r="S182" s="5"/>
      <c r="T182" s="5"/>
      <c r="U182" s="6"/>
      <c r="V182" s="5"/>
      <c r="W182" s="5"/>
      <c r="X182" s="6"/>
      <c r="Y182" s="6"/>
      <c r="Z182" s="6"/>
      <c r="AA182" s="6"/>
      <c r="AB182" s="6"/>
      <c r="AC182" s="461" t="s">
        <v>237</v>
      </c>
      <c r="AD182" s="5"/>
      <c r="AE182" s="5"/>
      <c r="AF182" s="6"/>
      <c r="AG182" s="5"/>
      <c r="AH182" s="5"/>
      <c r="AI182" s="6"/>
      <c r="AJ182" s="6"/>
      <c r="AK182" s="6"/>
      <c r="AL182" s="6"/>
      <c r="AM182" s="5"/>
      <c r="AN182" s="461" t="s">
        <v>238</v>
      </c>
      <c r="AO182" s="5"/>
      <c r="AP182" s="5"/>
      <c r="AQ182" s="6"/>
      <c r="AR182" s="5"/>
      <c r="AS182" s="5"/>
      <c r="AT182" s="6"/>
      <c r="AU182" s="6"/>
      <c r="AV182" s="6"/>
      <c r="AW182" s="6"/>
      <c r="AX182" s="2"/>
      <c r="AY182" s="2"/>
      <c r="AZ182" s="2"/>
      <c r="BA182" s="2"/>
      <c r="BB182" s="2"/>
      <c r="BC182" s="2"/>
      <c r="BD182" s="2"/>
      <c r="BE182" s="2"/>
      <c r="BF182" s="2"/>
      <c r="BG182" s="2"/>
      <c r="BH182" s="2"/>
    </row>
    <row r="183" ht="12.75" customHeight="1">
      <c r="A183" s="1"/>
      <c r="B183" s="12" t="s">
        <v>176</v>
      </c>
      <c r="C183" s="412" t="s">
        <v>239</v>
      </c>
      <c r="D183" s="330"/>
      <c r="E183" s="331"/>
      <c r="F183" s="332"/>
      <c r="G183" s="332"/>
      <c r="H183" s="332"/>
      <c r="I183" s="333" t="s">
        <v>240</v>
      </c>
      <c r="J183" s="334" t="s">
        <v>241</v>
      </c>
      <c r="K183" s="335" t="s">
        <v>242</v>
      </c>
      <c r="L183" s="414"/>
      <c r="M183" s="337" t="s">
        <v>243</v>
      </c>
      <c r="N183" s="338">
        <f>SUM(N184:N188)</f>
        <v>0</v>
      </c>
      <c r="O183" s="354">
        <f>N183+N154</f>
        <v>0</v>
      </c>
      <c r="P183" s="2"/>
      <c r="Q183" s="6"/>
      <c r="R183" s="58"/>
      <c r="S183" s="63"/>
      <c r="T183" s="63"/>
      <c r="U183" s="62"/>
      <c r="V183" s="63"/>
      <c r="W183" s="462">
        <v>8.0</v>
      </c>
      <c r="X183" s="62"/>
      <c r="Y183" s="62"/>
      <c r="Z183" s="463"/>
      <c r="AA183" s="64"/>
      <c r="AB183" s="464"/>
      <c r="AC183" s="58"/>
      <c r="AD183" s="63"/>
      <c r="AE183" s="63"/>
      <c r="AF183" s="62"/>
      <c r="AG183" s="63"/>
      <c r="AH183" s="462">
        <v>8.0</v>
      </c>
      <c r="AI183" s="62"/>
      <c r="AJ183" s="62"/>
      <c r="AK183" s="463"/>
      <c r="AL183" s="64"/>
      <c r="AM183" s="5"/>
      <c r="AN183" s="58"/>
      <c r="AO183" s="63"/>
      <c r="AP183" s="63"/>
      <c r="AQ183" s="62"/>
      <c r="AR183" s="63"/>
      <c r="AS183" s="462">
        <v>8.0</v>
      </c>
      <c r="AT183" s="62"/>
      <c r="AU183" s="62"/>
      <c r="AV183" s="463"/>
      <c r="AW183" s="64"/>
      <c r="AX183" s="2"/>
      <c r="AY183" s="2"/>
      <c r="AZ183" s="2"/>
      <c r="BA183" s="2"/>
      <c r="BB183" s="2"/>
      <c r="BC183" s="2"/>
      <c r="BD183" s="2"/>
      <c r="BE183" s="2"/>
      <c r="BF183" s="2"/>
      <c r="BG183" s="2"/>
      <c r="BH183" s="2"/>
    </row>
    <row r="184" ht="12.75" customHeight="1">
      <c r="A184" s="1"/>
      <c r="B184" s="2"/>
      <c r="C184" s="376"/>
      <c r="D184" s="348"/>
      <c r="E184" s="3"/>
      <c r="F184" s="2"/>
      <c r="G184" s="2"/>
      <c r="H184" s="2"/>
      <c r="I184" s="382">
        <v>10.0</v>
      </c>
      <c r="J184" s="382">
        <v>0.5</v>
      </c>
      <c r="K184" s="465">
        <v>1.0</v>
      </c>
      <c r="L184" s="361"/>
      <c r="M184" s="391">
        <v>1.0</v>
      </c>
      <c r="N184" s="351"/>
      <c r="O184" s="466">
        <f>O183/6</f>
        <v>0</v>
      </c>
      <c r="P184" s="2"/>
      <c r="Q184" s="6"/>
      <c r="R184" s="467"/>
      <c r="S184" s="468"/>
      <c r="T184" s="469" t="s">
        <v>244</v>
      </c>
      <c r="U184" s="470" t="s">
        <v>245</v>
      </c>
      <c r="V184" s="471" t="s">
        <v>26</v>
      </c>
      <c r="W184" s="472" t="s">
        <v>246</v>
      </c>
      <c r="X184" s="473" t="s">
        <v>247</v>
      </c>
      <c r="Y184" s="474" t="s">
        <v>248</v>
      </c>
      <c r="Z184" s="475" t="s">
        <v>27</v>
      </c>
      <c r="AA184" s="476" t="s">
        <v>249</v>
      </c>
      <c r="AB184" s="464"/>
      <c r="AC184" s="467"/>
      <c r="AD184" s="468"/>
      <c r="AE184" s="469" t="s">
        <v>244</v>
      </c>
      <c r="AF184" s="470" t="s">
        <v>245</v>
      </c>
      <c r="AG184" s="471" t="s">
        <v>26</v>
      </c>
      <c r="AH184" s="472" t="s">
        <v>246</v>
      </c>
      <c r="AI184" s="473" t="s">
        <v>247</v>
      </c>
      <c r="AJ184" s="474" t="s">
        <v>248</v>
      </c>
      <c r="AK184" s="475" t="s">
        <v>27</v>
      </c>
      <c r="AL184" s="476" t="s">
        <v>249</v>
      </c>
      <c r="AM184" s="5"/>
      <c r="AN184" s="467"/>
      <c r="AO184" s="468"/>
      <c r="AP184" s="469" t="s">
        <v>244</v>
      </c>
      <c r="AQ184" s="470" t="s">
        <v>245</v>
      </c>
      <c r="AR184" s="471" t="s">
        <v>26</v>
      </c>
      <c r="AS184" s="472" t="s">
        <v>246</v>
      </c>
      <c r="AT184" s="473" t="s">
        <v>247</v>
      </c>
      <c r="AU184" s="474" t="s">
        <v>248</v>
      </c>
      <c r="AV184" s="475" t="s">
        <v>27</v>
      </c>
      <c r="AW184" s="476" t="s">
        <v>249</v>
      </c>
      <c r="AX184" s="2"/>
      <c r="AY184" s="2"/>
      <c r="AZ184" s="2"/>
      <c r="BA184" s="2"/>
      <c r="BB184" s="2"/>
      <c r="BC184" s="2"/>
      <c r="BD184" s="2"/>
      <c r="BE184" s="2"/>
      <c r="BF184" s="2"/>
      <c r="BG184" s="2"/>
      <c r="BH184" s="2"/>
    </row>
    <row r="185" ht="12.75" customHeight="1">
      <c r="A185" s="1"/>
      <c r="B185" s="2"/>
      <c r="C185" s="347" t="s">
        <v>26</v>
      </c>
      <c r="D185" s="348"/>
      <c r="E185" s="3"/>
      <c r="F185" s="2"/>
      <c r="G185" s="2"/>
      <c r="H185" s="2"/>
      <c r="I185" s="6"/>
      <c r="J185" s="5"/>
      <c r="K185" s="5"/>
      <c r="L185" s="3"/>
      <c r="M185" s="3"/>
      <c r="N185" s="351"/>
      <c r="O185" s="2"/>
      <c r="P185" s="2"/>
      <c r="Q185" s="327" t="b">
        <f>Q186=Q187</f>
        <v>0</v>
      </c>
      <c r="R185" s="477" t="s">
        <v>250</v>
      </c>
      <c r="S185" s="478" t="s">
        <v>251</v>
      </c>
      <c r="T185" s="479"/>
      <c r="U185" s="480">
        <f t="shared" ref="U185:U189" si="106">$X$173</f>
        <v>4</v>
      </c>
      <c r="V185" s="481" t="str">
        <f t="shared" ref="V185:V188" si="107">AC$176</f>
        <v>#REF!</v>
      </c>
      <c r="W185" s="479"/>
      <c r="X185" s="479"/>
      <c r="Y185" s="482"/>
      <c r="Z185" s="483" t="str">
        <f t="shared" ref="Z185:Z188" si="108">Y185*V185*U185*W$183</f>
        <v>#REF!</v>
      </c>
      <c r="AA185" s="484"/>
      <c r="AB185" s="327" t="b">
        <f>AB186=AB187</f>
        <v>0</v>
      </c>
      <c r="AC185" s="477" t="s">
        <v>250</v>
      </c>
      <c r="AD185" s="478" t="s">
        <v>251</v>
      </c>
      <c r="AE185" s="479"/>
      <c r="AF185" s="480">
        <f t="shared" ref="AF185:AF186" si="109">$X$173</f>
        <v>4</v>
      </c>
      <c r="AG185" s="485" t="str">
        <f t="shared" ref="AG185:AG186" si="110">AN$176</f>
        <v/>
      </c>
      <c r="AH185" s="479"/>
      <c r="AI185" s="479"/>
      <c r="AJ185" s="482"/>
      <c r="AK185" s="483">
        <f t="shared" ref="AK185:AK186" si="111">AJ185*AG185*AF185*AH$183</f>
        <v>0</v>
      </c>
      <c r="AL185" s="484"/>
      <c r="AM185" s="5"/>
      <c r="AN185" s="477" t="s">
        <v>250</v>
      </c>
      <c r="AO185" s="478" t="s">
        <v>251</v>
      </c>
      <c r="AP185" s="479"/>
      <c r="AQ185" s="480">
        <f t="shared" ref="AQ185:AQ186" si="112">$X$173</f>
        <v>4</v>
      </c>
      <c r="AR185" s="485" t="str">
        <f t="shared" ref="AR185:AR186" si="113">AY$176</f>
        <v/>
      </c>
      <c r="AS185" s="479"/>
      <c r="AT185" s="479"/>
      <c r="AU185" s="482"/>
      <c r="AV185" s="483">
        <f t="shared" ref="AV185:AV186" si="114">AU185*AR185*AQ185*AS$183</f>
        <v>0</v>
      </c>
      <c r="AW185" s="484"/>
      <c r="AX185" s="2"/>
      <c r="AY185" s="2"/>
      <c r="AZ185" s="2"/>
      <c r="BA185" s="2"/>
      <c r="BB185" s="2"/>
      <c r="BC185" s="2"/>
      <c r="BD185" s="2"/>
      <c r="BE185" s="2"/>
      <c r="BF185" s="2"/>
      <c r="BG185" s="2"/>
      <c r="BH185" s="2"/>
    </row>
    <row r="186" ht="12.75" customHeight="1">
      <c r="A186" s="1"/>
      <c r="B186" s="2"/>
      <c r="C186" s="359" t="s">
        <v>188</v>
      </c>
      <c r="D186" s="348"/>
      <c r="E186" s="3"/>
      <c r="F186" s="2"/>
      <c r="G186" s="2"/>
      <c r="H186" s="2"/>
      <c r="I186" s="360"/>
      <c r="J186" s="360"/>
      <c r="K186" s="360"/>
      <c r="L186" s="361"/>
      <c r="M186" s="361"/>
      <c r="N186" s="351"/>
      <c r="O186" s="2"/>
      <c r="P186" s="2"/>
      <c r="Q186" s="1">
        <f>COUNTIF(T188:T282,"&gt;0")</f>
        <v>24</v>
      </c>
      <c r="R186" s="486" t="s">
        <v>252</v>
      </c>
      <c r="S186" s="487" t="s">
        <v>55</v>
      </c>
      <c r="T186" s="488">
        <v>67.16</v>
      </c>
      <c r="U186" s="489">
        <f t="shared" si="106"/>
        <v>4</v>
      </c>
      <c r="V186" s="490" t="str">
        <f t="shared" si="107"/>
        <v>#REF!</v>
      </c>
      <c r="W186" s="491">
        <f>(20/6)*$X$173</f>
        <v>13.33333333</v>
      </c>
      <c r="X186" s="489">
        <f t="shared" ref="X186:X189" si="116">W186*W$183</f>
        <v>106.6666667</v>
      </c>
      <c r="Y186" s="492">
        <f t="shared" ref="Y186:Y188" si="117">ROUNDUP(T186/X186,2)</f>
        <v>0.63</v>
      </c>
      <c r="Z186" s="493" t="str">
        <f t="shared" si="108"/>
        <v>#REF!</v>
      </c>
      <c r="AA186" s="494" t="str">
        <f t="shared" ref="AA186:AA274" si="118">iferror(Z186/T186,"")</f>
        <v/>
      </c>
      <c r="AB186" s="1">
        <f>countif(AE186:AE228,"&gt;0")</f>
        <v>8</v>
      </c>
      <c r="AC186" s="486" t="s">
        <v>149</v>
      </c>
      <c r="AD186" s="487" t="s">
        <v>41</v>
      </c>
      <c r="AE186" s="488" t="str">
        <f t="shared" ref="AE186:AE235" si="119">sumif($D$13:$D$148,AC186,$Q$13:$Q$148)</f>
        <v>#REF!</v>
      </c>
      <c r="AF186" s="489">
        <f t="shared" si="109"/>
        <v>4</v>
      </c>
      <c r="AG186" s="495" t="str">
        <f t="shared" si="110"/>
        <v/>
      </c>
      <c r="AH186" s="491">
        <f>(30/4)*$X$173</f>
        <v>30</v>
      </c>
      <c r="AI186" s="489">
        <f>AH186*AH$183</f>
        <v>240</v>
      </c>
      <c r="AJ186" s="492" t="str">
        <f>ROUNDUP(AE186/AI186,2)</f>
        <v>#REF!</v>
      </c>
      <c r="AK186" s="493" t="str">
        <f t="shared" si="111"/>
        <v>#REF!</v>
      </c>
      <c r="AL186" s="494" t="str">
        <f t="shared" ref="AL186:AL235" si="120">iferror(AK186/AE186,"")</f>
        <v/>
      </c>
      <c r="AM186" s="5"/>
      <c r="AN186" s="486" t="s">
        <v>301</v>
      </c>
      <c r="AO186" s="487" t="s">
        <v>41</v>
      </c>
      <c r="AP186" s="488">
        <f t="shared" ref="AP186:AP266" si="121">sumif($D$13:$D$148,AN186,$Q$13:$Q$148)</f>
        <v>0</v>
      </c>
      <c r="AQ186" s="489">
        <f t="shared" si="112"/>
        <v>4</v>
      </c>
      <c r="AR186" s="495" t="str">
        <f t="shared" si="113"/>
        <v/>
      </c>
      <c r="AS186" s="491">
        <f>(15/4)*$X$173</f>
        <v>15</v>
      </c>
      <c r="AT186" s="489">
        <f>AS186*AS$183</f>
        <v>120</v>
      </c>
      <c r="AU186" s="492">
        <f>ROUNDUP(AP186/AT186,2)</f>
        <v>0</v>
      </c>
      <c r="AV186" s="493">
        <f t="shared" si="114"/>
        <v>0</v>
      </c>
      <c r="AW186" s="494" t="str">
        <f t="shared" ref="AW186:AW266" si="122">iferror(AV186/AP186,"")</f>
        <v/>
      </c>
      <c r="AX186" s="5"/>
      <c r="AY186" s="5"/>
      <c r="AZ186" s="5"/>
      <c r="BA186" s="5"/>
      <c r="BB186" s="5"/>
      <c r="BC186" s="5"/>
      <c r="BD186" s="5"/>
      <c r="BE186" s="5"/>
      <c r="BF186" s="5"/>
      <c r="BG186" s="5"/>
      <c r="BH186" s="5"/>
    </row>
    <row r="187" ht="12.75" customHeight="1">
      <c r="A187" s="1"/>
      <c r="B187" s="2"/>
      <c r="C187" s="365" t="s">
        <v>189</v>
      </c>
      <c r="D187" s="366"/>
      <c r="E187" s="367"/>
      <c r="F187" s="368"/>
      <c r="G187" s="368"/>
      <c r="H187" s="368"/>
      <c r="I187" s="369">
        <f t="shared" ref="I187:M187" si="115">I185*I184*I186</f>
        <v>0</v>
      </c>
      <c r="J187" s="369">
        <f t="shared" si="115"/>
        <v>0</v>
      </c>
      <c r="K187" s="370">
        <f t="shared" si="115"/>
        <v>0</v>
      </c>
      <c r="L187" s="371">
        <f t="shared" si="115"/>
        <v>0</v>
      </c>
      <c r="M187" s="371">
        <f t="shared" si="115"/>
        <v>0</v>
      </c>
      <c r="N187" s="372">
        <f>SUM(I187:M187)</f>
        <v>0</v>
      </c>
      <c r="O187" s="2"/>
      <c r="Q187" s="1">
        <f>COUNTA(Q188:Q216)</f>
        <v>28</v>
      </c>
      <c r="R187" s="486" t="s">
        <v>253</v>
      </c>
      <c r="S187" s="487" t="s">
        <v>55</v>
      </c>
      <c r="T187" s="488">
        <v>10.0</v>
      </c>
      <c r="U187" s="489">
        <f t="shared" si="106"/>
        <v>4</v>
      </c>
      <c r="V187" s="490" t="str">
        <f t="shared" si="107"/>
        <v>#REF!</v>
      </c>
      <c r="W187" s="491">
        <f>(3/6)*$X$173</f>
        <v>2</v>
      </c>
      <c r="X187" s="489">
        <f t="shared" si="116"/>
        <v>16</v>
      </c>
      <c r="Y187" s="492">
        <f t="shared" si="117"/>
        <v>0.63</v>
      </c>
      <c r="Z187" s="493" t="str">
        <f t="shared" si="108"/>
        <v>#REF!</v>
      </c>
      <c r="AA187" s="494" t="str">
        <f t="shared" si="118"/>
        <v/>
      </c>
      <c r="AB187" s="1">
        <f>COUNTA(AB188:AB216)</f>
        <v>12</v>
      </c>
      <c r="AC187" s="486" t="s">
        <v>153</v>
      </c>
      <c r="AD187" s="487" t="s">
        <v>52</v>
      </c>
      <c r="AE187" s="488" t="str">
        <f t="shared" si="119"/>
        <v>#REF!</v>
      </c>
      <c r="AF187" s="496"/>
      <c r="AG187" s="495"/>
      <c r="AH187" s="496"/>
      <c r="AI187" s="496"/>
      <c r="AJ187" s="496"/>
      <c r="AK187" s="497"/>
      <c r="AL187" s="494" t="str">
        <f t="shared" si="120"/>
        <v/>
      </c>
      <c r="AM187" s="5"/>
      <c r="AN187" s="486" t="s">
        <v>302</v>
      </c>
      <c r="AO187" s="487" t="s">
        <v>52</v>
      </c>
      <c r="AP187" s="488">
        <f t="shared" si="121"/>
        <v>0</v>
      </c>
      <c r="AQ187" s="496"/>
      <c r="AR187" s="495"/>
      <c r="AS187" s="496"/>
      <c r="AT187" s="496"/>
      <c r="AU187" s="496"/>
      <c r="AV187" s="497"/>
      <c r="AW187" s="494" t="str">
        <f t="shared" si="122"/>
        <v/>
      </c>
      <c r="AX187" s="5"/>
      <c r="AY187" s="5"/>
      <c r="AZ187" s="5"/>
      <c r="BA187" s="5"/>
      <c r="BB187" s="5"/>
      <c r="BC187" s="5"/>
      <c r="BD187" s="5"/>
      <c r="BE187" s="5"/>
      <c r="BF187" s="5"/>
      <c r="BG187" s="5"/>
      <c r="BH187" s="5"/>
    </row>
    <row r="188" ht="12.75" customHeight="1">
      <c r="A188" s="1"/>
      <c r="B188" s="2"/>
      <c r="C188" s="376"/>
      <c r="D188" s="348"/>
      <c r="E188" s="3"/>
      <c r="F188" s="2"/>
      <c r="G188" s="2"/>
      <c r="H188" s="2"/>
      <c r="I188" s="6"/>
      <c r="J188" s="313"/>
      <c r="K188" s="5"/>
      <c r="L188" s="3"/>
      <c r="M188" s="3"/>
      <c r="N188" s="351"/>
      <c r="O188" s="2"/>
      <c r="P188" s="578"/>
      <c r="Q188" s="477" t="str">
        <f t="array" ref="Q188:Q216">UNIQUE(D17:D126)</f>
        <v>R-Sheeting</v>
      </c>
      <c r="R188" s="477" t="s">
        <v>303</v>
      </c>
      <c r="S188" s="487" t="s">
        <v>41</v>
      </c>
      <c r="T188" s="488">
        <f t="shared" ref="T188:T274" si="123">sumif($D$13:$D$148,R188,$Q$13:$Q$148)</f>
        <v>0</v>
      </c>
      <c r="U188" s="489">
        <f t="shared" si="106"/>
        <v>4</v>
      </c>
      <c r="V188" s="490" t="str">
        <f t="shared" si="107"/>
        <v>#REF!</v>
      </c>
      <c r="W188" s="491">
        <f>(30/4)*$X$173</f>
        <v>30</v>
      </c>
      <c r="X188" s="489">
        <f t="shared" si="116"/>
        <v>240</v>
      </c>
      <c r="Y188" s="492">
        <f t="shared" si="117"/>
        <v>0</v>
      </c>
      <c r="Z188" s="493" t="str">
        <f t="shared" si="108"/>
        <v>#REF!</v>
      </c>
      <c r="AA188" s="494" t="str">
        <f t="shared" si="118"/>
        <v/>
      </c>
      <c r="AB188" s="579" t="str">
        <f t="array" ref="AB188:AB200">UNIQUE(D127:D148)</f>
        <v/>
      </c>
      <c r="AC188" s="486" t="s">
        <v>164</v>
      </c>
      <c r="AD188" s="487" t="s">
        <v>52</v>
      </c>
      <c r="AE188" s="488">
        <f t="shared" si="119"/>
        <v>26</v>
      </c>
      <c r="AF188" s="496"/>
      <c r="AG188" s="495"/>
      <c r="AH188" s="496"/>
      <c r="AI188" s="496"/>
      <c r="AJ188" s="496"/>
      <c r="AK188" s="497"/>
      <c r="AL188" s="494">
        <f t="shared" si="120"/>
        <v>0</v>
      </c>
      <c r="AM188" s="5"/>
      <c r="AN188" s="486" t="s">
        <v>304</v>
      </c>
      <c r="AO188" s="487" t="s">
        <v>52</v>
      </c>
      <c r="AP188" s="488">
        <f t="shared" si="121"/>
        <v>0</v>
      </c>
      <c r="AQ188" s="496"/>
      <c r="AR188" s="495"/>
      <c r="AS188" s="496"/>
      <c r="AT188" s="496"/>
      <c r="AU188" s="496"/>
      <c r="AV188" s="497"/>
      <c r="AW188" s="494" t="str">
        <f t="shared" si="122"/>
        <v/>
      </c>
      <c r="AX188" s="5"/>
      <c r="AY188" s="5"/>
      <c r="AZ188" s="5"/>
      <c r="BA188" s="5"/>
      <c r="BB188" s="5"/>
      <c r="BC188" s="5"/>
      <c r="BD188" s="5"/>
      <c r="BE188" s="5"/>
      <c r="BF188" s="5"/>
      <c r="BG188" s="5"/>
      <c r="BH188" s="5"/>
    </row>
    <row r="189" ht="12.75" customHeight="1">
      <c r="A189" s="1"/>
      <c r="B189" s="12" t="s">
        <v>176</v>
      </c>
      <c r="C189" s="412" t="s">
        <v>254</v>
      </c>
      <c r="D189" s="330"/>
      <c r="E189" s="331"/>
      <c r="F189" s="332"/>
      <c r="G189" s="332"/>
      <c r="H189" s="332"/>
      <c r="I189" s="333" t="s">
        <v>255</v>
      </c>
      <c r="J189" s="334" t="s">
        <v>248</v>
      </c>
      <c r="K189" s="335" t="s">
        <v>256</v>
      </c>
      <c r="L189" s="336" t="s">
        <v>26</v>
      </c>
      <c r="M189" s="414"/>
      <c r="N189" s="381" t="str">
        <f>SUM(N190:N194)</f>
        <v>#REF!</v>
      </c>
      <c r="O189" s="2"/>
      <c r="P189" s="578"/>
      <c r="Q189" s="477"/>
      <c r="R189" s="580" t="s">
        <v>51</v>
      </c>
      <c r="S189" s="487" t="s">
        <v>52</v>
      </c>
      <c r="T189" s="488">
        <f t="shared" si="123"/>
        <v>3508.707513</v>
      </c>
      <c r="U189" s="489">
        <f t="shared" si="106"/>
        <v>4</v>
      </c>
      <c r="V189" s="495"/>
      <c r="W189" s="496"/>
      <c r="X189" s="489">
        <f t="shared" si="116"/>
        <v>0</v>
      </c>
      <c r="Y189" s="496"/>
      <c r="Z189" s="497"/>
      <c r="AA189" s="494">
        <f t="shared" si="118"/>
        <v>0</v>
      </c>
      <c r="AB189" s="579" t="s">
        <v>149</v>
      </c>
      <c r="AC189" s="486" t="s">
        <v>163</v>
      </c>
      <c r="AD189" s="487" t="s">
        <v>52</v>
      </c>
      <c r="AE189" s="488">
        <f t="shared" si="119"/>
        <v>36</v>
      </c>
      <c r="AF189" s="496"/>
      <c r="AG189" s="495"/>
      <c r="AH189" s="496"/>
      <c r="AI189" s="496"/>
      <c r="AJ189" s="496"/>
      <c r="AK189" s="497"/>
      <c r="AL189" s="494">
        <f t="shared" si="120"/>
        <v>0</v>
      </c>
      <c r="AM189" s="5"/>
      <c r="AN189" s="486" t="s">
        <v>305</v>
      </c>
      <c r="AO189" s="487" t="s">
        <v>52</v>
      </c>
      <c r="AP189" s="488">
        <f t="shared" si="121"/>
        <v>0</v>
      </c>
      <c r="AQ189" s="496"/>
      <c r="AR189" s="495"/>
      <c r="AS189" s="496"/>
      <c r="AT189" s="496"/>
      <c r="AU189" s="496"/>
      <c r="AV189" s="497"/>
      <c r="AW189" s="494" t="str">
        <f t="shared" si="122"/>
        <v/>
      </c>
      <c r="AX189" s="5"/>
      <c r="AY189" s="5"/>
      <c r="AZ189" s="5"/>
      <c r="BA189" s="5"/>
      <c r="BB189" s="5"/>
      <c r="BC189" s="5"/>
      <c r="BD189" s="5"/>
      <c r="BE189" s="5"/>
      <c r="BF189" s="5"/>
      <c r="BG189" s="5"/>
      <c r="BH189" s="5"/>
    </row>
    <row r="190" ht="12.75" customHeight="1">
      <c r="A190" s="1"/>
      <c r="B190" s="2"/>
      <c r="C190" s="499" t="s">
        <v>257</v>
      </c>
      <c r="D190" s="366"/>
      <c r="E190" s="367"/>
      <c r="F190" s="368"/>
      <c r="G190" s="368"/>
      <c r="H190" s="368"/>
      <c r="I190" s="437">
        <v>1.0</v>
      </c>
      <c r="J190" s="500" t="str">
        <f>W175</f>
        <v>#REF!</v>
      </c>
      <c r="K190" s="501">
        <v>0.5</v>
      </c>
      <c r="L190" s="371">
        <v>45.0</v>
      </c>
      <c r="M190" s="401">
        <v>1.0</v>
      </c>
      <c r="N190" s="372" t="str">
        <f t="shared" ref="N190:N193" si="124">M190*L190*K190*J190*I190</f>
        <v>#REF!</v>
      </c>
      <c r="O190" s="2"/>
      <c r="P190" s="578"/>
      <c r="Q190" s="477" t="s">
        <v>45</v>
      </c>
      <c r="R190" s="486" t="s">
        <v>306</v>
      </c>
      <c r="S190" s="487" t="s">
        <v>52</v>
      </c>
      <c r="T190" s="488">
        <f t="shared" si="123"/>
        <v>0</v>
      </c>
      <c r="U190" s="496"/>
      <c r="V190" s="495"/>
      <c r="W190" s="496"/>
      <c r="X190" s="496"/>
      <c r="Y190" s="496"/>
      <c r="Z190" s="497"/>
      <c r="AA190" s="494" t="str">
        <f t="shared" si="118"/>
        <v/>
      </c>
      <c r="AB190" s="579" t="s">
        <v>153</v>
      </c>
      <c r="AC190" s="486" t="s">
        <v>154</v>
      </c>
      <c r="AD190" s="487" t="s">
        <v>41</v>
      </c>
      <c r="AE190" s="488">
        <f t="shared" si="119"/>
        <v>229.3056818</v>
      </c>
      <c r="AF190" s="489">
        <f t="shared" ref="AF190:AF194" si="125">$X$173</f>
        <v>4</v>
      </c>
      <c r="AG190" s="495" t="str">
        <f t="shared" ref="AG190:AG194" si="126">AN$176</f>
        <v/>
      </c>
      <c r="AH190" s="491">
        <f>(100/4)*$X$173</f>
        <v>100</v>
      </c>
      <c r="AI190" s="489">
        <f t="shared" ref="AI190:AI194" si="127">AH190*AH$183</f>
        <v>800</v>
      </c>
      <c r="AJ190" s="492">
        <f t="shared" ref="AJ190:AJ194" si="128">ROUNDUP(AE190/AI190,2)</f>
        <v>0.29</v>
      </c>
      <c r="AK190" s="493">
        <f t="shared" ref="AK190:AK194" si="129">AJ190*AG190*AF190*AH$183</f>
        <v>0</v>
      </c>
      <c r="AL190" s="494">
        <f t="shared" si="120"/>
        <v>0</v>
      </c>
      <c r="AM190" s="5"/>
      <c r="AN190" s="486" t="s">
        <v>307</v>
      </c>
      <c r="AO190" s="487" t="s">
        <v>41</v>
      </c>
      <c r="AP190" s="488">
        <f t="shared" si="121"/>
        <v>0</v>
      </c>
      <c r="AQ190" s="489">
        <f t="shared" ref="AQ190:AQ194" si="130">$X$173</f>
        <v>4</v>
      </c>
      <c r="AR190" s="495" t="str">
        <f t="shared" ref="AR190:AR194" si="131">AY$176</f>
        <v/>
      </c>
      <c r="AS190" s="491">
        <f>(50/4)*$X$173</f>
        <v>50</v>
      </c>
      <c r="AT190" s="489">
        <f t="shared" ref="AT190:AT194" si="132">AS190*AS$183</f>
        <v>400</v>
      </c>
      <c r="AU190" s="492">
        <f t="shared" ref="AU190:AU194" si="133">ROUNDUP(AP190/AT190,2)</f>
        <v>0</v>
      </c>
      <c r="AV190" s="493">
        <f t="shared" ref="AV190:AV194" si="134">AU190*AR190*AQ190*AS$183</f>
        <v>0</v>
      </c>
      <c r="AW190" s="494" t="str">
        <f t="shared" si="122"/>
        <v/>
      </c>
      <c r="AX190" s="5"/>
      <c r="AY190" s="5"/>
      <c r="AZ190" s="5"/>
      <c r="BA190" s="5"/>
      <c r="BB190" s="5"/>
      <c r="BC190" s="5"/>
      <c r="BD190" s="5"/>
      <c r="BE190" s="5"/>
      <c r="BF190" s="5"/>
      <c r="BG190" s="5"/>
      <c r="BH190" s="5"/>
    </row>
    <row r="191" ht="12.75" customHeight="1">
      <c r="A191" s="1"/>
      <c r="B191" s="2"/>
      <c r="C191" s="499" t="s">
        <v>258</v>
      </c>
      <c r="D191" s="366"/>
      <c r="E191" s="367"/>
      <c r="F191" s="368"/>
      <c r="G191" s="368"/>
      <c r="H191" s="368"/>
      <c r="I191" s="437">
        <v>1.0</v>
      </c>
      <c r="J191" s="500" t="str">
        <f>J190</f>
        <v>#REF!</v>
      </c>
      <c r="K191" s="501">
        <v>0.5</v>
      </c>
      <c r="L191" s="371">
        <f>32*1.25</f>
        <v>40</v>
      </c>
      <c r="M191" s="401">
        <v>1.0</v>
      </c>
      <c r="N191" s="372" t="str">
        <f t="shared" si="124"/>
        <v>#REF!</v>
      </c>
      <c r="O191" s="2"/>
      <c r="P191" s="578"/>
      <c r="Q191" s="477" t="s">
        <v>51</v>
      </c>
      <c r="R191" s="486" t="s">
        <v>308</v>
      </c>
      <c r="S191" s="487" t="s">
        <v>52</v>
      </c>
      <c r="T191" s="488">
        <f t="shared" si="123"/>
        <v>0</v>
      </c>
      <c r="U191" s="496"/>
      <c r="V191" s="495"/>
      <c r="W191" s="496"/>
      <c r="X191" s="496"/>
      <c r="Y191" s="496"/>
      <c r="Z191" s="497"/>
      <c r="AA191" s="494" t="str">
        <f t="shared" si="118"/>
        <v/>
      </c>
      <c r="AB191" s="579" t="s">
        <v>154</v>
      </c>
      <c r="AC191" s="486" t="s">
        <v>155</v>
      </c>
      <c r="AD191" s="487" t="s">
        <v>55</v>
      </c>
      <c r="AE191" s="488" t="str">
        <f t="shared" si="119"/>
        <v>#REF!</v>
      </c>
      <c r="AF191" s="489">
        <f t="shared" si="125"/>
        <v>4</v>
      </c>
      <c r="AG191" s="495" t="str">
        <f t="shared" si="126"/>
        <v/>
      </c>
      <c r="AH191" s="491">
        <f>(20/1)*$X$173</f>
        <v>80</v>
      </c>
      <c r="AI191" s="489">
        <f t="shared" si="127"/>
        <v>640</v>
      </c>
      <c r="AJ191" s="492" t="str">
        <f t="shared" si="128"/>
        <v>#REF!</v>
      </c>
      <c r="AK191" s="493" t="str">
        <f t="shared" si="129"/>
        <v>#REF!</v>
      </c>
      <c r="AL191" s="494" t="str">
        <f t="shared" si="120"/>
        <v/>
      </c>
      <c r="AM191" s="5"/>
      <c r="AN191" s="486" t="s">
        <v>309</v>
      </c>
      <c r="AO191" s="487" t="s">
        <v>55</v>
      </c>
      <c r="AP191" s="488">
        <f t="shared" si="121"/>
        <v>0</v>
      </c>
      <c r="AQ191" s="489">
        <f t="shared" si="130"/>
        <v>4</v>
      </c>
      <c r="AR191" s="495" t="str">
        <f t="shared" si="131"/>
        <v/>
      </c>
      <c r="AS191" s="491">
        <f>(20/1)*$X$173</f>
        <v>80</v>
      </c>
      <c r="AT191" s="489">
        <f t="shared" si="132"/>
        <v>640</v>
      </c>
      <c r="AU191" s="492">
        <f t="shared" si="133"/>
        <v>0</v>
      </c>
      <c r="AV191" s="493">
        <f t="shared" si="134"/>
        <v>0</v>
      </c>
      <c r="AW191" s="494" t="str">
        <f t="shared" si="122"/>
        <v/>
      </c>
      <c r="AX191" s="5"/>
      <c r="AY191" s="5"/>
      <c r="AZ191" s="5"/>
      <c r="BA191" s="5"/>
      <c r="BB191" s="5"/>
      <c r="BC191" s="5"/>
      <c r="BD191" s="5"/>
      <c r="BE191" s="5"/>
      <c r="BF191" s="5"/>
      <c r="BG191" s="5"/>
      <c r="BH191" s="5"/>
    </row>
    <row r="192" ht="12.75" customHeight="1">
      <c r="A192" s="1"/>
      <c r="B192" s="2"/>
      <c r="C192" s="499" t="s">
        <v>259</v>
      </c>
      <c r="D192" s="366"/>
      <c r="E192" s="367"/>
      <c r="F192" s="368"/>
      <c r="G192" s="368"/>
      <c r="H192" s="368"/>
      <c r="I192" s="437">
        <v>1.0</v>
      </c>
      <c r="J192" s="500">
        <v>1.0</v>
      </c>
      <c r="K192" s="501">
        <v>10.0</v>
      </c>
      <c r="L192" s="371">
        <f>72</f>
        <v>72</v>
      </c>
      <c r="M192" s="401">
        <v>1.0</v>
      </c>
      <c r="N192" s="372">
        <f t="shared" si="124"/>
        <v>720</v>
      </c>
      <c r="O192" s="2"/>
      <c r="P192" s="578"/>
      <c r="Q192" s="477" t="s">
        <v>60</v>
      </c>
      <c r="R192" s="486" t="s">
        <v>310</v>
      </c>
      <c r="S192" s="502" t="s">
        <v>52</v>
      </c>
      <c r="T192" s="488">
        <f t="shared" si="123"/>
        <v>0</v>
      </c>
      <c r="U192" s="489">
        <f t="shared" ref="U192:U195" si="135">$X$173</f>
        <v>4</v>
      </c>
      <c r="V192" s="490" t="str">
        <f t="shared" ref="V192:V195" si="136">AC$176</f>
        <v>#REF!</v>
      </c>
      <c r="W192" s="491">
        <f>(100/4)*$X$173</f>
        <v>100</v>
      </c>
      <c r="X192" s="489">
        <f t="shared" ref="X192:X195" si="137">W192*W$183</f>
        <v>800</v>
      </c>
      <c r="Y192" s="492">
        <f t="shared" ref="Y192:Y195" si="138">ROUNDUP(T192/X192,2)</f>
        <v>0</v>
      </c>
      <c r="Z192" s="493" t="str">
        <f t="shared" ref="Z192:Z195" si="139">Y192*V192*U192*W$183</f>
        <v>#REF!</v>
      </c>
      <c r="AA192" s="494" t="str">
        <f t="shared" si="118"/>
        <v/>
      </c>
      <c r="AB192" s="579" t="s">
        <v>155</v>
      </c>
      <c r="AC192" s="486" t="s">
        <v>311</v>
      </c>
      <c r="AD192" s="487" t="s">
        <v>41</v>
      </c>
      <c r="AE192" s="488">
        <f t="shared" si="119"/>
        <v>0</v>
      </c>
      <c r="AF192" s="489">
        <f t="shared" si="125"/>
        <v>4</v>
      </c>
      <c r="AG192" s="495" t="str">
        <f t="shared" si="126"/>
        <v/>
      </c>
      <c r="AH192" s="491">
        <f>(120/4)*$X$173</f>
        <v>120</v>
      </c>
      <c r="AI192" s="489">
        <f t="shared" si="127"/>
        <v>960</v>
      </c>
      <c r="AJ192" s="492">
        <f t="shared" si="128"/>
        <v>0</v>
      </c>
      <c r="AK192" s="493">
        <f t="shared" si="129"/>
        <v>0</v>
      </c>
      <c r="AL192" s="494" t="str">
        <f t="shared" si="120"/>
        <v/>
      </c>
      <c r="AM192" s="5"/>
      <c r="AN192" s="486" t="s">
        <v>312</v>
      </c>
      <c r="AO192" s="487" t="s">
        <v>41</v>
      </c>
      <c r="AP192" s="488">
        <f t="shared" si="121"/>
        <v>0</v>
      </c>
      <c r="AQ192" s="489">
        <f t="shared" si="130"/>
        <v>4</v>
      </c>
      <c r="AR192" s="495" t="str">
        <f t="shared" si="131"/>
        <v/>
      </c>
      <c r="AS192" s="491">
        <f>(70/4)*$X$173</f>
        <v>70</v>
      </c>
      <c r="AT192" s="489">
        <f t="shared" si="132"/>
        <v>560</v>
      </c>
      <c r="AU192" s="492">
        <f t="shared" si="133"/>
        <v>0</v>
      </c>
      <c r="AV192" s="493">
        <f t="shared" si="134"/>
        <v>0</v>
      </c>
      <c r="AW192" s="494" t="str">
        <f t="shared" si="122"/>
        <v/>
      </c>
      <c r="AX192" s="5"/>
      <c r="AY192" s="5"/>
      <c r="AZ192" s="5"/>
      <c r="BA192" s="5"/>
      <c r="BB192" s="5"/>
      <c r="BC192" s="5"/>
      <c r="BD192" s="5"/>
      <c r="BE192" s="5"/>
      <c r="BF192" s="5"/>
      <c r="BG192" s="5"/>
      <c r="BH192" s="5"/>
    </row>
    <row r="193" ht="12.75" customHeight="1">
      <c r="A193" s="1"/>
      <c r="B193" s="2"/>
      <c r="C193" s="503"/>
      <c r="D193" s="366"/>
      <c r="E193" s="367"/>
      <c r="F193" s="368"/>
      <c r="G193" s="368"/>
      <c r="H193" s="368"/>
      <c r="I193" s="437">
        <v>1.0</v>
      </c>
      <c r="J193" s="500" t="str">
        <f>J190</f>
        <v>#REF!</v>
      </c>
      <c r="K193" s="501">
        <v>0.0</v>
      </c>
      <c r="L193" s="367"/>
      <c r="M193" s="361"/>
      <c r="N193" s="372" t="str">
        <f t="shared" si="124"/>
        <v>#REF!</v>
      </c>
      <c r="O193" s="2"/>
      <c r="P193" s="2"/>
      <c r="Q193" s="477" t="s">
        <v>63</v>
      </c>
      <c r="R193" s="486" t="s">
        <v>313</v>
      </c>
      <c r="S193" s="502" t="s">
        <v>52</v>
      </c>
      <c r="T193" s="488">
        <f t="shared" si="123"/>
        <v>0</v>
      </c>
      <c r="U193" s="489">
        <f t="shared" si="135"/>
        <v>4</v>
      </c>
      <c r="V193" s="490" t="str">
        <f t="shared" si="136"/>
        <v>#REF!</v>
      </c>
      <c r="W193" s="491">
        <f>(20/1)*$X$173</f>
        <v>80</v>
      </c>
      <c r="X193" s="489">
        <f t="shared" si="137"/>
        <v>640</v>
      </c>
      <c r="Y193" s="492">
        <f t="shared" si="138"/>
        <v>0</v>
      </c>
      <c r="Z193" s="493" t="str">
        <f t="shared" si="139"/>
        <v>#REF!</v>
      </c>
      <c r="AA193" s="494" t="str">
        <f t="shared" si="118"/>
        <v/>
      </c>
      <c r="AB193" s="579" t="s">
        <v>158</v>
      </c>
      <c r="AC193" s="486" t="s">
        <v>314</v>
      </c>
      <c r="AD193" s="487" t="s">
        <v>41</v>
      </c>
      <c r="AE193" s="488">
        <f t="shared" si="119"/>
        <v>0</v>
      </c>
      <c r="AF193" s="489">
        <f t="shared" si="125"/>
        <v>4</v>
      </c>
      <c r="AG193" s="495" t="str">
        <f t="shared" si="126"/>
        <v/>
      </c>
      <c r="AH193" s="491">
        <f>(30/4)*$X$173</f>
        <v>30</v>
      </c>
      <c r="AI193" s="489">
        <f t="shared" si="127"/>
        <v>240</v>
      </c>
      <c r="AJ193" s="492">
        <f t="shared" si="128"/>
        <v>0</v>
      </c>
      <c r="AK193" s="493">
        <f t="shared" si="129"/>
        <v>0</v>
      </c>
      <c r="AL193" s="494" t="str">
        <f t="shared" si="120"/>
        <v/>
      </c>
      <c r="AM193" s="5"/>
      <c r="AN193" s="486" t="s">
        <v>315</v>
      </c>
      <c r="AO193" s="487" t="s">
        <v>41</v>
      </c>
      <c r="AP193" s="488">
        <f t="shared" si="121"/>
        <v>0</v>
      </c>
      <c r="AQ193" s="489">
        <f t="shared" si="130"/>
        <v>4</v>
      </c>
      <c r="AR193" s="495" t="str">
        <f t="shared" si="131"/>
        <v/>
      </c>
      <c r="AS193" s="491">
        <f>(15/4)*$X$173</f>
        <v>15</v>
      </c>
      <c r="AT193" s="489">
        <f t="shared" si="132"/>
        <v>120</v>
      </c>
      <c r="AU193" s="492">
        <f t="shared" si="133"/>
        <v>0</v>
      </c>
      <c r="AV193" s="493">
        <f t="shared" si="134"/>
        <v>0</v>
      </c>
      <c r="AW193" s="494" t="str">
        <f t="shared" si="122"/>
        <v/>
      </c>
      <c r="AX193" s="5"/>
      <c r="AY193" s="5"/>
      <c r="AZ193" s="5"/>
      <c r="BA193" s="5"/>
      <c r="BB193" s="5"/>
      <c r="BC193" s="5"/>
      <c r="BD193" s="5"/>
      <c r="BE193" s="5"/>
      <c r="BF193" s="5"/>
      <c r="BG193" s="5"/>
      <c r="BH193" s="5"/>
    </row>
    <row r="194" ht="12.75" customHeight="1">
      <c r="A194" s="1"/>
      <c r="B194" s="2"/>
      <c r="C194" s="376"/>
      <c r="D194" s="348"/>
      <c r="E194" s="3"/>
      <c r="F194" s="2"/>
      <c r="G194" s="2"/>
      <c r="H194" s="2"/>
      <c r="I194" s="6"/>
      <c r="J194" s="6"/>
      <c r="K194" s="5"/>
      <c r="L194" s="3"/>
      <c r="M194" s="3"/>
      <c r="N194" s="351"/>
      <c r="O194" s="2"/>
      <c r="P194" s="2"/>
      <c r="Q194" s="477" t="s">
        <v>66</v>
      </c>
      <c r="R194" s="486" t="s">
        <v>316</v>
      </c>
      <c r="S194" s="502" t="s">
        <v>52</v>
      </c>
      <c r="T194" s="488">
        <f t="shared" si="123"/>
        <v>0</v>
      </c>
      <c r="U194" s="489">
        <f t="shared" si="135"/>
        <v>4</v>
      </c>
      <c r="V194" s="490" t="str">
        <f t="shared" si="136"/>
        <v>#REF!</v>
      </c>
      <c r="W194" s="491">
        <f>(120/4)*$X$173</f>
        <v>120</v>
      </c>
      <c r="X194" s="489">
        <f t="shared" si="137"/>
        <v>960</v>
      </c>
      <c r="Y194" s="492">
        <f t="shared" si="138"/>
        <v>0</v>
      </c>
      <c r="Z194" s="493" t="str">
        <f t="shared" si="139"/>
        <v>#REF!</v>
      </c>
      <c r="AA194" s="494" t="str">
        <f t="shared" si="118"/>
        <v/>
      </c>
      <c r="AB194" s="579" t="s">
        <v>161</v>
      </c>
      <c r="AC194" s="486" t="s">
        <v>317</v>
      </c>
      <c r="AD194" s="487" t="s">
        <v>55</v>
      </c>
      <c r="AE194" s="488">
        <f t="shared" si="119"/>
        <v>0</v>
      </c>
      <c r="AF194" s="489">
        <f t="shared" si="125"/>
        <v>4</v>
      </c>
      <c r="AG194" s="495" t="str">
        <f t="shared" si="126"/>
        <v/>
      </c>
      <c r="AH194" s="491">
        <f>(20/1)*$X$173</f>
        <v>80</v>
      </c>
      <c r="AI194" s="489">
        <f t="shared" si="127"/>
        <v>640</v>
      </c>
      <c r="AJ194" s="492">
        <f t="shared" si="128"/>
        <v>0</v>
      </c>
      <c r="AK194" s="493">
        <f t="shared" si="129"/>
        <v>0</v>
      </c>
      <c r="AL194" s="494" t="str">
        <f t="shared" si="120"/>
        <v/>
      </c>
      <c r="AM194" s="5"/>
      <c r="AN194" s="486" t="s">
        <v>318</v>
      </c>
      <c r="AO194" s="487" t="s">
        <v>55</v>
      </c>
      <c r="AP194" s="488">
        <f t="shared" si="121"/>
        <v>0</v>
      </c>
      <c r="AQ194" s="489">
        <f t="shared" si="130"/>
        <v>4</v>
      </c>
      <c r="AR194" s="495" t="str">
        <f t="shared" si="131"/>
        <v/>
      </c>
      <c r="AS194" s="491">
        <f>(20/1)*$X$173</f>
        <v>80</v>
      </c>
      <c r="AT194" s="489">
        <f t="shared" si="132"/>
        <v>640</v>
      </c>
      <c r="AU194" s="492">
        <f t="shared" si="133"/>
        <v>0</v>
      </c>
      <c r="AV194" s="493">
        <f t="shared" si="134"/>
        <v>0</v>
      </c>
      <c r="AW194" s="494" t="str">
        <f t="shared" si="122"/>
        <v/>
      </c>
      <c r="AX194" s="5"/>
      <c r="AY194" s="5"/>
      <c r="AZ194" s="5"/>
      <c r="BA194" s="5"/>
      <c r="BB194" s="5"/>
      <c r="BC194" s="5"/>
      <c r="BD194" s="5"/>
      <c r="BE194" s="5"/>
      <c r="BF194" s="5"/>
      <c r="BG194" s="5"/>
      <c r="BH194" s="5"/>
    </row>
    <row r="195" ht="12.75" customHeight="1">
      <c r="A195" s="1"/>
      <c r="B195" s="12" t="s">
        <v>176</v>
      </c>
      <c r="C195" s="329" t="s">
        <v>260</v>
      </c>
      <c r="D195" s="330"/>
      <c r="E195" s="331"/>
      <c r="F195" s="332"/>
      <c r="G195" s="332"/>
      <c r="H195" s="332"/>
      <c r="I195" s="333" t="s">
        <v>18</v>
      </c>
      <c r="J195" s="334" t="s">
        <v>15</v>
      </c>
      <c r="K195" s="335" t="s">
        <v>26</v>
      </c>
      <c r="L195" s="414"/>
      <c r="M195" s="414"/>
      <c r="N195" s="381" t="str">
        <f>SUM(N196:N206)</f>
        <v>#REF!</v>
      </c>
      <c r="O195" s="2"/>
      <c r="P195" s="2"/>
      <c r="Q195" s="477" t="s">
        <v>69</v>
      </c>
      <c r="R195" s="486" t="s">
        <v>130</v>
      </c>
      <c r="S195" s="502" t="s">
        <v>55</v>
      </c>
      <c r="T195" s="488">
        <f t="shared" si="123"/>
        <v>112.78</v>
      </c>
      <c r="U195" s="489">
        <f t="shared" si="135"/>
        <v>4</v>
      </c>
      <c r="V195" s="490" t="str">
        <f t="shared" si="136"/>
        <v>#REF!</v>
      </c>
      <c r="W195" s="491">
        <f>(30/4)*$X$173</f>
        <v>30</v>
      </c>
      <c r="X195" s="489">
        <f t="shared" si="137"/>
        <v>240</v>
      </c>
      <c r="Y195" s="492">
        <f t="shared" si="138"/>
        <v>0.47</v>
      </c>
      <c r="Z195" s="493" t="str">
        <f t="shared" si="139"/>
        <v>#REF!</v>
      </c>
      <c r="AA195" s="494" t="str">
        <f t="shared" si="118"/>
        <v/>
      </c>
      <c r="AB195" s="579" t="s">
        <v>162</v>
      </c>
      <c r="AC195" s="486" t="s">
        <v>319</v>
      </c>
      <c r="AD195" s="487" t="s">
        <v>52</v>
      </c>
      <c r="AE195" s="488">
        <f t="shared" si="119"/>
        <v>0</v>
      </c>
      <c r="AF195" s="496"/>
      <c r="AG195" s="495"/>
      <c r="AH195" s="496"/>
      <c r="AI195" s="496"/>
      <c r="AJ195" s="496"/>
      <c r="AK195" s="497"/>
      <c r="AL195" s="494" t="str">
        <f t="shared" si="120"/>
        <v/>
      </c>
      <c r="AM195" s="5"/>
      <c r="AN195" s="486" t="s">
        <v>320</v>
      </c>
      <c r="AO195" s="487" t="s">
        <v>52</v>
      </c>
      <c r="AP195" s="488">
        <f t="shared" si="121"/>
        <v>0</v>
      </c>
      <c r="AQ195" s="496"/>
      <c r="AR195" s="495"/>
      <c r="AS195" s="496"/>
      <c r="AT195" s="496"/>
      <c r="AU195" s="496"/>
      <c r="AV195" s="497"/>
      <c r="AW195" s="494" t="str">
        <f t="shared" si="122"/>
        <v/>
      </c>
      <c r="AX195" s="5"/>
      <c r="AY195" s="5"/>
      <c r="AZ195" s="5"/>
      <c r="BA195" s="5"/>
      <c r="BB195" s="5"/>
      <c r="BC195" s="5"/>
      <c r="BD195" s="5"/>
      <c r="BE195" s="5"/>
      <c r="BF195" s="5"/>
      <c r="BG195" s="5"/>
      <c r="BH195" s="5"/>
    </row>
    <row r="196" ht="12.75" customHeight="1">
      <c r="A196" s="1"/>
      <c r="B196" s="2"/>
      <c r="C196" s="499" t="s">
        <v>261</v>
      </c>
      <c r="D196" s="366"/>
      <c r="E196" s="367"/>
      <c r="F196" s="368"/>
      <c r="G196" s="368"/>
      <c r="H196" s="368"/>
      <c r="I196" s="437">
        <f>X173</f>
        <v>4</v>
      </c>
      <c r="J196" s="504">
        <v>1.0</v>
      </c>
      <c r="K196" s="505" t="str">
        <f>X175</f>
        <v/>
      </c>
      <c r="L196" s="371" t="str">
        <f>W175</f>
        <v>#REF!</v>
      </c>
      <c r="M196" s="361"/>
      <c r="N196" s="372" t="str">
        <f t="shared" ref="N196:N198" si="140">I196*J196*K196*M196*L196</f>
        <v>#REF!</v>
      </c>
      <c r="O196" s="2"/>
      <c r="P196" s="2"/>
      <c r="Q196" s="477" t="s">
        <v>82</v>
      </c>
      <c r="R196" s="486" t="s">
        <v>321</v>
      </c>
      <c r="S196" s="487" t="s">
        <v>52</v>
      </c>
      <c r="T196" s="488">
        <f t="shared" si="123"/>
        <v>0</v>
      </c>
      <c r="U196" s="496"/>
      <c r="V196" s="495"/>
      <c r="W196" s="496"/>
      <c r="X196" s="496"/>
      <c r="Y196" s="496"/>
      <c r="Z196" s="497"/>
      <c r="AA196" s="494" t="str">
        <f t="shared" si="118"/>
        <v/>
      </c>
      <c r="AB196" s="579" t="s">
        <v>163</v>
      </c>
      <c r="AC196" s="486" t="s">
        <v>322</v>
      </c>
      <c r="AD196" s="487" t="s">
        <v>52</v>
      </c>
      <c r="AE196" s="488">
        <f t="shared" si="119"/>
        <v>0</v>
      </c>
      <c r="AF196" s="496"/>
      <c r="AG196" s="495"/>
      <c r="AH196" s="496"/>
      <c r="AI196" s="496"/>
      <c r="AJ196" s="496"/>
      <c r="AK196" s="497"/>
      <c r="AL196" s="494" t="str">
        <f t="shared" si="120"/>
        <v/>
      </c>
      <c r="AM196" s="5"/>
      <c r="AN196" s="486" t="s">
        <v>323</v>
      </c>
      <c r="AO196" s="487" t="s">
        <v>52</v>
      </c>
      <c r="AP196" s="488">
        <f t="shared" si="121"/>
        <v>0</v>
      </c>
      <c r="AQ196" s="496"/>
      <c r="AR196" s="495"/>
      <c r="AS196" s="496"/>
      <c r="AT196" s="496"/>
      <c r="AU196" s="496"/>
      <c r="AV196" s="497"/>
      <c r="AW196" s="494" t="str">
        <f t="shared" si="122"/>
        <v/>
      </c>
      <c r="AX196" s="5"/>
      <c r="AY196" s="5"/>
      <c r="AZ196" s="5"/>
      <c r="BA196" s="5"/>
      <c r="BB196" s="5"/>
      <c r="BC196" s="5"/>
      <c r="BD196" s="5"/>
      <c r="BE196" s="5"/>
      <c r="BF196" s="5"/>
      <c r="BG196" s="5"/>
      <c r="BH196" s="5"/>
    </row>
    <row r="197" ht="12.75" customHeight="1">
      <c r="A197" s="1"/>
      <c r="B197" s="2"/>
      <c r="C197" s="499" t="s">
        <v>262</v>
      </c>
      <c r="D197" s="366"/>
      <c r="E197" s="367"/>
      <c r="F197" s="368"/>
      <c r="G197" s="368"/>
      <c r="H197" s="368"/>
      <c r="I197" s="437">
        <f>I196</f>
        <v>4</v>
      </c>
      <c r="J197" s="506">
        <v>68.0</v>
      </c>
      <c r="K197" s="370">
        <v>1.0</v>
      </c>
      <c r="L197" s="371" t="str">
        <f>L196</f>
        <v>#REF!</v>
      </c>
      <c r="M197" s="361"/>
      <c r="N197" s="372" t="str">
        <f t="shared" si="140"/>
        <v>#REF!</v>
      </c>
      <c r="O197" s="2"/>
      <c r="P197" s="2"/>
      <c r="Q197" s="477" t="s">
        <v>86</v>
      </c>
      <c r="R197" s="486" t="s">
        <v>324</v>
      </c>
      <c r="S197" s="487" t="s">
        <v>52</v>
      </c>
      <c r="T197" s="488">
        <f t="shared" si="123"/>
        <v>0</v>
      </c>
      <c r="U197" s="496"/>
      <c r="V197" s="495"/>
      <c r="W197" s="496"/>
      <c r="X197" s="496"/>
      <c r="Y197" s="496"/>
      <c r="Z197" s="497"/>
      <c r="AA197" s="494" t="str">
        <f t="shared" si="118"/>
        <v/>
      </c>
      <c r="AB197" s="579" t="s">
        <v>164</v>
      </c>
      <c r="AC197" s="486" t="s">
        <v>325</v>
      </c>
      <c r="AD197" s="487" t="s">
        <v>55</v>
      </c>
      <c r="AE197" s="488">
        <f t="shared" si="119"/>
        <v>0</v>
      </c>
      <c r="AF197" s="489">
        <f t="shared" ref="AF197:AF201" si="141">$X$173</f>
        <v>4</v>
      </c>
      <c r="AG197" s="495" t="str">
        <f t="shared" ref="AG197:AG201" si="142">AN$176</f>
        <v/>
      </c>
      <c r="AH197" s="491">
        <f t="shared" ref="AH197:AH201" si="143">(20/1)*$X$173</f>
        <v>80</v>
      </c>
      <c r="AI197" s="489">
        <f t="shared" ref="AI197:AI201" si="144">AH197*AH$183</f>
        <v>640</v>
      </c>
      <c r="AJ197" s="492">
        <f t="shared" ref="AJ197:AJ201" si="145">ROUNDUP(AE197/AI197,2)</f>
        <v>0</v>
      </c>
      <c r="AK197" s="493">
        <f t="shared" ref="AK197:AK201" si="146">AJ197*AG197*AF197*AH$183</f>
        <v>0</v>
      </c>
      <c r="AL197" s="494" t="str">
        <f t="shared" si="120"/>
        <v/>
      </c>
      <c r="AM197" s="5"/>
      <c r="AN197" s="486" t="s">
        <v>326</v>
      </c>
      <c r="AO197" s="487" t="s">
        <v>55</v>
      </c>
      <c r="AP197" s="488">
        <f t="shared" si="121"/>
        <v>0</v>
      </c>
      <c r="AQ197" s="489">
        <f t="shared" ref="AQ197:AQ201" si="147">$X$173</f>
        <v>4</v>
      </c>
      <c r="AR197" s="495" t="str">
        <f t="shared" ref="AR197:AR201" si="148">AY$176</f>
        <v/>
      </c>
      <c r="AS197" s="491">
        <f t="shared" ref="AS197:AS201" si="149">(20/1)*$X$173</f>
        <v>80</v>
      </c>
      <c r="AT197" s="489">
        <f t="shared" ref="AT197:AT201" si="150">AS197*AS$183</f>
        <v>640</v>
      </c>
      <c r="AU197" s="492">
        <f t="shared" ref="AU197:AU201" si="151">ROUNDUP(AP197/AT197,2)</f>
        <v>0</v>
      </c>
      <c r="AV197" s="493">
        <f t="shared" ref="AV197:AV201" si="152">AU197*AR197*AQ197*AS$183</f>
        <v>0</v>
      </c>
      <c r="AW197" s="494" t="str">
        <f t="shared" si="122"/>
        <v/>
      </c>
      <c r="AX197" s="5"/>
      <c r="AY197" s="5"/>
      <c r="AZ197" s="5"/>
      <c r="BA197" s="5"/>
      <c r="BB197" s="5"/>
      <c r="BC197" s="5"/>
      <c r="BD197" s="5"/>
      <c r="BE197" s="5"/>
      <c r="BF197" s="5"/>
      <c r="BG197" s="5"/>
      <c r="BH197" s="5"/>
    </row>
    <row r="198" ht="12.75" customHeight="1">
      <c r="A198" s="1"/>
      <c r="B198" s="2"/>
      <c r="C198" s="499" t="s">
        <v>263</v>
      </c>
      <c r="D198" s="366"/>
      <c r="E198" s="367"/>
      <c r="F198" s="368"/>
      <c r="G198" s="368"/>
      <c r="H198" s="368"/>
      <c r="I198" s="437">
        <f>X173</f>
        <v>4</v>
      </c>
      <c r="J198" s="436">
        <v>1.0</v>
      </c>
      <c r="K198" s="370">
        <v>25.0</v>
      </c>
      <c r="L198" s="371" t="str">
        <f>L196</f>
        <v>#REF!</v>
      </c>
      <c r="M198" s="361"/>
      <c r="N198" s="372" t="str">
        <f t="shared" si="140"/>
        <v>#REF!</v>
      </c>
      <c r="O198" s="2"/>
      <c r="P198" s="2"/>
      <c r="Q198" s="477" t="s">
        <v>92</v>
      </c>
      <c r="R198" s="486" t="s">
        <v>327</v>
      </c>
      <c r="S198" s="502" t="s">
        <v>52</v>
      </c>
      <c r="T198" s="488">
        <f t="shared" si="123"/>
        <v>0</v>
      </c>
      <c r="U198" s="489">
        <f t="shared" ref="U198:U202" si="153">$X$173</f>
        <v>4</v>
      </c>
      <c r="V198" s="490" t="str">
        <f t="shared" ref="V198:V202" si="154">AC$176</f>
        <v>#REF!</v>
      </c>
      <c r="W198" s="491">
        <f t="shared" ref="W198:W202" si="155">(20/1)*$X$173</f>
        <v>80</v>
      </c>
      <c r="X198" s="489">
        <f t="shared" ref="X198:X202" si="156">W198*W$183</f>
        <v>640</v>
      </c>
      <c r="Y198" s="492">
        <f t="shared" ref="Y198:Y202" si="157">ROUNDUP(T198/X198,2)</f>
        <v>0</v>
      </c>
      <c r="Z198" s="493" t="str">
        <f t="shared" ref="Z198:Z202" si="158">Y198*V198*U198*W$183</f>
        <v>#REF!</v>
      </c>
      <c r="AA198" s="494" t="str">
        <f t="shared" si="118"/>
        <v/>
      </c>
      <c r="AB198" s="579" t="s">
        <v>168</v>
      </c>
      <c r="AC198" s="486" t="s">
        <v>328</v>
      </c>
      <c r="AD198" s="487" t="s">
        <v>55</v>
      </c>
      <c r="AE198" s="488">
        <f t="shared" si="119"/>
        <v>0</v>
      </c>
      <c r="AF198" s="489">
        <f t="shared" si="141"/>
        <v>4</v>
      </c>
      <c r="AG198" s="495" t="str">
        <f t="shared" si="142"/>
        <v/>
      </c>
      <c r="AH198" s="491">
        <f t="shared" si="143"/>
        <v>80</v>
      </c>
      <c r="AI198" s="489">
        <f t="shared" si="144"/>
        <v>640</v>
      </c>
      <c r="AJ198" s="492">
        <f t="shared" si="145"/>
        <v>0</v>
      </c>
      <c r="AK198" s="493">
        <f t="shared" si="146"/>
        <v>0</v>
      </c>
      <c r="AL198" s="494" t="str">
        <f t="shared" si="120"/>
        <v/>
      </c>
      <c r="AM198" s="5"/>
      <c r="AN198" s="486" t="s">
        <v>329</v>
      </c>
      <c r="AO198" s="487" t="s">
        <v>55</v>
      </c>
      <c r="AP198" s="488">
        <f t="shared" si="121"/>
        <v>0</v>
      </c>
      <c r="AQ198" s="489">
        <f t="shared" si="147"/>
        <v>4</v>
      </c>
      <c r="AR198" s="495" t="str">
        <f t="shared" si="148"/>
        <v/>
      </c>
      <c r="AS198" s="491">
        <f t="shared" si="149"/>
        <v>80</v>
      </c>
      <c r="AT198" s="489">
        <f t="shared" si="150"/>
        <v>640</v>
      </c>
      <c r="AU198" s="492">
        <f t="shared" si="151"/>
        <v>0</v>
      </c>
      <c r="AV198" s="493">
        <f t="shared" si="152"/>
        <v>0</v>
      </c>
      <c r="AW198" s="494" t="str">
        <f t="shared" si="122"/>
        <v/>
      </c>
      <c r="AX198" s="5"/>
      <c r="AY198" s="5"/>
      <c r="AZ198" s="5"/>
      <c r="BA198" s="5"/>
      <c r="BB198" s="5"/>
      <c r="BC198" s="5"/>
      <c r="BD198" s="5"/>
      <c r="BE198" s="5"/>
      <c r="BF198" s="5"/>
      <c r="BG198" s="5"/>
      <c r="BH198" s="5"/>
    </row>
    <row r="199" ht="12.75" customHeight="1">
      <c r="A199" s="1"/>
      <c r="B199" s="2"/>
      <c r="C199" s="376"/>
      <c r="D199" s="348"/>
      <c r="E199" s="3"/>
      <c r="F199" s="2"/>
      <c r="G199" s="2"/>
      <c r="H199" s="2"/>
      <c r="I199" s="6"/>
      <c r="J199" s="6"/>
      <c r="K199" s="5"/>
      <c r="L199" s="3"/>
      <c r="M199" s="3"/>
      <c r="N199" s="351"/>
      <c r="O199" s="2"/>
      <c r="P199" s="2"/>
      <c r="Q199" s="477" t="s">
        <v>96</v>
      </c>
      <c r="R199" s="486" t="s">
        <v>139</v>
      </c>
      <c r="S199" s="502" t="s">
        <v>52</v>
      </c>
      <c r="T199" s="488">
        <f t="shared" si="123"/>
        <v>24</v>
      </c>
      <c r="U199" s="489">
        <f t="shared" si="153"/>
        <v>4</v>
      </c>
      <c r="V199" s="490" t="str">
        <f t="shared" si="154"/>
        <v>#REF!</v>
      </c>
      <c r="W199" s="491">
        <f t="shared" si="155"/>
        <v>80</v>
      </c>
      <c r="X199" s="489">
        <f t="shared" si="156"/>
        <v>640</v>
      </c>
      <c r="Y199" s="492">
        <f t="shared" si="157"/>
        <v>0.04</v>
      </c>
      <c r="Z199" s="493" t="str">
        <f t="shared" si="158"/>
        <v>#REF!</v>
      </c>
      <c r="AA199" s="494" t="str">
        <f t="shared" si="118"/>
        <v/>
      </c>
      <c r="AB199" s="579" t="s">
        <v>170</v>
      </c>
      <c r="AC199" s="486" t="s">
        <v>330</v>
      </c>
      <c r="AD199" s="487" t="s">
        <v>55</v>
      </c>
      <c r="AE199" s="488">
        <f t="shared" si="119"/>
        <v>0</v>
      </c>
      <c r="AF199" s="489">
        <f t="shared" si="141"/>
        <v>4</v>
      </c>
      <c r="AG199" s="495" t="str">
        <f t="shared" si="142"/>
        <v/>
      </c>
      <c r="AH199" s="491">
        <f t="shared" si="143"/>
        <v>80</v>
      </c>
      <c r="AI199" s="489">
        <f t="shared" si="144"/>
        <v>640</v>
      </c>
      <c r="AJ199" s="492">
        <f t="shared" si="145"/>
        <v>0</v>
      </c>
      <c r="AK199" s="493">
        <f t="shared" si="146"/>
        <v>0</v>
      </c>
      <c r="AL199" s="494" t="str">
        <f t="shared" si="120"/>
        <v/>
      </c>
      <c r="AM199" s="5"/>
      <c r="AN199" s="486" t="s">
        <v>331</v>
      </c>
      <c r="AO199" s="487" t="s">
        <v>55</v>
      </c>
      <c r="AP199" s="488">
        <f t="shared" si="121"/>
        <v>0</v>
      </c>
      <c r="AQ199" s="489">
        <f t="shared" si="147"/>
        <v>4</v>
      </c>
      <c r="AR199" s="495" t="str">
        <f t="shared" si="148"/>
        <v/>
      </c>
      <c r="AS199" s="491">
        <f t="shared" si="149"/>
        <v>80</v>
      </c>
      <c r="AT199" s="489">
        <f t="shared" si="150"/>
        <v>640</v>
      </c>
      <c r="AU199" s="492">
        <f t="shared" si="151"/>
        <v>0</v>
      </c>
      <c r="AV199" s="493">
        <f t="shared" si="152"/>
        <v>0</v>
      </c>
      <c r="AW199" s="494" t="str">
        <f t="shared" si="122"/>
        <v/>
      </c>
      <c r="AX199" s="5"/>
      <c r="AY199" s="5"/>
      <c r="AZ199" s="5"/>
      <c r="BA199" s="5"/>
      <c r="BB199" s="5"/>
      <c r="BC199" s="5"/>
      <c r="BD199" s="5"/>
      <c r="BE199" s="5"/>
      <c r="BF199" s="5"/>
      <c r="BG199" s="5"/>
      <c r="BH199" s="5"/>
    </row>
    <row r="200" ht="12.75" customHeight="1">
      <c r="A200" s="1"/>
      <c r="B200" s="2"/>
      <c r="C200" s="499" t="s">
        <v>264</v>
      </c>
      <c r="D200" s="366"/>
      <c r="E200" s="367"/>
      <c r="F200" s="368"/>
      <c r="G200" s="368"/>
      <c r="H200" s="368"/>
      <c r="I200" s="437">
        <f>X173</f>
        <v>4</v>
      </c>
      <c r="J200" s="500" t="str">
        <f>W175</f>
        <v>#REF!</v>
      </c>
      <c r="K200" s="370">
        <v>60.0</v>
      </c>
      <c r="L200" s="367"/>
      <c r="M200" s="401">
        <v>1.0</v>
      </c>
      <c r="N200" s="372" t="str">
        <f t="shared" ref="N200:N203" si="160">I200*J200*K200*M200</f>
        <v>#REF!</v>
      </c>
      <c r="O200" s="2"/>
      <c r="P200" s="2"/>
      <c r="Q200" s="477" t="s">
        <v>99</v>
      </c>
      <c r="R200" s="580" t="s">
        <v>332</v>
      </c>
      <c r="S200" s="487" t="s">
        <v>55</v>
      </c>
      <c r="T200" s="488">
        <f t="shared" si="123"/>
        <v>0</v>
      </c>
      <c r="U200" s="489">
        <f t="shared" si="153"/>
        <v>4</v>
      </c>
      <c r="V200" s="490" t="str">
        <f t="shared" si="154"/>
        <v>#REF!</v>
      </c>
      <c r="W200" s="491">
        <f t="shared" si="155"/>
        <v>80</v>
      </c>
      <c r="X200" s="489">
        <f t="shared" si="156"/>
        <v>640</v>
      </c>
      <c r="Y200" s="492">
        <f t="shared" si="157"/>
        <v>0</v>
      </c>
      <c r="Z200" s="493" t="str">
        <f t="shared" si="158"/>
        <v>#REF!</v>
      </c>
      <c r="AA200" s="494" t="str">
        <f t="shared" si="118"/>
        <v/>
      </c>
      <c r="AB200" s="579" t="s">
        <v>173</v>
      </c>
      <c r="AC200" s="486" t="s">
        <v>333</v>
      </c>
      <c r="AD200" s="487" t="s">
        <v>55</v>
      </c>
      <c r="AE200" s="488">
        <f t="shared" si="119"/>
        <v>0</v>
      </c>
      <c r="AF200" s="489">
        <f t="shared" si="141"/>
        <v>4</v>
      </c>
      <c r="AG200" s="495" t="str">
        <f t="shared" si="142"/>
        <v/>
      </c>
      <c r="AH200" s="491">
        <f t="shared" si="143"/>
        <v>80</v>
      </c>
      <c r="AI200" s="489">
        <f t="shared" si="144"/>
        <v>640</v>
      </c>
      <c r="AJ200" s="492">
        <f t="shared" si="145"/>
        <v>0</v>
      </c>
      <c r="AK200" s="493">
        <f t="shared" si="146"/>
        <v>0</v>
      </c>
      <c r="AL200" s="494" t="str">
        <f t="shared" si="120"/>
        <v/>
      </c>
      <c r="AM200" s="5"/>
      <c r="AN200" s="486" t="s">
        <v>334</v>
      </c>
      <c r="AO200" s="487" t="s">
        <v>55</v>
      </c>
      <c r="AP200" s="488">
        <f t="shared" si="121"/>
        <v>0</v>
      </c>
      <c r="AQ200" s="489">
        <f t="shared" si="147"/>
        <v>4</v>
      </c>
      <c r="AR200" s="495" t="str">
        <f t="shared" si="148"/>
        <v/>
      </c>
      <c r="AS200" s="491">
        <f t="shared" si="149"/>
        <v>80</v>
      </c>
      <c r="AT200" s="489">
        <f t="shared" si="150"/>
        <v>640</v>
      </c>
      <c r="AU200" s="492">
        <f t="shared" si="151"/>
        <v>0</v>
      </c>
      <c r="AV200" s="493">
        <f t="shared" si="152"/>
        <v>0</v>
      </c>
      <c r="AW200" s="494" t="str">
        <f t="shared" si="122"/>
        <v/>
      </c>
      <c r="AX200" s="5"/>
      <c r="AY200" s="5"/>
      <c r="AZ200" s="5"/>
      <c r="BA200" s="5"/>
      <c r="BB200" s="5"/>
      <c r="BC200" s="5"/>
      <c r="BD200" s="5"/>
      <c r="BE200" s="5"/>
      <c r="BF200" s="5"/>
      <c r="BG200" s="5"/>
      <c r="BH200" s="5"/>
    </row>
    <row r="201" ht="12.75" customHeight="1">
      <c r="A201" s="1"/>
      <c r="B201" s="2"/>
      <c r="C201" s="499" t="s">
        <v>265</v>
      </c>
      <c r="D201" s="366"/>
      <c r="E201" s="367"/>
      <c r="F201" s="368"/>
      <c r="G201" s="368"/>
      <c r="H201" s="368"/>
      <c r="I201" s="437">
        <f t="shared" ref="I201:J201" si="159">I200</f>
        <v>4</v>
      </c>
      <c r="J201" s="500" t="str">
        <f t="shared" si="159"/>
        <v>#REF!</v>
      </c>
      <c r="K201" s="370">
        <v>60.0</v>
      </c>
      <c r="L201" s="367"/>
      <c r="M201" s="401">
        <v>1.0</v>
      </c>
      <c r="N201" s="372" t="str">
        <f t="shared" si="160"/>
        <v>#REF!</v>
      </c>
      <c r="O201" s="2"/>
      <c r="P201" s="2"/>
      <c r="Q201" s="477" t="s">
        <v>101</v>
      </c>
      <c r="R201" s="486" t="s">
        <v>141</v>
      </c>
      <c r="S201" s="502" t="s">
        <v>52</v>
      </c>
      <c r="T201" s="488">
        <f t="shared" si="123"/>
        <v>10</v>
      </c>
      <c r="U201" s="489">
        <f t="shared" si="153"/>
        <v>4</v>
      </c>
      <c r="V201" s="490" t="str">
        <f t="shared" si="154"/>
        <v>#REF!</v>
      </c>
      <c r="W201" s="491">
        <f t="shared" si="155"/>
        <v>80</v>
      </c>
      <c r="X201" s="489">
        <f t="shared" si="156"/>
        <v>640</v>
      </c>
      <c r="Y201" s="492">
        <f t="shared" si="157"/>
        <v>0.02</v>
      </c>
      <c r="Z201" s="493" t="str">
        <f t="shared" si="158"/>
        <v>#REF!</v>
      </c>
      <c r="AA201" s="494" t="str">
        <f t="shared" si="118"/>
        <v/>
      </c>
      <c r="AB201" s="579"/>
      <c r="AC201" s="486" t="s">
        <v>335</v>
      </c>
      <c r="AD201" s="487" t="s">
        <v>55</v>
      </c>
      <c r="AE201" s="488">
        <f t="shared" si="119"/>
        <v>0</v>
      </c>
      <c r="AF201" s="489">
        <f t="shared" si="141"/>
        <v>4</v>
      </c>
      <c r="AG201" s="495" t="str">
        <f t="shared" si="142"/>
        <v/>
      </c>
      <c r="AH201" s="491">
        <f t="shared" si="143"/>
        <v>80</v>
      </c>
      <c r="AI201" s="489">
        <f t="shared" si="144"/>
        <v>640</v>
      </c>
      <c r="AJ201" s="492">
        <f t="shared" si="145"/>
        <v>0</v>
      </c>
      <c r="AK201" s="493">
        <f t="shared" si="146"/>
        <v>0</v>
      </c>
      <c r="AL201" s="494" t="str">
        <f t="shared" si="120"/>
        <v/>
      </c>
      <c r="AM201" s="5"/>
      <c r="AN201" s="486" t="s">
        <v>336</v>
      </c>
      <c r="AO201" s="487" t="s">
        <v>55</v>
      </c>
      <c r="AP201" s="488">
        <f t="shared" si="121"/>
        <v>0</v>
      </c>
      <c r="AQ201" s="489">
        <f t="shared" si="147"/>
        <v>4</v>
      </c>
      <c r="AR201" s="495" t="str">
        <f t="shared" si="148"/>
        <v/>
      </c>
      <c r="AS201" s="491">
        <f t="shared" si="149"/>
        <v>80</v>
      </c>
      <c r="AT201" s="489">
        <f t="shared" si="150"/>
        <v>640</v>
      </c>
      <c r="AU201" s="492">
        <f t="shared" si="151"/>
        <v>0</v>
      </c>
      <c r="AV201" s="493">
        <f t="shared" si="152"/>
        <v>0</v>
      </c>
      <c r="AW201" s="494" t="str">
        <f t="shared" si="122"/>
        <v/>
      </c>
      <c r="AX201" s="5"/>
      <c r="AY201" s="5"/>
      <c r="AZ201" s="5"/>
      <c r="BA201" s="5"/>
      <c r="BB201" s="5"/>
      <c r="BC201" s="5"/>
      <c r="BD201" s="5"/>
      <c r="BE201" s="5"/>
      <c r="BF201" s="5"/>
      <c r="BG201" s="5"/>
      <c r="BH201" s="5"/>
    </row>
    <row r="202" ht="12.75" customHeight="1">
      <c r="A202" s="1"/>
      <c r="B202" s="2"/>
      <c r="C202" s="499" t="s">
        <v>266</v>
      </c>
      <c r="D202" s="366"/>
      <c r="E202" s="367"/>
      <c r="F202" s="368"/>
      <c r="G202" s="368"/>
      <c r="H202" s="368"/>
      <c r="I202" s="437">
        <f>I200</f>
        <v>4</v>
      </c>
      <c r="J202" s="507">
        <v>1.0</v>
      </c>
      <c r="K202" s="370">
        <v>0.0</v>
      </c>
      <c r="L202" s="367"/>
      <c r="M202" s="361"/>
      <c r="N202" s="372">
        <f t="shared" si="160"/>
        <v>0</v>
      </c>
      <c r="O202" s="2"/>
      <c r="P202" s="2"/>
      <c r="Q202" s="477" t="s">
        <v>103</v>
      </c>
      <c r="R202" s="486" t="s">
        <v>337</v>
      </c>
      <c r="S202" s="487" t="s">
        <v>55</v>
      </c>
      <c r="T202" s="488">
        <f t="shared" si="123"/>
        <v>0</v>
      </c>
      <c r="U202" s="489">
        <f t="shared" si="153"/>
        <v>4</v>
      </c>
      <c r="V202" s="490" t="str">
        <f t="shared" si="154"/>
        <v>#REF!</v>
      </c>
      <c r="W202" s="491">
        <f t="shared" si="155"/>
        <v>80</v>
      </c>
      <c r="X202" s="489">
        <f t="shared" si="156"/>
        <v>640</v>
      </c>
      <c r="Y202" s="492">
        <f t="shared" si="157"/>
        <v>0</v>
      </c>
      <c r="Z202" s="493" t="str">
        <f t="shared" si="158"/>
        <v>#REF!</v>
      </c>
      <c r="AA202" s="494" t="str">
        <f t="shared" si="118"/>
        <v/>
      </c>
      <c r="AB202" s="579"/>
      <c r="AC202" s="486" t="s">
        <v>338</v>
      </c>
      <c r="AD202" s="487" t="s">
        <v>52</v>
      </c>
      <c r="AE202" s="488">
        <f t="shared" si="119"/>
        <v>0</v>
      </c>
      <c r="AF202" s="496"/>
      <c r="AG202" s="495"/>
      <c r="AH202" s="496"/>
      <c r="AI202" s="496"/>
      <c r="AJ202" s="496"/>
      <c r="AK202" s="497"/>
      <c r="AL202" s="494" t="str">
        <f t="shared" si="120"/>
        <v/>
      </c>
      <c r="AM202" s="5"/>
      <c r="AN202" s="486" t="s">
        <v>339</v>
      </c>
      <c r="AO202" s="487" t="s">
        <v>52</v>
      </c>
      <c r="AP202" s="488">
        <f t="shared" si="121"/>
        <v>0</v>
      </c>
      <c r="AQ202" s="496"/>
      <c r="AR202" s="495"/>
      <c r="AS202" s="496"/>
      <c r="AT202" s="496"/>
      <c r="AU202" s="496"/>
      <c r="AV202" s="497"/>
      <c r="AW202" s="494" t="str">
        <f t="shared" si="122"/>
        <v/>
      </c>
      <c r="AX202" s="5"/>
      <c r="AY202" s="5"/>
      <c r="AZ202" s="5"/>
      <c r="BA202" s="5"/>
      <c r="BB202" s="5"/>
      <c r="BC202" s="5"/>
      <c r="BD202" s="5"/>
      <c r="BE202" s="5"/>
      <c r="BF202" s="5"/>
      <c r="BG202" s="5"/>
      <c r="BH202" s="5"/>
    </row>
    <row r="203" ht="12.75" customHeight="1">
      <c r="A203" s="1"/>
      <c r="B203" s="2"/>
      <c r="C203" s="499" t="s">
        <v>267</v>
      </c>
      <c r="D203" s="366"/>
      <c r="E203" s="367"/>
      <c r="F203" s="368"/>
      <c r="G203" s="368"/>
      <c r="H203" s="368"/>
      <c r="I203" s="437">
        <f>I200</f>
        <v>4</v>
      </c>
      <c r="J203" s="504">
        <v>6.0</v>
      </c>
      <c r="K203" s="437" t="str">
        <f>$AC$176</f>
        <v>#REF!</v>
      </c>
      <c r="L203" s="367"/>
      <c r="M203" s="401">
        <v>2.0</v>
      </c>
      <c r="N203" s="372" t="str">
        <f t="shared" si="160"/>
        <v>#REF!</v>
      </c>
      <c r="O203" s="2"/>
      <c r="P203" s="2"/>
      <c r="Q203" s="477" t="s">
        <v>105</v>
      </c>
      <c r="R203" s="486" t="s">
        <v>120</v>
      </c>
      <c r="S203" s="502" t="s">
        <v>55</v>
      </c>
      <c r="T203" s="488">
        <f t="shared" si="123"/>
        <v>112.78</v>
      </c>
      <c r="U203" s="496"/>
      <c r="V203" s="495"/>
      <c r="W203" s="496"/>
      <c r="X203" s="496"/>
      <c r="Y203" s="496"/>
      <c r="Z203" s="497"/>
      <c r="AA203" s="494">
        <f t="shared" si="118"/>
        <v>0</v>
      </c>
      <c r="AB203" s="464"/>
      <c r="AC203" s="486" t="s">
        <v>340</v>
      </c>
      <c r="AD203" s="487" t="s">
        <v>55</v>
      </c>
      <c r="AE203" s="488">
        <f t="shared" si="119"/>
        <v>0</v>
      </c>
      <c r="AF203" s="489">
        <f t="shared" ref="AF203:AF205" si="161">$X$173</f>
        <v>4</v>
      </c>
      <c r="AG203" s="495" t="str">
        <f t="shared" ref="AG203:AG205" si="162">AN$176</f>
        <v/>
      </c>
      <c r="AH203" s="491">
        <f t="shared" ref="AH203:AH204" si="163">(20/2)*$X$173</f>
        <v>40</v>
      </c>
      <c r="AI203" s="489">
        <f t="shared" ref="AI203:AI205" si="164">AH203*AH$183</f>
        <v>320</v>
      </c>
      <c r="AJ203" s="492">
        <f t="shared" ref="AJ203:AJ205" si="165">ROUNDUP(AE203/AI203,2)</f>
        <v>0</v>
      </c>
      <c r="AK203" s="493">
        <f t="shared" ref="AK203:AK205" si="166">AJ203*AG203*AF203*AH$183</f>
        <v>0</v>
      </c>
      <c r="AL203" s="494" t="str">
        <f t="shared" si="120"/>
        <v/>
      </c>
      <c r="AM203" s="5"/>
      <c r="AN203" s="486" t="s">
        <v>341</v>
      </c>
      <c r="AO203" s="487" t="s">
        <v>55</v>
      </c>
      <c r="AP203" s="488">
        <f t="shared" si="121"/>
        <v>0</v>
      </c>
      <c r="AQ203" s="489">
        <f t="shared" ref="AQ203:AQ205" si="167">$X$173</f>
        <v>4</v>
      </c>
      <c r="AR203" s="495" t="str">
        <f t="shared" ref="AR203:AR205" si="168">AY$176</f>
        <v/>
      </c>
      <c r="AS203" s="491">
        <f t="shared" ref="AS203:AS204" si="169">(10/2)*$X$173</f>
        <v>20</v>
      </c>
      <c r="AT203" s="489">
        <f t="shared" ref="AT203:AT205" si="170">AS203*AS$183</f>
        <v>160</v>
      </c>
      <c r="AU203" s="492">
        <f t="shared" ref="AU203:AU205" si="171">ROUNDUP(AP203/AT203,2)</f>
        <v>0</v>
      </c>
      <c r="AV203" s="493">
        <f t="shared" ref="AV203:AV205" si="172">AU203*AR203*AQ203*AS$183</f>
        <v>0</v>
      </c>
      <c r="AW203" s="494" t="str">
        <f t="shared" si="122"/>
        <v/>
      </c>
      <c r="AX203" s="5"/>
      <c r="AY203" s="5"/>
      <c r="AZ203" s="5"/>
      <c r="BA203" s="5"/>
      <c r="BB203" s="5"/>
      <c r="BC203" s="5"/>
      <c r="BD203" s="5"/>
      <c r="BE203" s="5"/>
      <c r="BF203" s="5"/>
      <c r="BG203" s="5"/>
      <c r="BH203" s="5"/>
    </row>
    <row r="204" ht="12.75" customHeight="1">
      <c r="A204" s="1"/>
      <c r="B204" s="2"/>
      <c r="C204" s="499" t="s">
        <v>268</v>
      </c>
      <c r="D204" s="366"/>
      <c r="E204" s="367"/>
      <c r="F204" s="368"/>
      <c r="G204" s="368"/>
      <c r="H204" s="368"/>
      <c r="I204" s="437">
        <f t="shared" ref="I204:I205" si="173">I203</f>
        <v>4</v>
      </c>
      <c r="J204" s="504">
        <v>0.5</v>
      </c>
      <c r="K204" s="437" t="str">
        <f>K203</f>
        <v>#REF!</v>
      </c>
      <c r="L204" s="371" t="str">
        <f>L196</f>
        <v>#REF!</v>
      </c>
      <c r="M204" s="361"/>
      <c r="N204" s="372" t="str">
        <f>I204*J204*K204*M204*L204</f>
        <v>#REF!</v>
      </c>
      <c r="O204" s="2"/>
      <c r="P204" s="2"/>
      <c r="Q204" s="477" t="s">
        <v>107</v>
      </c>
      <c r="R204" s="486" t="s">
        <v>122</v>
      </c>
      <c r="S204" s="487" t="s">
        <v>55</v>
      </c>
      <c r="T204" s="488">
        <f t="shared" si="123"/>
        <v>127</v>
      </c>
      <c r="U204" s="489">
        <f t="shared" ref="U204:U206" si="174">$X$173</f>
        <v>4</v>
      </c>
      <c r="V204" s="490" t="str">
        <f t="shared" ref="V204:V206" si="175">AC$176</f>
        <v>#REF!</v>
      </c>
      <c r="W204" s="491">
        <f t="shared" ref="W204:W205" si="176">(20/2)*$X$173</f>
        <v>40</v>
      </c>
      <c r="X204" s="489">
        <f t="shared" ref="X204:X206" si="177">W204*W$183</f>
        <v>320</v>
      </c>
      <c r="Y204" s="492">
        <f t="shared" ref="Y204:Y206" si="178">ROUNDUP(T204/X204,2)</f>
        <v>0.4</v>
      </c>
      <c r="Z204" s="493" t="str">
        <f t="shared" ref="Z204:Z206" si="179">Y204*V204*U204*W$183</f>
        <v>#REF!</v>
      </c>
      <c r="AA204" s="494" t="str">
        <f t="shared" si="118"/>
        <v/>
      </c>
      <c r="AB204" s="464"/>
      <c r="AC204" s="486" t="s">
        <v>173</v>
      </c>
      <c r="AD204" s="487" t="s">
        <v>55</v>
      </c>
      <c r="AE204" s="488">
        <f t="shared" si="119"/>
        <v>103.47</v>
      </c>
      <c r="AF204" s="489">
        <f t="shared" si="161"/>
        <v>4</v>
      </c>
      <c r="AG204" s="495" t="str">
        <f t="shared" si="162"/>
        <v/>
      </c>
      <c r="AH204" s="491">
        <f t="shared" si="163"/>
        <v>40</v>
      </c>
      <c r="AI204" s="489">
        <f t="shared" si="164"/>
        <v>320</v>
      </c>
      <c r="AJ204" s="492">
        <f t="shared" si="165"/>
        <v>0.33</v>
      </c>
      <c r="AK204" s="493">
        <f t="shared" si="166"/>
        <v>0</v>
      </c>
      <c r="AL204" s="494">
        <f t="shared" si="120"/>
        <v>0</v>
      </c>
      <c r="AM204" s="5"/>
      <c r="AN204" s="486" t="s">
        <v>342</v>
      </c>
      <c r="AO204" s="487" t="s">
        <v>55</v>
      </c>
      <c r="AP204" s="488">
        <f t="shared" si="121"/>
        <v>0</v>
      </c>
      <c r="AQ204" s="489">
        <f t="shared" si="167"/>
        <v>4</v>
      </c>
      <c r="AR204" s="495" t="str">
        <f t="shared" si="168"/>
        <v/>
      </c>
      <c r="AS204" s="491">
        <f t="shared" si="169"/>
        <v>20</v>
      </c>
      <c r="AT204" s="489">
        <f t="shared" si="170"/>
        <v>160</v>
      </c>
      <c r="AU204" s="492">
        <f t="shared" si="171"/>
        <v>0</v>
      </c>
      <c r="AV204" s="493">
        <f t="shared" si="172"/>
        <v>0</v>
      </c>
      <c r="AW204" s="494" t="str">
        <f t="shared" si="122"/>
        <v/>
      </c>
      <c r="AX204" s="5"/>
      <c r="AY204" s="5"/>
      <c r="AZ204" s="5"/>
      <c r="BA204" s="5"/>
      <c r="BB204" s="5"/>
      <c r="BC204" s="5"/>
      <c r="BD204" s="5"/>
      <c r="BE204" s="5"/>
      <c r="BF204" s="5"/>
      <c r="BG204" s="5"/>
      <c r="BH204" s="5"/>
    </row>
    <row r="205" ht="12.75" customHeight="1">
      <c r="A205" s="1"/>
      <c r="B205" s="2"/>
      <c r="C205" s="499" t="s">
        <v>269</v>
      </c>
      <c r="D205" s="366"/>
      <c r="E205" s="367"/>
      <c r="F205" s="368"/>
      <c r="G205" s="368"/>
      <c r="H205" s="368"/>
      <c r="I205" s="437">
        <f t="shared" si="173"/>
        <v>4</v>
      </c>
      <c r="J205" s="506">
        <v>500.0</v>
      </c>
      <c r="K205" s="370">
        <v>0.33</v>
      </c>
      <c r="L205" s="367"/>
      <c r="M205" s="401">
        <v>2.0</v>
      </c>
      <c r="N205" s="372">
        <f>I205*J205*K205*M205</f>
        <v>1320</v>
      </c>
      <c r="O205" s="2"/>
      <c r="P205" s="2"/>
      <c r="Q205" s="477" t="s">
        <v>111</v>
      </c>
      <c r="R205" s="486" t="s">
        <v>123</v>
      </c>
      <c r="S205" s="487" t="s">
        <v>55</v>
      </c>
      <c r="T205" s="488">
        <f t="shared" si="123"/>
        <v>382</v>
      </c>
      <c r="U205" s="489">
        <f t="shared" si="174"/>
        <v>4</v>
      </c>
      <c r="V205" s="490" t="str">
        <f t="shared" si="175"/>
        <v>#REF!</v>
      </c>
      <c r="W205" s="491">
        <f t="shared" si="176"/>
        <v>40</v>
      </c>
      <c r="X205" s="489">
        <f t="shared" si="177"/>
        <v>320</v>
      </c>
      <c r="Y205" s="492">
        <f t="shared" si="178"/>
        <v>1.2</v>
      </c>
      <c r="Z205" s="493" t="str">
        <f t="shared" si="179"/>
        <v>#REF!</v>
      </c>
      <c r="AA205" s="494" t="str">
        <f t="shared" si="118"/>
        <v/>
      </c>
      <c r="AB205" s="464"/>
      <c r="AC205" s="486" t="s">
        <v>343</v>
      </c>
      <c r="AD205" s="487" t="s">
        <v>55</v>
      </c>
      <c r="AE205" s="488">
        <f t="shared" si="119"/>
        <v>0</v>
      </c>
      <c r="AF205" s="489">
        <f t="shared" si="161"/>
        <v>4</v>
      </c>
      <c r="AG205" s="495" t="str">
        <f t="shared" si="162"/>
        <v/>
      </c>
      <c r="AH205" s="491">
        <f>(6/2)*$X$173</f>
        <v>12</v>
      </c>
      <c r="AI205" s="489">
        <f t="shared" si="164"/>
        <v>96</v>
      </c>
      <c r="AJ205" s="492">
        <f t="shared" si="165"/>
        <v>0</v>
      </c>
      <c r="AK205" s="493">
        <f t="shared" si="166"/>
        <v>0</v>
      </c>
      <c r="AL205" s="494" t="str">
        <f t="shared" si="120"/>
        <v/>
      </c>
      <c r="AM205" s="5"/>
      <c r="AN205" s="486" t="s">
        <v>344</v>
      </c>
      <c r="AO205" s="487" t="s">
        <v>55</v>
      </c>
      <c r="AP205" s="488">
        <f t="shared" si="121"/>
        <v>0</v>
      </c>
      <c r="AQ205" s="489">
        <f t="shared" si="167"/>
        <v>4</v>
      </c>
      <c r="AR205" s="495" t="str">
        <f t="shared" si="168"/>
        <v/>
      </c>
      <c r="AS205" s="491">
        <f>(3/2)*$X$173</f>
        <v>6</v>
      </c>
      <c r="AT205" s="489">
        <f t="shared" si="170"/>
        <v>48</v>
      </c>
      <c r="AU205" s="492">
        <f t="shared" si="171"/>
        <v>0</v>
      </c>
      <c r="AV205" s="493">
        <f t="shared" si="172"/>
        <v>0</v>
      </c>
      <c r="AW205" s="494" t="str">
        <f t="shared" si="122"/>
        <v/>
      </c>
      <c r="AX205" s="5"/>
      <c r="AY205" s="5"/>
      <c r="AZ205" s="5"/>
      <c r="BA205" s="5"/>
      <c r="BB205" s="5"/>
      <c r="BC205" s="5"/>
      <c r="BD205" s="5"/>
      <c r="BE205" s="5"/>
      <c r="BF205" s="5"/>
      <c r="BG205" s="5"/>
      <c r="BH205" s="5"/>
    </row>
    <row r="206" ht="12.75" customHeight="1">
      <c r="A206" s="1"/>
      <c r="B206" s="2"/>
      <c r="C206" s="376"/>
      <c r="D206" s="348"/>
      <c r="E206" s="3"/>
      <c r="F206" s="2"/>
      <c r="G206" s="2"/>
      <c r="H206" s="2"/>
      <c r="I206" s="2"/>
      <c r="J206" s="2"/>
      <c r="K206" s="328"/>
      <c r="L206" s="3"/>
      <c r="M206" s="3"/>
      <c r="N206" s="351"/>
      <c r="O206" s="2"/>
      <c r="P206" s="2"/>
      <c r="Q206" s="477" t="s">
        <v>120</v>
      </c>
      <c r="R206" s="486" t="s">
        <v>345</v>
      </c>
      <c r="S206" s="487" t="s">
        <v>55</v>
      </c>
      <c r="T206" s="488">
        <f t="shared" si="123"/>
        <v>0</v>
      </c>
      <c r="U206" s="489">
        <f t="shared" si="174"/>
        <v>4</v>
      </c>
      <c r="V206" s="490" t="str">
        <f t="shared" si="175"/>
        <v>#REF!</v>
      </c>
      <c r="W206" s="491">
        <f>(6/2)*$X$173</f>
        <v>12</v>
      </c>
      <c r="X206" s="489">
        <f t="shared" si="177"/>
        <v>96</v>
      </c>
      <c r="Y206" s="492">
        <f t="shared" si="178"/>
        <v>0</v>
      </c>
      <c r="Z206" s="493" t="str">
        <f t="shared" si="179"/>
        <v>#REF!</v>
      </c>
      <c r="AA206" s="494" t="str">
        <f t="shared" si="118"/>
        <v/>
      </c>
      <c r="AB206" s="508"/>
      <c r="AC206" s="486" t="s">
        <v>346</v>
      </c>
      <c r="AD206" s="487" t="s">
        <v>52</v>
      </c>
      <c r="AE206" s="488">
        <f t="shared" si="119"/>
        <v>0</v>
      </c>
      <c r="AF206" s="496"/>
      <c r="AG206" s="495"/>
      <c r="AH206" s="496"/>
      <c r="AI206" s="496"/>
      <c r="AJ206" s="496"/>
      <c r="AK206" s="497"/>
      <c r="AL206" s="494" t="str">
        <f t="shared" si="120"/>
        <v/>
      </c>
      <c r="AM206" s="5"/>
      <c r="AN206" s="486" t="s">
        <v>347</v>
      </c>
      <c r="AO206" s="487" t="s">
        <v>52</v>
      </c>
      <c r="AP206" s="488">
        <f t="shared" si="121"/>
        <v>0</v>
      </c>
      <c r="AQ206" s="496"/>
      <c r="AR206" s="495"/>
      <c r="AS206" s="496"/>
      <c r="AT206" s="496"/>
      <c r="AU206" s="496"/>
      <c r="AV206" s="497"/>
      <c r="AW206" s="494" t="str">
        <f t="shared" si="122"/>
        <v/>
      </c>
      <c r="AX206" s="5"/>
      <c r="AY206" s="5"/>
      <c r="AZ206" s="5"/>
      <c r="BA206" s="5"/>
      <c r="BB206" s="5"/>
      <c r="BC206" s="5"/>
      <c r="BD206" s="5"/>
      <c r="BE206" s="5"/>
      <c r="BF206" s="5"/>
      <c r="BG206" s="5"/>
      <c r="BH206" s="5"/>
    </row>
    <row r="207" ht="12.75" customHeight="1">
      <c r="A207" s="1"/>
      <c r="B207" s="12" t="s">
        <v>176</v>
      </c>
      <c r="C207" s="329" t="s">
        <v>270</v>
      </c>
      <c r="D207" s="330"/>
      <c r="E207" s="331"/>
      <c r="F207" s="332"/>
      <c r="G207" s="332"/>
      <c r="H207" s="332"/>
      <c r="I207" s="333" t="s">
        <v>18</v>
      </c>
      <c r="J207" s="334" t="s">
        <v>15</v>
      </c>
      <c r="K207" s="335" t="s">
        <v>26</v>
      </c>
      <c r="L207" s="414"/>
      <c r="M207" s="414"/>
      <c r="N207" s="381">
        <f>SUM(N208:N222)</f>
        <v>7820</v>
      </c>
      <c r="O207" s="5"/>
      <c r="P207" s="2"/>
      <c r="Q207" s="477" t="s">
        <v>122</v>
      </c>
      <c r="R207" s="486" t="s">
        <v>348</v>
      </c>
      <c r="S207" s="487" t="s">
        <v>52</v>
      </c>
      <c r="T207" s="488">
        <f t="shared" si="123"/>
        <v>0</v>
      </c>
      <c r="U207" s="496"/>
      <c r="V207" s="495"/>
      <c r="W207" s="496"/>
      <c r="X207" s="496"/>
      <c r="Y207" s="496"/>
      <c r="Z207" s="497"/>
      <c r="AA207" s="494" t="str">
        <f t="shared" si="118"/>
        <v/>
      </c>
      <c r="AB207" s="508"/>
      <c r="AC207" s="486" t="s">
        <v>349</v>
      </c>
      <c r="AD207" s="487" t="s">
        <v>55</v>
      </c>
      <c r="AE207" s="488">
        <f t="shared" si="119"/>
        <v>0</v>
      </c>
      <c r="AF207" s="489">
        <f t="shared" ref="AF207:AF215" si="180">$X$173</f>
        <v>4</v>
      </c>
      <c r="AG207" s="495" t="str">
        <f t="shared" ref="AG207:AG215" si="181">AN$176</f>
        <v/>
      </c>
      <c r="AH207" s="491">
        <f t="shared" ref="AH207:AH208" si="182">(20/1)*$X$173</f>
        <v>80</v>
      </c>
      <c r="AI207" s="489">
        <f t="shared" ref="AI207:AI215" si="183">AH207*AH$183</f>
        <v>640</v>
      </c>
      <c r="AJ207" s="492">
        <f t="shared" ref="AJ207:AJ215" si="184">ROUNDUP(AE207/AI207,2)</f>
        <v>0</v>
      </c>
      <c r="AK207" s="493">
        <f t="shared" ref="AK207:AK215" si="185">AJ207*AG207*AF207*AH$183</f>
        <v>0</v>
      </c>
      <c r="AL207" s="494" t="str">
        <f t="shared" si="120"/>
        <v/>
      </c>
      <c r="AM207" s="5"/>
      <c r="AN207" s="486" t="s">
        <v>350</v>
      </c>
      <c r="AO207" s="487" t="s">
        <v>55</v>
      </c>
      <c r="AP207" s="488">
        <f t="shared" si="121"/>
        <v>0</v>
      </c>
      <c r="AQ207" s="489">
        <f t="shared" ref="AQ207:AQ215" si="186">$X$173</f>
        <v>4</v>
      </c>
      <c r="AR207" s="495" t="str">
        <f t="shared" ref="AR207:AR215" si="187">AY$176</f>
        <v/>
      </c>
      <c r="AS207" s="491">
        <f t="shared" ref="AS207:AS208" si="188">(20/1)*$X$173</f>
        <v>80</v>
      </c>
      <c r="AT207" s="489">
        <f t="shared" ref="AT207:AT215" si="189">AS207*AS$183</f>
        <v>640</v>
      </c>
      <c r="AU207" s="492">
        <f t="shared" ref="AU207:AU215" si="190">ROUNDUP(AP207/AT207,2)</f>
        <v>0</v>
      </c>
      <c r="AV207" s="493">
        <f t="shared" ref="AV207:AV215" si="191">AU207*AR207*AQ207*AS$183</f>
        <v>0</v>
      </c>
      <c r="AW207" s="494" t="str">
        <f t="shared" si="122"/>
        <v/>
      </c>
      <c r="AX207" s="5"/>
      <c r="AY207" s="5"/>
      <c r="AZ207" s="5"/>
      <c r="BA207" s="5"/>
      <c r="BB207" s="5"/>
      <c r="BC207" s="5"/>
      <c r="BD207" s="5"/>
      <c r="BE207" s="5"/>
      <c r="BF207" s="5"/>
      <c r="BG207" s="5"/>
      <c r="BH207" s="5"/>
    </row>
    <row r="208" ht="12.75" customHeight="1">
      <c r="A208" s="1"/>
      <c r="B208" s="2"/>
      <c r="C208" s="499" t="s">
        <v>271</v>
      </c>
      <c r="D208" s="366"/>
      <c r="E208" s="367"/>
      <c r="F208" s="368"/>
      <c r="G208" s="368"/>
      <c r="H208" s="368"/>
      <c r="I208" s="437">
        <v>2.0</v>
      </c>
      <c r="J208" s="504">
        <v>3.0</v>
      </c>
      <c r="K208" s="370">
        <v>750.0</v>
      </c>
      <c r="L208" s="367"/>
      <c r="M208" s="401">
        <v>0.0</v>
      </c>
      <c r="N208" s="372">
        <f t="shared" ref="N208:N211" si="192">M208*K208*J208*I208</f>
        <v>0</v>
      </c>
      <c r="O208" s="2"/>
      <c r="P208" s="2"/>
      <c r="Q208" s="477" t="s">
        <v>123</v>
      </c>
      <c r="R208" s="486" t="s">
        <v>351</v>
      </c>
      <c r="S208" s="487" t="s">
        <v>52</v>
      </c>
      <c r="T208" s="488">
        <f t="shared" si="123"/>
        <v>0</v>
      </c>
      <c r="U208" s="496"/>
      <c r="V208" s="495"/>
      <c r="W208" s="496"/>
      <c r="X208" s="496"/>
      <c r="Y208" s="496"/>
      <c r="Z208" s="497"/>
      <c r="AA208" s="494" t="str">
        <f t="shared" si="118"/>
        <v/>
      </c>
      <c r="AB208" s="508"/>
      <c r="AC208" s="486" t="s">
        <v>352</v>
      </c>
      <c r="AD208" s="487" t="s">
        <v>55</v>
      </c>
      <c r="AE208" s="488">
        <f t="shared" si="119"/>
        <v>0</v>
      </c>
      <c r="AF208" s="489">
        <f t="shared" si="180"/>
        <v>4</v>
      </c>
      <c r="AG208" s="495" t="str">
        <f t="shared" si="181"/>
        <v/>
      </c>
      <c r="AH208" s="491">
        <f t="shared" si="182"/>
        <v>80</v>
      </c>
      <c r="AI208" s="489">
        <f t="shared" si="183"/>
        <v>640</v>
      </c>
      <c r="AJ208" s="492">
        <f t="shared" si="184"/>
        <v>0</v>
      </c>
      <c r="AK208" s="493">
        <f t="shared" si="185"/>
        <v>0</v>
      </c>
      <c r="AL208" s="494" t="str">
        <f t="shared" si="120"/>
        <v/>
      </c>
      <c r="AM208" s="5"/>
      <c r="AN208" s="486" t="s">
        <v>336</v>
      </c>
      <c r="AO208" s="487" t="s">
        <v>55</v>
      </c>
      <c r="AP208" s="488">
        <f t="shared" si="121"/>
        <v>0</v>
      </c>
      <c r="AQ208" s="489">
        <f t="shared" si="186"/>
        <v>4</v>
      </c>
      <c r="AR208" s="495" t="str">
        <f t="shared" si="187"/>
        <v/>
      </c>
      <c r="AS208" s="491">
        <f t="shared" si="188"/>
        <v>80</v>
      </c>
      <c r="AT208" s="489">
        <f t="shared" si="189"/>
        <v>640</v>
      </c>
      <c r="AU208" s="492">
        <f t="shared" si="190"/>
        <v>0</v>
      </c>
      <c r="AV208" s="493">
        <f t="shared" si="191"/>
        <v>0</v>
      </c>
      <c r="AW208" s="494" t="str">
        <f t="shared" si="122"/>
        <v/>
      </c>
      <c r="AX208" s="5"/>
      <c r="AY208" s="5"/>
      <c r="AZ208" s="5"/>
      <c r="BA208" s="5"/>
      <c r="BB208" s="5"/>
      <c r="BC208" s="5"/>
      <c r="BD208" s="5"/>
      <c r="BE208" s="5"/>
      <c r="BF208" s="5"/>
      <c r="BG208" s="5"/>
      <c r="BH208" s="5"/>
    </row>
    <row r="209" ht="12.75" customHeight="1">
      <c r="A209" s="1"/>
      <c r="B209" s="2"/>
      <c r="C209" s="499" t="s">
        <v>272</v>
      </c>
      <c r="D209" s="366"/>
      <c r="E209" s="367"/>
      <c r="F209" s="368"/>
      <c r="G209" s="368"/>
      <c r="H209" s="368"/>
      <c r="I209" s="437">
        <v>1.0</v>
      </c>
      <c r="J209" s="504">
        <v>10.0</v>
      </c>
      <c r="K209" s="370">
        <v>750.0</v>
      </c>
      <c r="L209" s="367"/>
      <c r="M209" s="401">
        <v>0.0</v>
      </c>
      <c r="N209" s="372">
        <f t="shared" si="192"/>
        <v>0</v>
      </c>
      <c r="O209" s="2"/>
      <c r="P209" s="2"/>
      <c r="Q209" s="477" t="s">
        <v>124</v>
      </c>
      <c r="R209" s="486" t="s">
        <v>353</v>
      </c>
      <c r="S209" s="487" t="s">
        <v>55</v>
      </c>
      <c r="T209" s="488">
        <f t="shared" si="123"/>
        <v>0</v>
      </c>
      <c r="U209" s="489">
        <f t="shared" ref="U209:U217" si="193">$X$173</f>
        <v>4</v>
      </c>
      <c r="V209" s="490" t="str">
        <f t="shared" ref="V209:V217" si="194">AC$176</f>
        <v>#REF!</v>
      </c>
      <c r="W209" s="491">
        <f t="shared" ref="W209:W210" si="195">(20/1)*$X$173</f>
        <v>80</v>
      </c>
      <c r="X209" s="489">
        <f t="shared" ref="X209:X217" si="196">W209*W$183</f>
        <v>640</v>
      </c>
      <c r="Y209" s="492">
        <f t="shared" ref="Y209:Y217" si="197">ROUNDUP(T209/X209,2)</f>
        <v>0</v>
      </c>
      <c r="Z209" s="493" t="str">
        <f t="shared" ref="Z209:Z217" si="198">Y209*V209*U209*W$183</f>
        <v>#REF!</v>
      </c>
      <c r="AA209" s="494" t="str">
        <f t="shared" si="118"/>
        <v/>
      </c>
      <c r="AB209" s="508"/>
      <c r="AC209" s="486" t="s">
        <v>162</v>
      </c>
      <c r="AD209" s="487" t="s">
        <v>52</v>
      </c>
      <c r="AE209" s="488">
        <f t="shared" si="119"/>
        <v>0.25</v>
      </c>
      <c r="AF209" s="489">
        <f t="shared" si="180"/>
        <v>4</v>
      </c>
      <c r="AG209" s="495" t="str">
        <f t="shared" si="181"/>
        <v/>
      </c>
      <c r="AH209" s="491">
        <f>(2/2)*$X$173</f>
        <v>4</v>
      </c>
      <c r="AI209" s="489">
        <f t="shared" si="183"/>
        <v>32</v>
      </c>
      <c r="AJ209" s="492">
        <f t="shared" si="184"/>
        <v>0.01</v>
      </c>
      <c r="AK209" s="493">
        <f t="shared" si="185"/>
        <v>0</v>
      </c>
      <c r="AL209" s="494">
        <f t="shared" si="120"/>
        <v>0</v>
      </c>
      <c r="AM209" s="5"/>
      <c r="AN209" s="486" t="s">
        <v>354</v>
      </c>
      <c r="AO209" s="487" t="s">
        <v>52</v>
      </c>
      <c r="AP209" s="488">
        <f t="shared" si="121"/>
        <v>0</v>
      </c>
      <c r="AQ209" s="489">
        <f t="shared" si="186"/>
        <v>4</v>
      </c>
      <c r="AR209" s="495" t="str">
        <f t="shared" si="187"/>
        <v/>
      </c>
      <c r="AS209" s="491">
        <f>(1/2)*$X$173</f>
        <v>2</v>
      </c>
      <c r="AT209" s="489">
        <f t="shared" si="189"/>
        <v>16</v>
      </c>
      <c r="AU209" s="492">
        <f t="shared" si="190"/>
        <v>0</v>
      </c>
      <c r="AV209" s="493">
        <f t="shared" si="191"/>
        <v>0</v>
      </c>
      <c r="AW209" s="494" t="str">
        <f t="shared" si="122"/>
        <v/>
      </c>
      <c r="AX209" s="5"/>
      <c r="AY209" s="5"/>
      <c r="AZ209" s="5"/>
      <c r="BA209" s="5"/>
      <c r="BB209" s="5"/>
      <c r="BC209" s="5"/>
      <c r="BD209" s="5"/>
      <c r="BE209" s="5"/>
      <c r="BF209" s="5"/>
      <c r="BG209" s="5"/>
      <c r="BH209" s="5"/>
    </row>
    <row r="210" ht="12.75" customHeight="1">
      <c r="A210" s="1"/>
      <c r="B210" s="2"/>
      <c r="C210" s="499" t="s">
        <v>273</v>
      </c>
      <c r="D210" s="366"/>
      <c r="E210" s="367"/>
      <c r="F210" s="368"/>
      <c r="G210" s="368"/>
      <c r="H210" s="368"/>
      <c r="I210" s="437">
        <v>1.0</v>
      </c>
      <c r="J210" s="504">
        <f>J209</f>
        <v>10</v>
      </c>
      <c r="K210" s="370">
        <v>95.0</v>
      </c>
      <c r="L210" s="367"/>
      <c r="M210" s="401">
        <v>0.0</v>
      </c>
      <c r="N210" s="372">
        <f t="shared" si="192"/>
        <v>0</v>
      </c>
      <c r="O210" s="2"/>
      <c r="P210" s="2"/>
      <c r="Q210" s="477" t="s">
        <v>126</v>
      </c>
      <c r="R210" s="486" t="s">
        <v>126</v>
      </c>
      <c r="S210" s="487" t="s">
        <v>55</v>
      </c>
      <c r="T210" s="488">
        <f t="shared" si="123"/>
        <v>112.78</v>
      </c>
      <c r="U210" s="489">
        <f t="shared" si="193"/>
        <v>4</v>
      </c>
      <c r="V210" s="490" t="str">
        <f t="shared" si="194"/>
        <v>#REF!</v>
      </c>
      <c r="W210" s="491">
        <f t="shared" si="195"/>
        <v>80</v>
      </c>
      <c r="X210" s="489">
        <f t="shared" si="196"/>
        <v>640</v>
      </c>
      <c r="Y210" s="492">
        <f t="shared" si="197"/>
        <v>0.18</v>
      </c>
      <c r="Z210" s="493" t="str">
        <f t="shared" si="198"/>
        <v>#REF!</v>
      </c>
      <c r="AA210" s="494" t="str">
        <f t="shared" si="118"/>
        <v/>
      </c>
      <c r="AB210" s="508"/>
      <c r="AC210" s="486" t="s">
        <v>355</v>
      </c>
      <c r="AD210" s="487" t="s">
        <v>52</v>
      </c>
      <c r="AE210" s="488">
        <f t="shared" si="119"/>
        <v>0</v>
      </c>
      <c r="AF210" s="489">
        <f t="shared" si="180"/>
        <v>4</v>
      </c>
      <c r="AG210" s="495" t="str">
        <f t="shared" si="181"/>
        <v/>
      </c>
      <c r="AH210" s="491">
        <f>(1/2)*$X$173</f>
        <v>2</v>
      </c>
      <c r="AI210" s="489">
        <f t="shared" si="183"/>
        <v>16</v>
      </c>
      <c r="AJ210" s="492">
        <f t="shared" si="184"/>
        <v>0</v>
      </c>
      <c r="AK210" s="493">
        <f t="shared" si="185"/>
        <v>0</v>
      </c>
      <c r="AL210" s="494" t="str">
        <f t="shared" si="120"/>
        <v/>
      </c>
      <c r="AM210" s="5"/>
      <c r="AN210" s="486" t="s">
        <v>356</v>
      </c>
      <c r="AO210" s="487" t="s">
        <v>52</v>
      </c>
      <c r="AP210" s="488">
        <f t="shared" si="121"/>
        <v>0</v>
      </c>
      <c r="AQ210" s="489">
        <f t="shared" si="186"/>
        <v>4</v>
      </c>
      <c r="AR210" s="495" t="str">
        <f t="shared" si="187"/>
        <v/>
      </c>
      <c r="AS210" s="491">
        <f>(0.5/2)*$X$173</f>
        <v>1</v>
      </c>
      <c r="AT210" s="489">
        <f t="shared" si="189"/>
        <v>8</v>
      </c>
      <c r="AU210" s="492">
        <f t="shared" si="190"/>
        <v>0</v>
      </c>
      <c r="AV210" s="493">
        <f t="shared" si="191"/>
        <v>0</v>
      </c>
      <c r="AW210" s="494" t="str">
        <f t="shared" si="122"/>
        <v/>
      </c>
      <c r="AX210" s="5"/>
      <c r="AY210" s="5"/>
      <c r="AZ210" s="5"/>
      <c r="BA210" s="5"/>
      <c r="BB210" s="5"/>
      <c r="BC210" s="5"/>
      <c r="BD210" s="5"/>
      <c r="BE210" s="5"/>
      <c r="BF210" s="5"/>
      <c r="BG210" s="5"/>
      <c r="BH210" s="5"/>
    </row>
    <row r="211" ht="12.75" customHeight="1">
      <c r="A211" s="1"/>
      <c r="B211" s="2"/>
      <c r="C211" s="499" t="s">
        <v>274</v>
      </c>
      <c r="D211" s="366"/>
      <c r="E211" s="367"/>
      <c r="F211" s="368"/>
      <c r="G211" s="368"/>
      <c r="H211" s="368"/>
      <c r="I211" s="437">
        <v>5.0</v>
      </c>
      <c r="J211" s="436">
        <v>2.0</v>
      </c>
      <c r="K211" s="370">
        <v>1000.0</v>
      </c>
      <c r="L211" s="367"/>
      <c r="M211" s="401">
        <v>0.0</v>
      </c>
      <c r="N211" s="372">
        <f t="shared" si="192"/>
        <v>0</v>
      </c>
      <c r="O211" s="2"/>
      <c r="P211" s="2"/>
      <c r="Q211" s="477" t="s">
        <v>130</v>
      </c>
      <c r="R211" s="486" t="s">
        <v>111</v>
      </c>
      <c r="S211" s="487" t="s">
        <v>55</v>
      </c>
      <c r="T211" s="488">
        <f t="shared" si="123"/>
        <v>52.1834148</v>
      </c>
      <c r="U211" s="489">
        <f t="shared" si="193"/>
        <v>4</v>
      </c>
      <c r="V211" s="490" t="str">
        <f t="shared" si="194"/>
        <v>#REF!</v>
      </c>
      <c r="W211" s="491">
        <f>(10/3)*$X$173</f>
        <v>13.33333333</v>
      </c>
      <c r="X211" s="489">
        <f t="shared" si="196"/>
        <v>106.6666667</v>
      </c>
      <c r="Y211" s="492">
        <f t="shared" si="197"/>
        <v>0.49</v>
      </c>
      <c r="Z211" s="493" t="str">
        <f t="shared" si="198"/>
        <v>#REF!</v>
      </c>
      <c r="AA211" s="494" t="str">
        <f t="shared" si="118"/>
        <v/>
      </c>
      <c r="AB211" s="508"/>
      <c r="AC211" s="486" t="s">
        <v>173</v>
      </c>
      <c r="AD211" s="487" t="s">
        <v>52</v>
      </c>
      <c r="AE211" s="488">
        <f t="shared" si="119"/>
        <v>103.47</v>
      </c>
      <c r="AF211" s="489">
        <f t="shared" si="180"/>
        <v>4</v>
      </c>
      <c r="AG211" s="495" t="str">
        <f t="shared" si="181"/>
        <v/>
      </c>
      <c r="AH211" s="491">
        <f>(4/2)*$X$173</f>
        <v>8</v>
      </c>
      <c r="AI211" s="489">
        <f t="shared" si="183"/>
        <v>64</v>
      </c>
      <c r="AJ211" s="492">
        <f t="shared" si="184"/>
        <v>1.62</v>
      </c>
      <c r="AK211" s="493">
        <f t="shared" si="185"/>
        <v>0</v>
      </c>
      <c r="AL211" s="494">
        <f t="shared" si="120"/>
        <v>0</v>
      </c>
      <c r="AM211" s="5"/>
      <c r="AN211" s="486" t="s">
        <v>357</v>
      </c>
      <c r="AO211" s="487" t="s">
        <v>52</v>
      </c>
      <c r="AP211" s="488">
        <f t="shared" si="121"/>
        <v>0</v>
      </c>
      <c r="AQ211" s="489">
        <f t="shared" si="186"/>
        <v>4</v>
      </c>
      <c r="AR211" s="495" t="str">
        <f t="shared" si="187"/>
        <v/>
      </c>
      <c r="AS211" s="491">
        <f>(2/2)*$X$173</f>
        <v>4</v>
      </c>
      <c r="AT211" s="489">
        <f t="shared" si="189"/>
        <v>32</v>
      </c>
      <c r="AU211" s="492">
        <f t="shared" si="190"/>
        <v>0</v>
      </c>
      <c r="AV211" s="493">
        <f t="shared" si="191"/>
        <v>0</v>
      </c>
      <c r="AW211" s="494" t="str">
        <f t="shared" si="122"/>
        <v/>
      </c>
      <c r="AX211" s="5"/>
      <c r="AY211" s="5"/>
      <c r="AZ211" s="5"/>
      <c r="BA211" s="5"/>
      <c r="BB211" s="5"/>
      <c r="BC211" s="5"/>
      <c r="BD211" s="5"/>
      <c r="BE211" s="5"/>
      <c r="BF211" s="5"/>
      <c r="BG211" s="5"/>
      <c r="BH211" s="5"/>
    </row>
    <row r="212" ht="12.75" customHeight="1">
      <c r="A212" s="1"/>
      <c r="B212" s="2"/>
      <c r="C212" s="376"/>
      <c r="D212" s="348"/>
      <c r="E212" s="3"/>
      <c r="F212" s="2"/>
      <c r="G212" s="2"/>
      <c r="H212" s="2"/>
      <c r="I212" s="6"/>
      <c r="J212" s="6"/>
      <c r="K212" s="6"/>
      <c r="L212" s="3"/>
      <c r="M212" s="3"/>
      <c r="N212" s="351"/>
      <c r="O212" s="2"/>
      <c r="P212" s="2"/>
      <c r="Q212" s="477" t="s">
        <v>133</v>
      </c>
      <c r="R212" s="486" t="s">
        <v>105</v>
      </c>
      <c r="S212" s="487" t="s">
        <v>55</v>
      </c>
      <c r="T212" s="488">
        <f t="shared" si="123"/>
        <v>112.78</v>
      </c>
      <c r="U212" s="489">
        <f t="shared" si="193"/>
        <v>4</v>
      </c>
      <c r="V212" s="490" t="str">
        <f t="shared" si="194"/>
        <v>#REF!</v>
      </c>
      <c r="W212" s="491">
        <f>(5/3)*$X$173</f>
        <v>6.666666667</v>
      </c>
      <c r="X212" s="489">
        <f t="shared" si="196"/>
        <v>53.33333333</v>
      </c>
      <c r="Y212" s="492">
        <f t="shared" si="197"/>
        <v>2.12</v>
      </c>
      <c r="Z212" s="493" t="str">
        <f t="shared" si="198"/>
        <v>#REF!</v>
      </c>
      <c r="AA212" s="494" t="str">
        <f t="shared" si="118"/>
        <v/>
      </c>
      <c r="AB212" s="464"/>
      <c r="AC212" s="486" t="s">
        <v>358</v>
      </c>
      <c r="AD212" s="487" t="s">
        <v>41</v>
      </c>
      <c r="AE212" s="488">
        <f t="shared" si="119"/>
        <v>0</v>
      </c>
      <c r="AF212" s="489">
        <f t="shared" si="180"/>
        <v>4</v>
      </c>
      <c r="AG212" s="495" t="str">
        <f t="shared" si="181"/>
        <v/>
      </c>
      <c r="AH212" s="491">
        <f>(10/4)*$X$173</f>
        <v>10</v>
      </c>
      <c r="AI212" s="489">
        <f t="shared" si="183"/>
        <v>80</v>
      </c>
      <c r="AJ212" s="492">
        <f t="shared" si="184"/>
        <v>0</v>
      </c>
      <c r="AK212" s="493">
        <f t="shared" si="185"/>
        <v>0</v>
      </c>
      <c r="AL212" s="494" t="str">
        <f t="shared" si="120"/>
        <v/>
      </c>
      <c r="AM212" s="5"/>
      <c r="AN212" s="486" t="s">
        <v>359</v>
      </c>
      <c r="AO212" s="487" t="s">
        <v>41</v>
      </c>
      <c r="AP212" s="488">
        <f t="shared" si="121"/>
        <v>0</v>
      </c>
      <c r="AQ212" s="489">
        <f t="shared" si="186"/>
        <v>4</v>
      </c>
      <c r="AR212" s="495" t="str">
        <f t="shared" si="187"/>
        <v/>
      </c>
      <c r="AS212" s="491">
        <f>(5/4)*$X$173</f>
        <v>5</v>
      </c>
      <c r="AT212" s="489">
        <f t="shared" si="189"/>
        <v>40</v>
      </c>
      <c r="AU212" s="492">
        <f t="shared" si="190"/>
        <v>0</v>
      </c>
      <c r="AV212" s="493">
        <f t="shared" si="191"/>
        <v>0</v>
      </c>
      <c r="AW212" s="494" t="str">
        <f t="shared" si="122"/>
        <v/>
      </c>
      <c r="AX212" s="5"/>
      <c r="AY212" s="5"/>
      <c r="AZ212" s="5"/>
      <c r="BA212" s="5"/>
      <c r="BB212" s="5"/>
      <c r="BC212" s="5"/>
      <c r="BD212" s="5"/>
      <c r="BE212" s="5"/>
      <c r="BF212" s="5"/>
      <c r="BG212" s="5"/>
      <c r="BH212" s="5"/>
    </row>
    <row r="213" ht="12.75" customHeight="1">
      <c r="A213" s="1"/>
      <c r="B213" s="2"/>
      <c r="C213" s="499" t="s">
        <v>275</v>
      </c>
      <c r="D213" s="366"/>
      <c r="E213" s="367"/>
      <c r="F213" s="368"/>
      <c r="G213" s="368"/>
      <c r="H213" s="368"/>
      <c r="I213" s="437">
        <v>2.0</v>
      </c>
      <c r="J213" s="504">
        <v>1.0</v>
      </c>
      <c r="K213" s="370">
        <v>350.0</v>
      </c>
      <c r="L213" s="367"/>
      <c r="M213" s="401">
        <v>1.0</v>
      </c>
      <c r="N213" s="372">
        <f t="shared" ref="N213:N216" si="199">M213*K213*J213*I213</f>
        <v>700</v>
      </c>
      <c r="O213" s="2"/>
      <c r="P213" s="2"/>
      <c r="Q213" s="477" t="s">
        <v>139</v>
      </c>
      <c r="R213" s="486" t="s">
        <v>360</v>
      </c>
      <c r="S213" s="487" t="s">
        <v>52</v>
      </c>
      <c r="T213" s="488">
        <f t="shared" si="123"/>
        <v>0</v>
      </c>
      <c r="U213" s="489">
        <f t="shared" si="193"/>
        <v>4</v>
      </c>
      <c r="V213" s="490" t="str">
        <f t="shared" si="194"/>
        <v>#REF!</v>
      </c>
      <c r="W213" s="491">
        <f t="shared" ref="W213:W214" si="200">(2/1)*$X$173</f>
        <v>8</v>
      </c>
      <c r="X213" s="489">
        <f t="shared" si="196"/>
        <v>64</v>
      </c>
      <c r="Y213" s="492">
        <f t="shared" si="197"/>
        <v>0</v>
      </c>
      <c r="Z213" s="493" t="str">
        <f t="shared" si="198"/>
        <v>#REF!</v>
      </c>
      <c r="AA213" s="494" t="str">
        <f t="shared" si="118"/>
        <v/>
      </c>
      <c r="AB213" s="464"/>
      <c r="AC213" s="486" t="s">
        <v>361</v>
      </c>
      <c r="AD213" s="487" t="s">
        <v>55</v>
      </c>
      <c r="AE213" s="488">
        <f t="shared" si="119"/>
        <v>0</v>
      </c>
      <c r="AF213" s="489">
        <f t="shared" si="180"/>
        <v>4</v>
      </c>
      <c r="AG213" s="495" t="str">
        <f t="shared" si="181"/>
        <v/>
      </c>
      <c r="AH213" s="491">
        <f>(20/1)*$X$173</f>
        <v>80</v>
      </c>
      <c r="AI213" s="489">
        <f t="shared" si="183"/>
        <v>640</v>
      </c>
      <c r="AJ213" s="492">
        <f t="shared" si="184"/>
        <v>0</v>
      </c>
      <c r="AK213" s="493">
        <f t="shared" si="185"/>
        <v>0</v>
      </c>
      <c r="AL213" s="494" t="str">
        <f t="shared" si="120"/>
        <v/>
      </c>
      <c r="AM213" s="5"/>
      <c r="AN213" s="486" t="s">
        <v>362</v>
      </c>
      <c r="AO213" s="487" t="s">
        <v>55</v>
      </c>
      <c r="AP213" s="488">
        <f t="shared" si="121"/>
        <v>0</v>
      </c>
      <c r="AQ213" s="489">
        <f t="shared" si="186"/>
        <v>4</v>
      </c>
      <c r="AR213" s="495" t="str">
        <f t="shared" si="187"/>
        <v/>
      </c>
      <c r="AS213" s="491">
        <f>(20/1)*$X$173</f>
        <v>80</v>
      </c>
      <c r="AT213" s="489">
        <f t="shared" si="189"/>
        <v>640</v>
      </c>
      <c r="AU213" s="492">
        <f t="shared" si="190"/>
        <v>0</v>
      </c>
      <c r="AV213" s="493">
        <f t="shared" si="191"/>
        <v>0</v>
      </c>
      <c r="AW213" s="494" t="str">
        <f t="shared" si="122"/>
        <v/>
      </c>
      <c r="AX213" s="5"/>
      <c r="AY213" s="5"/>
      <c r="AZ213" s="5"/>
      <c r="BA213" s="5"/>
      <c r="BB213" s="5"/>
      <c r="BC213" s="5"/>
      <c r="BD213" s="5"/>
      <c r="BE213" s="5"/>
      <c r="BF213" s="5"/>
      <c r="BG213" s="5"/>
      <c r="BH213" s="5"/>
    </row>
    <row r="214" ht="12.75" customHeight="1">
      <c r="A214" s="1"/>
      <c r="B214" s="2"/>
      <c r="C214" s="499" t="s">
        <v>272</v>
      </c>
      <c r="D214" s="366"/>
      <c r="E214" s="367"/>
      <c r="F214" s="368"/>
      <c r="G214" s="368"/>
      <c r="H214" s="368"/>
      <c r="I214" s="437">
        <v>1.0</v>
      </c>
      <c r="J214" s="504">
        <v>8.0</v>
      </c>
      <c r="K214" s="370">
        <v>350.0</v>
      </c>
      <c r="L214" s="367"/>
      <c r="M214" s="401">
        <v>2.0</v>
      </c>
      <c r="N214" s="372">
        <f t="shared" si="199"/>
        <v>5600</v>
      </c>
      <c r="O214" s="2"/>
      <c r="P214" s="2"/>
      <c r="Q214" s="477" t="s">
        <v>141</v>
      </c>
      <c r="R214" s="486" t="s">
        <v>96</v>
      </c>
      <c r="S214" s="487" t="s">
        <v>52</v>
      </c>
      <c r="T214" s="488">
        <f t="shared" si="123"/>
        <v>334.1334148</v>
      </c>
      <c r="U214" s="489">
        <f t="shared" si="193"/>
        <v>4</v>
      </c>
      <c r="V214" s="490" t="str">
        <f t="shared" si="194"/>
        <v>#REF!</v>
      </c>
      <c r="W214" s="491">
        <f t="shared" si="200"/>
        <v>8</v>
      </c>
      <c r="X214" s="489">
        <f t="shared" si="196"/>
        <v>64</v>
      </c>
      <c r="Y214" s="492">
        <f t="shared" si="197"/>
        <v>5.23</v>
      </c>
      <c r="Z214" s="493" t="str">
        <f t="shared" si="198"/>
        <v>#REF!</v>
      </c>
      <c r="AA214" s="494" t="str">
        <f t="shared" si="118"/>
        <v/>
      </c>
      <c r="AB214" s="508"/>
      <c r="AC214" s="486" t="s">
        <v>363</v>
      </c>
      <c r="AD214" s="487" t="s">
        <v>41</v>
      </c>
      <c r="AE214" s="488">
        <f t="shared" si="119"/>
        <v>0</v>
      </c>
      <c r="AF214" s="489">
        <f t="shared" si="180"/>
        <v>4</v>
      </c>
      <c r="AG214" s="495" t="str">
        <f t="shared" si="181"/>
        <v/>
      </c>
      <c r="AH214" s="491">
        <f>(5/4)*$X$173</f>
        <v>5</v>
      </c>
      <c r="AI214" s="489">
        <f t="shared" si="183"/>
        <v>40</v>
      </c>
      <c r="AJ214" s="492">
        <f t="shared" si="184"/>
        <v>0</v>
      </c>
      <c r="AK214" s="493">
        <f t="shared" si="185"/>
        <v>0</v>
      </c>
      <c r="AL214" s="494" t="str">
        <f t="shared" si="120"/>
        <v/>
      </c>
      <c r="AM214" s="5"/>
      <c r="AN214" s="486" t="s">
        <v>364</v>
      </c>
      <c r="AO214" s="487" t="s">
        <v>41</v>
      </c>
      <c r="AP214" s="488">
        <f t="shared" si="121"/>
        <v>0</v>
      </c>
      <c r="AQ214" s="489">
        <f t="shared" si="186"/>
        <v>4</v>
      </c>
      <c r="AR214" s="495" t="str">
        <f t="shared" si="187"/>
        <v/>
      </c>
      <c r="AS214" s="491">
        <f>(3/4)*$X$173</f>
        <v>3</v>
      </c>
      <c r="AT214" s="489">
        <f t="shared" si="189"/>
        <v>24</v>
      </c>
      <c r="AU214" s="492">
        <f t="shared" si="190"/>
        <v>0</v>
      </c>
      <c r="AV214" s="493">
        <f t="shared" si="191"/>
        <v>0</v>
      </c>
      <c r="AW214" s="494" t="str">
        <f t="shared" si="122"/>
        <v/>
      </c>
      <c r="AX214" s="5"/>
      <c r="AY214" s="5"/>
      <c r="AZ214" s="5"/>
      <c r="BA214" s="5"/>
      <c r="BB214" s="5"/>
      <c r="BC214" s="5"/>
      <c r="BD214" s="5"/>
      <c r="BE214" s="5"/>
      <c r="BF214" s="5"/>
      <c r="BG214" s="5"/>
      <c r="BH214" s="5"/>
    </row>
    <row r="215" ht="12.75" customHeight="1">
      <c r="A215" s="1"/>
      <c r="B215" s="2"/>
      <c r="C215" s="499" t="s">
        <v>273</v>
      </c>
      <c r="D215" s="366"/>
      <c r="E215" s="367"/>
      <c r="F215" s="368"/>
      <c r="G215" s="368"/>
      <c r="H215" s="368"/>
      <c r="I215" s="437">
        <v>1.0</v>
      </c>
      <c r="J215" s="504">
        <f>J214</f>
        <v>8</v>
      </c>
      <c r="K215" s="370">
        <v>95.0</v>
      </c>
      <c r="L215" s="367"/>
      <c r="M215" s="401">
        <v>2.0</v>
      </c>
      <c r="N215" s="372">
        <f t="shared" si="199"/>
        <v>1520</v>
      </c>
      <c r="O215" s="2"/>
      <c r="P215" s="2"/>
      <c r="Q215" s="477" t="s">
        <v>143</v>
      </c>
      <c r="R215" s="486" t="s">
        <v>365</v>
      </c>
      <c r="S215" s="487" t="s">
        <v>52</v>
      </c>
      <c r="T215" s="488">
        <f t="shared" si="123"/>
        <v>0</v>
      </c>
      <c r="U215" s="489">
        <f t="shared" si="193"/>
        <v>4</v>
      </c>
      <c r="V215" s="490" t="str">
        <f t="shared" si="194"/>
        <v>#REF!</v>
      </c>
      <c r="W215" s="491">
        <f t="shared" ref="W215:W216" si="201">(4/1)*$X$173</f>
        <v>16</v>
      </c>
      <c r="X215" s="489">
        <f t="shared" si="196"/>
        <v>128</v>
      </c>
      <c r="Y215" s="492">
        <f t="shared" si="197"/>
        <v>0</v>
      </c>
      <c r="Z215" s="493" t="str">
        <f t="shared" si="198"/>
        <v>#REF!</v>
      </c>
      <c r="AA215" s="494" t="str">
        <f t="shared" si="118"/>
        <v/>
      </c>
      <c r="AB215" s="508"/>
      <c r="AC215" s="486" t="s">
        <v>366</v>
      </c>
      <c r="AD215" s="487" t="s">
        <v>52</v>
      </c>
      <c r="AE215" s="488">
        <f t="shared" si="119"/>
        <v>0</v>
      </c>
      <c r="AF215" s="489">
        <f t="shared" si="180"/>
        <v>4</v>
      </c>
      <c r="AG215" s="495" t="str">
        <f t="shared" si="181"/>
        <v/>
      </c>
      <c r="AH215" s="491">
        <f>(100/4)*$X$173</f>
        <v>100</v>
      </c>
      <c r="AI215" s="489">
        <f t="shared" si="183"/>
        <v>800</v>
      </c>
      <c r="AJ215" s="492">
        <f t="shared" si="184"/>
        <v>0</v>
      </c>
      <c r="AK215" s="493">
        <f t="shared" si="185"/>
        <v>0</v>
      </c>
      <c r="AL215" s="494" t="str">
        <f t="shared" si="120"/>
        <v/>
      </c>
      <c r="AM215" s="5"/>
      <c r="AN215" s="486" t="s">
        <v>367</v>
      </c>
      <c r="AO215" s="487" t="s">
        <v>52</v>
      </c>
      <c r="AP215" s="488">
        <f t="shared" si="121"/>
        <v>0</v>
      </c>
      <c r="AQ215" s="489">
        <f t="shared" si="186"/>
        <v>4</v>
      </c>
      <c r="AR215" s="495" t="str">
        <f t="shared" si="187"/>
        <v/>
      </c>
      <c r="AS215" s="491">
        <f>(100/4)*$X$173</f>
        <v>100</v>
      </c>
      <c r="AT215" s="489">
        <f t="shared" si="189"/>
        <v>800</v>
      </c>
      <c r="AU215" s="492">
        <f t="shared" si="190"/>
        <v>0</v>
      </c>
      <c r="AV215" s="493">
        <f t="shared" si="191"/>
        <v>0</v>
      </c>
      <c r="AW215" s="494" t="str">
        <f t="shared" si="122"/>
        <v/>
      </c>
      <c r="AX215" s="5"/>
      <c r="AY215" s="5"/>
      <c r="AZ215" s="5"/>
      <c r="BA215" s="5"/>
      <c r="BB215" s="5"/>
      <c r="BC215" s="5"/>
      <c r="BD215" s="5"/>
      <c r="BE215" s="5"/>
      <c r="BF215" s="5"/>
      <c r="BG215" s="5"/>
      <c r="BH215" s="5"/>
    </row>
    <row r="216" ht="12.75" customHeight="1">
      <c r="A216" s="1"/>
      <c r="B216" s="12" t="s">
        <v>176</v>
      </c>
      <c r="C216" s="499" t="s">
        <v>274</v>
      </c>
      <c r="D216" s="366"/>
      <c r="E216" s="367"/>
      <c r="F216" s="368"/>
      <c r="G216" s="368"/>
      <c r="H216" s="368"/>
      <c r="I216" s="437">
        <v>1.0</v>
      </c>
      <c r="J216" s="436">
        <v>2.0</v>
      </c>
      <c r="K216" s="370">
        <v>600.0</v>
      </c>
      <c r="L216" s="367"/>
      <c r="M216" s="401">
        <v>0.0</v>
      </c>
      <c r="N216" s="372">
        <f t="shared" si="199"/>
        <v>0</v>
      </c>
      <c r="O216" s="2"/>
      <c r="P216" s="2"/>
      <c r="Q216" s="477" t="s">
        <v>144</v>
      </c>
      <c r="R216" s="486" t="s">
        <v>103</v>
      </c>
      <c r="S216" s="487" t="s">
        <v>52</v>
      </c>
      <c r="T216" s="488">
        <f t="shared" si="123"/>
        <v>562.6252601</v>
      </c>
      <c r="U216" s="489">
        <f t="shared" si="193"/>
        <v>4</v>
      </c>
      <c r="V216" s="490" t="str">
        <f t="shared" si="194"/>
        <v>#REF!</v>
      </c>
      <c r="W216" s="491">
        <f t="shared" si="201"/>
        <v>16</v>
      </c>
      <c r="X216" s="489">
        <f t="shared" si="196"/>
        <v>128</v>
      </c>
      <c r="Y216" s="492">
        <f t="shared" si="197"/>
        <v>4.4</v>
      </c>
      <c r="Z216" s="493" t="str">
        <f t="shared" si="198"/>
        <v>#REF!</v>
      </c>
      <c r="AA216" s="494" t="str">
        <f t="shared" si="118"/>
        <v/>
      </c>
      <c r="AB216" s="508"/>
      <c r="AC216" s="486" t="s">
        <v>368</v>
      </c>
      <c r="AD216" s="487" t="s">
        <v>52</v>
      </c>
      <c r="AE216" s="488">
        <f t="shared" si="119"/>
        <v>0</v>
      </c>
      <c r="AF216" s="496"/>
      <c r="AG216" s="495"/>
      <c r="AH216" s="496"/>
      <c r="AI216" s="496"/>
      <c r="AJ216" s="496"/>
      <c r="AK216" s="497"/>
      <c r="AL216" s="494" t="str">
        <f t="shared" si="120"/>
        <v/>
      </c>
      <c r="AM216" s="5"/>
      <c r="AN216" s="486" t="s">
        <v>369</v>
      </c>
      <c r="AO216" s="487" t="s">
        <v>52</v>
      </c>
      <c r="AP216" s="488">
        <f t="shared" si="121"/>
        <v>0</v>
      </c>
      <c r="AQ216" s="496"/>
      <c r="AR216" s="495"/>
      <c r="AS216" s="496"/>
      <c r="AT216" s="496"/>
      <c r="AU216" s="496"/>
      <c r="AV216" s="497"/>
      <c r="AW216" s="494" t="str">
        <f t="shared" si="122"/>
        <v/>
      </c>
      <c r="AX216" s="5"/>
      <c r="AY216" s="5"/>
      <c r="AZ216" s="5"/>
      <c r="BA216" s="5"/>
      <c r="BB216" s="5"/>
      <c r="BC216" s="5"/>
      <c r="BD216" s="5"/>
      <c r="BE216" s="5"/>
      <c r="BF216" s="5"/>
      <c r="BG216" s="5"/>
      <c r="BH216" s="5"/>
    </row>
    <row r="217" ht="12.75" customHeight="1">
      <c r="A217" s="1"/>
      <c r="B217" s="2"/>
      <c r="C217" s="376"/>
      <c r="D217" s="348"/>
      <c r="E217" s="3"/>
      <c r="F217" s="2"/>
      <c r="G217" s="2"/>
      <c r="H217" s="2"/>
      <c r="I217" s="6"/>
      <c r="J217" s="6"/>
      <c r="K217" s="6"/>
      <c r="L217" s="3"/>
      <c r="M217" s="3"/>
      <c r="N217" s="351"/>
      <c r="O217" s="2"/>
      <c r="P217" s="2"/>
      <c r="Q217" s="477"/>
      <c r="R217" s="486" t="s">
        <v>370</v>
      </c>
      <c r="S217" s="487" t="s">
        <v>52</v>
      </c>
      <c r="T217" s="488">
        <f t="shared" si="123"/>
        <v>0</v>
      </c>
      <c r="U217" s="489">
        <f t="shared" si="193"/>
        <v>4</v>
      </c>
      <c r="V217" s="490" t="str">
        <f t="shared" si="194"/>
        <v>#REF!</v>
      </c>
      <c r="W217" s="491">
        <f>(15/1)*$X$173</f>
        <v>60</v>
      </c>
      <c r="X217" s="489">
        <f t="shared" si="196"/>
        <v>480</v>
      </c>
      <c r="Y217" s="492">
        <f t="shared" si="197"/>
        <v>0</v>
      </c>
      <c r="Z217" s="493" t="str">
        <f t="shared" si="198"/>
        <v>#REF!</v>
      </c>
      <c r="AA217" s="494" t="str">
        <f t="shared" si="118"/>
        <v/>
      </c>
      <c r="AB217" s="508"/>
      <c r="AC217" s="486" t="s">
        <v>371</v>
      </c>
      <c r="AD217" s="487" t="s">
        <v>55</v>
      </c>
      <c r="AE217" s="488">
        <f t="shared" si="119"/>
        <v>0</v>
      </c>
      <c r="AF217" s="489">
        <f t="shared" ref="AF217:AF235" si="202">$X$173</f>
        <v>4</v>
      </c>
      <c r="AG217" s="495" t="str">
        <f t="shared" ref="AG217:AG235" si="203">AN$176</f>
        <v/>
      </c>
      <c r="AH217" s="491">
        <f>(6/3)*$X$173</f>
        <v>8</v>
      </c>
      <c r="AI217" s="489">
        <f t="shared" ref="AI217:AI235" si="204">AH217*AH$183</f>
        <v>64</v>
      </c>
      <c r="AJ217" s="492">
        <f t="shared" ref="AJ217:AJ235" si="205">ROUNDUP(AE217/AI217,2)</f>
        <v>0</v>
      </c>
      <c r="AK217" s="493">
        <f t="shared" ref="AK217:AK235" si="206">AJ217*AG217*AF217*AH$183</f>
        <v>0</v>
      </c>
      <c r="AL217" s="494" t="str">
        <f t="shared" si="120"/>
        <v/>
      </c>
      <c r="AM217" s="5"/>
      <c r="AN217" s="486" t="s">
        <v>372</v>
      </c>
      <c r="AO217" s="487" t="s">
        <v>55</v>
      </c>
      <c r="AP217" s="488">
        <f t="shared" si="121"/>
        <v>0</v>
      </c>
      <c r="AQ217" s="489">
        <f t="shared" ref="AQ217:AQ266" si="207">$X$173</f>
        <v>4</v>
      </c>
      <c r="AR217" s="495" t="str">
        <f t="shared" ref="AR217:AR266" si="208">AY$176</f>
        <v/>
      </c>
      <c r="AS217" s="491">
        <f>(3/3)*$X$173</f>
        <v>4</v>
      </c>
      <c r="AT217" s="489">
        <f t="shared" ref="AT217:AT266" si="209">AS217*AS$183</f>
        <v>32</v>
      </c>
      <c r="AU217" s="492">
        <f t="shared" ref="AU217:AU266" si="210">ROUNDUP(AP217/AT217,2)</f>
        <v>0</v>
      </c>
      <c r="AV217" s="493">
        <f t="shared" ref="AV217:AV266" si="211">AU217*AR217*AQ217*AS$183</f>
        <v>0</v>
      </c>
      <c r="AW217" s="494" t="str">
        <f t="shared" si="122"/>
        <v/>
      </c>
      <c r="AX217" s="5"/>
      <c r="AY217" s="5"/>
      <c r="AZ217" s="5"/>
      <c r="BA217" s="5"/>
      <c r="BB217" s="5"/>
      <c r="BC217" s="5"/>
      <c r="BD217" s="5"/>
      <c r="BE217" s="5"/>
      <c r="BF217" s="5"/>
      <c r="BG217" s="5"/>
      <c r="BH217" s="5"/>
    </row>
    <row r="218" ht="12.75" customHeight="1">
      <c r="A218" s="1"/>
      <c r="B218" s="2"/>
      <c r="C218" s="499" t="s">
        <v>275</v>
      </c>
      <c r="D218" s="366"/>
      <c r="E218" s="367"/>
      <c r="F218" s="368"/>
      <c r="G218" s="368"/>
      <c r="H218" s="368"/>
      <c r="I218" s="437">
        <v>2.0</v>
      </c>
      <c r="J218" s="504">
        <v>3.0</v>
      </c>
      <c r="K218" s="370">
        <v>350.0</v>
      </c>
      <c r="L218" s="367"/>
      <c r="M218" s="401">
        <v>0.0</v>
      </c>
      <c r="N218" s="372">
        <f t="shared" ref="N218:N221" si="212">M218*K218*J218*I218</f>
        <v>0</v>
      </c>
      <c r="O218" s="2"/>
      <c r="P218" s="2"/>
      <c r="Q218" s="477"/>
      <c r="R218" s="580" t="s">
        <v>45</v>
      </c>
      <c r="S218" s="487" t="s">
        <v>52</v>
      </c>
      <c r="T218" s="488">
        <f t="shared" si="123"/>
        <v>2942.811054</v>
      </c>
      <c r="U218" s="496"/>
      <c r="V218" s="495"/>
      <c r="W218" s="496"/>
      <c r="X218" s="496"/>
      <c r="Y218" s="496"/>
      <c r="Z218" s="497"/>
      <c r="AA218" s="494">
        <f t="shared" si="118"/>
        <v>0</v>
      </c>
      <c r="AB218" s="508"/>
      <c r="AC218" s="486" t="s">
        <v>373</v>
      </c>
      <c r="AD218" s="487" t="s">
        <v>52</v>
      </c>
      <c r="AE218" s="488">
        <f t="shared" si="119"/>
        <v>0</v>
      </c>
      <c r="AF218" s="489">
        <f t="shared" si="202"/>
        <v>4</v>
      </c>
      <c r="AG218" s="495" t="str">
        <f t="shared" si="203"/>
        <v/>
      </c>
      <c r="AH218" s="491">
        <f>(10/1)*$X$173</f>
        <v>40</v>
      </c>
      <c r="AI218" s="489">
        <f t="shared" si="204"/>
        <v>320</v>
      </c>
      <c r="AJ218" s="492">
        <f t="shared" si="205"/>
        <v>0</v>
      </c>
      <c r="AK218" s="493">
        <f t="shared" si="206"/>
        <v>0</v>
      </c>
      <c r="AL218" s="494" t="str">
        <f t="shared" si="120"/>
        <v/>
      </c>
      <c r="AM218" s="5"/>
      <c r="AN218" s="486" t="s">
        <v>374</v>
      </c>
      <c r="AO218" s="487" t="s">
        <v>52</v>
      </c>
      <c r="AP218" s="488">
        <f t="shared" si="121"/>
        <v>0</v>
      </c>
      <c r="AQ218" s="489">
        <f t="shared" si="207"/>
        <v>4</v>
      </c>
      <c r="AR218" s="495" t="str">
        <f t="shared" si="208"/>
        <v/>
      </c>
      <c r="AS218" s="491">
        <f>(10/1)*$X$173</f>
        <v>40</v>
      </c>
      <c r="AT218" s="489">
        <f t="shared" si="209"/>
        <v>320</v>
      </c>
      <c r="AU218" s="492">
        <f t="shared" si="210"/>
        <v>0</v>
      </c>
      <c r="AV218" s="493">
        <f t="shared" si="211"/>
        <v>0</v>
      </c>
      <c r="AW218" s="494" t="str">
        <f t="shared" si="122"/>
        <v/>
      </c>
      <c r="AX218" s="5"/>
      <c r="AY218" s="5"/>
      <c r="AZ218" s="5"/>
      <c r="BA218" s="5"/>
      <c r="BB218" s="5"/>
      <c r="BC218" s="5"/>
      <c r="BD218" s="5"/>
      <c r="BE218" s="5"/>
      <c r="BF218" s="5"/>
      <c r="BG218" s="5"/>
      <c r="BH218" s="5"/>
    </row>
    <row r="219" ht="12.75" customHeight="1">
      <c r="A219" s="1"/>
      <c r="B219" s="2"/>
      <c r="C219" s="499" t="s">
        <v>272</v>
      </c>
      <c r="D219" s="366"/>
      <c r="E219" s="367"/>
      <c r="F219" s="368"/>
      <c r="G219" s="368"/>
      <c r="H219" s="368"/>
      <c r="I219" s="437">
        <v>1.0</v>
      </c>
      <c r="J219" s="504">
        <v>10.0</v>
      </c>
      <c r="K219" s="370">
        <v>350.0</v>
      </c>
      <c r="L219" s="367"/>
      <c r="M219" s="401">
        <v>0.0</v>
      </c>
      <c r="N219" s="372">
        <f t="shared" si="212"/>
        <v>0</v>
      </c>
      <c r="O219" s="2"/>
      <c r="P219" s="2"/>
      <c r="Q219" s="477"/>
      <c r="R219" s="486" t="s">
        <v>375</v>
      </c>
      <c r="S219" s="487" t="s">
        <v>52</v>
      </c>
      <c r="T219" s="488">
        <f t="shared" si="123"/>
        <v>0</v>
      </c>
      <c r="U219" s="489">
        <f>$X$173</f>
        <v>4</v>
      </c>
      <c r="V219" s="490" t="str">
        <f>AC$176</f>
        <v>#REF!</v>
      </c>
      <c r="W219" s="491">
        <f>(10/1)*$X$173</f>
        <v>40</v>
      </c>
      <c r="X219" s="489">
        <f>W219*W$183</f>
        <v>320</v>
      </c>
      <c r="Y219" s="492">
        <f>ROUNDUP(T219/X219,2)</f>
        <v>0</v>
      </c>
      <c r="Z219" s="493" t="str">
        <f>Y219*V219*U219*W$183</f>
        <v>#REF!</v>
      </c>
      <c r="AA219" s="494" t="str">
        <f t="shared" si="118"/>
        <v/>
      </c>
      <c r="AB219" s="508"/>
      <c r="AC219" s="486" t="s">
        <v>376</v>
      </c>
      <c r="AD219" s="495"/>
      <c r="AE219" s="488">
        <f t="shared" si="119"/>
        <v>0</v>
      </c>
      <c r="AF219" s="489">
        <f t="shared" si="202"/>
        <v>4</v>
      </c>
      <c r="AG219" s="495" t="str">
        <f t="shared" si="203"/>
        <v/>
      </c>
      <c r="AH219" s="491">
        <f t="shared" ref="AH219:AH235" si="213">(30/4)*$X$173</f>
        <v>30</v>
      </c>
      <c r="AI219" s="489">
        <f t="shared" si="204"/>
        <v>240</v>
      </c>
      <c r="AJ219" s="492">
        <f t="shared" si="205"/>
        <v>0</v>
      </c>
      <c r="AK219" s="493">
        <f t="shared" si="206"/>
        <v>0</v>
      </c>
      <c r="AL219" s="494" t="str">
        <f t="shared" si="120"/>
        <v/>
      </c>
      <c r="AM219" s="5"/>
      <c r="AN219" s="509" t="str">
        <f>'Audit Check'!S36</f>
        <v/>
      </c>
      <c r="AO219" s="495"/>
      <c r="AP219" s="488">
        <f t="shared" si="121"/>
        <v>0</v>
      </c>
      <c r="AQ219" s="489">
        <f t="shared" si="207"/>
        <v>4</v>
      </c>
      <c r="AR219" s="495" t="str">
        <f t="shared" si="208"/>
        <v/>
      </c>
      <c r="AS219" s="491">
        <f t="shared" ref="AS219:AS266" si="214">(30/4)*$X$173</f>
        <v>30</v>
      </c>
      <c r="AT219" s="489">
        <f t="shared" si="209"/>
        <v>240</v>
      </c>
      <c r="AU219" s="492">
        <f t="shared" si="210"/>
        <v>0</v>
      </c>
      <c r="AV219" s="493">
        <f t="shared" si="211"/>
        <v>0</v>
      </c>
      <c r="AW219" s="494" t="str">
        <f t="shared" si="122"/>
        <v/>
      </c>
      <c r="AX219" s="5"/>
      <c r="AY219" s="5"/>
      <c r="AZ219" s="5"/>
      <c r="BA219" s="5"/>
      <c r="BB219" s="5"/>
      <c r="BC219" s="5"/>
      <c r="BD219" s="5"/>
      <c r="BE219" s="5"/>
      <c r="BF219" s="5"/>
      <c r="BG219" s="5"/>
      <c r="BH219" s="5"/>
    </row>
    <row r="220" ht="12.75" customHeight="1">
      <c r="A220" s="1"/>
      <c r="B220" s="2"/>
      <c r="C220" s="499" t="s">
        <v>273</v>
      </c>
      <c r="D220" s="366"/>
      <c r="E220" s="367"/>
      <c r="F220" s="368"/>
      <c r="G220" s="368"/>
      <c r="H220" s="368"/>
      <c r="I220" s="437">
        <v>1.0</v>
      </c>
      <c r="J220" s="504">
        <f>J219</f>
        <v>10</v>
      </c>
      <c r="K220" s="370">
        <v>95.0</v>
      </c>
      <c r="L220" s="367"/>
      <c r="M220" s="401">
        <v>0.0</v>
      </c>
      <c r="N220" s="372">
        <f t="shared" si="212"/>
        <v>0</v>
      </c>
      <c r="O220" s="2"/>
      <c r="P220" s="2"/>
      <c r="Q220" s="477"/>
      <c r="R220" s="486" t="s">
        <v>377</v>
      </c>
      <c r="S220" s="487" t="s">
        <v>52</v>
      </c>
      <c r="T220" s="488">
        <f t="shared" si="123"/>
        <v>0</v>
      </c>
      <c r="U220" s="496"/>
      <c r="V220" s="495"/>
      <c r="W220" s="496"/>
      <c r="X220" s="496"/>
      <c r="Y220" s="496"/>
      <c r="Z220" s="497"/>
      <c r="AA220" s="494" t="str">
        <f t="shared" si="118"/>
        <v/>
      </c>
      <c r="AB220" s="508"/>
      <c r="AC220" s="486" t="s">
        <v>161</v>
      </c>
      <c r="AD220" s="495"/>
      <c r="AE220" s="488">
        <f t="shared" si="119"/>
        <v>14.74</v>
      </c>
      <c r="AF220" s="489">
        <f t="shared" si="202"/>
        <v>4</v>
      </c>
      <c r="AG220" s="495" t="str">
        <f t="shared" si="203"/>
        <v/>
      </c>
      <c r="AH220" s="491">
        <f t="shared" si="213"/>
        <v>30</v>
      </c>
      <c r="AI220" s="489">
        <f t="shared" si="204"/>
        <v>240</v>
      </c>
      <c r="AJ220" s="492">
        <f t="shared" si="205"/>
        <v>0.07</v>
      </c>
      <c r="AK220" s="493">
        <f t="shared" si="206"/>
        <v>0</v>
      </c>
      <c r="AL220" s="494">
        <f t="shared" si="120"/>
        <v>0</v>
      </c>
      <c r="AM220" s="5"/>
      <c r="AN220" s="509" t="str">
        <f>'Audit Check'!S37</f>
        <v/>
      </c>
      <c r="AO220" s="495"/>
      <c r="AP220" s="488">
        <f t="shared" si="121"/>
        <v>0</v>
      </c>
      <c r="AQ220" s="489">
        <f t="shared" si="207"/>
        <v>4</v>
      </c>
      <c r="AR220" s="495" t="str">
        <f t="shared" si="208"/>
        <v/>
      </c>
      <c r="AS220" s="491">
        <f t="shared" si="214"/>
        <v>30</v>
      </c>
      <c r="AT220" s="489">
        <f t="shared" si="209"/>
        <v>240</v>
      </c>
      <c r="AU220" s="492">
        <f t="shared" si="210"/>
        <v>0</v>
      </c>
      <c r="AV220" s="493">
        <f t="shared" si="211"/>
        <v>0</v>
      </c>
      <c r="AW220" s="494" t="str">
        <f t="shared" si="122"/>
        <v/>
      </c>
      <c r="AX220" s="5"/>
      <c r="AY220" s="5"/>
      <c r="AZ220" s="5"/>
      <c r="BA220" s="5"/>
      <c r="BB220" s="5"/>
      <c r="BC220" s="5"/>
      <c r="BD220" s="5"/>
      <c r="BE220" s="5"/>
      <c r="BF220" s="5"/>
      <c r="BG220" s="5"/>
      <c r="BH220" s="5"/>
    </row>
    <row r="221" ht="12.75" customHeight="1">
      <c r="A221" s="1"/>
      <c r="B221" s="2"/>
      <c r="C221" s="499" t="s">
        <v>274</v>
      </c>
      <c r="D221" s="366"/>
      <c r="E221" s="367"/>
      <c r="F221" s="368"/>
      <c r="G221" s="368"/>
      <c r="H221" s="368"/>
      <c r="I221" s="437">
        <v>1.0</v>
      </c>
      <c r="J221" s="436">
        <v>2.0</v>
      </c>
      <c r="K221" s="370">
        <v>600.0</v>
      </c>
      <c r="L221" s="367"/>
      <c r="M221" s="401">
        <v>0.0</v>
      </c>
      <c r="N221" s="372">
        <f t="shared" si="212"/>
        <v>0</v>
      </c>
      <c r="O221" s="2"/>
      <c r="P221" s="2"/>
      <c r="Q221" s="2"/>
      <c r="R221" s="486" t="s">
        <v>378</v>
      </c>
      <c r="S221" s="487" t="s">
        <v>52</v>
      </c>
      <c r="T221" s="488">
        <f t="shared" si="123"/>
        <v>0</v>
      </c>
      <c r="U221" s="489">
        <f t="shared" ref="U221:U235" si="215">$X$173</f>
        <v>4</v>
      </c>
      <c r="V221" s="490" t="str">
        <f t="shared" ref="V221:V235" si="216">AC$176</f>
        <v>#REF!</v>
      </c>
      <c r="W221" s="491">
        <f>(5/3)*$X$173</f>
        <v>6.666666667</v>
      </c>
      <c r="X221" s="489">
        <f t="shared" ref="X221:X235" si="217">W221*W$183</f>
        <v>53.33333333</v>
      </c>
      <c r="Y221" s="492">
        <f t="shared" ref="Y221:Y235" si="218">ROUNDUP(T221/X221,2)</f>
        <v>0</v>
      </c>
      <c r="Z221" s="493" t="str">
        <f t="shared" ref="Z221:Z235" si="219">Y221*V221*U221*W$183</f>
        <v>#REF!</v>
      </c>
      <c r="AA221" s="494" t="str">
        <f t="shared" si="118"/>
        <v/>
      </c>
      <c r="AB221" s="508"/>
      <c r="AC221" s="486" t="s">
        <v>379</v>
      </c>
      <c r="AD221" s="495"/>
      <c r="AE221" s="488">
        <f t="shared" si="119"/>
        <v>0</v>
      </c>
      <c r="AF221" s="489">
        <f t="shared" si="202"/>
        <v>4</v>
      </c>
      <c r="AG221" s="495" t="str">
        <f t="shared" si="203"/>
        <v/>
      </c>
      <c r="AH221" s="491">
        <f t="shared" si="213"/>
        <v>30</v>
      </c>
      <c r="AI221" s="489">
        <f t="shared" si="204"/>
        <v>240</v>
      </c>
      <c r="AJ221" s="492">
        <f t="shared" si="205"/>
        <v>0</v>
      </c>
      <c r="AK221" s="493">
        <f t="shared" si="206"/>
        <v>0</v>
      </c>
      <c r="AL221" s="494" t="str">
        <f t="shared" si="120"/>
        <v/>
      </c>
      <c r="AM221" s="5"/>
      <c r="AN221" s="509" t="str">
        <f>'Audit Check'!S38</f>
        <v/>
      </c>
      <c r="AO221" s="495"/>
      <c r="AP221" s="488">
        <f t="shared" si="121"/>
        <v>0</v>
      </c>
      <c r="AQ221" s="489">
        <f t="shared" si="207"/>
        <v>4</v>
      </c>
      <c r="AR221" s="495" t="str">
        <f t="shared" si="208"/>
        <v/>
      </c>
      <c r="AS221" s="491">
        <f t="shared" si="214"/>
        <v>30</v>
      </c>
      <c r="AT221" s="489">
        <f t="shared" si="209"/>
        <v>240</v>
      </c>
      <c r="AU221" s="492">
        <f t="shared" si="210"/>
        <v>0</v>
      </c>
      <c r="AV221" s="493">
        <f t="shared" si="211"/>
        <v>0</v>
      </c>
      <c r="AW221" s="494" t="str">
        <f t="shared" si="122"/>
        <v/>
      </c>
      <c r="AX221" s="5"/>
      <c r="AY221" s="5"/>
      <c r="AZ221" s="5"/>
      <c r="BA221" s="5"/>
      <c r="BB221" s="5"/>
      <c r="BC221" s="5"/>
      <c r="BD221" s="5"/>
      <c r="BE221" s="5"/>
      <c r="BF221" s="5"/>
      <c r="BG221" s="5"/>
      <c r="BH221" s="5"/>
    </row>
    <row r="222" ht="12.75" customHeight="1">
      <c r="A222" s="1"/>
      <c r="B222" s="2"/>
      <c r="C222" s="376"/>
      <c r="D222" s="348"/>
      <c r="E222" s="3"/>
      <c r="F222" s="2"/>
      <c r="G222" s="2"/>
      <c r="H222" s="2"/>
      <c r="I222" s="2"/>
      <c r="J222" s="2"/>
      <c r="K222" s="2"/>
      <c r="L222" s="3"/>
      <c r="M222" s="3"/>
      <c r="N222" s="351"/>
      <c r="O222" s="2"/>
      <c r="P222" s="2"/>
      <c r="Q222" s="6"/>
      <c r="R222" s="486" t="s">
        <v>380</v>
      </c>
      <c r="S222" s="487" t="s">
        <v>52</v>
      </c>
      <c r="T222" s="488">
        <f t="shared" si="123"/>
        <v>0</v>
      </c>
      <c r="U222" s="489">
        <f t="shared" si="215"/>
        <v>4</v>
      </c>
      <c r="V222" s="490" t="str">
        <f t="shared" si="216"/>
        <v>#REF!</v>
      </c>
      <c r="W222" s="491">
        <f t="shared" ref="W222:W223" si="220">(15/1)*$X$173</f>
        <v>60</v>
      </c>
      <c r="X222" s="489">
        <f t="shared" si="217"/>
        <v>480</v>
      </c>
      <c r="Y222" s="492">
        <f t="shared" si="218"/>
        <v>0</v>
      </c>
      <c r="Z222" s="493" t="str">
        <f t="shared" si="219"/>
        <v>#REF!</v>
      </c>
      <c r="AA222" s="494" t="str">
        <f t="shared" si="118"/>
        <v/>
      </c>
      <c r="AB222" s="508"/>
      <c r="AC222" s="486" t="s">
        <v>381</v>
      </c>
      <c r="AD222" s="495"/>
      <c r="AE222" s="488">
        <f t="shared" si="119"/>
        <v>0</v>
      </c>
      <c r="AF222" s="489">
        <f t="shared" si="202"/>
        <v>4</v>
      </c>
      <c r="AG222" s="495" t="str">
        <f t="shared" si="203"/>
        <v/>
      </c>
      <c r="AH222" s="491">
        <f t="shared" si="213"/>
        <v>30</v>
      </c>
      <c r="AI222" s="489">
        <f t="shared" si="204"/>
        <v>240</v>
      </c>
      <c r="AJ222" s="492">
        <f t="shared" si="205"/>
        <v>0</v>
      </c>
      <c r="AK222" s="493">
        <f t="shared" si="206"/>
        <v>0</v>
      </c>
      <c r="AL222" s="494" t="str">
        <f t="shared" si="120"/>
        <v/>
      </c>
      <c r="AM222" s="5"/>
      <c r="AN222" s="509" t="str">
        <f>'Audit Check'!S39</f>
        <v/>
      </c>
      <c r="AO222" s="495"/>
      <c r="AP222" s="488">
        <f t="shared" si="121"/>
        <v>0</v>
      </c>
      <c r="AQ222" s="489">
        <f t="shared" si="207"/>
        <v>4</v>
      </c>
      <c r="AR222" s="495" t="str">
        <f t="shared" si="208"/>
        <v/>
      </c>
      <c r="AS222" s="491">
        <f t="shared" si="214"/>
        <v>30</v>
      </c>
      <c r="AT222" s="489">
        <f t="shared" si="209"/>
        <v>240</v>
      </c>
      <c r="AU222" s="492">
        <f t="shared" si="210"/>
        <v>0</v>
      </c>
      <c r="AV222" s="493">
        <f t="shared" si="211"/>
        <v>0</v>
      </c>
      <c r="AW222" s="494" t="str">
        <f t="shared" si="122"/>
        <v/>
      </c>
      <c r="AX222" s="5"/>
      <c r="AY222" s="5"/>
      <c r="AZ222" s="5"/>
      <c r="BA222" s="5"/>
      <c r="BB222" s="5"/>
      <c r="BC222" s="5"/>
      <c r="BD222" s="5"/>
      <c r="BE222" s="5"/>
      <c r="BF222" s="5"/>
      <c r="BG222" s="5"/>
      <c r="BH222" s="5"/>
    </row>
    <row r="223" ht="12.75" customHeight="1">
      <c r="A223" s="1"/>
      <c r="B223" s="2"/>
      <c r="C223" s="329" t="s">
        <v>276</v>
      </c>
      <c r="D223" s="330"/>
      <c r="E223" s="331"/>
      <c r="F223" s="332"/>
      <c r="G223" s="332"/>
      <c r="H223" s="332"/>
      <c r="I223" s="333" t="s">
        <v>18</v>
      </c>
      <c r="J223" s="334" t="s">
        <v>15</v>
      </c>
      <c r="K223" s="335" t="s">
        <v>26</v>
      </c>
      <c r="L223" s="414"/>
      <c r="M223" s="414"/>
      <c r="N223" s="381" t="str">
        <f>SUM(N225:N245)</f>
        <v>#REF!</v>
      </c>
      <c r="O223" s="2"/>
      <c r="P223" s="2"/>
      <c r="Q223" s="6"/>
      <c r="R223" s="486" t="s">
        <v>382</v>
      </c>
      <c r="S223" s="487" t="s">
        <v>52</v>
      </c>
      <c r="T223" s="488">
        <f t="shared" si="123"/>
        <v>0</v>
      </c>
      <c r="U223" s="489">
        <f t="shared" si="215"/>
        <v>4</v>
      </c>
      <c r="V223" s="490" t="str">
        <f t="shared" si="216"/>
        <v>#REF!</v>
      </c>
      <c r="W223" s="491">
        <f t="shared" si="220"/>
        <v>60</v>
      </c>
      <c r="X223" s="489">
        <f t="shared" si="217"/>
        <v>480</v>
      </c>
      <c r="Y223" s="492">
        <f t="shared" si="218"/>
        <v>0</v>
      </c>
      <c r="Z223" s="493" t="str">
        <f t="shared" si="219"/>
        <v>#REF!</v>
      </c>
      <c r="AA223" s="494" t="str">
        <f t="shared" si="118"/>
        <v/>
      </c>
      <c r="AB223" s="508"/>
      <c r="AC223" s="580" t="s">
        <v>158</v>
      </c>
      <c r="AD223" s="495"/>
      <c r="AE223" s="488" t="str">
        <f t="shared" si="119"/>
        <v>#REF!</v>
      </c>
      <c r="AF223" s="489">
        <f t="shared" si="202"/>
        <v>4</v>
      </c>
      <c r="AG223" s="495" t="str">
        <f t="shared" si="203"/>
        <v/>
      </c>
      <c r="AH223" s="491">
        <f t="shared" si="213"/>
        <v>30</v>
      </c>
      <c r="AI223" s="489">
        <f t="shared" si="204"/>
        <v>240</v>
      </c>
      <c r="AJ223" s="492" t="str">
        <f t="shared" si="205"/>
        <v>#REF!</v>
      </c>
      <c r="AK223" s="493" t="str">
        <f t="shared" si="206"/>
        <v>#REF!</v>
      </c>
      <c r="AL223" s="494" t="str">
        <f t="shared" si="120"/>
        <v/>
      </c>
      <c r="AM223" s="5"/>
      <c r="AN223" s="509" t="str">
        <f>'Audit Check'!S40</f>
        <v/>
      </c>
      <c r="AO223" s="495"/>
      <c r="AP223" s="488">
        <f t="shared" si="121"/>
        <v>0</v>
      </c>
      <c r="AQ223" s="489">
        <f t="shared" si="207"/>
        <v>4</v>
      </c>
      <c r="AR223" s="495" t="str">
        <f t="shared" si="208"/>
        <v/>
      </c>
      <c r="AS223" s="491">
        <f t="shared" si="214"/>
        <v>30</v>
      </c>
      <c r="AT223" s="489">
        <f t="shared" si="209"/>
        <v>240</v>
      </c>
      <c r="AU223" s="492">
        <f t="shared" si="210"/>
        <v>0</v>
      </c>
      <c r="AV223" s="493">
        <f t="shared" si="211"/>
        <v>0</v>
      </c>
      <c r="AW223" s="494" t="str">
        <f t="shared" si="122"/>
        <v/>
      </c>
      <c r="AX223" s="5"/>
      <c r="AY223" s="5"/>
      <c r="AZ223" s="5"/>
      <c r="BA223" s="5"/>
      <c r="BB223" s="5"/>
      <c r="BC223" s="5"/>
      <c r="BD223" s="5"/>
      <c r="BE223" s="5"/>
      <c r="BF223" s="5"/>
      <c r="BG223" s="5"/>
      <c r="BH223" s="5"/>
    </row>
    <row r="224" ht="12.75" customHeight="1">
      <c r="A224" s="1"/>
      <c r="B224" s="2"/>
      <c r="C224" s="510" t="s">
        <v>277</v>
      </c>
      <c r="D224" s="348"/>
      <c r="E224" s="3"/>
      <c r="F224" s="2"/>
      <c r="G224" s="2"/>
      <c r="H224" s="2"/>
      <c r="I224" s="328"/>
      <c r="J224" s="5"/>
      <c r="K224" s="328"/>
      <c r="L224" s="3"/>
      <c r="M224" s="3"/>
      <c r="N224" s="351"/>
      <c r="O224" s="2"/>
      <c r="P224" s="2"/>
      <c r="Q224" s="6"/>
      <c r="R224" s="486" t="s">
        <v>383</v>
      </c>
      <c r="S224" s="487" t="s">
        <v>52</v>
      </c>
      <c r="T224" s="488">
        <f t="shared" si="123"/>
        <v>0</v>
      </c>
      <c r="U224" s="489">
        <f t="shared" si="215"/>
        <v>4</v>
      </c>
      <c r="V224" s="490" t="str">
        <f t="shared" si="216"/>
        <v>#REF!</v>
      </c>
      <c r="W224" s="491">
        <f>(2/2)*$X$173</f>
        <v>4</v>
      </c>
      <c r="X224" s="489">
        <f t="shared" si="217"/>
        <v>32</v>
      </c>
      <c r="Y224" s="492">
        <f t="shared" si="218"/>
        <v>0</v>
      </c>
      <c r="Z224" s="493" t="str">
        <f t="shared" si="219"/>
        <v>#REF!</v>
      </c>
      <c r="AA224" s="494" t="str">
        <f t="shared" si="118"/>
        <v/>
      </c>
      <c r="AB224" s="508"/>
      <c r="AC224" s="580" t="s">
        <v>168</v>
      </c>
      <c r="AD224" s="495"/>
      <c r="AE224" s="488">
        <f t="shared" si="119"/>
        <v>14.74</v>
      </c>
      <c r="AF224" s="489">
        <f t="shared" si="202"/>
        <v>4</v>
      </c>
      <c r="AG224" s="495" t="str">
        <f t="shared" si="203"/>
        <v/>
      </c>
      <c r="AH224" s="491">
        <f t="shared" si="213"/>
        <v>30</v>
      </c>
      <c r="AI224" s="489">
        <f t="shared" si="204"/>
        <v>240</v>
      </c>
      <c r="AJ224" s="492">
        <f t="shared" si="205"/>
        <v>0.07</v>
      </c>
      <c r="AK224" s="493">
        <f t="shared" si="206"/>
        <v>0</v>
      </c>
      <c r="AL224" s="494">
        <f t="shared" si="120"/>
        <v>0</v>
      </c>
      <c r="AM224" s="5"/>
      <c r="AN224" s="509" t="str">
        <f>'Audit Check'!S41</f>
        <v/>
      </c>
      <c r="AO224" s="495"/>
      <c r="AP224" s="488">
        <f t="shared" si="121"/>
        <v>0</v>
      </c>
      <c r="AQ224" s="489">
        <f t="shared" si="207"/>
        <v>4</v>
      </c>
      <c r="AR224" s="495" t="str">
        <f t="shared" si="208"/>
        <v/>
      </c>
      <c r="AS224" s="491">
        <f t="shared" si="214"/>
        <v>30</v>
      </c>
      <c r="AT224" s="489">
        <f t="shared" si="209"/>
        <v>240</v>
      </c>
      <c r="AU224" s="492">
        <f t="shared" si="210"/>
        <v>0</v>
      </c>
      <c r="AV224" s="493">
        <f t="shared" si="211"/>
        <v>0</v>
      </c>
      <c r="AW224" s="494" t="str">
        <f t="shared" si="122"/>
        <v/>
      </c>
      <c r="AX224" s="5"/>
      <c r="AY224" s="5"/>
      <c r="AZ224" s="5"/>
      <c r="BA224" s="5"/>
      <c r="BB224" s="5"/>
      <c r="BC224" s="5"/>
      <c r="BD224" s="5"/>
      <c r="BE224" s="5"/>
      <c r="BF224" s="5"/>
      <c r="BG224" s="5"/>
      <c r="BH224" s="5"/>
    </row>
    <row r="225" ht="12.75" customHeight="1">
      <c r="A225" s="1"/>
      <c r="B225" s="2"/>
      <c r="C225" s="499" t="s">
        <v>278</v>
      </c>
      <c r="D225" s="366"/>
      <c r="E225" s="367"/>
      <c r="F225" s="368"/>
      <c r="G225" s="368"/>
      <c r="H225" s="368"/>
      <c r="I225" s="437">
        <v>1.0</v>
      </c>
      <c r="J225" s="436">
        <v>2.0</v>
      </c>
      <c r="K225" s="370">
        <v>750.0</v>
      </c>
      <c r="L225" s="367"/>
      <c r="M225" s="401">
        <v>0.0</v>
      </c>
      <c r="N225" s="372">
        <f t="shared" ref="N225:N227" si="221">M225*K225*J225*I225</f>
        <v>0</v>
      </c>
      <c r="O225" s="2"/>
      <c r="P225" s="2"/>
      <c r="Q225" s="6"/>
      <c r="R225" s="486" t="s">
        <v>384</v>
      </c>
      <c r="S225" s="487" t="s">
        <v>52</v>
      </c>
      <c r="T225" s="488">
        <f t="shared" si="123"/>
        <v>0</v>
      </c>
      <c r="U225" s="489">
        <f t="shared" si="215"/>
        <v>4</v>
      </c>
      <c r="V225" s="490" t="str">
        <f t="shared" si="216"/>
        <v>#REF!</v>
      </c>
      <c r="W225" s="491">
        <f>(1/2)*$X$173</f>
        <v>2</v>
      </c>
      <c r="X225" s="489">
        <f t="shared" si="217"/>
        <v>16</v>
      </c>
      <c r="Y225" s="492">
        <f t="shared" si="218"/>
        <v>0</v>
      </c>
      <c r="Z225" s="493" t="str">
        <f t="shared" si="219"/>
        <v>#REF!</v>
      </c>
      <c r="AA225" s="494" t="str">
        <f t="shared" si="118"/>
        <v/>
      </c>
      <c r="AB225" s="508"/>
      <c r="AC225" s="580" t="s">
        <v>385</v>
      </c>
      <c r="AD225" s="495"/>
      <c r="AE225" s="488">
        <f t="shared" si="119"/>
        <v>0</v>
      </c>
      <c r="AF225" s="489">
        <f t="shared" si="202"/>
        <v>4</v>
      </c>
      <c r="AG225" s="495" t="str">
        <f t="shared" si="203"/>
        <v/>
      </c>
      <c r="AH225" s="491">
        <f t="shared" si="213"/>
        <v>30</v>
      </c>
      <c r="AI225" s="489">
        <f t="shared" si="204"/>
        <v>240</v>
      </c>
      <c r="AJ225" s="492">
        <f t="shared" si="205"/>
        <v>0</v>
      </c>
      <c r="AK225" s="493">
        <f t="shared" si="206"/>
        <v>0</v>
      </c>
      <c r="AL225" s="494" t="str">
        <f t="shared" si="120"/>
        <v/>
      </c>
      <c r="AM225" s="5"/>
      <c r="AN225" s="509" t="str">
        <f>'Audit Check'!S42</f>
        <v/>
      </c>
      <c r="AO225" s="495"/>
      <c r="AP225" s="488">
        <f t="shared" si="121"/>
        <v>0</v>
      </c>
      <c r="AQ225" s="489">
        <f t="shared" si="207"/>
        <v>4</v>
      </c>
      <c r="AR225" s="495" t="str">
        <f t="shared" si="208"/>
        <v/>
      </c>
      <c r="AS225" s="491">
        <f t="shared" si="214"/>
        <v>30</v>
      </c>
      <c r="AT225" s="489">
        <f t="shared" si="209"/>
        <v>240</v>
      </c>
      <c r="AU225" s="492">
        <f t="shared" si="210"/>
        <v>0</v>
      </c>
      <c r="AV225" s="493">
        <f t="shared" si="211"/>
        <v>0</v>
      </c>
      <c r="AW225" s="494" t="str">
        <f t="shared" si="122"/>
        <v/>
      </c>
      <c r="AX225" s="5"/>
      <c r="AY225" s="5"/>
      <c r="AZ225" s="5"/>
      <c r="BA225" s="5"/>
      <c r="BB225" s="5"/>
      <c r="BC225" s="5"/>
      <c r="BD225" s="5"/>
      <c r="BE225" s="5"/>
      <c r="BF225" s="5"/>
      <c r="BG225" s="5"/>
      <c r="BH225" s="5"/>
    </row>
    <row r="226" ht="12.75" customHeight="1">
      <c r="A226" s="1"/>
      <c r="B226" s="2"/>
      <c r="C226" s="499" t="s">
        <v>279</v>
      </c>
      <c r="D226" s="366"/>
      <c r="E226" s="367"/>
      <c r="F226" s="368"/>
      <c r="G226" s="368"/>
      <c r="H226" s="368"/>
      <c r="I226" s="437">
        <f t="shared" ref="I226:I227" si="222">I225</f>
        <v>1</v>
      </c>
      <c r="J226" s="436">
        <v>0.0</v>
      </c>
      <c r="K226" s="370">
        <v>3000.0</v>
      </c>
      <c r="L226" s="367"/>
      <c r="M226" s="401">
        <v>0.0</v>
      </c>
      <c r="N226" s="372">
        <f t="shared" si="221"/>
        <v>0</v>
      </c>
      <c r="O226" s="2"/>
      <c r="P226" s="2"/>
      <c r="Q226" s="6"/>
      <c r="R226" s="486" t="s">
        <v>143</v>
      </c>
      <c r="S226" s="487" t="s">
        <v>52</v>
      </c>
      <c r="T226" s="488">
        <f t="shared" si="123"/>
        <v>5</v>
      </c>
      <c r="U226" s="489">
        <f t="shared" si="215"/>
        <v>4</v>
      </c>
      <c r="V226" s="490" t="str">
        <f t="shared" si="216"/>
        <v>#REF!</v>
      </c>
      <c r="W226" s="491">
        <f>(4/2)*$X$173</f>
        <v>8</v>
      </c>
      <c r="X226" s="489">
        <f t="shared" si="217"/>
        <v>64</v>
      </c>
      <c r="Y226" s="492">
        <f t="shared" si="218"/>
        <v>0.08</v>
      </c>
      <c r="Z226" s="493" t="str">
        <f t="shared" si="219"/>
        <v>#REF!</v>
      </c>
      <c r="AA226" s="494" t="str">
        <f t="shared" si="118"/>
        <v/>
      </c>
      <c r="AB226" s="508"/>
      <c r="AC226" s="580" t="s">
        <v>386</v>
      </c>
      <c r="AD226" s="495"/>
      <c r="AE226" s="488">
        <f t="shared" si="119"/>
        <v>0</v>
      </c>
      <c r="AF226" s="489">
        <f t="shared" si="202"/>
        <v>4</v>
      </c>
      <c r="AG226" s="495" t="str">
        <f t="shared" si="203"/>
        <v/>
      </c>
      <c r="AH226" s="491">
        <f t="shared" si="213"/>
        <v>30</v>
      </c>
      <c r="AI226" s="489">
        <f t="shared" si="204"/>
        <v>240</v>
      </c>
      <c r="AJ226" s="492">
        <f t="shared" si="205"/>
        <v>0</v>
      </c>
      <c r="AK226" s="493">
        <f t="shared" si="206"/>
        <v>0</v>
      </c>
      <c r="AL226" s="494" t="str">
        <f t="shared" si="120"/>
        <v/>
      </c>
      <c r="AM226" s="5"/>
      <c r="AN226" s="509" t="str">
        <f>'Audit Check'!S43</f>
        <v/>
      </c>
      <c r="AO226" s="495"/>
      <c r="AP226" s="488">
        <f t="shared" si="121"/>
        <v>0</v>
      </c>
      <c r="AQ226" s="489">
        <f t="shared" si="207"/>
        <v>4</v>
      </c>
      <c r="AR226" s="495" t="str">
        <f t="shared" si="208"/>
        <v/>
      </c>
      <c r="AS226" s="491">
        <f t="shared" si="214"/>
        <v>30</v>
      </c>
      <c r="AT226" s="489">
        <f t="shared" si="209"/>
        <v>240</v>
      </c>
      <c r="AU226" s="492">
        <f t="shared" si="210"/>
        <v>0</v>
      </c>
      <c r="AV226" s="493">
        <f t="shared" si="211"/>
        <v>0</v>
      </c>
      <c r="AW226" s="494" t="str">
        <f t="shared" si="122"/>
        <v/>
      </c>
      <c r="AX226" s="5"/>
      <c r="AY226" s="5"/>
      <c r="AZ226" s="5"/>
      <c r="BA226" s="5"/>
      <c r="BB226" s="5"/>
      <c r="BC226" s="5"/>
      <c r="BD226" s="5"/>
      <c r="BE226" s="5"/>
      <c r="BF226" s="5"/>
      <c r="BG226" s="5"/>
      <c r="BH226" s="5"/>
    </row>
    <row r="227" ht="12.75" customHeight="1">
      <c r="A227" s="1"/>
      <c r="B227" s="2"/>
      <c r="C227" s="499" t="s">
        <v>280</v>
      </c>
      <c r="D227" s="366"/>
      <c r="E227" s="367"/>
      <c r="F227" s="368"/>
      <c r="G227" s="368"/>
      <c r="H227" s="368"/>
      <c r="I227" s="437">
        <f t="shared" si="222"/>
        <v>1</v>
      </c>
      <c r="J227" s="436">
        <f>J226</f>
        <v>0</v>
      </c>
      <c r="K227" s="370">
        <v>95.0</v>
      </c>
      <c r="L227" s="367"/>
      <c r="M227" s="361"/>
      <c r="N227" s="372">
        <f t="shared" si="221"/>
        <v>0</v>
      </c>
      <c r="O227" s="2"/>
      <c r="P227" s="2"/>
      <c r="Q227" s="6"/>
      <c r="R227" s="486" t="s">
        <v>144</v>
      </c>
      <c r="S227" s="487" t="s">
        <v>41</v>
      </c>
      <c r="T227" s="488">
        <f t="shared" si="123"/>
        <v>290</v>
      </c>
      <c r="U227" s="489">
        <f t="shared" si="215"/>
        <v>4</v>
      </c>
      <c r="V227" s="490" t="str">
        <f t="shared" si="216"/>
        <v>#REF!</v>
      </c>
      <c r="W227" s="491">
        <f>(10/4)*$X$173</f>
        <v>10</v>
      </c>
      <c r="X227" s="489">
        <f t="shared" si="217"/>
        <v>80</v>
      </c>
      <c r="Y227" s="492">
        <f t="shared" si="218"/>
        <v>3.63</v>
      </c>
      <c r="Z227" s="493" t="str">
        <f t="shared" si="219"/>
        <v>#REF!</v>
      </c>
      <c r="AA227" s="494" t="str">
        <f t="shared" si="118"/>
        <v/>
      </c>
      <c r="AB227" s="508"/>
      <c r="AC227" s="580" t="s">
        <v>387</v>
      </c>
      <c r="AD227" s="495"/>
      <c r="AE227" s="488">
        <f t="shared" si="119"/>
        <v>0</v>
      </c>
      <c r="AF227" s="489">
        <f t="shared" si="202"/>
        <v>4</v>
      </c>
      <c r="AG227" s="495" t="str">
        <f t="shared" si="203"/>
        <v/>
      </c>
      <c r="AH227" s="491">
        <f t="shared" si="213"/>
        <v>30</v>
      </c>
      <c r="AI227" s="489">
        <f t="shared" si="204"/>
        <v>240</v>
      </c>
      <c r="AJ227" s="492">
        <f t="shared" si="205"/>
        <v>0</v>
      </c>
      <c r="AK227" s="493">
        <f t="shared" si="206"/>
        <v>0</v>
      </c>
      <c r="AL227" s="494" t="str">
        <f t="shared" si="120"/>
        <v/>
      </c>
      <c r="AM227" s="5"/>
      <c r="AN227" s="509" t="str">
        <f>'Audit Check'!S44</f>
        <v/>
      </c>
      <c r="AO227" s="495"/>
      <c r="AP227" s="488">
        <f t="shared" si="121"/>
        <v>0</v>
      </c>
      <c r="AQ227" s="489">
        <f t="shared" si="207"/>
        <v>4</v>
      </c>
      <c r="AR227" s="495" t="str">
        <f t="shared" si="208"/>
        <v/>
      </c>
      <c r="AS227" s="491">
        <f t="shared" si="214"/>
        <v>30</v>
      </c>
      <c r="AT227" s="489">
        <f t="shared" si="209"/>
        <v>240</v>
      </c>
      <c r="AU227" s="492">
        <f t="shared" si="210"/>
        <v>0</v>
      </c>
      <c r="AV227" s="493">
        <f t="shared" si="211"/>
        <v>0</v>
      </c>
      <c r="AW227" s="494" t="str">
        <f t="shared" si="122"/>
        <v/>
      </c>
      <c r="AX227" s="5"/>
      <c r="AY227" s="5"/>
      <c r="AZ227" s="5"/>
      <c r="BA227" s="5"/>
      <c r="BB227" s="5"/>
      <c r="BC227" s="5"/>
      <c r="BD227" s="5"/>
      <c r="BE227" s="5"/>
      <c r="BF227" s="5"/>
      <c r="BG227" s="5"/>
      <c r="BH227" s="5"/>
    </row>
    <row r="228" ht="12.75" customHeight="1">
      <c r="A228" s="1"/>
      <c r="B228" s="2"/>
      <c r="C228" s="499" t="s">
        <v>281</v>
      </c>
      <c r="D228" s="366"/>
      <c r="E228" s="367"/>
      <c r="F228" s="368"/>
      <c r="G228" s="368"/>
      <c r="H228" s="368"/>
      <c r="I228" s="505"/>
      <c r="J228" s="505"/>
      <c r="K228" s="511"/>
      <c r="L228" s="367"/>
      <c r="M228" s="361"/>
      <c r="N228" s="372">
        <f>SUM(N226)*0.3</f>
        <v>0</v>
      </c>
      <c r="O228" s="2"/>
      <c r="P228" s="2"/>
      <c r="Q228" s="6"/>
      <c r="R228" s="486" t="s">
        <v>388</v>
      </c>
      <c r="S228" s="487" t="s">
        <v>52</v>
      </c>
      <c r="T228" s="488">
        <f t="shared" si="123"/>
        <v>0</v>
      </c>
      <c r="U228" s="489">
        <f t="shared" si="215"/>
        <v>4</v>
      </c>
      <c r="V228" s="490" t="str">
        <f t="shared" si="216"/>
        <v>#REF!</v>
      </c>
      <c r="W228" s="491">
        <f>(20/1)*$X$173</f>
        <v>80</v>
      </c>
      <c r="X228" s="489">
        <f t="shared" si="217"/>
        <v>640</v>
      </c>
      <c r="Y228" s="492">
        <f t="shared" si="218"/>
        <v>0</v>
      </c>
      <c r="Z228" s="493" t="str">
        <f t="shared" si="219"/>
        <v>#REF!</v>
      </c>
      <c r="AA228" s="494" t="str">
        <f t="shared" si="118"/>
        <v/>
      </c>
      <c r="AB228" s="508"/>
      <c r="AC228" s="580" t="s">
        <v>346</v>
      </c>
      <c r="AD228" s="495"/>
      <c r="AE228" s="488">
        <f t="shared" si="119"/>
        <v>0</v>
      </c>
      <c r="AF228" s="489">
        <f t="shared" si="202"/>
        <v>4</v>
      </c>
      <c r="AG228" s="495" t="str">
        <f t="shared" si="203"/>
        <v/>
      </c>
      <c r="AH228" s="491">
        <f t="shared" si="213"/>
        <v>30</v>
      </c>
      <c r="AI228" s="489">
        <f t="shared" si="204"/>
        <v>240</v>
      </c>
      <c r="AJ228" s="492">
        <f t="shared" si="205"/>
        <v>0</v>
      </c>
      <c r="AK228" s="493">
        <f t="shared" si="206"/>
        <v>0</v>
      </c>
      <c r="AL228" s="494" t="str">
        <f t="shared" si="120"/>
        <v/>
      </c>
      <c r="AM228" s="5"/>
      <c r="AN228" s="509" t="str">
        <f>'Audit Check'!S45</f>
        <v/>
      </c>
      <c r="AO228" s="495"/>
      <c r="AP228" s="488">
        <f t="shared" si="121"/>
        <v>0</v>
      </c>
      <c r="AQ228" s="489">
        <f t="shared" si="207"/>
        <v>4</v>
      </c>
      <c r="AR228" s="495" t="str">
        <f t="shared" si="208"/>
        <v/>
      </c>
      <c r="AS228" s="491">
        <f t="shared" si="214"/>
        <v>30</v>
      </c>
      <c r="AT228" s="489">
        <f t="shared" si="209"/>
        <v>240</v>
      </c>
      <c r="AU228" s="492">
        <f t="shared" si="210"/>
        <v>0</v>
      </c>
      <c r="AV228" s="493">
        <f t="shared" si="211"/>
        <v>0</v>
      </c>
      <c r="AW228" s="494" t="str">
        <f t="shared" si="122"/>
        <v/>
      </c>
      <c r="AX228" s="5"/>
      <c r="AY228" s="5"/>
      <c r="AZ228" s="5"/>
      <c r="BA228" s="5"/>
      <c r="BB228" s="5"/>
      <c r="BC228" s="5"/>
      <c r="BD228" s="5"/>
      <c r="BE228" s="5"/>
      <c r="BF228" s="5"/>
      <c r="BG228" s="5"/>
      <c r="BH228" s="5"/>
    </row>
    <row r="229" ht="12.75" customHeight="1">
      <c r="A229" s="1"/>
      <c r="B229" s="2"/>
      <c r="C229" s="503"/>
      <c r="D229" s="366"/>
      <c r="E229" s="367"/>
      <c r="F229" s="368"/>
      <c r="G229" s="368"/>
      <c r="H229" s="368"/>
      <c r="I229" s="505"/>
      <c r="J229" s="505"/>
      <c r="K229" s="511"/>
      <c r="L229" s="367"/>
      <c r="M229" s="361"/>
      <c r="N229" s="512"/>
      <c r="O229" s="2"/>
      <c r="P229" s="2"/>
      <c r="Q229" s="6"/>
      <c r="R229" s="486" t="s">
        <v>389</v>
      </c>
      <c r="S229" s="487" t="s">
        <v>41</v>
      </c>
      <c r="T229" s="488">
        <f t="shared" si="123"/>
        <v>0</v>
      </c>
      <c r="U229" s="489">
        <f t="shared" si="215"/>
        <v>4</v>
      </c>
      <c r="V229" s="490" t="str">
        <f t="shared" si="216"/>
        <v>#REF!</v>
      </c>
      <c r="W229" s="491">
        <f>(5/4)*$X$173</f>
        <v>5</v>
      </c>
      <c r="X229" s="489">
        <f t="shared" si="217"/>
        <v>40</v>
      </c>
      <c r="Y229" s="492">
        <f t="shared" si="218"/>
        <v>0</v>
      </c>
      <c r="Z229" s="493" t="str">
        <f t="shared" si="219"/>
        <v>#REF!</v>
      </c>
      <c r="AA229" s="494" t="str">
        <f t="shared" si="118"/>
        <v/>
      </c>
      <c r="AB229" s="508"/>
      <c r="AC229" s="580" t="s">
        <v>170</v>
      </c>
      <c r="AD229" s="495"/>
      <c r="AE229" s="488">
        <f t="shared" si="119"/>
        <v>14.74</v>
      </c>
      <c r="AF229" s="489">
        <f t="shared" si="202"/>
        <v>4</v>
      </c>
      <c r="AG229" s="495" t="str">
        <f t="shared" si="203"/>
        <v/>
      </c>
      <c r="AH229" s="491">
        <f t="shared" si="213"/>
        <v>30</v>
      </c>
      <c r="AI229" s="489">
        <f t="shared" si="204"/>
        <v>240</v>
      </c>
      <c r="AJ229" s="492">
        <f t="shared" si="205"/>
        <v>0.07</v>
      </c>
      <c r="AK229" s="493">
        <f t="shared" si="206"/>
        <v>0</v>
      </c>
      <c r="AL229" s="494">
        <f t="shared" si="120"/>
        <v>0</v>
      </c>
      <c r="AM229" s="5"/>
      <c r="AN229" s="509" t="str">
        <f>'Audit Check'!S46</f>
        <v/>
      </c>
      <c r="AO229" s="495"/>
      <c r="AP229" s="488">
        <f t="shared" si="121"/>
        <v>0</v>
      </c>
      <c r="AQ229" s="489">
        <f t="shared" si="207"/>
        <v>4</v>
      </c>
      <c r="AR229" s="495" t="str">
        <f t="shared" si="208"/>
        <v/>
      </c>
      <c r="AS229" s="491">
        <f t="shared" si="214"/>
        <v>30</v>
      </c>
      <c r="AT229" s="489">
        <f t="shared" si="209"/>
        <v>240</v>
      </c>
      <c r="AU229" s="492">
        <f t="shared" si="210"/>
        <v>0</v>
      </c>
      <c r="AV229" s="493">
        <f t="shared" si="211"/>
        <v>0</v>
      </c>
      <c r="AW229" s="494" t="str">
        <f t="shared" si="122"/>
        <v/>
      </c>
      <c r="AX229" s="5"/>
      <c r="AY229" s="5"/>
      <c r="AZ229" s="5"/>
      <c r="BA229" s="5"/>
      <c r="BB229" s="5"/>
      <c r="BC229" s="5"/>
      <c r="BD229" s="5"/>
      <c r="BE229" s="5"/>
      <c r="BF229" s="5"/>
      <c r="BG229" s="5"/>
      <c r="BH229" s="5"/>
    </row>
    <row r="230" ht="12.75" customHeight="1">
      <c r="A230" s="1"/>
      <c r="B230" s="2"/>
      <c r="C230" s="510" t="s">
        <v>282</v>
      </c>
      <c r="D230" s="348"/>
      <c r="E230" s="3"/>
      <c r="F230" s="2"/>
      <c r="G230" s="2"/>
      <c r="H230" s="2"/>
      <c r="I230" s="5"/>
      <c r="J230" s="5"/>
      <c r="K230" s="328"/>
      <c r="L230" s="3"/>
      <c r="M230" s="3"/>
      <c r="N230" s="351"/>
      <c r="O230" s="2"/>
      <c r="P230" s="2"/>
      <c r="Q230" s="6"/>
      <c r="R230" s="486" t="s">
        <v>390</v>
      </c>
      <c r="S230" s="487" t="s">
        <v>41</v>
      </c>
      <c r="T230" s="488">
        <f t="shared" si="123"/>
        <v>0</v>
      </c>
      <c r="U230" s="489">
        <f t="shared" si="215"/>
        <v>4</v>
      </c>
      <c r="V230" s="490" t="str">
        <f t="shared" si="216"/>
        <v>#REF!</v>
      </c>
      <c r="W230" s="491">
        <f>(100/4)*$X$173</f>
        <v>100</v>
      </c>
      <c r="X230" s="489">
        <f t="shared" si="217"/>
        <v>800</v>
      </c>
      <c r="Y230" s="492">
        <f t="shared" si="218"/>
        <v>0</v>
      </c>
      <c r="Z230" s="493" t="str">
        <f t="shared" si="219"/>
        <v>#REF!</v>
      </c>
      <c r="AA230" s="494" t="str">
        <f t="shared" si="118"/>
        <v/>
      </c>
      <c r="AB230" s="508"/>
      <c r="AC230" s="486" t="str">
        <f>'Audit Check'!R47</f>
        <v>W-DPC</v>
      </c>
      <c r="AD230" s="495"/>
      <c r="AE230" s="488">
        <f t="shared" si="119"/>
        <v>14.74</v>
      </c>
      <c r="AF230" s="489">
        <f t="shared" si="202"/>
        <v>4</v>
      </c>
      <c r="AG230" s="495" t="str">
        <f t="shared" si="203"/>
        <v/>
      </c>
      <c r="AH230" s="491">
        <f t="shared" si="213"/>
        <v>30</v>
      </c>
      <c r="AI230" s="489">
        <f t="shared" si="204"/>
        <v>240</v>
      </c>
      <c r="AJ230" s="492">
        <f t="shared" si="205"/>
        <v>0.07</v>
      </c>
      <c r="AK230" s="493">
        <f t="shared" si="206"/>
        <v>0</v>
      </c>
      <c r="AL230" s="494">
        <f t="shared" si="120"/>
        <v>0</v>
      </c>
      <c r="AM230" s="5"/>
      <c r="AN230" s="509" t="str">
        <f>'Audit Check'!S47</f>
        <v/>
      </c>
      <c r="AO230" s="495"/>
      <c r="AP230" s="488">
        <f t="shared" si="121"/>
        <v>0</v>
      </c>
      <c r="AQ230" s="489">
        <f t="shared" si="207"/>
        <v>4</v>
      </c>
      <c r="AR230" s="495" t="str">
        <f t="shared" si="208"/>
        <v/>
      </c>
      <c r="AS230" s="491">
        <f t="shared" si="214"/>
        <v>30</v>
      </c>
      <c r="AT230" s="489">
        <f t="shared" si="209"/>
        <v>240</v>
      </c>
      <c r="AU230" s="492">
        <f t="shared" si="210"/>
        <v>0</v>
      </c>
      <c r="AV230" s="493">
        <f t="shared" si="211"/>
        <v>0</v>
      </c>
      <c r="AW230" s="494" t="str">
        <f t="shared" si="122"/>
        <v/>
      </c>
      <c r="AX230" s="5"/>
      <c r="AY230" s="5"/>
      <c r="AZ230" s="5"/>
      <c r="BA230" s="5"/>
      <c r="BB230" s="5"/>
      <c r="BC230" s="5"/>
      <c r="BD230" s="5"/>
      <c r="BE230" s="5"/>
      <c r="BF230" s="5"/>
      <c r="BG230" s="5"/>
      <c r="BH230" s="5"/>
    </row>
    <row r="231" ht="12.75" customHeight="1">
      <c r="A231" s="1"/>
      <c r="B231" s="2"/>
      <c r="C231" s="499" t="s">
        <v>278</v>
      </c>
      <c r="D231" s="366"/>
      <c r="E231" s="367"/>
      <c r="F231" s="368"/>
      <c r="G231" s="368"/>
      <c r="H231" s="368"/>
      <c r="I231" s="437">
        <v>2.0</v>
      </c>
      <c r="J231" s="436" t="str">
        <f>W176</f>
        <v>#REF!</v>
      </c>
      <c r="K231" s="370">
        <v>500.0</v>
      </c>
      <c r="L231" s="367"/>
      <c r="M231" s="401">
        <v>1.0</v>
      </c>
      <c r="N231" s="372" t="str">
        <f t="shared" ref="N231:N233" si="224">M231*K231*J231*I231</f>
        <v>#REF!</v>
      </c>
      <c r="O231" s="2"/>
      <c r="P231" s="2"/>
      <c r="Q231" s="6"/>
      <c r="R231" s="486" t="s">
        <v>391</v>
      </c>
      <c r="S231" s="487" t="s">
        <v>52</v>
      </c>
      <c r="T231" s="488">
        <f t="shared" si="123"/>
        <v>0</v>
      </c>
      <c r="U231" s="489">
        <f t="shared" si="215"/>
        <v>4</v>
      </c>
      <c r="V231" s="490" t="str">
        <f t="shared" si="216"/>
        <v>#REF!</v>
      </c>
      <c r="W231" s="491">
        <f t="shared" ref="W231:W232" si="225">(10/1)*$X$173</f>
        <v>40</v>
      </c>
      <c r="X231" s="489">
        <f t="shared" si="217"/>
        <v>320</v>
      </c>
      <c r="Y231" s="492">
        <f t="shared" si="218"/>
        <v>0</v>
      </c>
      <c r="Z231" s="493" t="str">
        <f t="shared" si="219"/>
        <v>#REF!</v>
      </c>
      <c r="AA231" s="494" t="str">
        <f t="shared" si="118"/>
        <v/>
      </c>
      <c r="AB231" s="508"/>
      <c r="AC231" s="486" t="str">
        <f>'Audit Check'!R48</f>
        <v/>
      </c>
      <c r="AD231" s="495"/>
      <c r="AE231" s="488">
        <f t="shared" si="119"/>
        <v>0</v>
      </c>
      <c r="AF231" s="489">
        <f t="shared" si="202"/>
        <v>4</v>
      </c>
      <c r="AG231" s="495" t="str">
        <f t="shared" si="203"/>
        <v/>
      </c>
      <c r="AH231" s="491">
        <f t="shared" si="213"/>
        <v>30</v>
      </c>
      <c r="AI231" s="489">
        <f t="shared" si="204"/>
        <v>240</v>
      </c>
      <c r="AJ231" s="492">
        <f t="shared" si="205"/>
        <v>0</v>
      </c>
      <c r="AK231" s="493">
        <f t="shared" si="206"/>
        <v>0</v>
      </c>
      <c r="AL231" s="494" t="str">
        <f t="shared" si="120"/>
        <v/>
      </c>
      <c r="AM231" s="5"/>
      <c r="AN231" s="509" t="str">
        <f>'Audit Check'!S48</f>
        <v/>
      </c>
      <c r="AO231" s="495"/>
      <c r="AP231" s="488">
        <f t="shared" si="121"/>
        <v>0</v>
      </c>
      <c r="AQ231" s="489">
        <f t="shared" si="207"/>
        <v>4</v>
      </c>
      <c r="AR231" s="495" t="str">
        <f t="shared" si="208"/>
        <v/>
      </c>
      <c r="AS231" s="491">
        <f t="shared" si="214"/>
        <v>30</v>
      </c>
      <c r="AT231" s="489">
        <f t="shared" si="209"/>
        <v>240</v>
      </c>
      <c r="AU231" s="492">
        <f t="shared" si="210"/>
        <v>0</v>
      </c>
      <c r="AV231" s="493">
        <f t="shared" si="211"/>
        <v>0</v>
      </c>
      <c r="AW231" s="494" t="str">
        <f t="shared" si="122"/>
        <v/>
      </c>
      <c r="AX231" s="5"/>
      <c r="AY231" s="5"/>
      <c r="AZ231" s="5"/>
      <c r="BA231" s="5"/>
      <c r="BB231" s="5"/>
      <c r="BC231" s="5"/>
      <c r="BD231" s="5"/>
      <c r="BE231" s="5"/>
      <c r="BF231" s="5"/>
      <c r="BG231" s="5"/>
      <c r="BH231" s="5"/>
    </row>
    <row r="232" ht="12.75" customHeight="1">
      <c r="A232" s="1"/>
      <c r="B232" s="2"/>
      <c r="C232" s="499" t="s">
        <v>279</v>
      </c>
      <c r="D232" s="366"/>
      <c r="E232" s="367"/>
      <c r="F232" s="368"/>
      <c r="G232" s="368"/>
      <c r="H232" s="368"/>
      <c r="I232" s="437">
        <f t="shared" ref="I232:J232" si="223">I231</f>
        <v>2</v>
      </c>
      <c r="J232" s="436" t="str">
        <f t="shared" si="223"/>
        <v>#REF!</v>
      </c>
      <c r="K232" s="370">
        <v>1200.0</v>
      </c>
      <c r="L232" s="367"/>
      <c r="M232" s="401">
        <v>1.0</v>
      </c>
      <c r="N232" s="372" t="str">
        <f t="shared" si="224"/>
        <v>#REF!</v>
      </c>
      <c r="O232" s="2"/>
      <c r="P232" s="2"/>
      <c r="Q232" s="2"/>
      <c r="R232" s="580" t="s">
        <v>63</v>
      </c>
      <c r="S232" s="487" t="s">
        <v>52</v>
      </c>
      <c r="T232" s="488">
        <f t="shared" si="123"/>
        <v>1748.09</v>
      </c>
      <c r="U232" s="489">
        <f t="shared" si="215"/>
        <v>4</v>
      </c>
      <c r="V232" s="490" t="str">
        <f t="shared" si="216"/>
        <v>#REF!</v>
      </c>
      <c r="W232" s="491">
        <f t="shared" si="225"/>
        <v>40</v>
      </c>
      <c r="X232" s="489">
        <f t="shared" si="217"/>
        <v>320</v>
      </c>
      <c r="Y232" s="492">
        <f t="shared" si="218"/>
        <v>5.47</v>
      </c>
      <c r="Z232" s="493" t="str">
        <f t="shared" si="219"/>
        <v>#REF!</v>
      </c>
      <c r="AA232" s="494" t="str">
        <f t="shared" si="118"/>
        <v/>
      </c>
      <c r="AB232" s="508"/>
      <c r="AC232" s="486" t="str">
        <f>'Audit Check'!R49</f>
        <v/>
      </c>
      <c r="AD232" s="495"/>
      <c r="AE232" s="488">
        <f t="shared" si="119"/>
        <v>0</v>
      </c>
      <c r="AF232" s="489">
        <f t="shared" si="202"/>
        <v>4</v>
      </c>
      <c r="AG232" s="495" t="str">
        <f t="shared" si="203"/>
        <v/>
      </c>
      <c r="AH232" s="491">
        <f t="shared" si="213"/>
        <v>30</v>
      </c>
      <c r="AI232" s="489">
        <f t="shared" si="204"/>
        <v>240</v>
      </c>
      <c r="AJ232" s="492">
        <f t="shared" si="205"/>
        <v>0</v>
      </c>
      <c r="AK232" s="493">
        <f t="shared" si="206"/>
        <v>0</v>
      </c>
      <c r="AL232" s="494" t="str">
        <f t="shared" si="120"/>
        <v/>
      </c>
      <c r="AM232" s="5"/>
      <c r="AN232" s="509" t="str">
        <f>'Audit Check'!S49</f>
        <v/>
      </c>
      <c r="AO232" s="495"/>
      <c r="AP232" s="488">
        <f t="shared" si="121"/>
        <v>0</v>
      </c>
      <c r="AQ232" s="489">
        <f t="shared" si="207"/>
        <v>4</v>
      </c>
      <c r="AR232" s="495" t="str">
        <f t="shared" si="208"/>
        <v/>
      </c>
      <c r="AS232" s="491">
        <f t="shared" si="214"/>
        <v>30</v>
      </c>
      <c r="AT232" s="489">
        <f t="shared" si="209"/>
        <v>240</v>
      </c>
      <c r="AU232" s="492">
        <f t="shared" si="210"/>
        <v>0</v>
      </c>
      <c r="AV232" s="493">
        <f t="shared" si="211"/>
        <v>0</v>
      </c>
      <c r="AW232" s="494" t="str">
        <f t="shared" si="122"/>
        <v/>
      </c>
      <c r="AX232" s="5"/>
      <c r="AY232" s="5"/>
      <c r="AZ232" s="5"/>
      <c r="BA232" s="5"/>
      <c r="BB232" s="5"/>
      <c r="BC232" s="5"/>
      <c r="BD232" s="5"/>
      <c r="BE232" s="5"/>
      <c r="BF232" s="5"/>
      <c r="BG232" s="5"/>
      <c r="BH232" s="5"/>
    </row>
    <row r="233" ht="12.75" customHeight="1">
      <c r="A233" s="1"/>
      <c r="B233" s="2"/>
      <c r="C233" s="499" t="s">
        <v>280</v>
      </c>
      <c r="D233" s="366"/>
      <c r="E233" s="367"/>
      <c r="F233" s="368"/>
      <c r="G233" s="368"/>
      <c r="H233" s="368"/>
      <c r="I233" s="437">
        <f t="shared" ref="I233:J233" si="226">I232</f>
        <v>2</v>
      </c>
      <c r="J233" s="436" t="str">
        <f t="shared" si="226"/>
        <v>#REF!</v>
      </c>
      <c r="K233" s="370">
        <v>95.0</v>
      </c>
      <c r="L233" s="367"/>
      <c r="M233" s="361"/>
      <c r="N233" s="372" t="str">
        <f t="shared" si="224"/>
        <v>#REF!</v>
      </c>
      <c r="O233" s="2"/>
      <c r="P233" s="2"/>
      <c r="Q233" s="2"/>
      <c r="R233" s="580" t="s">
        <v>66</v>
      </c>
      <c r="S233" s="487" t="s">
        <v>55</v>
      </c>
      <c r="T233" s="488">
        <f t="shared" si="123"/>
        <v>3496.18</v>
      </c>
      <c r="U233" s="489">
        <f t="shared" si="215"/>
        <v>4</v>
      </c>
      <c r="V233" s="490" t="str">
        <f t="shared" si="216"/>
        <v>#REF!</v>
      </c>
      <c r="W233" s="491">
        <f>(10/2)*$X$173</f>
        <v>20</v>
      </c>
      <c r="X233" s="489">
        <f t="shared" si="217"/>
        <v>160</v>
      </c>
      <c r="Y233" s="492">
        <f t="shared" si="218"/>
        <v>21.86</v>
      </c>
      <c r="Z233" s="493" t="str">
        <f t="shared" si="219"/>
        <v>#REF!</v>
      </c>
      <c r="AA233" s="494" t="str">
        <f t="shared" si="118"/>
        <v/>
      </c>
      <c r="AB233" s="508"/>
      <c r="AC233" s="486" t="str">
        <f>'Audit Check'!R50</f>
        <v/>
      </c>
      <c r="AD233" s="495"/>
      <c r="AE233" s="488">
        <f t="shared" si="119"/>
        <v>0</v>
      </c>
      <c r="AF233" s="489">
        <f t="shared" si="202"/>
        <v>4</v>
      </c>
      <c r="AG233" s="495" t="str">
        <f t="shared" si="203"/>
        <v/>
      </c>
      <c r="AH233" s="491">
        <f t="shared" si="213"/>
        <v>30</v>
      </c>
      <c r="AI233" s="489">
        <f t="shared" si="204"/>
        <v>240</v>
      </c>
      <c r="AJ233" s="492">
        <f t="shared" si="205"/>
        <v>0</v>
      </c>
      <c r="AK233" s="493">
        <f t="shared" si="206"/>
        <v>0</v>
      </c>
      <c r="AL233" s="494" t="str">
        <f t="shared" si="120"/>
        <v/>
      </c>
      <c r="AM233" s="5"/>
      <c r="AN233" s="509" t="str">
        <f>'Audit Check'!S50</f>
        <v/>
      </c>
      <c r="AO233" s="495"/>
      <c r="AP233" s="488">
        <f t="shared" si="121"/>
        <v>0</v>
      </c>
      <c r="AQ233" s="489">
        <f t="shared" si="207"/>
        <v>4</v>
      </c>
      <c r="AR233" s="495" t="str">
        <f t="shared" si="208"/>
        <v/>
      </c>
      <c r="AS233" s="491">
        <f t="shared" si="214"/>
        <v>30</v>
      </c>
      <c r="AT233" s="489">
        <f t="shared" si="209"/>
        <v>240</v>
      </c>
      <c r="AU233" s="492">
        <f t="shared" si="210"/>
        <v>0</v>
      </c>
      <c r="AV233" s="493">
        <f t="shared" si="211"/>
        <v>0</v>
      </c>
      <c r="AW233" s="494" t="str">
        <f t="shared" si="122"/>
        <v/>
      </c>
      <c r="AX233" s="5"/>
      <c r="AY233" s="5"/>
      <c r="AZ233" s="5"/>
      <c r="BA233" s="5"/>
      <c r="BB233" s="5"/>
      <c r="BC233" s="5"/>
      <c r="BD233" s="5"/>
      <c r="BE233" s="5"/>
      <c r="BF233" s="5"/>
      <c r="BG233" s="5"/>
      <c r="BH233" s="5"/>
    </row>
    <row r="234" ht="12.75" customHeight="1">
      <c r="A234" s="1"/>
      <c r="B234" s="2"/>
      <c r="C234" s="499" t="s">
        <v>281</v>
      </c>
      <c r="D234" s="366"/>
      <c r="E234" s="367"/>
      <c r="F234" s="368"/>
      <c r="G234" s="368"/>
      <c r="H234" s="368"/>
      <c r="I234" s="505"/>
      <c r="J234" s="505"/>
      <c r="K234" s="511"/>
      <c r="L234" s="367"/>
      <c r="M234" s="361"/>
      <c r="N234" s="372" t="str">
        <f>SUM(N232)*0.3</f>
        <v>#REF!</v>
      </c>
      <c r="O234" s="2"/>
      <c r="P234" s="2"/>
      <c r="Q234" s="2"/>
      <c r="R234" s="486" t="s">
        <v>392</v>
      </c>
      <c r="S234" s="487" t="s">
        <v>55</v>
      </c>
      <c r="T234" s="488">
        <f t="shared" si="123"/>
        <v>0</v>
      </c>
      <c r="U234" s="489">
        <f t="shared" si="215"/>
        <v>4</v>
      </c>
      <c r="V234" s="490" t="str">
        <f t="shared" si="216"/>
        <v>#REF!</v>
      </c>
      <c r="W234" s="491">
        <f>(6/3)*$X$173</f>
        <v>8</v>
      </c>
      <c r="X234" s="489">
        <f t="shared" si="217"/>
        <v>64</v>
      </c>
      <c r="Y234" s="492">
        <f t="shared" si="218"/>
        <v>0</v>
      </c>
      <c r="Z234" s="493" t="str">
        <f t="shared" si="219"/>
        <v>#REF!</v>
      </c>
      <c r="AA234" s="494" t="str">
        <f t="shared" si="118"/>
        <v/>
      </c>
      <c r="AB234" s="508"/>
      <c r="AC234" s="509" t="str">
        <f>'Audit Check'!R82</f>
        <v/>
      </c>
      <c r="AD234" s="495"/>
      <c r="AE234" s="488">
        <f t="shared" si="119"/>
        <v>0</v>
      </c>
      <c r="AF234" s="489">
        <f t="shared" si="202"/>
        <v>4</v>
      </c>
      <c r="AG234" s="495" t="str">
        <f t="shared" si="203"/>
        <v/>
      </c>
      <c r="AH234" s="491">
        <f t="shared" si="213"/>
        <v>30</v>
      </c>
      <c r="AI234" s="489">
        <f t="shared" si="204"/>
        <v>240</v>
      </c>
      <c r="AJ234" s="492">
        <f t="shared" si="205"/>
        <v>0</v>
      </c>
      <c r="AK234" s="493">
        <f t="shared" si="206"/>
        <v>0</v>
      </c>
      <c r="AL234" s="494" t="str">
        <f t="shared" si="120"/>
        <v/>
      </c>
      <c r="AM234" s="5"/>
      <c r="AN234" s="509" t="str">
        <f>'Audit Check'!S51</f>
        <v/>
      </c>
      <c r="AO234" s="495"/>
      <c r="AP234" s="488">
        <f t="shared" si="121"/>
        <v>0</v>
      </c>
      <c r="AQ234" s="489">
        <f t="shared" si="207"/>
        <v>4</v>
      </c>
      <c r="AR234" s="495" t="str">
        <f t="shared" si="208"/>
        <v/>
      </c>
      <c r="AS234" s="491">
        <f t="shared" si="214"/>
        <v>30</v>
      </c>
      <c r="AT234" s="489">
        <f t="shared" si="209"/>
        <v>240</v>
      </c>
      <c r="AU234" s="492">
        <f t="shared" si="210"/>
        <v>0</v>
      </c>
      <c r="AV234" s="493">
        <f t="shared" si="211"/>
        <v>0</v>
      </c>
      <c r="AW234" s="494" t="str">
        <f t="shared" si="122"/>
        <v/>
      </c>
      <c r="AX234" s="5"/>
      <c r="AY234" s="5"/>
      <c r="AZ234" s="5"/>
      <c r="BA234" s="5"/>
      <c r="BB234" s="5"/>
      <c r="BC234" s="5"/>
      <c r="BD234" s="5"/>
      <c r="BE234" s="5"/>
      <c r="BF234" s="5"/>
      <c r="BG234" s="5"/>
      <c r="BH234" s="5"/>
    </row>
    <row r="235" ht="12.75" customHeight="1">
      <c r="A235" s="1"/>
      <c r="B235" s="2"/>
      <c r="C235" s="503"/>
      <c r="D235" s="366"/>
      <c r="E235" s="367"/>
      <c r="F235" s="368"/>
      <c r="G235" s="368"/>
      <c r="H235" s="368"/>
      <c r="I235" s="505"/>
      <c r="J235" s="513"/>
      <c r="K235" s="511"/>
      <c r="L235" s="367"/>
      <c r="M235" s="361"/>
      <c r="N235" s="512"/>
      <c r="O235" s="2"/>
      <c r="P235" s="2"/>
      <c r="Q235" s="2"/>
      <c r="R235" s="486" t="s">
        <v>393</v>
      </c>
      <c r="S235" s="487" t="s">
        <v>52</v>
      </c>
      <c r="T235" s="488">
        <f t="shared" si="123"/>
        <v>0</v>
      </c>
      <c r="U235" s="489">
        <f t="shared" si="215"/>
        <v>4</v>
      </c>
      <c r="V235" s="490" t="str">
        <f t="shared" si="216"/>
        <v>#REF!</v>
      </c>
      <c r="W235" s="491">
        <f>(15/1)*$X$173</f>
        <v>60</v>
      </c>
      <c r="X235" s="489">
        <f t="shared" si="217"/>
        <v>480</v>
      </c>
      <c r="Y235" s="492">
        <f t="shared" si="218"/>
        <v>0</v>
      </c>
      <c r="Z235" s="493" t="str">
        <f t="shared" si="219"/>
        <v>#REF!</v>
      </c>
      <c r="AA235" s="494" t="str">
        <f t="shared" si="118"/>
        <v/>
      </c>
      <c r="AB235" s="508"/>
      <c r="AC235" s="509" t="str">
        <f>'Audit Check'!R83</f>
        <v/>
      </c>
      <c r="AD235" s="495"/>
      <c r="AE235" s="488">
        <f t="shared" si="119"/>
        <v>0</v>
      </c>
      <c r="AF235" s="489">
        <f t="shared" si="202"/>
        <v>4</v>
      </c>
      <c r="AG235" s="495" t="str">
        <f t="shared" si="203"/>
        <v/>
      </c>
      <c r="AH235" s="491">
        <f t="shared" si="213"/>
        <v>30</v>
      </c>
      <c r="AI235" s="489">
        <f t="shared" si="204"/>
        <v>240</v>
      </c>
      <c r="AJ235" s="492">
        <f t="shared" si="205"/>
        <v>0</v>
      </c>
      <c r="AK235" s="493">
        <f t="shared" si="206"/>
        <v>0</v>
      </c>
      <c r="AL235" s="494" t="str">
        <f t="shared" si="120"/>
        <v/>
      </c>
      <c r="AM235" s="5"/>
      <c r="AN235" s="515" t="str">
        <f>'Audit Check'!S52</f>
        <v/>
      </c>
      <c r="AO235" s="495"/>
      <c r="AP235" s="488">
        <f t="shared" si="121"/>
        <v>0</v>
      </c>
      <c r="AQ235" s="489">
        <f t="shared" si="207"/>
        <v>4</v>
      </c>
      <c r="AR235" s="495" t="str">
        <f t="shared" si="208"/>
        <v/>
      </c>
      <c r="AS235" s="491">
        <f t="shared" si="214"/>
        <v>30</v>
      </c>
      <c r="AT235" s="489">
        <f t="shared" si="209"/>
        <v>240</v>
      </c>
      <c r="AU235" s="492">
        <f t="shared" si="210"/>
        <v>0</v>
      </c>
      <c r="AV235" s="493">
        <f t="shared" si="211"/>
        <v>0</v>
      </c>
      <c r="AW235" s="494" t="str">
        <f t="shared" si="122"/>
        <v/>
      </c>
      <c r="AX235" s="5"/>
      <c r="AY235" s="5"/>
      <c r="AZ235" s="5"/>
      <c r="BA235" s="5"/>
      <c r="BB235" s="5"/>
      <c r="BC235" s="5"/>
      <c r="BD235" s="5"/>
      <c r="BE235" s="5"/>
      <c r="BF235" s="5"/>
      <c r="BG235" s="5"/>
      <c r="BH235" s="5"/>
    </row>
    <row r="236" ht="12.75" customHeight="1">
      <c r="A236" s="1"/>
      <c r="B236" s="2"/>
      <c r="C236" s="503"/>
      <c r="D236" s="366"/>
      <c r="E236" s="367"/>
      <c r="F236" s="368"/>
      <c r="G236" s="368"/>
      <c r="H236" s="368"/>
      <c r="I236" s="505"/>
      <c r="J236" s="505"/>
      <c r="K236" s="505"/>
      <c r="L236" s="367"/>
      <c r="M236" s="367"/>
      <c r="N236" s="512"/>
      <c r="O236" s="2"/>
      <c r="P236" s="2"/>
      <c r="Q236" s="2"/>
      <c r="R236" s="580" t="s">
        <v>60</v>
      </c>
      <c r="S236" s="487" t="s">
        <v>52</v>
      </c>
      <c r="T236" s="488">
        <f t="shared" si="123"/>
        <v>1748.09</v>
      </c>
      <c r="U236" s="496"/>
      <c r="V236" s="495"/>
      <c r="W236" s="496"/>
      <c r="X236" s="496"/>
      <c r="Y236" s="496"/>
      <c r="Z236" s="497"/>
      <c r="AA236" s="494">
        <f t="shared" si="118"/>
        <v>0</v>
      </c>
      <c r="AB236" s="508"/>
      <c r="AC236" s="5"/>
      <c r="AD236" s="468"/>
      <c r="AE236" s="548"/>
      <c r="AF236" s="549">
        <f>AVERAGE(AF185:AF210)</f>
        <v>4</v>
      </c>
      <c r="AG236" s="468"/>
      <c r="AH236" s="550"/>
      <c r="AI236" s="555" t="str">
        <f>AI173</f>
        <v/>
      </c>
      <c r="AJ236" s="552" t="str">
        <f t="shared" ref="AJ236:AK236" si="227">SUM(AJ185:AJ235)</f>
        <v>#REF!</v>
      </c>
      <c r="AK236" s="553" t="str">
        <f t="shared" si="227"/>
        <v>#REF!</v>
      </c>
      <c r="AL236" s="554" t="str">
        <f>AK236/AJ236/AI236</f>
        <v>#REF!</v>
      </c>
      <c r="AM236" s="5"/>
      <c r="AN236" s="515" t="str">
        <f>'Audit Check'!S53</f>
        <v/>
      </c>
      <c r="AO236" s="495"/>
      <c r="AP236" s="488">
        <f t="shared" si="121"/>
        <v>0</v>
      </c>
      <c r="AQ236" s="489">
        <f t="shared" si="207"/>
        <v>4</v>
      </c>
      <c r="AR236" s="495" t="str">
        <f t="shared" si="208"/>
        <v/>
      </c>
      <c r="AS236" s="491">
        <f t="shared" si="214"/>
        <v>30</v>
      </c>
      <c r="AT236" s="489">
        <f t="shared" si="209"/>
        <v>240</v>
      </c>
      <c r="AU236" s="492">
        <f t="shared" si="210"/>
        <v>0</v>
      </c>
      <c r="AV236" s="493">
        <f t="shared" si="211"/>
        <v>0</v>
      </c>
      <c r="AW236" s="494" t="str">
        <f t="shared" si="122"/>
        <v/>
      </c>
      <c r="AX236" s="5"/>
      <c r="AY236" s="5"/>
      <c r="AZ236" s="5"/>
      <c r="BA236" s="5"/>
      <c r="BB236" s="5"/>
      <c r="BC236" s="5"/>
      <c r="BD236" s="5"/>
      <c r="BE236" s="5"/>
      <c r="BF236" s="5"/>
      <c r="BG236" s="5"/>
      <c r="BH236" s="5"/>
    </row>
    <row r="237" ht="12.75" customHeight="1">
      <c r="A237" s="1"/>
      <c r="B237" s="2"/>
      <c r="C237" s="2"/>
      <c r="D237" s="2"/>
      <c r="E237" s="3"/>
      <c r="F237" s="2"/>
      <c r="G237" s="2"/>
      <c r="H237" s="2"/>
      <c r="I237" s="5"/>
      <c r="J237" s="5"/>
      <c r="K237" s="5"/>
      <c r="L237" s="3"/>
      <c r="M237" s="3"/>
      <c r="N237" s="4"/>
      <c r="O237" s="2"/>
      <c r="P237" s="2"/>
      <c r="Q237" s="2"/>
      <c r="R237" s="486" t="s">
        <v>394</v>
      </c>
      <c r="S237" s="487" t="s">
        <v>52</v>
      </c>
      <c r="T237" s="488">
        <f t="shared" si="123"/>
        <v>0</v>
      </c>
      <c r="U237" s="496"/>
      <c r="V237" s="495"/>
      <c r="W237" s="496"/>
      <c r="X237" s="496"/>
      <c r="Y237" s="496"/>
      <c r="Z237" s="497"/>
      <c r="AA237" s="494" t="str">
        <f t="shared" si="118"/>
        <v/>
      </c>
      <c r="AB237" s="508"/>
      <c r="AC237" s="5"/>
      <c r="AD237" s="5"/>
      <c r="AE237" s="6"/>
      <c r="AF237" s="6"/>
      <c r="AG237" s="5"/>
      <c r="AH237" s="6"/>
      <c r="AI237" s="551">
        <v>8.0</v>
      </c>
      <c r="AJ237" s="552" t="str">
        <f>AI236/AI237*AJ236</f>
        <v>#REF!</v>
      </c>
      <c r="AK237" s="553" t="str">
        <f>AL236*AJ237*AI237</f>
        <v>#REF!</v>
      </c>
      <c r="AL237" s="5"/>
      <c r="AM237" s="5"/>
      <c r="AN237" s="515" t="str">
        <f>'Audit Check'!S54</f>
        <v/>
      </c>
      <c r="AO237" s="495"/>
      <c r="AP237" s="488">
        <f t="shared" si="121"/>
        <v>0</v>
      </c>
      <c r="AQ237" s="489">
        <f t="shared" si="207"/>
        <v>4</v>
      </c>
      <c r="AR237" s="495" t="str">
        <f t="shared" si="208"/>
        <v/>
      </c>
      <c r="AS237" s="491">
        <f t="shared" si="214"/>
        <v>30</v>
      </c>
      <c r="AT237" s="489">
        <f t="shared" si="209"/>
        <v>240</v>
      </c>
      <c r="AU237" s="492">
        <f t="shared" si="210"/>
        <v>0</v>
      </c>
      <c r="AV237" s="493">
        <f t="shared" si="211"/>
        <v>0</v>
      </c>
      <c r="AW237" s="494" t="str">
        <f t="shared" si="122"/>
        <v/>
      </c>
      <c r="AX237" s="5"/>
      <c r="AY237" s="5"/>
      <c r="AZ237" s="5"/>
      <c r="BA237" s="5"/>
      <c r="BB237" s="5"/>
      <c r="BC237" s="5"/>
      <c r="BD237" s="5"/>
      <c r="BE237" s="5"/>
      <c r="BF237" s="5"/>
      <c r="BG237" s="5"/>
      <c r="BH237" s="5"/>
    </row>
    <row r="238" ht="12.75" customHeight="1">
      <c r="A238" s="1"/>
      <c r="B238" s="2"/>
      <c r="C238" s="510" t="s">
        <v>283</v>
      </c>
      <c r="D238" s="348"/>
      <c r="E238" s="3"/>
      <c r="F238" s="2"/>
      <c r="G238" s="2"/>
      <c r="H238" s="2"/>
      <c r="I238" s="5"/>
      <c r="J238" s="328"/>
      <c r="K238" s="328"/>
      <c r="L238" s="3"/>
      <c r="M238" s="3"/>
      <c r="N238" s="351"/>
      <c r="O238" s="2"/>
      <c r="P238" s="2"/>
      <c r="Q238" s="2"/>
      <c r="R238" s="486" t="s">
        <v>395</v>
      </c>
      <c r="S238" s="487" t="s">
        <v>52</v>
      </c>
      <c r="T238" s="488">
        <f t="shared" si="123"/>
        <v>0</v>
      </c>
      <c r="U238" s="496"/>
      <c r="V238" s="495"/>
      <c r="W238" s="496"/>
      <c r="X238" s="496"/>
      <c r="Y238" s="496"/>
      <c r="Z238" s="497"/>
      <c r="AA238" s="494" t="str">
        <f t="shared" si="118"/>
        <v/>
      </c>
      <c r="AB238" s="5"/>
      <c r="AC238" s="2"/>
      <c r="AD238" s="5"/>
      <c r="AE238" s="5"/>
      <c r="AF238" s="6"/>
      <c r="AG238" s="5"/>
      <c r="AH238" s="5"/>
      <c r="AI238" s="5"/>
      <c r="AJ238" s="5"/>
      <c r="AK238" s="5"/>
      <c r="AL238" s="2"/>
      <c r="AM238" s="5"/>
      <c r="AN238" s="515" t="str">
        <f>'Audit Check'!S55</f>
        <v/>
      </c>
      <c r="AO238" s="495"/>
      <c r="AP238" s="488">
        <f t="shared" si="121"/>
        <v>0</v>
      </c>
      <c r="AQ238" s="489">
        <f t="shared" si="207"/>
        <v>4</v>
      </c>
      <c r="AR238" s="495" t="str">
        <f t="shared" si="208"/>
        <v/>
      </c>
      <c r="AS238" s="491">
        <f t="shared" si="214"/>
        <v>30</v>
      </c>
      <c r="AT238" s="489">
        <f t="shared" si="209"/>
        <v>240</v>
      </c>
      <c r="AU238" s="492">
        <f t="shared" si="210"/>
        <v>0</v>
      </c>
      <c r="AV238" s="493">
        <f t="shared" si="211"/>
        <v>0</v>
      </c>
      <c r="AW238" s="494" t="str">
        <f t="shared" si="122"/>
        <v/>
      </c>
      <c r="AX238" s="5"/>
      <c r="AY238" s="5"/>
      <c r="AZ238" s="5"/>
      <c r="BA238" s="5"/>
      <c r="BB238" s="5"/>
      <c r="BC238" s="5"/>
      <c r="BD238" s="5"/>
      <c r="BE238" s="5"/>
      <c r="BF238" s="5"/>
      <c r="BG238" s="5"/>
      <c r="BH238" s="5"/>
    </row>
    <row r="239" ht="12.75" customHeight="1">
      <c r="A239" s="1"/>
      <c r="B239" s="12" t="s">
        <v>176</v>
      </c>
      <c r="C239" s="499" t="s">
        <v>278</v>
      </c>
      <c r="D239" s="366"/>
      <c r="E239" s="367"/>
      <c r="F239" s="368"/>
      <c r="G239" s="368"/>
      <c r="H239" s="368"/>
      <c r="I239" s="437">
        <v>1.0</v>
      </c>
      <c r="J239" s="436" t="str">
        <f t="shared" ref="J239:J240" si="228">J231</f>
        <v>#REF!</v>
      </c>
      <c r="K239" s="370">
        <v>225.0</v>
      </c>
      <c r="L239" s="367"/>
      <c r="M239" s="401">
        <v>0.0</v>
      </c>
      <c r="N239" s="372" t="str">
        <f t="shared" ref="N239:N241" si="229">M239*K239*J239*I239</f>
        <v>#REF!</v>
      </c>
      <c r="O239" s="5"/>
      <c r="P239" s="314"/>
      <c r="Q239" s="2"/>
      <c r="R239" s="486" t="s">
        <v>101</v>
      </c>
      <c r="S239" s="487" t="s">
        <v>52</v>
      </c>
      <c r="T239" s="488">
        <f t="shared" si="123"/>
        <v>708.9173838</v>
      </c>
      <c r="U239" s="489">
        <f t="shared" ref="U239:U274" si="230">$X$173</f>
        <v>4</v>
      </c>
      <c r="V239" s="490" t="str">
        <f t="shared" ref="V239:V274" si="231">AC$176</f>
        <v>#REF!</v>
      </c>
      <c r="W239" s="491">
        <f t="shared" ref="W239:W274" si="232">(10/1)*$X$173</f>
        <v>40</v>
      </c>
      <c r="X239" s="489">
        <f t="shared" ref="X239:X274" si="233">W239*W$183</f>
        <v>320</v>
      </c>
      <c r="Y239" s="492">
        <f t="shared" ref="Y239:Y274" si="234">ROUNDUP(T239/X239,2)</f>
        <v>2.22</v>
      </c>
      <c r="Z239" s="493" t="str">
        <f t="shared" ref="Z239:Z274" si="235">Y239*V239*U239*W$183</f>
        <v>#REF!</v>
      </c>
      <c r="AA239" s="494" t="str">
        <f t="shared" si="118"/>
        <v/>
      </c>
      <c r="AB239" s="5"/>
      <c r="AC239" s="2"/>
      <c r="AD239" s="5"/>
      <c r="AE239" s="5"/>
      <c r="AF239" s="6"/>
      <c r="AG239" s="5"/>
      <c r="AH239" s="5"/>
      <c r="AI239" s="5"/>
      <c r="AJ239" s="5"/>
      <c r="AK239" s="5"/>
      <c r="AL239" s="2"/>
      <c r="AM239" s="5"/>
      <c r="AN239" s="515" t="str">
        <f>'Audit Check'!S56</f>
        <v/>
      </c>
      <c r="AO239" s="495"/>
      <c r="AP239" s="488">
        <f t="shared" si="121"/>
        <v>0</v>
      </c>
      <c r="AQ239" s="489">
        <f t="shared" si="207"/>
        <v>4</v>
      </c>
      <c r="AR239" s="495" t="str">
        <f t="shared" si="208"/>
        <v/>
      </c>
      <c r="AS239" s="491">
        <f t="shared" si="214"/>
        <v>30</v>
      </c>
      <c r="AT239" s="489">
        <f t="shared" si="209"/>
        <v>240</v>
      </c>
      <c r="AU239" s="492">
        <f t="shared" si="210"/>
        <v>0</v>
      </c>
      <c r="AV239" s="493">
        <f t="shared" si="211"/>
        <v>0</v>
      </c>
      <c r="AW239" s="494" t="str">
        <f t="shared" si="122"/>
        <v/>
      </c>
      <c r="AX239" s="5"/>
      <c r="AY239" s="5"/>
      <c r="AZ239" s="5"/>
      <c r="BA239" s="5"/>
      <c r="BB239" s="5"/>
      <c r="BC239" s="5"/>
      <c r="BD239" s="5"/>
      <c r="BE239" s="5"/>
      <c r="BF239" s="5"/>
      <c r="BG239" s="5"/>
      <c r="BH239" s="5"/>
    </row>
    <row r="240" ht="12.75" customHeight="1">
      <c r="A240" s="1"/>
      <c r="B240" s="2"/>
      <c r="C240" s="499" t="s">
        <v>279</v>
      </c>
      <c r="D240" s="366"/>
      <c r="E240" s="367"/>
      <c r="F240" s="368"/>
      <c r="G240" s="368"/>
      <c r="H240" s="368"/>
      <c r="I240" s="437">
        <f t="shared" ref="I240:I241" si="236">I239</f>
        <v>1</v>
      </c>
      <c r="J240" s="436" t="str">
        <f t="shared" si="228"/>
        <v>#REF!</v>
      </c>
      <c r="K240" s="370">
        <v>285.0</v>
      </c>
      <c r="L240" s="367"/>
      <c r="M240" s="401">
        <v>0.0</v>
      </c>
      <c r="N240" s="372" t="str">
        <f t="shared" si="229"/>
        <v>#REF!</v>
      </c>
      <c r="O240" s="2"/>
      <c r="P240" s="314"/>
      <c r="Q240" s="314"/>
      <c r="R240" s="580" t="s">
        <v>124</v>
      </c>
      <c r="S240" s="495"/>
      <c r="T240" s="488">
        <f t="shared" si="123"/>
        <v>127</v>
      </c>
      <c r="U240" s="489">
        <f t="shared" si="230"/>
        <v>4</v>
      </c>
      <c r="V240" s="490" t="str">
        <f t="shared" si="231"/>
        <v>#REF!</v>
      </c>
      <c r="W240" s="491">
        <f t="shared" si="232"/>
        <v>40</v>
      </c>
      <c r="X240" s="489">
        <f t="shared" si="233"/>
        <v>320</v>
      </c>
      <c r="Y240" s="492">
        <f t="shared" si="234"/>
        <v>0.4</v>
      </c>
      <c r="Z240" s="493" t="str">
        <f t="shared" si="235"/>
        <v>#REF!</v>
      </c>
      <c r="AA240" s="494" t="str">
        <f t="shared" si="118"/>
        <v/>
      </c>
      <c r="AB240" s="5"/>
      <c r="AC240" s="2"/>
      <c r="AD240" s="5"/>
      <c r="AE240" s="5"/>
      <c r="AF240" s="6"/>
      <c r="AG240" s="5"/>
      <c r="AH240" s="5"/>
      <c r="AI240" s="5"/>
      <c r="AJ240" s="5"/>
      <c r="AK240" s="5"/>
      <c r="AL240" s="2"/>
      <c r="AM240" s="5"/>
      <c r="AN240" s="515" t="str">
        <f>'Audit Check'!S57</f>
        <v/>
      </c>
      <c r="AO240" s="495"/>
      <c r="AP240" s="488">
        <f t="shared" si="121"/>
        <v>0</v>
      </c>
      <c r="AQ240" s="489">
        <f t="shared" si="207"/>
        <v>4</v>
      </c>
      <c r="AR240" s="495" t="str">
        <f t="shared" si="208"/>
        <v/>
      </c>
      <c r="AS240" s="491">
        <f t="shared" si="214"/>
        <v>30</v>
      </c>
      <c r="AT240" s="489">
        <f t="shared" si="209"/>
        <v>240</v>
      </c>
      <c r="AU240" s="492">
        <f t="shared" si="210"/>
        <v>0</v>
      </c>
      <c r="AV240" s="493">
        <f t="shared" si="211"/>
        <v>0</v>
      </c>
      <c r="AW240" s="494" t="str">
        <f t="shared" si="122"/>
        <v/>
      </c>
      <c r="AX240" s="5"/>
      <c r="AY240" s="5"/>
      <c r="AZ240" s="5"/>
      <c r="BA240" s="5"/>
      <c r="BB240" s="5"/>
      <c r="BC240" s="5"/>
      <c r="BD240" s="5"/>
      <c r="BE240" s="5"/>
      <c r="BF240" s="5"/>
      <c r="BG240" s="5"/>
      <c r="BH240" s="5"/>
    </row>
    <row r="241" ht="12.75" customHeight="1">
      <c r="A241" s="1"/>
      <c r="B241" s="2"/>
      <c r="C241" s="499" t="s">
        <v>280</v>
      </c>
      <c r="D241" s="366"/>
      <c r="E241" s="367"/>
      <c r="F241" s="368"/>
      <c r="G241" s="368"/>
      <c r="H241" s="368"/>
      <c r="I241" s="437">
        <f t="shared" si="236"/>
        <v>1</v>
      </c>
      <c r="J241" s="505"/>
      <c r="K241" s="370">
        <v>95.0</v>
      </c>
      <c r="L241" s="367"/>
      <c r="M241" s="361"/>
      <c r="N241" s="372">
        <f t="shared" si="229"/>
        <v>0</v>
      </c>
      <c r="O241" s="2"/>
      <c r="P241" s="314"/>
      <c r="Q241" s="314"/>
      <c r="R241" s="486" t="s">
        <v>92</v>
      </c>
      <c r="S241" s="495"/>
      <c r="T241" s="488" t="str">
        <f t="shared" si="123"/>
        <v>#REF!</v>
      </c>
      <c r="U241" s="489">
        <f t="shared" si="230"/>
        <v>4</v>
      </c>
      <c r="V241" s="490" t="str">
        <f t="shared" si="231"/>
        <v>#REF!</v>
      </c>
      <c r="W241" s="491">
        <f t="shared" si="232"/>
        <v>40</v>
      </c>
      <c r="X241" s="489">
        <f t="shared" si="233"/>
        <v>320</v>
      </c>
      <c r="Y241" s="492" t="str">
        <f t="shared" si="234"/>
        <v>#REF!</v>
      </c>
      <c r="Z241" s="493" t="str">
        <f t="shared" si="235"/>
        <v>#REF!</v>
      </c>
      <c r="AA241" s="494" t="str">
        <f t="shared" si="118"/>
        <v/>
      </c>
      <c r="AB241" s="5"/>
      <c r="AC241" s="2"/>
      <c r="AD241" s="5"/>
      <c r="AE241" s="5"/>
      <c r="AF241" s="6"/>
      <c r="AG241" s="5"/>
      <c r="AH241" s="5"/>
      <c r="AI241" s="5"/>
      <c r="AJ241" s="5"/>
      <c r="AK241" s="5"/>
      <c r="AL241" s="2"/>
      <c r="AM241" s="5"/>
      <c r="AN241" s="515" t="str">
        <f>'Audit Check'!S58</f>
        <v/>
      </c>
      <c r="AO241" s="495"/>
      <c r="AP241" s="488">
        <f t="shared" si="121"/>
        <v>0</v>
      </c>
      <c r="AQ241" s="489">
        <f t="shared" si="207"/>
        <v>4</v>
      </c>
      <c r="AR241" s="495" t="str">
        <f t="shared" si="208"/>
        <v/>
      </c>
      <c r="AS241" s="491">
        <f t="shared" si="214"/>
        <v>30</v>
      </c>
      <c r="AT241" s="489">
        <f t="shared" si="209"/>
        <v>240</v>
      </c>
      <c r="AU241" s="492">
        <f t="shared" si="210"/>
        <v>0</v>
      </c>
      <c r="AV241" s="493">
        <f t="shared" si="211"/>
        <v>0</v>
      </c>
      <c r="AW241" s="494" t="str">
        <f t="shared" si="122"/>
        <v/>
      </c>
      <c r="AX241" s="5"/>
      <c r="AY241" s="5"/>
      <c r="AZ241" s="5"/>
      <c r="BA241" s="5"/>
      <c r="BB241" s="5"/>
      <c r="BC241" s="5"/>
      <c r="BD241" s="5"/>
      <c r="BE241" s="5"/>
      <c r="BF241" s="5"/>
      <c r="BG241" s="5"/>
      <c r="BH241" s="5"/>
    </row>
    <row r="242" ht="12.75" customHeight="1">
      <c r="A242" s="1"/>
      <c r="B242" s="2"/>
      <c r="C242" s="499" t="s">
        <v>281</v>
      </c>
      <c r="D242" s="366"/>
      <c r="E242" s="367"/>
      <c r="F242" s="368"/>
      <c r="G242" s="368"/>
      <c r="H242" s="368"/>
      <c r="I242" s="505"/>
      <c r="J242" s="505"/>
      <c r="K242" s="511"/>
      <c r="L242" s="367"/>
      <c r="M242" s="361"/>
      <c r="N242" s="372" t="str">
        <f>SUM(N240)*0.3</f>
        <v>#REF!</v>
      </c>
      <c r="O242" s="2"/>
      <c r="P242" s="314"/>
      <c r="Q242" s="314"/>
      <c r="R242" s="486" t="s">
        <v>396</v>
      </c>
      <c r="S242" s="495"/>
      <c r="T242" s="488">
        <f t="shared" si="123"/>
        <v>0</v>
      </c>
      <c r="U242" s="489">
        <f t="shared" si="230"/>
        <v>4</v>
      </c>
      <c r="V242" s="490" t="str">
        <f t="shared" si="231"/>
        <v>#REF!</v>
      </c>
      <c r="W242" s="491">
        <f t="shared" si="232"/>
        <v>40</v>
      </c>
      <c r="X242" s="489">
        <f t="shared" si="233"/>
        <v>320</v>
      </c>
      <c r="Y242" s="492">
        <f t="shared" si="234"/>
        <v>0</v>
      </c>
      <c r="Z242" s="493" t="str">
        <f t="shared" si="235"/>
        <v>#REF!</v>
      </c>
      <c r="AA242" s="494" t="str">
        <f t="shared" si="118"/>
        <v/>
      </c>
      <c r="AB242" s="5"/>
      <c r="AC242" s="2"/>
      <c r="AD242" s="5"/>
      <c r="AE242" s="5"/>
      <c r="AF242" s="6"/>
      <c r="AG242" s="5"/>
      <c r="AH242" s="5"/>
      <c r="AI242" s="5"/>
      <c r="AJ242" s="5"/>
      <c r="AK242" s="5"/>
      <c r="AL242" s="2"/>
      <c r="AM242" s="5"/>
      <c r="AN242" s="515" t="str">
        <f>'Audit Check'!S59</f>
        <v/>
      </c>
      <c r="AO242" s="495"/>
      <c r="AP242" s="488">
        <f t="shared" si="121"/>
        <v>0</v>
      </c>
      <c r="AQ242" s="489">
        <f t="shared" si="207"/>
        <v>4</v>
      </c>
      <c r="AR242" s="495" t="str">
        <f t="shared" si="208"/>
        <v/>
      </c>
      <c r="AS242" s="491">
        <f t="shared" si="214"/>
        <v>30</v>
      </c>
      <c r="AT242" s="489">
        <f t="shared" si="209"/>
        <v>240</v>
      </c>
      <c r="AU242" s="492">
        <f t="shared" si="210"/>
        <v>0</v>
      </c>
      <c r="AV242" s="493">
        <f t="shared" si="211"/>
        <v>0</v>
      </c>
      <c r="AW242" s="494" t="str">
        <f t="shared" si="122"/>
        <v/>
      </c>
      <c r="AX242" s="5"/>
      <c r="AY242" s="5"/>
      <c r="AZ242" s="5"/>
      <c r="BA242" s="5"/>
      <c r="BB242" s="5"/>
      <c r="BC242" s="5"/>
      <c r="BD242" s="5"/>
      <c r="BE242" s="5"/>
      <c r="BF242" s="5"/>
      <c r="BG242" s="5"/>
      <c r="BH242" s="5"/>
    </row>
    <row r="243" ht="12.75" customHeight="1">
      <c r="A243" s="1"/>
      <c r="B243" s="2"/>
      <c r="C243" s="503"/>
      <c r="D243" s="366"/>
      <c r="E243" s="367"/>
      <c r="F243" s="368"/>
      <c r="G243" s="368"/>
      <c r="H243" s="368"/>
      <c r="I243" s="505"/>
      <c r="J243" s="513"/>
      <c r="K243" s="511"/>
      <c r="L243" s="367"/>
      <c r="M243" s="361"/>
      <c r="N243" s="512"/>
      <c r="O243" s="2"/>
      <c r="P243" s="314"/>
      <c r="Q243" s="314"/>
      <c r="R243" s="486" t="s">
        <v>397</v>
      </c>
      <c r="S243" s="495"/>
      <c r="T243" s="488">
        <f t="shared" si="123"/>
        <v>0</v>
      </c>
      <c r="U243" s="489">
        <f t="shared" si="230"/>
        <v>4</v>
      </c>
      <c r="V243" s="490" t="str">
        <f t="shared" si="231"/>
        <v>#REF!</v>
      </c>
      <c r="W243" s="491">
        <f t="shared" si="232"/>
        <v>40</v>
      </c>
      <c r="X243" s="489">
        <f t="shared" si="233"/>
        <v>320</v>
      </c>
      <c r="Y243" s="492">
        <f t="shared" si="234"/>
        <v>0</v>
      </c>
      <c r="Z243" s="493" t="str">
        <f t="shared" si="235"/>
        <v>#REF!</v>
      </c>
      <c r="AA243" s="494" t="str">
        <f t="shared" si="118"/>
        <v/>
      </c>
      <c r="AB243" s="5"/>
      <c r="AC243" s="2"/>
      <c r="AD243" s="5"/>
      <c r="AE243" s="5"/>
      <c r="AF243" s="6"/>
      <c r="AG243" s="5"/>
      <c r="AH243" s="5"/>
      <c r="AI243" s="5"/>
      <c r="AJ243" s="5"/>
      <c r="AK243" s="5"/>
      <c r="AL243" s="2"/>
      <c r="AM243" s="5"/>
      <c r="AN243" s="515" t="str">
        <f>'Audit Check'!S60</f>
        <v/>
      </c>
      <c r="AO243" s="495"/>
      <c r="AP243" s="488">
        <f t="shared" si="121"/>
        <v>0</v>
      </c>
      <c r="AQ243" s="489">
        <f t="shared" si="207"/>
        <v>4</v>
      </c>
      <c r="AR243" s="495" t="str">
        <f t="shared" si="208"/>
        <v/>
      </c>
      <c r="AS243" s="491">
        <f t="shared" si="214"/>
        <v>30</v>
      </c>
      <c r="AT243" s="489">
        <f t="shared" si="209"/>
        <v>240</v>
      </c>
      <c r="AU243" s="492">
        <f t="shared" si="210"/>
        <v>0</v>
      </c>
      <c r="AV243" s="493">
        <f t="shared" si="211"/>
        <v>0</v>
      </c>
      <c r="AW243" s="494" t="str">
        <f t="shared" si="122"/>
        <v/>
      </c>
      <c r="AX243" s="5"/>
      <c r="AY243" s="5"/>
      <c r="AZ243" s="5"/>
      <c r="BA243" s="5"/>
      <c r="BB243" s="5"/>
      <c r="BC243" s="5"/>
      <c r="BD243" s="5"/>
      <c r="BE243" s="5"/>
      <c r="BF243" s="5"/>
      <c r="BG243" s="5"/>
      <c r="BH243" s="5"/>
    </row>
    <row r="244" ht="12.75" customHeight="1">
      <c r="A244" s="1"/>
      <c r="B244" s="2"/>
      <c r="C244" s="516"/>
      <c r="D244" s="517"/>
      <c r="E244" s="367"/>
      <c r="F244" s="518"/>
      <c r="G244" s="518"/>
      <c r="H244" s="518"/>
      <c r="I244" s="505"/>
      <c r="J244" s="505"/>
      <c r="K244" s="505"/>
      <c r="L244" s="367"/>
      <c r="M244" s="367"/>
      <c r="N244" s="512"/>
      <c r="O244" s="2"/>
      <c r="P244" s="314"/>
      <c r="Q244" s="314"/>
      <c r="R244" s="486" t="s">
        <v>40</v>
      </c>
      <c r="S244" s="495"/>
      <c r="T244" s="488" t="str">
        <f t="shared" si="123"/>
        <v>#REF!</v>
      </c>
      <c r="U244" s="489">
        <f t="shared" si="230"/>
        <v>4</v>
      </c>
      <c r="V244" s="490" t="str">
        <f t="shared" si="231"/>
        <v>#REF!</v>
      </c>
      <c r="W244" s="491">
        <f t="shared" si="232"/>
        <v>40</v>
      </c>
      <c r="X244" s="489">
        <f t="shared" si="233"/>
        <v>320</v>
      </c>
      <c r="Y244" s="492" t="str">
        <f t="shared" si="234"/>
        <v>#REF!</v>
      </c>
      <c r="Z244" s="493" t="str">
        <f t="shared" si="235"/>
        <v>#REF!</v>
      </c>
      <c r="AA244" s="494" t="str">
        <f t="shared" si="118"/>
        <v/>
      </c>
      <c r="AB244" s="508"/>
      <c r="AC244" s="2"/>
      <c r="AD244" s="5"/>
      <c r="AE244" s="5"/>
      <c r="AF244" s="6"/>
      <c r="AG244" s="5"/>
      <c r="AH244" s="5"/>
      <c r="AI244" s="5"/>
      <c r="AJ244" s="5"/>
      <c r="AK244" s="5"/>
      <c r="AL244" s="2"/>
      <c r="AM244" s="508"/>
      <c r="AN244" s="515" t="str">
        <f>'Audit Check'!S61</f>
        <v/>
      </c>
      <c r="AO244" s="495"/>
      <c r="AP244" s="488">
        <f t="shared" si="121"/>
        <v>0</v>
      </c>
      <c r="AQ244" s="489">
        <f t="shared" si="207"/>
        <v>4</v>
      </c>
      <c r="AR244" s="495" t="str">
        <f t="shared" si="208"/>
        <v/>
      </c>
      <c r="AS244" s="491">
        <f t="shared" si="214"/>
        <v>30</v>
      </c>
      <c r="AT244" s="489">
        <f t="shared" si="209"/>
        <v>240</v>
      </c>
      <c r="AU244" s="492">
        <f t="shared" si="210"/>
        <v>0</v>
      </c>
      <c r="AV244" s="493">
        <f t="shared" si="211"/>
        <v>0</v>
      </c>
      <c r="AW244" s="494" t="str">
        <f t="shared" si="122"/>
        <v/>
      </c>
      <c r="AX244" s="5"/>
      <c r="AY244" s="5"/>
      <c r="AZ244" s="5"/>
      <c r="BA244" s="5"/>
      <c r="BB244" s="5"/>
      <c r="BC244" s="5"/>
      <c r="BD244" s="5"/>
      <c r="BE244" s="5"/>
      <c r="BF244" s="5"/>
      <c r="BG244" s="5"/>
      <c r="BH244" s="5"/>
    </row>
    <row r="245" ht="12.75" customHeight="1">
      <c r="A245" s="1"/>
      <c r="B245" s="2"/>
      <c r="C245" s="376"/>
      <c r="D245" s="348"/>
      <c r="E245" s="3"/>
      <c r="F245" s="2"/>
      <c r="G245" s="2"/>
      <c r="H245" s="2"/>
      <c r="I245" s="2"/>
      <c r="J245" s="2"/>
      <c r="K245" s="328"/>
      <c r="L245" s="3"/>
      <c r="M245" s="3"/>
      <c r="N245" s="351"/>
      <c r="O245" s="2"/>
      <c r="P245" s="314"/>
      <c r="Q245" s="314"/>
      <c r="R245" s="486" t="s">
        <v>99</v>
      </c>
      <c r="S245" s="495"/>
      <c r="T245" s="488">
        <f t="shared" si="123"/>
        <v>4.701345845</v>
      </c>
      <c r="U245" s="489">
        <f t="shared" si="230"/>
        <v>4</v>
      </c>
      <c r="V245" s="490" t="str">
        <f t="shared" si="231"/>
        <v>#REF!</v>
      </c>
      <c r="W245" s="491">
        <f t="shared" si="232"/>
        <v>40</v>
      </c>
      <c r="X245" s="489">
        <f t="shared" si="233"/>
        <v>320</v>
      </c>
      <c r="Y245" s="492">
        <f t="shared" si="234"/>
        <v>0.02</v>
      </c>
      <c r="Z245" s="493" t="str">
        <f t="shared" si="235"/>
        <v>#REF!</v>
      </c>
      <c r="AA245" s="494" t="str">
        <f t="shared" si="118"/>
        <v/>
      </c>
      <c r="AB245" s="508"/>
      <c r="AC245" s="2"/>
      <c r="AD245" s="5"/>
      <c r="AE245" s="5"/>
      <c r="AF245" s="6"/>
      <c r="AG245" s="5"/>
      <c r="AH245" s="5"/>
      <c r="AI245" s="5"/>
      <c r="AJ245" s="5"/>
      <c r="AK245" s="5"/>
      <c r="AL245" s="2"/>
      <c r="AM245" s="508"/>
      <c r="AN245" s="515" t="str">
        <f>'Audit Check'!S62</f>
        <v/>
      </c>
      <c r="AO245" s="495"/>
      <c r="AP245" s="488">
        <f t="shared" si="121"/>
        <v>0</v>
      </c>
      <c r="AQ245" s="489">
        <f t="shared" si="207"/>
        <v>4</v>
      </c>
      <c r="AR245" s="495" t="str">
        <f t="shared" si="208"/>
        <v/>
      </c>
      <c r="AS245" s="491">
        <f t="shared" si="214"/>
        <v>30</v>
      </c>
      <c r="AT245" s="489">
        <f t="shared" si="209"/>
        <v>240</v>
      </c>
      <c r="AU245" s="492">
        <f t="shared" si="210"/>
        <v>0</v>
      </c>
      <c r="AV245" s="493">
        <f t="shared" si="211"/>
        <v>0</v>
      </c>
      <c r="AW245" s="494" t="str">
        <f t="shared" si="122"/>
        <v/>
      </c>
      <c r="AX245" s="5"/>
      <c r="AY245" s="5"/>
      <c r="AZ245" s="5"/>
      <c r="BA245" s="5"/>
      <c r="BB245" s="5"/>
      <c r="BC245" s="5"/>
      <c r="BD245" s="5"/>
      <c r="BE245" s="5"/>
      <c r="BF245" s="5"/>
      <c r="BG245" s="5"/>
      <c r="BH245" s="5"/>
    </row>
    <row r="246" ht="12.75" customHeight="1">
      <c r="A246" s="1"/>
      <c r="B246" s="2"/>
      <c r="C246" s="329" t="s">
        <v>284</v>
      </c>
      <c r="D246" s="330"/>
      <c r="E246" s="331"/>
      <c r="F246" s="332"/>
      <c r="G246" s="332"/>
      <c r="H246" s="332"/>
      <c r="I246" s="519"/>
      <c r="J246" s="332"/>
      <c r="K246" s="520"/>
      <c r="L246" s="331"/>
      <c r="M246" s="521">
        <f t="shared" ref="M246:N246" si="237">SUM(M247:M252)</f>
        <v>0</v>
      </c>
      <c r="N246" s="381" t="str">
        <f t="shared" si="237"/>
        <v>#REF!</v>
      </c>
      <c r="O246" s="2"/>
      <c r="P246" s="314"/>
      <c r="Q246" s="314"/>
      <c r="R246" s="486" t="s">
        <v>398</v>
      </c>
      <c r="S246" s="495"/>
      <c r="T246" s="488">
        <f t="shared" si="123"/>
        <v>0</v>
      </c>
      <c r="U246" s="489">
        <f t="shared" si="230"/>
        <v>4</v>
      </c>
      <c r="V246" s="490" t="str">
        <f t="shared" si="231"/>
        <v>#REF!</v>
      </c>
      <c r="W246" s="491">
        <f t="shared" si="232"/>
        <v>40</v>
      </c>
      <c r="X246" s="489">
        <f t="shared" si="233"/>
        <v>320</v>
      </c>
      <c r="Y246" s="492">
        <f t="shared" si="234"/>
        <v>0</v>
      </c>
      <c r="Z246" s="493" t="str">
        <f t="shared" si="235"/>
        <v>#REF!</v>
      </c>
      <c r="AA246" s="494" t="str">
        <f t="shared" si="118"/>
        <v/>
      </c>
      <c r="AB246" s="5"/>
      <c r="AC246" s="2"/>
      <c r="AD246" s="5"/>
      <c r="AE246" s="5"/>
      <c r="AF246" s="6"/>
      <c r="AG246" s="5"/>
      <c r="AH246" s="5"/>
      <c r="AI246" s="5"/>
      <c r="AJ246" s="5"/>
      <c r="AK246" s="5"/>
      <c r="AL246" s="2"/>
      <c r="AM246" s="5"/>
      <c r="AN246" s="515" t="str">
        <f>'Audit Check'!S63</f>
        <v/>
      </c>
      <c r="AO246" s="495"/>
      <c r="AP246" s="488">
        <f t="shared" si="121"/>
        <v>0</v>
      </c>
      <c r="AQ246" s="489">
        <f t="shared" si="207"/>
        <v>4</v>
      </c>
      <c r="AR246" s="495" t="str">
        <f t="shared" si="208"/>
        <v/>
      </c>
      <c r="AS246" s="491">
        <f t="shared" si="214"/>
        <v>30</v>
      </c>
      <c r="AT246" s="489">
        <f t="shared" si="209"/>
        <v>240</v>
      </c>
      <c r="AU246" s="492">
        <f t="shared" si="210"/>
        <v>0</v>
      </c>
      <c r="AV246" s="493">
        <f t="shared" si="211"/>
        <v>0</v>
      </c>
      <c r="AW246" s="494" t="str">
        <f t="shared" si="122"/>
        <v/>
      </c>
      <c r="AX246" s="5"/>
      <c r="AY246" s="5"/>
      <c r="AZ246" s="5"/>
      <c r="BA246" s="5"/>
      <c r="BB246" s="5"/>
      <c r="BC246" s="5"/>
      <c r="BD246" s="5"/>
      <c r="BE246" s="5"/>
      <c r="BF246" s="5"/>
      <c r="BG246" s="5"/>
      <c r="BH246" s="5"/>
    </row>
    <row r="247" ht="12.75" customHeight="1">
      <c r="A247" s="1"/>
      <c r="B247" s="2"/>
      <c r="C247" s="499" t="s">
        <v>285</v>
      </c>
      <c r="D247" s="366"/>
      <c r="E247" s="367"/>
      <c r="F247" s="368"/>
      <c r="G247" s="368"/>
      <c r="H247" s="368"/>
      <c r="I247" s="437">
        <f t="shared" ref="I247:I248" si="238">T186</f>
        <v>67.16</v>
      </c>
      <c r="J247" s="437">
        <v>26.0</v>
      </c>
      <c r="K247" s="505"/>
      <c r="L247" s="401">
        <v>0.0</v>
      </c>
      <c r="M247" s="361"/>
      <c r="N247" s="372">
        <f t="shared" ref="N247:N248" si="239">J247*I247*L247</f>
        <v>0</v>
      </c>
      <c r="O247" s="2"/>
      <c r="P247" s="314"/>
      <c r="Q247" s="314"/>
      <c r="R247" s="486" t="s">
        <v>399</v>
      </c>
      <c r="S247" s="495"/>
      <c r="T247" s="488">
        <f t="shared" si="123"/>
        <v>0</v>
      </c>
      <c r="U247" s="489">
        <f t="shared" si="230"/>
        <v>4</v>
      </c>
      <c r="V247" s="490" t="str">
        <f t="shared" si="231"/>
        <v>#REF!</v>
      </c>
      <c r="W247" s="491">
        <f t="shared" si="232"/>
        <v>40</v>
      </c>
      <c r="X247" s="489">
        <f t="shared" si="233"/>
        <v>320</v>
      </c>
      <c r="Y247" s="492">
        <f t="shared" si="234"/>
        <v>0</v>
      </c>
      <c r="Z247" s="493" t="str">
        <f t="shared" si="235"/>
        <v>#REF!</v>
      </c>
      <c r="AA247" s="494" t="str">
        <f t="shared" si="118"/>
        <v/>
      </c>
      <c r="AB247" s="5"/>
      <c r="AC247" s="2"/>
      <c r="AD247" s="5"/>
      <c r="AE247" s="5"/>
      <c r="AF247" s="6"/>
      <c r="AG247" s="5"/>
      <c r="AH247" s="5"/>
      <c r="AI247" s="5"/>
      <c r="AJ247" s="5"/>
      <c r="AK247" s="5"/>
      <c r="AL247" s="2"/>
      <c r="AM247" s="5"/>
      <c r="AN247" s="515" t="str">
        <f>'Audit Check'!S64</f>
        <v/>
      </c>
      <c r="AO247" s="495"/>
      <c r="AP247" s="488">
        <f t="shared" si="121"/>
        <v>0</v>
      </c>
      <c r="AQ247" s="489">
        <f t="shared" si="207"/>
        <v>4</v>
      </c>
      <c r="AR247" s="495" t="str">
        <f t="shared" si="208"/>
        <v/>
      </c>
      <c r="AS247" s="491">
        <f t="shared" si="214"/>
        <v>30</v>
      </c>
      <c r="AT247" s="489">
        <f t="shared" si="209"/>
        <v>240</v>
      </c>
      <c r="AU247" s="492">
        <f t="shared" si="210"/>
        <v>0</v>
      </c>
      <c r="AV247" s="493">
        <f t="shared" si="211"/>
        <v>0</v>
      </c>
      <c r="AW247" s="494" t="str">
        <f t="shared" si="122"/>
        <v/>
      </c>
      <c r="AX247" s="5"/>
      <c r="AY247" s="5"/>
      <c r="AZ247" s="5"/>
      <c r="BA247" s="5"/>
      <c r="BB247" s="5"/>
      <c r="BC247" s="5"/>
      <c r="BD247" s="5"/>
      <c r="BE247" s="5"/>
      <c r="BF247" s="5"/>
      <c r="BG247" s="5"/>
      <c r="BH247" s="5"/>
    </row>
    <row r="248" ht="12.75" customHeight="1">
      <c r="A248" s="1"/>
      <c r="B248" s="2"/>
      <c r="C248" s="499" t="s">
        <v>286</v>
      </c>
      <c r="D248" s="366"/>
      <c r="E248" s="367"/>
      <c r="F248" s="368"/>
      <c r="G248" s="368"/>
      <c r="H248" s="368"/>
      <c r="I248" s="437">
        <f t="shared" si="238"/>
        <v>10</v>
      </c>
      <c r="J248" s="437">
        <v>200.0</v>
      </c>
      <c r="K248" s="505"/>
      <c r="L248" s="401">
        <v>0.0</v>
      </c>
      <c r="M248" s="361"/>
      <c r="N248" s="372">
        <f t="shared" si="239"/>
        <v>0</v>
      </c>
      <c r="O248" s="2"/>
      <c r="P248" s="314"/>
      <c r="Q248" s="314"/>
      <c r="R248" s="486" t="s">
        <v>400</v>
      </c>
      <c r="S248" s="495"/>
      <c r="T248" s="488">
        <f t="shared" si="123"/>
        <v>0</v>
      </c>
      <c r="U248" s="489">
        <f t="shared" si="230"/>
        <v>4</v>
      </c>
      <c r="V248" s="490" t="str">
        <f t="shared" si="231"/>
        <v>#REF!</v>
      </c>
      <c r="W248" s="491">
        <f t="shared" si="232"/>
        <v>40</v>
      </c>
      <c r="X248" s="489">
        <f t="shared" si="233"/>
        <v>320</v>
      </c>
      <c r="Y248" s="492">
        <f t="shared" si="234"/>
        <v>0</v>
      </c>
      <c r="Z248" s="493" t="str">
        <f t="shared" si="235"/>
        <v>#REF!</v>
      </c>
      <c r="AA248" s="494" t="str">
        <f t="shared" si="118"/>
        <v/>
      </c>
      <c r="AB248" s="5"/>
      <c r="AC248" s="2"/>
      <c r="AD248" s="5"/>
      <c r="AE248" s="5"/>
      <c r="AF248" s="6"/>
      <c r="AG248" s="5"/>
      <c r="AH248" s="5"/>
      <c r="AI248" s="5"/>
      <c r="AJ248" s="5"/>
      <c r="AK248" s="5"/>
      <c r="AL248" s="2"/>
      <c r="AM248" s="5"/>
      <c r="AN248" s="515" t="str">
        <f>'Audit Check'!S65</f>
        <v/>
      </c>
      <c r="AO248" s="495"/>
      <c r="AP248" s="488">
        <f t="shared" si="121"/>
        <v>0</v>
      </c>
      <c r="AQ248" s="489">
        <f t="shared" si="207"/>
        <v>4</v>
      </c>
      <c r="AR248" s="495" t="str">
        <f t="shared" si="208"/>
        <v/>
      </c>
      <c r="AS248" s="491">
        <f t="shared" si="214"/>
        <v>30</v>
      </c>
      <c r="AT248" s="489">
        <f t="shared" si="209"/>
        <v>240</v>
      </c>
      <c r="AU248" s="492">
        <f t="shared" si="210"/>
        <v>0</v>
      </c>
      <c r="AV248" s="493">
        <f t="shared" si="211"/>
        <v>0</v>
      </c>
      <c r="AW248" s="494" t="str">
        <f t="shared" si="122"/>
        <v/>
      </c>
      <c r="AX248" s="5"/>
      <c r="AY248" s="5"/>
      <c r="AZ248" s="5"/>
      <c r="BA248" s="5"/>
      <c r="BB248" s="5"/>
      <c r="BC248" s="5"/>
      <c r="BD248" s="5"/>
      <c r="BE248" s="5"/>
      <c r="BF248" s="5"/>
      <c r="BG248" s="5"/>
      <c r="BH248" s="5"/>
    </row>
    <row r="249" ht="12.75" customHeight="1">
      <c r="A249" s="1"/>
      <c r="B249" s="2"/>
      <c r="C249" s="522" t="s">
        <v>287</v>
      </c>
      <c r="D249" s="523"/>
      <c r="E249" s="367"/>
      <c r="F249" s="524"/>
      <c r="G249" s="524"/>
      <c r="H249" s="524"/>
      <c r="I249" s="437">
        <f t="shared" ref="I249:I250" si="240">I247</f>
        <v>67.16</v>
      </c>
      <c r="J249" s="437" t="str">
        <f>W176</f>
        <v>#REF!</v>
      </c>
      <c r="K249" s="437">
        <v>3.0</v>
      </c>
      <c r="L249" s="401">
        <v>0.0</v>
      </c>
      <c r="M249" s="361"/>
      <c r="N249" s="372" t="str">
        <f t="shared" ref="N249:N250" si="241">K249*J249*I249*L249</f>
        <v>#REF!</v>
      </c>
      <c r="O249" s="2"/>
      <c r="P249" s="314"/>
      <c r="Q249" s="314"/>
      <c r="R249" s="486" t="s">
        <v>401</v>
      </c>
      <c r="S249" s="495"/>
      <c r="T249" s="488">
        <f t="shared" si="123"/>
        <v>0</v>
      </c>
      <c r="U249" s="489">
        <f t="shared" si="230"/>
        <v>4</v>
      </c>
      <c r="V249" s="490" t="str">
        <f t="shared" si="231"/>
        <v>#REF!</v>
      </c>
      <c r="W249" s="491">
        <f t="shared" si="232"/>
        <v>40</v>
      </c>
      <c r="X249" s="489">
        <f t="shared" si="233"/>
        <v>320</v>
      </c>
      <c r="Y249" s="492">
        <f t="shared" si="234"/>
        <v>0</v>
      </c>
      <c r="Z249" s="493" t="str">
        <f t="shared" si="235"/>
        <v>#REF!</v>
      </c>
      <c r="AA249" s="494" t="str">
        <f t="shared" si="118"/>
        <v/>
      </c>
      <c r="AB249" s="5"/>
      <c r="AC249" s="2"/>
      <c r="AD249" s="5"/>
      <c r="AE249" s="5"/>
      <c r="AF249" s="6"/>
      <c r="AG249" s="5"/>
      <c r="AH249" s="5"/>
      <c r="AI249" s="5"/>
      <c r="AJ249" s="5"/>
      <c r="AK249" s="5"/>
      <c r="AL249" s="2"/>
      <c r="AM249" s="5"/>
      <c r="AN249" s="515" t="str">
        <f>'Audit Check'!S66</f>
        <v/>
      </c>
      <c r="AO249" s="495"/>
      <c r="AP249" s="488">
        <f t="shared" si="121"/>
        <v>0</v>
      </c>
      <c r="AQ249" s="489">
        <f t="shared" si="207"/>
        <v>4</v>
      </c>
      <c r="AR249" s="495" t="str">
        <f t="shared" si="208"/>
        <v/>
      </c>
      <c r="AS249" s="491">
        <f t="shared" si="214"/>
        <v>30</v>
      </c>
      <c r="AT249" s="489">
        <f t="shared" si="209"/>
        <v>240</v>
      </c>
      <c r="AU249" s="492">
        <f t="shared" si="210"/>
        <v>0</v>
      </c>
      <c r="AV249" s="493">
        <f t="shared" si="211"/>
        <v>0</v>
      </c>
      <c r="AW249" s="494" t="str">
        <f t="shared" si="122"/>
        <v/>
      </c>
      <c r="AX249" s="5"/>
      <c r="AY249" s="5"/>
      <c r="AZ249" s="5"/>
      <c r="BA249" s="5"/>
      <c r="BB249" s="5"/>
      <c r="BC249" s="5"/>
      <c r="BD249" s="5"/>
      <c r="BE249" s="5"/>
      <c r="BF249" s="5"/>
      <c r="BG249" s="5"/>
      <c r="BH249" s="5"/>
    </row>
    <row r="250" ht="12.75" customHeight="1">
      <c r="A250" s="1"/>
      <c r="B250" s="2"/>
      <c r="C250" s="522" t="s">
        <v>288</v>
      </c>
      <c r="D250" s="523"/>
      <c r="E250" s="367"/>
      <c r="F250" s="524"/>
      <c r="G250" s="524"/>
      <c r="H250" s="524"/>
      <c r="I250" s="437">
        <f t="shared" si="240"/>
        <v>10</v>
      </c>
      <c r="J250" s="437" t="str">
        <f>J249</f>
        <v>#REF!</v>
      </c>
      <c r="K250" s="437">
        <v>10.0</v>
      </c>
      <c r="L250" s="401">
        <v>0.0</v>
      </c>
      <c r="M250" s="361"/>
      <c r="N250" s="372" t="str">
        <f t="shared" si="241"/>
        <v>#REF!</v>
      </c>
      <c r="O250" s="2"/>
      <c r="P250" s="314"/>
      <c r="Q250" s="314"/>
      <c r="R250" s="486" t="s">
        <v>402</v>
      </c>
      <c r="S250" s="495"/>
      <c r="T250" s="488">
        <f t="shared" si="123"/>
        <v>0</v>
      </c>
      <c r="U250" s="489">
        <f t="shared" si="230"/>
        <v>4</v>
      </c>
      <c r="V250" s="490" t="str">
        <f t="shared" si="231"/>
        <v>#REF!</v>
      </c>
      <c r="W250" s="491">
        <f t="shared" si="232"/>
        <v>40</v>
      </c>
      <c r="X250" s="489">
        <f t="shared" si="233"/>
        <v>320</v>
      </c>
      <c r="Y250" s="492">
        <f t="shared" si="234"/>
        <v>0</v>
      </c>
      <c r="Z250" s="493" t="str">
        <f t="shared" si="235"/>
        <v>#REF!</v>
      </c>
      <c r="AA250" s="494" t="str">
        <f t="shared" si="118"/>
        <v/>
      </c>
      <c r="AB250" s="5"/>
      <c r="AC250" s="2"/>
      <c r="AD250" s="5"/>
      <c r="AE250" s="5"/>
      <c r="AF250" s="6"/>
      <c r="AG250" s="5"/>
      <c r="AH250" s="5"/>
      <c r="AI250" s="5"/>
      <c r="AJ250" s="5"/>
      <c r="AK250" s="5"/>
      <c r="AL250" s="2"/>
      <c r="AM250" s="5"/>
      <c r="AN250" s="515" t="str">
        <f>'Audit Check'!S67</f>
        <v/>
      </c>
      <c r="AO250" s="495"/>
      <c r="AP250" s="488">
        <f t="shared" si="121"/>
        <v>0</v>
      </c>
      <c r="AQ250" s="489">
        <f t="shared" si="207"/>
        <v>4</v>
      </c>
      <c r="AR250" s="495" t="str">
        <f t="shared" si="208"/>
        <v/>
      </c>
      <c r="AS250" s="491">
        <f t="shared" si="214"/>
        <v>30</v>
      </c>
      <c r="AT250" s="489">
        <f t="shared" si="209"/>
        <v>240</v>
      </c>
      <c r="AU250" s="492">
        <f t="shared" si="210"/>
        <v>0</v>
      </c>
      <c r="AV250" s="493">
        <f t="shared" si="211"/>
        <v>0</v>
      </c>
      <c r="AW250" s="494" t="str">
        <f t="shared" si="122"/>
        <v/>
      </c>
      <c r="AX250" s="5"/>
      <c r="AY250" s="5"/>
      <c r="AZ250" s="5"/>
      <c r="BA250" s="5"/>
      <c r="BB250" s="5"/>
      <c r="BC250" s="5"/>
      <c r="BD250" s="5"/>
      <c r="BE250" s="5"/>
      <c r="BF250" s="5"/>
      <c r="BG250" s="5"/>
      <c r="BH250" s="5"/>
    </row>
    <row r="251" ht="12.75" customHeight="1">
      <c r="A251" s="1"/>
      <c r="B251" s="2"/>
      <c r="C251" s="525"/>
      <c r="D251" s="523"/>
      <c r="E251" s="367"/>
      <c r="F251" s="505"/>
      <c r="G251" s="505"/>
      <c r="H251" s="505"/>
      <c r="I251" s="505"/>
      <c r="J251" s="505"/>
      <c r="K251" s="505"/>
      <c r="L251" s="361"/>
      <c r="M251" s="361"/>
      <c r="N251" s="512"/>
      <c r="O251" s="2"/>
      <c r="P251" s="314"/>
      <c r="Q251" s="314"/>
      <c r="R251" s="486" t="s">
        <v>133</v>
      </c>
      <c r="S251" s="495"/>
      <c r="T251" s="488">
        <f t="shared" si="123"/>
        <v>4</v>
      </c>
      <c r="U251" s="489">
        <f t="shared" si="230"/>
        <v>4</v>
      </c>
      <c r="V251" s="490" t="str">
        <f t="shared" si="231"/>
        <v>#REF!</v>
      </c>
      <c r="W251" s="491">
        <f t="shared" si="232"/>
        <v>40</v>
      </c>
      <c r="X251" s="489">
        <f t="shared" si="233"/>
        <v>320</v>
      </c>
      <c r="Y251" s="492">
        <f t="shared" si="234"/>
        <v>0.02</v>
      </c>
      <c r="Z251" s="493" t="str">
        <f t="shared" si="235"/>
        <v>#REF!</v>
      </c>
      <c r="AA251" s="494" t="str">
        <f t="shared" si="118"/>
        <v/>
      </c>
      <c r="AB251" s="5"/>
      <c r="AC251" s="2"/>
      <c r="AD251" s="5"/>
      <c r="AE251" s="5"/>
      <c r="AF251" s="6"/>
      <c r="AG251" s="5"/>
      <c r="AH251" s="5"/>
      <c r="AI251" s="5"/>
      <c r="AJ251" s="5"/>
      <c r="AK251" s="5"/>
      <c r="AL251" s="2"/>
      <c r="AM251" s="5"/>
      <c r="AN251" s="515" t="str">
        <f>'Audit Check'!S68</f>
        <v/>
      </c>
      <c r="AO251" s="495"/>
      <c r="AP251" s="488">
        <f t="shared" si="121"/>
        <v>0</v>
      </c>
      <c r="AQ251" s="489">
        <f t="shared" si="207"/>
        <v>4</v>
      </c>
      <c r="AR251" s="495" t="str">
        <f t="shared" si="208"/>
        <v/>
      </c>
      <c r="AS251" s="491">
        <f t="shared" si="214"/>
        <v>30</v>
      </c>
      <c r="AT251" s="489">
        <f t="shared" si="209"/>
        <v>240</v>
      </c>
      <c r="AU251" s="492">
        <f t="shared" si="210"/>
        <v>0</v>
      </c>
      <c r="AV251" s="493">
        <f t="shared" si="211"/>
        <v>0</v>
      </c>
      <c r="AW251" s="494" t="str">
        <f t="shared" si="122"/>
        <v/>
      </c>
      <c r="AX251" s="5"/>
      <c r="AY251" s="5"/>
      <c r="AZ251" s="5"/>
      <c r="BA251" s="5"/>
      <c r="BB251" s="5"/>
      <c r="BC251" s="5"/>
      <c r="BD251" s="5"/>
      <c r="BE251" s="5"/>
      <c r="BF251" s="5"/>
      <c r="BG251" s="5"/>
      <c r="BH251" s="5"/>
    </row>
    <row r="252" ht="12.75" customHeight="1">
      <c r="A252" s="1"/>
      <c r="B252" s="2"/>
      <c r="C252" s="525"/>
      <c r="D252" s="523"/>
      <c r="E252" s="367"/>
      <c r="F252" s="505"/>
      <c r="G252" s="505"/>
      <c r="H252" s="505"/>
      <c r="I252" s="505"/>
      <c r="J252" s="505"/>
      <c r="K252" s="505"/>
      <c r="L252" s="361"/>
      <c r="M252" s="361"/>
      <c r="N252" s="512"/>
      <c r="O252" s="2"/>
      <c r="P252" s="314"/>
      <c r="Q252" s="314"/>
      <c r="R252" s="486" t="s">
        <v>69</v>
      </c>
      <c r="S252" s="495"/>
      <c r="T252" s="488">
        <f t="shared" si="123"/>
        <v>1748.09</v>
      </c>
      <c r="U252" s="489">
        <f t="shared" si="230"/>
        <v>4</v>
      </c>
      <c r="V252" s="490" t="str">
        <f t="shared" si="231"/>
        <v>#REF!</v>
      </c>
      <c r="W252" s="491">
        <f t="shared" si="232"/>
        <v>40</v>
      </c>
      <c r="X252" s="489">
        <f t="shared" si="233"/>
        <v>320</v>
      </c>
      <c r="Y252" s="492">
        <f t="shared" si="234"/>
        <v>5.47</v>
      </c>
      <c r="Z252" s="493" t="str">
        <f t="shared" si="235"/>
        <v>#REF!</v>
      </c>
      <c r="AA252" s="494" t="str">
        <f t="shared" si="118"/>
        <v/>
      </c>
      <c r="AB252" s="5"/>
      <c r="AC252" s="2"/>
      <c r="AD252" s="5"/>
      <c r="AE252" s="5"/>
      <c r="AF252" s="6"/>
      <c r="AG252" s="5"/>
      <c r="AH252" s="5"/>
      <c r="AI252" s="5"/>
      <c r="AJ252" s="5"/>
      <c r="AK252" s="5"/>
      <c r="AL252" s="2"/>
      <c r="AM252" s="5"/>
      <c r="AN252" s="515" t="str">
        <f>'Audit Check'!S69</f>
        <v/>
      </c>
      <c r="AO252" s="495"/>
      <c r="AP252" s="488">
        <f t="shared" si="121"/>
        <v>0</v>
      </c>
      <c r="AQ252" s="489">
        <f t="shared" si="207"/>
        <v>4</v>
      </c>
      <c r="AR252" s="495" t="str">
        <f t="shared" si="208"/>
        <v/>
      </c>
      <c r="AS252" s="491">
        <f t="shared" si="214"/>
        <v>30</v>
      </c>
      <c r="AT252" s="489">
        <f t="shared" si="209"/>
        <v>240</v>
      </c>
      <c r="AU252" s="492">
        <f t="shared" si="210"/>
        <v>0</v>
      </c>
      <c r="AV252" s="493">
        <f t="shared" si="211"/>
        <v>0</v>
      </c>
      <c r="AW252" s="494" t="str">
        <f t="shared" si="122"/>
        <v/>
      </c>
      <c r="AX252" s="5"/>
      <c r="AY252" s="5"/>
      <c r="AZ252" s="5"/>
      <c r="BA252" s="5"/>
      <c r="BB252" s="5"/>
      <c r="BC252" s="5"/>
      <c r="BD252" s="5"/>
      <c r="BE252" s="5"/>
      <c r="BF252" s="5"/>
      <c r="BG252" s="5"/>
      <c r="BH252" s="5"/>
    </row>
    <row r="253" ht="12.75" customHeight="1">
      <c r="A253" s="1"/>
      <c r="B253" s="2"/>
      <c r="C253" s="526" t="s">
        <v>193</v>
      </c>
      <c r="D253" s="527"/>
      <c r="E253" s="528"/>
      <c r="F253" s="529"/>
      <c r="G253" s="529"/>
      <c r="H253" s="529"/>
      <c r="I253" s="530"/>
      <c r="J253" s="531"/>
      <c r="K253" s="532"/>
      <c r="L253" s="528"/>
      <c r="M253" s="528"/>
      <c r="N253" s="533" t="str">
        <f>+N246+N223+N207+N195+N189+N183+N178+N168+N162+N154</f>
        <v>#REF!</v>
      </c>
      <c r="O253" s="2"/>
      <c r="P253" s="314"/>
      <c r="Q253" s="314"/>
      <c r="R253" s="486" t="s">
        <v>403</v>
      </c>
      <c r="S253" s="495"/>
      <c r="T253" s="488">
        <f t="shared" si="123"/>
        <v>0</v>
      </c>
      <c r="U253" s="489">
        <f t="shared" si="230"/>
        <v>4</v>
      </c>
      <c r="V253" s="490" t="str">
        <f t="shared" si="231"/>
        <v>#REF!</v>
      </c>
      <c r="W253" s="491">
        <f t="shared" si="232"/>
        <v>40</v>
      </c>
      <c r="X253" s="489">
        <f t="shared" si="233"/>
        <v>320</v>
      </c>
      <c r="Y253" s="492">
        <f t="shared" si="234"/>
        <v>0</v>
      </c>
      <c r="Z253" s="493" t="str">
        <f t="shared" si="235"/>
        <v>#REF!</v>
      </c>
      <c r="AA253" s="494" t="str">
        <f t="shared" si="118"/>
        <v/>
      </c>
      <c r="AB253" s="5"/>
      <c r="AC253" s="2"/>
      <c r="AD253" s="5"/>
      <c r="AE253" s="5"/>
      <c r="AF253" s="6"/>
      <c r="AG253" s="5"/>
      <c r="AH253" s="5"/>
      <c r="AI253" s="5"/>
      <c r="AJ253" s="5"/>
      <c r="AK253" s="5"/>
      <c r="AL253" s="2"/>
      <c r="AM253" s="5"/>
      <c r="AN253" s="515" t="str">
        <f>'Audit Check'!S70</f>
        <v/>
      </c>
      <c r="AO253" s="495"/>
      <c r="AP253" s="488">
        <f t="shared" si="121"/>
        <v>0</v>
      </c>
      <c r="AQ253" s="489">
        <f t="shared" si="207"/>
        <v>4</v>
      </c>
      <c r="AR253" s="495" t="str">
        <f t="shared" si="208"/>
        <v/>
      </c>
      <c r="AS253" s="491">
        <f t="shared" si="214"/>
        <v>30</v>
      </c>
      <c r="AT253" s="489">
        <f t="shared" si="209"/>
        <v>240</v>
      </c>
      <c r="AU253" s="492">
        <f t="shared" si="210"/>
        <v>0</v>
      </c>
      <c r="AV253" s="493">
        <f t="shared" si="211"/>
        <v>0</v>
      </c>
      <c r="AW253" s="494" t="str">
        <f t="shared" si="122"/>
        <v/>
      </c>
      <c r="AX253" s="5"/>
      <c r="AY253" s="5"/>
      <c r="AZ253" s="5"/>
      <c r="BA253" s="5"/>
      <c r="BB253" s="5"/>
      <c r="BC253" s="5"/>
      <c r="BD253" s="5"/>
      <c r="BE253" s="5"/>
      <c r="BF253" s="5"/>
      <c r="BG253" s="5"/>
      <c r="BH253" s="5"/>
    </row>
    <row r="254" ht="12.75" customHeight="1">
      <c r="A254" s="1"/>
      <c r="B254" s="2"/>
      <c r="C254" s="6"/>
      <c r="D254" s="6"/>
      <c r="E254" s="3"/>
      <c r="F254" s="6"/>
      <c r="G254" s="6"/>
      <c r="H254" s="6"/>
      <c r="I254" s="5"/>
      <c r="J254" s="2"/>
      <c r="K254" s="5"/>
      <c r="L254" s="3"/>
      <c r="M254" s="3"/>
      <c r="N254" s="4"/>
      <c r="O254" s="2"/>
      <c r="P254" s="314"/>
      <c r="Q254" s="314"/>
      <c r="R254" s="486" t="s">
        <v>404</v>
      </c>
      <c r="S254" s="495"/>
      <c r="T254" s="488">
        <f t="shared" si="123"/>
        <v>0</v>
      </c>
      <c r="U254" s="489">
        <f t="shared" si="230"/>
        <v>4</v>
      </c>
      <c r="V254" s="490" t="str">
        <f t="shared" si="231"/>
        <v>#REF!</v>
      </c>
      <c r="W254" s="491">
        <f t="shared" si="232"/>
        <v>40</v>
      </c>
      <c r="X254" s="489">
        <f t="shared" si="233"/>
        <v>320</v>
      </c>
      <c r="Y254" s="492">
        <f t="shared" si="234"/>
        <v>0</v>
      </c>
      <c r="Z254" s="493" t="str">
        <f t="shared" si="235"/>
        <v>#REF!</v>
      </c>
      <c r="AA254" s="494" t="str">
        <f t="shared" si="118"/>
        <v/>
      </c>
      <c r="AB254" s="5"/>
      <c r="AC254" s="2"/>
      <c r="AD254" s="5"/>
      <c r="AE254" s="5"/>
      <c r="AF254" s="6"/>
      <c r="AG254" s="5"/>
      <c r="AH254" s="5"/>
      <c r="AI254" s="5"/>
      <c r="AJ254" s="5"/>
      <c r="AK254" s="5"/>
      <c r="AL254" s="2"/>
      <c r="AM254" s="5"/>
      <c r="AN254" s="515" t="str">
        <f>'Audit Check'!S71</f>
        <v/>
      </c>
      <c r="AO254" s="495"/>
      <c r="AP254" s="488">
        <f t="shared" si="121"/>
        <v>0</v>
      </c>
      <c r="AQ254" s="489">
        <f t="shared" si="207"/>
        <v>4</v>
      </c>
      <c r="AR254" s="495" t="str">
        <f t="shared" si="208"/>
        <v/>
      </c>
      <c r="AS254" s="491">
        <f t="shared" si="214"/>
        <v>30</v>
      </c>
      <c r="AT254" s="489">
        <f t="shared" si="209"/>
        <v>240</v>
      </c>
      <c r="AU254" s="492">
        <f t="shared" si="210"/>
        <v>0</v>
      </c>
      <c r="AV254" s="493">
        <f t="shared" si="211"/>
        <v>0</v>
      </c>
      <c r="AW254" s="494" t="str">
        <f t="shared" si="122"/>
        <v/>
      </c>
      <c r="AX254" s="5"/>
      <c r="AY254" s="5"/>
      <c r="AZ254" s="5"/>
      <c r="BA254" s="5"/>
      <c r="BB254" s="5"/>
      <c r="BC254" s="5"/>
      <c r="BD254" s="5"/>
      <c r="BE254" s="5"/>
      <c r="BF254" s="5"/>
      <c r="BG254" s="5"/>
      <c r="BH254" s="5"/>
    </row>
    <row r="255" ht="12.75" customHeight="1">
      <c r="A255" s="1"/>
      <c r="B255" s="2"/>
      <c r="C255" s="127"/>
      <c r="D255" s="127"/>
      <c r="E255" s="161"/>
      <c r="F255" s="127"/>
      <c r="G255" s="127"/>
      <c r="H255" s="127"/>
      <c r="I255" s="534" t="s">
        <v>175</v>
      </c>
      <c r="J255" s="535"/>
      <c r="K255" s="536"/>
      <c r="L255" s="3"/>
      <c r="M255" s="3"/>
      <c r="N255" s="4"/>
      <c r="O255" s="2"/>
      <c r="P255" s="314"/>
      <c r="Q255" s="314"/>
      <c r="R255" s="486" t="s">
        <v>405</v>
      </c>
      <c r="S255" s="495"/>
      <c r="T255" s="488">
        <f t="shared" si="123"/>
        <v>0</v>
      </c>
      <c r="U255" s="489">
        <f t="shared" si="230"/>
        <v>4</v>
      </c>
      <c r="V255" s="490" t="str">
        <f t="shared" si="231"/>
        <v>#REF!</v>
      </c>
      <c r="W255" s="491">
        <f t="shared" si="232"/>
        <v>40</v>
      </c>
      <c r="X255" s="489">
        <f t="shared" si="233"/>
        <v>320</v>
      </c>
      <c r="Y255" s="492">
        <f t="shared" si="234"/>
        <v>0</v>
      </c>
      <c r="Z255" s="493" t="str">
        <f t="shared" si="235"/>
        <v>#REF!</v>
      </c>
      <c r="AA255" s="494" t="str">
        <f t="shared" si="118"/>
        <v/>
      </c>
      <c r="AB255" s="5"/>
      <c r="AC255" s="2"/>
      <c r="AD255" s="5"/>
      <c r="AE255" s="5"/>
      <c r="AF255" s="6"/>
      <c r="AG255" s="5"/>
      <c r="AH255" s="5"/>
      <c r="AI255" s="5"/>
      <c r="AJ255" s="5"/>
      <c r="AK255" s="5"/>
      <c r="AL255" s="2"/>
      <c r="AM255" s="5"/>
      <c r="AN255" s="515" t="str">
        <f>'Audit Check'!S72</f>
        <v/>
      </c>
      <c r="AO255" s="495"/>
      <c r="AP255" s="488">
        <f t="shared" si="121"/>
        <v>0</v>
      </c>
      <c r="AQ255" s="489">
        <f t="shared" si="207"/>
        <v>4</v>
      </c>
      <c r="AR255" s="495" t="str">
        <f t="shared" si="208"/>
        <v/>
      </c>
      <c r="AS255" s="491">
        <f t="shared" si="214"/>
        <v>30</v>
      </c>
      <c r="AT255" s="489">
        <f t="shared" si="209"/>
        <v>240</v>
      </c>
      <c r="AU255" s="492">
        <f t="shared" si="210"/>
        <v>0</v>
      </c>
      <c r="AV255" s="493">
        <f t="shared" si="211"/>
        <v>0</v>
      </c>
      <c r="AW255" s="494" t="str">
        <f t="shared" si="122"/>
        <v/>
      </c>
      <c r="AX255" s="5"/>
      <c r="AY255" s="5"/>
      <c r="AZ255" s="5"/>
      <c r="BA255" s="5"/>
      <c r="BB255" s="5"/>
      <c r="BC255" s="5"/>
      <c r="BD255" s="5"/>
      <c r="BE255" s="5"/>
      <c r="BF255" s="5"/>
      <c r="BG255" s="5"/>
      <c r="BH255" s="5"/>
    </row>
    <row r="256" ht="12.75" customHeight="1">
      <c r="A256" s="1"/>
      <c r="B256" s="2"/>
      <c r="C256" s="537" t="s">
        <v>289</v>
      </c>
      <c r="D256" s="127"/>
      <c r="E256" s="161"/>
      <c r="F256" s="127"/>
      <c r="G256" s="127"/>
      <c r="H256" s="127"/>
      <c r="I256" s="538"/>
      <c r="J256" s="495"/>
      <c r="K256" s="539"/>
      <c r="L256" s="3"/>
      <c r="M256" s="3"/>
      <c r="N256" s="4"/>
      <c r="O256" s="2"/>
      <c r="P256" s="314"/>
      <c r="Q256" s="314"/>
      <c r="R256" s="486" t="s">
        <v>406</v>
      </c>
      <c r="S256" s="495"/>
      <c r="T256" s="488">
        <f t="shared" si="123"/>
        <v>0</v>
      </c>
      <c r="U256" s="489">
        <f t="shared" si="230"/>
        <v>4</v>
      </c>
      <c r="V256" s="490" t="str">
        <f t="shared" si="231"/>
        <v>#REF!</v>
      </c>
      <c r="W256" s="491">
        <f t="shared" si="232"/>
        <v>40</v>
      </c>
      <c r="X256" s="489">
        <f t="shared" si="233"/>
        <v>320</v>
      </c>
      <c r="Y256" s="492">
        <f t="shared" si="234"/>
        <v>0</v>
      </c>
      <c r="Z256" s="493" t="str">
        <f t="shared" si="235"/>
        <v>#REF!</v>
      </c>
      <c r="AA256" s="494" t="str">
        <f t="shared" si="118"/>
        <v/>
      </c>
      <c r="AB256" s="5"/>
      <c r="AC256" s="2"/>
      <c r="AD256" s="5"/>
      <c r="AE256" s="5"/>
      <c r="AF256" s="6"/>
      <c r="AG256" s="5"/>
      <c r="AH256" s="5"/>
      <c r="AI256" s="5"/>
      <c r="AJ256" s="5"/>
      <c r="AK256" s="5"/>
      <c r="AL256" s="2"/>
      <c r="AM256" s="5"/>
      <c r="AN256" s="515" t="str">
        <f>'Audit Check'!S73</f>
        <v/>
      </c>
      <c r="AO256" s="495"/>
      <c r="AP256" s="488">
        <f t="shared" si="121"/>
        <v>0</v>
      </c>
      <c r="AQ256" s="489">
        <f t="shared" si="207"/>
        <v>4</v>
      </c>
      <c r="AR256" s="495" t="str">
        <f t="shared" si="208"/>
        <v/>
      </c>
      <c r="AS256" s="491">
        <f t="shared" si="214"/>
        <v>30</v>
      </c>
      <c r="AT256" s="489">
        <f t="shared" si="209"/>
        <v>240</v>
      </c>
      <c r="AU256" s="492">
        <f t="shared" si="210"/>
        <v>0</v>
      </c>
      <c r="AV256" s="493">
        <f t="shared" si="211"/>
        <v>0</v>
      </c>
      <c r="AW256" s="494" t="str">
        <f t="shared" si="122"/>
        <v/>
      </c>
      <c r="AX256" s="5"/>
      <c r="AY256" s="5"/>
      <c r="AZ256" s="5"/>
      <c r="BA256" s="5"/>
      <c r="BB256" s="5"/>
      <c r="BC256" s="5"/>
      <c r="BD256" s="5"/>
      <c r="BE256" s="5"/>
      <c r="BF256" s="5"/>
      <c r="BG256" s="5"/>
      <c r="BH256" s="5"/>
    </row>
    <row r="257" ht="12.75" customHeight="1">
      <c r="A257" s="1"/>
      <c r="B257" s="2"/>
      <c r="C257" s="540" t="s">
        <v>290</v>
      </c>
      <c r="D257" s="127"/>
      <c r="E257" s="161"/>
      <c r="F257" s="127"/>
      <c r="G257" s="127"/>
      <c r="H257" s="127"/>
      <c r="I257" s="541" t="str">
        <f>+T161</f>
        <v>#REF!</v>
      </c>
      <c r="J257" s="495"/>
      <c r="K257" s="539"/>
      <c r="L257" s="375" t="str">
        <f>I257/I259</f>
        <v>#REF!</v>
      </c>
      <c r="M257" s="3"/>
      <c r="N257" s="4"/>
      <c r="O257" s="2"/>
      <c r="P257" s="314"/>
      <c r="Q257" s="314"/>
      <c r="R257" s="486" t="s">
        <v>407</v>
      </c>
      <c r="S257" s="495"/>
      <c r="T257" s="488">
        <f t="shared" si="123"/>
        <v>0</v>
      </c>
      <c r="U257" s="489">
        <f t="shared" si="230"/>
        <v>4</v>
      </c>
      <c r="V257" s="490" t="str">
        <f t="shared" si="231"/>
        <v>#REF!</v>
      </c>
      <c r="W257" s="491">
        <f t="shared" si="232"/>
        <v>40</v>
      </c>
      <c r="X257" s="489">
        <f t="shared" si="233"/>
        <v>320</v>
      </c>
      <c r="Y257" s="492">
        <f t="shared" si="234"/>
        <v>0</v>
      </c>
      <c r="Z257" s="493" t="str">
        <f t="shared" si="235"/>
        <v>#REF!</v>
      </c>
      <c r="AA257" s="494" t="str">
        <f t="shared" si="118"/>
        <v/>
      </c>
      <c r="AB257" s="5"/>
      <c r="AC257" s="2"/>
      <c r="AD257" s="5"/>
      <c r="AE257" s="5"/>
      <c r="AF257" s="6"/>
      <c r="AG257" s="5"/>
      <c r="AH257" s="5"/>
      <c r="AI257" s="5"/>
      <c r="AJ257" s="5"/>
      <c r="AK257" s="5"/>
      <c r="AL257" s="2"/>
      <c r="AM257" s="5"/>
      <c r="AN257" s="515" t="str">
        <f>'Audit Check'!S74</f>
        <v/>
      </c>
      <c r="AO257" s="495"/>
      <c r="AP257" s="488">
        <f t="shared" si="121"/>
        <v>0</v>
      </c>
      <c r="AQ257" s="489">
        <f t="shared" si="207"/>
        <v>4</v>
      </c>
      <c r="AR257" s="495" t="str">
        <f t="shared" si="208"/>
        <v/>
      </c>
      <c r="AS257" s="491">
        <f t="shared" si="214"/>
        <v>30</v>
      </c>
      <c r="AT257" s="489">
        <f t="shared" si="209"/>
        <v>240</v>
      </c>
      <c r="AU257" s="492">
        <f t="shared" si="210"/>
        <v>0</v>
      </c>
      <c r="AV257" s="493">
        <f t="shared" si="211"/>
        <v>0</v>
      </c>
      <c r="AW257" s="494" t="str">
        <f t="shared" si="122"/>
        <v/>
      </c>
      <c r="AX257" s="5"/>
      <c r="AY257" s="5"/>
      <c r="AZ257" s="5"/>
      <c r="BA257" s="5"/>
      <c r="BB257" s="5"/>
      <c r="BC257" s="5"/>
      <c r="BD257" s="5"/>
      <c r="BE257" s="5"/>
      <c r="BF257" s="5"/>
      <c r="BG257" s="5"/>
      <c r="BH257" s="5"/>
    </row>
    <row r="258" ht="12.75" customHeight="1">
      <c r="A258" s="1"/>
      <c r="B258" s="2"/>
      <c r="C258" s="540" t="s">
        <v>185</v>
      </c>
      <c r="D258" s="127"/>
      <c r="E258" s="161"/>
      <c r="F258" s="127"/>
      <c r="G258" s="127"/>
      <c r="H258" s="127"/>
      <c r="I258" s="542" t="str">
        <f>+W161</f>
        <v>#REF!</v>
      </c>
      <c r="J258" s="495"/>
      <c r="K258" s="539"/>
      <c r="L258" s="375" t="str">
        <f>I258/I259</f>
        <v>#REF!</v>
      </c>
      <c r="M258" s="3"/>
      <c r="N258" s="4"/>
      <c r="O258" s="2"/>
      <c r="P258" s="314"/>
      <c r="Q258" s="314"/>
      <c r="R258" s="486" t="s">
        <v>408</v>
      </c>
      <c r="S258" s="495"/>
      <c r="T258" s="488">
        <f t="shared" si="123"/>
        <v>0</v>
      </c>
      <c r="U258" s="489">
        <f t="shared" si="230"/>
        <v>4</v>
      </c>
      <c r="V258" s="490" t="str">
        <f t="shared" si="231"/>
        <v>#REF!</v>
      </c>
      <c r="W258" s="491">
        <f t="shared" si="232"/>
        <v>40</v>
      </c>
      <c r="X258" s="489">
        <f t="shared" si="233"/>
        <v>320</v>
      </c>
      <c r="Y258" s="492">
        <f t="shared" si="234"/>
        <v>0</v>
      </c>
      <c r="Z258" s="493" t="str">
        <f t="shared" si="235"/>
        <v>#REF!</v>
      </c>
      <c r="AA258" s="494" t="str">
        <f t="shared" si="118"/>
        <v/>
      </c>
      <c r="AB258" s="5"/>
      <c r="AC258" s="2"/>
      <c r="AD258" s="5"/>
      <c r="AE258" s="5"/>
      <c r="AF258" s="6"/>
      <c r="AG258" s="5"/>
      <c r="AH258" s="5"/>
      <c r="AI258" s="5"/>
      <c r="AJ258" s="5"/>
      <c r="AK258" s="5"/>
      <c r="AL258" s="2"/>
      <c r="AM258" s="5"/>
      <c r="AN258" s="515" t="str">
        <f>'Audit Check'!S75</f>
        <v/>
      </c>
      <c r="AO258" s="495"/>
      <c r="AP258" s="488">
        <f t="shared" si="121"/>
        <v>0</v>
      </c>
      <c r="AQ258" s="489">
        <f t="shared" si="207"/>
        <v>4</v>
      </c>
      <c r="AR258" s="495" t="str">
        <f t="shared" si="208"/>
        <v/>
      </c>
      <c r="AS258" s="491">
        <f t="shared" si="214"/>
        <v>30</v>
      </c>
      <c r="AT258" s="489">
        <f t="shared" si="209"/>
        <v>240</v>
      </c>
      <c r="AU258" s="492">
        <f t="shared" si="210"/>
        <v>0</v>
      </c>
      <c r="AV258" s="493">
        <f t="shared" si="211"/>
        <v>0</v>
      </c>
      <c r="AW258" s="494" t="str">
        <f t="shared" si="122"/>
        <v/>
      </c>
      <c r="AX258" s="5"/>
      <c r="AY258" s="5"/>
      <c r="AZ258" s="5"/>
      <c r="BA258" s="5"/>
      <c r="BB258" s="5"/>
      <c r="BC258" s="5"/>
      <c r="BD258" s="5"/>
      <c r="BE258" s="5"/>
      <c r="BF258" s="5"/>
      <c r="BG258" s="5"/>
      <c r="BH258" s="5"/>
    </row>
    <row r="259" ht="12.75" customHeight="1">
      <c r="A259" s="1"/>
      <c r="B259" s="2"/>
      <c r="C259" s="543" t="s">
        <v>291</v>
      </c>
      <c r="D259" s="544"/>
      <c r="E259" s="545"/>
      <c r="F259" s="544"/>
      <c r="G259" s="544"/>
      <c r="H259" s="544"/>
      <c r="I259" s="546" t="str">
        <f>SUM(I257:I258)</f>
        <v>#REF!</v>
      </c>
      <c r="J259" s="547"/>
      <c r="K259" s="547"/>
      <c r="L259" s="3"/>
      <c r="M259" s="3"/>
      <c r="N259" s="4"/>
      <c r="O259" s="2"/>
      <c r="P259" s="314"/>
      <c r="Q259" s="314"/>
      <c r="R259" s="486" t="s">
        <v>409</v>
      </c>
      <c r="S259" s="495"/>
      <c r="T259" s="488">
        <f t="shared" si="123"/>
        <v>0</v>
      </c>
      <c r="U259" s="489">
        <f t="shared" si="230"/>
        <v>4</v>
      </c>
      <c r="V259" s="490" t="str">
        <f t="shared" si="231"/>
        <v>#REF!</v>
      </c>
      <c r="W259" s="491">
        <f t="shared" si="232"/>
        <v>40</v>
      </c>
      <c r="X259" s="489">
        <f t="shared" si="233"/>
        <v>320</v>
      </c>
      <c r="Y259" s="492">
        <f t="shared" si="234"/>
        <v>0</v>
      </c>
      <c r="Z259" s="493" t="str">
        <f t="shared" si="235"/>
        <v>#REF!</v>
      </c>
      <c r="AA259" s="494" t="str">
        <f t="shared" si="118"/>
        <v/>
      </c>
      <c r="AB259" s="5"/>
      <c r="AC259" s="2"/>
      <c r="AD259" s="5"/>
      <c r="AE259" s="5"/>
      <c r="AF259" s="6"/>
      <c r="AG259" s="5"/>
      <c r="AH259" s="5"/>
      <c r="AI259" s="5"/>
      <c r="AJ259" s="5"/>
      <c r="AK259" s="5"/>
      <c r="AL259" s="2"/>
      <c r="AM259" s="5"/>
      <c r="AN259" s="515" t="str">
        <f>'Audit Check'!S76</f>
        <v/>
      </c>
      <c r="AO259" s="495"/>
      <c r="AP259" s="488">
        <f t="shared" si="121"/>
        <v>0</v>
      </c>
      <c r="AQ259" s="489">
        <f t="shared" si="207"/>
        <v>4</v>
      </c>
      <c r="AR259" s="495" t="str">
        <f t="shared" si="208"/>
        <v/>
      </c>
      <c r="AS259" s="491">
        <f t="shared" si="214"/>
        <v>30</v>
      </c>
      <c r="AT259" s="489">
        <f t="shared" si="209"/>
        <v>240</v>
      </c>
      <c r="AU259" s="492">
        <f t="shared" si="210"/>
        <v>0</v>
      </c>
      <c r="AV259" s="493">
        <f t="shared" si="211"/>
        <v>0</v>
      </c>
      <c r="AW259" s="494" t="str">
        <f t="shared" si="122"/>
        <v/>
      </c>
      <c r="AX259" s="5"/>
      <c r="AY259" s="5"/>
      <c r="AZ259" s="5"/>
      <c r="BA259" s="5"/>
      <c r="BB259" s="5"/>
      <c r="BC259" s="5"/>
      <c r="BD259" s="5"/>
      <c r="BE259" s="5"/>
      <c r="BF259" s="5"/>
      <c r="BG259" s="5"/>
      <c r="BH259" s="5"/>
    </row>
    <row r="260" ht="12.75" customHeight="1">
      <c r="A260" s="1"/>
      <c r="B260" s="2"/>
      <c r="C260" s="2"/>
      <c r="D260" s="2"/>
      <c r="E260" s="3"/>
      <c r="F260" s="2"/>
      <c r="G260" s="2"/>
      <c r="H260" s="2"/>
      <c r="I260" s="2"/>
      <c r="J260" s="2"/>
      <c r="K260" s="2"/>
      <c r="L260" s="3"/>
      <c r="M260" s="3"/>
      <c r="N260" s="4"/>
      <c r="O260" s="2"/>
      <c r="P260" s="314"/>
      <c r="Q260" s="314"/>
      <c r="R260" s="486" t="s">
        <v>410</v>
      </c>
      <c r="S260" s="495"/>
      <c r="T260" s="488">
        <f t="shared" si="123"/>
        <v>0</v>
      </c>
      <c r="U260" s="489">
        <f t="shared" si="230"/>
        <v>4</v>
      </c>
      <c r="V260" s="490" t="str">
        <f t="shared" si="231"/>
        <v>#REF!</v>
      </c>
      <c r="W260" s="491">
        <f t="shared" si="232"/>
        <v>40</v>
      </c>
      <c r="X260" s="489">
        <f t="shared" si="233"/>
        <v>320</v>
      </c>
      <c r="Y260" s="492">
        <f t="shared" si="234"/>
        <v>0</v>
      </c>
      <c r="Z260" s="493" t="str">
        <f t="shared" si="235"/>
        <v>#REF!</v>
      </c>
      <c r="AA260" s="494" t="str">
        <f t="shared" si="118"/>
        <v/>
      </c>
      <c r="AB260" s="5"/>
      <c r="AC260" s="2"/>
      <c r="AD260" s="5"/>
      <c r="AE260" s="5"/>
      <c r="AF260" s="6"/>
      <c r="AG260" s="5"/>
      <c r="AH260" s="5"/>
      <c r="AI260" s="5"/>
      <c r="AJ260" s="5"/>
      <c r="AK260" s="5"/>
      <c r="AL260" s="2"/>
      <c r="AM260" s="5"/>
      <c r="AN260" s="515" t="str">
        <f>'Audit Check'!S77</f>
        <v/>
      </c>
      <c r="AO260" s="495"/>
      <c r="AP260" s="488">
        <f t="shared" si="121"/>
        <v>0</v>
      </c>
      <c r="AQ260" s="489">
        <f t="shared" si="207"/>
        <v>4</v>
      </c>
      <c r="AR260" s="495" t="str">
        <f t="shared" si="208"/>
        <v/>
      </c>
      <c r="AS260" s="491">
        <f t="shared" si="214"/>
        <v>30</v>
      </c>
      <c r="AT260" s="489">
        <f t="shared" si="209"/>
        <v>240</v>
      </c>
      <c r="AU260" s="492">
        <f t="shared" si="210"/>
        <v>0</v>
      </c>
      <c r="AV260" s="493">
        <f t="shared" si="211"/>
        <v>0</v>
      </c>
      <c r="AW260" s="494" t="str">
        <f t="shared" si="122"/>
        <v/>
      </c>
      <c r="AX260" s="5"/>
      <c r="AY260" s="5"/>
      <c r="AZ260" s="5"/>
      <c r="BA260" s="5"/>
      <c r="BB260" s="5"/>
      <c r="BC260" s="5"/>
      <c r="BD260" s="5"/>
      <c r="BE260" s="5"/>
      <c r="BF260" s="5"/>
      <c r="BG260" s="5"/>
      <c r="BH260" s="5"/>
    </row>
    <row r="261" ht="12.75" customHeight="1">
      <c r="A261" s="1"/>
      <c r="B261" s="2"/>
      <c r="C261" s="537" t="s">
        <v>292</v>
      </c>
      <c r="D261" s="127"/>
      <c r="E261" s="161"/>
      <c r="F261" s="127"/>
      <c r="G261" s="127"/>
      <c r="H261" s="127"/>
      <c r="I261" s="538"/>
      <c r="J261" s="495"/>
      <c r="K261" s="539"/>
      <c r="L261" s="3"/>
      <c r="M261" s="3"/>
      <c r="N261" s="4"/>
      <c r="O261" s="2"/>
      <c r="P261" s="314"/>
      <c r="Q261" s="314"/>
      <c r="R261" s="486" t="s">
        <v>411</v>
      </c>
      <c r="S261" s="495"/>
      <c r="T261" s="488">
        <f t="shared" si="123"/>
        <v>0</v>
      </c>
      <c r="U261" s="489">
        <f t="shared" si="230"/>
        <v>4</v>
      </c>
      <c r="V261" s="490" t="str">
        <f t="shared" si="231"/>
        <v>#REF!</v>
      </c>
      <c r="W261" s="491">
        <f t="shared" si="232"/>
        <v>40</v>
      </c>
      <c r="X261" s="489">
        <f t="shared" si="233"/>
        <v>320</v>
      </c>
      <c r="Y261" s="492">
        <f t="shared" si="234"/>
        <v>0</v>
      </c>
      <c r="Z261" s="493" t="str">
        <f t="shared" si="235"/>
        <v>#REF!</v>
      </c>
      <c r="AA261" s="494" t="str">
        <f t="shared" si="118"/>
        <v/>
      </c>
      <c r="AB261" s="5"/>
      <c r="AC261" s="2"/>
      <c r="AD261" s="5"/>
      <c r="AE261" s="5"/>
      <c r="AF261" s="6"/>
      <c r="AG261" s="5"/>
      <c r="AH261" s="5"/>
      <c r="AI261" s="5"/>
      <c r="AJ261" s="5"/>
      <c r="AK261" s="5"/>
      <c r="AL261" s="2"/>
      <c r="AM261" s="5"/>
      <c r="AN261" s="515" t="str">
        <f>'Audit Check'!S78</f>
        <v/>
      </c>
      <c r="AO261" s="495"/>
      <c r="AP261" s="488">
        <f t="shared" si="121"/>
        <v>0</v>
      </c>
      <c r="AQ261" s="489">
        <f t="shared" si="207"/>
        <v>4</v>
      </c>
      <c r="AR261" s="495" t="str">
        <f t="shared" si="208"/>
        <v/>
      </c>
      <c r="AS261" s="491">
        <f t="shared" si="214"/>
        <v>30</v>
      </c>
      <c r="AT261" s="489">
        <f t="shared" si="209"/>
        <v>240</v>
      </c>
      <c r="AU261" s="492">
        <f t="shared" si="210"/>
        <v>0</v>
      </c>
      <c r="AV261" s="493">
        <f t="shared" si="211"/>
        <v>0</v>
      </c>
      <c r="AW261" s="494" t="str">
        <f t="shared" si="122"/>
        <v/>
      </c>
      <c r="AX261" s="5"/>
      <c r="AY261" s="5"/>
      <c r="AZ261" s="5"/>
      <c r="BA261" s="5"/>
      <c r="BB261" s="5"/>
      <c r="BC261" s="5"/>
      <c r="BD261" s="5"/>
      <c r="BE261" s="5"/>
      <c r="BF261" s="5"/>
      <c r="BG261" s="5"/>
      <c r="BH261" s="5"/>
    </row>
    <row r="262" ht="12.75" customHeight="1">
      <c r="A262" s="1"/>
      <c r="B262" s="2"/>
      <c r="C262" s="540" t="str">
        <f>C154</f>
        <v>Pre-mobilisation documents</v>
      </c>
      <c r="D262" s="127"/>
      <c r="E262" s="161"/>
      <c r="F262" s="127"/>
      <c r="G262" s="127"/>
      <c r="H262" s="127"/>
      <c r="I262" s="541">
        <f>N154</f>
        <v>0</v>
      </c>
      <c r="J262" s="495"/>
      <c r="K262" s="539"/>
      <c r="L262" s="3"/>
      <c r="M262" s="3"/>
      <c r="N262" s="4"/>
      <c r="O262" s="2"/>
      <c r="P262" s="314"/>
      <c r="Q262" s="314"/>
      <c r="R262" s="486" t="s">
        <v>412</v>
      </c>
      <c r="S262" s="495"/>
      <c r="T262" s="488">
        <f t="shared" si="123"/>
        <v>0</v>
      </c>
      <c r="U262" s="489">
        <f t="shared" si="230"/>
        <v>4</v>
      </c>
      <c r="V262" s="490" t="str">
        <f t="shared" si="231"/>
        <v>#REF!</v>
      </c>
      <c r="W262" s="491">
        <f t="shared" si="232"/>
        <v>40</v>
      </c>
      <c r="X262" s="489">
        <f t="shared" si="233"/>
        <v>320</v>
      </c>
      <c r="Y262" s="492">
        <f t="shared" si="234"/>
        <v>0</v>
      </c>
      <c r="Z262" s="493" t="str">
        <f t="shared" si="235"/>
        <v>#REF!</v>
      </c>
      <c r="AA262" s="494" t="str">
        <f t="shared" si="118"/>
        <v/>
      </c>
      <c r="AB262" s="5"/>
      <c r="AC262" s="2"/>
      <c r="AD262" s="5"/>
      <c r="AE262" s="5"/>
      <c r="AF262" s="6"/>
      <c r="AG262" s="5"/>
      <c r="AH262" s="5"/>
      <c r="AI262" s="5"/>
      <c r="AJ262" s="5"/>
      <c r="AK262" s="5"/>
      <c r="AL262" s="2"/>
      <c r="AM262" s="5"/>
      <c r="AN262" s="515" t="str">
        <f>'Audit Check'!S79</f>
        <v/>
      </c>
      <c r="AO262" s="495"/>
      <c r="AP262" s="488">
        <f t="shared" si="121"/>
        <v>0</v>
      </c>
      <c r="AQ262" s="489">
        <f t="shared" si="207"/>
        <v>4</v>
      </c>
      <c r="AR262" s="495" t="str">
        <f t="shared" si="208"/>
        <v/>
      </c>
      <c r="AS262" s="491">
        <f t="shared" si="214"/>
        <v>30</v>
      </c>
      <c r="AT262" s="489">
        <f t="shared" si="209"/>
        <v>240</v>
      </c>
      <c r="AU262" s="492">
        <f t="shared" si="210"/>
        <v>0</v>
      </c>
      <c r="AV262" s="493">
        <f t="shared" si="211"/>
        <v>0</v>
      </c>
      <c r="AW262" s="494" t="str">
        <f t="shared" si="122"/>
        <v/>
      </c>
      <c r="AX262" s="5"/>
      <c r="AY262" s="5"/>
      <c r="AZ262" s="5"/>
      <c r="BA262" s="5"/>
      <c r="BB262" s="5"/>
      <c r="BC262" s="5"/>
      <c r="BD262" s="5"/>
      <c r="BE262" s="5"/>
      <c r="BF262" s="5"/>
      <c r="BG262" s="5"/>
      <c r="BH262" s="5"/>
    </row>
    <row r="263" ht="12.75" customHeight="1">
      <c r="A263" s="1"/>
      <c r="B263" s="2"/>
      <c r="C263" s="540" t="str">
        <f>C162</f>
        <v>Site Measure &amp; Order Materials</v>
      </c>
      <c r="D263" s="127"/>
      <c r="E263" s="161"/>
      <c r="F263" s="127"/>
      <c r="G263" s="127"/>
      <c r="H263" s="127"/>
      <c r="I263" s="541" t="str">
        <f>N162</f>
        <v>#REF!</v>
      </c>
      <c r="J263" s="495"/>
      <c r="K263" s="539"/>
      <c r="L263" s="3"/>
      <c r="M263" s="3"/>
      <c r="N263" s="4"/>
      <c r="O263" s="2"/>
      <c r="P263" s="314"/>
      <c r="Q263" s="314"/>
      <c r="R263" s="486" t="s">
        <v>413</v>
      </c>
      <c r="S263" s="495"/>
      <c r="T263" s="488">
        <f t="shared" si="123"/>
        <v>0</v>
      </c>
      <c r="U263" s="489">
        <f t="shared" si="230"/>
        <v>4</v>
      </c>
      <c r="V263" s="490" t="str">
        <f t="shared" si="231"/>
        <v>#REF!</v>
      </c>
      <c r="W263" s="491">
        <f t="shared" si="232"/>
        <v>40</v>
      </c>
      <c r="X263" s="489">
        <f t="shared" si="233"/>
        <v>320</v>
      </c>
      <c r="Y263" s="492">
        <f t="shared" si="234"/>
        <v>0</v>
      </c>
      <c r="Z263" s="493" t="str">
        <f t="shared" si="235"/>
        <v>#REF!</v>
      </c>
      <c r="AA263" s="494" t="str">
        <f t="shared" si="118"/>
        <v/>
      </c>
      <c r="AB263" s="5"/>
      <c r="AC263" s="2"/>
      <c r="AD263" s="5"/>
      <c r="AE263" s="5"/>
      <c r="AF263" s="6"/>
      <c r="AG263" s="5"/>
      <c r="AH263" s="5"/>
      <c r="AI263" s="5"/>
      <c r="AJ263" s="5"/>
      <c r="AK263" s="5"/>
      <c r="AL263" s="2"/>
      <c r="AM263" s="5"/>
      <c r="AN263" s="515" t="str">
        <f>'Audit Check'!S80</f>
        <v/>
      </c>
      <c r="AO263" s="495"/>
      <c r="AP263" s="488">
        <f t="shared" si="121"/>
        <v>0</v>
      </c>
      <c r="AQ263" s="489">
        <f t="shared" si="207"/>
        <v>4</v>
      </c>
      <c r="AR263" s="495" t="str">
        <f t="shared" si="208"/>
        <v/>
      </c>
      <c r="AS263" s="491">
        <f t="shared" si="214"/>
        <v>30</v>
      </c>
      <c r="AT263" s="489">
        <f t="shared" si="209"/>
        <v>240</v>
      </c>
      <c r="AU263" s="492">
        <f t="shared" si="210"/>
        <v>0</v>
      </c>
      <c r="AV263" s="493">
        <f t="shared" si="211"/>
        <v>0</v>
      </c>
      <c r="AW263" s="494" t="str">
        <f t="shared" si="122"/>
        <v/>
      </c>
      <c r="AX263" s="5"/>
      <c r="AY263" s="5"/>
      <c r="AZ263" s="5"/>
      <c r="BA263" s="5"/>
      <c r="BB263" s="5"/>
      <c r="BC263" s="5"/>
      <c r="BD263" s="5"/>
      <c r="BE263" s="5"/>
      <c r="BF263" s="5"/>
      <c r="BG263" s="5"/>
      <c r="BH263" s="5"/>
    </row>
    <row r="264" ht="12.75" customHeight="1">
      <c r="A264" s="1"/>
      <c r="B264" s="2"/>
      <c r="C264" s="540" t="str">
        <f>C168</f>
        <v>Freight materials to site</v>
      </c>
      <c r="D264" s="127"/>
      <c r="E264" s="161"/>
      <c r="F264" s="127"/>
      <c r="G264" s="127"/>
      <c r="H264" s="127"/>
      <c r="I264" s="541">
        <f>N168</f>
        <v>1200</v>
      </c>
      <c r="J264" s="495"/>
      <c r="K264" s="539"/>
      <c r="L264" s="3"/>
      <c r="M264" s="3"/>
      <c r="N264" s="4"/>
      <c r="O264" s="2"/>
      <c r="P264" s="314"/>
      <c r="Q264" s="314"/>
      <c r="R264" s="486" t="s">
        <v>414</v>
      </c>
      <c r="S264" s="495"/>
      <c r="T264" s="488">
        <f t="shared" si="123"/>
        <v>0</v>
      </c>
      <c r="U264" s="489">
        <f t="shared" si="230"/>
        <v>4</v>
      </c>
      <c r="V264" s="490" t="str">
        <f t="shared" si="231"/>
        <v>#REF!</v>
      </c>
      <c r="W264" s="491">
        <f t="shared" si="232"/>
        <v>40</v>
      </c>
      <c r="X264" s="489">
        <f t="shared" si="233"/>
        <v>320</v>
      </c>
      <c r="Y264" s="492">
        <f t="shared" si="234"/>
        <v>0</v>
      </c>
      <c r="Z264" s="493" t="str">
        <f t="shared" si="235"/>
        <v>#REF!</v>
      </c>
      <c r="AA264" s="494" t="str">
        <f t="shared" si="118"/>
        <v/>
      </c>
      <c r="AB264" s="5"/>
      <c r="AC264" s="2"/>
      <c r="AD264" s="5"/>
      <c r="AE264" s="5"/>
      <c r="AF264" s="6"/>
      <c r="AG264" s="5"/>
      <c r="AH264" s="5"/>
      <c r="AI264" s="5"/>
      <c r="AJ264" s="5"/>
      <c r="AK264" s="5"/>
      <c r="AL264" s="2"/>
      <c r="AM264" s="5"/>
      <c r="AN264" s="515" t="str">
        <f>'Audit Check'!S81</f>
        <v/>
      </c>
      <c r="AO264" s="495"/>
      <c r="AP264" s="488">
        <f t="shared" si="121"/>
        <v>0</v>
      </c>
      <c r="AQ264" s="489">
        <f t="shared" si="207"/>
        <v>4</v>
      </c>
      <c r="AR264" s="495" t="str">
        <f t="shared" si="208"/>
        <v/>
      </c>
      <c r="AS264" s="491">
        <f t="shared" si="214"/>
        <v>30</v>
      </c>
      <c r="AT264" s="489">
        <f t="shared" si="209"/>
        <v>240</v>
      </c>
      <c r="AU264" s="492">
        <f t="shared" si="210"/>
        <v>0</v>
      </c>
      <c r="AV264" s="493">
        <f t="shared" si="211"/>
        <v>0</v>
      </c>
      <c r="AW264" s="494" t="str">
        <f t="shared" si="122"/>
        <v/>
      </c>
      <c r="AX264" s="5"/>
      <c r="AY264" s="5"/>
      <c r="AZ264" s="5"/>
      <c r="BA264" s="5"/>
      <c r="BB264" s="5"/>
      <c r="BC264" s="5"/>
      <c r="BD264" s="5"/>
      <c r="BE264" s="5"/>
      <c r="BF264" s="5"/>
      <c r="BG264" s="5"/>
      <c r="BH264" s="5"/>
    </row>
    <row r="265" ht="12.75" customHeight="1">
      <c r="A265" s="1"/>
      <c r="B265" s="2"/>
      <c r="C265" s="540" t="str">
        <f>C178</f>
        <v>Samples, warranties, maintenance manuals</v>
      </c>
      <c r="D265" s="127"/>
      <c r="E265" s="161"/>
      <c r="F265" s="127"/>
      <c r="G265" s="127"/>
      <c r="H265" s="127"/>
      <c r="I265" s="541">
        <f>N178</f>
        <v>0</v>
      </c>
      <c r="J265" s="495"/>
      <c r="K265" s="539"/>
      <c r="L265" s="3"/>
      <c r="M265" s="3"/>
      <c r="N265" s="4"/>
      <c r="O265" s="2"/>
      <c r="P265" s="314"/>
      <c r="Q265" s="314"/>
      <c r="R265" s="486" t="s">
        <v>415</v>
      </c>
      <c r="S265" s="495"/>
      <c r="T265" s="488">
        <f t="shared" si="123"/>
        <v>0</v>
      </c>
      <c r="U265" s="489">
        <f t="shared" si="230"/>
        <v>4</v>
      </c>
      <c r="V265" s="490" t="str">
        <f t="shared" si="231"/>
        <v>#REF!</v>
      </c>
      <c r="W265" s="491">
        <f t="shared" si="232"/>
        <v>40</v>
      </c>
      <c r="X265" s="489">
        <f t="shared" si="233"/>
        <v>320</v>
      </c>
      <c r="Y265" s="492">
        <f t="shared" si="234"/>
        <v>0</v>
      </c>
      <c r="Z265" s="493" t="str">
        <f t="shared" si="235"/>
        <v>#REF!</v>
      </c>
      <c r="AA265" s="494" t="str">
        <f t="shared" si="118"/>
        <v/>
      </c>
      <c r="AB265" s="5"/>
      <c r="AC265" s="2"/>
      <c r="AD265" s="5"/>
      <c r="AE265" s="5"/>
      <c r="AF265" s="6"/>
      <c r="AG265" s="5"/>
      <c r="AH265" s="5"/>
      <c r="AI265" s="5"/>
      <c r="AJ265" s="5"/>
      <c r="AK265" s="5"/>
      <c r="AL265" s="2"/>
      <c r="AM265" s="5"/>
      <c r="AN265" s="515" t="str">
        <f>'Audit Check'!S82</f>
        <v/>
      </c>
      <c r="AO265" s="495"/>
      <c r="AP265" s="488">
        <f t="shared" si="121"/>
        <v>0</v>
      </c>
      <c r="AQ265" s="489">
        <f t="shared" si="207"/>
        <v>4</v>
      </c>
      <c r="AR265" s="495" t="str">
        <f t="shared" si="208"/>
        <v/>
      </c>
      <c r="AS265" s="491">
        <f t="shared" si="214"/>
        <v>30</v>
      </c>
      <c r="AT265" s="489">
        <f t="shared" si="209"/>
        <v>240</v>
      </c>
      <c r="AU265" s="492">
        <f t="shared" si="210"/>
        <v>0</v>
      </c>
      <c r="AV265" s="493">
        <f t="shared" si="211"/>
        <v>0</v>
      </c>
      <c r="AW265" s="494" t="str">
        <f t="shared" si="122"/>
        <v/>
      </c>
      <c r="AX265" s="5"/>
      <c r="AY265" s="5"/>
      <c r="AZ265" s="5"/>
      <c r="BA265" s="5"/>
      <c r="BB265" s="5"/>
      <c r="BC265" s="5"/>
      <c r="BD265" s="5"/>
      <c r="BE265" s="5"/>
      <c r="BF265" s="5"/>
      <c r="BG265" s="5"/>
      <c r="BH265" s="5"/>
    </row>
    <row r="266" ht="12.75" customHeight="1">
      <c r="A266" s="1"/>
      <c r="B266" s="2"/>
      <c r="C266" s="540" t="str">
        <f>C183</f>
        <v>Site IndUCtions, PPE and safety meetings</v>
      </c>
      <c r="D266" s="127"/>
      <c r="E266" s="161"/>
      <c r="F266" s="127"/>
      <c r="G266" s="127"/>
      <c r="H266" s="127"/>
      <c r="I266" s="541">
        <f>N183</f>
        <v>0</v>
      </c>
      <c r="J266" s="495"/>
      <c r="K266" s="539"/>
      <c r="L266" s="3"/>
      <c r="M266" s="3"/>
      <c r="N266" s="4"/>
      <c r="O266" s="2"/>
      <c r="P266" s="314"/>
      <c r="Q266" s="314"/>
      <c r="R266" s="486" t="s">
        <v>416</v>
      </c>
      <c r="S266" s="495"/>
      <c r="T266" s="488">
        <f t="shared" si="123"/>
        <v>0</v>
      </c>
      <c r="U266" s="489">
        <f t="shared" si="230"/>
        <v>4</v>
      </c>
      <c r="V266" s="490" t="str">
        <f t="shared" si="231"/>
        <v>#REF!</v>
      </c>
      <c r="W266" s="491">
        <f t="shared" si="232"/>
        <v>40</v>
      </c>
      <c r="X266" s="489">
        <f t="shared" si="233"/>
        <v>320</v>
      </c>
      <c r="Y266" s="492">
        <f t="shared" si="234"/>
        <v>0</v>
      </c>
      <c r="Z266" s="493" t="str">
        <f t="shared" si="235"/>
        <v>#REF!</v>
      </c>
      <c r="AA266" s="494" t="str">
        <f t="shared" si="118"/>
        <v/>
      </c>
      <c r="AB266" s="5"/>
      <c r="AC266" s="2"/>
      <c r="AD266" s="5"/>
      <c r="AE266" s="5"/>
      <c r="AF266" s="6"/>
      <c r="AG266" s="5"/>
      <c r="AH266" s="5"/>
      <c r="AI266" s="5"/>
      <c r="AJ266" s="5"/>
      <c r="AK266" s="5"/>
      <c r="AL266" s="2"/>
      <c r="AM266" s="5"/>
      <c r="AN266" s="515" t="str">
        <f>'Audit Check'!S83</f>
        <v/>
      </c>
      <c r="AO266" s="495"/>
      <c r="AP266" s="488">
        <f t="shared" si="121"/>
        <v>0</v>
      </c>
      <c r="AQ266" s="489">
        <f t="shared" si="207"/>
        <v>4</v>
      </c>
      <c r="AR266" s="495" t="str">
        <f t="shared" si="208"/>
        <v/>
      </c>
      <c r="AS266" s="491">
        <f t="shared" si="214"/>
        <v>30</v>
      </c>
      <c r="AT266" s="489">
        <f t="shared" si="209"/>
        <v>240</v>
      </c>
      <c r="AU266" s="492">
        <f t="shared" si="210"/>
        <v>0</v>
      </c>
      <c r="AV266" s="493">
        <f t="shared" si="211"/>
        <v>0</v>
      </c>
      <c r="AW266" s="494" t="str">
        <f t="shared" si="122"/>
        <v/>
      </c>
      <c r="AX266" s="5"/>
      <c r="AY266" s="5"/>
      <c r="AZ266" s="5"/>
      <c r="BA266" s="5"/>
      <c r="BB266" s="5"/>
      <c r="BC266" s="5"/>
      <c r="BD266" s="5"/>
      <c r="BE266" s="5"/>
      <c r="BF266" s="5"/>
      <c r="BG266" s="5"/>
      <c r="BH266" s="5"/>
    </row>
    <row r="267" ht="12.75" customHeight="1">
      <c r="A267" s="1"/>
      <c r="B267" s="2"/>
      <c r="C267" s="540" t="str">
        <f>C189</f>
        <v>Administration</v>
      </c>
      <c r="D267" s="127"/>
      <c r="E267" s="161"/>
      <c r="F267" s="127"/>
      <c r="G267" s="127"/>
      <c r="H267" s="127"/>
      <c r="I267" s="541" t="str">
        <f>N189</f>
        <v>#REF!</v>
      </c>
      <c r="J267" s="495"/>
      <c r="K267" s="539"/>
      <c r="L267" s="3"/>
      <c r="M267" s="3"/>
      <c r="N267" s="4"/>
      <c r="O267" s="2"/>
      <c r="P267" s="314"/>
      <c r="Q267" s="314"/>
      <c r="R267" s="486" t="s">
        <v>107</v>
      </c>
      <c r="S267" s="495"/>
      <c r="T267" s="488">
        <f t="shared" si="123"/>
        <v>225.56</v>
      </c>
      <c r="U267" s="489">
        <f t="shared" si="230"/>
        <v>4</v>
      </c>
      <c r="V267" s="490" t="str">
        <f t="shared" si="231"/>
        <v>#REF!</v>
      </c>
      <c r="W267" s="491">
        <f t="shared" si="232"/>
        <v>40</v>
      </c>
      <c r="X267" s="489">
        <f t="shared" si="233"/>
        <v>320</v>
      </c>
      <c r="Y267" s="492">
        <f t="shared" si="234"/>
        <v>0.71</v>
      </c>
      <c r="Z267" s="493" t="str">
        <f t="shared" si="235"/>
        <v>#REF!</v>
      </c>
      <c r="AA267" s="494" t="str">
        <f t="shared" si="118"/>
        <v/>
      </c>
      <c r="AB267" s="5"/>
      <c r="AC267" s="2"/>
      <c r="AD267" s="5"/>
      <c r="AE267" s="5"/>
      <c r="AF267" s="6"/>
      <c r="AG267" s="5"/>
      <c r="AH267" s="5"/>
      <c r="AI267" s="5"/>
      <c r="AJ267" s="5"/>
      <c r="AK267" s="5"/>
      <c r="AL267" s="2"/>
      <c r="AM267" s="5"/>
      <c r="AN267" s="5"/>
      <c r="AO267" s="468"/>
      <c r="AP267" s="548"/>
      <c r="AQ267" s="549">
        <f>AVERAGE(AQ185:AQ210)</f>
        <v>4</v>
      </c>
      <c r="AR267" s="468"/>
      <c r="AS267" s="550"/>
      <c r="AT267" s="555" t="str">
        <f>AT173</f>
        <v/>
      </c>
      <c r="AU267" s="552">
        <f t="shared" ref="AU267:AV267" si="242">SUM(AU185:AU266)</f>
        <v>0</v>
      </c>
      <c r="AV267" s="553">
        <f t="shared" si="242"/>
        <v>0</v>
      </c>
      <c r="AW267" s="554" t="str">
        <f>AV267/AU267/AT267</f>
        <v>#DIV/0!</v>
      </c>
      <c r="AX267" s="5"/>
      <c r="AY267" s="5"/>
      <c r="AZ267" s="5"/>
      <c r="BA267" s="5"/>
      <c r="BB267" s="5"/>
      <c r="BC267" s="5"/>
      <c r="BD267" s="5"/>
      <c r="BE267" s="5"/>
      <c r="BF267" s="5"/>
      <c r="BG267" s="5"/>
      <c r="BH267" s="5"/>
    </row>
    <row r="268" ht="12.75" customHeight="1">
      <c r="A268" s="1"/>
      <c r="B268" s="2"/>
      <c r="C268" s="540" t="str">
        <f>C195</f>
        <v>Site Prelims</v>
      </c>
      <c r="D268" s="127"/>
      <c r="E268" s="161"/>
      <c r="F268" s="127"/>
      <c r="G268" s="127"/>
      <c r="H268" s="127"/>
      <c r="I268" s="541" t="str">
        <f>N195</f>
        <v>#REF!</v>
      </c>
      <c r="J268" s="495"/>
      <c r="K268" s="539"/>
      <c r="L268" s="3"/>
      <c r="M268" s="3"/>
      <c r="N268" s="4"/>
      <c r="O268" s="2"/>
      <c r="P268" s="314"/>
      <c r="Q268" s="314"/>
      <c r="R268" s="486" t="s">
        <v>417</v>
      </c>
      <c r="S268" s="495"/>
      <c r="T268" s="488">
        <f t="shared" si="123"/>
        <v>0</v>
      </c>
      <c r="U268" s="489">
        <f t="shared" si="230"/>
        <v>4</v>
      </c>
      <c r="V268" s="490" t="str">
        <f t="shared" si="231"/>
        <v>#REF!</v>
      </c>
      <c r="W268" s="491">
        <f t="shared" si="232"/>
        <v>40</v>
      </c>
      <c r="X268" s="489">
        <f t="shared" si="233"/>
        <v>320</v>
      </c>
      <c r="Y268" s="492">
        <f t="shared" si="234"/>
        <v>0</v>
      </c>
      <c r="Z268" s="493" t="str">
        <f t="shared" si="235"/>
        <v>#REF!</v>
      </c>
      <c r="AA268" s="494" t="str">
        <f t="shared" si="118"/>
        <v/>
      </c>
      <c r="AB268" s="5"/>
      <c r="AC268" s="2"/>
      <c r="AD268" s="5"/>
      <c r="AE268" s="5"/>
      <c r="AF268" s="6"/>
      <c r="AG268" s="5"/>
      <c r="AH268" s="5"/>
      <c r="AI268" s="5"/>
      <c r="AJ268" s="5"/>
      <c r="AK268" s="5"/>
      <c r="AL268" s="2"/>
      <c r="AM268" s="5"/>
      <c r="AN268" s="5"/>
      <c r="AO268" s="5"/>
      <c r="AP268" s="6"/>
      <c r="AQ268" s="5"/>
      <c r="AR268" s="5"/>
      <c r="AS268" s="6"/>
      <c r="AT268" s="551">
        <v>8.0</v>
      </c>
      <c r="AU268" s="552">
        <f>AT267/AT268*AU267</f>
        <v>0</v>
      </c>
      <c r="AV268" s="553" t="str">
        <f>AW267*AU268*AT268</f>
        <v>#DIV/0!</v>
      </c>
      <c r="AW268" s="5"/>
      <c r="AX268" s="5"/>
      <c r="AY268" s="5"/>
      <c r="AZ268" s="5"/>
      <c r="BA268" s="5"/>
      <c r="BB268" s="5"/>
      <c r="BC268" s="5"/>
      <c r="BD268" s="5"/>
      <c r="BE268" s="5"/>
      <c r="BF268" s="5"/>
      <c r="BG268" s="5"/>
      <c r="BH268" s="5"/>
    </row>
    <row r="269" ht="12.75" customHeight="1">
      <c r="A269" s="1"/>
      <c r="B269" s="2"/>
      <c r="C269" s="540" t="str">
        <f>C207</f>
        <v>Crane/Dogman/Handlift </v>
      </c>
      <c r="D269" s="127"/>
      <c r="E269" s="161"/>
      <c r="F269" s="127"/>
      <c r="G269" s="127"/>
      <c r="H269" s="127"/>
      <c r="I269" s="556">
        <f>N207</f>
        <v>7820</v>
      </c>
      <c r="J269" s="495"/>
      <c r="K269" s="539"/>
      <c r="L269" s="3"/>
      <c r="M269" s="3"/>
      <c r="N269" s="4"/>
      <c r="O269" s="2"/>
      <c r="P269" s="314"/>
      <c r="Q269" s="314"/>
      <c r="R269" s="486" t="s">
        <v>418</v>
      </c>
      <c r="S269" s="495"/>
      <c r="T269" s="488">
        <f t="shared" si="123"/>
        <v>0</v>
      </c>
      <c r="U269" s="489">
        <f t="shared" si="230"/>
        <v>4</v>
      </c>
      <c r="V269" s="490" t="str">
        <f t="shared" si="231"/>
        <v>#REF!</v>
      </c>
      <c r="W269" s="491">
        <f t="shared" si="232"/>
        <v>40</v>
      </c>
      <c r="X269" s="489">
        <f t="shared" si="233"/>
        <v>320</v>
      </c>
      <c r="Y269" s="492">
        <f t="shared" si="234"/>
        <v>0</v>
      </c>
      <c r="Z269" s="493" t="str">
        <f t="shared" si="235"/>
        <v>#REF!</v>
      </c>
      <c r="AA269" s="494" t="str">
        <f t="shared" si="118"/>
        <v/>
      </c>
      <c r="AB269" s="5"/>
      <c r="AC269" s="2"/>
      <c r="AD269" s="5"/>
      <c r="AE269" s="5"/>
      <c r="AF269" s="6"/>
      <c r="AG269" s="5"/>
      <c r="AH269" s="5"/>
      <c r="AI269" s="5"/>
      <c r="AJ269" s="5"/>
      <c r="AK269" s="5"/>
      <c r="AL269" s="2"/>
      <c r="AM269" s="5"/>
      <c r="AN269" s="5"/>
      <c r="AO269" s="5"/>
      <c r="AP269" s="5"/>
      <c r="AQ269" s="5"/>
      <c r="AR269" s="5"/>
      <c r="AS269" s="5"/>
      <c r="AT269" s="5"/>
      <c r="AU269" s="5"/>
      <c r="AV269" s="5"/>
      <c r="AW269" s="5"/>
      <c r="AX269" s="5"/>
      <c r="AY269" s="5"/>
      <c r="AZ269" s="5"/>
      <c r="BA269" s="5"/>
      <c r="BB269" s="5"/>
      <c r="BC269" s="5"/>
      <c r="BD269" s="5"/>
      <c r="BE269" s="5"/>
      <c r="BF269" s="5"/>
      <c r="BG269" s="5"/>
      <c r="BH269" s="5"/>
    </row>
    <row r="270" ht="12.75" customHeight="1">
      <c r="A270" s="1"/>
      <c r="B270" s="2"/>
      <c r="C270" s="540" t="str">
        <f>C223</f>
        <v>Access Machine</v>
      </c>
      <c r="D270" s="127"/>
      <c r="E270" s="161"/>
      <c r="F270" s="127"/>
      <c r="G270" s="127"/>
      <c r="H270" s="127"/>
      <c r="I270" s="556" t="str">
        <f>N223</f>
        <v>#REF!</v>
      </c>
      <c r="J270" s="497"/>
      <c r="K270" s="539"/>
      <c r="L270" s="3"/>
      <c r="M270" s="3"/>
      <c r="N270" s="4"/>
      <c r="O270" s="2"/>
      <c r="P270" s="314"/>
      <c r="Q270" s="314"/>
      <c r="R270" s="486" t="s">
        <v>82</v>
      </c>
      <c r="S270" s="495"/>
      <c r="T270" s="488" t="str">
        <f t="shared" si="123"/>
        <v>#REF!</v>
      </c>
      <c r="U270" s="489">
        <f t="shared" si="230"/>
        <v>4</v>
      </c>
      <c r="V270" s="490" t="str">
        <f t="shared" si="231"/>
        <v>#REF!</v>
      </c>
      <c r="W270" s="491">
        <f t="shared" si="232"/>
        <v>40</v>
      </c>
      <c r="X270" s="489">
        <f t="shared" si="233"/>
        <v>320</v>
      </c>
      <c r="Y270" s="492" t="str">
        <f t="shared" si="234"/>
        <v>#REF!</v>
      </c>
      <c r="Z270" s="493" t="str">
        <f t="shared" si="235"/>
        <v>#REF!</v>
      </c>
      <c r="AA270" s="494" t="str">
        <f t="shared" si="118"/>
        <v/>
      </c>
      <c r="AB270" s="5"/>
      <c r="AC270" s="2"/>
      <c r="AD270" s="5"/>
      <c r="AE270" s="5"/>
      <c r="AF270" s="6"/>
      <c r="AG270" s="5"/>
      <c r="AH270" s="5"/>
      <c r="AI270" s="5"/>
      <c r="AJ270" s="5"/>
      <c r="AK270" s="5"/>
      <c r="AL270" s="2"/>
      <c r="AM270" s="5"/>
      <c r="AN270" s="5"/>
      <c r="AO270" s="5"/>
      <c r="AP270" s="5"/>
      <c r="AQ270" s="5"/>
      <c r="AR270" s="5"/>
      <c r="AS270" s="5"/>
      <c r="AT270" s="5"/>
      <c r="AU270" s="5"/>
      <c r="AV270" s="5"/>
      <c r="AW270" s="5"/>
      <c r="AX270" s="5"/>
      <c r="AY270" s="5"/>
      <c r="AZ270" s="5"/>
      <c r="BA270" s="5"/>
      <c r="BB270" s="5"/>
      <c r="BC270" s="5"/>
      <c r="BD270" s="5"/>
      <c r="BE270" s="5"/>
      <c r="BF270" s="5"/>
      <c r="BG270" s="5"/>
      <c r="BH270" s="5"/>
    </row>
    <row r="271" ht="12.75" customHeight="1">
      <c r="A271" s="1"/>
      <c r="B271" s="2"/>
      <c r="C271" s="127"/>
      <c r="D271" s="127"/>
      <c r="E271" s="161"/>
      <c r="F271" s="127"/>
      <c r="G271" s="127"/>
      <c r="H271" s="127"/>
      <c r="I271" s="139"/>
      <c r="J271" s="495"/>
      <c r="K271" s="539"/>
      <c r="L271" s="3"/>
      <c r="M271" s="3"/>
      <c r="N271" s="4"/>
      <c r="O271" s="5"/>
      <c r="P271" s="314"/>
      <c r="Q271" s="314"/>
      <c r="R271" s="486" t="s">
        <v>86</v>
      </c>
      <c r="S271" s="495"/>
      <c r="T271" s="488" t="str">
        <f t="shared" si="123"/>
        <v>#REF!</v>
      </c>
      <c r="U271" s="489">
        <f t="shared" si="230"/>
        <v>4</v>
      </c>
      <c r="V271" s="490" t="str">
        <f t="shared" si="231"/>
        <v>#REF!</v>
      </c>
      <c r="W271" s="491">
        <f t="shared" si="232"/>
        <v>40</v>
      </c>
      <c r="X271" s="489">
        <f t="shared" si="233"/>
        <v>320</v>
      </c>
      <c r="Y271" s="492" t="str">
        <f t="shared" si="234"/>
        <v>#REF!</v>
      </c>
      <c r="Z271" s="493" t="str">
        <f t="shared" si="235"/>
        <v>#REF!</v>
      </c>
      <c r="AA271" s="494" t="str">
        <f t="shared" si="118"/>
        <v/>
      </c>
      <c r="AB271" s="5"/>
      <c r="AC271" s="2"/>
      <c r="AD271" s="5"/>
      <c r="AE271" s="5"/>
      <c r="AF271" s="6"/>
      <c r="AG271" s="5"/>
      <c r="AH271" s="5"/>
      <c r="AI271" s="5"/>
      <c r="AJ271" s="5"/>
      <c r="AK271" s="5"/>
      <c r="AL271" s="2"/>
      <c r="AM271" s="5"/>
      <c r="AN271" s="5"/>
      <c r="AO271" s="5"/>
      <c r="AP271" s="5"/>
      <c r="AQ271" s="5"/>
      <c r="AR271" s="5"/>
      <c r="AS271" s="5"/>
      <c r="AT271" s="5"/>
      <c r="AU271" s="5"/>
      <c r="AV271" s="5"/>
      <c r="AW271" s="5"/>
      <c r="AX271" s="5"/>
      <c r="AY271" s="5"/>
      <c r="AZ271" s="5"/>
      <c r="BA271" s="5"/>
      <c r="BB271" s="5"/>
      <c r="BC271" s="5"/>
      <c r="BD271" s="5"/>
      <c r="BE271" s="5"/>
      <c r="BF271" s="5"/>
      <c r="BG271" s="5"/>
      <c r="BH271" s="5"/>
    </row>
    <row r="272" ht="12.75" customHeight="1">
      <c r="A272" s="1"/>
      <c r="B272" s="2"/>
      <c r="C272" s="540" t="s">
        <v>284</v>
      </c>
      <c r="D272" s="127"/>
      <c r="E272" s="161"/>
      <c r="F272" s="127"/>
      <c r="G272" s="127"/>
      <c r="H272" s="127"/>
      <c r="I272" s="542" t="str">
        <f>N246</f>
        <v>#REF!</v>
      </c>
      <c r="J272" s="497" t="str">
        <f>L246</f>
        <v/>
      </c>
      <c r="K272" s="539"/>
      <c r="L272" s="3"/>
      <c r="M272" s="3"/>
      <c r="N272" s="4"/>
      <c r="O272" s="5"/>
      <c r="P272" s="314"/>
      <c r="Q272" s="314"/>
      <c r="R272" s="486" t="s">
        <v>419</v>
      </c>
      <c r="S272" s="495"/>
      <c r="T272" s="488">
        <f t="shared" si="123"/>
        <v>0</v>
      </c>
      <c r="U272" s="489">
        <f t="shared" si="230"/>
        <v>4</v>
      </c>
      <c r="V272" s="490" t="str">
        <f t="shared" si="231"/>
        <v>#REF!</v>
      </c>
      <c r="W272" s="491">
        <f t="shared" si="232"/>
        <v>40</v>
      </c>
      <c r="X272" s="489">
        <f t="shared" si="233"/>
        <v>320</v>
      </c>
      <c r="Y272" s="492">
        <f t="shared" si="234"/>
        <v>0</v>
      </c>
      <c r="Z272" s="493" t="str">
        <f t="shared" si="235"/>
        <v>#REF!</v>
      </c>
      <c r="AA272" s="494" t="str">
        <f t="shared" si="118"/>
        <v/>
      </c>
      <c r="AB272" s="5"/>
      <c r="AC272" s="2"/>
      <c r="AD272" s="5"/>
      <c r="AE272" s="5"/>
      <c r="AF272" s="6"/>
      <c r="AG272" s="5"/>
      <c r="AH272" s="5"/>
      <c r="AI272" s="5"/>
      <c r="AJ272" s="5"/>
      <c r="AK272" s="5"/>
      <c r="AL272" s="2"/>
      <c r="AM272" s="5"/>
      <c r="AN272" s="5"/>
      <c r="AO272" s="5"/>
      <c r="AP272" s="5"/>
      <c r="AQ272" s="5"/>
      <c r="AR272" s="5"/>
      <c r="AS272" s="5"/>
      <c r="AT272" s="5"/>
      <c r="AU272" s="5"/>
      <c r="AV272" s="5"/>
      <c r="AW272" s="5"/>
      <c r="AX272" s="5"/>
      <c r="AY272" s="5"/>
      <c r="AZ272" s="5"/>
      <c r="BA272" s="5"/>
      <c r="BB272" s="5"/>
      <c r="BC272" s="5"/>
      <c r="BD272" s="5"/>
      <c r="BE272" s="5"/>
      <c r="BF272" s="5"/>
      <c r="BG272" s="5"/>
      <c r="BH272" s="5"/>
    </row>
    <row r="273" ht="12.75" customHeight="1">
      <c r="A273" s="1"/>
      <c r="B273" s="2"/>
      <c r="C273" s="543" t="s">
        <v>293</v>
      </c>
      <c r="D273" s="544"/>
      <c r="E273" s="545"/>
      <c r="F273" s="544"/>
      <c r="G273" s="544"/>
      <c r="H273" s="544"/>
      <c r="I273" s="546" t="str">
        <f>SUM(I262:I272)</f>
        <v>#REF!</v>
      </c>
      <c r="J273" s="547"/>
      <c r="K273" s="547"/>
      <c r="L273" s="375" t="str">
        <f>I273/I259</f>
        <v>#REF!</v>
      </c>
      <c r="M273" s="3"/>
      <c r="N273" s="4"/>
      <c r="O273" s="5"/>
      <c r="P273" s="314"/>
      <c r="Q273" s="314"/>
      <c r="R273" s="486" t="s">
        <v>420</v>
      </c>
      <c r="S273" s="495"/>
      <c r="T273" s="488">
        <f t="shared" si="123"/>
        <v>0</v>
      </c>
      <c r="U273" s="489">
        <f t="shared" si="230"/>
        <v>4</v>
      </c>
      <c r="V273" s="490" t="str">
        <f t="shared" si="231"/>
        <v>#REF!</v>
      </c>
      <c r="W273" s="491">
        <f t="shared" si="232"/>
        <v>40</v>
      </c>
      <c r="X273" s="489">
        <f t="shared" si="233"/>
        <v>320</v>
      </c>
      <c r="Y273" s="492">
        <f t="shared" si="234"/>
        <v>0</v>
      </c>
      <c r="Z273" s="493" t="str">
        <f t="shared" si="235"/>
        <v>#REF!</v>
      </c>
      <c r="AA273" s="494" t="str">
        <f t="shared" si="118"/>
        <v/>
      </c>
      <c r="AB273" s="5"/>
      <c r="AC273" s="2"/>
      <c r="AD273" s="5"/>
      <c r="AE273" s="5"/>
      <c r="AF273" s="6"/>
      <c r="AG273" s="5"/>
      <c r="AH273" s="5"/>
      <c r="AI273" s="5"/>
      <c r="AJ273" s="5"/>
      <c r="AK273" s="5"/>
      <c r="AL273" s="2"/>
      <c r="AM273" s="5"/>
      <c r="AN273" s="5"/>
      <c r="AO273" s="5"/>
      <c r="AP273" s="5"/>
      <c r="AQ273" s="5"/>
      <c r="AR273" s="5"/>
      <c r="AS273" s="5"/>
      <c r="AT273" s="5"/>
      <c r="AU273" s="5"/>
      <c r="AV273" s="5"/>
      <c r="AW273" s="5"/>
      <c r="AX273" s="5"/>
      <c r="AY273" s="5"/>
      <c r="AZ273" s="5"/>
      <c r="BA273" s="5"/>
      <c r="BB273" s="5"/>
      <c r="BC273" s="5"/>
      <c r="BD273" s="5"/>
      <c r="BE273" s="5"/>
      <c r="BF273" s="5"/>
      <c r="BG273" s="5"/>
      <c r="BH273" s="5"/>
    </row>
    <row r="274" ht="12.75" customHeight="1">
      <c r="A274" s="1"/>
      <c r="B274" s="2"/>
      <c r="C274" s="2"/>
      <c r="D274" s="2"/>
      <c r="E274" s="3"/>
      <c r="F274" s="2"/>
      <c r="G274" s="2"/>
      <c r="H274" s="2"/>
      <c r="I274" s="2"/>
      <c r="J274" s="2"/>
      <c r="K274" s="2"/>
      <c r="L274" s="3"/>
      <c r="M274" s="3"/>
      <c r="N274" s="4"/>
      <c r="O274" s="5"/>
      <c r="P274" s="314"/>
      <c r="Q274" s="314"/>
      <c r="R274" s="486" t="s">
        <v>421</v>
      </c>
      <c r="S274" s="495"/>
      <c r="T274" s="488">
        <f t="shared" si="123"/>
        <v>0</v>
      </c>
      <c r="U274" s="489">
        <f t="shared" si="230"/>
        <v>4</v>
      </c>
      <c r="V274" s="490" t="str">
        <f t="shared" si="231"/>
        <v>#REF!</v>
      </c>
      <c r="W274" s="491">
        <f t="shared" si="232"/>
        <v>40</v>
      </c>
      <c r="X274" s="489">
        <f t="shared" si="233"/>
        <v>320</v>
      </c>
      <c r="Y274" s="492">
        <f t="shared" si="234"/>
        <v>0</v>
      </c>
      <c r="Z274" s="493" t="str">
        <f t="shared" si="235"/>
        <v>#REF!</v>
      </c>
      <c r="AA274" s="494" t="str">
        <f t="shared" si="118"/>
        <v/>
      </c>
      <c r="AB274" s="5"/>
      <c r="AC274" s="2"/>
      <c r="AD274" s="5"/>
      <c r="AE274" s="5"/>
      <c r="AF274" s="6"/>
      <c r="AG274" s="5"/>
      <c r="AH274" s="5"/>
      <c r="AI274" s="5"/>
      <c r="AJ274" s="5"/>
      <c r="AK274" s="5"/>
      <c r="AL274" s="2"/>
      <c r="AM274" s="5"/>
      <c r="AN274" s="5"/>
      <c r="AO274" s="5"/>
      <c r="AP274" s="5"/>
      <c r="AQ274" s="5"/>
      <c r="AR274" s="5"/>
      <c r="AS274" s="5"/>
      <c r="AT274" s="5"/>
      <c r="AU274" s="5"/>
      <c r="AV274" s="5"/>
      <c r="AW274" s="5"/>
      <c r="AX274" s="5"/>
      <c r="AY274" s="5"/>
      <c r="AZ274" s="5"/>
      <c r="BA274" s="5"/>
      <c r="BB274" s="5"/>
      <c r="BC274" s="5"/>
      <c r="BD274" s="5"/>
      <c r="BE274" s="5"/>
      <c r="BF274" s="5"/>
      <c r="BG274" s="5"/>
      <c r="BH274" s="5"/>
    </row>
    <row r="275" ht="12.75" customHeight="1">
      <c r="A275" s="1"/>
      <c r="B275" s="2"/>
      <c r="C275" s="537" t="s">
        <v>294</v>
      </c>
      <c r="D275" s="127"/>
      <c r="E275" s="161"/>
      <c r="F275" s="127"/>
      <c r="G275" s="127"/>
      <c r="H275" s="127"/>
      <c r="I275" s="139"/>
      <c r="J275" s="495"/>
      <c r="K275" s="539"/>
      <c r="L275" s="3"/>
      <c r="M275" s="3"/>
      <c r="N275" s="4"/>
      <c r="O275" s="5"/>
      <c r="P275" s="314"/>
      <c r="Q275" s="314"/>
      <c r="R275" s="486"/>
      <c r="S275" s="495"/>
      <c r="T275" s="488"/>
      <c r="U275" s="489"/>
      <c r="V275" s="490"/>
      <c r="W275" s="491"/>
      <c r="X275" s="489"/>
      <c r="Y275" s="492"/>
      <c r="Z275" s="493"/>
      <c r="AA275" s="494"/>
      <c r="AB275" s="5"/>
      <c r="AC275" s="2"/>
      <c r="AD275" s="5"/>
      <c r="AE275" s="5"/>
      <c r="AF275" s="6"/>
      <c r="AG275" s="5"/>
      <c r="AH275" s="5"/>
      <c r="AI275" s="5"/>
      <c r="AJ275" s="5"/>
      <c r="AK275" s="5"/>
      <c r="AL275" s="2"/>
      <c r="AM275" s="5"/>
      <c r="AN275" s="5"/>
      <c r="AO275" s="5"/>
      <c r="AP275" s="5"/>
      <c r="AQ275" s="5"/>
      <c r="AR275" s="5"/>
      <c r="AS275" s="5"/>
      <c r="AT275" s="5"/>
      <c r="AU275" s="5"/>
      <c r="AV275" s="5"/>
      <c r="AW275" s="5"/>
      <c r="AX275" s="5"/>
      <c r="AY275" s="5"/>
      <c r="AZ275" s="5"/>
      <c r="BA275" s="5"/>
      <c r="BB275" s="5"/>
      <c r="BC275" s="5"/>
      <c r="BD275" s="5"/>
      <c r="BE275" s="5"/>
      <c r="BF275" s="5"/>
      <c r="BG275" s="5"/>
      <c r="BH275" s="5"/>
    </row>
    <row r="276" ht="12.75" customHeight="1">
      <c r="A276" s="1"/>
      <c r="B276" s="2"/>
      <c r="C276" s="557">
        <v>0.3</v>
      </c>
      <c r="D276" s="558"/>
      <c r="E276" s="161"/>
      <c r="F276" s="558"/>
      <c r="G276" s="558"/>
      <c r="H276" s="558"/>
      <c r="I276" s="559" t="str">
        <f>C276*I259</f>
        <v>#REF!</v>
      </c>
      <c r="J276" s="495"/>
      <c r="K276" s="539"/>
      <c r="L276" s="3"/>
      <c r="M276" s="3"/>
      <c r="N276" s="4"/>
      <c r="O276" s="5"/>
      <c r="P276" s="314"/>
      <c r="Q276" s="314"/>
      <c r="R276" s="486"/>
      <c r="S276" s="495"/>
      <c r="T276" s="488"/>
      <c r="U276" s="489"/>
      <c r="V276" s="490"/>
      <c r="W276" s="491"/>
      <c r="X276" s="489"/>
      <c r="Y276" s="492"/>
      <c r="Z276" s="493"/>
      <c r="AA276" s="494"/>
      <c r="AB276" s="5"/>
      <c r="AC276" s="2"/>
      <c r="AD276" s="5"/>
      <c r="AE276" s="5"/>
      <c r="AF276" s="6"/>
      <c r="AG276" s="5"/>
      <c r="AH276" s="5"/>
      <c r="AI276" s="5"/>
      <c r="AJ276" s="5"/>
      <c r="AK276" s="5"/>
      <c r="AL276" s="2"/>
      <c r="AM276" s="5"/>
      <c r="AN276" s="5"/>
      <c r="AO276" s="5"/>
      <c r="AP276" s="5"/>
      <c r="AQ276" s="5"/>
      <c r="AR276" s="5"/>
      <c r="AS276" s="5"/>
      <c r="AT276" s="5"/>
      <c r="AU276" s="5"/>
      <c r="AV276" s="5"/>
      <c r="AW276" s="5"/>
      <c r="AX276" s="5"/>
      <c r="AY276" s="5"/>
      <c r="AZ276" s="5"/>
      <c r="BA276" s="5"/>
      <c r="BB276" s="5"/>
      <c r="BC276" s="5"/>
      <c r="BD276" s="5"/>
      <c r="BE276" s="5"/>
      <c r="BF276" s="5"/>
      <c r="BG276" s="5"/>
      <c r="BH276" s="5"/>
    </row>
    <row r="277" ht="12.75" customHeight="1">
      <c r="A277" s="1"/>
      <c r="B277" s="2"/>
      <c r="C277" s="2"/>
      <c r="D277" s="2"/>
      <c r="E277" s="3"/>
      <c r="F277" s="2"/>
      <c r="G277" s="2"/>
      <c r="H277" s="2"/>
      <c r="I277" s="2"/>
      <c r="J277" s="2"/>
      <c r="K277" s="2"/>
      <c r="L277" s="3"/>
      <c r="M277" s="3"/>
      <c r="N277" s="4"/>
      <c r="O277" s="5"/>
      <c r="P277" s="314"/>
      <c r="Q277" s="314"/>
      <c r="R277" s="486"/>
      <c r="S277" s="495"/>
      <c r="T277" s="488"/>
      <c r="U277" s="489"/>
      <c r="V277" s="490"/>
      <c r="W277" s="491"/>
      <c r="X277" s="489"/>
      <c r="Y277" s="492"/>
      <c r="Z277" s="493"/>
      <c r="AA277" s="494"/>
      <c r="AB277" s="5"/>
      <c r="AC277" s="2"/>
      <c r="AD277" s="5"/>
      <c r="AE277" s="5"/>
      <c r="AF277" s="6"/>
      <c r="AG277" s="5"/>
      <c r="AH277" s="5"/>
      <c r="AI277" s="5"/>
      <c r="AJ277" s="5"/>
      <c r="AK277" s="5"/>
      <c r="AL277" s="2"/>
      <c r="AM277" s="5"/>
      <c r="AN277" s="5"/>
      <c r="AO277" s="5"/>
      <c r="AP277" s="5"/>
      <c r="AQ277" s="5"/>
      <c r="AR277" s="5"/>
      <c r="AS277" s="5"/>
      <c r="AT277" s="5"/>
      <c r="AU277" s="5"/>
      <c r="AV277" s="5"/>
      <c r="AW277" s="5"/>
      <c r="AX277" s="5"/>
      <c r="AY277" s="5"/>
      <c r="AZ277" s="5"/>
      <c r="BA277" s="5"/>
      <c r="BB277" s="5"/>
      <c r="BC277" s="5"/>
      <c r="BD277" s="5"/>
      <c r="BE277" s="5"/>
      <c r="BF277" s="5"/>
      <c r="BG277" s="5"/>
      <c r="BH277" s="5"/>
    </row>
    <row r="278" ht="12.75" customHeight="1">
      <c r="A278" s="1"/>
      <c r="B278" s="2"/>
      <c r="C278" s="560" t="s">
        <v>295</v>
      </c>
      <c r="D278" s="561"/>
      <c r="E278" s="562"/>
      <c r="F278" s="561"/>
      <c r="G278" s="561"/>
      <c r="H278" s="561"/>
      <c r="I278" s="563" t="str">
        <f>+I276+I273+I259</f>
        <v>#REF!</v>
      </c>
      <c r="J278" s="561"/>
      <c r="K278" s="561"/>
      <c r="L278" s="3"/>
      <c r="M278" s="3"/>
      <c r="N278" s="4"/>
      <c r="O278" s="5"/>
      <c r="P278" s="314"/>
      <c r="Q278" s="314"/>
      <c r="R278" s="486"/>
      <c r="S278" s="495"/>
      <c r="T278" s="488"/>
      <c r="U278" s="489"/>
      <c r="V278" s="490"/>
      <c r="W278" s="491"/>
      <c r="X278" s="489"/>
      <c r="Y278" s="492"/>
      <c r="Z278" s="493"/>
      <c r="AA278" s="494"/>
      <c r="AB278" s="5"/>
      <c r="AC278" s="2"/>
      <c r="AD278" s="5"/>
      <c r="AE278" s="5"/>
      <c r="AF278" s="6"/>
      <c r="AG278" s="5"/>
      <c r="AH278" s="5"/>
      <c r="AI278" s="5"/>
      <c r="AJ278" s="5"/>
      <c r="AK278" s="5"/>
      <c r="AL278" s="2"/>
      <c r="AM278" s="5"/>
      <c r="AN278" s="5"/>
      <c r="AO278" s="5"/>
      <c r="AP278" s="5"/>
      <c r="AQ278" s="5"/>
      <c r="AR278" s="5"/>
      <c r="AS278" s="5"/>
      <c r="AT278" s="5"/>
      <c r="AU278" s="5"/>
      <c r="AV278" s="5"/>
      <c r="AW278" s="5"/>
      <c r="AX278" s="5"/>
      <c r="AY278" s="5"/>
      <c r="AZ278" s="5"/>
      <c r="BA278" s="5"/>
      <c r="BB278" s="5"/>
      <c r="BC278" s="5"/>
      <c r="BD278" s="5"/>
      <c r="BE278" s="5"/>
      <c r="BF278" s="5"/>
      <c r="BG278" s="5"/>
      <c r="BH278" s="5"/>
    </row>
    <row r="279" ht="12.75" customHeight="1">
      <c r="A279" s="1"/>
      <c r="B279" s="2"/>
      <c r="C279" s="2"/>
      <c r="D279" s="2"/>
      <c r="E279" s="3"/>
      <c r="F279" s="2"/>
      <c r="G279" s="2"/>
      <c r="H279" s="2"/>
      <c r="I279" s="2"/>
      <c r="J279" s="2"/>
      <c r="K279" s="2"/>
      <c r="L279" s="3"/>
      <c r="M279" s="3"/>
      <c r="N279" s="4"/>
      <c r="O279" s="5"/>
      <c r="P279" s="314"/>
      <c r="Q279" s="314"/>
      <c r="R279" s="486"/>
      <c r="S279" s="495"/>
      <c r="T279" s="488"/>
      <c r="U279" s="489"/>
      <c r="V279" s="490"/>
      <c r="W279" s="491"/>
      <c r="X279" s="489"/>
      <c r="Y279" s="492"/>
      <c r="Z279" s="493"/>
      <c r="AA279" s="494"/>
      <c r="AB279" s="5"/>
      <c r="AC279" s="2"/>
      <c r="AD279" s="5"/>
      <c r="AE279" s="5"/>
      <c r="AF279" s="6"/>
      <c r="AG279" s="5"/>
      <c r="AH279" s="5"/>
      <c r="AI279" s="5"/>
      <c r="AJ279" s="5"/>
      <c r="AK279" s="5"/>
      <c r="AL279" s="2"/>
      <c r="AM279" s="5"/>
      <c r="AN279" s="5"/>
      <c r="AO279" s="5"/>
      <c r="AP279" s="5"/>
      <c r="AQ279" s="5"/>
      <c r="AR279" s="5"/>
      <c r="AS279" s="5"/>
      <c r="AT279" s="5"/>
      <c r="AU279" s="5"/>
      <c r="AV279" s="5"/>
      <c r="AW279" s="5"/>
      <c r="AX279" s="5"/>
      <c r="AY279" s="5"/>
      <c r="AZ279" s="5"/>
      <c r="BA279" s="5"/>
      <c r="BB279" s="5"/>
      <c r="BC279" s="5"/>
      <c r="BD279" s="5"/>
      <c r="BE279" s="5"/>
      <c r="BF279" s="5"/>
      <c r="BG279" s="5"/>
      <c r="BH279" s="5"/>
    </row>
    <row r="280" ht="12.75" customHeight="1">
      <c r="A280" s="1"/>
      <c r="B280" s="2"/>
      <c r="C280" s="2"/>
      <c r="D280" s="2"/>
      <c r="E280" s="3"/>
      <c r="F280" s="2"/>
      <c r="G280" s="2"/>
      <c r="H280" s="2"/>
      <c r="I280" s="6"/>
      <c r="J280" s="6"/>
      <c r="K280" s="5"/>
      <c r="L280" s="3"/>
      <c r="M280" s="3"/>
      <c r="N280" s="4"/>
      <c r="O280" s="5"/>
      <c r="P280" s="314"/>
      <c r="Q280" s="314"/>
      <c r="R280" s="486"/>
      <c r="S280" s="495"/>
      <c r="T280" s="488"/>
      <c r="U280" s="489"/>
      <c r="V280" s="490"/>
      <c r="W280" s="491"/>
      <c r="X280" s="489"/>
      <c r="Y280" s="492"/>
      <c r="Z280" s="493"/>
      <c r="AA280" s="494"/>
      <c r="AB280" s="5"/>
      <c r="AC280" s="2"/>
      <c r="AD280" s="5"/>
      <c r="AE280" s="5"/>
      <c r="AF280" s="6"/>
      <c r="AG280" s="5"/>
      <c r="AH280" s="5"/>
      <c r="AI280" s="5"/>
      <c r="AJ280" s="5"/>
      <c r="AK280" s="5"/>
      <c r="AL280" s="2"/>
      <c r="AM280" s="5"/>
      <c r="AN280" s="5"/>
      <c r="AO280" s="5"/>
      <c r="AP280" s="5"/>
      <c r="AQ280" s="5"/>
      <c r="AR280" s="5"/>
      <c r="AS280" s="5"/>
      <c r="AT280" s="5"/>
      <c r="AU280" s="5"/>
      <c r="AV280" s="5"/>
      <c r="AW280" s="5"/>
      <c r="AX280" s="5"/>
      <c r="AY280" s="5"/>
      <c r="AZ280" s="5"/>
      <c r="BA280" s="5"/>
      <c r="BB280" s="5"/>
      <c r="BC280" s="5"/>
      <c r="BD280" s="5"/>
      <c r="BE280" s="5"/>
      <c r="BF280" s="5"/>
      <c r="BG280" s="5"/>
      <c r="BH280" s="5"/>
    </row>
    <row r="281" ht="12.75" customHeight="1">
      <c r="A281" s="1"/>
      <c r="B281" s="2"/>
      <c r="C281" s="564" t="s">
        <v>290</v>
      </c>
      <c r="D281" s="538"/>
      <c r="E281" s="161"/>
      <c r="F281" s="538"/>
      <c r="G281" s="538"/>
      <c r="H281" s="538"/>
      <c r="I281" s="152" t="str">
        <f>I257</f>
        <v>#REF!</v>
      </c>
      <c r="J281" s="565" t="str">
        <f>I281/I286</f>
        <v>#REF!</v>
      </c>
      <c r="K281" s="466" t="str">
        <f t="shared" ref="K281:K285" si="243">I281/$I$288</f>
        <v>#REF!</v>
      </c>
      <c r="L281" s="3"/>
      <c r="M281" s="3"/>
      <c r="N281" s="4"/>
      <c r="O281" s="5"/>
      <c r="P281" s="314"/>
      <c r="Q281" s="314"/>
      <c r="R281" s="486"/>
      <c r="S281" s="495"/>
      <c r="T281" s="488"/>
      <c r="U281" s="489"/>
      <c r="V281" s="490"/>
      <c r="W281" s="491"/>
      <c r="X281" s="489"/>
      <c r="Y281" s="492"/>
      <c r="Z281" s="493"/>
      <c r="AA281" s="494"/>
      <c r="AB281" s="5"/>
      <c r="AC281" s="2"/>
      <c r="AD281" s="5"/>
      <c r="AE281" s="5"/>
      <c r="AF281" s="6"/>
      <c r="AG281" s="5"/>
      <c r="AH281" s="5"/>
      <c r="AI281" s="5"/>
      <c r="AJ281" s="5"/>
      <c r="AK281" s="5"/>
      <c r="AL281" s="2"/>
      <c r="AM281" s="5"/>
      <c r="AN281" s="5"/>
      <c r="AO281" s="5"/>
      <c r="AP281" s="5"/>
      <c r="AQ281" s="5"/>
      <c r="AR281" s="5"/>
      <c r="AS281" s="5"/>
      <c r="AT281" s="5"/>
      <c r="AU281" s="5"/>
      <c r="AV281" s="5"/>
      <c r="AW281" s="5"/>
      <c r="AX281" s="5"/>
      <c r="AY281" s="5"/>
      <c r="AZ281" s="5"/>
      <c r="BA281" s="5"/>
      <c r="BB281" s="5"/>
      <c r="BC281" s="5"/>
      <c r="BD281" s="5"/>
      <c r="BE281" s="5"/>
      <c r="BF281" s="5"/>
      <c r="BG281" s="5"/>
      <c r="BH281" s="5"/>
    </row>
    <row r="282" ht="12.75" customHeight="1">
      <c r="A282" s="1"/>
      <c r="B282" s="2"/>
      <c r="C282" s="564" t="s">
        <v>185</v>
      </c>
      <c r="D282" s="538"/>
      <c r="E282" s="161"/>
      <c r="F282" s="538"/>
      <c r="G282" s="538"/>
      <c r="H282" s="538"/>
      <c r="I282" s="152" t="str">
        <f>+I258</f>
        <v>#REF!</v>
      </c>
      <c r="J282" s="565" t="str">
        <f>I282/I286</f>
        <v>#REF!</v>
      </c>
      <c r="K282" s="466" t="str">
        <f t="shared" si="243"/>
        <v>#REF!</v>
      </c>
      <c r="L282" s="3"/>
      <c r="M282" s="3"/>
      <c r="N282" s="4"/>
      <c r="O282" s="5"/>
      <c r="P282" s="314"/>
      <c r="Q282" s="314"/>
      <c r="R282" s="486"/>
      <c r="S282" s="495"/>
      <c r="T282" s="488"/>
      <c r="U282" s="489"/>
      <c r="V282" s="490"/>
      <c r="W282" s="491"/>
      <c r="X282" s="489"/>
      <c r="Y282" s="492"/>
      <c r="Z282" s="493"/>
      <c r="AA282" s="494"/>
      <c r="AB282" s="5"/>
      <c r="AC282" s="2"/>
      <c r="AD282" s="5"/>
      <c r="AE282" s="5"/>
      <c r="AF282" s="6"/>
      <c r="AG282" s="5"/>
      <c r="AH282" s="5"/>
      <c r="AI282" s="5"/>
      <c r="AJ282" s="5"/>
      <c r="AK282" s="5"/>
      <c r="AL282" s="2"/>
      <c r="AM282" s="5"/>
      <c r="AN282" s="5"/>
      <c r="AO282" s="5"/>
      <c r="AP282" s="5"/>
      <c r="AQ282" s="5"/>
      <c r="AR282" s="5"/>
      <c r="AS282" s="5"/>
      <c r="AT282" s="5"/>
      <c r="AU282" s="5"/>
      <c r="AV282" s="5"/>
      <c r="AW282" s="5"/>
      <c r="AX282" s="5"/>
      <c r="AY282" s="5"/>
      <c r="AZ282" s="5"/>
      <c r="BA282" s="5"/>
      <c r="BB282" s="5"/>
      <c r="BC282" s="5"/>
      <c r="BD282" s="5"/>
      <c r="BE282" s="5"/>
      <c r="BF282" s="5"/>
      <c r="BG282" s="5"/>
      <c r="BH282" s="5"/>
    </row>
    <row r="283" ht="12.75" customHeight="1">
      <c r="A283" s="1"/>
      <c r="B283" s="2"/>
      <c r="C283" s="564" t="s">
        <v>296</v>
      </c>
      <c r="D283" s="538"/>
      <c r="E283" s="161"/>
      <c r="F283" s="138"/>
      <c r="G283" s="138"/>
      <c r="H283" s="138"/>
      <c r="I283" s="152" t="str">
        <f>+I272+I270+I269</f>
        <v>#REF!</v>
      </c>
      <c r="J283" s="565" t="str">
        <f>I283/I286</f>
        <v>#REF!</v>
      </c>
      <c r="K283" s="466" t="str">
        <f t="shared" si="243"/>
        <v>#REF!</v>
      </c>
      <c r="L283" s="3"/>
      <c r="M283" s="3"/>
      <c r="N283" s="4"/>
      <c r="O283" s="5"/>
      <c r="P283" s="314"/>
      <c r="Q283" s="314"/>
      <c r="R283" s="468"/>
      <c r="S283" s="468"/>
      <c r="T283" s="548"/>
      <c r="U283" s="549">
        <f>AVERAGE(U185:U209)</f>
        <v>4</v>
      </c>
      <c r="V283" s="468"/>
      <c r="W283" s="550"/>
      <c r="X283" s="551">
        <f>X173</f>
        <v>4</v>
      </c>
      <c r="Y283" s="552" t="str">
        <f>SUM(Y185:Y282)</f>
        <v>#REF!</v>
      </c>
      <c r="Z283" s="553" t="str">
        <f>SUM(Z185:Z265)</f>
        <v>#REF!</v>
      </c>
      <c r="AA283" s="554" t="str">
        <f>Z283/Y283/X283</f>
        <v>#REF!</v>
      </c>
      <c r="AB283" s="5"/>
      <c r="AC283" s="2"/>
      <c r="AD283" s="5"/>
      <c r="AE283" s="5"/>
      <c r="AF283" s="6"/>
      <c r="AG283" s="5"/>
      <c r="AH283" s="5"/>
      <c r="AI283" s="5"/>
      <c r="AJ283" s="5"/>
      <c r="AK283" s="5"/>
      <c r="AL283" s="2"/>
      <c r="AM283" s="5"/>
      <c r="AN283" s="5"/>
      <c r="AO283" s="5"/>
      <c r="AP283" s="5"/>
      <c r="AQ283" s="5"/>
      <c r="AR283" s="5"/>
      <c r="AS283" s="5"/>
      <c r="AT283" s="5"/>
      <c r="AU283" s="5"/>
      <c r="AV283" s="5"/>
      <c r="AW283" s="5"/>
      <c r="AX283" s="5"/>
      <c r="AY283" s="5"/>
      <c r="AZ283" s="5"/>
      <c r="BA283" s="5"/>
      <c r="BB283" s="5"/>
      <c r="BC283" s="5"/>
      <c r="BD283" s="5"/>
      <c r="BE283" s="5"/>
      <c r="BF283" s="5"/>
      <c r="BG283" s="5"/>
      <c r="BH283" s="5"/>
    </row>
    <row r="284" ht="12.75" customHeight="1">
      <c r="A284" s="1"/>
      <c r="B284" s="2"/>
      <c r="C284" s="564" t="s">
        <v>24</v>
      </c>
      <c r="D284" s="538"/>
      <c r="E284" s="161"/>
      <c r="F284" s="138"/>
      <c r="G284" s="138"/>
      <c r="H284" s="138"/>
      <c r="I284" s="152" t="str">
        <f>+I268+I267+I266+I265+I264+I263+I262</f>
        <v>#REF!</v>
      </c>
      <c r="J284" s="565" t="str">
        <f>I284/I286</f>
        <v>#REF!</v>
      </c>
      <c r="K284" s="466" t="str">
        <f t="shared" si="243"/>
        <v>#REF!</v>
      </c>
      <c r="L284" s="3"/>
      <c r="M284" s="3"/>
      <c r="N284" s="4"/>
      <c r="O284" s="5"/>
      <c r="P284" s="314"/>
      <c r="Q284" s="314"/>
      <c r="R284" s="5"/>
      <c r="S284" s="5"/>
      <c r="T284" s="6"/>
      <c r="U284" s="5"/>
      <c r="V284" s="5"/>
      <c r="W284" s="6"/>
      <c r="X284" s="551">
        <v>8.0</v>
      </c>
      <c r="Y284" s="552" t="str">
        <f>X283/X284*Y283</f>
        <v>#REF!</v>
      </c>
      <c r="Z284" s="553" t="str">
        <f>AA283*Y284*X284</f>
        <v>#REF!</v>
      </c>
      <c r="AA284" s="5"/>
      <c r="AB284" s="5"/>
      <c r="AC284" s="2"/>
      <c r="AD284" s="5"/>
      <c r="AE284" s="5"/>
      <c r="AF284" s="6"/>
      <c r="AG284" s="5"/>
      <c r="AH284" s="5"/>
      <c r="AI284" s="5"/>
      <c r="AJ284" s="5"/>
      <c r="AK284" s="5"/>
      <c r="AL284" s="2"/>
      <c r="AM284" s="5"/>
      <c r="AN284" s="5"/>
      <c r="AO284" s="5"/>
      <c r="AP284" s="5"/>
      <c r="AQ284" s="5"/>
      <c r="AR284" s="5"/>
      <c r="AS284" s="5"/>
      <c r="AT284" s="5"/>
      <c r="AU284" s="5"/>
      <c r="AV284" s="5"/>
      <c r="AW284" s="5"/>
      <c r="AX284" s="5"/>
      <c r="AY284" s="5"/>
      <c r="AZ284" s="5"/>
      <c r="BA284" s="5"/>
      <c r="BB284" s="5"/>
      <c r="BC284" s="5"/>
      <c r="BD284" s="5"/>
      <c r="BE284" s="5"/>
      <c r="BF284" s="5"/>
      <c r="BG284" s="5"/>
      <c r="BH284" s="5"/>
    </row>
    <row r="285" ht="12.75" customHeight="1">
      <c r="A285" s="1"/>
      <c r="B285" s="2"/>
      <c r="C285" s="564" t="s">
        <v>25</v>
      </c>
      <c r="D285" s="538"/>
      <c r="E285" s="161"/>
      <c r="F285" s="138"/>
      <c r="G285" s="138"/>
      <c r="H285" s="138"/>
      <c r="I285" s="566" t="str">
        <f>I276</f>
        <v>#REF!</v>
      </c>
      <c r="J285" s="565" t="str">
        <f>I285/I286</f>
        <v>#REF!</v>
      </c>
      <c r="K285" s="466" t="str">
        <f t="shared" si="243"/>
        <v>#REF!</v>
      </c>
      <c r="L285" s="3"/>
      <c r="M285" s="3"/>
      <c r="N285" s="4"/>
      <c r="O285" s="5"/>
      <c r="P285" s="314"/>
      <c r="Q285" s="314"/>
      <c r="R285" s="5"/>
      <c r="S285" s="5"/>
      <c r="T285" s="2"/>
      <c r="U285" s="5"/>
      <c r="V285" s="5"/>
      <c r="W285" s="5"/>
      <c r="X285" s="6"/>
      <c r="Y285" s="5"/>
      <c r="Z285" s="5"/>
      <c r="AA285" s="5"/>
      <c r="AB285" s="5"/>
      <c r="AC285" s="2"/>
      <c r="AD285" s="5"/>
      <c r="AE285" s="5"/>
      <c r="AF285" s="6"/>
      <c r="AG285" s="5"/>
      <c r="AH285" s="5"/>
      <c r="AI285" s="5"/>
      <c r="AJ285" s="5"/>
      <c r="AK285" s="5"/>
      <c r="AL285" s="2"/>
      <c r="AM285" s="5"/>
      <c r="AN285" s="5"/>
      <c r="AO285" s="5"/>
      <c r="AP285" s="5"/>
      <c r="AQ285" s="5"/>
      <c r="AR285" s="5"/>
      <c r="AS285" s="5"/>
      <c r="AT285" s="5"/>
      <c r="AU285" s="5"/>
      <c r="AV285" s="5"/>
      <c r="AW285" s="5"/>
      <c r="AX285" s="5"/>
      <c r="AY285" s="5"/>
      <c r="AZ285" s="5"/>
      <c r="BA285" s="5"/>
      <c r="BB285" s="5"/>
      <c r="BC285" s="5"/>
      <c r="BD285" s="5"/>
      <c r="BE285" s="5"/>
      <c r="BF285" s="5"/>
      <c r="BG285" s="5"/>
      <c r="BH285" s="5"/>
    </row>
    <row r="286" ht="12.75" customHeight="1">
      <c r="A286" s="1"/>
      <c r="B286" s="2"/>
      <c r="C286" s="567" t="s">
        <v>297</v>
      </c>
      <c r="D286" s="568"/>
      <c r="E286" s="569"/>
      <c r="F286" s="568"/>
      <c r="G286" s="568"/>
      <c r="H286" s="568"/>
      <c r="I286" s="570" t="str">
        <f>SUM(I281:I285)</f>
        <v>#REF!</v>
      </c>
      <c r="J286" s="571" t="str">
        <f>I286=T174</f>
        <v>#REF!</v>
      </c>
      <c r="K286" s="5"/>
      <c r="L286" s="375" t="str">
        <f>I286-L283</f>
        <v>#REF!</v>
      </c>
      <c r="M286" s="3"/>
      <c r="N286" s="4"/>
      <c r="O286" s="5"/>
      <c r="P286" s="314"/>
      <c r="Q286" s="314"/>
      <c r="R286" s="5"/>
      <c r="S286" s="5"/>
      <c r="T286" s="2"/>
      <c r="U286" s="5"/>
      <c r="V286" s="5"/>
      <c r="W286" s="5"/>
      <c r="X286" s="6"/>
      <c r="Y286" s="5"/>
      <c r="Z286" s="5"/>
      <c r="AA286" s="5"/>
      <c r="AB286" s="5"/>
      <c r="AC286" s="2"/>
      <c r="AD286" s="5"/>
      <c r="AE286" s="5"/>
      <c r="AF286" s="6"/>
      <c r="AG286" s="5"/>
      <c r="AH286" s="5"/>
      <c r="AI286" s="5"/>
      <c r="AJ286" s="5"/>
      <c r="AK286" s="5"/>
      <c r="AL286" s="2"/>
      <c r="AM286" s="5"/>
      <c r="AN286" s="5"/>
      <c r="AO286" s="5"/>
      <c r="AP286" s="5"/>
      <c r="AQ286" s="5"/>
      <c r="AR286" s="5"/>
      <c r="AS286" s="5"/>
      <c r="AT286" s="5"/>
      <c r="AU286" s="5"/>
      <c r="AV286" s="5"/>
      <c r="AW286" s="5"/>
      <c r="AX286" s="5"/>
      <c r="AY286" s="5"/>
      <c r="AZ286" s="5"/>
      <c r="BA286" s="5"/>
      <c r="BB286" s="5"/>
      <c r="BC286" s="5"/>
      <c r="BD286" s="5"/>
      <c r="BE286" s="5"/>
      <c r="BF286" s="5"/>
      <c r="BG286" s="5"/>
      <c r="BH286" s="5"/>
    </row>
    <row r="287" ht="12.75" customHeight="1">
      <c r="A287" s="1"/>
      <c r="B287" s="2"/>
      <c r="C287" s="2"/>
      <c r="D287" s="2"/>
      <c r="E287" s="3"/>
      <c r="F287" s="2"/>
      <c r="G287" s="2"/>
      <c r="H287" s="2"/>
      <c r="I287" s="6"/>
      <c r="J287" s="6"/>
      <c r="K287" s="5"/>
      <c r="L287" s="3"/>
      <c r="M287" s="3"/>
      <c r="N287" s="4"/>
      <c r="O287" s="5"/>
      <c r="P287" s="314"/>
      <c r="Q287" s="314"/>
      <c r="R287" s="5"/>
      <c r="S287" s="5"/>
      <c r="T287" s="2"/>
      <c r="U287" s="5"/>
      <c r="V287" s="5"/>
      <c r="W287" s="5"/>
      <c r="X287" s="6"/>
      <c r="Y287" s="5"/>
      <c r="Z287" s="5"/>
      <c r="AA287" s="5"/>
      <c r="AB287" s="5"/>
      <c r="AC287" s="2"/>
      <c r="AD287" s="5"/>
      <c r="AE287" s="5"/>
      <c r="AF287" s="6"/>
      <c r="AG287" s="5"/>
      <c r="AH287" s="5"/>
      <c r="AI287" s="5"/>
      <c r="AJ287" s="5"/>
      <c r="AK287" s="5"/>
      <c r="AL287" s="2"/>
      <c r="AM287" s="5"/>
      <c r="AN287" s="5"/>
      <c r="AO287" s="5"/>
      <c r="AP287" s="5"/>
      <c r="AQ287" s="5"/>
      <c r="AR287" s="5"/>
      <c r="AS287" s="5"/>
      <c r="AT287" s="5"/>
      <c r="AU287" s="5"/>
      <c r="AV287" s="5"/>
      <c r="AW287" s="5"/>
      <c r="AX287" s="5"/>
      <c r="AY287" s="5"/>
      <c r="AZ287" s="5"/>
      <c r="BA287" s="5"/>
      <c r="BB287" s="5"/>
      <c r="BC287" s="5"/>
      <c r="BD287" s="5"/>
      <c r="BE287" s="5"/>
      <c r="BF287" s="5"/>
      <c r="BG287" s="5"/>
      <c r="BH287" s="5"/>
    </row>
    <row r="288" ht="12.75" customHeight="1">
      <c r="A288" s="1"/>
      <c r="B288" s="2"/>
      <c r="C288" s="540" t="s">
        <v>298</v>
      </c>
      <c r="D288" s="127"/>
      <c r="E288" s="161"/>
      <c r="F288" s="127"/>
      <c r="G288" s="127"/>
      <c r="H288" s="127"/>
      <c r="I288" s="572" t="str">
        <f>S180</f>
        <v>#REF!</v>
      </c>
      <c r="J288" s="6"/>
      <c r="K288" s="5"/>
      <c r="L288" s="3"/>
      <c r="M288" s="3"/>
      <c r="N288" s="4"/>
      <c r="O288" s="5"/>
      <c r="P288" s="314"/>
      <c r="Q288" s="314"/>
      <c r="R288" s="5"/>
      <c r="S288" s="5"/>
      <c r="T288" s="2"/>
      <c r="U288" s="5"/>
      <c r="V288" s="5"/>
      <c r="W288" s="5"/>
      <c r="X288" s="6"/>
      <c r="Y288" s="5"/>
      <c r="Z288" s="5"/>
      <c r="AA288" s="5"/>
      <c r="AB288" s="5"/>
      <c r="AC288" s="2"/>
      <c r="AD288" s="5"/>
      <c r="AE288" s="5"/>
      <c r="AF288" s="6"/>
      <c r="AG288" s="5"/>
      <c r="AH288" s="5"/>
      <c r="AI288" s="5"/>
      <c r="AJ288" s="5"/>
      <c r="AK288" s="5"/>
      <c r="AL288" s="2"/>
      <c r="AM288" s="5"/>
      <c r="AN288" s="5"/>
      <c r="AO288" s="5"/>
      <c r="AP288" s="5"/>
      <c r="AQ288" s="5"/>
      <c r="AR288" s="5"/>
      <c r="AS288" s="5"/>
      <c r="AT288" s="5"/>
      <c r="AU288" s="5"/>
      <c r="AV288" s="5"/>
      <c r="AW288" s="5"/>
      <c r="AX288" s="5"/>
      <c r="AY288" s="5"/>
      <c r="AZ288" s="5"/>
      <c r="BA288" s="5"/>
      <c r="BB288" s="5"/>
      <c r="BC288" s="5"/>
      <c r="BD288" s="5"/>
      <c r="BE288" s="5"/>
      <c r="BF288" s="5"/>
      <c r="BG288" s="5"/>
      <c r="BH288" s="5"/>
    </row>
    <row r="289" ht="12.75" customHeight="1">
      <c r="A289" s="1"/>
      <c r="B289" s="2"/>
      <c r="C289" s="540" t="s">
        <v>299</v>
      </c>
      <c r="D289" s="127"/>
      <c r="E289" s="161"/>
      <c r="F289" s="127"/>
      <c r="G289" s="127"/>
      <c r="H289" s="127"/>
      <c r="I289" s="573">
        <f>W177</f>
        <v>0</v>
      </c>
      <c r="J289" s="574">
        <f>X173</f>
        <v>4</v>
      </c>
      <c r="K289" s="5"/>
      <c r="L289" s="3"/>
      <c r="M289" s="3"/>
      <c r="N289" s="4"/>
      <c r="O289" s="5"/>
      <c r="P289" s="314"/>
      <c r="Q289" s="314"/>
      <c r="R289" s="5"/>
      <c r="S289" s="5"/>
      <c r="T289" s="2"/>
      <c r="U289" s="5"/>
      <c r="V289" s="5"/>
      <c r="W289" s="5"/>
      <c r="X289" s="6"/>
      <c r="Y289" s="5"/>
      <c r="Z289" s="5"/>
      <c r="AA289" s="5"/>
      <c r="AB289" s="5"/>
      <c r="AC289" s="2"/>
      <c r="AD289" s="5"/>
      <c r="AE289" s="5"/>
      <c r="AF289" s="6"/>
      <c r="AG289" s="5"/>
      <c r="AH289" s="5"/>
      <c r="AI289" s="5"/>
      <c r="AJ289" s="5"/>
      <c r="AK289" s="5"/>
      <c r="AL289" s="2"/>
      <c r="AM289" s="5"/>
      <c r="AN289" s="5"/>
      <c r="AO289" s="5"/>
      <c r="AP289" s="5"/>
      <c r="AQ289" s="5"/>
      <c r="AR289" s="5"/>
      <c r="AS289" s="5"/>
      <c r="AT289" s="5"/>
      <c r="AU289" s="5"/>
      <c r="AV289" s="5"/>
      <c r="AW289" s="5"/>
      <c r="AX289" s="5"/>
      <c r="AY289" s="5"/>
      <c r="AZ289" s="5"/>
      <c r="BA289" s="5"/>
      <c r="BB289" s="5"/>
      <c r="BC289" s="5"/>
      <c r="BD289" s="5"/>
      <c r="BE289" s="5"/>
      <c r="BF289" s="5"/>
      <c r="BG289" s="5"/>
      <c r="BH289" s="5"/>
    </row>
    <row r="290" ht="12.75" customHeight="1">
      <c r="A290" s="1"/>
      <c r="B290" s="2"/>
      <c r="C290" s="537" t="s">
        <v>26</v>
      </c>
      <c r="D290" s="127"/>
      <c r="E290" s="161"/>
      <c r="F290" s="127"/>
      <c r="G290" s="127"/>
      <c r="H290" s="127"/>
      <c r="I290" s="575" t="str">
        <f>I286/I288</f>
        <v>#REF!</v>
      </c>
      <c r="J290" s="576" t="str">
        <f>W176</f>
        <v>#REF!</v>
      </c>
      <c r="K290" s="5"/>
      <c r="L290" s="3"/>
      <c r="M290" s="3"/>
      <c r="N290" s="4"/>
      <c r="O290" s="5"/>
      <c r="P290" s="314"/>
      <c r="Q290" s="314"/>
      <c r="R290" s="5"/>
      <c r="S290" s="5"/>
      <c r="T290" s="2"/>
      <c r="U290" s="5"/>
      <c r="V290" s="5"/>
      <c r="W290" s="5"/>
      <c r="X290" s="6"/>
      <c r="Y290" s="5"/>
      <c r="Z290" s="5"/>
      <c r="AA290" s="5"/>
      <c r="AB290" s="5"/>
      <c r="AC290" s="2"/>
      <c r="AD290" s="5"/>
      <c r="AE290" s="5"/>
      <c r="AF290" s="6"/>
      <c r="AG290" s="5"/>
      <c r="AH290" s="5"/>
      <c r="AI290" s="5"/>
      <c r="AJ290" s="5"/>
      <c r="AK290" s="5"/>
      <c r="AL290" s="2"/>
      <c r="AM290" s="5"/>
      <c r="AN290" s="5"/>
      <c r="AO290" s="5"/>
      <c r="AP290" s="5"/>
      <c r="AQ290" s="5"/>
      <c r="AR290" s="5"/>
      <c r="AS290" s="5"/>
      <c r="AT290" s="5"/>
      <c r="AU290" s="5"/>
      <c r="AV290" s="5"/>
      <c r="AW290" s="5"/>
      <c r="AX290" s="5"/>
      <c r="AY290" s="5"/>
      <c r="AZ290" s="5"/>
      <c r="BA290" s="5"/>
      <c r="BB290" s="5"/>
      <c r="BC290" s="5"/>
      <c r="BD290" s="5"/>
      <c r="BE290" s="5"/>
      <c r="BF290" s="5"/>
      <c r="BG290" s="5"/>
      <c r="BH290" s="5"/>
    </row>
    <row r="291" ht="12.75" customHeight="1">
      <c r="A291" s="1"/>
      <c r="B291" s="2"/>
      <c r="C291" s="2"/>
      <c r="D291" s="2"/>
      <c r="E291" s="3"/>
      <c r="F291" s="2"/>
      <c r="G291" s="2"/>
      <c r="H291" s="2"/>
      <c r="I291" s="6"/>
      <c r="J291" s="6"/>
      <c r="K291" s="5"/>
      <c r="L291" s="3"/>
      <c r="M291" s="3"/>
      <c r="N291" s="4"/>
      <c r="O291" s="5"/>
      <c r="P291" s="314"/>
      <c r="Q291" s="314"/>
      <c r="R291" s="5"/>
      <c r="S291" s="5"/>
      <c r="T291" s="2"/>
      <c r="U291" s="5"/>
      <c r="V291" s="5"/>
      <c r="W291" s="5"/>
      <c r="X291" s="6"/>
      <c r="Y291" s="5"/>
      <c r="Z291" s="5"/>
      <c r="AA291" s="5"/>
      <c r="AB291" s="5"/>
      <c r="AC291" s="2"/>
      <c r="AD291" s="5"/>
      <c r="AE291" s="5"/>
      <c r="AF291" s="6"/>
      <c r="AG291" s="5"/>
      <c r="AH291" s="5"/>
      <c r="AI291" s="5"/>
      <c r="AJ291" s="5"/>
      <c r="AK291" s="5"/>
      <c r="AL291" s="2"/>
      <c r="AM291" s="5"/>
      <c r="AN291" s="5"/>
      <c r="AO291" s="5"/>
      <c r="AP291" s="5"/>
      <c r="AQ291" s="5"/>
      <c r="AR291" s="5"/>
      <c r="AS291" s="5"/>
      <c r="AT291" s="5"/>
      <c r="AU291" s="5"/>
      <c r="AV291" s="5"/>
      <c r="AW291" s="5"/>
      <c r="AX291" s="5"/>
      <c r="AY291" s="5"/>
      <c r="AZ291" s="5"/>
      <c r="BA291" s="5"/>
      <c r="BB291" s="5"/>
      <c r="BC291" s="5"/>
      <c r="BD291" s="5"/>
      <c r="BE291" s="5"/>
      <c r="BF291" s="5"/>
      <c r="BG291" s="5"/>
      <c r="BH291" s="5"/>
    </row>
    <row r="292" ht="12.75" customHeight="1">
      <c r="A292" s="1"/>
      <c r="B292" s="2"/>
      <c r="C292" s="2"/>
      <c r="D292" s="2"/>
      <c r="E292" s="3"/>
      <c r="F292" s="2"/>
      <c r="G292" s="2"/>
      <c r="H292" s="2"/>
      <c r="I292" s="6"/>
      <c r="J292" s="6"/>
      <c r="K292" s="5"/>
      <c r="L292" s="3"/>
      <c r="M292" s="3"/>
      <c r="N292" s="4"/>
      <c r="O292" s="5"/>
      <c r="P292" s="314"/>
      <c r="Q292" s="314"/>
      <c r="R292" s="5"/>
      <c r="S292" s="5"/>
      <c r="T292" s="2"/>
      <c r="U292" s="5"/>
      <c r="V292" s="5"/>
      <c r="W292" s="5"/>
      <c r="X292" s="6"/>
      <c r="Y292" s="5"/>
      <c r="Z292" s="5"/>
      <c r="AA292" s="5"/>
      <c r="AB292" s="5"/>
      <c r="AC292" s="2"/>
      <c r="AD292" s="5"/>
      <c r="AE292" s="5"/>
      <c r="AF292" s="6"/>
      <c r="AG292" s="5"/>
      <c r="AH292" s="5"/>
      <c r="AI292" s="5"/>
      <c r="AJ292" s="5"/>
      <c r="AK292" s="5"/>
      <c r="AL292" s="2"/>
      <c r="AM292" s="5"/>
      <c r="AN292" s="5"/>
      <c r="AO292" s="5"/>
      <c r="AP292" s="5"/>
      <c r="AQ292" s="5"/>
      <c r="AR292" s="5"/>
      <c r="AS292" s="5"/>
      <c r="AT292" s="5"/>
      <c r="AU292" s="5"/>
      <c r="AV292" s="5"/>
      <c r="AW292" s="5"/>
      <c r="AX292" s="5"/>
      <c r="AY292" s="5"/>
      <c r="AZ292" s="5"/>
      <c r="BA292" s="5"/>
      <c r="BB292" s="5"/>
      <c r="BC292" s="5"/>
      <c r="BD292" s="5"/>
      <c r="BE292" s="5"/>
      <c r="BF292" s="5"/>
      <c r="BG292" s="5"/>
      <c r="BH292" s="5"/>
    </row>
    <row r="293" ht="12.75" customHeight="1">
      <c r="A293" s="1"/>
      <c r="B293" s="2"/>
      <c r="C293" s="2"/>
      <c r="D293" s="2"/>
      <c r="E293" s="3"/>
      <c r="F293" s="2"/>
      <c r="G293" s="2"/>
      <c r="H293" s="2"/>
      <c r="I293" s="6"/>
      <c r="J293" s="6"/>
      <c r="K293" s="5"/>
      <c r="L293" s="3"/>
      <c r="M293" s="3"/>
      <c r="N293" s="4"/>
      <c r="O293" s="5"/>
      <c r="P293" s="314"/>
      <c r="Q293" s="314"/>
      <c r="R293" s="5"/>
      <c r="S293" s="5"/>
      <c r="T293" s="2"/>
      <c r="U293" s="5"/>
      <c r="V293" s="5"/>
      <c r="W293" s="5"/>
      <c r="X293" s="6"/>
      <c r="Y293" s="5"/>
      <c r="Z293" s="5"/>
      <c r="AA293" s="5"/>
      <c r="AB293" s="5"/>
      <c r="AC293" s="2"/>
      <c r="AD293" s="5"/>
      <c r="AE293" s="5"/>
      <c r="AF293" s="6"/>
      <c r="AG293" s="5"/>
      <c r="AH293" s="5"/>
      <c r="AI293" s="5"/>
      <c r="AJ293" s="5"/>
      <c r="AK293" s="5"/>
      <c r="AL293" s="2"/>
      <c r="AM293" s="5"/>
      <c r="AN293" s="5"/>
      <c r="AO293" s="5"/>
      <c r="AP293" s="5"/>
      <c r="AQ293" s="5"/>
      <c r="AR293" s="5"/>
      <c r="AS293" s="5"/>
      <c r="AT293" s="5"/>
      <c r="AU293" s="5"/>
      <c r="AV293" s="5"/>
      <c r="AW293" s="5"/>
      <c r="AX293" s="5"/>
      <c r="AY293" s="5"/>
      <c r="AZ293" s="5"/>
      <c r="BA293" s="5"/>
      <c r="BB293" s="5"/>
      <c r="BC293" s="5"/>
      <c r="BD293" s="5"/>
      <c r="BE293" s="5"/>
      <c r="BF293" s="5"/>
      <c r="BG293" s="5"/>
      <c r="BH293" s="5"/>
    </row>
    <row r="294" ht="12.75" customHeight="1">
      <c r="A294" s="1"/>
      <c r="B294" s="2"/>
      <c r="C294" s="2"/>
      <c r="D294" s="2"/>
      <c r="E294" s="3"/>
      <c r="F294" s="2"/>
      <c r="G294" s="2"/>
      <c r="H294" s="2"/>
      <c r="I294" s="6"/>
      <c r="J294" s="6"/>
      <c r="K294" s="5"/>
      <c r="L294" s="3"/>
      <c r="M294" s="3"/>
      <c r="N294" s="4"/>
      <c r="O294" s="5"/>
      <c r="P294" s="314"/>
      <c r="Q294" s="314"/>
      <c r="R294" s="5"/>
      <c r="S294" s="5"/>
      <c r="T294" s="2"/>
      <c r="U294" s="5"/>
      <c r="V294" s="5"/>
      <c r="W294" s="5"/>
      <c r="X294" s="6"/>
      <c r="Y294" s="5"/>
      <c r="Z294" s="5"/>
      <c r="AA294" s="5"/>
      <c r="AB294" s="5"/>
      <c r="AC294" s="2"/>
      <c r="AD294" s="5"/>
      <c r="AE294" s="5"/>
      <c r="AF294" s="6"/>
      <c r="AG294" s="5"/>
      <c r="AH294" s="5"/>
      <c r="AI294" s="5"/>
      <c r="AJ294" s="5"/>
      <c r="AK294" s="5"/>
      <c r="AL294" s="2"/>
      <c r="AM294" s="5"/>
      <c r="AN294" s="5"/>
      <c r="AO294" s="5"/>
      <c r="AP294" s="5"/>
      <c r="AQ294" s="5"/>
      <c r="AR294" s="5"/>
      <c r="AS294" s="5"/>
      <c r="AT294" s="5"/>
      <c r="AU294" s="5"/>
      <c r="AV294" s="5"/>
      <c r="AW294" s="5"/>
      <c r="AX294" s="5"/>
      <c r="AY294" s="5"/>
      <c r="AZ294" s="5"/>
      <c r="BA294" s="5"/>
      <c r="BB294" s="5"/>
      <c r="BC294" s="5"/>
      <c r="BD294" s="5"/>
      <c r="BE294" s="5"/>
      <c r="BF294" s="5"/>
      <c r="BG294" s="5"/>
      <c r="BH294" s="5"/>
    </row>
    <row r="295" ht="12.75" customHeight="1">
      <c r="A295" s="1"/>
      <c r="B295" s="2"/>
      <c r="C295" s="2"/>
      <c r="D295" s="2"/>
      <c r="E295" s="3"/>
      <c r="F295" s="2"/>
      <c r="G295" s="2"/>
      <c r="H295" s="2"/>
      <c r="I295" s="2"/>
      <c r="J295" s="2"/>
      <c r="K295" s="2"/>
      <c r="L295" s="3"/>
      <c r="M295" s="3"/>
      <c r="N295" s="4"/>
      <c r="O295" s="2"/>
      <c r="P295" s="314"/>
      <c r="Q295" s="314"/>
      <c r="R295" s="5"/>
      <c r="S295" s="5"/>
      <c r="T295" s="2"/>
      <c r="U295" s="5"/>
      <c r="V295" s="5"/>
      <c r="W295" s="5"/>
      <c r="X295" s="6"/>
      <c r="Y295" s="5"/>
      <c r="Z295" s="5"/>
      <c r="AA295" s="5"/>
      <c r="AB295" s="5"/>
      <c r="AC295" s="2"/>
      <c r="AD295" s="5"/>
      <c r="AE295" s="5"/>
      <c r="AF295" s="6"/>
      <c r="AG295" s="5"/>
      <c r="AH295" s="5"/>
      <c r="AI295" s="5"/>
      <c r="AJ295" s="5"/>
      <c r="AK295" s="5"/>
      <c r="AL295" s="2"/>
      <c r="AM295" s="5"/>
      <c r="AN295" s="5"/>
      <c r="AO295" s="5"/>
      <c r="AP295" s="5"/>
      <c r="AQ295" s="5"/>
      <c r="AR295" s="5"/>
      <c r="AS295" s="5"/>
      <c r="AT295" s="5"/>
      <c r="AU295" s="5"/>
      <c r="AV295" s="5"/>
      <c r="AW295" s="5"/>
      <c r="AX295" s="5"/>
      <c r="AY295" s="5"/>
      <c r="AZ295" s="5"/>
      <c r="BA295" s="5"/>
      <c r="BB295" s="5"/>
      <c r="BC295" s="5"/>
      <c r="BD295" s="5"/>
      <c r="BE295" s="5"/>
      <c r="BF295" s="5"/>
      <c r="BG295" s="5"/>
      <c r="BH295" s="5"/>
    </row>
    <row r="296" ht="12.75" customHeight="1">
      <c r="A296" s="1"/>
      <c r="B296" s="2"/>
      <c r="C296" s="2"/>
      <c r="D296" s="2"/>
      <c r="E296" s="3"/>
      <c r="F296" s="2"/>
      <c r="G296" s="2"/>
      <c r="H296" s="2"/>
      <c r="I296" s="6"/>
      <c r="J296" s="2"/>
      <c r="K296" s="5"/>
      <c r="L296" s="3"/>
      <c r="M296" s="3"/>
      <c r="N296" s="4"/>
      <c r="O296" s="2"/>
      <c r="P296" s="314"/>
      <c r="Q296" s="314"/>
      <c r="R296" s="5"/>
      <c r="S296" s="5"/>
      <c r="T296" s="2"/>
      <c r="U296" s="5"/>
      <c r="V296" s="5"/>
      <c r="W296" s="5"/>
      <c r="X296" s="6"/>
      <c r="Y296" s="5"/>
      <c r="Z296" s="5"/>
      <c r="AA296" s="5"/>
      <c r="AB296" s="5"/>
      <c r="AC296" s="2"/>
      <c r="AD296" s="5"/>
      <c r="AE296" s="5"/>
      <c r="AF296" s="6"/>
      <c r="AG296" s="5"/>
      <c r="AH296" s="5"/>
      <c r="AI296" s="5"/>
      <c r="AJ296" s="5"/>
      <c r="AK296" s="5"/>
      <c r="AL296" s="2"/>
      <c r="AM296" s="5"/>
      <c r="AN296" s="5"/>
      <c r="AO296" s="5"/>
      <c r="AP296" s="5"/>
      <c r="AQ296" s="5"/>
      <c r="AR296" s="5"/>
      <c r="AS296" s="5"/>
      <c r="AT296" s="5"/>
      <c r="AU296" s="5"/>
      <c r="AV296" s="5"/>
      <c r="AW296" s="5"/>
      <c r="AX296" s="5"/>
      <c r="AY296" s="5"/>
      <c r="AZ296" s="5"/>
      <c r="BA296" s="5"/>
      <c r="BB296" s="5"/>
      <c r="BC296" s="5"/>
      <c r="BD296" s="5"/>
      <c r="BE296" s="5"/>
      <c r="BF296" s="5"/>
      <c r="BG296" s="5"/>
      <c r="BH296" s="5"/>
    </row>
    <row r="297" ht="12.75" customHeight="1">
      <c r="A297" s="1"/>
      <c r="B297" s="2"/>
      <c r="C297" s="2"/>
      <c r="D297" s="2"/>
      <c r="E297" s="3"/>
      <c r="F297" s="2"/>
      <c r="G297" s="2"/>
      <c r="H297" s="2"/>
      <c r="I297" s="6"/>
      <c r="J297" s="2"/>
      <c r="K297" s="5"/>
      <c r="L297" s="3"/>
      <c r="M297" s="3"/>
      <c r="N297" s="4"/>
      <c r="O297" s="5"/>
      <c r="P297" s="314"/>
      <c r="Q297" s="314"/>
      <c r="R297" s="5"/>
      <c r="S297" s="5"/>
      <c r="T297" s="2"/>
      <c r="U297" s="5"/>
      <c r="V297" s="5"/>
      <c r="W297" s="5"/>
      <c r="X297" s="6"/>
      <c r="Y297" s="5"/>
      <c r="Z297" s="5"/>
      <c r="AA297" s="5"/>
      <c r="AB297" s="5"/>
      <c r="AC297" s="2"/>
      <c r="AD297" s="5"/>
      <c r="AE297" s="5"/>
      <c r="AF297" s="6"/>
      <c r="AG297" s="5"/>
      <c r="AH297" s="5"/>
      <c r="AI297" s="5"/>
      <c r="AJ297" s="5"/>
      <c r="AK297" s="5"/>
      <c r="AL297" s="2"/>
      <c r="AM297" s="5"/>
      <c r="AN297" s="5"/>
      <c r="AO297" s="5"/>
      <c r="AP297" s="5"/>
      <c r="AQ297" s="5"/>
      <c r="AR297" s="5"/>
      <c r="AS297" s="5"/>
      <c r="AT297" s="5"/>
      <c r="AU297" s="5"/>
      <c r="AV297" s="5"/>
      <c r="AW297" s="5"/>
      <c r="AX297" s="5"/>
      <c r="AY297" s="5"/>
      <c r="AZ297" s="5"/>
      <c r="BA297" s="5"/>
      <c r="BB297" s="5"/>
      <c r="BC297" s="5"/>
      <c r="BD297" s="5"/>
      <c r="BE297" s="5"/>
      <c r="BF297" s="5"/>
      <c r="BG297" s="5"/>
      <c r="BH297" s="5"/>
    </row>
    <row r="298" ht="12.75" customHeight="1">
      <c r="A298" s="1"/>
      <c r="B298" s="2"/>
      <c r="C298" s="2"/>
      <c r="D298" s="2"/>
      <c r="E298" s="3"/>
      <c r="F298" s="2"/>
      <c r="G298" s="2"/>
      <c r="H298" s="2"/>
      <c r="I298" s="2"/>
      <c r="J298" s="2"/>
      <c r="K298" s="2"/>
      <c r="L298" s="3"/>
      <c r="M298" s="3"/>
      <c r="N298" s="4"/>
      <c r="O298" s="2"/>
      <c r="P298" s="314"/>
      <c r="Q298" s="314"/>
      <c r="R298" s="5"/>
      <c r="S298" s="5"/>
      <c r="T298" s="2"/>
      <c r="U298" s="5"/>
      <c r="V298" s="5"/>
      <c r="W298" s="5"/>
      <c r="X298" s="6"/>
      <c r="Y298" s="5"/>
      <c r="Z298" s="5"/>
      <c r="AA298" s="5"/>
      <c r="AB298" s="5"/>
      <c r="AC298" s="2"/>
      <c r="AD298" s="5"/>
      <c r="AE298" s="5"/>
      <c r="AF298" s="6"/>
      <c r="AG298" s="5"/>
      <c r="AH298" s="5"/>
      <c r="AI298" s="5"/>
      <c r="AJ298" s="5"/>
      <c r="AK298" s="5"/>
      <c r="AL298" s="2"/>
      <c r="AM298" s="5"/>
      <c r="AN298" s="5"/>
      <c r="AO298" s="5"/>
      <c r="AP298" s="5"/>
      <c r="AQ298" s="5"/>
      <c r="AR298" s="5"/>
      <c r="AS298" s="5"/>
      <c r="AT298" s="5"/>
      <c r="AU298" s="5"/>
      <c r="AV298" s="5"/>
      <c r="AW298" s="5"/>
      <c r="AX298" s="5"/>
      <c r="AY298" s="5"/>
      <c r="AZ298" s="5"/>
      <c r="BA298" s="5"/>
      <c r="BB298" s="5"/>
      <c r="BC298" s="5"/>
      <c r="BD298" s="5"/>
      <c r="BE298" s="5"/>
      <c r="BF298" s="5"/>
      <c r="BG298" s="5"/>
      <c r="BH298" s="5"/>
    </row>
    <row r="299" ht="12.75" customHeight="1">
      <c r="A299" s="1"/>
      <c r="B299" s="2"/>
      <c r="C299" s="2"/>
      <c r="D299" s="2"/>
      <c r="E299" s="3"/>
      <c r="F299" s="2"/>
      <c r="G299" s="2"/>
      <c r="H299" s="2"/>
      <c r="I299" s="2"/>
      <c r="J299" s="2"/>
      <c r="K299" s="2"/>
      <c r="L299" s="3"/>
      <c r="M299" s="3"/>
      <c r="N299" s="4"/>
      <c r="O299" s="2"/>
      <c r="P299" s="314"/>
      <c r="Q299" s="314"/>
      <c r="R299" s="5"/>
      <c r="S299" s="5"/>
      <c r="T299" s="2"/>
      <c r="U299" s="5"/>
      <c r="V299" s="5"/>
      <c r="W299" s="5"/>
      <c r="X299" s="6"/>
      <c r="Y299" s="5"/>
      <c r="Z299" s="5"/>
      <c r="AA299" s="5"/>
      <c r="AB299" s="5"/>
      <c r="AC299" s="2"/>
      <c r="AD299" s="5"/>
      <c r="AE299" s="5"/>
      <c r="AF299" s="6"/>
      <c r="AG299" s="5"/>
      <c r="AH299" s="5"/>
      <c r="AI299" s="5"/>
      <c r="AJ299" s="5"/>
      <c r="AK299" s="5"/>
      <c r="AL299" s="2"/>
      <c r="AM299" s="5"/>
      <c r="AN299" s="5"/>
      <c r="AO299" s="5"/>
      <c r="AP299" s="5"/>
      <c r="AQ299" s="5"/>
      <c r="AR299" s="5"/>
      <c r="AS299" s="5"/>
      <c r="AT299" s="5"/>
      <c r="AU299" s="5"/>
      <c r="AV299" s="5"/>
      <c r="AW299" s="5"/>
      <c r="AX299" s="5"/>
      <c r="AY299" s="5"/>
      <c r="AZ299" s="5"/>
      <c r="BA299" s="5"/>
      <c r="BB299" s="5"/>
      <c r="BC299" s="5"/>
      <c r="BD299" s="5"/>
      <c r="BE299" s="5"/>
      <c r="BF299" s="5"/>
      <c r="BG299" s="5"/>
      <c r="BH299" s="5"/>
    </row>
    <row r="300" ht="12.75" customHeight="1">
      <c r="A300" s="1"/>
      <c r="B300" s="2"/>
      <c r="C300" s="2"/>
      <c r="D300" s="2"/>
      <c r="E300" s="3"/>
      <c r="F300" s="2"/>
      <c r="G300" s="2"/>
      <c r="H300" s="2"/>
      <c r="I300" s="6"/>
      <c r="J300" s="6"/>
      <c r="K300" s="5"/>
      <c r="L300" s="3"/>
      <c r="M300" s="3"/>
      <c r="N300" s="4"/>
      <c r="O300" s="5"/>
      <c r="P300" s="314"/>
      <c r="Q300" s="314"/>
      <c r="R300" s="5"/>
      <c r="S300" s="5"/>
      <c r="T300" s="2"/>
      <c r="U300" s="5"/>
      <c r="V300" s="5"/>
      <c r="W300" s="5"/>
      <c r="X300" s="6"/>
      <c r="Y300" s="5"/>
      <c r="Z300" s="5"/>
      <c r="AA300" s="5"/>
      <c r="AB300" s="5"/>
      <c r="AC300" s="2"/>
      <c r="AD300" s="5"/>
      <c r="AE300" s="5"/>
      <c r="AF300" s="6"/>
      <c r="AG300" s="5"/>
      <c r="AH300" s="5"/>
      <c r="AI300" s="5"/>
      <c r="AJ300" s="5"/>
      <c r="AK300" s="5"/>
      <c r="AL300" s="2"/>
      <c r="AM300" s="5"/>
      <c r="AN300" s="5"/>
      <c r="AO300" s="5"/>
      <c r="AP300" s="5"/>
      <c r="AQ300" s="5"/>
      <c r="AR300" s="5"/>
      <c r="AS300" s="5"/>
      <c r="AT300" s="5"/>
      <c r="AU300" s="5"/>
      <c r="AV300" s="5"/>
      <c r="AW300" s="5"/>
      <c r="AX300" s="5"/>
      <c r="AY300" s="5"/>
      <c r="AZ300" s="5"/>
      <c r="BA300" s="5"/>
      <c r="BB300" s="5"/>
      <c r="BC300" s="5"/>
      <c r="BD300" s="5"/>
      <c r="BE300" s="5"/>
      <c r="BF300" s="5"/>
      <c r="BG300" s="5"/>
      <c r="BH300" s="5"/>
    </row>
    <row r="301" ht="12.75" customHeight="1">
      <c r="A301" s="1"/>
      <c r="B301" s="2"/>
      <c r="C301" s="2"/>
      <c r="D301" s="2"/>
      <c r="E301" s="3"/>
      <c r="F301" s="2"/>
      <c r="G301" s="2"/>
      <c r="H301" s="2"/>
      <c r="I301" s="6"/>
      <c r="J301" s="6"/>
      <c r="K301" s="5"/>
      <c r="L301" s="3"/>
      <c r="M301" s="3"/>
      <c r="N301" s="4"/>
      <c r="O301" s="5"/>
      <c r="P301" s="314"/>
      <c r="Q301" s="314"/>
      <c r="R301" s="5"/>
      <c r="S301" s="5"/>
      <c r="T301" s="2"/>
      <c r="U301" s="5"/>
      <c r="V301" s="5"/>
      <c r="W301" s="5"/>
      <c r="X301" s="6"/>
      <c r="Y301" s="5"/>
      <c r="Z301" s="5"/>
      <c r="AA301" s="5"/>
      <c r="AB301" s="5"/>
      <c r="AC301" s="2"/>
      <c r="AD301" s="5"/>
      <c r="AE301" s="5"/>
      <c r="AF301" s="6"/>
      <c r="AG301" s="5"/>
      <c r="AH301" s="5"/>
      <c r="AI301" s="5"/>
      <c r="AJ301" s="5"/>
      <c r="AK301" s="5"/>
      <c r="AL301" s="2"/>
      <c r="AM301" s="5"/>
      <c r="AN301" s="5"/>
      <c r="AO301" s="5"/>
      <c r="AP301" s="5"/>
      <c r="AQ301" s="5"/>
      <c r="AR301" s="5"/>
      <c r="AS301" s="5"/>
      <c r="AT301" s="5"/>
      <c r="AU301" s="5"/>
      <c r="AV301" s="5"/>
      <c r="AW301" s="5"/>
      <c r="AX301" s="5"/>
      <c r="AY301" s="5"/>
      <c r="AZ301" s="5"/>
      <c r="BA301" s="5"/>
      <c r="BB301" s="5"/>
      <c r="BC301" s="5"/>
      <c r="BD301" s="5"/>
      <c r="BE301" s="5"/>
      <c r="BF301" s="5"/>
      <c r="BG301" s="5"/>
      <c r="BH301" s="5"/>
    </row>
    <row r="302" ht="12.75" customHeight="1">
      <c r="A302" s="1"/>
      <c r="B302" s="2"/>
      <c r="C302" s="2"/>
      <c r="D302" s="2"/>
      <c r="E302" s="3"/>
      <c r="F302" s="2"/>
      <c r="G302" s="2"/>
      <c r="H302" s="2"/>
      <c r="I302" s="6"/>
      <c r="J302" s="6"/>
      <c r="K302" s="5"/>
      <c r="L302" s="3"/>
      <c r="M302" s="3"/>
      <c r="N302" s="4"/>
      <c r="O302" s="5"/>
      <c r="P302" s="314"/>
      <c r="Q302" s="314"/>
      <c r="R302" s="5"/>
      <c r="S302" s="5"/>
      <c r="T302" s="2"/>
      <c r="U302" s="5"/>
      <c r="V302" s="5"/>
      <c r="W302" s="5"/>
      <c r="X302" s="6"/>
      <c r="Y302" s="5"/>
      <c r="Z302" s="5"/>
      <c r="AA302" s="5"/>
      <c r="AB302" s="5"/>
      <c r="AC302" s="2"/>
      <c r="AD302" s="5"/>
      <c r="AE302" s="5"/>
      <c r="AF302" s="6"/>
      <c r="AG302" s="5"/>
      <c r="AH302" s="5"/>
      <c r="AI302" s="5"/>
      <c r="AJ302" s="5"/>
      <c r="AK302" s="5"/>
      <c r="AL302" s="2"/>
      <c r="AM302" s="5"/>
      <c r="AN302" s="5"/>
      <c r="AO302" s="5"/>
      <c r="AP302" s="5"/>
      <c r="AQ302" s="5"/>
      <c r="AR302" s="5"/>
      <c r="AS302" s="5"/>
      <c r="AT302" s="5"/>
      <c r="AU302" s="5"/>
      <c r="AV302" s="5"/>
      <c r="AW302" s="5"/>
      <c r="AX302" s="5"/>
      <c r="AY302" s="5"/>
      <c r="AZ302" s="5"/>
      <c r="BA302" s="5"/>
      <c r="BB302" s="5"/>
      <c r="BC302" s="5"/>
      <c r="BD302" s="5"/>
      <c r="BE302" s="5"/>
      <c r="BF302" s="5"/>
      <c r="BG302" s="5"/>
      <c r="BH302" s="5"/>
    </row>
    <row r="303" ht="12.75" customHeight="1">
      <c r="A303" s="1"/>
      <c r="B303" s="2"/>
      <c r="C303" s="2"/>
      <c r="D303" s="2"/>
      <c r="E303" s="3"/>
      <c r="F303" s="2"/>
      <c r="G303" s="2"/>
      <c r="H303" s="2"/>
      <c r="I303" s="6"/>
      <c r="J303" s="6"/>
      <c r="K303" s="5"/>
      <c r="L303" s="3"/>
      <c r="M303" s="3"/>
      <c r="N303" s="4"/>
      <c r="O303" s="5"/>
      <c r="P303" s="314"/>
      <c r="Q303" s="314"/>
      <c r="R303" s="5"/>
      <c r="S303" s="5"/>
      <c r="T303" s="2"/>
      <c r="U303" s="5"/>
      <c r="V303" s="5"/>
      <c r="W303" s="5"/>
      <c r="X303" s="6"/>
      <c r="Y303" s="5"/>
      <c r="Z303" s="5"/>
      <c r="AA303" s="5"/>
      <c r="AB303" s="5"/>
      <c r="AC303" s="2"/>
      <c r="AD303" s="5"/>
      <c r="AE303" s="5"/>
      <c r="AF303" s="6"/>
      <c r="AG303" s="5"/>
      <c r="AH303" s="5"/>
      <c r="AI303" s="5"/>
      <c r="AJ303" s="5"/>
      <c r="AK303" s="5"/>
      <c r="AL303" s="2"/>
      <c r="AM303" s="5"/>
      <c r="AN303" s="5"/>
      <c r="AO303" s="5"/>
      <c r="AP303" s="5"/>
      <c r="AQ303" s="5"/>
      <c r="AR303" s="5"/>
      <c r="AS303" s="5"/>
      <c r="AT303" s="5"/>
      <c r="AU303" s="5"/>
      <c r="AV303" s="5"/>
      <c r="AW303" s="5"/>
      <c r="AX303" s="5"/>
      <c r="AY303" s="5"/>
      <c r="AZ303" s="5"/>
      <c r="BA303" s="5"/>
      <c r="BB303" s="5"/>
      <c r="BC303" s="5"/>
      <c r="BD303" s="5"/>
      <c r="BE303" s="5"/>
      <c r="BF303" s="5"/>
      <c r="BG303" s="5"/>
      <c r="BH303" s="5"/>
    </row>
    <row r="304" ht="12.75" customHeight="1">
      <c r="A304" s="1"/>
      <c r="B304" s="2"/>
      <c r="C304" s="2"/>
      <c r="D304" s="2"/>
      <c r="E304" s="3"/>
      <c r="F304" s="2"/>
      <c r="G304" s="2"/>
      <c r="H304" s="2"/>
      <c r="I304" s="6"/>
      <c r="J304" s="6"/>
      <c r="K304" s="5"/>
      <c r="L304" s="3"/>
      <c r="M304" s="3"/>
      <c r="N304" s="4"/>
      <c r="O304" s="5"/>
      <c r="P304" s="314"/>
      <c r="Q304" s="314"/>
      <c r="R304" s="5"/>
      <c r="S304" s="5"/>
      <c r="T304" s="2"/>
      <c r="U304" s="5"/>
      <c r="V304" s="5"/>
      <c r="W304" s="5"/>
      <c r="X304" s="6"/>
      <c r="Y304" s="5"/>
      <c r="Z304" s="5"/>
      <c r="AA304" s="5"/>
      <c r="AB304" s="5"/>
      <c r="AC304" s="2"/>
      <c r="AD304" s="5"/>
      <c r="AE304" s="5"/>
      <c r="AF304" s="6"/>
      <c r="AG304" s="5"/>
      <c r="AH304" s="5"/>
      <c r="AI304" s="5"/>
      <c r="AJ304" s="5"/>
      <c r="AK304" s="5"/>
      <c r="AL304" s="2"/>
      <c r="AM304" s="5"/>
      <c r="AN304" s="5"/>
      <c r="AO304" s="5"/>
      <c r="AP304" s="5"/>
      <c r="AQ304" s="5"/>
      <c r="AR304" s="5"/>
      <c r="AS304" s="5"/>
      <c r="AT304" s="5"/>
      <c r="AU304" s="5"/>
      <c r="AV304" s="5"/>
      <c r="AW304" s="5"/>
      <c r="AX304" s="5"/>
      <c r="AY304" s="5"/>
      <c r="AZ304" s="5"/>
      <c r="BA304" s="5"/>
      <c r="BB304" s="5"/>
      <c r="BC304" s="5"/>
      <c r="BD304" s="5"/>
      <c r="BE304" s="5"/>
      <c r="BF304" s="5"/>
      <c r="BG304" s="5"/>
      <c r="BH304" s="5"/>
    </row>
    <row r="305" ht="12.75" customHeight="1">
      <c r="A305" s="1"/>
      <c r="B305" s="2"/>
      <c r="C305" s="2"/>
      <c r="D305" s="2"/>
      <c r="E305" s="3"/>
      <c r="F305" s="2"/>
      <c r="G305" s="2"/>
      <c r="H305" s="2"/>
      <c r="I305" s="6"/>
      <c r="J305" s="6"/>
      <c r="K305" s="5"/>
      <c r="L305" s="3"/>
      <c r="M305" s="3"/>
      <c r="N305" s="4"/>
      <c r="O305" s="5"/>
      <c r="P305" s="314"/>
      <c r="Q305" s="314"/>
      <c r="R305" s="5"/>
      <c r="S305" s="5"/>
      <c r="T305" s="2"/>
      <c r="U305" s="5"/>
      <c r="V305" s="5"/>
      <c r="W305" s="5"/>
      <c r="X305" s="6"/>
      <c r="Y305" s="5"/>
      <c r="Z305" s="5"/>
      <c r="AA305" s="5"/>
      <c r="AB305" s="5"/>
      <c r="AC305" s="2"/>
      <c r="AD305" s="5"/>
      <c r="AE305" s="5"/>
      <c r="AF305" s="6"/>
      <c r="AG305" s="5"/>
      <c r="AH305" s="5"/>
      <c r="AI305" s="5"/>
      <c r="AJ305" s="5"/>
      <c r="AK305" s="5"/>
      <c r="AL305" s="2"/>
      <c r="AM305" s="5"/>
      <c r="AN305" s="5"/>
      <c r="AO305" s="5"/>
      <c r="AP305" s="5"/>
      <c r="AQ305" s="5"/>
      <c r="AR305" s="5"/>
      <c r="AS305" s="5"/>
      <c r="AT305" s="5"/>
      <c r="AU305" s="5"/>
      <c r="AV305" s="5"/>
      <c r="AW305" s="5"/>
      <c r="AX305" s="5"/>
      <c r="AY305" s="5"/>
      <c r="AZ305" s="5"/>
      <c r="BA305" s="5"/>
      <c r="BB305" s="5"/>
      <c r="BC305" s="5"/>
      <c r="BD305" s="5"/>
      <c r="BE305" s="5"/>
      <c r="BF305" s="5"/>
      <c r="BG305" s="5"/>
      <c r="BH305" s="5"/>
    </row>
    <row r="306" ht="12.75" customHeight="1">
      <c r="A306" s="1"/>
      <c r="B306" s="2"/>
      <c r="C306" s="2"/>
      <c r="D306" s="2"/>
      <c r="E306" s="3"/>
      <c r="F306" s="2"/>
      <c r="G306" s="2"/>
      <c r="H306" s="2"/>
      <c r="I306" s="6"/>
      <c r="J306" s="6"/>
      <c r="K306" s="5"/>
      <c r="L306" s="3"/>
      <c r="M306" s="3"/>
      <c r="N306" s="4"/>
      <c r="O306" s="5"/>
      <c r="P306" s="314"/>
      <c r="Q306" s="314"/>
      <c r="R306" s="5"/>
      <c r="S306" s="5"/>
      <c r="T306" s="2"/>
      <c r="U306" s="5"/>
      <c r="V306" s="5"/>
      <c r="W306" s="5"/>
      <c r="X306" s="6"/>
      <c r="Y306" s="5"/>
      <c r="Z306" s="5"/>
      <c r="AA306" s="5"/>
      <c r="AB306" s="5"/>
      <c r="AC306" s="2"/>
      <c r="AD306" s="5"/>
      <c r="AE306" s="5"/>
      <c r="AF306" s="6"/>
      <c r="AG306" s="5"/>
      <c r="AH306" s="5"/>
      <c r="AI306" s="5"/>
      <c r="AJ306" s="5"/>
      <c r="AK306" s="5"/>
      <c r="AL306" s="2"/>
      <c r="AM306" s="5"/>
      <c r="AN306" s="5"/>
      <c r="AO306" s="5"/>
      <c r="AP306" s="5"/>
      <c r="AQ306" s="5"/>
      <c r="AR306" s="5"/>
      <c r="AS306" s="5"/>
      <c r="AT306" s="5"/>
      <c r="AU306" s="5"/>
      <c r="AV306" s="5"/>
      <c r="AW306" s="5"/>
      <c r="AX306" s="5"/>
      <c r="AY306" s="5"/>
      <c r="AZ306" s="5"/>
      <c r="BA306" s="5"/>
      <c r="BB306" s="5"/>
      <c r="BC306" s="5"/>
      <c r="BD306" s="5"/>
      <c r="BE306" s="5"/>
      <c r="BF306" s="5"/>
      <c r="BG306" s="5"/>
      <c r="BH306" s="5"/>
    </row>
    <row r="307" ht="12.75" customHeight="1">
      <c r="A307" s="1"/>
      <c r="B307" s="2"/>
      <c r="C307" s="2"/>
      <c r="D307" s="2"/>
      <c r="E307" s="3"/>
      <c r="F307" s="2"/>
      <c r="G307" s="2"/>
      <c r="H307" s="2"/>
      <c r="I307" s="6"/>
      <c r="J307" s="6"/>
      <c r="K307" s="5"/>
      <c r="L307" s="3"/>
      <c r="M307" s="3"/>
      <c r="N307" s="4"/>
      <c r="O307" s="5"/>
      <c r="P307" s="314"/>
      <c r="Q307" s="314"/>
      <c r="R307" s="5"/>
      <c r="S307" s="5"/>
      <c r="T307" s="2"/>
      <c r="U307" s="5"/>
      <c r="V307" s="5"/>
      <c r="W307" s="5"/>
      <c r="X307" s="6"/>
      <c r="Y307" s="5"/>
      <c r="Z307" s="5"/>
      <c r="AA307" s="5"/>
      <c r="AB307" s="5"/>
      <c r="AC307" s="2"/>
      <c r="AD307" s="5"/>
      <c r="AE307" s="5"/>
      <c r="AF307" s="6"/>
      <c r="AG307" s="5"/>
      <c r="AH307" s="5"/>
      <c r="AI307" s="5"/>
      <c r="AJ307" s="5"/>
      <c r="AK307" s="5"/>
      <c r="AL307" s="2"/>
      <c r="AM307" s="5"/>
      <c r="AN307" s="5"/>
      <c r="AO307" s="5"/>
      <c r="AP307" s="5"/>
      <c r="AQ307" s="5"/>
      <c r="AR307" s="5"/>
      <c r="AS307" s="5"/>
      <c r="AT307" s="5"/>
      <c r="AU307" s="5"/>
      <c r="AV307" s="5"/>
      <c r="AW307" s="5"/>
      <c r="AX307" s="5"/>
      <c r="AY307" s="5"/>
      <c r="AZ307" s="5"/>
      <c r="BA307" s="5"/>
      <c r="BB307" s="5"/>
      <c r="BC307" s="5"/>
      <c r="BD307" s="5"/>
      <c r="BE307" s="5"/>
      <c r="BF307" s="5"/>
      <c r="BG307" s="5"/>
      <c r="BH307" s="5"/>
    </row>
    <row r="308" ht="12.75" customHeight="1">
      <c r="A308" s="1"/>
      <c r="B308" s="2"/>
      <c r="C308" s="2"/>
      <c r="D308" s="2"/>
      <c r="E308" s="3"/>
      <c r="F308" s="2"/>
      <c r="G308" s="2"/>
      <c r="H308" s="2"/>
      <c r="I308" s="6"/>
      <c r="J308" s="6"/>
      <c r="K308" s="5"/>
      <c r="L308" s="3"/>
      <c r="M308" s="3"/>
      <c r="N308" s="4"/>
      <c r="O308" s="5"/>
      <c r="P308" s="314"/>
      <c r="Q308" s="314"/>
      <c r="R308" s="5"/>
      <c r="S308" s="5"/>
      <c r="T308" s="2"/>
      <c r="U308" s="5"/>
      <c r="V308" s="5"/>
      <c r="W308" s="5"/>
      <c r="X308" s="6"/>
      <c r="Y308" s="5"/>
      <c r="Z308" s="5"/>
      <c r="AA308" s="5"/>
      <c r="AB308" s="5"/>
      <c r="AC308" s="2"/>
      <c r="AD308" s="5"/>
      <c r="AE308" s="5"/>
      <c r="AF308" s="6"/>
      <c r="AG308" s="5"/>
      <c r="AH308" s="5"/>
      <c r="AI308" s="5"/>
      <c r="AJ308" s="5"/>
      <c r="AK308" s="5"/>
      <c r="AL308" s="2"/>
      <c r="AM308" s="5"/>
      <c r="AN308" s="5"/>
      <c r="AO308" s="5"/>
      <c r="AP308" s="5"/>
      <c r="AQ308" s="5"/>
      <c r="AR308" s="5"/>
      <c r="AS308" s="5"/>
      <c r="AT308" s="5"/>
      <c r="AU308" s="5"/>
      <c r="AV308" s="5"/>
      <c r="AW308" s="5"/>
      <c r="AX308" s="5"/>
      <c r="AY308" s="5"/>
      <c r="AZ308" s="5"/>
      <c r="BA308" s="5"/>
      <c r="BB308" s="5"/>
      <c r="BC308" s="5"/>
      <c r="BD308" s="5"/>
      <c r="BE308" s="5"/>
      <c r="BF308" s="5"/>
      <c r="BG308" s="5"/>
      <c r="BH308" s="5"/>
    </row>
    <row r="309" ht="12.75" customHeight="1">
      <c r="A309" s="1"/>
      <c r="B309" s="2"/>
      <c r="C309" s="2"/>
      <c r="D309" s="2"/>
      <c r="E309" s="3"/>
      <c r="F309" s="2"/>
      <c r="G309" s="2"/>
      <c r="H309" s="2"/>
      <c r="I309" s="6"/>
      <c r="J309" s="6"/>
      <c r="K309" s="5"/>
      <c r="L309" s="3"/>
      <c r="M309" s="3"/>
      <c r="N309" s="4"/>
      <c r="O309" s="5"/>
      <c r="P309" s="314"/>
      <c r="Q309" s="314"/>
      <c r="R309" s="5"/>
      <c r="S309" s="5"/>
      <c r="T309" s="2"/>
      <c r="U309" s="5"/>
      <c r="V309" s="5"/>
      <c r="W309" s="5"/>
      <c r="X309" s="6"/>
      <c r="Y309" s="5"/>
      <c r="Z309" s="5"/>
      <c r="AA309" s="5"/>
      <c r="AB309" s="5"/>
      <c r="AC309" s="2"/>
      <c r="AD309" s="5"/>
      <c r="AE309" s="5"/>
      <c r="AF309" s="6"/>
      <c r="AG309" s="5"/>
      <c r="AH309" s="5"/>
      <c r="AI309" s="5"/>
      <c r="AJ309" s="5"/>
      <c r="AK309" s="5"/>
      <c r="AL309" s="2"/>
      <c r="AM309" s="5"/>
      <c r="AN309" s="5"/>
      <c r="AO309" s="5"/>
      <c r="AP309" s="5"/>
      <c r="AQ309" s="5"/>
      <c r="AR309" s="5"/>
      <c r="AS309" s="5"/>
      <c r="AT309" s="5"/>
      <c r="AU309" s="5"/>
      <c r="AV309" s="5"/>
      <c r="AW309" s="5"/>
      <c r="AX309" s="5"/>
      <c r="AY309" s="5"/>
      <c r="AZ309" s="5"/>
      <c r="BA309" s="5"/>
      <c r="BB309" s="5"/>
      <c r="BC309" s="5"/>
      <c r="BD309" s="5"/>
      <c r="BE309" s="5"/>
      <c r="BF309" s="5"/>
      <c r="BG309" s="5"/>
      <c r="BH309" s="5"/>
    </row>
    <row r="310" ht="12.75" customHeight="1">
      <c r="A310" s="1"/>
      <c r="B310" s="2"/>
      <c r="C310" s="2"/>
      <c r="D310" s="2"/>
      <c r="E310" s="3"/>
      <c r="F310" s="2"/>
      <c r="G310" s="2"/>
      <c r="H310" s="2"/>
      <c r="I310" s="6"/>
      <c r="J310" s="6"/>
      <c r="K310" s="5"/>
      <c r="L310" s="3"/>
      <c r="M310" s="3"/>
      <c r="N310" s="4"/>
      <c r="O310" s="5"/>
      <c r="P310" s="314"/>
      <c r="Q310" s="314"/>
      <c r="R310" s="5"/>
      <c r="S310" s="5"/>
      <c r="T310" s="2"/>
      <c r="U310" s="5"/>
      <c r="V310" s="5"/>
      <c r="W310" s="5"/>
      <c r="X310" s="6"/>
      <c r="Y310" s="5"/>
      <c r="Z310" s="5"/>
      <c r="AA310" s="5"/>
      <c r="AB310" s="5"/>
      <c r="AC310" s="2"/>
      <c r="AD310" s="5"/>
      <c r="AE310" s="5"/>
      <c r="AF310" s="6"/>
      <c r="AG310" s="5"/>
      <c r="AH310" s="5"/>
      <c r="AI310" s="5"/>
      <c r="AJ310" s="5"/>
      <c r="AK310" s="5"/>
      <c r="AL310" s="2"/>
      <c r="AM310" s="5"/>
      <c r="AN310" s="5"/>
      <c r="AO310" s="5"/>
      <c r="AP310" s="5"/>
      <c r="AQ310" s="5"/>
      <c r="AR310" s="5"/>
      <c r="AS310" s="5"/>
      <c r="AT310" s="5"/>
      <c r="AU310" s="5"/>
      <c r="AV310" s="5"/>
      <c r="AW310" s="5"/>
      <c r="AX310" s="5"/>
      <c r="AY310" s="5"/>
      <c r="AZ310" s="5"/>
      <c r="BA310" s="5"/>
      <c r="BB310" s="5"/>
      <c r="BC310" s="5"/>
      <c r="BD310" s="5"/>
      <c r="BE310" s="5"/>
      <c r="BF310" s="5"/>
      <c r="BG310" s="5"/>
      <c r="BH310" s="5"/>
    </row>
    <row r="311" ht="12.75" customHeight="1">
      <c r="A311" s="1"/>
      <c r="B311" s="2"/>
      <c r="C311" s="2"/>
      <c r="D311" s="2"/>
      <c r="E311" s="3"/>
      <c r="F311" s="2"/>
      <c r="G311" s="2"/>
      <c r="H311" s="2"/>
      <c r="I311" s="6"/>
      <c r="J311" s="6"/>
      <c r="K311" s="5"/>
      <c r="L311" s="3"/>
      <c r="M311" s="3"/>
      <c r="N311" s="4"/>
      <c r="O311" s="5"/>
      <c r="P311" s="314"/>
      <c r="Q311" s="314"/>
      <c r="R311" s="5"/>
      <c r="S311" s="5"/>
      <c r="T311" s="2"/>
      <c r="U311" s="5"/>
      <c r="V311" s="5"/>
      <c r="W311" s="5"/>
      <c r="X311" s="6"/>
      <c r="Y311" s="5"/>
      <c r="Z311" s="5"/>
      <c r="AA311" s="5"/>
      <c r="AB311" s="5"/>
      <c r="AC311" s="2"/>
      <c r="AD311" s="5"/>
      <c r="AE311" s="5"/>
      <c r="AF311" s="6"/>
      <c r="AG311" s="5"/>
      <c r="AH311" s="5"/>
      <c r="AI311" s="5"/>
      <c r="AJ311" s="5"/>
      <c r="AK311" s="5"/>
      <c r="AL311" s="2"/>
      <c r="AM311" s="5"/>
      <c r="AN311" s="5"/>
      <c r="AO311" s="5"/>
      <c r="AP311" s="5"/>
      <c r="AQ311" s="5"/>
      <c r="AR311" s="5"/>
      <c r="AS311" s="5"/>
      <c r="AT311" s="5"/>
      <c r="AU311" s="5"/>
      <c r="AV311" s="5"/>
      <c r="AW311" s="5"/>
      <c r="AX311" s="5"/>
      <c r="AY311" s="5"/>
      <c r="AZ311" s="5"/>
      <c r="BA311" s="5"/>
      <c r="BB311" s="5"/>
      <c r="BC311" s="5"/>
      <c r="BD311" s="5"/>
      <c r="BE311" s="5"/>
      <c r="BF311" s="5"/>
      <c r="BG311" s="5"/>
      <c r="BH311" s="5"/>
    </row>
    <row r="312" ht="12.75" customHeight="1">
      <c r="A312" s="1"/>
      <c r="B312" s="2"/>
      <c r="C312" s="2"/>
      <c r="D312" s="2"/>
      <c r="E312" s="3"/>
      <c r="F312" s="2"/>
      <c r="G312" s="2"/>
      <c r="H312" s="2"/>
      <c r="I312" s="6"/>
      <c r="J312" s="6"/>
      <c r="K312" s="5"/>
      <c r="L312" s="3"/>
      <c r="M312" s="3"/>
      <c r="N312" s="4"/>
      <c r="O312" s="5"/>
      <c r="P312" s="314"/>
      <c r="Q312" s="314"/>
      <c r="R312" s="5"/>
      <c r="S312" s="5"/>
      <c r="T312" s="2"/>
      <c r="U312" s="5"/>
      <c r="V312" s="5"/>
      <c r="W312" s="5"/>
      <c r="X312" s="6"/>
      <c r="Y312" s="5"/>
      <c r="Z312" s="5"/>
      <c r="AA312" s="5"/>
      <c r="AB312" s="5"/>
      <c r="AC312" s="2"/>
      <c r="AD312" s="5"/>
      <c r="AE312" s="5"/>
      <c r="AF312" s="6"/>
      <c r="AG312" s="5"/>
      <c r="AH312" s="5"/>
      <c r="AI312" s="5"/>
      <c r="AJ312" s="5"/>
      <c r="AK312" s="5"/>
      <c r="AL312" s="2"/>
      <c r="AM312" s="5"/>
      <c r="AN312" s="5"/>
      <c r="AO312" s="5"/>
      <c r="AP312" s="5"/>
      <c r="AQ312" s="5"/>
      <c r="AR312" s="5"/>
      <c r="AS312" s="5"/>
      <c r="AT312" s="5"/>
      <c r="AU312" s="5"/>
      <c r="AV312" s="5"/>
      <c r="AW312" s="5"/>
      <c r="AX312" s="5"/>
      <c r="AY312" s="5"/>
      <c r="AZ312" s="5"/>
      <c r="BA312" s="5"/>
      <c r="BB312" s="5"/>
      <c r="BC312" s="5"/>
      <c r="BD312" s="5"/>
      <c r="BE312" s="5"/>
      <c r="BF312" s="5"/>
      <c r="BG312" s="5"/>
      <c r="BH312" s="5"/>
    </row>
    <row r="313" ht="12.75" customHeight="1">
      <c r="A313" s="1"/>
      <c r="B313" s="2"/>
      <c r="C313" s="2"/>
      <c r="D313" s="2"/>
      <c r="E313" s="3"/>
      <c r="F313" s="2"/>
      <c r="G313" s="2"/>
      <c r="H313" s="2"/>
      <c r="I313" s="6"/>
      <c r="J313" s="6"/>
      <c r="K313" s="5"/>
      <c r="L313" s="3"/>
      <c r="M313" s="3"/>
      <c r="N313" s="4"/>
      <c r="O313" s="5"/>
      <c r="P313" s="314"/>
      <c r="Q313" s="314"/>
      <c r="R313" s="5"/>
      <c r="S313" s="5"/>
      <c r="T313" s="2"/>
      <c r="U313" s="5"/>
      <c r="V313" s="5"/>
      <c r="W313" s="5"/>
      <c r="X313" s="6"/>
      <c r="Y313" s="5"/>
      <c r="Z313" s="5"/>
      <c r="AA313" s="5"/>
      <c r="AB313" s="5"/>
      <c r="AC313" s="2"/>
      <c r="AD313" s="5"/>
      <c r="AE313" s="5"/>
      <c r="AF313" s="6"/>
      <c r="AG313" s="5"/>
      <c r="AH313" s="5"/>
      <c r="AI313" s="5"/>
      <c r="AJ313" s="5"/>
      <c r="AK313" s="5"/>
      <c r="AL313" s="2"/>
      <c r="AM313" s="5"/>
      <c r="AN313" s="5"/>
      <c r="AO313" s="5"/>
      <c r="AP313" s="5"/>
      <c r="AQ313" s="5"/>
      <c r="AR313" s="5"/>
      <c r="AS313" s="5"/>
      <c r="AT313" s="5"/>
      <c r="AU313" s="5"/>
      <c r="AV313" s="5"/>
      <c r="AW313" s="5"/>
      <c r="AX313" s="5"/>
      <c r="AY313" s="5"/>
      <c r="AZ313" s="5"/>
      <c r="BA313" s="5"/>
      <c r="BB313" s="5"/>
      <c r="BC313" s="5"/>
      <c r="BD313" s="5"/>
      <c r="BE313" s="5"/>
      <c r="BF313" s="5"/>
      <c r="BG313" s="5"/>
      <c r="BH313" s="5"/>
    </row>
    <row r="314" ht="12.75" customHeight="1">
      <c r="A314" s="1"/>
      <c r="B314" s="2"/>
      <c r="C314" s="2"/>
      <c r="D314" s="2"/>
      <c r="E314" s="3"/>
      <c r="F314" s="2"/>
      <c r="G314" s="2"/>
      <c r="H314" s="2"/>
      <c r="I314" s="6"/>
      <c r="J314" s="6"/>
      <c r="K314" s="5"/>
      <c r="L314" s="3"/>
      <c r="M314" s="3"/>
      <c r="N314" s="4"/>
      <c r="O314" s="5"/>
      <c r="P314" s="314"/>
      <c r="Q314" s="314"/>
      <c r="R314" s="5"/>
      <c r="S314" s="5"/>
      <c r="T314" s="2"/>
      <c r="U314" s="5"/>
      <c r="V314" s="5"/>
      <c r="W314" s="5"/>
      <c r="X314" s="6"/>
      <c r="Y314" s="5"/>
      <c r="Z314" s="5"/>
      <c r="AA314" s="5"/>
      <c r="AB314" s="5"/>
      <c r="AC314" s="2"/>
      <c r="AD314" s="5"/>
      <c r="AE314" s="5"/>
      <c r="AF314" s="6"/>
      <c r="AG314" s="5"/>
      <c r="AH314" s="5"/>
      <c r="AI314" s="5"/>
      <c r="AJ314" s="5"/>
      <c r="AK314" s="5"/>
      <c r="AL314" s="2"/>
      <c r="AM314" s="5"/>
      <c r="AN314" s="5"/>
      <c r="AO314" s="5"/>
      <c r="AP314" s="5"/>
      <c r="AQ314" s="5"/>
      <c r="AR314" s="5"/>
      <c r="AS314" s="5"/>
      <c r="AT314" s="5"/>
      <c r="AU314" s="5"/>
      <c r="AV314" s="5"/>
      <c r="AW314" s="5"/>
      <c r="AX314" s="5"/>
      <c r="AY314" s="5"/>
      <c r="AZ314" s="5"/>
      <c r="BA314" s="5"/>
      <c r="BB314" s="5"/>
      <c r="BC314" s="5"/>
      <c r="BD314" s="5"/>
      <c r="BE314" s="5"/>
      <c r="BF314" s="5"/>
      <c r="BG314" s="5"/>
      <c r="BH314" s="5"/>
    </row>
    <row r="315" ht="12.75" customHeight="1">
      <c r="A315" s="1"/>
      <c r="B315" s="2"/>
      <c r="C315" s="2"/>
      <c r="D315" s="2"/>
      <c r="E315" s="3"/>
      <c r="F315" s="2"/>
      <c r="G315" s="2"/>
      <c r="H315" s="2"/>
      <c r="I315" s="6"/>
      <c r="J315" s="6"/>
      <c r="K315" s="5"/>
      <c r="L315" s="3"/>
      <c r="M315" s="3"/>
      <c r="N315" s="4"/>
      <c r="O315" s="5"/>
      <c r="P315" s="314"/>
      <c r="Q315" s="314"/>
      <c r="R315" s="5"/>
      <c r="S315" s="5"/>
      <c r="T315" s="2"/>
      <c r="U315" s="5"/>
      <c r="V315" s="5"/>
      <c r="W315" s="5"/>
      <c r="X315" s="6"/>
      <c r="Y315" s="5"/>
      <c r="Z315" s="5"/>
      <c r="AA315" s="5"/>
      <c r="AB315" s="5"/>
      <c r="AC315" s="2"/>
      <c r="AD315" s="5"/>
      <c r="AE315" s="5"/>
      <c r="AF315" s="6"/>
      <c r="AG315" s="5"/>
      <c r="AH315" s="5"/>
      <c r="AI315" s="5"/>
      <c r="AJ315" s="5"/>
      <c r="AK315" s="5"/>
      <c r="AL315" s="2"/>
      <c r="AM315" s="5"/>
      <c r="AN315" s="5"/>
      <c r="AO315" s="5"/>
      <c r="AP315" s="5"/>
      <c r="AQ315" s="5"/>
      <c r="AR315" s="5"/>
      <c r="AS315" s="5"/>
      <c r="AT315" s="5"/>
      <c r="AU315" s="5"/>
      <c r="AV315" s="5"/>
      <c r="AW315" s="5"/>
      <c r="AX315" s="5"/>
      <c r="AY315" s="5"/>
      <c r="AZ315" s="5"/>
      <c r="BA315" s="5"/>
      <c r="BB315" s="5"/>
      <c r="BC315" s="5"/>
      <c r="BD315" s="5"/>
      <c r="BE315" s="5"/>
      <c r="BF315" s="5"/>
      <c r="BG315" s="5"/>
      <c r="BH315" s="5"/>
    </row>
    <row r="316" ht="12.75" customHeight="1">
      <c r="A316" s="1"/>
      <c r="B316" s="2"/>
      <c r="C316" s="2"/>
      <c r="D316" s="2"/>
      <c r="E316" s="3"/>
      <c r="F316" s="2"/>
      <c r="G316" s="2"/>
      <c r="H316" s="2"/>
      <c r="I316" s="6"/>
      <c r="J316" s="6"/>
      <c r="K316" s="5"/>
      <c r="L316" s="3"/>
      <c r="M316" s="3"/>
      <c r="N316" s="4"/>
      <c r="O316" s="5"/>
      <c r="P316" s="314"/>
      <c r="Q316" s="314"/>
      <c r="R316" s="5"/>
      <c r="S316" s="5"/>
      <c r="T316" s="2"/>
      <c r="U316" s="5"/>
      <c r="V316" s="5"/>
      <c r="W316" s="5"/>
      <c r="X316" s="6"/>
      <c r="Y316" s="5"/>
      <c r="Z316" s="5"/>
      <c r="AA316" s="5"/>
      <c r="AB316" s="5"/>
      <c r="AC316" s="2"/>
      <c r="AD316" s="5"/>
      <c r="AE316" s="5"/>
      <c r="AF316" s="6"/>
      <c r="AG316" s="5"/>
      <c r="AH316" s="5"/>
      <c r="AI316" s="5"/>
      <c r="AJ316" s="5"/>
      <c r="AK316" s="5"/>
      <c r="AL316" s="2"/>
      <c r="AM316" s="5"/>
      <c r="AN316" s="5"/>
      <c r="AO316" s="5"/>
      <c r="AP316" s="5"/>
      <c r="AQ316" s="5"/>
      <c r="AR316" s="5"/>
      <c r="AS316" s="5"/>
      <c r="AT316" s="5"/>
      <c r="AU316" s="5"/>
      <c r="AV316" s="5"/>
      <c r="AW316" s="5"/>
      <c r="AX316" s="5"/>
      <c r="AY316" s="5"/>
      <c r="AZ316" s="5"/>
      <c r="BA316" s="5"/>
      <c r="BB316" s="5"/>
      <c r="BC316" s="5"/>
      <c r="BD316" s="5"/>
      <c r="BE316" s="5"/>
      <c r="BF316" s="5"/>
      <c r="BG316" s="5"/>
      <c r="BH316" s="5"/>
    </row>
    <row r="317" ht="12.75" customHeight="1">
      <c r="A317" s="1"/>
      <c r="B317" s="2"/>
      <c r="C317" s="2"/>
      <c r="D317" s="2"/>
      <c r="E317" s="3"/>
      <c r="F317" s="2"/>
      <c r="G317" s="2"/>
      <c r="H317" s="2"/>
      <c r="I317" s="6"/>
      <c r="J317" s="6"/>
      <c r="K317" s="5"/>
      <c r="L317" s="3"/>
      <c r="M317" s="3"/>
      <c r="N317" s="4"/>
      <c r="O317" s="5"/>
      <c r="P317" s="314"/>
      <c r="Q317" s="314"/>
      <c r="R317" s="5"/>
      <c r="S317" s="5"/>
      <c r="T317" s="2"/>
      <c r="U317" s="5"/>
      <c r="V317" s="5"/>
      <c r="W317" s="5"/>
      <c r="X317" s="6"/>
      <c r="Y317" s="5"/>
      <c r="Z317" s="5"/>
      <c r="AA317" s="5"/>
      <c r="AB317" s="5"/>
      <c r="AC317" s="2"/>
      <c r="AD317" s="5"/>
      <c r="AE317" s="5"/>
      <c r="AF317" s="6"/>
      <c r="AG317" s="5"/>
      <c r="AH317" s="5"/>
      <c r="AI317" s="5"/>
      <c r="AJ317" s="5"/>
      <c r="AK317" s="5"/>
      <c r="AL317" s="2"/>
      <c r="AM317" s="5"/>
      <c r="AN317" s="5"/>
      <c r="AO317" s="5"/>
      <c r="AP317" s="5"/>
      <c r="AQ317" s="5"/>
      <c r="AR317" s="5"/>
      <c r="AS317" s="5"/>
      <c r="AT317" s="5"/>
      <c r="AU317" s="5"/>
      <c r="AV317" s="5"/>
      <c r="AW317" s="5"/>
      <c r="AX317" s="5"/>
      <c r="AY317" s="5"/>
      <c r="AZ317" s="5"/>
      <c r="BA317" s="5"/>
      <c r="BB317" s="5"/>
      <c r="BC317" s="5"/>
      <c r="BD317" s="5"/>
      <c r="BE317" s="5"/>
      <c r="BF317" s="5"/>
      <c r="BG317" s="5"/>
      <c r="BH317" s="5"/>
    </row>
    <row r="318" ht="12.75" customHeight="1">
      <c r="A318" s="1"/>
      <c r="B318" s="2"/>
      <c r="C318" s="2"/>
      <c r="D318" s="2"/>
      <c r="E318" s="3"/>
      <c r="F318" s="2"/>
      <c r="G318" s="2"/>
      <c r="H318" s="2"/>
      <c r="I318" s="6"/>
      <c r="J318" s="6"/>
      <c r="K318" s="5"/>
      <c r="L318" s="3"/>
      <c r="M318" s="3"/>
      <c r="N318" s="4"/>
      <c r="O318" s="5"/>
      <c r="P318" s="314"/>
      <c r="Q318" s="314"/>
      <c r="R318" s="5"/>
      <c r="S318" s="5"/>
      <c r="T318" s="2"/>
      <c r="U318" s="5"/>
      <c r="V318" s="5"/>
      <c r="W318" s="5"/>
      <c r="X318" s="6"/>
      <c r="Y318" s="5"/>
      <c r="Z318" s="5"/>
      <c r="AA318" s="5"/>
      <c r="AB318" s="5"/>
      <c r="AC318" s="2"/>
      <c r="AD318" s="5"/>
      <c r="AE318" s="5"/>
      <c r="AF318" s="6"/>
      <c r="AG318" s="5"/>
      <c r="AH318" s="5"/>
      <c r="AI318" s="5"/>
      <c r="AJ318" s="5"/>
      <c r="AK318" s="5"/>
      <c r="AL318" s="2"/>
      <c r="AM318" s="5"/>
      <c r="AN318" s="5"/>
      <c r="AO318" s="5"/>
      <c r="AP318" s="5"/>
      <c r="AQ318" s="5"/>
      <c r="AR318" s="5"/>
      <c r="AS318" s="5"/>
      <c r="AT318" s="5"/>
      <c r="AU318" s="5"/>
      <c r="AV318" s="5"/>
      <c r="AW318" s="5"/>
      <c r="AX318" s="5"/>
      <c r="AY318" s="5"/>
      <c r="AZ318" s="5"/>
      <c r="BA318" s="5"/>
      <c r="BB318" s="5"/>
      <c r="BC318" s="5"/>
      <c r="BD318" s="5"/>
      <c r="BE318" s="5"/>
      <c r="BF318" s="5"/>
      <c r="BG318" s="5"/>
      <c r="BH318" s="5"/>
    </row>
    <row r="319" ht="12.75" customHeight="1">
      <c r="A319" s="1"/>
      <c r="B319" s="2"/>
      <c r="C319" s="2"/>
      <c r="D319" s="2"/>
      <c r="E319" s="3"/>
      <c r="F319" s="2"/>
      <c r="G319" s="2"/>
      <c r="H319" s="2"/>
      <c r="I319" s="6"/>
      <c r="J319" s="6"/>
      <c r="K319" s="5"/>
      <c r="L319" s="3"/>
      <c r="M319" s="3"/>
      <c r="N319" s="4"/>
      <c r="O319" s="5"/>
      <c r="P319" s="314"/>
      <c r="Q319" s="314"/>
      <c r="R319" s="5"/>
      <c r="S319" s="5"/>
      <c r="T319" s="2"/>
      <c r="U319" s="5"/>
      <c r="V319" s="5"/>
      <c r="W319" s="5"/>
      <c r="X319" s="6"/>
      <c r="Y319" s="5"/>
      <c r="Z319" s="5"/>
      <c r="AA319" s="5"/>
      <c r="AB319" s="5"/>
      <c r="AC319" s="2"/>
      <c r="AD319" s="5"/>
      <c r="AE319" s="5"/>
      <c r="AF319" s="6"/>
      <c r="AG319" s="5"/>
      <c r="AH319" s="5"/>
      <c r="AI319" s="5"/>
      <c r="AJ319" s="5"/>
      <c r="AK319" s="5"/>
      <c r="AL319" s="2"/>
      <c r="AM319" s="5"/>
      <c r="AN319" s="5"/>
      <c r="AO319" s="5"/>
      <c r="AP319" s="5"/>
      <c r="AQ319" s="5"/>
      <c r="AR319" s="5"/>
      <c r="AS319" s="5"/>
      <c r="AT319" s="5"/>
      <c r="AU319" s="5"/>
      <c r="AV319" s="5"/>
      <c r="AW319" s="5"/>
      <c r="AX319" s="5"/>
      <c r="AY319" s="5"/>
      <c r="AZ319" s="5"/>
      <c r="BA319" s="5"/>
      <c r="BB319" s="5"/>
      <c r="BC319" s="5"/>
      <c r="BD319" s="5"/>
      <c r="BE319" s="5"/>
      <c r="BF319" s="5"/>
      <c r="BG319" s="5"/>
      <c r="BH319" s="5"/>
    </row>
    <row r="320" ht="12.75" customHeight="1">
      <c r="A320" s="1"/>
      <c r="B320" s="2"/>
      <c r="C320" s="2"/>
      <c r="D320" s="2"/>
      <c r="E320" s="3"/>
      <c r="F320" s="2"/>
      <c r="G320" s="2"/>
      <c r="H320" s="2"/>
      <c r="I320" s="6"/>
      <c r="J320" s="6"/>
      <c r="K320" s="5"/>
      <c r="L320" s="3"/>
      <c r="M320" s="3"/>
      <c r="N320" s="4"/>
      <c r="O320" s="5"/>
      <c r="P320" s="314"/>
      <c r="Q320" s="314"/>
      <c r="R320" s="5"/>
      <c r="S320" s="5"/>
      <c r="T320" s="2"/>
      <c r="U320" s="5"/>
      <c r="V320" s="5"/>
      <c r="W320" s="5"/>
      <c r="X320" s="6"/>
      <c r="Y320" s="5"/>
      <c r="Z320" s="5"/>
      <c r="AA320" s="5"/>
      <c r="AB320" s="5"/>
      <c r="AC320" s="2"/>
      <c r="AD320" s="5"/>
      <c r="AE320" s="5"/>
      <c r="AF320" s="6"/>
      <c r="AG320" s="5"/>
      <c r="AH320" s="5"/>
      <c r="AI320" s="5"/>
      <c r="AJ320" s="5"/>
      <c r="AK320" s="5"/>
      <c r="AL320" s="2"/>
      <c r="AM320" s="5"/>
      <c r="AN320" s="5"/>
      <c r="AO320" s="5"/>
      <c r="AP320" s="5"/>
      <c r="AQ320" s="5"/>
      <c r="AR320" s="5"/>
      <c r="AS320" s="5"/>
      <c r="AT320" s="5"/>
      <c r="AU320" s="5"/>
      <c r="AV320" s="5"/>
      <c r="AW320" s="5"/>
      <c r="AX320" s="5"/>
      <c r="AY320" s="5"/>
      <c r="AZ320" s="5"/>
      <c r="BA320" s="5"/>
      <c r="BB320" s="5"/>
      <c r="BC320" s="5"/>
      <c r="BD320" s="5"/>
      <c r="BE320" s="5"/>
      <c r="BF320" s="5"/>
      <c r="BG320" s="5"/>
      <c r="BH320" s="5"/>
    </row>
    <row r="321" ht="12.75" customHeight="1">
      <c r="A321" s="1"/>
      <c r="B321" s="2"/>
      <c r="C321" s="2"/>
      <c r="D321" s="2"/>
      <c r="E321" s="3"/>
      <c r="F321" s="2"/>
      <c r="G321" s="2"/>
      <c r="H321" s="2"/>
      <c r="I321" s="6"/>
      <c r="J321" s="6"/>
      <c r="K321" s="5"/>
      <c r="L321" s="3"/>
      <c r="M321" s="3"/>
      <c r="N321" s="4"/>
      <c r="O321" s="5"/>
      <c r="P321" s="314"/>
      <c r="Q321" s="314"/>
      <c r="R321" s="5"/>
      <c r="S321" s="5"/>
      <c r="T321" s="2"/>
      <c r="U321" s="5"/>
      <c r="V321" s="5"/>
      <c r="W321" s="5"/>
      <c r="X321" s="6"/>
      <c r="Y321" s="5"/>
      <c r="Z321" s="5"/>
      <c r="AA321" s="5"/>
      <c r="AB321" s="5"/>
      <c r="AC321" s="2"/>
      <c r="AD321" s="5"/>
      <c r="AE321" s="5"/>
      <c r="AF321" s="6"/>
      <c r="AG321" s="5"/>
      <c r="AH321" s="5"/>
      <c r="AI321" s="5"/>
      <c r="AJ321" s="5"/>
      <c r="AK321" s="5"/>
      <c r="AL321" s="2"/>
      <c r="AM321" s="5"/>
      <c r="AN321" s="5"/>
      <c r="AO321" s="5"/>
      <c r="AP321" s="5"/>
      <c r="AQ321" s="5"/>
      <c r="AR321" s="5"/>
      <c r="AS321" s="5"/>
      <c r="AT321" s="5"/>
      <c r="AU321" s="5"/>
      <c r="AV321" s="5"/>
      <c r="AW321" s="5"/>
      <c r="AX321" s="5"/>
      <c r="AY321" s="5"/>
      <c r="AZ321" s="5"/>
      <c r="BA321" s="5"/>
      <c r="BB321" s="5"/>
      <c r="BC321" s="5"/>
      <c r="BD321" s="5"/>
      <c r="BE321" s="5"/>
      <c r="BF321" s="5"/>
      <c r="BG321" s="5"/>
      <c r="BH321" s="5"/>
    </row>
    <row r="322" ht="12.75" customHeight="1">
      <c r="A322" s="1"/>
      <c r="B322" s="2"/>
      <c r="C322" s="2"/>
      <c r="D322" s="2"/>
      <c r="E322" s="3"/>
      <c r="F322" s="2"/>
      <c r="G322" s="2"/>
      <c r="H322" s="2"/>
      <c r="I322" s="6"/>
      <c r="J322" s="6"/>
      <c r="K322" s="5"/>
      <c r="L322" s="3"/>
      <c r="M322" s="3"/>
      <c r="N322" s="4"/>
      <c r="O322" s="5"/>
      <c r="P322" s="314"/>
      <c r="Q322" s="314"/>
      <c r="R322" s="5"/>
      <c r="S322" s="5"/>
      <c r="T322" s="2"/>
      <c r="U322" s="5"/>
      <c r="V322" s="5"/>
      <c r="W322" s="5"/>
      <c r="X322" s="6"/>
      <c r="Y322" s="5"/>
      <c r="Z322" s="5"/>
      <c r="AA322" s="5"/>
      <c r="AB322" s="5"/>
      <c r="AC322" s="2"/>
      <c r="AD322" s="5"/>
      <c r="AE322" s="5"/>
      <c r="AF322" s="6"/>
      <c r="AG322" s="5"/>
      <c r="AH322" s="5"/>
      <c r="AI322" s="5"/>
      <c r="AJ322" s="5"/>
      <c r="AK322" s="5"/>
      <c r="AL322" s="2"/>
      <c r="AM322" s="5"/>
      <c r="AN322" s="5"/>
      <c r="AO322" s="5"/>
      <c r="AP322" s="5"/>
      <c r="AQ322" s="5"/>
      <c r="AR322" s="5"/>
      <c r="AS322" s="5"/>
      <c r="AT322" s="5"/>
      <c r="AU322" s="5"/>
      <c r="AV322" s="5"/>
      <c r="AW322" s="5"/>
      <c r="AX322" s="5"/>
      <c r="AY322" s="5"/>
      <c r="AZ322" s="5"/>
      <c r="BA322" s="5"/>
      <c r="BB322" s="5"/>
      <c r="BC322" s="5"/>
      <c r="BD322" s="5"/>
      <c r="BE322" s="5"/>
      <c r="BF322" s="5"/>
      <c r="BG322" s="5"/>
      <c r="BH322" s="5"/>
    </row>
    <row r="323" ht="12.75" customHeight="1">
      <c r="A323" s="1"/>
      <c r="B323" s="2"/>
      <c r="C323" s="2"/>
      <c r="D323" s="2"/>
      <c r="E323" s="3"/>
      <c r="F323" s="2"/>
      <c r="G323" s="2"/>
      <c r="H323" s="2"/>
      <c r="I323" s="6"/>
      <c r="J323" s="6"/>
      <c r="K323" s="5"/>
      <c r="L323" s="3"/>
      <c r="M323" s="3"/>
      <c r="N323" s="4"/>
      <c r="O323" s="5"/>
      <c r="P323" s="314"/>
      <c r="Q323" s="314"/>
      <c r="R323" s="5"/>
      <c r="S323" s="5"/>
      <c r="T323" s="2"/>
      <c r="U323" s="5"/>
      <c r="V323" s="5"/>
      <c r="W323" s="5"/>
      <c r="X323" s="6"/>
      <c r="Y323" s="5"/>
      <c r="Z323" s="5"/>
      <c r="AA323" s="5"/>
      <c r="AB323" s="5"/>
      <c r="AC323" s="2"/>
      <c r="AD323" s="5"/>
      <c r="AE323" s="5"/>
      <c r="AF323" s="6"/>
      <c r="AG323" s="5"/>
      <c r="AH323" s="5"/>
      <c r="AI323" s="5"/>
      <c r="AJ323" s="5"/>
      <c r="AK323" s="5"/>
      <c r="AL323" s="2"/>
      <c r="AM323" s="5"/>
      <c r="AN323" s="5"/>
      <c r="AO323" s="5"/>
      <c r="AP323" s="5"/>
      <c r="AQ323" s="5"/>
      <c r="AR323" s="5"/>
      <c r="AS323" s="5"/>
      <c r="AT323" s="5"/>
      <c r="AU323" s="5"/>
      <c r="AV323" s="5"/>
      <c r="AW323" s="5"/>
      <c r="AX323" s="5"/>
      <c r="AY323" s="5"/>
      <c r="AZ323" s="5"/>
      <c r="BA323" s="5"/>
      <c r="BB323" s="5"/>
      <c r="BC323" s="5"/>
      <c r="BD323" s="5"/>
      <c r="BE323" s="5"/>
      <c r="BF323" s="5"/>
      <c r="BG323" s="5"/>
      <c r="BH323" s="5"/>
    </row>
    <row r="324" ht="12.75" customHeight="1">
      <c r="A324" s="1"/>
      <c r="B324" s="2"/>
      <c r="C324" s="2"/>
      <c r="D324" s="2"/>
      <c r="E324" s="3"/>
      <c r="F324" s="2"/>
      <c r="G324" s="2"/>
      <c r="H324" s="2"/>
      <c r="I324" s="6"/>
      <c r="J324" s="6"/>
      <c r="K324" s="5"/>
      <c r="L324" s="3"/>
      <c r="M324" s="3"/>
      <c r="N324" s="4"/>
      <c r="O324" s="5"/>
      <c r="P324" s="314"/>
      <c r="Q324" s="314"/>
      <c r="R324" s="5"/>
      <c r="S324" s="5"/>
      <c r="T324" s="2"/>
      <c r="U324" s="5"/>
      <c r="V324" s="5"/>
      <c r="W324" s="5"/>
      <c r="X324" s="6"/>
      <c r="Y324" s="5"/>
      <c r="Z324" s="5"/>
      <c r="AA324" s="5"/>
      <c r="AB324" s="5"/>
      <c r="AC324" s="2"/>
      <c r="AD324" s="5"/>
      <c r="AE324" s="5"/>
      <c r="AF324" s="6"/>
      <c r="AG324" s="5"/>
      <c r="AH324" s="5"/>
      <c r="AI324" s="5"/>
      <c r="AJ324" s="5"/>
      <c r="AK324" s="5"/>
      <c r="AL324" s="2"/>
      <c r="AM324" s="5"/>
      <c r="AN324" s="5"/>
      <c r="AO324" s="5"/>
      <c r="AP324" s="5"/>
      <c r="AQ324" s="5"/>
      <c r="AR324" s="5"/>
      <c r="AS324" s="5"/>
      <c r="AT324" s="5"/>
      <c r="AU324" s="5"/>
      <c r="AV324" s="5"/>
      <c r="AW324" s="5"/>
      <c r="AX324" s="5"/>
      <c r="AY324" s="5"/>
      <c r="AZ324" s="5"/>
      <c r="BA324" s="5"/>
      <c r="BB324" s="5"/>
      <c r="BC324" s="5"/>
      <c r="BD324" s="5"/>
      <c r="BE324" s="5"/>
      <c r="BF324" s="5"/>
      <c r="BG324" s="5"/>
      <c r="BH324" s="5"/>
    </row>
    <row r="325" ht="12.75" customHeight="1">
      <c r="A325" s="1"/>
      <c r="B325" s="2"/>
      <c r="C325" s="2"/>
      <c r="D325" s="2"/>
      <c r="E325" s="3"/>
      <c r="F325" s="2"/>
      <c r="G325" s="2"/>
      <c r="H325" s="2"/>
      <c r="I325" s="6"/>
      <c r="J325" s="6"/>
      <c r="K325" s="5"/>
      <c r="L325" s="3"/>
      <c r="M325" s="3"/>
      <c r="N325" s="4"/>
      <c r="O325" s="5"/>
      <c r="P325" s="314"/>
      <c r="Q325" s="314"/>
      <c r="R325" s="5"/>
      <c r="S325" s="5"/>
      <c r="T325" s="2"/>
      <c r="U325" s="5"/>
      <c r="V325" s="5"/>
      <c r="W325" s="5"/>
      <c r="X325" s="6"/>
      <c r="Y325" s="5"/>
      <c r="Z325" s="5"/>
      <c r="AA325" s="5"/>
      <c r="AB325" s="5"/>
      <c r="AC325" s="2"/>
      <c r="AD325" s="5"/>
      <c r="AE325" s="5"/>
      <c r="AF325" s="6"/>
      <c r="AG325" s="5"/>
      <c r="AH325" s="5"/>
      <c r="AI325" s="5"/>
      <c r="AJ325" s="5"/>
      <c r="AK325" s="5"/>
      <c r="AL325" s="2"/>
      <c r="AM325" s="5"/>
      <c r="AN325" s="5"/>
      <c r="AO325" s="5"/>
      <c r="AP325" s="5"/>
      <c r="AQ325" s="5"/>
      <c r="AR325" s="5"/>
      <c r="AS325" s="5"/>
      <c r="AT325" s="5"/>
      <c r="AU325" s="5"/>
      <c r="AV325" s="5"/>
      <c r="AW325" s="5"/>
      <c r="AX325" s="5"/>
      <c r="AY325" s="5"/>
      <c r="AZ325" s="5"/>
      <c r="BA325" s="5"/>
      <c r="BB325" s="5"/>
      <c r="BC325" s="5"/>
      <c r="BD325" s="5"/>
      <c r="BE325" s="5"/>
      <c r="BF325" s="5"/>
      <c r="BG325" s="5"/>
      <c r="BH325" s="5"/>
    </row>
    <row r="326" ht="12.75" customHeight="1">
      <c r="A326" s="1"/>
      <c r="B326" s="2"/>
      <c r="C326" s="2"/>
      <c r="D326" s="2"/>
      <c r="E326" s="3"/>
      <c r="F326" s="2"/>
      <c r="G326" s="2"/>
      <c r="H326" s="2"/>
      <c r="I326" s="6"/>
      <c r="J326" s="6"/>
      <c r="K326" s="5"/>
      <c r="L326" s="3"/>
      <c r="M326" s="3"/>
      <c r="N326" s="4"/>
      <c r="O326" s="5"/>
      <c r="P326" s="314"/>
      <c r="Q326" s="314"/>
      <c r="R326" s="5"/>
      <c r="S326" s="5"/>
      <c r="T326" s="2"/>
      <c r="U326" s="5"/>
      <c r="V326" s="5"/>
      <c r="W326" s="5"/>
      <c r="X326" s="6"/>
      <c r="Y326" s="5"/>
      <c r="Z326" s="5"/>
      <c r="AA326" s="5"/>
      <c r="AB326" s="5"/>
      <c r="AC326" s="2"/>
      <c r="AD326" s="5"/>
      <c r="AE326" s="5"/>
      <c r="AF326" s="6"/>
      <c r="AG326" s="5"/>
      <c r="AH326" s="5"/>
      <c r="AI326" s="5"/>
      <c r="AJ326" s="5"/>
      <c r="AK326" s="5"/>
      <c r="AL326" s="2"/>
      <c r="AM326" s="5"/>
      <c r="AN326" s="5"/>
      <c r="AO326" s="5"/>
      <c r="AP326" s="5"/>
      <c r="AQ326" s="5"/>
      <c r="AR326" s="5"/>
      <c r="AS326" s="5"/>
      <c r="AT326" s="5"/>
      <c r="AU326" s="5"/>
      <c r="AV326" s="5"/>
      <c r="AW326" s="5"/>
      <c r="AX326" s="5"/>
      <c r="AY326" s="5"/>
      <c r="AZ326" s="5"/>
      <c r="BA326" s="5"/>
      <c r="BB326" s="5"/>
      <c r="BC326" s="5"/>
      <c r="BD326" s="5"/>
      <c r="BE326" s="5"/>
      <c r="BF326" s="5"/>
      <c r="BG326" s="5"/>
      <c r="BH326" s="5"/>
    </row>
    <row r="327" ht="12.75" customHeight="1">
      <c r="A327" s="1"/>
      <c r="B327" s="2"/>
      <c r="C327" s="2"/>
      <c r="D327" s="2"/>
      <c r="E327" s="3"/>
      <c r="F327" s="2"/>
      <c r="G327" s="2"/>
      <c r="H327" s="2"/>
      <c r="I327" s="6"/>
      <c r="J327" s="6"/>
      <c r="K327" s="5"/>
      <c r="L327" s="3"/>
      <c r="M327" s="3"/>
      <c r="N327" s="4"/>
      <c r="O327" s="5"/>
      <c r="P327" s="314"/>
      <c r="Q327" s="314"/>
      <c r="R327" s="5"/>
      <c r="S327" s="5"/>
      <c r="T327" s="2"/>
      <c r="U327" s="5"/>
      <c r="V327" s="5"/>
      <c r="W327" s="5"/>
      <c r="X327" s="6"/>
      <c r="Y327" s="5"/>
      <c r="Z327" s="5"/>
      <c r="AA327" s="5"/>
      <c r="AB327" s="5"/>
      <c r="AC327" s="2"/>
      <c r="AD327" s="5"/>
      <c r="AE327" s="5"/>
      <c r="AF327" s="6"/>
      <c r="AG327" s="5"/>
      <c r="AH327" s="5"/>
      <c r="AI327" s="5"/>
      <c r="AJ327" s="5"/>
      <c r="AK327" s="5"/>
      <c r="AL327" s="2"/>
      <c r="AM327" s="5"/>
      <c r="AN327" s="5"/>
      <c r="AO327" s="5"/>
      <c r="AP327" s="5"/>
      <c r="AQ327" s="5"/>
      <c r="AR327" s="5"/>
      <c r="AS327" s="5"/>
      <c r="AT327" s="5"/>
      <c r="AU327" s="5"/>
      <c r="AV327" s="5"/>
      <c r="AW327" s="5"/>
      <c r="AX327" s="5"/>
      <c r="AY327" s="5"/>
      <c r="AZ327" s="5"/>
      <c r="BA327" s="5"/>
      <c r="BB327" s="5"/>
      <c r="BC327" s="5"/>
      <c r="BD327" s="5"/>
      <c r="BE327" s="5"/>
      <c r="BF327" s="5"/>
      <c r="BG327" s="5"/>
      <c r="BH327" s="5"/>
    </row>
    <row r="328" ht="12.75" customHeight="1">
      <c r="A328" s="1"/>
      <c r="B328" s="2"/>
      <c r="C328" s="2"/>
      <c r="D328" s="2"/>
      <c r="E328" s="3"/>
      <c r="F328" s="2"/>
      <c r="G328" s="2"/>
      <c r="H328" s="2"/>
      <c r="I328" s="6"/>
      <c r="J328" s="6"/>
      <c r="K328" s="5"/>
      <c r="L328" s="3"/>
      <c r="M328" s="3"/>
      <c r="N328" s="4"/>
      <c r="O328" s="5"/>
      <c r="P328" s="314"/>
      <c r="Q328" s="314"/>
      <c r="R328" s="5"/>
      <c r="S328" s="5"/>
      <c r="T328" s="2"/>
      <c r="U328" s="5"/>
      <c r="V328" s="5"/>
      <c r="W328" s="5"/>
      <c r="X328" s="6"/>
      <c r="Y328" s="5"/>
      <c r="Z328" s="5"/>
      <c r="AA328" s="5"/>
      <c r="AB328" s="5"/>
      <c r="AC328" s="2"/>
      <c r="AD328" s="5"/>
      <c r="AE328" s="5"/>
      <c r="AF328" s="6"/>
      <c r="AG328" s="5"/>
      <c r="AH328" s="5"/>
      <c r="AI328" s="5"/>
      <c r="AJ328" s="5"/>
      <c r="AK328" s="5"/>
      <c r="AL328" s="2"/>
      <c r="AM328" s="5"/>
      <c r="AN328" s="5"/>
      <c r="AO328" s="5"/>
      <c r="AP328" s="5"/>
      <c r="AQ328" s="5"/>
      <c r="AR328" s="5"/>
      <c r="AS328" s="5"/>
      <c r="AT328" s="5"/>
      <c r="AU328" s="5"/>
      <c r="AV328" s="5"/>
      <c r="AW328" s="5"/>
      <c r="AX328" s="5"/>
      <c r="AY328" s="5"/>
      <c r="AZ328" s="5"/>
      <c r="BA328" s="5"/>
      <c r="BB328" s="5"/>
      <c r="BC328" s="5"/>
      <c r="BD328" s="5"/>
      <c r="BE328" s="5"/>
      <c r="BF328" s="5"/>
      <c r="BG328" s="5"/>
      <c r="BH328" s="5"/>
    </row>
    <row r="329" ht="12.75" customHeight="1">
      <c r="A329" s="1"/>
      <c r="B329" s="2"/>
      <c r="C329" s="2"/>
      <c r="D329" s="2"/>
      <c r="E329" s="3"/>
      <c r="F329" s="2"/>
      <c r="G329" s="2"/>
      <c r="H329" s="2"/>
      <c r="I329" s="6"/>
      <c r="J329" s="6"/>
      <c r="K329" s="5"/>
      <c r="L329" s="3"/>
      <c r="M329" s="3"/>
      <c r="N329" s="4"/>
      <c r="O329" s="5"/>
      <c r="P329" s="314"/>
      <c r="Q329" s="314"/>
      <c r="R329" s="5"/>
      <c r="S329" s="5"/>
      <c r="T329" s="2"/>
      <c r="U329" s="5"/>
      <c r="V329" s="5"/>
      <c r="W329" s="5"/>
      <c r="X329" s="6"/>
      <c r="Y329" s="5"/>
      <c r="Z329" s="5"/>
      <c r="AA329" s="5"/>
      <c r="AB329" s="5"/>
      <c r="AC329" s="2"/>
      <c r="AD329" s="5"/>
      <c r="AE329" s="5"/>
      <c r="AF329" s="6"/>
      <c r="AG329" s="5"/>
      <c r="AH329" s="5"/>
      <c r="AI329" s="5"/>
      <c r="AJ329" s="5"/>
      <c r="AK329" s="5"/>
      <c r="AL329" s="2"/>
      <c r="AM329" s="5"/>
      <c r="AN329" s="5"/>
      <c r="AO329" s="5"/>
      <c r="AP329" s="5"/>
      <c r="AQ329" s="5"/>
      <c r="AR329" s="5"/>
      <c r="AS329" s="5"/>
      <c r="AT329" s="5"/>
      <c r="AU329" s="5"/>
      <c r="AV329" s="5"/>
      <c r="AW329" s="5"/>
      <c r="AX329" s="5"/>
      <c r="AY329" s="5"/>
      <c r="AZ329" s="5"/>
      <c r="BA329" s="5"/>
      <c r="BB329" s="5"/>
      <c r="BC329" s="5"/>
      <c r="BD329" s="5"/>
      <c r="BE329" s="5"/>
      <c r="BF329" s="5"/>
      <c r="BG329" s="5"/>
      <c r="BH329" s="5"/>
    </row>
    <row r="330" ht="12.75" customHeight="1">
      <c r="A330" s="1"/>
      <c r="B330" s="2"/>
      <c r="C330" s="2"/>
      <c r="D330" s="2"/>
      <c r="E330" s="3"/>
      <c r="F330" s="2"/>
      <c r="G330" s="2"/>
      <c r="H330" s="2"/>
      <c r="I330" s="6"/>
      <c r="J330" s="6"/>
      <c r="K330" s="5"/>
      <c r="L330" s="3"/>
      <c r="M330" s="3"/>
      <c r="N330" s="4"/>
      <c r="O330" s="5"/>
      <c r="P330" s="314"/>
      <c r="Q330" s="314"/>
      <c r="R330" s="5"/>
      <c r="S330" s="5"/>
      <c r="T330" s="2"/>
      <c r="U330" s="5"/>
      <c r="V330" s="5"/>
      <c r="W330" s="5"/>
      <c r="X330" s="6"/>
      <c r="Y330" s="5"/>
      <c r="Z330" s="5"/>
      <c r="AA330" s="5"/>
      <c r="AB330" s="5"/>
      <c r="AC330" s="2"/>
      <c r="AD330" s="5"/>
      <c r="AE330" s="5"/>
      <c r="AF330" s="6"/>
      <c r="AG330" s="5"/>
      <c r="AH330" s="5"/>
      <c r="AI330" s="5"/>
      <c r="AJ330" s="5"/>
      <c r="AK330" s="5"/>
      <c r="AL330" s="2"/>
      <c r="AM330" s="5"/>
      <c r="AN330" s="5"/>
      <c r="AO330" s="5"/>
      <c r="AP330" s="5"/>
      <c r="AQ330" s="5"/>
      <c r="AR330" s="5"/>
      <c r="AS330" s="5"/>
      <c r="AT330" s="5"/>
      <c r="AU330" s="5"/>
      <c r="AV330" s="5"/>
      <c r="AW330" s="5"/>
      <c r="AX330" s="5"/>
      <c r="AY330" s="5"/>
      <c r="AZ330" s="5"/>
      <c r="BA330" s="5"/>
      <c r="BB330" s="5"/>
      <c r="BC330" s="5"/>
      <c r="BD330" s="5"/>
      <c r="BE330" s="5"/>
      <c r="BF330" s="5"/>
      <c r="BG330" s="5"/>
      <c r="BH330" s="5"/>
    </row>
    <row r="331" ht="12.75" customHeight="1">
      <c r="A331" s="1"/>
      <c r="B331" s="2"/>
      <c r="C331" s="2"/>
      <c r="D331" s="2"/>
      <c r="E331" s="3"/>
      <c r="F331" s="2"/>
      <c r="G331" s="2"/>
      <c r="H331" s="2"/>
      <c r="I331" s="6"/>
      <c r="J331" s="6"/>
      <c r="K331" s="5"/>
      <c r="L331" s="3"/>
      <c r="M331" s="3"/>
      <c r="N331" s="4"/>
      <c r="O331" s="5"/>
      <c r="P331" s="314"/>
      <c r="Q331" s="314"/>
      <c r="R331" s="5"/>
      <c r="S331" s="5"/>
      <c r="T331" s="2"/>
      <c r="U331" s="5"/>
      <c r="V331" s="5"/>
      <c r="W331" s="5"/>
      <c r="X331" s="6"/>
      <c r="Y331" s="5"/>
      <c r="Z331" s="5"/>
      <c r="AA331" s="5"/>
      <c r="AB331" s="5"/>
      <c r="AC331" s="2"/>
      <c r="AD331" s="5"/>
      <c r="AE331" s="5"/>
      <c r="AF331" s="6"/>
      <c r="AG331" s="5"/>
      <c r="AH331" s="5"/>
      <c r="AI331" s="5"/>
      <c r="AJ331" s="5"/>
      <c r="AK331" s="5"/>
      <c r="AL331" s="2"/>
      <c r="AM331" s="5"/>
      <c r="AN331" s="5"/>
      <c r="AO331" s="5"/>
      <c r="AP331" s="5"/>
      <c r="AQ331" s="5"/>
      <c r="AR331" s="5"/>
      <c r="AS331" s="5"/>
      <c r="AT331" s="5"/>
      <c r="AU331" s="5"/>
      <c r="AV331" s="5"/>
      <c r="AW331" s="5"/>
      <c r="AX331" s="5"/>
      <c r="AY331" s="5"/>
      <c r="AZ331" s="5"/>
      <c r="BA331" s="5"/>
      <c r="BB331" s="5"/>
      <c r="BC331" s="5"/>
      <c r="BD331" s="5"/>
      <c r="BE331" s="5"/>
      <c r="BF331" s="5"/>
      <c r="BG331" s="5"/>
      <c r="BH331" s="5"/>
    </row>
    <row r="332" ht="12.75" customHeight="1">
      <c r="A332" s="1"/>
      <c r="B332" s="2"/>
      <c r="C332" s="2"/>
      <c r="D332" s="2"/>
      <c r="E332" s="3"/>
      <c r="F332" s="2"/>
      <c r="G332" s="2"/>
      <c r="H332" s="2"/>
      <c r="I332" s="6"/>
      <c r="J332" s="6"/>
      <c r="K332" s="5"/>
      <c r="L332" s="3"/>
      <c r="M332" s="3"/>
      <c r="N332" s="4"/>
      <c r="O332" s="5"/>
      <c r="P332" s="314"/>
      <c r="Q332" s="314"/>
      <c r="R332" s="5"/>
      <c r="S332" s="5"/>
      <c r="T332" s="2"/>
      <c r="U332" s="5"/>
      <c r="V332" s="5"/>
      <c r="W332" s="5"/>
      <c r="X332" s="6"/>
      <c r="Y332" s="5"/>
      <c r="Z332" s="5"/>
      <c r="AA332" s="5"/>
      <c r="AB332" s="5"/>
      <c r="AC332" s="2"/>
      <c r="AD332" s="5"/>
      <c r="AE332" s="5"/>
      <c r="AF332" s="6"/>
      <c r="AG332" s="5"/>
      <c r="AH332" s="5"/>
      <c r="AI332" s="5"/>
      <c r="AJ332" s="5"/>
      <c r="AK332" s="5"/>
      <c r="AL332" s="2"/>
      <c r="AM332" s="5"/>
      <c r="AN332" s="5"/>
      <c r="AO332" s="5"/>
      <c r="AP332" s="5"/>
      <c r="AQ332" s="5"/>
      <c r="AR332" s="5"/>
      <c r="AS332" s="5"/>
      <c r="AT332" s="5"/>
      <c r="AU332" s="5"/>
      <c r="AV332" s="5"/>
      <c r="AW332" s="5"/>
      <c r="AX332" s="5"/>
      <c r="AY332" s="5"/>
      <c r="AZ332" s="5"/>
      <c r="BA332" s="5"/>
      <c r="BB332" s="5"/>
      <c r="BC332" s="5"/>
      <c r="BD332" s="5"/>
      <c r="BE332" s="5"/>
      <c r="BF332" s="5"/>
      <c r="BG332" s="5"/>
      <c r="BH332" s="5"/>
    </row>
    <row r="333" ht="12.75" customHeight="1">
      <c r="A333" s="1"/>
      <c r="B333" s="2"/>
      <c r="C333" s="2"/>
      <c r="D333" s="2"/>
      <c r="E333" s="3"/>
      <c r="F333" s="2"/>
      <c r="G333" s="2"/>
      <c r="H333" s="2"/>
      <c r="I333" s="6"/>
      <c r="J333" s="6"/>
      <c r="K333" s="5"/>
      <c r="L333" s="3"/>
      <c r="M333" s="3"/>
      <c r="N333" s="4"/>
      <c r="O333" s="5"/>
      <c r="P333" s="314"/>
      <c r="Q333" s="314"/>
      <c r="R333" s="5"/>
      <c r="S333" s="5"/>
      <c r="T333" s="2"/>
      <c r="U333" s="5"/>
      <c r="V333" s="5"/>
      <c r="W333" s="5"/>
      <c r="X333" s="6"/>
      <c r="Y333" s="5"/>
      <c r="Z333" s="5"/>
      <c r="AA333" s="5"/>
      <c r="AB333" s="5"/>
      <c r="AC333" s="2"/>
      <c r="AD333" s="5"/>
      <c r="AE333" s="5"/>
      <c r="AF333" s="6"/>
      <c r="AG333" s="5"/>
      <c r="AH333" s="5"/>
      <c r="AI333" s="5"/>
      <c r="AJ333" s="5"/>
      <c r="AK333" s="5"/>
      <c r="AL333" s="2"/>
      <c r="AM333" s="5"/>
      <c r="AN333" s="5"/>
      <c r="AO333" s="5"/>
      <c r="AP333" s="5"/>
      <c r="AQ333" s="5"/>
      <c r="AR333" s="5"/>
      <c r="AS333" s="5"/>
      <c r="AT333" s="5"/>
      <c r="AU333" s="5"/>
      <c r="AV333" s="5"/>
      <c r="AW333" s="5"/>
      <c r="AX333" s="5"/>
      <c r="AY333" s="5"/>
      <c r="AZ333" s="5"/>
      <c r="BA333" s="5"/>
      <c r="BB333" s="5"/>
      <c r="BC333" s="5"/>
      <c r="BD333" s="5"/>
      <c r="BE333" s="5"/>
      <c r="BF333" s="5"/>
      <c r="BG333" s="5"/>
      <c r="BH333" s="5"/>
    </row>
    <row r="334" ht="12.75" customHeight="1">
      <c r="A334" s="1"/>
      <c r="B334" s="2"/>
      <c r="C334" s="2"/>
      <c r="D334" s="2"/>
      <c r="E334" s="3"/>
      <c r="F334" s="2"/>
      <c r="G334" s="2"/>
      <c r="H334" s="2"/>
      <c r="I334" s="6"/>
      <c r="J334" s="6"/>
      <c r="K334" s="5"/>
      <c r="L334" s="3"/>
      <c r="M334" s="3"/>
      <c r="N334" s="4"/>
      <c r="O334" s="5"/>
      <c r="P334" s="314"/>
      <c r="Q334" s="314"/>
      <c r="R334" s="5"/>
      <c r="S334" s="5"/>
      <c r="T334" s="2"/>
      <c r="U334" s="5"/>
      <c r="V334" s="5"/>
      <c r="W334" s="5"/>
      <c r="X334" s="6"/>
      <c r="Y334" s="5"/>
      <c r="Z334" s="5"/>
      <c r="AA334" s="5"/>
      <c r="AB334" s="5"/>
      <c r="AC334" s="2"/>
      <c r="AD334" s="5"/>
      <c r="AE334" s="5"/>
      <c r="AF334" s="6"/>
      <c r="AG334" s="5"/>
      <c r="AH334" s="5"/>
      <c r="AI334" s="5"/>
      <c r="AJ334" s="5"/>
      <c r="AK334" s="5"/>
      <c r="AL334" s="2"/>
      <c r="AM334" s="5"/>
      <c r="AN334" s="5"/>
      <c r="AO334" s="5"/>
      <c r="AP334" s="5"/>
      <c r="AQ334" s="5"/>
      <c r="AR334" s="5"/>
      <c r="AS334" s="5"/>
      <c r="AT334" s="5"/>
      <c r="AU334" s="5"/>
      <c r="AV334" s="5"/>
      <c r="AW334" s="5"/>
      <c r="AX334" s="5"/>
      <c r="AY334" s="5"/>
      <c r="AZ334" s="5"/>
      <c r="BA334" s="5"/>
      <c r="BB334" s="5"/>
      <c r="BC334" s="5"/>
      <c r="BD334" s="5"/>
      <c r="BE334" s="5"/>
      <c r="BF334" s="5"/>
      <c r="BG334" s="5"/>
      <c r="BH334" s="5"/>
    </row>
    <row r="335" ht="12.75" customHeight="1">
      <c r="A335" s="1"/>
      <c r="B335" s="2"/>
      <c r="C335" s="2"/>
      <c r="D335" s="2"/>
      <c r="E335" s="3"/>
      <c r="F335" s="2"/>
      <c r="G335" s="2"/>
      <c r="H335" s="2"/>
      <c r="I335" s="6"/>
      <c r="J335" s="6"/>
      <c r="K335" s="5"/>
      <c r="L335" s="3"/>
      <c r="M335" s="3"/>
      <c r="N335" s="4"/>
      <c r="O335" s="5"/>
      <c r="P335" s="314"/>
      <c r="Q335" s="314"/>
      <c r="R335" s="5"/>
      <c r="S335" s="5"/>
      <c r="T335" s="2"/>
      <c r="U335" s="5"/>
      <c r="V335" s="5"/>
      <c r="W335" s="5"/>
      <c r="X335" s="6"/>
      <c r="Y335" s="5"/>
      <c r="Z335" s="5"/>
      <c r="AA335" s="5"/>
      <c r="AB335" s="5"/>
      <c r="AC335" s="2"/>
      <c r="AD335" s="5"/>
      <c r="AE335" s="5"/>
      <c r="AF335" s="6"/>
      <c r="AG335" s="5"/>
      <c r="AH335" s="5"/>
      <c r="AI335" s="5"/>
      <c r="AJ335" s="5"/>
      <c r="AK335" s="5"/>
      <c r="AL335" s="2"/>
      <c r="AM335" s="5"/>
      <c r="AN335" s="5"/>
      <c r="AO335" s="5"/>
      <c r="AP335" s="5"/>
      <c r="AQ335" s="5"/>
      <c r="AR335" s="5"/>
      <c r="AS335" s="5"/>
      <c r="AT335" s="5"/>
      <c r="AU335" s="5"/>
      <c r="AV335" s="5"/>
      <c r="AW335" s="5"/>
      <c r="AX335" s="5"/>
      <c r="AY335" s="5"/>
      <c r="AZ335" s="5"/>
      <c r="BA335" s="5"/>
      <c r="BB335" s="5"/>
      <c r="BC335" s="5"/>
      <c r="BD335" s="5"/>
      <c r="BE335" s="5"/>
      <c r="BF335" s="5"/>
      <c r="BG335" s="5"/>
      <c r="BH335" s="5"/>
    </row>
    <row r="336" ht="12.75" customHeight="1">
      <c r="A336" s="1"/>
      <c r="B336" s="2"/>
      <c r="C336" s="2"/>
      <c r="D336" s="2"/>
      <c r="E336" s="3"/>
      <c r="F336" s="2"/>
      <c r="G336" s="2"/>
      <c r="H336" s="2"/>
      <c r="I336" s="6"/>
      <c r="J336" s="6"/>
      <c r="K336" s="5"/>
      <c r="L336" s="3"/>
      <c r="M336" s="3"/>
      <c r="N336" s="4"/>
      <c r="O336" s="5"/>
      <c r="P336" s="314"/>
      <c r="Q336" s="314"/>
      <c r="R336" s="5"/>
      <c r="S336" s="5"/>
      <c r="T336" s="2"/>
      <c r="U336" s="5"/>
      <c r="V336" s="5"/>
      <c r="W336" s="5"/>
      <c r="X336" s="6"/>
      <c r="Y336" s="5"/>
      <c r="Z336" s="5"/>
      <c r="AA336" s="5"/>
      <c r="AB336" s="5"/>
      <c r="AC336" s="2"/>
      <c r="AD336" s="5"/>
      <c r="AE336" s="5"/>
      <c r="AF336" s="6"/>
      <c r="AG336" s="5"/>
      <c r="AH336" s="5"/>
      <c r="AI336" s="5"/>
      <c r="AJ336" s="5"/>
      <c r="AK336" s="5"/>
      <c r="AL336" s="2"/>
      <c r="AM336" s="5"/>
      <c r="AN336" s="5"/>
      <c r="AO336" s="5"/>
      <c r="AP336" s="5"/>
      <c r="AQ336" s="5"/>
      <c r="AR336" s="5"/>
      <c r="AS336" s="5"/>
      <c r="AT336" s="5"/>
      <c r="AU336" s="5"/>
      <c r="AV336" s="5"/>
      <c r="AW336" s="5"/>
      <c r="AX336" s="5"/>
      <c r="AY336" s="5"/>
      <c r="AZ336" s="5"/>
      <c r="BA336" s="5"/>
      <c r="BB336" s="5"/>
      <c r="BC336" s="5"/>
      <c r="BD336" s="5"/>
      <c r="BE336" s="5"/>
      <c r="BF336" s="5"/>
      <c r="BG336" s="5"/>
      <c r="BH336" s="5"/>
    </row>
    <row r="337" ht="12.75" customHeight="1">
      <c r="A337" s="1"/>
      <c r="B337" s="2"/>
      <c r="C337" s="2"/>
      <c r="D337" s="2"/>
      <c r="E337" s="3"/>
      <c r="F337" s="2"/>
      <c r="G337" s="2"/>
      <c r="H337" s="2"/>
      <c r="I337" s="6"/>
      <c r="J337" s="6"/>
      <c r="K337" s="5"/>
      <c r="L337" s="3"/>
      <c r="M337" s="3"/>
      <c r="N337" s="4"/>
      <c r="O337" s="5"/>
      <c r="P337" s="314"/>
      <c r="Q337" s="314"/>
      <c r="R337" s="5"/>
      <c r="S337" s="5"/>
      <c r="T337" s="2"/>
      <c r="U337" s="5"/>
      <c r="V337" s="5"/>
      <c r="W337" s="5"/>
      <c r="X337" s="6"/>
      <c r="Y337" s="5"/>
      <c r="Z337" s="5"/>
      <c r="AA337" s="5"/>
      <c r="AB337" s="5"/>
      <c r="AC337" s="2"/>
      <c r="AD337" s="5"/>
      <c r="AE337" s="5"/>
      <c r="AF337" s="6"/>
      <c r="AG337" s="5"/>
      <c r="AH337" s="5"/>
      <c r="AI337" s="5"/>
      <c r="AJ337" s="5"/>
      <c r="AK337" s="5"/>
      <c r="AL337" s="2"/>
      <c r="AM337" s="5"/>
      <c r="AN337" s="5"/>
      <c r="AO337" s="5"/>
      <c r="AP337" s="5"/>
      <c r="AQ337" s="5"/>
      <c r="AR337" s="5"/>
      <c r="AS337" s="5"/>
      <c r="AT337" s="5"/>
      <c r="AU337" s="5"/>
      <c r="AV337" s="5"/>
      <c r="AW337" s="5"/>
      <c r="AX337" s="5"/>
      <c r="AY337" s="5"/>
      <c r="AZ337" s="5"/>
      <c r="BA337" s="5"/>
      <c r="BB337" s="5"/>
      <c r="BC337" s="5"/>
      <c r="BD337" s="5"/>
      <c r="BE337" s="5"/>
      <c r="BF337" s="5"/>
      <c r="BG337" s="5"/>
      <c r="BH337" s="5"/>
    </row>
    <row r="338" ht="12.75" customHeight="1">
      <c r="A338" s="1"/>
      <c r="B338" s="2"/>
      <c r="C338" s="2"/>
      <c r="D338" s="2"/>
      <c r="E338" s="3"/>
      <c r="F338" s="2"/>
      <c r="G338" s="2"/>
      <c r="H338" s="2"/>
      <c r="I338" s="6"/>
      <c r="J338" s="6"/>
      <c r="K338" s="5"/>
      <c r="L338" s="3"/>
      <c r="M338" s="3"/>
      <c r="N338" s="4"/>
      <c r="O338" s="5"/>
      <c r="P338" s="314"/>
      <c r="Q338" s="314"/>
      <c r="R338" s="5"/>
      <c r="S338" s="5"/>
      <c r="T338" s="2"/>
      <c r="U338" s="5"/>
      <c r="V338" s="5"/>
      <c r="W338" s="5"/>
      <c r="X338" s="6"/>
      <c r="Y338" s="5"/>
      <c r="Z338" s="5"/>
      <c r="AA338" s="5"/>
      <c r="AB338" s="5"/>
      <c r="AC338" s="2"/>
      <c r="AD338" s="5"/>
      <c r="AE338" s="5"/>
      <c r="AF338" s="6"/>
      <c r="AG338" s="5"/>
      <c r="AH338" s="5"/>
      <c r="AI338" s="5"/>
      <c r="AJ338" s="5"/>
      <c r="AK338" s="5"/>
      <c r="AL338" s="2"/>
      <c r="AM338" s="5"/>
      <c r="AN338" s="5"/>
      <c r="AO338" s="5"/>
      <c r="AP338" s="5"/>
      <c r="AQ338" s="5"/>
      <c r="AR338" s="5"/>
      <c r="AS338" s="5"/>
      <c r="AT338" s="5"/>
      <c r="AU338" s="5"/>
      <c r="AV338" s="5"/>
      <c r="AW338" s="5"/>
      <c r="AX338" s="5"/>
      <c r="AY338" s="5"/>
      <c r="AZ338" s="5"/>
      <c r="BA338" s="5"/>
      <c r="BB338" s="5"/>
      <c r="BC338" s="5"/>
      <c r="BD338" s="5"/>
      <c r="BE338" s="5"/>
      <c r="BF338" s="5"/>
      <c r="BG338" s="5"/>
      <c r="BH338" s="5"/>
    </row>
    <row r="339" ht="12.75" customHeight="1">
      <c r="A339" s="1"/>
      <c r="B339" s="2"/>
      <c r="C339" s="2"/>
      <c r="D339" s="2"/>
      <c r="E339" s="3"/>
      <c r="F339" s="2"/>
      <c r="G339" s="2"/>
      <c r="H339" s="2"/>
      <c r="I339" s="6"/>
      <c r="J339" s="6"/>
      <c r="K339" s="5"/>
      <c r="L339" s="3"/>
      <c r="M339" s="3"/>
      <c r="N339" s="4"/>
      <c r="O339" s="5"/>
      <c r="P339" s="314"/>
      <c r="Q339" s="314"/>
      <c r="R339" s="5"/>
      <c r="S339" s="5"/>
      <c r="T339" s="2"/>
      <c r="U339" s="5"/>
      <c r="V339" s="5"/>
      <c r="W339" s="5"/>
      <c r="X339" s="6"/>
      <c r="Y339" s="5"/>
      <c r="Z339" s="5"/>
      <c r="AA339" s="5"/>
      <c r="AB339" s="5"/>
      <c r="AC339" s="2"/>
      <c r="AD339" s="5"/>
      <c r="AE339" s="5"/>
      <c r="AF339" s="6"/>
      <c r="AG339" s="5"/>
      <c r="AH339" s="5"/>
      <c r="AI339" s="5"/>
      <c r="AJ339" s="5"/>
      <c r="AK339" s="5"/>
      <c r="AL339" s="2"/>
      <c r="AM339" s="5"/>
      <c r="AN339" s="5"/>
      <c r="AO339" s="5"/>
      <c r="AP339" s="5"/>
      <c r="AQ339" s="5"/>
      <c r="AR339" s="5"/>
      <c r="AS339" s="5"/>
      <c r="AT339" s="5"/>
      <c r="AU339" s="5"/>
      <c r="AV339" s="5"/>
      <c r="AW339" s="5"/>
      <c r="AX339" s="5"/>
      <c r="AY339" s="5"/>
      <c r="AZ339" s="5"/>
      <c r="BA339" s="5"/>
      <c r="BB339" s="5"/>
      <c r="BC339" s="5"/>
      <c r="BD339" s="5"/>
      <c r="BE339" s="5"/>
      <c r="BF339" s="5"/>
      <c r="BG339" s="5"/>
      <c r="BH339" s="5"/>
    </row>
    <row r="340" ht="12.75" customHeight="1">
      <c r="A340" s="1"/>
      <c r="B340" s="2"/>
      <c r="C340" s="2"/>
      <c r="D340" s="2"/>
      <c r="E340" s="3"/>
      <c r="F340" s="2"/>
      <c r="G340" s="2"/>
      <c r="H340" s="2"/>
      <c r="I340" s="6"/>
      <c r="J340" s="6"/>
      <c r="K340" s="5"/>
      <c r="L340" s="3"/>
      <c r="M340" s="3"/>
      <c r="N340" s="4"/>
      <c r="O340" s="5"/>
      <c r="P340" s="314"/>
      <c r="Q340" s="314"/>
      <c r="R340" s="5"/>
      <c r="S340" s="5"/>
      <c r="T340" s="2"/>
      <c r="U340" s="5"/>
      <c r="V340" s="5"/>
      <c r="W340" s="5"/>
      <c r="X340" s="6"/>
      <c r="Y340" s="5"/>
      <c r="Z340" s="5"/>
      <c r="AA340" s="5"/>
      <c r="AB340" s="5"/>
      <c r="AC340" s="2"/>
      <c r="AD340" s="5"/>
      <c r="AE340" s="5"/>
      <c r="AF340" s="6"/>
      <c r="AG340" s="5"/>
      <c r="AH340" s="5"/>
      <c r="AI340" s="5"/>
      <c r="AJ340" s="5"/>
      <c r="AK340" s="5"/>
      <c r="AL340" s="2"/>
      <c r="AM340" s="5"/>
      <c r="AN340" s="5"/>
      <c r="AO340" s="5"/>
      <c r="AP340" s="5"/>
      <c r="AQ340" s="5"/>
      <c r="AR340" s="5"/>
      <c r="AS340" s="5"/>
      <c r="AT340" s="5"/>
      <c r="AU340" s="5"/>
      <c r="AV340" s="5"/>
      <c r="AW340" s="5"/>
      <c r="AX340" s="5"/>
      <c r="AY340" s="5"/>
      <c r="AZ340" s="5"/>
      <c r="BA340" s="5"/>
      <c r="BB340" s="5"/>
      <c r="BC340" s="5"/>
      <c r="BD340" s="5"/>
      <c r="BE340" s="5"/>
      <c r="BF340" s="5"/>
      <c r="BG340" s="5"/>
      <c r="BH340" s="5"/>
    </row>
    <row r="341" ht="12.75" customHeight="1">
      <c r="A341" s="1"/>
      <c r="B341" s="2"/>
      <c r="C341" s="2"/>
      <c r="D341" s="2"/>
      <c r="E341" s="3"/>
      <c r="F341" s="2"/>
      <c r="G341" s="2"/>
      <c r="H341" s="2"/>
      <c r="I341" s="6"/>
      <c r="J341" s="6"/>
      <c r="K341" s="5"/>
      <c r="L341" s="3"/>
      <c r="M341" s="3"/>
      <c r="N341" s="4"/>
      <c r="O341" s="5"/>
      <c r="P341" s="314"/>
      <c r="Q341" s="314"/>
      <c r="R341" s="5"/>
      <c r="S341" s="5"/>
      <c r="T341" s="2"/>
      <c r="U341" s="5"/>
      <c r="V341" s="5"/>
      <c r="W341" s="5"/>
      <c r="X341" s="6"/>
      <c r="Y341" s="5"/>
      <c r="Z341" s="5"/>
      <c r="AA341" s="5"/>
      <c r="AB341" s="5"/>
      <c r="AC341" s="2"/>
      <c r="AD341" s="5"/>
      <c r="AE341" s="5"/>
      <c r="AF341" s="6"/>
      <c r="AG341" s="5"/>
      <c r="AH341" s="5"/>
      <c r="AI341" s="5"/>
      <c r="AJ341" s="5"/>
      <c r="AK341" s="5"/>
      <c r="AL341" s="2"/>
      <c r="AM341" s="5"/>
      <c r="AN341" s="5"/>
      <c r="AO341" s="5"/>
      <c r="AP341" s="5"/>
      <c r="AQ341" s="5"/>
      <c r="AR341" s="5"/>
      <c r="AS341" s="5"/>
      <c r="AT341" s="5"/>
      <c r="AU341" s="5"/>
      <c r="AV341" s="5"/>
      <c r="AW341" s="5"/>
      <c r="AX341" s="5"/>
      <c r="AY341" s="5"/>
      <c r="AZ341" s="5"/>
      <c r="BA341" s="5"/>
      <c r="BB341" s="5"/>
      <c r="BC341" s="5"/>
      <c r="BD341" s="5"/>
      <c r="BE341" s="5"/>
      <c r="BF341" s="5"/>
      <c r="BG341" s="5"/>
      <c r="BH341" s="5"/>
    </row>
    <row r="342" ht="12.75" customHeight="1">
      <c r="A342" s="1"/>
      <c r="B342" s="2"/>
      <c r="C342" s="2"/>
      <c r="D342" s="2"/>
      <c r="E342" s="3"/>
      <c r="F342" s="2"/>
      <c r="G342" s="2"/>
      <c r="H342" s="2"/>
      <c r="I342" s="6"/>
      <c r="J342" s="6"/>
      <c r="K342" s="5"/>
      <c r="L342" s="3"/>
      <c r="M342" s="3"/>
      <c r="N342" s="4"/>
      <c r="O342" s="5"/>
      <c r="P342" s="314"/>
      <c r="Q342" s="314"/>
      <c r="R342" s="5"/>
      <c r="S342" s="5"/>
      <c r="T342" s="2"/>
      <c r="U342" s="5"/>
      <c r="V342" s="5"/>
      <c r="W342" s="5"/>
      <c r="X342" s="6"/>
      <c r="Y342" s="5"/>
      <c r="Z342" s="5"/>
      <c r="AA342" s="5"/>
      <c r="AB342" s="5"/>
      <c r="AC342" s="2"/>
      <c r="AD342" s="5"/>
      <c r="AE342" s="5"/>
      <c r="AF342" s="6"/>
      <c r="AG342" s="5"/>
      <c r="AH342" s="5"/>
      <c r="AI342" s="5"/>
      <c r="AJ342" s="5"/>
      <c r="AK342" s="5"/>
      <c r="AL342" s="2"/>
      <c r="AM342" s="5"/>
      <c r="AN342" s="5"/>
      <c r="AO342" s="5"/>
      <c r="AP342" s="5"/>
      <c r="AQ342" s="5"/>
      <c r="AR342" s="5"/>
      <c r="AS342" s="5"/>
      <c r="AT342" s="5"/>
      <c r="AU342" s="5"/>
      <c r="AV342" s="5"/>
      <c r="AW342" s="5"/>
      <c r="AX342" s="5"/>
      <c r="AY342" s="5"/>
      <c r="AZ342" s="5"/>
      <c r="BA342" s="5"/>
      <c r="BB342" s="5"/>
      <c r="BC342" s="5"/>
      <c r="BD342" s="5"/>
      <c r="BE342" s="5"/>
      <c r="BF342" s="5"/>
      <c r="BG342" s="5"/>
      <c r="BH342" s="5"/>
    </row>
    <row r="343" ht="12.75" customHeight="1">
      <c r="A343" s="1"/>
      <c r="B343" s="2"/>
      <c r="C343" s="2"/>
      <c r="D343" s="2"/>
      <c r="E343" s="3"/>
      <c r="F343" s="2"/>
      <c r="G343" s="2"/>
      <c r="H343" s="2"/>
      <c r="I343" s="6"/>
      <c r="J343" s="6"/>
      <c r="K343" s="5"/>
      <c r="L343" s="3"/>
      <c r="M343" s="3"/>
      <c r="N343" s="4"/>
      <c r="O343" s="5"/>
      <c r="P343" s="314"/>
      <c r="Q343" s="314"/>
      <c r="R343" s="5"/>
      <c r="S343" s="5"/>
      <c r="T343" s="2"/>
      <c r="U343" s="5"/>
      <c r="V343" s="5"/>
      <c r="W343" s="5"/>
      <c r="X343" s="6"/>
      <c r="Y343" s="5"/>
      <c r="Z343" s="5"/>
      <c r="AA343" s="5"/>
      <c r="AB343" s="5"/>
      <c r="AC343" s="2"/>
      <c r="AD343" s="5"/>
      <c r="AE343" s="5"/>
      <c r="AF343" s="6"/>
      <c r="AG343" s="5"/>
      <c r="AH343" s="5"/>
      <c r="AI343" s="5"/>
      <c r="AJ343" s="5"/>
      <c r="AK343" s="5"/>
      <c r="AL343" s="2"/>
      <c r="AM343" s="5"/>
      <c r="AN343" s="5"/>
      <c r="AO343" s="5"/>
      <c r="AP343" s="5"/>
      <c r="AQ343" s="5"/>
      <c r="AR343" s="5"/>
      <c r="AS343" s="5"/>
      <c r="AT343" s="5"/>
      <c r="AU343" s="5"/>
      <c r="AV343" s="5"/>
      <c r="AW343" s="5"/>
      <c r="AX343" s="5"/>
      <c r="AY343" s="5"/>
      <c r="AZ343" s="5"/>
      <c r="BA343" s="5"/>
      <c r="BB343" s="5"/>
      <c r="BC343" s="5"/>
      <c r="BD343" s="5"/>
      <c r="BE343" s="5"/>
      <c r="BF343" s="5"/>
      <c r="BG343" s="5"/>
      <c r="BH343" s="5"/>
    </row>
    <row r="344" ht="12.75" customHeight="1">
      <c r="A344" s="1"/>
      <c r="B344" s="2"/>
      <c r="C344" s="2"/>
      <c r="D344" s="2"/>
      <c r="E344" s="3"/>
      <c r="F344" s="2"/>
      <c r="G344" s="2"/>
      <c r="H344" s="2"/>
      <c r="I344" s="6"/>
      <c r="J344" s="6"/>
      <c r="K344" s="5"/>
      <c r="L344" s="3"/>
      <c r="M344" s="3"/>
      <c r="N344" s="4"/>
      <c r="O344" s="5"/>
      <c r="P344" s="314"/>
      <c r="Q344" s="314"/>
      <c r="R344" s="5"/>
      <c r="S344" s="5"/>
      <c r="T344" s="2"/>
      <c r="U344" s="5"/>
      <c r="V344" s="5"/>
      <c r="W344" s="5"/>
      <c r="X344" s="6"/>
      <c r="Y344" s="5"/>
      <c r="Z344" s="5"/>
      <c r="AA344" s="5"/>
      <c r="AB344" s="5"/>
      <c r="AC344" s="2"/>
      <c r="AD344" s="5"/>
      <c r="AE344" s="5"/>
      <c r="AF344" s="6"/>
      <c r="AG344" s="5"/>
      <c r="AH344" s="5"/>
      <c r="AI344" s="5"/>
      <c r="AJ344" s="5"/>
      <c r="AK344" s="5"/>
      <c r="AL344" s="2"/>
      <c r="AM344" s="5"/>
      <c r="AN344" s="5"/>
      <c r="AO344" s="5"/>
      <c r="AP344" s="5"/>
      <c r="AQ344" s="5"/>
      <c r="AR344" s="5"/>
      <c r="AS344" s="5"/>
      <c r="AT344" s="5"/>
      <c r="AU344" s="5"/>
      <c r="AV344" s="5"/>
      <c r="AW344" s="5"/>
      <c r="AX344" s="5"/>
      <c r="AY344" s="5"/>
      <c r="AZ344" s="5"/>
      <c r="BA344" s="5"/>
      <c r="BB344" s="5"/>
      <c r="BC344" s="5"/>
      <c r="BD344" s="5"/>
      <c r="BE344" s="5"/>
      <c r="BF344" s="5"/>
      <c r="BG344" s="5"/>
      <c r="BH344" s="5"/>
    </row>
    <row r="345" ht="12.75" customHeight="1">
      <c r="A345" s="1"/>
      <c r="B345" s="2"/>
      <c r="C345" s="2"/>
      <c r="D345" s="2"/>
      <c r="E345" s="3"/>
      <c r="F345" s="2"/>
      <c r="G345" s="2"/>
      <c r="H345" s="2"/>
      <c r="I345" s="6"/>
      <c r="J345" s="6"/>
      <c r="K345" s="5"/>
      <c r="L345" s="3"/>
      <c r="M345" s="3"/>
      <c r="N345" s="4"/>
      <c r="O345" s="5"/>
      <c r="P345" s="314"/>
      <c r="Q345" s="314"/>
      <c r="R345" s="5"/>
      <c r="S345" s="5"/>
      <c r="T345" s="2"/>
      <c r="U345" s="5"/>
      <c r="V345" s="5"/>
      <c r="W345" s="5"/>
      <c r="X345" s="6"/>
      <c r="Y345" s="5"/>
      <c r="Z345" s="5"/>
      <c r="AA345" s="5"/>
      <c r="AB345" s="5"/>
      <c r="AC345" s="2"/>
      <c r="AD345" s="5"/>
      <c r="AE345" s="5"/>
      <c r="AF345" s="6"/>
      <c r="AG345" s="5"/>
      <c r="AH345" s="5"/>
      <c r="AI345" s="5"/>
      <c r="AJ345" s="5"/>
      <c r="AK345" s="5"/>
      <c r="AL345" s="2"/>
      <c r="AM345" s="5"/>
      <c r="AN345" s="5"/>
      <c r="AO345" s="5"/>
      <c r="AP345" s="5"/>
      <c r="AQ345" s="5"/>
      <c r="AR345" s="5"/>
      <c r="AS345" s="5"/>
      <c r="AT345" s="5"/>
      <c r="AU345" s="5"/>
      <c r="AV345" s="5"/>
      <c r="AW345" s="5"/>
      <c r="AX345" s="5"/>
      <c r="AY345" s="5"/>
      <c r="AZ345" s="5"/>
      <c r="BA345" s="5"/>
      <c r="BB345" s="5"/>
      <c r="BC345" s="5"/>
      <c r="BD345" s="5"/>
      <c r="BE345" s="5"/>
      <c r="BF345" s="5"/>
      <c r="BG345" s="5"/>
      <c r="BH345" s="5"/>
    </row>
    <row r="346" ht="12.75" customHeight="1">
      <c r="A346" s="1"/>
      <c r="B346" s="2"/>
      <c r="C346" s="2"/>
      <c r="D346" s="2"/>
      <c r="E346" s="3"/>
      <c r="F346" s="2"/>
      <c r="G346" s="2"/>
      <c r="H346" s="2"/>
      <c r="I346" s="6"/>
      <c r="J346" s="6"/>
      <c r="K346" s="5"/>
      <c r="L346" s="3"/>
      <c r="M346" s="3"/>
      <c r="N346" s="4"/>
      <c r="O346" s="5"/>
      <c r="P346" s="314"/>
      <c r="Q346" s="314"/>
      <c r="R346" s="5"/>
      <c r="S346" s="5"/>
      <c r="T346" s="2"/>
      <c r="U346" s="5"/>
      <c r="V346" s="5"/>
      <c r="W346" s="5"/>
      <c r="X346" s="6"/>
      <c r="Y346" s="5"/>
      <c r="Z346" s="5"/>
      <c r="AA346" s="5"/>
      <c r="AB346" s="5"/>
      <c r="AC346" s="2"/>
      <c r="AD346" s="5"/>
      <c r="AE346" s="5"/>
      <c r="AF346" s="6"/>
      <c r="AG346" s="5"/>
      <c r="AH346" s="5"/>
      <c r="AI346" s="5"/>
      <c r="AJ346" s="5"/>
      <c r="AK346" s="5"/>
      <c r="AL346" s="2"/>
      <c r="AM346" s="5"/>
      <c r="AN346" s="5"/>
      <c r="AO346" s="2"/>
      <c r="AP346" s="2"/>
      <c r="AQ346" s="2"/>
      <c r="AR346" s="2"/>
      <c r="AS346" s="2"/>
      <c r="AT346" s="2"/>
      <c r="AU346" s="2"/>
      <c r="AV346" s="2"/>
      <c r="AW346" s="2"/>
      <c r="AX346" s="2"/>
      <c r="AY346" s="2"/>
      <c r="AZ346" s="2"/>
      <c r="BA346" s="2"/>
      <c r="BB346" s="2"/>
      <c r="BC346" s="2"/>
      <c r="BD346" s="2"/>
      <c r="BE346" s="2"/>
      <c r="BF346" s="2"/>
      <c r="BG346" s="2"/>
      <c r="BH346" s="2"/>
    </row>
    <row r="347" ht="12.75" customHeight="1">
      <c r="A347" s="1"/>
      <c r="B347" s="2"/>
      <c r="C347" s="2"/>
      <c r="D347" s="2"/>
      <c r="E347" s="3"/>
      <c r="F347" s="2"/>
      <c r="G347" s="2"/>
      <c r="H347" s="2"/>
      <c r="I347" s="6"/>
      <c r="J347" s="6"/>
      <c r="K347" s="5"/>
      <c r="L347" s="3"/>
      <c r="M347" s="3"/>
      <c r="N347" s="4"/>
      <c r="O347" s="5"/>
      <c r="P347" s="314"/>
      <c r="Q347" s="314"/>
      <c r="R347" s="5"/>
      <c r="S347" s="5"/>
      <c r="T347" s="2"/>
      <c r="U347" s="5"/>
      <c r="V347" s="5"/>
      <c r="W347" s="5"/>
      <c r="X347" s="6"/>
      <c r="Y347" s="5"/>
      <c r="Z347" s="5"/>
      <c r="AA347" s="5"/>
      <c r="AB347" s="5"/>
      <c r="AC347" s="2"/>
      <c r="AD347" s="5"/>
      <c r="AE347" s="5"/>
      <c r="AF347" s="6"/>
      <c r="AG347" s="5"/>
      <c r="AH347" s="5"/>
      <c r="AI347" s="5"/>
      <c r="AJ347" s="5"/>
      <c r="AK347" s="5"/>
      <c r="AL347" s="2"/>
      <c r="AM347" s="5"/>
      <c r="AN347" s="5"/>
      <c r="AO347" s="2"/>
      <c r="AP347" s="2"/>
      <c r="AQ347" s="2"/>
      <c r="AR347" s="2"/>
      <c r="AS347" s="2"/>
      <c r="AT347" s="2"/>
      <c r="AU347" s="2"/>
      <c r="AV347" s="2"/>
      <c r="AW347" s="2"/>
      <c r="AX347" s="2"/>
      <c r="AY347" s="2"/>
      <c r="AZ347" s="2"/>
      <c r="BA347" s="2"/>
      <c r="BB347" s="2"/>
      <c r="BC347" s="2"/>
      <c r="BD347" s="2"/>
      <c r="BE347" s="2"/>
      <c r="BF347" s="2"/>
      <c r="BG347" s="2"/>
      <c r="BH347" s="2"/>
    </row>
    <row r="348" ht="12.75" customHeight="1">
      <c r="A348" s="1"/>
      <c r="B348" s="2"/>
      <c r="C348" s="2"/>
      <c r="D348" s="2"/>
      <c r="E348" s="3"/>
      <c r="F348" s="2"/>
      <c r="G348" s="2"/>
      <c r="H348" s="2"/>
      <c r="I348" s="6"/>
      <c r="J348" s="6"/>
      <c r="K348" s="5"/>
      <c r="L348" s="3"/>
      <c r="M348" s="3"/>
      <c r="N348" s="4"/>
      <c r="O348" s="5"/>
      <c r="P348" s="314"/>
      <c r="Q348" s="314"/>
      <c r="R348" s="5"/>
      <c r="S348" s="5"/>
      <c r="T348" s="2"/>
      <c r="U348" s="5"/>
      <c r="V348" s="5"/>
      <c r="W348" s="5"/>
      <c r="X348" s="6"/>
      <c r="Y348" s="5"/>
      <c r="Z348" s="5"/>
      <c r="AA348" s="5"/>
      <c r="AB348" s="5"/>
      <c r="AC348" s="2"/>
      <c r="AD348" s="5"/>
      <c r="AE348" s="5"/>
      <c r="AF348" s="6"/>
      <c r="AG348" s="5"/>
      <c r="AH348" s="5"/>
      <c r="AI348" s="5"/>
      <c r="AJ348" s="5"/>
      <c r="AK348" s="5"/>
      <c r="AL348" s="2"/>
      <c r="AM348" s="5"/>
      <c r="AN348" s="5"/>
      <c r="AO348" s="2"/>
      <c r="AP348" s="2"/>
      <c r="AQ348" s="2"/>
      <c r="AR348" s="2"/>
      <c r="AS348" s="2"/>
      <c r="AT348" s="2"/>
      <c r="AU348" s="2"/>
      <c r="AV348" s="2"/>
      <c r="AW348" s="2"/>
      <c r="AX348" s="2"/>
      <c r="AY348" s="2"/>
      <c r="AZ348" s="2"/>
      <c r="BA348" s="2"/>
      <c r="BB348" s="2"/>
      <c r="BC348" s="2"/>
      <c r="BD348" s="2"/>
      <c r="BE348" s="2"/>
      <c r="BF348" s="2"/>
      <c r="BG348" s="2"/>
      <c r="BH348" s="2"/>
    </row>
    <row r="349" ht="12.75" customHeight="1">
      <c r="A349" s="1"/>
      <c r="B349" s="2"/>
      <c r="C349" s="2"/>
      <c r="D349" s="2"/>
      <c r="E349" s="3"/>
      <c r="F349" s="2"/>
      <c r="G349" s="2"/>
      <c r="H349" s="2"/>
      <c r="I349" s="6"/>
      <c r="J349" s="6"/>
      <c r="K349" s="5"/>
      <c r="L349" s="3"/>
      <c r="M349" s="3"/>
      <c r="N349" s="4"/>
      <c r="O349" s="5"/>
      <c r="P349" s="314"/>
      <c r="Q349" s="314"/>
      <c r="R349" s="5"/>
      <c r="S349" s="5"/>
      <c r="T349" s="2"/>
      <c r="U349" s="5"/>
      <c r="V349" s="5"/>
      <c r="W349" s="5"/>
      <c r="X349" s="6"/>
      <c r="Y349" s="5"/>
      <c r="Z349" s="5"/>
      <c r="AA349" s="5"/>
      <c r="AB349" s="5"/>
      <c r="AM349" s="5"/>
      <c r="AN349" s="5"/>
      <c r="AO349" s="2"/>
      <c r="AP349" s="2"/>
      <c r="AQ349" s="2"/>
      <c r="AR349" s="2"/>
      <c r="AS349" s="2"/>
      <c r="AT349" s="2"/>
      <c r="AU349" s="2"/>
      <c r="AV349" s="2"/>
      <c r="AW349" s="2"/>
      <c r="AX349" s="2"/>
      <c r="AY349" s="2"/>
      <c r="AZ349" s="2"/>
      <c r="BA349" s="2"/>
      <c r="BB349" s="2"/>
      <c r="BC349" s="2"/>
      <c r="BD349" s="2"/>
      <c r="BE349" s="2"/>
      <c r="BF349" s="2"/>
      <c r="BG349" s="2"/>
      <c r="BH349" s="2"/>
    </row>
    <row r="350" ht="12.75" customHeight="1">
      <c r="A350" s="1"/>
      <c r="B350" s="2"/>
      <c r="C350" s="2"/>
      <c r="D350" s="2"/>
      <c r="E350" s="3"/>
      <c r="F350" s="2"/>
      <c r="G350" s="2"/>
      <c r="H350" s="2"/>
      <c r="I350" s="6"/>
      <c r="J350" s="6"/>
      <c r="K350" s="5"/>
      <c r="L350" s="3"/>
      <c r="M350" s="3"/>
      <c r="N350" s="4"/>
      <c r="O350" s="5"/>
      <c r="P350" s="314"/>
      <c r="Q350" s="314"/>
      <c r="R350" s="5"/>
      <c r="S350" s="5"/>
      <c r="T350" s="2"/>
      <c r="U350" s="5"/>
      <c r="V350" s="5"/>
      <c r="W350" s="5"/>
      <c r="X350" s="6"/>
      <c r="Y350" s="5"/>
      <c r="Z350" s="5"/>
      <c r="AA350" s="5"/>
      <c r="AB350" s="5"/>
      <c r="AM350" s="5"/>
      <c r="AN350" s="5"/>
      <c r="AO350" s="2"/>
      <c r="AP350" s="2"/>
      <c r="AQ350" s="2"/>
      <c r="AR350" s="2"/>
      <c r="AS350" s="2"/>
      <c r="AT350" s="2"/>
      <c r="AU350" s="2"/>
      <c r="AV350" s="2"/>
      <c r="AW350" s="2"/>
      <c r="AX350" s="2"/>
      <c r="AY350" s="2"/>
      <c r="AZ350" s="2"/>
      <c r="BA350" s="2"/>
      <c r="BB350" s="2"/>
      <c r="BC350" s="2"/>
      <c r="BD350" s="2"/>
      <c r="BE350" s="2"/>
      <c r="BF350" s="2"/>
      <c r="BG350" s="2"/>
      <c r="BH350" s="2"/>
    </row>
    <row r="351" ht="12.75" customHeight="1">
      <c r="A351" s="1"/>
      <c r="B351" s="2"/>
      <c r="C351" s="2"/>
      <c r="D351" s="2"/>
      <c r="E351" s="3"/>
      <c r="F351" s="2"/>
      <c r="G351" s="2"/>
      <c r="H351" s="2"/>
      <c r="I351" s="6"/>
      <c r="J351" s="6"/>
      <c r="K351" s="5"/>
      <c r="L351" s="3"/>
      <c r="M351" s="3"/>
      <c r="N351" s="4"/>
      <c r="O351" s="5"/>
      <c r="P351" s="314"/>
      <c r="Q351" s="314"/>
      <c r="R351" s="5"/>
      <c r="S351" s="5"/>
      <c r="T351" s="2"/>
      <c r="U351" s="5"/>
      <c r="V351" s="5"/>
      <c r="W351" s="5"/>
      <c r="X351" s="6"/>
      <c r="Y351" s="5"/>
      <c r="Z351" s="5"/>
      <c r="AA351" s="5"/>
      <c r="AB351" s="5"/>
      <c r="AM351" s="5"/>
      <c r="AN351" s="5"/>
      <c r="AO351" s="2"/>
      <c r="AP351" s="2"/>
      <c r="AQ351" s="2"/>
      <c r="AR351" s="2"/>
      <c r="AS351" s="2"/>
      <c r="AT351" s="2"/>
      <c r="AU351" s="2"/>
      <c r="AV351" s="2"/>
      <c r="AW351" s="2"/>
      <c r="AX351" s="2"/>
      <c r="AY351" s="2"/>
      <c r="AZ351" s="2"/>
      <c r="BA351" s="2"/>
      <c r="BB351" s="2"/>
      <c r="BC351" s="2"/>
      <c r="BD351" s="2"/>
      <c r="BE351" s="2"/>
      <c r="BF351" s="2"/>
      <c r="BG351" s="2"/>
      <c r="BH351" s="2"/>
    </row>
    <row r="352" ht="12.75" customHeight="1">
      <c r="A352" s="1"/>
      <c r="B352" s="2"/>
      <c r="C352" s="2"/>
      <c r="D352" s="2"/>
      <c r="E352" s="3"/>
      <c r="F352" s="2"/>
      <c r="G352" s="2"/>
      <c r="H352" s="2"/>
      <c r="I352" s="6"/>
      <c r="J352" s="6"/>
      <c r="K352" s="5"/>
      <c r="L352" s="3"/>
      <c r="M352" s="3"/>
      <c r="N352" s="4"/>
      <c r="O352" s="5"/>
      <c r="P352" s="314"/>
      <c r="Q352" s="314"/>
      <c r="R352" s="5"/>
      <c r="S352" s="5"/>
      <c r="T352" s="2"/>
      <c r="U352" s="5"/>
      <c r="V352" s="5"/>
      <c r="W352" s="5"/>
      <c r="X352" s="6"/>
      <c r="Y352" s="5"/>
      <c r="Z352" s="5"/>
      <c r="AA352" s="5"/>
      <c r="AB352" s="5"/>
      <c r="AM352" s="5"/>
      <c r="AN352" s="5"/>
      <c r="AO352" s="2"/>
      <c r="AP352" s="2"/>
      <c r="AQ352" s="2"/>
      <c r="AR352" s="2"/>
      <c r="AS352" s="2"/>
      <c r="AT352" s="2"/>
      <c r="AU352" s="2"/>
      <c r="AV352" s="2"/>
      <c r="AW352" s="2"/>
      <c r="AX352" s="2"/>
      <c r="AY352" s="2"/>
      <c r="AZ352" s="2"/>
      <c r="BA352" s="2"/>
      <c r="BB352" s="2"/>
      <c r="BC352" s="2"/>
      <c r="BD352" s="2"/>
      <c r="BE352" s="2"/>
      <c r="BF352" s="2"/>
      <c r="BG352" s="2"/>
      <c r="BH352" s="2"/>
    </row>
    <row r="353" ht="12.75" customHeight="1">
      <c r="A353" s="1"/>
      <c r="B353" s="2"/>
      <c r="C353" s="2"/>
      <c r="D353" s="2"/>
      <c r="E353" s="3"/>
      <c r="F353" s="2"/>
      <c r="G353" s="2"/>
      <c r="H353" s="2"/>
      <c r="I353" s="6"/>
      <c r="J353" s="6"/>
      <c r="K353" s="5"/>
      <c r="L353" s="3"/>
      <c r="M353" s="3"/>
      <c r="N353" s="4"/>
      <c r="O353" s="5"/>
      <c r="P353" s="314"/>
      <c r="Q353" s="314"/>
      <c r="R353" s="5"/>
      <c r="S353" s="5"/>
      <c r="T353" s="2"/>
      <c r="U353" s="5"/>
      <c r="V353" s="5"/>
      <c r="W353" s="5"/>
      <c r="X353" s="6"/>
      <c r="Y353" s="5"/>
      <c r="Z353" s="5"/>
      <c r="AA353" s="5"/>
      <c r="AB353" s="5"/>
      <c r="AM353" s="5"/>
      <c r="AN353" s="5"/>
      <c r="AO353" s="2"/>
      <c r="AP353" s="2"/>
      <c r="AQ353" s="2"/>
      <c r="AR353" s="2"/>
      <c r="AS353" s="2"/>
      <c r="AT353" s="2"/>
      <c r="AU353" s="2"/>
      <c r="AV353" s="2"/>
      <c r="AW353" s="2"/>
      <c r="AX353" s="2"/>
      <c r="AY353" s="2"/>
      <c r="AZ353" s="2"/>
      <c r="BA353" s="2"/>
      <c r="BB353" s="2"/>
      <c r="BC353" s="2"/>
      <c r="BD353" s="2"/>
      <c r="BE353" s="2"/>
      <c r="BF353" s="2"/>
      <c r="BG353" s="2"/>
      <c r="BH353" s="2"/>
    </row>
    <row r="354" ht="12.75" customHeight="1">
      <c r="A354" s="1"/>
      <c r="B354" s="2"/>
      <c r="C354" s="2"/>
      <c r="D354" s="2"/>
      <c r="E354" s="3"/>
      <c r="F354" s="2"/>
      <c r="G354" s="2"/>
      <c r="H354" s="2"/>
      <c r="I354" s="6"/>
      <c r="J354" s="6"/>
      <c r="K354" s="5"/>
      <c r="L354" s="3"/>
      <c r="M354" s="3"/>
      <c r="N354" s="4"/>
      <c r="O354" s="5"/>
      <c r="P354" s="314"/>
      <c r="Q354" s="314"/>
      <c r="R354" s="5"/>
      <c r="S354" s="5"/>
      <c r="T354" s="2"/>
      <c r="U354" s="5"/>
      <c r="V354" s="5"/>
      <c r="W354" s="5"/>
      <c r="X354" s="6"/>
      <c r="Y354" s="5"/>
      <c r="Z354" s="5"/>
      <c r="AA354" s="5"/>
      <c r="AB354" s="5"/>
      <c r="AM354" s="5"/>
      <c r="AN354" s="5"/>
      <c r="AO354" s="2"/>
      <c r="AP354" s="2"/>
      <c r="AQ354" s="2"/>
      <c r="AR354" s="2"/>
      <c r="AS354" s="2"/>
      <c r="AT354" s="2"/>
      <c r="AU354" s="2"/>
      <c r="AV354" s="2"/>
      <c r="AW354" s="2"/>
      <c r="AX354" s="2"/>
      <c r="AY354" s="2"/>
      <c r="AZ354" s="2"/>
      <c r="BA354" s="2"/>
      <c r="BB354" s="2"/>
      <c r="BC354" s="2"/>
      <c r="BD354" s="2"/>
      <c r="BE354" s="2"/>
      <c r="BF354" s="2"/>
      <c r="BG354" s="2"/>
      <c r="BH354" s="2"/>
    </row>
    <row r="355" ht="12.75" customHeight="1">
      <c r="A355" s="1"/>
      <c r="B355" s="2"/>
      <c r="C355" s="2"/>
      <c r="D355" s="2"/>
      <c r="E355" s="3"/>
      <c r="F355" s="2"/>
      <c r="G355" s="2"/>
      <c r="H355" s="2"/>
      <c r="I355" s="6"/>
      <c r="J355" s="6"/>
      <c r="K355" s="5"/>
      <c r="L355" s="3"/>
      <c r="M355" s="3"/>
      <c r="N355" s="4"/>
      <c r="O355" s="5"/>
      <c r="P355" s="314"/>
      <c r="Q355" s="314"/>
      <c r="R355" s="5"/>
      <c r="S355" s="5"/>
      <c r="T355" s="2"/>
      <c r="U355" s="5"/>
      <c r="V355" s="5"/>
      <c r="W355" s="5"/>
      <c r="X355" s="6"/>
      <c r="Y355" s="5"/>
      <c r="Z355" s="5"/>
      <c r="AA355" s="5"/>
      <c r="AB355" s="5"/>
      <c r="AM355" s="5"/>
      <c r="AN355" s="5"/>
      <c r="AO355" s="2"/>
      <c r="AP355" s="2"/>
      <c r="AQ355" s="2"/>
      <c r="AR355" s="2"/>
      <c r="AS355" s="2"/>
      <c r="AT355" s="2"/>
      <c r="AU355" s="2"/>
      <c r="AV355" s="2"/>
      <c r="AW355" s="2"/>
      <c r="AX355" s="2"/>
      <c r="AY355" s="2"/>
      <c r="AZ355" s="2"/>
      <c r="BA355" s="2"/>
      <c r="BB355" s="2"/>
      <c r="BC355" s="2"/>
      <c r="BD355" s="2"/>
      <c r="BE355" s="2"/>
      <c r="BF355" s="2"/>
      <c r="BG355" s="2"/>
      <c r="BH355" s="2"/>
    </row>
    <row r="356" ht="12.75" customHeight="1">
      <c r="A356" s="1"/>
      <c r="B356" s="2"/>
      <c r="C356" s="2"/>
      <c r="D356" s="2"/>
      <c r="E356" s="3"/>
      <c r="F356" s="2"/>
      <c r="G356" s="2"/>
      <c r="H356" s="2"/>
      <c r="I356" s="6"/>
      <c r="J356" s="6"/>
      <c r="K356" s="5"/>
      <c r="L356" s="3"/>
      <c r="M356" s="3"/>
      <c r="N356" s="4"/>
      <c r="O356" s="5"/>
      <c r="P356" s="314"/>
      <c r="Q356" s="314"/>
      <c r="R356" s="5"/>
      <c r="S356" s="5"/>
      <c r="T356" s="2"/>
      <c r="U356" s="5"/>
      <c r="V356" s="5"/>
      <c r="W356" s="5"/>
      <c r="X356" s="6"/>
      <c r="Y356" s="5"/>
      <c r="Z356" s="5"/>
      <c r="AA356" s="5"/>
      <c r="AB356" s="5"/>
      <c r="AM356" s="5"/>
      <c r="AN356" s="5"/>
      <c r="AO356" s="2"/>
      <c r="AP356" s="2"/>
      <c r="AQ356" s="2"/>
      <c r="AR356" s="2"/>
      <c r="AS356" s="2"/>
      <c r="AT356" s="2"/>
      <c r="AU356" s="2"/>
      <c r="AV356" s="2"/>
      <c r="AW356" s="2"/>
      <c r="AX356" s="2"/>
      <c r="AY356" s="2"/>
      <c r="AZ356" s="2"/>
      <c r="BA356" s="2"/>
      <c r="BB356" s="2"/>
      <c r="BC356" s="2"/>
      <c r="BD356" s="2"/>
      <c r="BE356" s="2"/>
      <c r="BF356" s="2"/>
      <c r="BG356" s="2"/>
      <c r="BH356" s="2"/>
    </row>
    <row r="357" ht="12.75" customHeight="1">
      <c r="A357" s="1"/>
      <c r="B357" s="2"/>
      <c r="C357" s="2"/>
      <c r="D357" s="2"/>
      <c r="E357" s="3"/>
      <c r="F357" s="2"/>
      <c r="G357" s="2"/>
      <c r="H357" s="2"/>
      <c r="I357" s="6"/>
      <c r="J357" s="6"/>
      <c r="K357" s="5"/>
      <c r="L357" s="3"/>
      <c r="M357" s="3"/>
      <c r="N357" s="4"/>
      <c r="O357" s="5"/>
      <c r="P357" s="314"/>
      <c r="Q357" s="314"/>
      <c r="R357" s="5"/>
      <c r="S357" s="5"/>
      <c r="T357" s="2"/>
      <c r="U357" s="5"/>
      <c r="V357" s="5"/>
      <c r="W357" s="5"/>
      <c r="X357" s="6"/>
      <c r="Y357" s="5"/>
      <c r="Z357" s="5"/>
      <c r="AA357" s="5"/>
      <c r="AB357" s="5"/>
      <c r="AM357" s="5"/>
      <c r="AN357" s="5"/>
      <c r="AO357" s="2"/>
      <c r="AP357" s="2"/>
      <c r="AQ357" s="2"/>
      <c r="AR357" s="2"/>
      <c r="AS357" s="2"/>
      <c r="AT357" s="2"/>
      <c r="AU357" s="2"/>
      <c r="AV357" s="2"/>
      <c r="AW357" s="2"/>
      <c r="AX357" s="2"/>
      <c r="AY357" s="2"/>
      <c r="AZ357" s="2"/>
      <c r="BA357" s="2"/>
      <c r="BB357" s="2"/>
      <c r="BC357" s="2"/>
      <c r="BD357" s="2"/>
      <c r="BE357" s="2"/>
      <c r="BF357" s="2"/>
      <c r="BG357" s="2"/>
      <c r="BH357" s="2"/>
    </row>
    <row r="358" ht="12.75" customHeight="1">
      <c r="A358" s="1"/>
      <c r="B358" s="2"/>
      <c r="C358" s="2"/>
      <c r="D358" s="2"/>
      <c r="E358" s="3"/>
      <c r="F358" s="2"/>
      <c r="G358" s="2"/>
      <c r="H358" s="2"/>
      <c r="I358" s="6"/>
      <c r="J358" s="6"/>
      <c r="K358" s="5"/>
      <c r="L358" s="3"/>
      <c r="M358" s="3"/>
      <c r="N358" s="4"/>
      <c r="O358" s="5"/>
      <c r="P358" s="314"/>
      <c r="Q358" s="314"/>
      <c r="R358" s="5"/>
      <c r="S358" s="5"/>
      <c r="T358" s="2"/>
      <c r="U358" s="5"/>
      <c r="V358" s="5"/>
      <c r="W358" s="5"/>
      <c r="X358" s="6"/>
      <c r="Y358" s="5"/>
      <c r="Z358" s="5"/>
      <c r="AA358" s="5"/>
      <c r="AB358" s="5"/>
      <c r="AM358" s="5"/>
      <c r="AN358" s="5"/>
      <c r="AO358" s="2"/>
      <c r="AP358" s="2"/>
      <c r="AQ358" s="2"/>
      <c r="AR358" s="2"/>
      <c r="AS358" s="2"/>
      <c r="AT358" s="2"/>
      <c r="AU358" s="2"/>
      <c r="AV358" s="2"/>
      <c r="AW358" s="2"/>
      <c r="AX358" s="2"/>
      <c r="AY358" s="2"/>
      <c r="AZ358" s="2"/>
      <c r="BA358" s="2"/>
      <c r="BB358" s="2"/>
      <c r="BC358" s="2"/>
      <c r="BD358" s="2"/>
      <c r="BE358" s="2"/>
      <c r="BF358" s="2"/>
      <c r="BG358" s="2"/>
      <c r="BH358" s="2"/>
    </row>
    <row r="359" ht="12.75" customHeight="1">
      <c r="A359" s="1"/>
      <c r="B359" s="2"/>
      <c r="C359" s="2"/>
      <c r="D359" s="2"/>
      <c r="E359" s="3"/>
      <c r="F359" s="2"/>
      <c r="G359" s="2"/>
      <c r="H359" s="2"/>
      <c r="I359" s="6"/>
      <c r="J359" s="6"/>
      <c r="K359" s="5"/>
      <c r="L359" s="3"/>
      <c r="M359" s="3"/>
      <c r="N359" s="4"/>
      <c r="O359" s="5"/>
      <c r="P359" s="314"/>
      <c r="Q359" s="314"/>
      <c r="R359" s="5"/>
      <c r="S359" s="5"/>
      <c r="T359" s="2"/>
      <c r="U359" s="5"/>
      <c r="V359" s="5"/>
      <c r="W359" s="5"/>
      <c r="X359" s="6"/>
      <c r="Y359" s="5"/>
      <c r="Z359" s="5"/>
      <c r="AA359" s="5"/>
      <c r="AB359" s="5"/>
      <c r="AM359" s="5"/>
      <c r="AN359" s="5"/>
      <c r="AO359" s="2"/>
      <c r="AP359" s="2"/>
      <c r="AQ359" s="2"/>
      <c r="AR359" s="2"/>
      <c r="AS359" s="2"/>
      <c r="AT359" s="2"/>
      <c r="AU359" s="2"/>
      <c r="AV359" s="2"/>
      <c r="AW359" s="2"/>
      <c r="AX359" s="2"/>
      <c r="AY359" s="2"/>
      <c r="AZ359" s="2"/>
      <c r="BA359" s="2"/>
      <c r="BB359" s="2"/>
      <c r="BC359" s="2"/>
      <c r="BD359" s="2"/>
      <c r="BE359" s="2"/>
      <c r="BF359" s="2"/>
      <c r="BG359" s="2"/>
      <c r="BH359" s="2"/>
    </row>
    <row r="360" ht="12.75" customHeight="1">
      <c r="A360" s="1"/>
      <c r="B360" s="2"/>
      <c r="C360" s="2"/>
      <c r="D360" s="2"/>
      <c r="E360" s="3"/>
      <c r="F360" s="2"/>
      <c r="G360" s="2"/>
      <c r="H360" s="2"/>
      <c r="I360" s="6"/>
      <c r="J360" s="6"/>
      <c r="K360" s="5"/>
      <c r="L360" s="3"/>
      <c r="M360" s="3"/>
      <c r="N360" s="4"/>
      <c r="O360" s="5"/>
      <c r="P360" s="314"/>
      <c r="Q360" s="314"/>
      <c r="R360" s="5"/>
      <c r="S360" s="5"/>
      <c r="T360" s="2"/>
      <c r="U360" s="5"/>
      <c r="V360" s="5"/>
      <c r="W360" s="5"/>
      <c r="X360" s="6"/>
      <c r="Y360" s="5"/>
      <c r="Z360" s="5"/>
      <c r="AA360" s="5"/>
      <c r="AB360" s="5"/>
      <c r="AM360" s="5"/>
      <c r="AN360" s="5"/>
      <c r="AO360" s="2"/>
      <c r="AP360" s="2"/>
      <c r="AQ360" s="2"/>
      <c r="AR360" s="2"/>
      <c r="AS360" s="2"/>
      <c r="AT360" s="2"/>
      <c r="AU360" s="2"/>
      <c r="AV360" s="2"/>
      <c r="AW360" s="2"/>
      <c r="AX360" s="2"/>
      <c r="AY360" s="2"/>
      <c r="AZ360" s="2"/>
      <c r="BA360" s="2"/>
      <c r="BB360" s="2"/>
      <c r="BC360" s="2"/>
      <c r="BD360" s="2"/>
      <c r="BE360" s="2"/>
      <c r="BF360" s="2"/>
      <c r="BG360" s="2"/>
      <c r="BH360" s="2"/>
    </row>
    <row r="361" ht="12.75" customHeight="1">
      <c r="A361" s="1"/>
      <c r="B361" s="2"/>
      <c r="C361" s="2"/>
      <c r="D361" s="2"/>
      <c r="E361" s="3"/>
      <c r="F361" s="2"/>
      <c r="G361" s="2"/>
      <c r="H361" s="2"/>
      <c r="I361" s="6"/>
      <c r="J361" s="6"/>
      <c r="K361" s="5"/>
      <c r="L361" s="3"/>
      <c r="M361" s="3"/>
      <c r="N361" s="4"/>
      <c r="O361" s="5"/>
      <c r="P361" s="314"/>
      <c r="Q361" s="314"/>
      <c r="R361" s="5"/>
      <c r="S361" s="5"/>
      <c r="T361" s="2"/>
      <c r="U361" s="5"/>
      <c r="V361" s="5"/>
      <c r="W361" s="5"/>
      <c r="X361" s="6"/>
      <c r="Y361" s="5"/>
      <c r="Z361" s="5"/>
      <c r="AA361" s="5"/>
      <c r="AB361" s="5"/>
      <c r="AM361" s="5"/>
      <c r="AN361" s="5"/>
      <c r="AO361" s="5"/>
      <c r="AP361" s="5"/>
      <c r="AQ361" s="5"/>
      <c r="AR361" s="5"/>
      <c r="AS361" s="5"/>
      <c r="AT361" s="5"/>
      <c r="AU361" s="5"/>
      <c r="AV361" s="5"/>
      <c r="AW361" s="5"/>
      <c r="AX361" s="5"/>
      <c r="AY361" s="5"/>
      <c r="AZ361" s="5"/>
      <c r="BA361" s="5"/>
      <c r="BB361" s="5"/>
      <c r="BC361" s="5"/>
      <c r="BD361" s="5"/>
      <c r="BE361" s="5"/>
      <c r="BF361" s="5"/>
      <c r="BG361" s="5"/>
      <c r="BH361" s="5"/>
    </row>
    <row r="362" ht="12.75" customHeight="1">
      <c r="A362" s="1"/>
      <c r="B362" s="2"/>
      <c r="C362" s="2"/>
      <c r="D362" s="2"/>
      <c r="E362" s="3"/>
      <c r="F362" s="2"/>
      <c r="G362" s="2"/>
      <c r="H362" s="2"/>
      <c r="I362" s="6"/>
      <c r="J362" s="6"/>
      <c r="K362" s="5"/>
      <c r="L362" s="3"/>
      <c r="M362" s="3"/>
      <c r="N362" s="4"/>
      <c r="O362" s="5"/>
      <c r="P362" s="314"/>
      <c r="Q362" s="314"/>
      <c r="R362" s="5"/>
      <c r="S362" s="5"/>
      <c r="T362" s="2"/>
      <c r="U362" s="5"/>
      <c r="V362" s="5"/>
      <c r="W362" s="5"/>
      <c r="X362" s="6"/>
      <c r="Y362" s="5"/>
      <c r="Z362" s="5"/>
      <c r="AA362" s="5"/>
      <c r="AB362" s="5"/>
      <c r="AM362" s="5"/>
      <c r="AN362" s="5"/>
      <c r="AO362" s="5"/>
      <c r="AP362" s="5"/>
      <c r="AQ362" s="5"/>
      <c r="AR362" s="5"/>
      <c r="AS362" s="5"/>
      <c r="AT362" s="5"/>
      <c r="AU362" s="5"/>
      <c r="AV362" s="5"/>
      <c r="AW362" s="5"/>
      <c r="AX362" s="5"/>
      <c r="AY362" s="5"/>
      <c r="AZ362" s="5"/>
      <c r="BA362" s="5"/>
      <c r="BB362" s="5"/>
      <c r="BC362" s="5"/>
      <c r="BD362" s="5"/>
      <c r="BE362" s="5"/>
      <c r="BF362" s="5"/>
      <c r="BG362" s="5"/>
      <c r="BH362" s="5"/>
    </row>
    <row r="363" ht="12.75" customHeight="1">
      <c r="A363" s="1"/>
      <c r="B363" s="2"/>
      <c r="C363" s="2"/>
      <c r="D363" s="2"/>
      <c r="E363" s="3"/>
      <c r="F363" s="2"/>
      <c r="G363" s="2"/>
      <c r="H363" s="2"/>
      <c r="I363" s="6"/>
      <c r="J363" s="6"/>
      <c r="K363" s="5"/>
      <c r="L363" s="3"/>
      <c r="M363" s="3"/>
      <c r="N363" s="4"/>
      <c r="O363" s="5"/>
      <c r="P363" s="314"/>
      <c r="Q363" s="314"/>
      <c r="R363" s="5"/>
      <c r="S363" s="5"/>
      <c r="T363" s="2"/>
      <c r="U363" s="5"/>
      <c r="V363" s="5"/>
      <c r="W363" s="5"/>
      <c r="X363" s="6"/>
      <c r="Y363" s="5"/>
      <c r="Z363" s="5"/>
      <c r="AA363" s="5"/>
      <c r="AB363" s="5"/>
      <c r="AM363" s="5"/>
      <c r="AN363" s="5"/>
      <c r="AO363" s="5"/>
      <c r="AP363" s="5"/>
      <c r="AQ363" s="5"/>
      <c r="AR363" s="5"/>
      <c r="AS363" s="5"/>
      <c r="AT363" s="5"/>
      <c r="AU363" s="5"/>
      <c r="AV363" s="5"/>
      <c r="AW363" s="5"/>
      <c r="AX363" s="5"/>
      <c r="AY363" s="5"/>
      <c r="AZ363" s="5"/>
      <c r="BA363" s="5"/>
      <c r="BB363" s="5"/>
      <c r="BC363" s="5"/>
      <c r="BD363" s="5"/>
      <c r="BE363" s="5"/>
      <c r="BF363" s="5"/>
      <c r="BG363" s="5"/>
      <c r="BH363" s="5"/>
    </row>
    <row r="364" ht="12.75" customHeight="1">
      <c r="A364" s="1"/>
      <c r="B364" s="2"/>
      <c r="C364" s="2"/>
      <c r="D364" s="2"/>
      <c r="E364" s="3"/>
      <c r="F364" s="2"/>
      <c r="G364" s="2"/>
      <c r="H364" s="2"/>
      <c r="I364" s="6"/>
      <c r="J364" s="6"/>
      <c r="K364" s="5"/>
      <c r="L364" s="3"/>
      <c r="M364" s="3"/>
      <c r="N364" s="4"/>
      <c r="O364" s="5"/>
      <c r="P364" s="314"/>
      <c r="Q364" s="314"/>
      <c r="R364" s="5"/>
      <c r="S364" s="5"/>
      <c r="T364" s="2"/>
      <c r="U364" s="5"/>
      <c r="V364" s="5"/>
      <c r="W364" s="5"/>
      <c r="X364" s="6"/>
      <c r="Y364" s="5"/>
      <c r="Z364" s="5"/>
      <c r="AA364" s="5"/>
      <c r="AB364" s="5"/>
      <c r="AM364" s="5"/>
      <c r="AN364" s="5"/>
      <c r="AO364" s="5"/>
      <c r="AP364" s="5"/>
      <c r="AQ364" s="5"/>
      <c r="AR364" s="5"/>
      <c r="AS364" s="5"/>
      <c r="AT364" s="5"/>
      <c r="AU364" s="5"/>
      <c r="AV364" s="5"/>
      <c r="AW364" s="5"/>
      <c r="AX364" s="5"/>
      <c r="AY364" s="5"/>
      <c r="AZ364" s="5"/>
      <c r="BA364" s="5"/>
      <c r="BB364" s="5"/>
      <c r="BC364" s="5"/>
      <c r="BD364" s="5"/>
      <c r="BE364" s="5"/>
      <c r="BF364" s="5"/>
      <c r="BG364" s="5"/>
      <c r="BH364" s="5"/>
    </row>
    <row r="365" ht="12.75" customHeight="1">
      <c r="A365" s="1"/>
      <c r="B365" s="2"/>
      <c r="C365" s="2"/>
      <c r="D365" s="2"/>
      <c r="E365" s="3"/>
      <c r="F365" s="2"/>
      <c r="G365" s="2"/>
      <c r="H365" s="2"/>
      <c r="I365" s="6"/>
      <c r="J365" s="6"/>
      <c r="K365" s="5"/>
      <c r="L365" s="3"/>
      <c r="M365" s="3"/>
      <c r="N365" s="4"/>
      <c r="O365" s="5"/>
      <c r="P365" s="314"/>
      <c r="Q365" s="314"/>
      <c r="R365" s="5"/>
      <c r="S365" s="5"/>
      <c r="T365" s="2"/>
      <c r="U365" s="5"/>
      <c r="V365" s="5"/>
      <c r="W365" s="5"/>
      <c r="X365" s="6"/>
      <c r="Y365" s="5"/>
      <c r="Z365" s="5"/>
      <c r="AA365" s="5"/>
      <c r="AB365" s="5"/>
      <c r="AM365" s="5"/>
      <c r="AN365" s="5"/>
      <c r="AO365" s="5"/>
      <c r="AP365" s="5"/>
      <c r="AQ365" s="5"/>
      <c r="AR365" s="5"/>
      <c r="AS365" s="5"/>
      <c r="AT365" s="5"/>
      <c r="AU365" s="5"/>
      <c r="AV365" s="5"/>
      <c r="AW365" s="5"/>
      <c r="AX365" s="5"/>
      <c r="AY365" s="5"/>
      <c r="AZ365" s="5"/>
      <c r="BA365" s="5"/>
      <c r="BB365" s="5"/>
      <c r="BC365" s="5"/>
      <c r="BD365" s="5"/>
      <c r="BE365" s="5"/>
      <c r="BF365" s="5"/>
      <c r="BG365" s="5"/>
      <c r="BH365" s="5"/>
    </row>
    <row r="366" ht="12.75" customHeight="1">
      <c r="A366" s="1"/>
      <c r="B366" s="2"/>
      <c r="C366" s="2"/>
      <c r="D366" s="2"/>
      <c r="E366" s="3"/>
      <c r="F366" s="2"/>
      <c r="G366" s="2"/>
      <c r="H366" s="2"/>
      <c r="I366" s="6"/>
      <c r="J366" s="6"/>
      <c r="K366" s="5"/>
      <c r="L366" s="3"/>
      <c r="M366" s="3"/>
      <c r="N366" s="4"/>
      <c r="O366" s="5"/>
      <c r="P366" s="314"/>
      <c r="Q366" s="314"/>
      <c r="R366" s="5"/>
      <c r="S366" s="5"/>
      <c r="T366" s="2"/>
      <c r="U366" s="5"/>
      <c r="V366" s="5"/>
      <c r="W366" s="5"/>
      <c r="X366" s="6"/>
      <c r="Y366" s="5"/>
      <c r="Z366" s="5"/>
      <c r="AA366" s="5"/>
      <c r="AB366" s="5"/>
      <c r="AM366" s="5"/>
      <c r="AN366" s="5"/>
      <c r="AO366" s="5"/>
      <c r="AP366" s="5"/>
      <c r="AQ366" s="5"/>
      <c r="AR366" s="5"/>
      <c r="AS366" s="5"/>
      <c r="AT366" s="5"/>
      <c r="AU366" s="5"/>
      <c r="AV366" s="5"/>
      <c r="AW366" s="5"/>
      <c r="AX366" s="5"/>
      <c r="AY366" s="5"/>
      <c r="AZ366" s="5"/>
      <c r="BA366" s="5"/>
      <c r="BB366" s="5"/>
      <c r="BC366" s="5"/>
      <c r="BD366" s="5"/>
      <c r="BE366" s="5"/>
      <c r="BF366" s="5"/>
      <c r="BG366" s="5"/>
      <c r="BH366" s="5"/>
    </row>
    <row r="367" ht="12.75" customHeight="1">
      <c r="A367" s="1"/>
      <c r="B367" s="2"/>
      <c r="C367" s="2"/>
      <c r="D367" s="2"/>
      <c r="E367" s="3"/>
      <c r="F367" s="2"/>
      <c r="G367" s="2"/>
      <c r="H367" s="2"/>
      <c r="I367" s="6"/>
      <c r="J367" s="6"/>
      <c r="K367" s="5"/>
      <c r="L367" s="3"/>
      <c r="M367" s="3"/>
      <c r="N367" s="4"/>
      <c r="O367" s="5"/>
      <c r="P367" s="314"/>
      <c r="Q367" s="314"/>
      <c r="R367" s="5"/>
      <c r="S367" s="5"/>
      <c r="T367" s="2"/>
      <c r="U367" s="5"/>
      <c r="V367" s="5"/>
      <c r="W367" s="5"/>
      <c r="X367" s="6"/>
      <c r="Y367" s="5"/>
      <c r="Z367" s="5"/>
      <c r="AA367" s="5"/>
      <c r="AB367" s="5"/>
      <c r="AM367" s="5"/>
      <c r="AN367" s="5"/>
      <c r="AO367" s="5"/>
      <c r="AP367" s="5"/>
      <c r="AQ367" s="5"/>
      <c r="AR367" s="5"/>
      <c r="AS367" s="5"/>
      <c r="AT367" s="5"/>
      <c r="AU367" s="5"/>
      <c r="AV367" s="5"/>
      <c r="AW367" s="5"/>
      <c r="AX367" s="5"/>
      <c r="AY367" s="5"/>
      <c r="AZ367" s="5"/>
      <c r="BA367" s="5"/>
      <c r="BB367" s="5"/>
      <c r="BC367" s="5"/>
      <c r="BD367" s="5"/>
      <c r="BE367" s="5"/>
      <c r="BF367" s="5"/>
      <c r="BG367" s="5"/>
      <c r="BH367" s="5"/>
    </row>
    <row r="368" ht="12.75" customHeight="1">
      <c r="A368" s="1"/>
      <c r="B368" s="2"/>
      <c r="C368" s="2"/>
      <c r="D368" s="2"/>
      <c r="E368" s="3"/>
      <c r="F368" s="2"/>
      <c r="G368" s="2"/>
      <c r="H368" s="2"/>
      <c r="I368" s="6"/>
      <c r="J368" s="6"/>
      <c r="K368" s="5"/>
      <c r="L368" s="3"/>
      <c r="M368" s="3"/>
      <c r="N368" s="4"/>
      <c r="O368" s="5"/>
      <c r="P368" s="314"/>
      <c r="Q368" s="314"/>
      <c r="R368" s="5"/>
      <c r="S368" s="5"/>
      <c r="T368" s="2"/>
      <c r="U368" s="5"/>
      <c r="V368" s="5"/>
      <c r="W368" s="5"/>
      <c r="X368" s="6"/>
      <c r="Y368" s="5"/>
      <c r="Z368" s="5"/>
      <c r="AA368" s="5"/>
      <c r="AB368" s="5"/>
      <c r="AM368" s="5"/>
      <c r="AN368" s="5"/>
      <c r="AO368" s="5"/>
      <c r="AP368" s="5"/>
      <c r="AQ368" s="5"/>
      <c r="AR368" s="5"/>
      <c r="AS368" s="5"/>
      <c r="AT368" s="5"/>
      <c r="AU368" s="5"/>
      <c r="AV368" s="5"/>
      <c r="AW368" s="5"/>
      <c r="AX368" s="5"/>
      <c r="AY368" s="5"/>
      <c r="AZ368" s="5"/>
      <c r="BA368" s="5"/>
      <c r="BB368" s="5"/>
      <c r="BC368" s="5"/>
      <c r="BD368" s="5"/>
      <c r="BE368" s="5"/>
      <c r="BF368" s="5"/>
      <c r="BG368" s="5"/>
      <c r="BH368" s="5"/>
    </row>
    <row r="369" ht="12.75" customHeight="1">
      <c r="A369" s="1"/>
      <c r="B369" s="2"/>
      <c r="C369" s="2"/>
      <c r="D369" s="2"/>
      <c r="E369" s="3"/>
      <c r="F369" s="2"/>
      <c r="G369" s="2"/>
      <c r="H369" s="2"/>
      <c r="I369" s="6"/>
      <c r="J369" s="6"/>
      <c r="K369" s="5"/>
      <c r="L369" s="3"/>
      <c r="M369" s="3"/>
      <c r="N369" s="4"/>
      <c r="O369" s="5"/>
      <c r="P369" s="314"/>
      <c r="Q369" s="314"/>
      <c r="R369" s="5"/>
      <c r="S369" s="5"/>
      <c r="T369" s="2"/>
      <c r="U369" s="5"/>
      <c r="V369" s="5"/>
      <c r="W369" s="5"/>
      <c r="X369" s="6"/>
      <c r="Y369" s="5"/>
      <c r="Z369" s="5"/>
      <c r="AA369" s="5"/>
      <c r="AB369" s="5"/>
      <c r="AM369" s="5"/>
      <c r="AN369" s="5"/>
      <c r="AO369" s="5"/>
      <c r="AP369" s="5"/>
      <c r="AQ369" s="5"/>
      <c r="AR369" s="5"/>
      <c r="AS369" s="5"/>
      <c r="AT369" s="5"/>
      <c r="AU369" s="5"/>
      <c r="AV369" s="5"/>
      <c r="AW369" s="5"/>
      <c r="AX369" s="5"/>
      <c r="AY369" s="5"/>
      <c r="AZ369" s="5"/>
      <c r="BA369" s="5"/>
      <c r="BB369" s="5"/>
      <c r="BC369" s="5"/>
      <c r="BD369" s="5"/>
      <c r="BE369" s="5"/>
      <c r="BF369" s="5"/>
      <c r="BG369" s="5"/>
      <c r="BH369" s="5"/>
    </row>
    <row r="370" ht="12.75" customHeight="1">
      <c r="A370" s="1"/>
      <c r="B370" s="2"/>
      <c r="C370" s="2"/>
      <c r="D370" s="2"/>
      <c r="E370" s="3"/>
      <c r="F370" s="2"/>
      <c r="G370" s="2"/>
      <c r="H370" s="2"/>
      <c r="I370" s="6"/>
      <c r="J370" s="6"/>
      <c r="K370" s="5"/>
      <c r="L370" s="3"/>
      <c r="M370" s="3"/>
      <c r="N370" s="4"/>
      <c r="O370" s="5"/>
      <c r="P370" s="314"/>
      <c r="Q370" s="314"/>
      <c r="R370" s="5"/>
      <c r="S370" s="5"/>
      <c r="T370" s="2"/>
      <c r="U370" s="5"/>
      <c r="V370" s="5"/>
      <c r="W370" s="5"/>
      <c r="X370" s="6"/>
      <c r="Y370" s="5"/>
      <c r="Z370" s="5"/>
      <c r="AA370" s="5"/>
      <c r="AB370" s="5"/>
      <c r="AM370" s="5"/>
      <c r="AN370" s="5"/>
      <c r="AO370" s="5"/>
      <c r="AP370" s="5"/>
      <c r="AQ370" s="5"/>
      <c r="AR370" s="5"/>
      <c r="AS370" s="5"/>
      <c r="AT370" s="5"/>
      <c r="AU370" s="5"/>
      <c r="AV370" s="5"/>
      <c r="AW370" s="5"/>
      <c r="AX370" s="5"/>
      <c r="AY370" s="5"/>
      <c r="AZ370" s="5"/>
      <c r="BA370" s="5"/>
      <c r="BB370" s="5"/>
      <c r="BC370" s="5"/>
      <c r="BD370" s="5"/>
      <c r="BE370" s="5"/>
      <c r="BF370" s="5"/>
      <c r="BG370" s="5"/>
      <c r="BH370" s="5"/>
    </row>
    <row r="371" ht="12.75" customHeight="1">
      <c r="A371" s="1"/>
      <c r="B371" s="2"/>
      <c r="C371" s="2"/>
      <c r="D371" s="2"/>
      <c r="E371" s="3"/>
      <c r="F371" s="2"/>
      <c r="G371" s="2"/>
      <c r="H371" s="2"/>
      <c r="I371" s="6"/>
      <c r="J371" s="6"/>
      <c r="K371" s="5"/>
      <c r="L371" s="3"/>
      <c r="M371" s="3"/>
      <c r="N371" s="4"/>
      <c r="O371" s="5"/>
      <c r="P371" s="314"/>
      <c r="Q371" s="314"/>
      <c r="R371" s="5"/>
      <c r="S371" s="5"/>
      <c r="T371" s="2"/>
      <c r="U371" s="5"/>
      <c r="V371" s="5"/>
      <c r="W371" s="5"/>
      <c r="X371" s="6"/>
      <c r="Y371" s="5"/>
      <c r="Z371" s="5"/>
      <c r="AA371" s="5"/>
      <c r="AB371" s="5"/>
      <c r="AM371" s="5"/>
      <c r="AN371" s="5"/>
      <c r="AO371" s="5"/>
      <c r="AP371" s="5"/>
      <c r="AQ371" s="5"/>
      <c r="AR371" s="5"/>
      <c r="AS371" s="5"/>
      <c r="AT371" s="5"/>
      <c r="AU371" s="5"/>
      <c r="AV371" s="5"/>
      <c r="AW371" s="5"/>
      <c r="AX371" s="5"/>
      <c r="AY371" s="5"/>
      <c r="AZ371" s="5"/>
      <c r="BA371" s="5"/>
      <c r="BB371" s="5"/>
      <c r="BC371" s="5"/>
      <c r="BD371" s="5"/>
      <c r="BE371" s="5"/>
      <c r="BF371" s="5"/>
      <c r="BG371" s="5"/>
      <c r="BH371" s="5"/>
    </row>
    <row r="372" ht="12.75" customHeight="1">
      <c r="A372" s="1"/>
      <c r="B372" s="2"/>
      <c r="C372" s="2"/>
      <c r="D372" s="2"/>
      <c r="E372" s="3"/>
      <c r="F372" s="2"/>
      <c r="G372" s="2"/>
      <c r="H372" s="2"/>
      <c r="I372" s="6"/>
      <c r="J372" s="6"/>
      <c r="K372" s="5"/>
      <c r="L372" s="3"/>
      <c r="M372" s="3"/>
      <c r="N372" s="4"/>
      <c r="O372" s="5"/>
      <c r="P372" s="314"/>
      <c r="Q372" s="314"/>
      <c r="R372" s="5"/>
      <c r="S372" s="5"/>
      <c r="T372" s="2"/>
      <c r="U372" s="5"/>
      <c r="V372" s="5"/>
      <c r="W372" s="5"/>
      <c r="X372" s="6"/>
      <c r="Y372" s="5"/>
      <c r="Z372" s="5"/>
      <c r="AA372" s="5"/>
      <c r="AB372" s="5"/>
      <c r="AM372" s="5"/>
      <c r="AN372" s="5"/>
      <c r="AO372" s="5"/>
      <c r="AP372" s="5"/>
      <c r="AQ372" s="5"/>
      <c r="AR372" s="5"/>
      <c r="AS372" s="5"/>
      <c r="AT372" s="5"/>
      <c r="AU372" s="5"/>
      <c r="AV372" s="5"/>
      <c r="AW372" s="5"/>
      <c r="AX372" s="5"/>
      <c r="AY372" s="5"/>
      <c r="AZ372" s="5"/>
      <c r="BA372" s="5"/>
      <c r="BB372" s="5"/>
      <c r="BC372" s="5"/>
      <c r="BD372" s="5"/>
      <c r="BE372" s="5"/>
      <c r="BF372" s="5"/>
      <c r="BG372" s="5"/>
      <c r="BH372" s="5"/>
    </row>
    <row r="373" ht="12.75" customHeight="1">
      <c r="A373" s="1"/>
      <c r="B373" s="2"/>
      <c r="C373" s="2"/>
      <c r="D373" s="2"/>
      <c r="E373" s="3"/>
      <c r="F373" s="2"/>
      <c r="G373" s="2"/>
      <c r="H373" s="2"/>
      <c r="I373" s="6"/>
      <c r="J373" s="6"/>
      <c r="K373" s="5"/>
      <c r="L373" s="3"/>
      <c r="M373" s="3"/>
      <c r="N373" s="4"/>
      <c r="O373" s="5"/>
      <c r="P373" s="314"/>
      <c r="Q373" s="314"/>
      <c r="R373" s="5"/>
      <c r="S373" s="5"/>
      <c r="T373" s="2"/>
      <c r="U373" s="5"/>
      <c r="V373" s="5"/>
      <c r="W373" s="5"/>
      <c r="X373" s="6"/>
      <c r="Y373" s="5"/>
      <c r="Z373" s="5"/>
      <c r="AA373" s="5"/>
      <c r="AB373" s="5"/>
      <c r="AM373" s="5"/>
      <c r="AN373" s="5"/>
      <c r="AO373" s="5"/>
      <c r="AP373" s="5"/>
      <c r="AQ373" s="5"/>
      <c r="AR373" s="5"/>
      <c r="AS373" s="5"/>
      <c r="AT373" s="5"/>
      <c r="AU373" s="5"/>
      <c r="AV373" s="5"/>
      <c r="AW373" s="5"/>
      <c r="AX373" s="5"/>
      <c r="AY373" s="5"/>
      <c r="AZ373" s="5"/>
      <c r="BA373" s="5"/>
      <c r="BB373" s="5"/>
      <c r="BC373" s="5"/>
      <c r="BD373" s="5"/>
      <c r="BE373" s="5"/>
      <c r="BF373" s="5"/>
      <c r="BG373" s="5"/>
      <c r="BH373" s="5"/>
    </row>
    <row r="374" ht="12.75" customHeight="1">
      <c r="A374" s="1"/>
      <c r="B374" s="2"/>
      <c r="C374" s="2"/>
      <c r="D374" s="2"/>
      <c r="E374" s="3"/>
      <c r="F374" s="2"/>
      <c r="G374" s="2"/>
      <c r="H374" s="2"/>
      <c r="I374" s="6"/>
      <c r="J374" s="6"/>
      <c r="K374" s="5"/>
      <c r="L374" s="3"/>
      <c r="M374" s="3"/>
      <c r="N374" s="4"/>
      <c r="O374" s="5"/>
      <c r="P374" s="5"/>
      <c r="Q374" s="2"/>
      <c r="R374" s="5"/>
      <c r="S374" s="5"/>
      <c r="T374" s="2"/>
      <c r="U374" s="5"/>
      <c r="V374" s="5"/>
      <c r="W374" s="5"/>
      <c r="X374" s="6"/>
      <c r="Y374" s="5"/>
      <c r="Z374" s="5"/>
      <c r="AA374" s="5"/>
      <c r="AB374" s="5"/>
      <c r="AM374" s="5"/>
      <c r="AN374" s="5"/>
      <c r="AO374" s="5"/>
      <c r="AP374" s="5"/>
      <c r="AQ374" s="5"/>
      <c r="AR374" s="5"/>
      <c r="AS374" s="5"/>
      <c r="AT374" s="5"/>
      <c r="AU374" s="5"/>
      <c r="AV374" s="5"/>
      <c r="AW374" s="5"/>
      <c r="AX374" s="5"/>
      <c r="AY374" s="5"/>
      <c r="AZ374" s="5"/>
      <c r="BA374" s="5"/>
      <c r="BB374" s="5"/>
      <c r="BC374" s="5"/>
      <c r="BD374" s="5"/>
      <c r="BE374" s="5"/>
      <c r="BF374" s="5"/>
      <c r="BG374" s="5"/>
      <c r="BH374" s="5"/>
    </row>
    <row r="375" ht="12.75" customHeight="1">
      <c r="A375" s="1"/>
      <c r="B375" s="2"/>
      <c r="C375" s="2"/>
      <c r="D375" s="2"/>
      <c r="E375" s="3"/>
      <c r="F375" s="2"/>
      <c r="G375" s="2"/>
      <c r="H375" s="2"/>
      <c r="I375" s="6"/>
      <c r="J375" s="6"/>
      <c r="K375" s="5"/>
      <c r="L375" s="3"/>
      <c r="M375" s="3"/>
      <c r="N375" s="4"/>
      <c r="O375" s="5"/>
      <c r="P375" s="5"/>
      <c r="Q375" s="2"/>
      <c r="R375" s="5"/>
      <c r="S375" s="5"/>
      <c r="T375" s="2"/>
      <c r="U375" s="5"/>
      <c r="V375" s="5"/>
      <c r="W375" s="5"/>
      <c r="X375" s="6"/>
      <c r="Y375" s="5"/>
      <c r="Z375" s="5"/>
      <c r="AA375" s="5"/>
      <c r="AB375" s="5"/>
      <c r="AM375" s="5"/>
      <c r="AN375" s="5"/>
      <c r="AO375" s="5"/>
      <c r="AP375" s="5"/>
      <c r="AQ375" s="5"/>
      <c r="AR375" s="5"/>
      <c r="AS375" s="5"/>
      <c r="AT375" s="5"/>
      <c r="AU375" s="5"/>
      <c r="AV375" s="5"/>
      <c r="AW375" s="5"/>
      <c r="AX375" s="5"/>
      <c r="AY375" s="5"/>
      <c r="AZ375" s="5"/>
      <c r="BA375" s="5"/>
      <c r="BB375" s="5"/>
      <c r="BC375" s="5"/>
      <c r="BD375" s="5"/>
      <c r="BE375" s="5"/>
      <c r="BF375" s="5"/>
      <c r="BG375" s="5"/>
      <c r="BH375" s="5"/>
    </row>
    <row r="376" ht="12.75" customHeight="1">
      <c r="A376" s="1"/>
      <c r="B376" s="2"/>
      <c r="C376" s="2"/>
      <c r="D376" s="2"/>
      <c r="E376" s="3"/>
      <c r="F376" s="2"/>
      <c r="G376" s="2"/>
      <c r="H376" s="2"/>
      <c r="I376" s="6"/>
      <c r="J376" s="6"/>
      <c r="K376" s="5"/>
      <c r="L376" s="3"/>
      <c r="M376" s="3"/>
      <c r="N376" s="4"/>
      <c r="O376" s="5"/>
      <c r="P376" s="5"/>
      <c r="Q376" s="2"/>
      <c r="R376" s="5"/>
      <c r="S376" s="5"/>
      <c r="T376" s="2"/>
      <c r="U376" s="5"/>
      <c r="V376" s="5"/>
      <c r="W376" s="5"/>
      <c r="X376" s="6"/>
      <c r="Y376" s="5"/>
      <c r="Z376" s="5"/>
      <c r="AA376" s="5"/>
      <c r="AB376" s="5"/>
      <c r="AM376" s="5"/>
      <c r="AN376" s="5"/>
      <c r="AO376" s="5"/>
      <c r="AP376" s="5"/>
      <c r="AQ376" s="5"/>
      <c r="AR376" s="5"/>
      <c r="AS376" s="5"/>
      <c r="AT376" s="5"/>
      <c r="AU376" s="5"/>
      <c r="AV376" s="5"/>
      <c r="AW376" s="5"/>
      <c r="AX376" s="5"/>
      <c r="AY376" s="5"/>
      <c r="AZ376" s="5"/>
      <c r="BA376" s="5"/>
      <c r="BB376" s="5"/>
      <c r="BC376" s="5"/>
      <c r="BD376" s="5"/>
      <c r="BE376" s="5"/>
      <c r="BF376" s="5"/>
      <c r="BG376" s="5"/>
      <c r="BH376" s="5"/>
    </row>
    <row r="377" ht="12.75" customHeight="1">
      <c r="A377" s="1"/>
      <c r="B377" s="2"/>
      <c r="C377" s="2"/>
      <c r="D377" s="2"/>
      <c r="E377" s="3"/>
      <c r="F377" s="2"/>
      <c r="G377" s="2"/>
      <c r="H377" s="2"/>
      <c r="I377" s="6"/>
      <c r="J377" s="6"/>
      <c r="K377" s="5"/>
      <c r="L377" s="3"/>
      <c r="M377" s="3"/>
      <c r="N377" s="4"/>
      <c r="O377" s="5"/>
      <c r="P377" s="5"/>
      <c r="Q377" s="2"/>
      <c r="R377" s="5"/>
      <c r="S377" s="5"/>
      <c r="T377" s="2"/>
      <c r="U377" s="5"/>
      <c r="V377" s="5"/>
      <c r="W377" s="5"/>
      <c r="X377" s="6"/>
      <c r="Y377" s="5"/>
      <c r="Z377" s="5"/>
      <c r="AA377" s="5"/>
      <c r="AB377" s="5"/>
      <c r="AM377" s="5"/>
      <c r="AN377" s="5"/>
      <c r="AO377" s="5"/>
      <c r="AP377" s="5"/>
      <c r="AQ377" s="5"/>
      <c r="AR377" s="5"/>
      <c r="AS377" s="5"/>
      <c r="AT377" s="5"/>
      <c r="AU377" s="5"/>
      <c r="AV377" s="5"/>
      <c r="AW377" s="5"/>
      <c r="AX377" s="5"/>
      <c r="AY377" s="5"/>
      <c r="AZ377" s="5"/>
      <c r="BA377" s="5"/>
      <c r="BB377" s="5"/>
      <c r="BC377" s="5"/>
      <c r="BD377" s="5"/>
      <c r="BE377" s="5"/>
      <c r="BF377" s="5"/>
      <c r="BG377" s="5"/>
      <c r="BH377" s="5"/>
    </row>
    <row r="378" ht="12.75" customHeight="1">
      <c r="A378" s="1"/>
      <c r="B378" s="2"/>
      <c r="C378" s="2"/>
      <c r="D378" s="2"/>
      <c r="E378" s="3"/>
      <c r="F378" s="2"/>
      <c r="G378" s="2"/>
      <c r="H378" s="2"/>
      <c r="I378" s="2"/>
      <c r="J378" s="2"/>
      <c r="K378" s="2"/>
      <c r="L378" s="3"/>
      <c r="M378" s="3"/>
      <c r="N378" s="4"/>
      <c r="O378" s="5"/>
      <c r="P378" s="2"/>
      <c r="Q378" s="2"/>
      <c r="R378" s="5"/>
      <c r="S378" s="5"/>
      <c r="T378" s="2"/>
      <c r="U378" s="5"/>
      <c r="V378" s="5"/>
      <c r="W378" s="5"/>
      <c r="X378" s="6"/>
      <c r="Y378" s="5"/>
      <c r="Z378" s="5"/>
      <c r="AA378" s="5"/>
      <c r="AB378" s="5"/>
      <c r="AM378" s="5"/>
      <c r="AN378" s="5"/>
      <c r="AO378" s="2"/>
      <c r="AP378" s="2"/>
      <c r="AQ378" s="2"/>
      <c r="AR378" s="2"/>
      <c r="AS378" s="2"/>
      <c r="AT378" s="2"/>
      <c r="AU378" s="2"/>
      <c r="AV378" s="2"/>
      <c r="AW378" s="2"/>
      <c r="AX378" s="2"/>
      <c r="AY378" s="2"/>
      <c r="AZ378" s="2"/>
      <c r="BA378" s="2"/>
      <c r="BB378" s="2"/>
      <c r="BC378" s="2"/>
      <c r="BD378" s="2"/>
      <c r="BE378" s="2"/>
      <c r="BF378" s="2"/>
      <c r="BG378" s="2"/>
      <c r="BH378" s="2"/>
    </row>
    <row r="379" ht="12.75" customHeight="1">
      <c r="A379" s="1"/>
      <c r="B379" s="2"/>
      <c r="C379" s="2"/>
      <c r="D379" s="2"/>
      <c r="E379" s="3"/>
      <c r="F379" s="2"/>
      <c r="G379" s="2"/>
      <c r="H379" s="2"/>
      <c r="I379" s="2"/>
      <c r="J379" s="2"/>
      <c r="K379" s="2"/>
      <c r="L379" s="3"/>
      <c r="M379" s="3"/>
      <c r="N379" s="4"/>
      <c r="O379" s="2"/>
      <c r="P379" s="2"/>
      <c r="Q379" s="2"/>
      <c r="R379" s="5"/>
      <c r="S379" s="5"/>
      <c r="T379" s="2"/>
      <c r="U379" s="5"/>
      <c r="V379" s="5"/>
      <c r="W379" s="5"/>
      <c r="X379" s="6"/>
      <c r="Y379" s="5"/>
      <c r="Z379" s="5"/>
      <c r="AA379" s="5"/>
      <c r="AB379" s="5"/>
      <c r="AM379" s="5"/>
      <c r="AN379" s="5"/>
      <c r="AO379" s="2"/>
      <c r="AP379" s="2"/>
      <c r="AQ379" s="2"/>
      <c r="AR379" s="2"/>
      <c r="AS379" s="2"/>
      <c r="AT379" s="2"/>
      <c r="AU379" s="2"/>
      <c r="AV379" s="2"/>
      <c r="AW379" s="2"/>
      <c r="AX379" s="2"/>
      <c r="AY379" s="2"/>
      <c r="AZ379" s="2"/>
      <c r="BA379" s="2"/>
      <c r="BB379" s="2"/>
      <c r="BC379" s="2"/>
      <c r="BD379" s="2"/>
      <c r="BE379" s="2"/>
      <c r="BF379" s="2"/>
      <c r="BG379" s="2"/>
      <c r="BH379" s="2"/>
    </row>
    <row r="380" ht="12.75" customHeight="1">
      <c r="A380" s="1"/>
      <c r="B380" s="267"/>
      <c r="C380" s="267"/>
      <c r="D380" s="267"/>
      <c r="E380" s="581"/>
      <c r="F380" s="267"/>
      <c r="G380" s="267"/>
      <c r="H380" s="267"/>
      <c r="I380" s="267"/>
      <c r="J380" s="267"/>
      <c r="K380" s="267"/>
      <c r="L380" s="581"/>
      <c r="M380" s="581"/>
      <c r="N380" s="582"/>
      <c r="O380" s="267"/>
      <c r="P380" s="267"/>
      <c r="Q380" s="267"/>
      <c r="R380" s="5"/>
      <c r="S380" s="5"/>
      <c r="T380" s="2"/>
      <c r="U380" s="5"/>
      <c r="V380" s="5"/>
      <c r="W380" s="5"/>
      <c r="X380" s="6"/>
      <c r="Y380" s="5"/>
      <c r="Z380" s="5"/>
      <c r="AA380" s="5"/>
      <c r="AB380" s="260"/>
      <c r="AM380" s="260"/>
      <c r="AN380" s="260"/>
      <c r="AO380" s="267"/>
      <c r="AP380" s="267"/>
      <c r="AQ380" s="267"/>
      <c r="AR380" s="267"/>
      <c r="AS380" s="267"/>
      <c r="AT380" s="267"/>
      <c r="AU380" s="267"/>
      <c r="AV380" s="267"/>
      <c r="AW380" s="267"/>
      <c r="AX380" s="267"/>
      <c r="AY380" s="267"/>
      <c r="AZ380" s="267"/>
      <c r="BA380" s="267"/>
      <c r="BB380" s="267"/>
      <c r="BC380" s="267"/>
      <c r="BD380" s="267"/>
      <c r="BE380" s="267"/>
      <c r="BF380" s="267"/>
      <c r="BG380" s="267"/>
      <c r="BH380" s="267"/>
    </row>
    <row r="381" ht="12.75" customHeight="1">
      <c r="A381" s="1"/>
      <c r="B381" s="267"/>
      <c r="C381" s="267"/>
      <c r="D381" s="267"/>
      <c r="E381" s="581"/>
      <c r="F381" s="267"/>
      <c r="G381" s="267"/>
      <c r="H381" s="267"/>
      <c r="I381" s="267"/>
      <c r="J381" s="267"/>
      <c r="K381" s="267"/>
      <c r="L381" s="581"/>
      <c r="M381" s="581"/>
      <c r="N381" s="582"/>
      <c r="O381" s="267"/>
      <c r="P381" s="267"/>
      <c r="Q381" s="267"/>
      <c r="R381" s="5"/>
      <c r="S381" s="5"/>
      <c r="T381" s="2"/>
      <c r="U381" s="5"/>
      <c r="V381" s="5"/>
      <c r="W381" s="5"/>
      <c r="X381" s="2"/>
      <c r="Y381" s="5"/>
      <c r="Z381" s="5"/>
      <c r="AA381" s="5"/>
      <c r="AB381" s="260"/>
      <c r="AM381" s="260"/>
      <c r="AN381" s="260"/>
      <c r="AO381" s="267"/>
      <c r="AP381" s="267"/>
      <c r="AQ381" s="267"/>
      <c r="AR381" s="267"/>
      <c r="AS381" s="267"/>
      <c r="AT381" s="267"/>
      <c r="AU381" s="267"/>
      <c r="AV381" s="267"/>
      <c r="AW381" s="267"/>
      <c r="AX381" s="267"/>
      <c r="AY381" s="267"/>
      <c r="AZ381" s="267"/>
      <c r="BA381" s="267"/>
      <c r="BB381" s="267"/>
      <c r="BC381" s="267"/>
      <c r="BD381" s="267"/>
      <c r="BE381" s="267"/>
      <c r="BF381" s="267"/>
      <c r="BG381" s="267"/>
      <c r="BH381" s="267"/>
    </row>
    <row r="382" ht="12.75" customHeight="1">
      <c r="A382" s="1"/>
      <c r="B382" s="267"/>
      <c r="C382" s="267"/>
      <c r="D382" s="267"/>
      <c r="E382" s="581"/>
      <c r="F382" s="267"/>
      <c r="G382" s="267"/>
      <c r="H382" s="267"/>
      <c r="I382" s="267"/>
      <c r="J382" s="267"/>
      <c r="K382" s="267"/>
      <c r="L382" s="581"/>
      <c r="M382" s="581"/>
      <c r="N382" s="582"/>
      <c r="O382" s="267"/>
      <c r="P382" s="267"/>
      <c r="Q382" s="267"/>
      <c r="R382" s="5"/>
      <c r="S382" s="5"/>
      <c r="T382" s="2"/>
      <c r="U382" s="5"/>
      <c r="V382" s="5"/>
      <c r="W382" s="5"/>
      <c r="X382" s="2"/>
      <c r="Y382" s="5"/>
      <c r="Z382" s="5"/>
      <c r="AA382" s="5"/>
      <c r="AB382" s="260"/>
      <c r="AM382" s="260"/>
      <c r="AN382" s="260"/>
      <c r="AO382" s="267"/>
      <c r="AP382" s="267"/>
      <c r="AQ382" s="267"/>
      <c r="AR382" s="267"/>
      <c r="AS382" s="267"/>
      <c r="AT382" s="267"/>
      <c r="AU382" s="267"/>
      <c r="AV382" s="267"/>
      <c r="AW382" s="267"/>
      <c r="AX382" s="267"/>
      <c r="AY382" s="267"/>
      <c r="AZ382" s="267"/>
      <c r="BA382" s="267"/>
      <c r="BB382" s="267"/>
      <c r="BC382" s="267"/>
      <c r="BD382" s="267"/>
      <c r="BE382" s="267"/>
      <c r="BF382" s="267"/>
      <c r="BG382" s="267"/>
      <c r="BH382" s="267"/>
    </row>
    <row r="383" ht="12.75" customHeight="1">
      <c r="A383" s="1"/>
      <c r="B383" s="267"/>
      <c r="C383" s="267"/>
      <c r="D383" s="267"/>
      <c r="E383" s="581"/>
      <c r="F383" s="267"/>
      <c r="G383" s="267"/>
      <c r="H383" s="267"/>
      <c r="I383" s="267"/>
      <c r="J383" s="267"/>
      <c r="K383" s="267"/>
      <c r="L383" s="581"/>
      <c r="M383" s="581"/>
      <c r="N383" s="582"/>
      <c r="O383" s="267"/>
      <c r="P383" s="267"/>
      <c r="Q383" s="267"/>
      <c r="R383" s="5"/>
      <c r="S383" s="5"/>
      <c r="T383" s="2"/>
      <c r="U383" s="5"/>
      <c r="V383" s="5"/>
      <c r="W383" s="5"/>
      <c r="X383" s="2"/>
      <c r="Y383" s="5"/>
      <c r="Z383" s="5"/>
      <c r="AA383" s="5"/>
      <c r="AB383" s="260"/>
      <c r="AM383" s="260"/>
      <c r="AN383" s="260"/>
      <c r="AO383" s="267"/>
      <c r="AP383" s="267"/>
      <c r="AQ383" s="267"/>
      <c r="AR383" s="267"/>
      <c r="AS383" s="267"/>
      <c r="AT383" s="267"/>
      <c r="AU383" s="267"/>
      <c r="AV383" s="267"/>
      <c r="AW383" s="267"/>
      <c r="AX383" s="267"/>
      <c r="AY383" s="267"/>
      <c r="AZ383" s="267"/>
      <c r="BA383" s="267"/>
      <c r="BB383" s="267"/>
      <c r="BC383" s="267"/>
      <c r="BD383" s="267"/>
      <c r="BE383" s="267"/>
      <c r="BF383" s="267"/>
      <c r="BG383" s="267"/>
      <c r="BH383" s="267"/>
    </row>
    <row r="384" ht="12.75" customHeight="1">
      <c r="A384" s="1"/>
      <c r="B384" s="267"/>
      <c r="C384" s="267"/>
      <c r="D384" s="267"/>
      <c r="E384" s="581"/>
      <c r="F384" s="267"/>
      <c r="G384" s="267"/>
      <c r="H384" s="267"/>
      <c r="I384" s="267"/>
      <c r="J384" s="267"/>
      <c r="K384" s="267"/>
      <c r="L384" s="581"/>
      <c r="M384" s="581"/>
      <c r="N384" s="582"/>
      <c r="O384" s="267"/>
      <c r="P384" s="267"/>
      <c r="Q384" s="267"/>
      <c r="R384" s="5"/>
      <c r="S384" s="5"/>
      <c r="T384" s="2"/>
      <c r="U384" s="5"/>
      <c r="V384" s="5"/>
      <c r="W384" s="5"/>
      <c r="X384" s="2"/>
      <c r="Y384" s="5"/>
      <c r="Z384" s="5"/>
      <c r="AA384" s="5"/>
      <c r="AB384" s="260"/>
      <c r="AM384" s="260"/>
      <c r="AN384" s="260"/>
      <c r="AO384" s="267"/>
      <c r="AP384" s="267"/>
      <c r="AQ384" s="267"/>
      <c r="AR384" s="267"/>
      <c r="AS384" s="267"/>
      <c r="AT384" s="267"/>
      <c r="AU384" s="267"/>
      <c r="AV384" s="267"/>
      <c r="AW384" s="267"/>
      <c r="AX384" s="267"/>
      <c r="AY384" s="267"/>
      <c r="AZ384" s="267"/>
      <c r="BA384" s="267"/>
      <c r="BB384" s="267"/>
      <c r="BC384" s="267"/>
      <c r="BD384" s="267"/>
      <c r="BE384" s="267"/>
      <c r="BF384" s="267"/>
      <c r="BG384" s="267"/>
      <c r="BH384" s="267"/>
    </row>
    <row r="385" ht="12.75" customHeight="1">
      <c r="A385" s="1"/>
      <c r="B385" s="267"/>
      <c r="C385" s="267"/>
      <c r="D385" s="267"/>
      <c r="E385" s="581"/>
      <c r="F385" s="267"/>
      <c r="G385" s="267"/>
      <c r="H385" s="267"/>
      <c r="I385" s="267"/>
      <c r="J385" s="267"/>
      <c r="K385" s="267"/>
      <c r="L385" s="581"/>
      <c r="M385" s="581"/>
      <c r="N385" s="582"/>
      <c r="O385" s="267"/>
      <c r="P385" s="267"/>
      <c r="Q385" s="267"/>
      <c r="R385" s="5"/>
      <c r="S385" s="5"/>
      <c r="T385" s="2"/>
      <c r="U385" s="5"/>
      <c r="V385" s="5"/>
      <c r="W385" s="5"/>
      <c r="X385" s="2"/>
      <c r="Y385" s="5"/>
      <c r="Z385" s="5"/>
      <c r="AA385" s="5"/>
      <c r="AB385" s="260"/>
      <c r="AM385" s="260"/>
      <c r="AN385" s="260"/>
      <c r="AO385" s="267"/>
      <c r="AP385" s="267"/>
      <c r="AQ385" s="267"/>
      <c r="AR385" s="267"/>
      <c r="AS385" s="267"/>
      <c r="AT385" s="267"/>
      <c r="AU385" s="267"/>
      <c r="AV385" s="267"/>
      <c r="AW385" s="267"/>
      <c r="AX385" s="267"/>
      <c r="AY385" s="267"/>
      <c r="AZ385" s="267"/>
      <c r="BA385" s="267"/>
      <c r="BB385" s="267"/>
      <c r="BC385" s="267"/>
      <c r="BD385" s="267"/>
      <c r="BE385" s="267"/>
      <c r="BF385" s="267"/>
      <c r="BG385" s="267"/>
      <c r="BH385" s="267"/>
    </row>
    <row r="386" ht="12.75" customHeight="1">
      <c r="A386" s="1"/>
      <c r="B386" s="267"/>
      <c r="C386" s="267"/>
      <c r="D386" s="267"/>
      <c r="E386" s="581"/>
      <c r="F386" s="267"/>
      <c r="G386" s="267"/>
      <c r="H386" s="267"/>
      <c r="I386" s="267"/>
      <c r="J386" s="267"/>
      <c r="K386" s="267"/>
      <c r="L386" s="581"/>
      <c r="M386" s="581"/>
      <c r="N386" s="582"/>
      <c r="O386" s="267"/>
      <c r="P386" s="267"/>
      <c r="Q386" s="267"/>
      <c r="R386" s="5"/>
      <c r="S386" s="5"/>
      <c r="T386" s="2"/>
      <c r="U386" s="5"/>
      <c r="V386" s="5"/>
      <c r="W386" s="5"/>
      <c r="X386" s="2"/>
      <c r="Y386" s="5"/>
      <c r="Z386" s="5"/>
      <c r="AA386" s="5"/>
      <c r="AB386" s="260"/>
      <c r="AM386" s="260"/>
      <c r="AN386" s="260"/>
      <c r="AO386" s="267"/>
      <c r="AP386" s="267"/>
      <c r="AQ386" s="267"/>
      <c r="AR386" s="267"/>
      <c r="AS386" s="267"/>
      <c r="AT386" s="267"/>
      <c r="AU386" s="267"/>
      <c r="AV386" s="267"/>
      <c r="AW386" s="267"/>
      <c r="AX386" s="267"/>
      <c r="AY386" s="267"/>
      <c r="AZ386" s="267"/>
      <c r="BA386" s="267"/>
      <c r="BB386" s="267"/>
      <c r="BC386" s="267"/>
      <c r="BD386" s="267"/>
      <c r="BE386" s="267"/>
      <c r="BF386" s="267"/>
      <c r="BG386" s="267"/>
      <c r="BH386" s="267"/>
    </row>
  </sheetData>
  <autoFilter ref="$A$1:$BH$347"/>
  <mergeCells count="22">
    <mergeCell ref="G11:G12"/>
    <mergeCell ref="H11:H12"/>
    <mergeCell ref="I11:I12"/>
    <mergeCell ref="J11:J12"/>
    <mergeCell ref="K11:K12"/>
    <mergeCell ref="M11:P11"/>
    <mergeCell ref="Q11:Q12"/>
    <mergeCell ref="R11:T11"/>
    <mergeCell ref="V11:W11"/>
    <mergeCell ref="AJ11:AJ12"/>
    <mergeCell ref="AM11:AM12"/>
    <mergeCell ref="AN11:AN12"/>
    <mergeCell ref="AO11:AO12"/>
    <mergeCell ref="AP11:AP12"/>
    <mergeCell ref="B2:AK7"/>
    <mergeCell ref="K8:AK9"/>
    <mergeCell ref="B11:B12"/>
    <mergeCell ref="C11:C12"/>
    <mergeCell ref="D11:D12"/>
    <mergeCell ref="E11:E12"/>
    <mergeCell ref="F11:F12"/>
    <mergeCell ref="AK11:AK12"/>
  </mergeCells>
  <conditionalFormatting sqref="D16:D124 D129:D148">
    <cfRule type="cellIs" dxfId="0" priority="1" operator="equal">
      <formula>"Takeoff"</formula>
    </cfRule>
  </conditionalFormatting>
  <dataValidations>
    <dataValidation type="list" allowBlank="1" showDropDown="1" showErrorMessage="1" sqref="D17:D55 D58:D62 D65:D67 D70:D90 D92:D96 D98:D102 D105:D108 D132 D137 D141 D143:D144 D147">
      <formula1>'New Spotswood College'!$R$188:$R$282</formula1>
    </dataValidation>
    <dataValidation type="list" allowBlank="1" showDropDown="1" showErrorMessage="1" sqref="D109:D110 D112">
      <formula1>'Audit Check'!$Q$3:$Q324</formula1>
    </dataValidation>
    <dataValidation type="list" allowBlank="1" showDropDown="1" showErrorMessage="1" sqref="D129 D134">
      <formula1>'Audit Check'!$Q$3:$Q395</formula1>
    </dataValidation>
    <dataValidation type="list" allowBlank="1" showDropDown="1" showErrorMessage="1" sqref="D138:D140">
      <formula1>'Audit Check'!$Q$3:$Q271</formula1>
    </dataValidation>
    <dataValidation type="list" allowBlank="1" showDropDown="1" showErrorMessage="1" sqref="D10">
      <formula1>'Audit Check'!$O$4:$O$5</formula1>
    </dataValidation>
    <dataValidation type="list" allowBlank="1" showDropDown="1" sqref="F17 F37 F68 F70 F73 F77:F90 F92:F96 F98:F101 F103:F107 F109:F117 F119:F124 F137:F140">
      <formula1>'Audit Check'!$L$2:$L$47</formula1>
    </dataValidation>
    <dataValidation type="list" allowBlank="1" showDropDown="1" showErrorMessage="1" sqref="F18:F36 F38:F55 F58:F62 F65:F67 F69 F71:F72 F74:F76 F91 F97 F102 F108 F125 F127:F136 F141:F148">
      <formula1>'Audit Check'!$L$2:$L$47</formula1>
    </dataValidation>
    <dataValidation type="list" allowBlank="1" showDropDown="1" showErrorMessage="1" sqref="D121:D124">
      <formula1>'Audit Check'!$Q$3:$Q331</formula1>
    </dataValidation>
    <dataValidation type="list" allowBlank="1" showDropDown="1" showErrorMessage="1" sqref="R188:R274">
      <formula1>'Audit Check'!$Q$3:$Q312</formula1>
    </dataValidation>
    <dataValidation type="list" allowBlank="1" showDropDown="1" showErrorMessage="1" sqref="D114:D115">
      <formula1>'Audit Check'!$Q$3:$Q332</formula1>
    </dataValidation>
    <dataValidation type="list" allowBlank="1" showDropDown="1" showErrorMessage="1" sqref="J17:J55 J58:J62 J65:J67 J70:J90 J92:J96 J98:J102 J105:J110 J112 J114:J115 J119:J124 J137:J141 J143:J144 J147">
      <formula1>'Audit Check'!$O$2:$O$3</formula1>
    </dataValidation>
    <dataValidation type="list" allowBlank="1" showDropDown="1" showErrorMessage="1" sqref="D130:D131">
      <formula1>'Audit Check'!$Q$3:$Q393</formula1>
    </dataValidation>
    <dataValidation type="list" allowBlank="1" showDropDown="1" showErrorMessage="1" sqref="D119:D120">
      <formula1>'Audit Check'!$Q$3:$Q331</formula1>
    </dataValidation>
  </dataValidation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fitToPage="1"/>
  </sheetPr>
  <sheetViews>
    <sheetView workbookViewId="0">
      <pane ySplit="13.0" topLeftCell="A14" activePane="bottomLeft" state="frozen"/>
      <selection activeCell="B15" sqref="B15" pane="bottomLeft"/>
    </sheetView>
  </sheetViews>
  <sheetFormatPr customHeight="1" defaultColWidth="14.43" defaultRowHeight="15.0" outlineLevelCol="2"/>
  <cols>
    <col customWidth="1" min="1" max="1" width="3.14"/>
    <col customWidth="1" min="2" max="2" width="21.71"/>
    <col customWidth="1" min="3" max="3" width="70.57"/>
    <col customWidth="1" min="4" max="4" width="20.57"/>
    <col customWidth="1" min="5" max="5" width="9.86"/>
    <col customWidth="1" min="6" max="6" width="9.57" outlineLevel="1"/>
    <col customWidth="1" min="7" max="7" width="15.29" outlineLevel="1"/>
    <col customWidth="1" min="8" max="8" width="8.29" outlineLevel="1"/>
    <col customWidth="1" min="9" max="9" width="20.57" outlineLevel="2"/>
    <col customWidth="1" min="10" max="10" width="15.71" outlineLevel="2"/>
    <col customWidth="1" min="11" max="11" width="14.71" outlineLevel="1"/>
    <col customWidth="1" min="12" max="12" width="11.71" outlineLevel="1"/>
    <col customWidth="1" min="13" max="13" width="12.29" outlineLevel="1"/>
    <col customWidth="1" min="14" max="14" width="14.71" outlineLevel="1"/>
    <col customWidth="1" min="15" max="15" width="10.0" outlineLevel="1"/>
    <col customWidth="1" min="16" max="16" width="11.43" outlineLevel="1"/>
    <col customWidth="1" min="17" max="17" width="18.0"/>
    <col customWidth="1" min="18" max="18" width="21.29" outlineLevel="1"/>
    <col customWidth="1" min="19" max="19" width="13.29" outlineLevel="1"/>
    <col customWidth="1" min="20" max="20" width="14.71" outlineLevel="1"/>
    <col customWidth="1" min="21" max="21" width="14.86" outlineLevel="1"/>
    <col customWidth="1" min="22" max="22" width="17.29" outlineLevel="1"/>
    <col customWidth="1" min="23" max="23" width="19.43" outlineLevel="1"/>
    <col customWidth="1" min="24" max="24" width="21.14" outlineLevel="1"/>
    <col customWidth="1" min="25" max="25" width="10.0" outlineLevel="1"/>
    <col customWidth="1" min="26" max="26" width="15.43" outlineLevel="1"/>
    <col customWidth="1" min="27" max="27" width="11.14" outlineLevel="1"/>
    <col customWidth="1" min="28" max="28" width="16.14" outlineLevel="1"/>
    <col customWidth="1" min="29" max="29" width="16.86" outlineLevel="1"/>
    <col customWidth="1" min="30" max="31" width="17.29" outlineLevel="1"/>
    <col customWidth="1" min="32" max="32" width="20.57" outlineLevel="1"/>
    <col customWidth="1" min="33" max="33" width="14.57" outlineLevel="1"/>
    <col customWidth="1" min="34" max="34" width="15.29" outlineLevel="1"/>
    <col customWidth="1" min="35" max="35" width="8.57" outlineLevel="1"/>
    <col customWidth="1" min="36" max="36" width="19.43"/>
    <col customWidth="1" min="37" max="38" width="21.14"/>
    <col customWidth="1" min="39" max="39" width="14.0"/>
    <col customWidth="1" min="40" max="40" width="14.29"/>
    <col customWidth="1" min="41" max="41" width="20.57"/>
    <col customWidth="1" min="42" max="42" width="11.57"/>
    <col customWidth="1" min="43" max="43" width="17.43"/>
    <col customWidth="1" min="44" max="44" width="20.0"/>
    <col customWidth="1" min="45" max="45" width="7.43"/>
    <col customWidth="1" min="46" max="46" width="13.43"/>
    <col customWidth="1" min="47" max="47" width="7.86"/>
    <col customWidth="1" min="48" max="48" width="5.86"/>
    <col customWidth="1" min="49" max="49" width="19.43"/>
    <col customWidth="1" min="50" max="50" width="21.14"/>
    <col customWidth="1" min="51" max="51" width="7.0"/>
    <col customWidth="1" min="52" max="52" width="10.14"/>
    <col customWidth="1" min="53" max="72" width="9.14"/>
  </cols>
  <sheetData>
    <row r="1" ht="12.75" customHeight="1">
      <c r="A1" s="583"/>
      <c r="B1" s="584"/>
      <c r="C1" s="584"/>
      <c r="D1" s="584"/>
      <c r="E1" s="585"/>
      <c r="F1" s="586"/>
      <c r="G1" s="587"/>
      <c r="H1" s="584"/>
      <c r="I1" s="584"/>
      <c r="J1" s="584"/>
      <c r="K1" s="586"/>
      <c r="L1" s="588"/>
      <c r="M1" s="588"/>
      <c r="N1" s="589"/>
      <c r="O1" s="584"/>
      <c r="P1" s="586"/>
      <c r="Q1" s="590"/>
      <c r="R1" s="591" t="str">
        <f>IFERROR(
  IF(B1="", "", VLOOKUP(B1, Data!$B$2:$K$905, 9, FALSE)),
  ""
)</f>
        <v/>
      </c>
      <c r="S1" s="592"/>
      <c r="T1" s="593"/>
      <c r="U1" s="591" t="str">
        <f>IFERROR(
  IF(B1="", "", VLOOKUP(B1, Data!$B$2:$K$905, 10, FALSE)),
  ""
)
</f>
        <v/>
      </c>
      <c r="V1" s="594"/>
      <c r="W1" s="595"/>
      <c r="X1" s="584"/>
      <c r="Y1" s="595"/>
      <c r="Z1" s="595"/>
      <c r="AA1" s="595"/>
      <c r="AB1" s="354"/>
      <c r="AC1" s="584"/>
      <c r="AD1" s="595"/>
      <c r="AE1" s="595"/>
      <c r="AF1" s="443"/>
      <c r="AG1" s="354"/>
      <c r="AH1" s="595"/>
      <c r="AI1" s="595"/>
      <c r="AJ1" s="595"/>
      <c r="AK1" s="595"/>
      <c r="AL1" s="584"/>
      <c r="AM1" s="596"/>
      <c r="AN1" s="595"/>
      <c r="AO1" s="584"/>
      <c r="AP1" s="584"/>
      <c r="AQ1" s="584"/>
      <c r="AR1" s="584"/>
      <c r="AS1" s="584"/>
      <c r="AT1" s="584"/>
      <c r="AU1" s="584"/>
      <c r="AV1" s="584"/>
      <c r="AW1" s="584"/>
      <c r="AX1" s="584"/>
      <c r="AY1" s="584"/>
      <c r="AZ1" s="584"/>
      <c r="BA1" s="584"/>
      <c r="BB1" s="584"/>
      <c r="BC1" s="584"/>
      <c r="BD1" s="584"/>
      <c r="BE1" s="584"/>
      <c r="BF1" s="584"/>
      <c r="BG1" s="584"/>
      <c r="BH1" s="584"/>
      <c r="BI1" s="597"/>
      <c r="BJ1" s="597"/>
      <c r="BK1" s="597"/>
      <c r="BL1" s="597"/>
      <c r="BM1" s="597"/>
      <c r="BN1" s="597"/>
      <c r="BO1" s="597"/>
      <c r="BP1" s="597"/>
      <c r="BQ1" s="597"/>
      <c r="BR1" s="597"/>
      <c r="BS1" s="597"/>
      <c r="BT1" s="597"/>
    </row>
    <row r="2" ht="12.75" customHeight="1">
      <c r="A2" s="583">
        <v>1.0</v>
      </c>
      <c r="B2" s="598"/>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584"/>
      <c r="AM2" s="596"/>
      <c r="AN2" s="595"/>
      <c r="AO2" s="584"/>
      <c r="AP2" s="584"/>
      <c r="AQ2" s="584"/>
      <c r="AR2" s="584"/>
      <c r="AS2" s="584"/>
      <c r="AT2" s="584"/>
      <c r="AU2" s="584"/>
      <c r="AV2" s="584"/>
      <c r="AW2" s="584"/>
      <c r="AX2" s="584"/>
      <c r="AY2" s="584"/>
      <c r="AZ2" s="584"/>
      <c r="BA2" s="584"/>
      <c r="BB2" s="584"/>
      <c r="BC2" s="584"/>
      <c r="BD2" s="584"/>
      <c r="BE2" s="584"/>
      <c r="BF2" s="584"/>
      <c r="BG2" s="584"/>
      <c r="BH2" s="584"/>
      <c r="BI2" s="597"/>
      <c r="BJ2" s="597"/>
      <c r="BK2" s="597"/>
      <c r="BL2" s="597"/>
      <c r="BM2" s="597"/>
      <c r="BN2" s="597"/>
      <c r="BO2" s="597"/>
      <c r="BP2" s="597"/>
      <c r="BQ2" s="597"/>
      <c r="BR2" s="597"/>
      <c r="BS2" s="597"/>
      <c r="BT2" s="597"/>
    </row>
    <row r="3" ht="12.75" customHeight="1">
      <c r="A3" s="583">
        <v>1.0</v>
      </c>
      <c r="B3" s="11"/>
      <c r="AL3" s="584"/>
      <c r="AM3" s="596"/>
      <c r="AN3" s="595"/>
      <c r="AO3" s="584"/>
      <c r="AP3" s="584"/>
      <c r="AQ3" s="584"/>
      <c r="AR3" s="584"/>
      <c r="AS3" s="584"/>
      <c r="AT3" s="584"/>
      <c r="AU3" s="584"/>
      <c r="AV3" s="584"/>
      <c r="AW3" s="584"/>
      <c r="AX3" s="584"/>
      <c r="AY3" s="584"/>
      <c r="AZ3" s="584"/>
      <c r="BA3" s="584"/>
      <c r="BB3" s="584"/>
      <c r="BC3" s="584"/>
      <c r="BD3" s="584"/>
      <c r="BE3" s="584"/>
      <c r="BF3" s="584"/>
      <c r="BG3" s="584"/>
      <c r="BH3" s="584"/>
      <c r="BI3" s="597"/>
      <c r="BJ3" s="597"/>
      <c r="BK3" s="597"/>
      <c r="BL3" s="597"/>
      <c r="BM3" s="597"/>
      <c r="BN3" s="597"/>
      <c r="BO3" s="597"/>
      <c r="BP3" s="597"/>
      <c r="BQ3" s="597"/>
      <c r="BR3" s="597"/>
      <c r="BS3" s="597"/>
      <c r="BT3" s="597"/>
    </row>
    <row r="4" ht="12.75" customHeight="1">
      <c r="A4" s="583">
        <v>1.0</v>
      </c>
      <c r="B4" s="11"/>
      <c r="AL4" s="584"/>
      <c r="AM4" s="596"/>
      <c r="AN4" s="595"/>
      <c r="AO4" s="584"/>
      <c r="AP4" s="584"/>
      <c r="AQ4" s="584"/>
      <c r="AR4" s="584"/>
      <c r="AS4" s="584"/>
      <c r="AT4" s="584"/>
      <c r="AU4" s="584"/>
      <c r="AV4" s="584"/>
      <c r="AW4" s="584"/>
      <c r="AX4" s="584"/>
      <c r="AY4" s="584"/>
      <c r="AZ4" s="584"/>
      <c r="BA4" s="584"/>
      <c r="BB4" s="584"/>
      <c r="BC4" s="584"/>
      <c r="BD4" s="584"/>
      <c r="BE4" s="584"/>
      <c r="BF4" s="584"/>
      <c r="BG4" s="584"/>
      <c r="BH4" s="584"/>
      <c r="BI4" s="597"/>
      <c r="BJ4" s="597"/>
      <c r="BK4" s="597"/>
      <c r="BL4" s="597"/>
      <c r="BM4" s="597"/>
      <c r="BN4" s="597"/>
      <c r="BO4" s="597"/>
      <c r="BP4" s="597"/>
      <c r="BQ4" s="597"/>
      <c r="BR4" s="597"/>
      <c r="BS4" s="597"/>
      <c r="BT4" s="597"/>
    </row>
    <row r="5" ht="12.75" customHeight="1">
      <c r="A5" s="583">
        <v>1.0</v>
      </c>
      <c r="B5" s="11"/>
      <c r="AL5" s="584"/>
      <c r="AM5" s="596"/>
      <c r="AN5" s="595"/>
      <c r="AO5" s="584"/>
      <c r="AP5" s="584"/>
      <c r="AQ5" s="584"/>
      <c r="AR5" s="584"/>
      <c r="AS5" s="584"/>
      <c r="AT5" s="584"/>
      <c r="AU5" s="584"/>
      <c r="AV5" s="584"/>
      <c r="AW5" s="584"/>
      <c r="AX5" s="584"/>
      <c r="AY5" s="584"/>
      <c r="AZ5" s="584"/>
      <c r="BA5" s="584"/>
      <c r="BB5" s="584"/>
      <c r="BC5" s="584"/>
      <c r="BD5" s="584"/>
      <c r="BE5" s="584"/>
      <c r="BF5" s="584"/>
      <c r="BG5" s="584"/>
      <c r="BH5" s="584"/>
      <c r="BI5" s="597"/>
      <c r="BJ5" s="597"/>
      <c r="BK5" s="597"/>
      <c r="BL5" s="597"/>
      <c r="BM5" s="597"/>
      <c r="BN5" s="597"/>
      <c r="BO5" s="597"/>
      <c r="BP5" s="597"/>
      <c r="BQ5" s="597"/>
      <c r="BR5" s="597"/>
      <c r="BS5" s="597"/>
      <c r="BT5" s="597"/>
    </row>
    <row r="6" ht="12.75" customHeight="1">
      <c r="A6" s="583">
        <v>1.0</v>
      </c>
      <c r="B6" s="11"/>
      <c r="AL6" s="584"/>
      <c r="AM6" s="596"/>
      <c r="AN6" s="595"/>
      <c r="AO6" s="584"/>
      <c r="AP6" s="584"/>
      <c r="AQ6" s="584"/>
      <c r="AR6" s="584"/>
      <c r="AS6" s="584"/>
      <c r="AT6" s="584"/>
      <c r="AU6" s="584"/>
      <c r="AV6" s="584"/>
      <c r="AW6" s="584"/>
      <c r="AX6" s="584"/>
      <c r="AY6" s="584"/>
      <c r="AZ6" s="584"/>
      <c r="BA6" s="584"/>
      <c r="BB6" s="584"/>
      <c r="BC6" s="584"/>
      <c r="BD6" s="584"/>
      <c r="BE6" s="584"/>
      <c r="BF6" s="584"/>
      <c r="BG6" s="584"/>
      <c r="BH6" s="584"/>
      <c r="BI6" s="597"/>
      <c r="BJ6" s="597"/>
      <c r="BK6" s="597"/>
      <c r="BL6" s="597"/>
      <c r="BM6" s="597"/>
      <c r="BN6" s="597"/>
      <c r="BO6" s="597"/>
      <c r="BP6" s="597"/>
      <c r="BQ6" s="597"/>
      <c r="BR6" s="597"/>
      <c r="BS6" s="597"/>
      <c r="BT6" s="597"/>
    </row>
    <row r="7" ht="12.75" customHeight="1">
      <c r="A7" s="583">
        <v>1.0</v>
      </c>
      <c r="B7" s="11"/>
      <c r="AL7" s="584"/>
      <c r="AM7" s="596"/>
      <c r="AN7" s="595"/>
      <c r="AO7" s="584"/>
      <c r="AP7" s="584"/>
      <c r="AQ7" s="584"/>
      <c r="AR7" s="584"/>
      <c r="AS7" s="584"/>
      <c r="AT7" s="584"/>
      <c r="AU7" s="584"/>
      <c r="AV7" s="584"/>
      <c r="AW7" s="584"/>
      <c r="AX7" s="584"/>
      <c r="AY7" s="584"/>
      <c r="AZ7" s="584"/>
      <c r="BA7" s="584"/>
      <c r="BB7" s="584"/>
      <c r="BC7" s="584"/>
      <c r="BD7" s="584"/>
      <c r="BE7" s="584"/>
      <c r="BF7" s="584"/>
      <c r="BG7" s="584"/>
      <c r="BH7" s="584"/>
      <c r="BI7" s="597"/>
      <c r="BJ7" s="597"/>
      <c r="BK7" s="597"/>
      <c r="BL7" s="597"/>
      <c r="BM7" s="597"/>
      <c r="BN7" s="597"/>
      <c r="BO7" s="597"/>
      <c r="BP7" s="597"/>
      <c r="BQ7" s="597"/>
      <c r="BR7" s="597"/>
      <c r="BS7" s="597"/>
      <c r="BT7" s="597"/>
    </row>
    <row r="8" ht="12.75" customHeight="1">
      <c r="A8" s="583">
        <v>1.0</v>
      </c>
      <c r="B8" s="12" t="s">
        <v>0</v>
      </c>
      <c r="C8" s="13" t="str">
        <f>IFERROR(__xludf.DUMMYFUNCTION("IF(
  Template!D8="""",
  """",
  IFERROR(
    VLOOKUP(
      Template!D8,
      IMPORTRANGE(
        ""1yRKiSiwTOx_Hj9DHPwpMhw9gK8bTY1IeLWGRh62hnCs"",
        ""Masterlist!E:L""
      ),
      2,
      FALSE
    )
  )
)
"),"")</f>
        <v/>
      </c>
      <c r="D8" s="13" t="s">
        <v>422</v>
      </c>
      <c r="E8" s="585"/>
      <c r="F8" s="586"/>
      <c r="G8" s="587"/>
      <c r="H8" s="584"/>
      <c r="I8" s="584"/>
      <c r="J8" s="584"/>
      <c r="K8" s="14" t="s">
        <v>2</v>
      </c>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584"/>
      <c r="AM8" s="596"/>
      <c r="AN8" s="595"/>
      <c r="AO8" s="584"/>
      <c r="AP8" s="584"/>
      <c r="AQ8" s="584"/>
      <c r="AR8" s="584"/>
      <c r="AS8" s="584"/>
      <c r="AT8" s="584"/>
      <c r="AU8" s="584"/>
      <c r="AV8" s="584"/>
      <c r="AW8" s="584"/>
      <c r="AX8" s="584"/>
      <c r="AY8" s="584"/>
      <c r="AZ8" s="584"/>
      <c r="BA8" s="584"/>
      <c r="BB8" s="584"/>
      <c r="BC8" s="584"/>
      <c r="BD8" s="584"/>
      <c r="BE8" s="584"/>
      <c r="BF8" s="584"/>
      <c r="BG8" s="584"/>
      <c r="BH8" s="584"/>
      <c r="BI8" s="597"/>
      <c r="BJ8" s="597"/>
      <c r="BK8" s="597"/>
      <c r="BL8" s="597"/>
      <c r="BM8" s="597"/>
      <c r="BN8" s="597"/>
      <c r="BO8" s="597"/>
      <c r="BP8" s="597"/>
      <c r="BQ8" s="597"/>
      <c r="BR8" s="597"/>
      <c r="BS8" s="597"/>
      <c r="BT8" s="597"/>
    </row>
    <row r="9" ht="12.75" customHeight="1">
      <c r="A9" s="583">
        <v>1.0</v>
      </c>
      <c r="B9" s="12" t="s">
        <v>3</v>
      </c>
      <c r="C9" s="13" t="str">
        <f>IFERROR(__xludf.DUMMYFUNCTION("IF(
  Template!D8="""",
  """",
  IFERROR(
    VLOOKUP(
      Template!D8,
      IMPORTRANGE(
        ""1yRKiSiwTOx_Hj9DHPwpMhw9gK8bTY1IeLWGRh62hnCs"",
        ""Masterlist!E:L""
      ),
      3,
      FALSE
    )
  )
)
"),"")</f>
        <v/>
      </c>
      <c r="D9" s="584"/>
      <c r="E9" s="585"/>
      <c r="F9" s="586"/>
      <c r="G9" s="587"/>
      <c r="H9" s="584"/>
      <c r="I9" s="584"/>
      <c r="J9" s="584"/>
      <c r="K9" s="16"/>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584"/>
      <c r="AM9" s="596"/>
      <c r="AN9" s="595"/>
      <c r="AO9" s="584"/>
      <c r="AP9" s="584"/>
      <c r="AQ9" s="584"/>
      <c r="AR9" s="584"/>
      <c r="AS9" s="584"/>
      <c r="AT9" s="584"/>
      <c r="AU9" s="584"/>
      <c r="AV9" s="584"/>
      <c r="AW9" s="584"/>
      <c r="AX9" s="584"/>
      <c r="AY9" s="584"/>
      <c r="AZ9" s="584"/>
      <c r="BA9" s="584"/>
      <c r="BB9" s="584"/>
      <c r="BC9" s="584"/>
      <c r="BD9" s="584"/>
      <c r="BE9" s="584"/>
      <c r="BF9" s="584"/>
      <c r="BG9" s="584"/>
      <c r="BH9" s="584"/>
      <c r="BI9" s="597"/>
      <c r="BJ9" s="597"/>
      <c r="BK9" s="597"/>
      <c r="BL9" s="597"/>
      <c r="BM9" s="597"/>
      <c r="BN9" s="597"/>
      <c r="BO9" s="597"/>
      <c r="BP9" s="597"/>
      <c r="BQ9" s="597"/>
      <c r="BR9" s="597"/>
      <c r="BS9" s="597"/>
      <c r="BT9" s="597"/>
    </row>
    <row r="10" ht="12.75" customHeight="1">
      <c r="A10" s="583"/>
      <c r="B10" s="584"/>
      <c r="C10" s="18" t="s">
        <v>4</v>
      </c>
      <c r="D10" s="19" t="s">
        <v>5</v>
      </c>
      <c r="E10" s="599"/>
      <c r="F10" s="600"/>
      <c r="G10" s="601"/>
      <c r="H10" s="602"/>
      <c r="I10" s="22">
        <v>1.0</v>
      </c>
      <c r="J10" s="584"/>
      <c r="K10" s="586"/>
      <c r="L10" s="588"/>
      <c r="M10" s="588"/>
      <c r="N10" s="589"/>
      <c r="O10" s="584"/>
      <c r="P10" s="586"/>
      <c r="Q10" s="584"/>
      <c r="R10" s="603"/>
      <c r="S10" s="354"/>
      <c r="T10" s="584"/>
      <c r="U10" s="595"/>
      <c r="V10" s="595"/>
      <c r="W10" s="595"/>
      <c r="X10" s="584"/>
      <c r="Y10" s="595"/>
      <c r="Z10" s="595"/>
      <c r="AA10" s="595"/>
      <c r="AB10" s="354"/>
      <c r="AC10" s="584"/>
      <c r="AD10" s="595"/>
      <c r="AE10" s="595"/>
      <c r="AF10" s="443"/>
      <c r="AG10" s="354"/>
      <c r="AH10" s="595"/>
      <c r="AI10" s="595"/>
      <c r="AJ10" s="595"/>
      <c r="AK10" s="595"/>
      <c r="AL10" s="584"/>
      <c r="AM10" s="604"/>
      <c r="AN10" s="605"/>
      <c r="AO10" s="606"/>
      <c r="AP10" s="606"/>
      <c r="AQ10" s="584"/>
      <c r="AR10" s="584"/>
      <c r="AS10" s="584"/>
      <c r="AT10" s="584"/>
      <c r="AU10" s="584"/>
      <c r="AV10" s="584"/>
      <c r="AW10" s="584"/>
      <c r="AX10" s="584"/>
      <c r="AY10" s="584"/>
      <c r="AZ10" s="584"/>
      <c r="BA10" s="584"/>
      <c r="BB10" s="584"/>
      <c r="BC10" s="584"/>
      <c r="BD10" s="584"/>
      <c r="BE10" s="584"/>
      <c r="BF10" s="584"/>
      <c r="BG10" s="584"/>
      <c r="BH10" s="584"/>
      <c r="BI10" s="597"/>
      <c r="BJ10" s="597"/>
      <c r="BK10" s="597"/>
      <c r="BL10" s="597"/>
      <c r="BM10" s="597"/>
      <c r="BN10" s="597"/>
      <c r="BO10" s="597"/>
      <c r="BP10" s="597"/>
      <c r="BQ10" s="597"/>
      <c r="BR10" s="597"/>
      <c r="BS10" s="597"/>
      <c r="BT10" s="597"/>
    </row>
    <row r="11" ht="12.75" customHeight="1">
      <c r="A11" s="583">
        <v>1.0</v>
      </c>
      <c r="B11" s="23" t="s">
        <v>6</v>
      </c>
      <c r="C11" s="23" t="s">
        <v>7</v>
      </c>
      <c r="D11" s="24" t="s">
        <v>8</v>
      </c>
      <c r="E11" s="607" t="s">
        <v>9</v>
      </c>
      <c r="F11" s="24" t="s">
        <v>10</v>
      </c>
      <c r="G11" s="24" t="s">
        <v>11</v>
      </c>
      <c r="H11" s="24" t="s">
        <v>12</v>
      </c>
      <c r="I11" s="24" t="s">
        <v>13</v>
      </c>
      <c r="J11" s="26" t="s">
        <v>14</v>
      </c>
      <c r="K11" s="23" t="s">
        <v>15</v>
      </c>
      <c r="L11" s="27" t="s">
        <v>16</v>
      </c>
      <c r="M11" s="28" t="s">
        <v>17</v>
      </c>
      <c r="N11" s="29"/>
      <c r="O11" s="29"/>
      <c r="P11" s="30"/>
      <c r="Q11" s="23" t="s">
        <v>18</v>
      </c>
      <c r="R11" s="31" t="s">
        <v>19</v>
      </c>
      <c r="S11" s="29"/>
      <c r="T11" s="30"/>
      <c r="U11" s="608"/>
      <c r="V11" s="31" t="s">
        <v>20</v>
      </c>
      <c r="W11" s="30"/>
      <c r="X11" s="584"/>
      <c r="Y11" s="595"/>
      <c r="Z11" s="595"/>
      <c r="AA11" s="595"/>
      <c r="AB11" s="354"/>
      <c r="AC11" s="181"/>
      <c r="AD11" s="34" t="s">
        <v>21</v>
      </c>
      <c r="AE11" s="35" t="s">
        <v>22</v>
      </c>
      <c r="AF11" s="36" t="s">
        <v>23</v>
      </c>
      <c r="AG11" s="37" t="s">
        <v>24</v>
      </c>
      <c r="AH11" s="38" t="s">
        <v>25</v>
      </c>
      <c r="AI11" s="187"/>
      <c r="AJ11" s="40" t="s">
        <v>26</v>
      </c>
      <c r="AK11" s="40" t="s">
        <v>27</v>
      </c>
      <c r="AL11" s="590"/>
      <c r="AM11" s="595"/>
      <c r="AN11" s="595"/>
      <c r="AO11" s="595"/>
      <c r="AP11" s="595"/>
      <c r="AQ11" s="609"/>
      <c r="AR11" s="584"/>
      <c r="AS11" s="584"/>
      <c r="AT11" s="584"/>
      <c r="AU11" s="584"/>
      <c r="AV11" s="584"/>
      <c r="AW11" s="584"/>
      <c r="AX11" s="584"/>
      <c r="AY11" s="584"/>
      <c r="AZ11" s="584"/>
      <c r="BA11" s="584"/>
      <c r="BB11" s="584"/>
      <c r="BC11" s="584"/>
      <c r="BD11" s="584"/>
      <c r="BE11" s="584"/>
      <c r="BF11" s="584"/>
      <c r="BG11" s="584"/>
      <c r="BH11" s="584"/>
      <c r="BI11" s="597"/>
      <c r="BJ11" s="597"/>
      <c r="BK11" s="597"/>
      <c r="BL11" s="597"/>
      <c r="BM11" s="597"/>
      <c r="BN11" s="597"/>
      <c r="BO11" s="597"/>
      <c r="BP11" s="597"/>
      <c r="BQ11" s="597"/>
      <c r="BR11" s="597"/>
      <c r="BS11" s="597"/>
      <c r="BT11" s="597"/>
    </row>
    <row r="12" ht="28.5" customHeight="1">
      <c r="A12" s="583">
        <v>1.0</v>
      </c>
      <c r="B12" s="42"/>
      <c r="C12" s="42"/>
      <c r="D12" s="43"/>
      <c r="E12" s="43"/>
      <c r="F12" s="43"/>
      <c r="G12" s="43"/>
      <c r="H12" s="43"/>
      <c r="I12" s="43"/>
      <c r="J12" s="44"/>
      <c r="K12" s="42"/>
      <c r="L12" s="45" t="s">
        <v>31</v>
      </c>
      <c r="M12" s="46" t="s">
        <v>18</v>
      </c>
      <c r="N12" s="47" t="s">
        <v>32</v>
      </c>
      <c r="O12" s="48">
        <v>0.0</v>
      </c>
      <c r="P12" s="49" t="s">
        <v>15</v>
      </c>
      <c r="Q12" s="42"/>
      <c r="R12" s="50" t="s">
        <v>26</v>
      </c>
      <c r="S12" s="51" t="s">
        <v>27</v>
      </c>
      <c r="T12" s="51" t="s">
        <v>33</v>
      </c>
      <c r="U12" s="50" t="s">
        <v>26</v>
      </c>
      <c r="V12" s="50" t="s">
        <v>27</v>
      </c>
      <c r="W12" s="51" t="s">
        <v>34</v>
      </c>
      <c r="X12" s="584"/>
      <c r="Y12" s="595"/>
      <c r="Z12" s="595"/>
      <c r="AA12" s="595"/>
      <c r="AB12" s="354"/>
      <c r="AC12" s="181"/>
      <c r="AD12" s="610"/>
      <c r="AE12" s="611"/>
      <c r="AF12" s="54">
        <f>SUM(AF13)</f>
        <v>0</v>
      </c>
      <c r="AG12" s="612"/>
      <c r="AH12" s="613"/>
      <c r="AI12" s="187"/>
      <c r="AJ12" s="57"/>
      <c r="AK12" s="57"/>
      <c r="AL12" s="590"/>
      <c r="AM12" s="595"/>
      <c r="AN12" s="595"/>
      <c r="AO12" s="595"/>
      <c r="AP12" s="595"/>
      <c r="AQ12" s="609"/>
      <c r="AR12" s="584"/>
      <c r="AS12" s="584"/>
      <c r="AT12" s="584"/>
      <c r="AU12" s="584"/>
      <c r="AV12" s="584"/>
      <c r="AW12" s="584"/>
      <c r="AX12" s="584"/>
      <c r="AY12" s="584"/>
      <c r="AZ12" s="584"/>
      <c r="BA12" s="584"/>
      <c r="BB12" s="584"/>
      <c r="BC12" s="584"/>
      <c r="BD12" s="584"/>
      <c r="BE12" s="584"/>
      <c r="BF12" s="584"/>
      <c r="BG12" s="584"/>
      <c r="BH12" s="584"/>
      <c r="BI12" s="597"/>
      <c r="BJ12" s="597"/>
      <c r="BK12" s="597"/>
      <c r="BL12" s="597"/>
      <c r="BM12" s="597"/>
      <c r="BN12" s="597"/>
      <c r="BO12" s="597"/>
      <c r="BP12" s="597"/>
      <c r="BQ12" s="597"/>
      <c r="BR12" s="597"/>
      <c r="BS12" s="597"/>
      <c r="BT12" s="597"/>
    </row>
    <row r="13" ht="12.75" customHeight="1">
      <c r="A13" s="583">
        <v>1.0</v>
      </c>
      <c r="B13" s="614"/>
      <c r="C13" s="615"/>
      <c r="D13" s="615"/>
      <c r="E13" s="616"/>
      <c r="F13" s="617"/>
      <c r="G13" s="618"/>
      <c r="H13" s="615"/>
      <c r="I13" s="615"/>
      <c r="J13" s="615"/>
      <c r="K13" s="617"/>
      <c r="L13" s="619"/>
      <c r="M13" s="619"/>
      <c r="N13" s="620"/>
      <c r="O13" s="615"/>
      <c r="P13" s="617"/>
      <c r="Q13" s="621"/>
      <c r="R13" s="622"/>
      <c r="S13" s="439"/>
      <c r="T13" s="621"/>
      <c r="U13" s="623"/>
      <c r="V13" s="623"/>
      <c r="W13" s="624"/>
      <c r="X13" s="584"/>
      <c r="Y13" s="595"/>
      <c r="Z13" s="595"/>
      <c r="AA13" s="595"/>
      <c r="AB13" s="354"/>
      <c r="AC13" s="181"/>
      <c r="AD13" s="625"/>
      <c r="AE13" s="626"/>
      <c r="AF13" s="627"/>
      <c r="AG13" s="628"/>
      <c r="AH13" s="629"/>
      <c r="AI13" s="187"/>
      <c r="AJ13" s="630"/>
      <c r="AK13" s="630"/>
      <c r="AL13" s="584"/>
      <c r="AM13" s="595"/>
      <c r="AN13" s="595"/>
      <c r="AO13" s="595"/>
      <c r="AP13" s="595"/>
      <c r="AQ13" s="584"/>
      <c r="AR13" s="584"/>
      <c r="AS13" s="584"/>
      <c r="AT13" s="584"/>
      <c r="AU13" s="584"/>
      <c r="AV13" s="584"/>
      <c r="AW13" s="584"/>
      <c r="AX13" s="584"/>
      <c r="AY13" s="584"/>
      <c r="AZ13" s="584"/>
      <c r="BA13" s="584"/>
      <c r="BB13" s="584"/>
      <c r="BC13" s="584"/>
      <c r="BD13" s="584"/>
      <c r="BE13" s="584"/>
      <c r="BF13" s="584"/>
      <c r="BG13" s="584"/>
      <c r="BH13" s="584"/>
      <c r="BI13" s="597"/>
      <c r="BJ13" s="597"/>
      <c r="BK13" s="597"/>
      <c r="BL13" s="597"/>
      <c r="BM13" s="597"/>
      <c r="BN13" s="597"/>
      <c r="BO13" s="597"/>
      <c r="BP13" s="597"/>
      <c r="BQ13" s="597"/>
      <c r="BR13" s="597"/>
      <c r="BS13" s="597"/>
      <c r="BT13" s="597"/>
    </row>
    <row r="14" ht="12.75" customHeight="1">
      <c r="A14" s="631">
        <v>1.0</v>
      </c>
      <c r="B14" s="632" t="s">
        <v>423</v>
      </c>
      <c r="C14" s="251" t="s">
        <v>424</v>
      </c>
      <c r="D14" s="633"/>
      <c r="E14" s="634"/>
      <c r="F14" s="635"/>
      <c r="G14" s="636"/>
      <c r="H14" s="633"/>
      <c r="I14" s="637"/>
      <c r="J14" s="633"/>
      <c r="K14" s="638"/>
      <c r="L14" s="637"/>
      <c r="M14" s="637"/>
      <c r="N14" s="639"/>
      <c r="O14" s="633"/>
      <c r="P14" s="638"/>
      <c r="Q14" s="640"/>
      <c r="R14" s="136" t="str">
        <f>IFERROR(
  IF(B14="", "", VLOOKUP(B14, Data!$B$2:$K$905, 9, FALSE)),
  ""
)</f>
        <v/>
      </c>
      <c r="S14" s="641"/>
      <c r="T14" s="640"/>
      <c r="U14" s="136" t="str">
        <f>IFERROR(
  IF(B14="", "", VLOOKUP(B14, Data!$B$2:$K$905, 10, FALSE)),
  ""
)
</f>
        <v/>
      </c>
      <c r="V14" s="642"/>
      <c r="W14" s="643"/>
      <c r="X14" s="602"/>
      <c r="Y14" s="602"/>
      <c r="Z14" s="602"/>
      <c r="AA14" s="602"/>
      <c r="AB14" s="600"/>
      <c r="AC14" s="602"/>
      <c r="AD14" s="644"/>
      <c r="AE14" s="645"/>
      <c r="AF14" s="646"/>
      <c r="AG14" s="647"/>
      <c r="AH14" s="648"/>
      <c r="AI14" s="649"/>
      <c r="AJ14" s="650"/>
      <c r="AK14" s="650"/>
      <c r="AL14" s="595"/>
      <c r="AM14" s="595"/>
      <c r="AN14" s="595"/>
      <c r="AO14" s="595"/>
      <c r="AP14" s="595"/>
      <c r="AQ14" s="595"/>
      <c r="AR14" s="595"/>
      <c r="AS14" s="595"/>
      <c r="AT14" s="595"/>
      <c r="AU14" s="595"/>
      <c r="AV14" s="595"/>
      <c r="AW14" s="595"/>
      <c r="AX14" s="595"/>
      <c r="AY14" s="595"/>
      <c r="AZ14" s="595"/>
      <c r="BA14" s="595"/>
      <c r="BB14" s="595"/>
      <c r="BC14" s="595"/>
      <c r="BD14" s="595"/>
      <c r="BE14" s="595"/>
      <c r="BF14" s="595"/>
      <c r="BG14" s="595"/>
      <c r="BH14" s="595"/>
      <c r="BI14" s="651"/>
      <c r="BJ14" s="651"/>
      <c r="BK14" s="651"/>
      <c r="BL14" s="651"/>
      <c r="BM14" s="651"/>
      <c r="BN14" s="651"/>
      <c r="BO14" s="651"/>
      <c r="BP14" s="651"/>
      <c r="BQ14" s="651"/>
      <c r="BR14" s="651"/>
      <c r="BS14" s="651"/>
      <c r="BT14" s="651"/>
    </row>
    <row r="15">
      <c r="A15" s="631">
        <v>1.0</v>
      </c>
      <c r="B15" s="652" t="s">
        <v>425</v>
      </c>
      <c r="C15" s="89" t="s">
        <v>36</v>
      </c>
      <c r="D15" s="653"/>
      <c r="E15" s="654"/>
      <c r="F15" s="655"/>
      <c r="G15" s="233"/>
      <c r="H15" s="656"/>
      <c r="I15" s="656"/>
      <c r="J15" s="656"/>
      <c r="K15" s="657"/>
      <c r="L15" s="658"/>
      <c r="M15" s="658"/>
      <c r="N15" s="659"/>
      <c r="O15" s="658"/>
      <c r="P15" s="656"/>
      <c r="Q15" s="658"/>
      <c r="R15" s="136" t="str">
        <f>IFERROR(
  IF(B15="", "", VLOOKUP(B15, Data!$B$2:$K$905, 9, FALSE)),
  ""
)</f>
        <v/>
      </c>
      <c r="S15" s="660"/>
      <c r="T15" s="661"/>
      <c r="U15" s="136" t="str">
        <f>IFERROR(
  IF(B15="", "", VLOOKUP(B15, Data!$B$2:$K$905, 10, FALSE)),
  ""
)
</f>
        <v/>
      </c>
      <c r="V15" s="662"/>
      <c r="W15" s="663"/>
      <c r="X15" s="664"/>
      <c r="Y15" s="665"/>
      <c r="Z15" s="665"/>
      <c r="AA15" s="665"/>
      <c r="AB15" s="666"/>
      <c r="AC15" s="667"/>
      <c r="AD15" s="668"/>
      <c r="AE15" s="669"/>
      <c r="AF15" s="670"/>
      <c r="AG15" s="671"/>
      <c r="AH15" s="672"/>
      <c r="AI15" s="665"/>
      <c r="AJ15" s="673"/>
      <c r="AK15" s="673"/>
      <c r="AL15" s="595"/>
      <c r="AM15" s="595"/>
      <c r="AN15" s="595"/>
      <c r="AO15" s="595"/>
      <c r="AP15" s="595"/>
      <c r="AQ15" s="595"/>
      <c r="AR15" s="595"/>
      <c r="AS15" s="595"/>
      <c r="AT15" s="595"/>
      <c r="AU15" s="595"/>
      <c r="AV15" s="595"/>
      <c r="AW15" s="595"/>
      <c r="AX15" s="595"/>
      <c r="AY15" s="595"/>
      <c r="AZ15" s="595"/>
      <c r="BA15" s="595"/>
      <c r="BB15" s="595"/>
      <c r="BC15" s="595"/>
      <c r="BD15" s="595"/>
      <c r="BE15" s="595"/>
      <c r="BF15" s="595"/>
      <c r="BG15" s="595"/>
      <c r="BH15" s="595"/>
      <c r="BI15" s="651"/>
      <c r="BJ15" s="651"/>
      <c r="BK15" s="651"/>
      <c r="BL15" s="651"/>
      <c r="BM15" s="651"/>
      <c r="BN15" s="651"/>
      <c r="BO15" s="651"/>
      <c r="BP15" s="651"/>
      <c r="BQ15" s="651"/>
      <c r="BR15" s="651"/>
      <c r="BS15" s="651"/>
      <c r="BT15" s="651"/>
    </row>
    <row r="16">
      <c r="A16" s="631">
        <v>1.0</v>
      </c>
      <c r="B16" s="674"/>
      <c r="C16" s="103" t="s">
        <v>426</v>
      </c>
      <c r="D16" s="675"/>
      <c r="E16" s="676"/>
      <c r="F16" s="677"/>
      <c r="G16" s="678"/>
      <c r="H16" s="678"/>
      <c r="I16" s="678"/>
      <c r="J16" s="678"/>
      <c r="K16" s="678"/>
      <c r="L16" s="106" t="str">
        <f>Q16</f>
        <v>#REF!</v>
      </c>
      <c r="M16" s="679"/>
      <c r="N16" s="680"/>
      <c r="O16" s="679"/>
      <c r="P16" s="678"/>
      <c r="Q16" s="106" t="str">
        <f>Q17+Q22+Q26</f>
        <v>#REF!</v>
      </c>
      <c r="R16" s="681" t="str">
        <f>IFERROR(
  IF(B16="", "", VLOOKUP(B16, Data!$B$2:$K$905, 9, FALSE)),
  ""
)</f>
        <v/>
      </c>
      <c r="S16" s="682">
        <f>IFERROR(T16/Q16, 0)</f>
        <v>0</v>
      </c>
      <c r="T16" s="109" t="str">
        <f>SUM(S17:S29)</f>
        <v>#REF!</v>
      </c>
      <c r="U16" s="681" t="str">
        <f>IFERROR(
  IF(B16="", "", VLOOKUP(B16, Data!$B$2:$K$905, 10, FALSE)),
  ""
)
</f>
        <v/>
      </c>
      <c r="V16" s="109" t="str">
        <f>iferror(W16/Q16,"")</f>
        <v/>
      </c>
      <c r="W16" s="110" t="str">
        <f>SUM(W17:W29)</f>
        <v>#REF!</v>
      </c>
      <c r="X16" s="111" t="str">
        <f>W16/$AC$758/$W$765/$X$755</f>
        <v>#REF!</v>
      </c>
      <c r="Y16" s="112" t="str">
        <f>(T16+W16)=(SUM(AB17:AB29))</f>
        <v>#REF!</v>
      </c>
      <c r="Z16" s="113" t="str">
        <f>(T16+W16)-(SUM(AB17:AB29))</f>
        <v>#REF!</v>
      </c>
      <c r="AA16" s="595"/>
      <c r="AB16" s="595"/>
      <c r="AC16" s="181"/>
      <c r="AD16" s="114" t="str">
        <f>W16+T16</f>
        <v>#REF!</v>
      </c>
      <c r="AE16" s="115" t="str">
        <f>AD16</f>
        <v>#REF!</v>
      </c>
      <c r="AF16" s="116" t="str">
        <f>AE16/$AE$733</f>
        <v>#REF!</v>
      </c>
      <c r="AG16" s="683" t="str">
        <f>AF16*$AG$740</f>
        <v>#REF!</v>
      </c>
      <c r="AH16" s="118" t="str">
        <f>AF16*$AG$743</f>
        <v>#REF!</v>
      </c>
      <c r="AI16" s="187"/>
      <c r="AJ16" s="119" t="str">
        <f>ROUND(AK16/L16,2)</f>
        <v>#REF!</v>
      </c>
      <c r="AK16" s="119" t="str">
        <f>ROUND(AH16+AG16+AD16,2)</f>
        <v>#REF!</v>
      </c>
      <c r="AL16" s="595"/>
      <c r="AM16" s="595"/>
      <c r="AN16" s="595"/>
      <c r="AO16" s="595"/>
      <c r="AP16" s="595"/>
      <c r="AQ16" s="595"/>
      <c r="AR16" s="595"/>
      <c r="AS16" s="595"/>
      <c r="AT16" s="595"/>
      <c r="AU16" s="595"/>
      <c r="AV16" s="595"/>
      <c r="AW16" s="595"/>
      <c r="AX16" s="595"/>
      <c r="AY16" s="595"/>
      <c r="AZ16" s="595"/>
      <c r="BA16" s="595"/>
      <c r="BB16" s="595"/>
      <c r="BC16" s="595"/>
      <c r="BD16" s="595"/>
      <c r="BE16" s="595"/>
      <c r="BF16" s="595"/>
      <c r="BG16" s="595"/>
      <c r="BH16" s="595"/>
      <c r="BI16" s="651"/>
      <c r="BJ16" s="651"/>
      <c r="BK16" s="651"/>
      <c r="BL16" s="651"/>
      <c r="BM16" s="651"/>
      <c r="BN16" s="651"/>
      <c r="BO16" s="651"/>
      <c r="BP16" s="651"/>
      <c r="BQ16" s="651"/>
      <c r="BR16" s="651"/>
      <c r="BS16" s="651"/>
      <c r="BT16" s="651"/>
    </row>
    <row r="17">
      <c r="A17" s="684"/>
      <c r="B17" s="685" t="s">
        <v>427</v>
      </c>
      <c r="C17" s="123" t="s">
        <v>428</v>
      </c>
      <c r="D17" s="686" t="s">
        <v>40</v>
      </c>
      <c r="E17" s="687" t="str">
        <f>IFERROR(__xludf.DUMMYFUNCTION("IF($B$15:$B1153="""","""",
  VLOOKUP(
    $B$15:$B1153,
    QUERY(
      IMPORTRANGE(""1Ag27m9YF5mMfJh2E6NipJDFvPLlDI1p-s_1XEnzMHcc"",""Merge!F2:R""),
      ""select Col1, Col11"",
      0
    ),
    2,
    FALSE
  )
)
"),"#REF!")</f>
        <v>#REF!</v>
      </c>
      <c r="F17" s="688"/>
      <c r="G17" s="689" t="s">
        <v>429</v>
      </c>
      <c r="H17" s="128" t="str">
        <f>IFERROR(__xludf.DUMMYFUNCTION("IFERROR(REGEXEXTRACT(C17, ""(\d*\.\d+)mm""), """")"),"0.55")</f>
        <v>0.55</v>
      </c>
      <c r="I17" s="128" t="s">
        <v>97</v>
      </c>
      <c r="J17" s="126" t="s">
        <v>14</v>
      </c>
      <c r="K17" s="126" t="str">
        <f>IFERROR(
  IF(B17="", "", VLOOKUP(B17, Data!$B$2:$K$905, 7, FALSE)),
  ""
)</f>
        <v/>
      </c>
      <c r="L17" s="131">
        <v>24216.66</v>
      </c>
      <c r="M17" s="135" t="str">
        <f>L17*E17</f>
        <v>#REF!</v>
      </c>
      <c r="N17" s="151">
        <f>IFERROR(__xludf.DUMMYFUNCTION("IF(
  AND(
    IFERROR(REGEXEXTRACT(C17,""@\s*(\d+(?:\.\d+)?)\s*deg""),"""")&lt;&gt;"""",
    F17&lt;&gt;""""
  ),
  ""Pls Confirm °"",
  IF(
    IFERROR(REGEXEXTRACT(C17,""@\s*(\d+(?:\.\d+)?)\s*deg""),"""")&lt;&gt;"""",
    1/COS(RADIANS(REGEXEXTRACT(C17,""@\s*(\d+(?:\.\d"&amp;"+)?)\s*deg""))),
    IF(
      F17&lt;&gt;"""",
      IF(
        ISNUMBER(SEARCH(""|"",F17)),
        1/COS(
          ATAN(
            TAN(RADIANS(VALUE(INDEX(SPLIT(F17,""|""),1)))) *
            TAN(RADIANS(VALUE(INDEX(SPLIT(F17,""|""),2))))
            /
 "&amp;"           SQRT(
              TAN(RADIANS(VALUE(INDEX(SPLIT(F17,""|""),1))))^2 +
              TAN(RADIANS(VALUE(INDEX(SPLIT(F17,""|""),2))))^2
            )
          )
        ),
        1/COS(RADIANS(VALUE(F17)))
      ),
      1
    )
  )
)"),1.001372345997921)</f>
        <v>1.001372346</v>
      </c>
      <c r="O17" s="169">
        <v>1.0</v>
      </c>
      <c r="P17" s="134">
        <v>1.0</v>
      </c>
      <c r="Q17" s="135" t="str">
        <f t="shared" ref="Q17:Q20" si="1">M17*N17*O17*P17</f>
        <v>#REF!</v>
      </c>
      <c r="R17" s="681" t="str">
        <f>IFERROR(
  IF(B17="", "", VLOOKUP(B17, Data!$B$2:$K$905, 9, FALSE)),
  ""
)</f>
        <v/>
      </c>
      <c r="S17" s="152" t="str">
        <f t="shared" ref="S17:S20" si="2">R17*Q17</f>
        <v>#REF!</v>
      </c>
      <c r="T17" s="690"/>
      <c r="U17" s="681" t="str">
        <f>IFERROR(
  IF(B17="", "", VLOOKUP(B17, Data!$B$2:$K$905, 10, FALSE)),
  ""
)
</f>
        <v/>
      </c>
      <c r="V17" s="691"/>
      <c r="W17" s="140" t="str">
        <f t="shared" ref="W17:W20" si="3">U17*Q17</f>
        <v>#REF!</v>
      </c>
      <c r="X17" s="692"/>
      <c r="Y17" s="693"/>
      <c r="Z17" s="694"/>
      <c r="AA17" s="695"/>
      <c r="AB17" s="354" t="str">
        <f t="shared" ref="AB17:AB19" si="4">W17+S17</f>
        <v>#REF!</v>
      </c>
      <c r="AC17" s="181"/>
      <c r="AD17" s="625"/>
      <c r="AE17" s="626"/>
      <c r="AF17" s="696"/>
      <c r="AG17" s="697"/>
      <c r="AH17" s="629"/>
      <c r="AI17" s="187"/>
      <c r="AJ17" s="630"/>
      <c r="AK17" s="630"/>
      <c r="AL17" s="595"/>
      <c r="AM17" s="595"/>
      <c r="AN17" s="595"/>
      <c r="AO17" s="595"/>
      <c r="AP17" s="595"/>
      <c r="AQ17" s="595"/>
      <c r="AR17" s="595"/>
      <c r="AS17" s="595"/>
      <c r="AT17" s="595"/>
      <c r="AU17" s="595"/>
      <c r="AV17" s="595"/>
      <c r="AW17" s="595"/>
      <c r="AX17" s="595"/>
      <c r="AY17" s="595"/>
      <c r="AZ17" s="595"/>
      <c r="BA17" s="595"/>
      <c r="BB17" s="595"/>
      <c r="BC17" s="595"/>
      <c r="BD17" s="595"/>
      <c r="BE17" s="595"/>
      <c r="BF17" s="595"/>
      <c r="BG17" s="595"/>
      <c r="BH17" s="595"/>
      <c r="BI17" s="651"/>
      <c r="BJ17" s="651"/>
      <c r="BK17" s="651"/>
      <c r="BL17" s="651"/>
      <c r="BM17" s="651"/>
      <c r="BN17" s="651"/>
      <c r="BO17" s="651"/>
      <c r="BP17" s="651"/>
      <c r="BQ17" s="651"/>
      <c r="BR17" s="651"/>
      <c r="BS17" s="651"/>
      <c r="BT17" s="651"/>
    </row>
    <row r="18">
      <c r="A18" s="684"/>
      <c r="B18" s="685" t="s">
        <v>430</v>
      </c>
      <c r="C18" s="698" t="s">
        <v>431</v>
      </c>
      <c r="D18" s="686" t="s">
        <v>432</v>
      </c>
      <c r="E18" s="687">
        <v>1.2</v>
      </c>
      <c r="F18" s="699"/>
      <c r="G18" s="700"/>
      <c r="H18" s="700" t="str">
        <f>IFERROR(__xludf.DUMMYFUNCTION("IFERROR(REGEXEXTRACT(C18, ""(\d*\.\d+)mm""), """")"),"")</f>
        <v/>
      </c>
      <c r="I18" s="701"/>
      <c r="J18" s="126" t="s">
        <v>87</v>
      </c>
      <c r="K18" s="126" t="str">
        <f>IFERROR(
  IF(B18="", "", VLOOKUP(B18, Data!$B$2:$K$905, 7, FALSE)),
  ""
)</f>
        <v/>
      </c>
      <c r="L18" s="135"/>
      <c r="M18" s="150">
        <f>roundup(L17/E18,0)+1</f>
        <v>20182</v>
      </c>
      <c r="N18" s="151">
        <f t="shared" ref="N18:N20" si="5">N17</f>
        <v>1.001372346</v>
      </c>
      <c r="O18" s="169">
        <v>1.0</v>
      </c>
      <c r="P18" s="134">
        <v>1.0</v>
      </c>
      <c r="Q18" s="135">
        <f t="shared" si="1"/>
        <v>20209.69669</v>
      </c>
      <c r="R18" s="681" t="str">
        <f>IFERROR(
  IF(B18="", "", VLOOKUP(B18, Data!$B$2:$K$905, 9, FALSE)),
  ""
)</f>
        <v/>
      </c>
      <c r="S18" s="152">
        <f t="shared" si="2"/>
        <v>0</v>
      </c>
      <c r="T18" s="690"/>
      <c r="U18" s="681" t="str">
        <f>IFERROR(
  IF(B18="", "", VLOOKUP(B18, Data!$B$2:$K$905, 10, FALSE)),
  ""
)
</f>
        <v/>
      </c>
      <c r="V18" s="691"/>
      <c r="W18" s="140">
        <f t="shared" si="3"/>
        <v>0</v>
      </c>
      <c r="X18" s="692"/>
      <c r="Y18" s="693"/>
      <c r="Z18" s="694"/>
      <c r="AA18" s="695"/>
      <c r="AB18" s="354">
        <f t="shared" si="4"/>
        <v>0</v>
      </c>
      <c r="AC18" s="181"/>
      <c r="AD18" s="625"/>
      <c r="AE18" s="626"/>
      <c r="AF18" s="696"/>
      <c r="AG18" s="697"/>
      <c r="AH18" s="629"/>
      <c r="AI18" s="187"/>
      <c r="AJ18" s="630"/>
      <c r="AK18" s="630"/>
      <c r="AL18" s="595"/>
      <c r="AM18" s="595"/>
      <c r="AN18" s="595"/>
      <c r="AO18" s="595"/>
      <c r="AP18" s="595"/>
      <c r="AQ18" s="595"/>
      <c r="AR18" s="595"/>
      <c r="AS18" s="595"/>
      <c r="AT18" s="595"/>
      <c r="AU18" s="595"/>
      <c r="AV18" s="595"/>
      <c r="AW18" s="595"/>
      <c r="AX18" s="595"/>
      <c r="AY18" s="595"/>
      <c r="AZ18" s="595"/>
      <c r="BA18" s="595"/>
      <c r="BB18" s="595"/>
      <c r="BC18" s="595"/>
      <c r="BD18" s="595"/>
      <c r="BE18" s="595"/>
      <c r="BF18" s="595"/>
      <c r="BG18" s="595"/>
      <c r="BH18" s="595"/>
      <c r="BI18" s="651"/>
      <c r="BJ18" s="651"/>
      <c r="BK18" s="651"/>
      <c r="BL18" s="651"/>
      <c r="BM18" s="651"/>
      <c r="BN18" s="651"/>
      <c r="BO18" s="651"/>
      <c r="BP18" s="651"/>
      <c r="BQ18" s="651"/>
      <c r="BR18" s="651"/>
      <c r="BS18" s="651"/>
      <c r="BT18" s="651"/>
    </row>
    <row r="19">
      <c r="A19" s="684"/>
      <c r="B19" s="685" t="s">
        <v>433</v>
      </c>
      <c r="C19" s="702" t="s">
        <v>434</v>
      </c>
      <c r="D19" s="686" t="s">
        <v>360</v>
      </c>
      <c r="E19" s="687"/>
      <c r="F19" s="699"/>
      <c r="G19" s="700"/>
      <c r="H19" s="700"/>
      <c r="I19" s="701"/>
      <c r="J19" s="126" t="s">
        <v>87</v>
      </c>
      <c r="K19" s="126" t="str">
        <f>IFERROR(
  IF(B19="", "", VLOOKUP(B19, Data!$B$2:$K$905, 7, FALSE)),
  ""
)</f>
        <v/>
      </c>
      <c r="L19" s="135"/>
      <c r="M19" s="150">
        <f>M18*2</f>
        <v>40364</v>
      </c>
      <c r="N19" s="151">
        <f t="shared" si="5"/>
        <v>1.001372346</v>
      </c>
      <c r="O19" s="169">
        <v>1.0</v>
      </c>
      <c r="P19" s="134">
        <v>1.0</v>
      </c>
      <c r="Q19" s="135">
        <f t="shared" si="1"/>
        <v>40419.39337</v>
      </c>
      <c r="R19" s="681" t="str">
        <f>IFERROR(
  IF(B19="", "", VLOOKUP(B19, Data!$B$2:$K$905, 9, FALSE)),
  ""
)</f>
        <v/>
      </c>
      <c r="S19" s="152">
        <f t="shared" si="2"/>
        <v>0</v>
      </c>
      <c r="T19" s="690"/>
      <c r="U19" s="681" t="str">
        <f>IFERROR(
  IF(B19="", "", VLOOKUP(B19, Data!$B$2:$K$905, 10, FALSE)),
  ""
)
</f>
        <v/>
      </c>
      <c r="V19" s="691"/>
      <c r="W19" s="140">
        <f t="shared" si="3"/>
        <v>0</v>
      </c>
      <c r="X19" s="692"/>
      <c r="Y19" s="693"/>
      <c r="Z19" s="694"/>
      <c r="AA19" s="695"/>
      <c r="AB19" s="354">
        <f t="shared" si="4"/>
        <v>0</v>
      </c>
      <c r="AC19" s="181"/>
      <c r="AD19" s="625"/>
      <c r="AE19" s="626"/>
      <c r="AF19" s="696"/>
      <c r="AG19" s="697"/>
      <c r="AH19" s="629"/>
      <c r="AI19" s="187"/>
      <c r="AJ19" s="630"/>
      <c r="AK19" s="630"/>
      <c r="AL19" s="595"/>
      <c r="AM19" s="595"/>
      <c r="AN19" s="595"/>
      <c r="AO19" s="595"/>
      <c r="AP19" s="595"/>
      <c r="AQ19" s="595"/>
      <c r="AR19" s="595"/>
      <c r="AS19" s="595"/>
      <c r="AT19" s="595"/>
      <c r="AU19" s="595"/>
      <c r="AV19" s="595"/>
      <c r="AW19" s="595"/>
      <c r="AX19" s="595"/>
      <c r="AY19" s="595"/>
      <c r="AZ19" s="595"/>
      <c r="BA19" s="595"/>
      <c r="BB19" s="595"/>
      <c r="BC19" s="595"/>
      <c r="BD19" s="595"/>
      <c r="BE19" s="595"/>
      <c r="BF19" s="595"/>
      <c r="BG19" s="595"/>
      <c r="BH19" s="595"/>
      <c r="BI19" s="651"/>
      <c r="BJ19" s="651"/>
      <c r="BK19" s="651"/>
      <c r="BL19" s="651"/>
      <c r="BM19" s="651"/>
      <c r="BN19" s="651"/>
      <c r="BO19" s="651"/>
      <c r="BP19" s="651"/>
      <c r="BQ19" s="651"/>
      <c r="BR19" s="651"/>
      <c r="BS19" s="651"/>
      <c r="BT19" s="651"/>
    </row>
    <row r="20">
      <c r="A20" s="703" t="s">
        <v>435</v>
      </c>
      <c r="B20" s="685" t="s">
        <v>436</v>
      </c>
      <c r="C20" s="702" t="s">
        <v>437</v>
      </c>
      <c r="D20" s="686" t="s">
        <v>438</v>
      </c>
      <c r="E20" s="687"/>
      <c r="F20" s="699"/>
      <c r="G20" s="700"/>
      <c r="H20" s="700"/>
      <c r="I20" s="701"/>
      <c r="J20" s="126" t="s">
        <v>87</v>
      </c>
      <c r="K20" s="126" t="str">
        <f>IFERROR(
  IF(B20="", "", VLOOKUP(B20, Data!$B$2:$K$905, 7, FALSE)),
  ""
)</f>
        <v/>
      </c>
      <c r="L20" s="704"/>
      <c r="M20" s="150">
        <f>235+235</f>
        <v>470</v>
      </c>
      <c r="N20" s="151">
        <f t="shared" si="5"/>
        <v>1.001372346</v>
      </c>
      <c r="O20" s="169">
        <v>1.0</v>
      </c>
      <c r="P20" s="134">
        <v>1.0</v>
      </c>
      <c r="Q20" s="135">
        <f t="shared" si="1"/>
        <v>470.6450026</v>
      </c>
      <c r="R20" s="681" t="str">
        <f>IFERROR(
  IF(B20="", "", VLOOKUP(B20, Data!$B$2:$K$905, 9, FALSE)),
  ""
)</f>
        <v/>
      </c>
      <c r="S20" s="152">
        <f t="shared" si="2"/>
        <v>0</v>
      </c>
      <c r="T20" s="690"/>
      <c r="U20" s="681" t="str">
        <f>IFERROR(
  IF(B20="", "", VLOOKUP(B20, Data!$B$2:$K$905, 10, FALSE)),
  ""
)
</f>
        <v/>
      </c>
      <c r="V20" s="691"/>
      <c r="W20" s="140">
        <f t="shared" si="3"/>
        <v>0</v>
      </c>
      <c r="X20" s="692"/>
      <c r="Y20" s="693"/>
      <c r="Z20" s="694"/>
      <c r="AA20" s="695"/>
      <c r="AB20" s="595"/>
      <c r="AC20" s="181"/>
      <c r="AD20" s="705"/>
      <c r="AE20" s="706"/>
      <c r="AF20" s="707"/>
      <c r="AG20" s="708"/>
      <c r="AH20" s="709"/>
      <c r="AI20" s="187"/>
      <c r="AJ20" s="710"/>
      <c r="AK20" s="710"/>
      <c r="AL20" s="595"/>
      <c r="AM20" s="595"/>
      <c r="AN20" s="595"/>
      <c r="AO20" s="595"/>
      <c r="AP20" s="595"/>
      <c r="AQ20" s="595"/>
      <c r="AR20" s="595"/>
      <c r="AS20" s="595"/>
      <c r="AT20" s="595"/>
      <c r="AU20" s="595"/>
      <c r="AV20" s="595"/>
      <c r="AW20" s="595"/>
      <c r="AX20" s="595"/>
      <c r="AY20" s="595"/>
      <c r="AZ20" s="595"/>
      <c r="BA20" s="595"/>
      <c r="BB20" s="595"/>
      <c r="BC20" s="595"/>
      <c r="BD20" s="595"/>
      <c r="BE20" s="595"/>
      <c r="BF20" s="595"/>
      <c r="BG20" s="595"/>
      <c r="BH20" s="595"/>
      <c r="BI20" s="651"/>
      <c r="BJ20" s="651"/>
      <c r="BK20" s="651"/>
      <c r="BL20" s="651"/>
      <c r="BM20" s="651"/>
      <c r="BN20" s="651"/>
      <c r="BO20" s="651"/>
      <c r="BP20" s="651"/>
      <c r="BQ20" s="651"/>
      <c r="BR20" s="651"/>
      <c r="BS20" s="651"/>
      <c r="BT20" s="651"/>
    </row>
    <row r="21">
      <c r="A21" s="684"/>
      <c r="B21" s="685"/>
      <c r="C21" s="702"/>
      <c r="D21" s="702"/>
      <c r="E21" s="687"/>
      <c r="F21" s="699"/>
      <c r="G21" s="700"/>
      <c r="H21" s="700"/>
      <c r="I21" s="701"/>
      <c r="J21" s="701"/>
      <c r="K21" s="701"/>
      <c r="L21" s="704"/>
      <c r="M21" s="704"/>
      <c r="N21" s="711"/>
      <c r="O21" s="712"/>
      <c r="P21" s="700"/>
      <c r="Q21" s="704"/>
      <c r="R21" s="681"/>
      <c r="S21" s="691"/>
      <c r="T21" s="690"/>
      <c r="U21" s="681"/>
      <c r="V21" s="691"/>
      <c r="W21" s="713"/>
      <c r="X21" s="692"/>
      <c r="Y21" s="693"/>
      <c r="Z21" s="694"/>
      <c r="AA21" s="695"/>
      <c r="AB21" s="354"/>
      <c r="AC21" s="181"/>
      <c r="AD21" s="705"/>
      <c r="AE21" s="706"/>
      <c r="AF21" s="707"/>
      <c r="AG21" s="708"/>
      <c r="AH21" s="709"/>
      <c r="AI21" s="187"/>
      <c r="AJ21" s="710"/>
      <c r="AK21" s="710"/>
      <c r="AL21" s="595"/>
      <c r="AM21" s="595"/>
      <c r="AN21" s="595"/>
      <c r="AO21" s="595"/>
      <c r="AP21" s="595"/>
      <c r="AQ21" s="595"/>
      <c r="AR21" s="595"/>
      <c r="AS21" s="595"/>
      <c r="AT21" s="595"/>
      <c r="AU21" s="595"/>
      <c r="AV21" s="595"/>
      <c r="AW21" s="595"/>
      <c r="AX21" s="595"/>
      <c r="AY21" s="595"/>
      <c r="AZ21" s="595"/>
      <c r="BA21" s="595"/>
      <c r="BB21" s="595"/>
      <c r="BC21" s="595"/>
      <c r="BD21" s="595"/>
      <c r="BE21" s="595"/>
      <c r="BF21" s="595"/>
      <c r="BG21" s="595"/>
      <c r="BH21" s="595"/>
      <c r="BI21" s="651"/>
      <c r="BJ21" s="651"/>
      <c r="BK21" s="651"/>
      <c r="BL21" s="651"/>
      <c r="BM21" s="651"/>
      <c r="BN21" s="651"/>
      <c r="BO21" s="651"/>
      <c r="BP21" s="651"/>
      <c r="BQ21" s="651"/>
      <c r="BR21" s="651"/>
      <c r="BS21" s="651"/>
      <c r="BT21" s="651"/>
    </row>
    <row r="22">
      <c r="A22" s="684"/>
      <c r="B22" s="685" t="s">
        <v>427</v>
      </c>
      <c r="C22" s="123" t="s">
        <v>439</v>
      </c>
      <c r="D22" s="686" t="s">
        <v>40</v>
      </c>
      <c r="E22" s="687" t="str">
        <f>IFERROR(__xludf.DUMMYFUNCTION("IF($B$15:$B1152="""","""",
  VLOOKUP(
    $B$15:$B1152,
    QUERY(
      IMPORTRANGE(""1Ag27m9YF5mMfJh2E6NipJDFvPLlDI1p-s_1XEnzMHcc"",""Merge!F2:R""),
      ""select Col1, Col11"",
      0
    ),
    2,
    FALSE
  )
)
"),"#REF!")</f>
        <v>#REF!</v>
      </c>
      <c r="F22" s="699"/>
      <c r="G22" s="689" t="s">
        <v>429</v>
      </c>
      <c r="H22" s="128" t="str">
        <f>IFERROR(__xludf.DUMMYFUNCTION("IFERROR(REGEXEXTRACT(C22, ""(\d*\.\d+)mm""), """")"),"0.55")</f>
        <v>0.55</v>
      </c>
      <c r="I22" s="128" t="s">
        <v>97</v>
      </c>
      <c r="J22" s="126" t="s">
        <v>14</v>
      </c>
      <c r="K22" s="126" t="str">
        <f>IFERROR(
  IF(B22="", "", VLOOKUP(B22, Data!$B$2:$K$905, 7, FALSE)),
  ""
)</f>
        <v/>
      </c>
      <c r="L22" s="135">
        <f>2101.32+
1258.92</f>
        <v>3360.24</v>
      </c>
      <c r="M22" s="135" t="str">
        <f>L22*E22</f>
        <v>#REF!</v>
      </c>
      <c r="N22" s="151">
        <f>IFERROR(__xludf.DUMMYFUNCTION("IF(
  AND(
    IFERROR(REGEXEXTRACT(C22,""@\s*(\d+(?:\.\d+)?)\s*deg""),"""")&lt;&gt;"""",
    F22&lt;&gt;""""
  ),
  ""Pls Confirm °"",
  IF(
    IFERROR(REGEXEXTRACT(C22,""@\s*(\d+(?:\.\d+)?)\s*deg""),"""")&lt;&gt;"""",
    1/COS(RADIANS(REGEXEXTRACT(C22,""@\s*(\d+(?:\.\d"&amp;"+)?)\s*deg""))),
    IF(
      F22&lt;&gt;"""",
      IF(
        ISNUMBER(SEARCH(""|"",F22)),
        1/COS(
          ATAN(
            TAN(RADIANS(VALUE(INDEX(SPLIT(F22,""|""),1)))) *
            TAN(RADIANS(VALUE(INDEX(SPLIT(F22,""|""),2))))
            /
 "&amp;"           SQRT(
              TAN(RADIANS(VALUE(INDEX(SPLIT(F22,""|""),1))))^2 +
              TAN(RADIANS(VALUE(INDEX(SPLIT(F22,""|""),2))))^2
            )
          )
        ),
        1/COS(RADIANS(VALUE(F22)))
      ),
      1
    )
  )
)"),1.001372345997921)</f>
        <v>1.001372346</v>
      </c>
      <c r="O22" s="169">
        <v>1.0</v>
      </c>
      <c r="P22" s="134">
        <v>1.0</v>
      </c>
      <c r="Q22" s="135" t="str">
        <f t="shared" ref="Q22:Q24" si="6">M22*N22*O22*P22</f>
        <v>#REF!</v>
      </c>
      <c r="R22" s="681" t="str">
        <f>IFERROR(
  IF(B22="", "", VLOOKUP(B22, Data!$B$2:$K$905, 9, FALSE)),
  ""
)</f>
        <v/>
      </c>
      <c r="S22" s="152" t="str">
        <f t="shared" ref="S22:S24" si="7">R22*Q22</f>
        <v>#REF!</v>
      </c>
      <c r="T22" s="690"/>
      <c r="U22" s="681" t="str">
        <f>IFERROR(
  IF(B22="", "", VLOOKUP(B22, Data!$B$2:$K$905, 10, FALSE)),
  ""
)
</f>
        <v/>
      </c>
      <c r="V22" s="691"/>
      <c r="W22" s="140" t="str">
        <f t="shared" ref="W22:W24" si="8">U22*Q22</f>
        <v>#REF!</v>
      </c>
      <c r="X22" s="692"/>
      <c r="Y22" s="693"/>
      <c r="Z22" s="694"/>
      <c r="AA22" s="695"/>
      <c r="AB22" s="354" t="str">
        <f t="shared" ref="AB22:AB24" si="9">W22+S22</f>
        <v>#REF!</v>
      </c>
      <c r="AC22" s="181"/>
      <c r="AD22" s="625"/>
      <c r="AE22" s="626"/>
      <c r="AF22" s="696"/>
      <c r="AG22" s="697"/>
      <c r="AH22" s="629"/>
      <c r="AI22" s="187"/>
      <c r="AJ22" s="630"/>
      <c r="AK22" s="630"/>
      <c r="AL22" s="595"/>
      <c r="AM22" s="595"/>
      <c r="AN22" s="595"/>
      <c r="AO22" s="595"/>
      <c r="AP22" s="595"/>
      <c r="AQ22" s="595"/>
      <c r="AR22" s="595"/>
      <c r="AS22" s="595"/>
      <c r="AT22" s="595"/>
      <c r="AU22" s="595"/>
      <c r="AV22" s="595"/>
      <c r="AW22" s="595"/>
      <c r="AX22" s="595"/>
      <c r="AY22" s="595"/>
      <c r="AZ22" s="595"/>
      <c r="BA22" s="595"/>
      <c r="BB22" s="595"/>
      <c r="BC22" s="595"/>
      <c r="BD22" s="595"/>
      <c r="BE22" s="595"/>
      <c r="BF22" s="595"/>
      <c r="BG22" s="595"/>
      <c r="BH22" s="595"/>
      <c r="BI22" s="651"/>
      <c r="BJ22" s="651"/>
      <c r="BK22" s="651"/>
      <c r="BL22" s="651"/>
      <c r="BM22" s="651"/>
      <c r="BN22" s="651"/>
      <c r="BO22" s="651"/>
      <c r="BP22" s="651"/>
      <c r="BQ22" s="651"/>
      <c r="BR22" s="651"/>
      <c r="BS22" s="651"/>
      <c r="BT22" s="651"/>
    </row>
    <row r="23">
      <c r="A23" s="684"/>
      <c r="B23" s="685" t="s">
        <v>430</v>
      </c>
      <c r="C23" s="698" t="s">
        <v>431</v>
      </c>
      <c r="D23" s="686" t="s">
        <v>432</v>
      </c>
      <c r="E23" s="687">
        <v>0.9</v>
      </c>
      <c r="F23" s="699"/>
      <c r="G23" s="700"/>
      <c r="H23" s="700" t="str">
        <f>IFERROR(__xludf.DUMMYFUNCTION("IFERROR(REGEXEXTRACT(C23, ""(\d*\.\d+)mm""), """")"),"")</f>
        <v/>
      </c>
      <c r="I23" s="701"/>
      <c r="J23" s="126" t="s">
        <v>87</v>
      </c>
      <c r="K23" s="126" t="str">
        <f>IFERROR(
  IF(B23="", "", VLOOKUP(B23, Data!$B$2:$K$905, 7, FALSE)),
  ""
)</f>
        <v/>
      </c>
      <c r="L23" s="135"/>
      <c r="M23" s="150">
        <f>roundup(L22/E23,0)+1</f>
        <v>3735</v>
      </c>
      <c r="N23" s="151">
        <f t="shared" ref="N23:N24" si="10">N22</f>
        <v>1.001372346</v>
      </c>
      <c r="O23" s="169">
        <v>1.0</v>
      </c>
      <c r="P23" s="134">
        <v>1.0</v>
      </c>
      <c r="Q23" s="135">
        <f t="shared" si="6"/>
        <v>3740.125712</v>
      </c>
      <c r="R23" s="681" t="str">
        <f>IFERROR(
  IF(B23="", "", VLOOKUP(B23, Data!$B$2:$K$905, 9, FALSE)),
  ""
)</f>
        <v/>
      </c>
      <c r="S23" s="152">
        <f t="shared" si="7"/>
        <v>0</v>
      </c>
      <c r="T23" s="690"/>
      <c r="U23" s="681" t="str">
        <f>IFERROR(
  IF(B23="", "", VLOOKUP(B23, Data!$B$2:$K$905, 10, FALSE)),
  ""
)
</f>
        <v/>
      </c>
      <c r="V23" s="691"/>
      <c r="W23" s="140">
        <f t="shared" si="8"/>
        <v>0</v>
      </c>
      <c r="X23" s="692"/>
      <c r="Y23" s="693"/>
      <c r="Z23" s="694"/>
      <c r="AA23" s="695"/>
      <c r="AB23" s="354">
        <f t="shared" si="9"/>
        <v>0</v>
      </c>
      <c r="AC23" s="181"/>
      <c r="AD23" s="625"/>
      <c r="AE23" s="626"/>
      <c r="AF23" s="696"/>
      <c r="AG23" s="697"/>
      <c r="AH23" s="629"/>
      <c r="AI23" s="187"/>
      <c r="AJ23" s="630"/>
      <c r="AK23" s="630"/>
      <c r="AL23" s="595"/>
      <c r="AM23" s="595"/>
      <c r="AN23" s="595"/>
      <c r="AO23" s="595"/>
      <c r="AP23" s="595"/>
      <c r="AQ23" s="595"/>
      <c r="AR23" s="595"/>
      <c r="AS23" s="595"/>
      <c r="AT23" s="595"/>
      <c r="AU23" s="595"/>
      <c r="AV23" s="595"/>
      <c r="AW23" s="595"/>
      <c r="AX23" s="595"/>
      <c r="AY23" s="595"/>
      <c r="AZ23" s="595"/>
      <c r="BA23" s="595"/>
      <c r="BB23" s="595"/>
      <c r="BC23" s="595"/>
      <c r="BD23" s="595"/>
      <c r="BE23" s="595"/>
      <c r="BF23" s="595"/>
      <c r="BG23" s="595"/>
      <c r="BH23" s="595"/>
      <c r="BI23" s="651"/>
      <c r="BJ23" s="651"/>
      <c r="BK23" s="651"/>
      <c r="BL23" s="651"/>
      <c r="BM23" s="651"/>
      <c r="BN23" s="651"/>
      <c r="BO23" s="651"/>
      <c r="BP23" s="651"/>
      <c r="BQ23" s="651"/>
      <c r="BR23" s="651"/>
      <c r="BS23" s="651"/>
      <c r="BT23" s="651"/>
    </row>
    <row r="24">
      <c r="A24" s="684"/>
      <c r="B24" s="685" t="s">
        <v>433</v>
      </c>
      <c r="C24" s="702" t="s">
        <v>434</v>
      </c>
      <c r="D24" s="686" t="s">
        <v>360</v>
      </c>
      <c r="E24" s="687"/>
      <c r="F24" s="699"/>
      <c r="G24" s="700"/>
      <c r="H24" s="700"/>
      <c r="I24" s="701"/>
      <c r="J24" s="126" t="s">
        <v>87</v>
      </c>
      <c r="K24" s="126" t="str">
        <f>IFERROR(
  IF(B24="", "", VLOOKUP(B24, Data!$B$2:$K$905, 7, FALSE)),
  ""
)</f>
        <v/>
      </c>
      <c r="L24" s="135"/>
      <c r="M24" s="150">
        <f>M23*2</f>
        <v>7470</v>
      </c>
      <c r="N24" s="151">
        <f t="shared" si="10"/>
        <v>1.001372346</v>
      </c>
      <c r="O24" s="169">
        <v>1.0</v>
      </c>
      <c r="P24" s="134">
        <v>1.0</v>
      </c>
      <c r="Q24" s="135">
        <f t="shared" si="6"/>
        <v>7480.251425</v>
      </c>
      <c r="R24" s="681" t="str">
        <f>IFERROR(
  IF(B24="", "", VLOOKUP(B24, Data!$B$2:$K$905, 9, FALSE)),
  ""
)</f>
        <v/>
      </c>
      <c r="S24" s="152">
        <f t="shared" si="7"/>
        <v>0</v>
      </c>
      <c r="T24" s="690"/>
      <c r="U24" s="681" t="str">
        <f>IFERROR(
  IF(B24="", "", VLOOKUP(B24, Data!$B$2:$K$905, 10, FALSE)),
  ""
)
</f>
        <v/>
      </c>
      <c r="V24" s="691"/>
      <c r="W24" s="140">
        <f t="shared" si="8"/>
        <v>0</v>
      </c>
      <c r="X24" s="692"/>
      <c r="Y24" s="693"/>
      <c r="Z24" s="694"/>
      <c r="AA24" s="695"/>
      <c r="AB24" s="354">
        <f t="shared" si="9"/>
        <v>0</v>
      </c>
      <c r="AC24" s="181"/>
      <c r="AD24" s="625"/>
      <c r="AE24" s="626"/>
      <c r="AF24" s="696"/>
      <c r="AG24" s="697"/>
      <c r="AH24" s="629"/>
      <c r="AI24" s="187"/>
      <c r="AJ24" s="630"/>
      <c r="AK24" s="630"/>
      <c r="AL24" s="595"/>
      <c r="AM24" s="595"/>
      <c r="AN24" s="595"/>
      <c r="AO24" s="595"/>
      <c r="AP24" s="595"/>
      <c r="AQ24" s="595"/>
      <c r="AR24" s="595"/>
      <c r="AS24" s="595"/>
      <c r="AT24" s="595"/>
      <c r="AU24" s="595"/>
      <c r="AV24" s="595"/>
      <c r="AW24" s="595"/>
      <c r="AX24" s="595"/>
      <c r="AY24" s="595"/>
      <c r="AZ24" s="595"/>
      <c r="BA24" s="595"/>
      <c r="BB24" s="595"/>
      <c r="BC24" s="595"/>
      <c r="BD24" s="595"/>
      <c r="BE24" s="595"/>
      <c r="BF24" s="595"/>
      <c r="BG24" s="595"/>
      <c r="BH24" s="595"/>
      <c r="BI24" s="651"/>
      <c r="BJ24" s="651"/>
      <c r="BK24" s="651"/>
      <c r="BL24" s="651"/>
      <c r="BM24" s="651"/>
      <c r="BN24" s="651"/>
      <c r="BO24" s="651"/>
      <c r="BP24" s="651"/>
      <c r="BQ24" s="651"/>
      <c r="BR24" s="651"/>
      <c r="BS24" s="651"/>
      <c r="BT24" s="651"/>
    </row>
    <row r="25">
      <c r="A25" s="684"/>
      <c r="B25" s="685"/>
      <c r="C25" s="702"/>
      <c r="D25" s="702"/>
      <c r="E25" s="687"/>
      <c r="F25" s="699"/>
      <c r="G25" s="700"/>
      <c r="H25" s="700"/>
      <c r="I25" s="701"/>
      <c r="J25" s="701"/>
      <c r="K25" s="701"/>
      <c r="L25" s="704"/>
      <c r="M25" s="704"/>
      <c r="N25" s="711"/>
      <c r="O25" s="712"/>
      <c r="P25" s="700"/>
      <c r="Q25" s="704"/>
      <c r="R25" s="681"/>
      <c r="S25" s="691"/>
      <c r="T25" s="690"/>
      <c r="U25" s="681"/>
      <c r="V25" s="691"/>
      <c r="W25" s="713"/>
      <c r="X25" s="692"/>
      <c r="Y25" s="693"/>
      <c r="Z25" s="694"/>
      <c r="AA25" s="695"/>
      <c r="AB25" s="354"/>
      <c r="AC25" s="181"/>
      <c r="AD25" s="705"/>
      <c r="AE25" s="706"/>
      <c r="AF25" s="707"/>
      <c r="AG25" s="708"/>
      <c r="AH25" s="709"/>
      <c r="AI25" s="187"/>
      <c r="AJ25" s="710"/>
      <c r="AK25" s="710"/>
      <c r="AL25" s="595"/>
      <c r="AM25" s="595"/>
      <c r="AN25" s="595"/>
      <c r="AO25" s="595"/>
      <c r="AP25" s="595"/>
      <c r="AQ25" s="595"/>
      <c r="AR25" s="595"/>
      <c r="AS25" s="595"/>
      <c r="AT25" s="595"/>
      <c r="AU25" s="595"/>
      <c r="AV25" s="595"/>
      <c r="AW25" s="595"/>
      <c r="AX25" s="595"/>
      <c r="AY25" s="595"/>
      <c r="AZ25" s="595"/>
      <c r="BA25" s="595"/>
      <c r="BB25" s="595"/>
      <c r="BC25" s="595"/>
      <c r="BD25" s="595"/>
      <c r="BE25" s="595"/>
      <c r="BF25" s="595"/>
      <c r="BG25" s="595"/>
      <c r="BH25" s="595"/>
      <c r="BI25" s="651"/>
      <c r="BJ25" s="651"/>
      <c r="BK25" s="651"/>
      <c r="BL25" s="651"/>
      <c r="BM25" s="651"/>
      <c r="BN25" s="651"/>
      <c r="BO25" s="651"/>
      <c r="BP25" s="651"/>
      <c r="BQ25" s="651"/>
      <c r="BR25" s="651"/>
      <c r="BS25" s="651"/>
      <c r="BT25" s="651"/>
    </row>
    <row r="26">
      <c r="A26" s="684"/>
      <c r="B26" s="685" t="s">
        <v>427</v>
      </c>
      <c r="C26" s="123" t="s">
        <v>440</v>
      </c>
      <c r="D26" s="686" t="s">
        <v>40</v>
      </c>
      <c r="E26" s="687" t="str">
        <f>IFERROR(__xludf.DUMMYFUNCTION("IF($B$15:$B1152="""","""",
  VLOOKUP(
    $B$15:$B1152,
    QUERY(
      IMPORTRANGE(""1Ag27m9YF5mMfJh2E6NipJDFvPLlDI1p-s_1XEnzMHcc"",""Merge!F2:R""),
      ""select Col1, Col11"",
      0
    ),
    2,
    FALSE
  )
)
"),"#REF!")</f>
        <v>#REF!</v>
      </c>
      <c r="F26" s="699"/>
      <c r="G26" s="689" t="s">
        <v>429</v>
      </c>
      <c r="H26" s="128" t="str">
        <f>IFERROR(__xludf.DUMMYFUNCTION("IFERROR(REGEXEXTRACT(C26, ""(\d*\.\d+)mm""), """")"),"0.55")</f>
        <v>0.55</v>
      </c>
      <c r="I26" s="128" t="s">
        <v>97</v>
      </c>
      <c r="J26" s="126" t="s">
        <v>14</v>
      </c>
      <c r="K26" s="126" t="str">
        <f>IFERROR(
  IF(B26="", "", VLOOKUP(B26, Data!$B$2:$K$905, 7, FALSE)),
  ""
)</f>
        <v/>
      </c>
      <c r="L26" s="135">
        <f>1666.08+
1696.5</f>
        <v>3362.58</v>
      </c>
      <c r="M26" s="135" t="str">
        <f>L26*E26</f>
        <v>#REF!</v>
      </c>
      <c r="N26" s="151">
        <f>IFERROR(__xludf.DUMMYFUNCTION("IF(
  AND(
    IFERROR(REGEXEXTRACT(C26,""@\s*(\d+(?:\.\d+)?)\s*deg""),"""")&lt;&gt;"""",
    F26&lt;&gt;""""
  ),
  ""Pls Confirm °"",
  IF(
    IFERROR(REGEXEXTRACT(C26,""@\s*(\d+(?:\.\d+)?)\s*deg""),"""")&lt;&gt;"""",
    1/COS(RADIANS(REGEXEXTRACT(C26,""@\s*(\d+(?:\.\d"&amp;"+)?)\s*deg""))),
    IF(
      F26&lt;&gt;"""",
      IF(
        ISNUMBER(SEARCH(""|"",F26)),
        1/COS(
          ATAN(
            TAN(RADIANS(VALUE(INDEX(SPLIT(F26,""|""),1)))) *
            TAN(RADIANS(VALUE(INDEX(SPLIT(F26,""|""),2))))
            /
 "&amp;"           SQRT(
              TAN(RADIANS(VALUE(INDEX(SPLIT(F26,""|""),1))))^2 +
              TAN(RADIANS(VALUE(INDEX(SPLIT(F26,""|""),2))))^2
            )
          )
        ),
        1/COS(RADIANS(VALUE(F26)))
      ),
      1
    )
  )
)"),1.001372345997921)</f>
        <v>1.001372346</v>
      </c>
      <c r="O26" s="169">
        <v>1.0</v>
      </c>
      <c r="P26" s="134">
        <v>1.0</v>
      </c>
      <c r="Q26" s="135" t="str">
        <f t="shared" ref="Q26:Q28" si="11">M26*N26*O26*P26</f>
        <v>#REF!</v>
      </c>
      <c r="R26" s="681" t="str">
        <f>IFERROR(
  IF(B26="", "", VLOOKUP(B26, Data!$B$2:$K$905, 9, FALSE)),
  ""
)</f>
        <v/>
      </c>
      <c r="S26" s="152" t="str">
        <f t="shared" ref="S26:S28" si="12">R26*Q26</f>
        <v>#REF!</v>
      </c>
      <c r="T26" s="690"/>
      <c r="U26" s="681" t="str">
        <f>IFERROR(
  IF(B26="", "", VLOOKUP(B26, Data!$B$2:$K$905, 10, FALSE)),
  ""
)
</f>
        <v/>
      </c>
      <c r="V26" s="691"/>
      <c r="W26" s="140" t="str">
        <f t="shared" ref="W26:W28" si="13">U26*Q26</f>
        <v>#REF!</v>
      </c>
      <c r="X26" s="692"/>
      <c r="Y26" s="693"/>
      <c r="Z26" s="694"/>
      <c r="AA26" s="695"/>
      <c r="AB26" s="354" t="str">
        <f t="shared" ref="AB26:AB29" si="14">W26+S26</f>
        <v>#REF!</v>
      </c>
      <c r="AC26" s="181"/>
      <c r="AD26" s="625"/>
      <c r="AE26" s="626"/>
      <c r="AF26" s="696"/>
      <c r="AG26" s="697"/>
      <c r="AH26" s="629"/>
      <c r="AI26" s="187"/>
      <c r="AJ26" s="630"/>
      <c r="AK26" s="630"/>
      <c r="AL26" s="595"/>
      <c r="AM26" s="595"/>
      <c r="AN26" s="595"/>
      <c r="AO26" s="595"/>
      <c r="AP26" s="595"/>
      <c r="AQ26" s="595"/>
      <c r="AR26" s="595"/>
      <c r="AS26" s="595"/>
      <c r="AT26" s="595"/>
      <c r="AU26" s="595"/>
      <c r="AV26" s="595"/>
      <c r="AW26" s="595"/>
      <c r="AX26" s="595"/>
      <c r="AY26" s="595"/>
      <c r="AZ26" s="595"/>
      <c r="BA26" s="595"/>
      <c r="BB26" s="595"/>
      <c r="BC26" s="595"/>
      <c r="BD26" s="595"/>
      <c r="BE26" s="595"/>
      <c r="BF26" s="595"/>
      <c r="BG26" s="595"/>
      <c r="BH26" s="595"/>
      <c r="BI26" s="651"/>
      <c r="BJ26" s="651"/>
      <c r="BK26" s="651"/>
      <c r="BL26" s="651"/>
      <c r="BM26" s="651"/>
      <c r="BN26" s="651"/>
      <c r="BO26" s="651"/>
      <c r="BP26" s="651"/>
      <c r="BQ26" s="651"/>
      <c r="BR26" s="651"/>
      <c r="BS26" s="651"/>
      <c r="BT26" s="651"/>
    </row>
    <row r="27">
      <c r="A27" s="684"/>
      <c r="B27" s="685" t="s">
        <v>430</v>
      </c>
      <c r="C27" s="698" t="s">
        <v>431</v>
      </c>
      <c r="D27" s="686" t="s">
        <v>432</v>
      </c>
      <c r="E27" s="687">
        <v>0.7</v>
      </c>
      <c r="F27" s="699"/>
      <c r="G27" s="700"/>
      <c r="H27" s="700" t="str">
        <f>IFERROR(__xludf.DUMMYFUNCTION("IFERROR(REGEXEXTRACT(C27, ""(\d*\.\d+)mm""), """")"),"")</f>
        <v/>
      </c>
      <c r="I27" s="701"/>
      <c r="J27" s="126" t="s">
        <v>87</v>
      </c>
      <c r="K27" s="126" t="str">
        <f>IFERROR(
  IF(B27="", "", VLOOKUP(B27, Data!$B$2:$K$905, 7, FALSE)),
  ""
)</f>
        <v/>
      </c>
      <c r="L27" s="135"/>
      <c r="M27" s="150">
        <f>roundup(L26/E27,0)+1</f>
        <v>4805</v>
      </c>
      <c r="N27" s="151">
        <f t="shared" ref="N27:N28" si="15">N26</f>
        <v>1.001372346</v>
      </c>
      <c r="O27" s="169">
        <v>1.0</v>
      </c>
      <c r="P27" s="134">
        <v>1.0</v>
      </c>
      <c r="Q27" s="135">
        <f t="shared" si="11"/>
        <v>4811.594123</v>
      </c>
      <c r="R27" s="681" t="str">
        <f>IFERROR(
  IF(B27="", "", VLOOKUP(B27, Data!$B$2:$K$905, 9, FALSE)),
  ""
)</f>
        <v/>
      </c>
      <c r="S27" s="152">
        <f t="shared" si="12"/>
        <v>0</v>
      </c>
      <c r="T27" s="690"/>
      <c r="U27" s="681" t="str">
        <f>IFERROR(
  IF(B27="", "", VLOOKUP(B27, Data!$B$2:$K$905, 10, FALSE)),
  ""
)
</f>
        <v/>
      </c>
      <c r="V27" s="691"/>
      <c r="W27" s="140">
        <f t="shared" si="13"/>
        <v>0</v>
      </c>
      <c r="X27" s="692"/>
      <c r="Y27" s="693"/>
      <c r="Z27" s="694"/>
      <c r="AA27" s="695"/>
      <c r="AB27" s="354">
        <f t="shared" si="14"/>
        <v>0</v>
      </c>
      <c r="AC27" s="181"/>
      <c r="AD27" s="625"/>
      <c r="AE27" s="626"/>
      <c r="AF27" s="696"/>
      <c r="AG27" s="697"/>
      <c r="AH27" s="629"/>
      <c r="AI27" s="187"/>
      <c r="AJ27" s="630"/>
      <c r="AK27" s="630"/>
      <c r="AL27" s="595"/>
      <c r="AM27" s="595"/>
      <c r="AN27" s="595"/>
      <c r="AO27" s="595"/>
      <c r="AP27" s="595"/>
      <c r="AQ27" s="595"/>
      <c r="AR27" s="595"/>
      <c r="AS27" s="595"/>
      <c r="AT27" s="595"/>
      <c r="AU27" s="595"/>
      <c r="AV27" s="595"/>
      <c r="AW27" s="595"/>
      <c r="AX27" s="595"/>
      <c r="AY27" s="595"/>
      <c r="AZ27" s="595"/>
      <c r="BA27" s="595"/>
      <c r="BB27" s="595"/>
      <c r="BC27" s="595"/>
      <c r="BD27" s="595"/>
      <c r="BE27" s="595"/>
      <c r="BF27" s="595"/>
      <c r="BG27" s="595"/>
      <c r="BH27" s="595"/>
      <c r="BI27" s="651"/>
      <c r="BJ27" s="651"/>
      <c r="BK27" s="651"/>
      <c r="BL27" s="651"/>
      <c r="BM27" s="651"/>
      <c r="BN27" s="651"/>
      <c r="BO27" s="651"/>
      <c r="BP27" s="651"/>
      <c r="BQ27" s="651"/>
      <c r="BR27" s="651"/>
      <c r="BS27" s="651"/>
      <c r="BT27" s="651"/>
    </row>
    <row r="28">
      <c r="A28" s="684"/>
      <c r="B28" s="685" t="s">
        <v>433</v>
      </c>
      <c r="C28" s="702" t="s">
        <v>434</v>
      </c>
      <c r="D28" s="686" t="s">
        <v>360</v>
      </c>
      <c r="E28" s="687"/>
      <c r="F28" s="699"/>
      <c r="G28" s="700"/>
      <c r="H28" s="700"/>
      <c r="I28" s="701"/>
      <c r="J28" s="126" t="s">
        <v>87</v>
      </c>
      <c r="K28" s="126" t="str">
        <f>IFERROR(
  IF(B28="", "", VLOOKUP(B28, Data!$B$2:$K$905, 7, FALSE)),
  ""
)</f>
        <v/>
      </c>
      <c r="L28" s="135"/>
      <c r="M28" s="150">
        <f>M27*2</f>
        <v>9610</v>
      </c>
      <c r="N28" s="151">
        <f t="shared" si="15"/>
        <v>1.001372346</v>
      </c>
      <c r="O28" s="169">
        <v>1.0</v>
      </c>
      <c r="P28" s="134">
        <v>1.0</v>
      </c>
      <c r="Q28" s="135">
        <f t="shared" si="11"/>
        <v>9623.188245</v>
      </c>
      <c r="R28" s="681" t="str">
        <f>IFERROR(
  IF(B28="", "", VLOOKUP(B28, Data!$B$2:$K$905, 9, FALSE)),
  ""
)</f>
        <v/>
      </c>
      <c r="S28" s="152">
        <f t="shared" si="12"/>
        <v>0</v>
      </c>
      <c r="T28" s="690"/>
      <c r="U28" s="681" t="str">
        <f>IFERROR(
  IF(B28="", "", VLOOKUP(B28, Data!$B$2:$K$905, 10, FALSE)),
  ""
)
</f>
        <v/>
      </c>
      <c r="V28" s="691"/>
      <c r="W28" s="140">
        <f t="shared" si="13"/>
        <v>0</v>
      </c>
      <c r="X28" s="692"/>
      <c r="Y28" s="693"/>
      <c r="Z28" s="694"/>
      <c r="AA28" s="695"/>
      <c r="AB28" s="354">
        <f t="shared" si="14"/>
        <v>0</v>
      </c>
      <c r="AC28" s="181"/>
      <c r="AD28" s="625"/>
      <c r="AE28" s="626"/>
      <c r="AF28" s="696"/>
      <c r="AG28" s="697"/>
      <c r="AH28" s="629"/>
      <c r="AI28" s="187"/>
      <c r="AJ28" s="630"/>
      <c r="AK28" s="630"/>
      <c r="AL28" s="595"/>
      <c r="AM28" s="595"/>
      <c r="AN28" s="595"/>
      <c r="AO28" s="595"/>
      <c r="AP28" s="595"/>
      <c r="AQ28" s="595"/>
      <c r="AR28" s="595"/>
      <c r="AS28" s="595"/>
      <c r="AT28" s="595"/>
      <c r="AU28" s="595"/>
      <c r="AV28" s="595"/>
      <c r="AW28" s="595"/>
      <c r="AX28" s="595"/>
      <c r="AY28" s="595"/>
      <c r="AZ28" s="595"/>
      <c r="BA28" s="595"/>
      <c r="BB28" s="595"/>
      <c r="BC28" s="595"/>
      <c r="BD28" s="595"/>
      <c r="BE28" s="595"/>
      <c r="BF28" s="595"/>
      <c r="BG28" s="595"/>
      <c r="BH28" s="595"/>
      <c r="BI28" s="651"/>
      <c r="BJ28" s="651"/>
      <c r="BK28" s="651"/>
      <c r="BL28" s="651"/>
      <c r="BM28" s="651"/>
      <c r="BN28" s="651"/>
      <c r="BO28" s="651"/>
      <c r="BP28" s="651"/>
      <c r="BQ28" s="651"/>
      <c r="BR28" s="651"/>
      <c r="BS28" s="651"/>
      <c r="BT28" s="651"/>
    </row>
    <row r="29">
      <c r="A29" s="684"/>
      <c r="B29" s="685"/>
      <c r="C29" s="702"/>
      <c r="D29" s="702"/>
      <c r="E29" s="687"/>
      <c r="F29" s="699"/>
      <c r="G29" s="700"/>
      <c r="H29" s="700"/>
      <c r="I29" s="701"/>
      <c r="J29" s="701"/>
      <c r="K29" s="701"/>
      <c r="L29" s="704"/>
      <c r="M29" s="704"/>
      <c r="N29" s="711"/>
      <c r="O29" s="712"/>
      <c r="P29" s="700"/>
      <c r="Q29" s="704"/>
      <c r="R29" s="681" t="str">
        <f>IFERROR(
  IF(B29="", "", VLOOKUP(B29, Data!$B$2:$K$905, 9, FALSE)),
  ""
)</f>
        <v/>
      </c>
      <c r="S29" s="691"/>
      <c r="T29" s="690"/>
      <c r="U29" s="681" t="str">
        <f>IFERROR(
  IF(B29="", "", VLOOKUP(B29, Data!$B$2:$K$905, 10, FALSE)),
  ""
)
</f>
        <v/>
      </c>
      <c r="V29" s="691"/>
      <c r="W29" s="713"/>
      <c r="X29" s="692"/>
      <c r="Y29" s="693"/>
      <c r="Z29" s="694"/>
      <c r="AA29" s="695"/>
      <c r="AB29" s="354">
        <f t="shared" si="14"/>
        <v>0</v>
      </c>
      <c r="AC29" s="181"/>
      <c r="AD29" s="705"/>
      <c r="AE29" s="706"/>
      <c r="AF29" s="707"/>
      <c r="AG29" s="708"/>
      <c r="AH29" s="709"/>
      <c r="AI29" s="187"/>
      <c r="AJ29" s="710"/>
      <c r="AK29" s="710"/>
      <c r="AL29" s="595"/>
      <c r="AM29" s="595"/>
      <c r="AN29" s="595"/>
      <c r="AO29" s="595"/>
      <c r="AP29" s="595"/>
      <c r="AQ29" s="595"/>
      <c r="AR29" s="595"/>
      <c r="AS29" s="595"/>
      <c r="AT29" s="595"/>
      <c r="AU29" s="595"/>
      <c r="AV29" s="595"/>
      <c r="AW29" s="595"/>
      <c r="AX29" s="595"/>
      <c r="AY29" s="595"/>
      <c r="AZ29" s="595"/>
      <c r="BA29" s="595"/>
      <c r="BB29" s="595"/>
      <c r="BC29" s="595"/>
      <c r="BD29" s="595"/>
      <c r="BE29" s="595"/>
      <c r="BF29" s="595"/>
      <c r="BG29" s="595"/>
      <c r="BH29" s="595"/>
      <c r="BI29" s="651"/>
      <c r="BJ29" s="651"/>
      <c r="BK29" s="651"/>
      <c r="BL29" s="651"/>
      <c r="BM29" s="651"/>
      <c r="BN29" s="651"/>
      <c r="BO29" s="651"/>
      <c r="BP29" s="651"/>
      <c r="BQ29" s="651"/>
      <c r="BR29" s="651"/>
      <c r="BS29" s="651"/>
      <c r="BT29" s="651"/>
    </row>
    <row r="30">
      <c r="A30" s="631">
        <v>1.0</v>
      </c>
      <c r="B30" s="714" t="s">
        <v>425</v>
      </c>
      <c r="C30" s="89" t="s">
        <v>78</v>
      </c>
      <c r="D30" s="656"/>
      <c r="E30" s="654"/>
      <c r="F30" s="655"/>
      <c r="G30" s="233"/>
      <c r="H30" s="656"/>
      <c r="I30" s="656"/>
      <c r="J30" s="656"/>
      <c r="K30" s="656" t="s">
        <v>42</v>
      </c>
      <c r="L30" s="658"/>
      <c r="M30" s="658"/>
      <c r="N30" s="659"/>
      <c r="O30" s="658"/>
      <c r="P30" s="656"/>
      <c r="Q30" s="658"/>
      <c r="R30" s="136" t="str">
        <f>IFERROR(
  IF(B30="", "", VLOOKUP(B30, Data!$B$2:$K$905, 9, FALSE)),
  ""
)</f>
        <v/>
      </c>
      <c r="S30" s="662"/>
      <c r="T30" s="661"/>
      <c r="U30" s="136" t="str">
        <f>IFERROR(
  IF(B30="", "", VLOOKUP(B30, Data!$B$2:$K$905, 10, FALSE)),
  ""
)
</f>
        <v/>
      </c>
      <c r="V30" s="662"/>
      <c r="W30" s="663"/>
      <c r="X30" s="664"/>
      <c r="Y30" s="595"/>
      <c r="Z30" s="595"/>
      <c r="AA30" s="595"/>
      <c r="AB30" s="595"/>
      <c r="AC30" s="181"/>
      <c r="AD30" s="668"/>
      <c r="AE30" s="669"/>
      <c r="AF30" s="670"/>
      <c r="AG30" s="715"/>
      <c r="AH30" s="672"/>
      <c r="AI30" s="187"/>
      <c r="AJ30" s="673"/>
      <c r="AK30" s="673"/>
      <c r="AL30" s="595"/>
      <c r="AM30" s="595"/>
      <c r="AN30" s="595"/>
      <c r="AO30" s="595"/>
      <c r="AP30" s="595"/>
      <c r="AQ30" s="595"/>
      <c r="AR30" s="595"/>
      <c r="AS30" s="595"/>
      <c r="AT30" s="595"/>
      <c r="AU30" s="595"/>
      <c r="AV30" s="595"/>
      <c r="AW30" s="595"/>
      <c r="AX30" s="595"/>
      <c r="AY30" s="595"/>
      <c r="AZ30" s="595"/>
      <c r="BA30" s="595"/>
      <c r="BB30" s="595"/>
      <c r="BC30" s="595"/>
      <c r="BD30" s="595"/>
      <c r="BE30" s="595"/>
      <c r="BF30" s="595"/>
      <c r="BG30" s="595"/>
      <c r="BH30" s="595"/>
      <c r="BI30" s="651"/>
      <c r="BJ30" s="651"/>
      <c r="BK30" s="651"/>
      <c r="BL30" s="651"/>
      <c r="BM30" s="651"/>
      <c r="BN30" s="651"/>
      <c r="BO30" s="651"/>
      <c r="BP30" s="651"/>
      <c r="BQ30" s="651"/>
      <c r="BR30" s="651"/>
      <c r="BS30" s="651"/>
      <c r="BT30" s="651"/>
    </row>
    <row r="31">
      <c r="A31" s="631">
        <v>1.0</v>
      </c>
      <c r="B31" s="674"/>
      <c r="C31" s="157" t="s">
        <v>79</v>
      </c>
      <c r="D31" s="678"/>
      <c r="E31" s="676"/>
      <c r="F31" s="677"/>
      <c r="G31" s="157"/>
      <c r="H31" s="678"/>
      <c r="I31" s="678"/>
      <c r="J31" s="678"/>
      <c r="K31" s="678" t="s">
        <v>42</v>
      </c>
      <c r="L31" s="106" t="str">
        <f>Q31</f>
        <v>#REF!</v>
      </c>
      <c r="M31" s="679"/>
      <c r="N31" s="680"/>
      <c r="O31" s="679"/>
      <c r="P31" s="678"/>
      <c r="Q31" s="106" t="str">
        <f>Q32</f>
        <v>#REF!</v>
      </c>
      <c r="R31" s="136" t="str">
        <f>IFERROR(
  IF(B31="", "", VLOOKUP(B31, Data!$B$2:$K$905, 9, FALSE)),
  ""
)</f>
        <v/>
      </c>
      <c r="S31" s="682">
        <f>IFERROR(T31/Q31, 0)</f>
        <v>0</v>
      </c>
      <c r="T31" s="109" t="str">
        <f>SUM(S32:S34)</f>
        <v>#REF!</v>
      </c>
      <c r="U31" s="136" t="str">
        <f>IFERROR(
  IF(B31="", "", VLOOKUP(B31, Data!$B$2:$K$905, 10, FALSE)),
  ""
)
</f>
        <v/>
      </c>
      <c r="V31" s="109" t="str">
        <f>iferror(W31/Q31,"")</f>
        <v/>
      </c>
      <c r="W31" s="110" t="str">
        <f>SUM(W32:W34)</f>
        <v>#REF!</v>
      </c>
      <c r="X31" s="111" t="str">
        <f>W31/$AC$758/$W$765/$X$755</f>
        <v>#REF!</v>
      </c>
      <c r="Y31" s="112" t="str">
        <f>(T31+W31)=(SUM(AB32:AB34))</f>
        <v>#REF!</v>
      </c>
      <c r="Z31" s="113" t="str">
        <f>(T31+W31)-(SUM(AB32:AB34))</f>
        <v>#REF!</v>
      </c>
      <c r="AA31" s="595"/>
      <c r="AB31" s="595"/>
      <c r="AC31" s="181"/>
      <c r="AD31" s="114" t="str">
        <f>W31+T31</f>
        <v>#REF!</v>
      </c>
      <c r="AE31" s="115" t="str">
        <f>AD31</f>
        <v>#REF!</v>
      </c>
      <c r="AF31" s="116" t="str">
        <f>AE31/$AE$733</f>
        <v>#REF!</v>
      </c>
      <c r="AG31" s="683" t="str">
        <f>AF31*$AG$740</f>
        <v>#REF!</v>
      </c>
      <c r="AH31" s="118" t="str">
        <f>AF31*$AG$743</f>
        <v>#REF!</v>
      </c>
      <c r="AI31" s="187"/>
      <c r="AJ31" s="119" t="str">
        <f>ROUND(AK31/L31,2)</f>
        <v>#REF!</v>
      </c>
      <c r="AK31" s="119" t="str">
        <f>ROUND(AH31+AG31+AD31,2)</f>
        <v>#REF!</v>
      </c>
      <c r="AL31" s="595"/>
      <c r="AM31" s="595"/>
      <c r="AN31" s="595"/>
      <c r="AO31" s="595"/>
      <c r="AP31" s="595"/>
      <c r="AQ31" s="595"/>
      <c r="AR31" s="595"/>
      <c r="AS31" s="595"/>
      <c r="AT31" s="595"/>
      <c r="AU31" s="595"/>
      <c r="AV31" s="595"/>
      <c r="AW31" s="595"/>
      <c r="AX31" s="595"/>
      <c r="AY31" s="595"/>
      <c r="AZ31" s="595"/>
      <c r="BA31" s="595"/>
      <c r="BB31" s="595"/>
      <c r="BC31" s="595"/>
      <c r="BD31" s="595"/>
      <c r="BE31" s="595"/>
      <c r="BF31" s="595"/>
      <c r="BG31" s="595"/>
      <c r="BH31" s="595"/>
      <c r="BI31" s="651"/>
      <c r="BJ31" s="651"/>
      <c r="BK31" s="651"/>
      <c r="BL31" s="651"/>
      <c r="BM31" s="651"/>
      <c r="BN31" s="651"/>
      <c r="BO31" s="651"/>
      <c r="BP31" s="651"/>
      <c r="BQ31" s="651"/>
      <c r="BR31" s="651"/>
      <c r="BS31" s="651"/>
      <c r="BT31" s="651"/>
    </row>
    <row r="32">
      <c r="A32" s="716" t="s">
        <v>435</v>
      </c>
      <c r="B32" s="717" t="s">
        <v>441</v>
      </c>
      <c r="C32" s="158" t="s">
        <v>442</v>
      </c>
      <c r="D32" s="124" t="s">
        <v>82</v>
      </c>
      <c r="E32" s="687" t="str">
        <f>IFERROR(__xludf.DUMMYFUNCTION("IF($B$15:$B927="""","""",
  VLOOKUP(
    $B$15:$B927,
    QUERY(
      IMPORTRANGE(""1Ag27m9YF5mMfJh2E6NipJDFvPLlDI1p-s_1XEnzMHcc"",""Merge!F2:R""),
      ""select Col1, Col11"",
      0
    ),
    2,
    FALSE
  )
)
"),"#REF!")</f>
        <v>#REF!</v>
      </c>
      <c r="F32" s="718"/>
      <c r="G32" s="689" t="s">
        <v>429</v>
      </c>
      <c r="H32" s="700" t="str">
        <f>IFERROR(__xludf.DUMMYFUNCTION("IFERROR(REGEXEXTRACT(C32, ""(\d*\.\d+)mm""), """")"),"")</f>
        <v/>
      </c>
      <c r="I32" s="700"/>
      <c r="J32" s="126" t="s">
        <v>14</v>
      </c>
      <c r="K32" s="126" t="str">
        <f>IFERROR(
  IF(B32="", "", VLOOKUP(B32, Data!$B$2:$K$905, 7, FALSE)),
  ""
)</f>
        <v/>
      </c>
      <c r="L32" s="131" t="str">
        <f>Q16</f>
        <v>#REF!</v>
      </c>
      <c r="M32" s="150" t="str">
        <f>((L32)/(E32-0.15))*0.15+(L32)</f>
        <v>#REF!</v>
      </c>
      <c r="N32" s="151">
        <f>IFERROR(__xludf.DUMMYFUNCTION("IF(B32="""", """", IFERROR(1 / COS(RADIANS(REGEXEXTRACT(F32,""(\d+)""))), 1))"),1.0)</f>
        <v>1</v>
      </c>
      <c r="O32" s="169">
        <v>1.0</v>
      </c>
      <c r="P32" s="134">
        <v>1.0</v>
      </c>
      <c r="Q32" s="135" t="str">
        <f t="shared" ref="Q32:Q33" si="16">M32*N32*O32*P32</f>
        <v>#REF!</v>
      </c>
      <c r="R32" s="136" t="str">
        <f>IFERROR(
  IF(B32="", "", VLOOKUP(B32, Data!$B$2:$K$905, 9, FALSE)),
  ""
)</f>
        <v/>
      </c>
      <c r="S32" s="152" t="str">
        <f t="shared" ref="S32:S33" si="17">R32*Q32</f>
        <v>#REF!</v>
      </c>
      <c r="T32" s="690"/>
      <c r="U32" s="136" t="str">
        <f>IFERROR(
  IF(B32="", "", VLOOKUP(B32, Data!$B$2:$K$905, 10, FALSE)),
  ""
)
</f>
        <v/>
      </c>
      <c r="V32" s="691"/>
      <c r="W32" s="140" t="str">
        <f t="shared" ref="W32:W33" si="18">U32*Q32</f>
        <v>#REF!</v>
      </c>
      <c r="X32" s="692"/>
      <c r="Y32" s="595"/>
      <c r="Z32" s="595"/>
      <c r="AA32" s="595"/>
      <c r="AB32" s="354" t="str">
        <f t="shared" ref="AB32:AB33" si="19">W32+S32</f>
        <v>#REF!</v>
      </c>
      <c r="AC32" s="181"/>
      <c r="AD32" s="625"/>
      <c r="AE32" s="626"/>
      <c r="AF32" s="696"/>
      <c r="AG32" s="697"/>
      <c r="AH32" s="629"/>
      <c r="AI32" s="187"/>
      <c r="AJ32" s="630"/>
      <c r="AK32" s="630"/>
      <c r="AL32" s="595"/>
      <c r="AM32" s="595"/>
      <c r="AN32" s="595"/>
      <c r="AO32" s="595"/>
      <c r="AP32" s="595"/>
      <c r="AQ32" s="595"/>
      <c r="AR32" s="595"/>
      <c r="AS32" s="595"/>
      <c r="AT32" s="595"/>
      <c r="AU32" s="595"/>
      <c r="AV32" s="595"/>
      <c r="AW32" s="595"/>
      <c r="AX32" s="595"/>
      <c r="AY32" s="595"/>
      <c r="AZ32" s="595"/>
      <c r="BA32" s="595"/>
      <c r="BB32" s="595"/>
      <c r="BC32" s="595"/>
      <c r="BD32" s="595"/>
      <c r="BE32" s="595"/>
      <c r="BF32" s="595"/>
      <c r="BG32" s="595"/>
      <c r="BH32" s="595"/>
      <c r="BI32" s="651"/>
      <c r="BJ32" s="651"/>
      <c r="BK32" s="651"/>
      <c r="BL32" s="651"/>
      <c r="BM32" s="651"/>
      <c r="BN32" s="651"/>
      <c r="BO32" s="651"/>
      <c r="BP32" s="651"/>
      <c r="BQ32" s="651"/>
      <c r="BR32" s="651"/>
      <c r="BS32" s="651"/>
      <c r="BT32" s="651"/>
    </row>
    <row r="33">
      <c r="A33" s="716" t="s">
        <v>435</v>
      </c>
      <c r="B33" s="719" t="s">
        <v>84</v>
      </c>
      <c r="C33" s="225" t="s">
        <v>85</v>
      </c>
      <c r="D33" s="124" t="s">
        <v>86</v>
      </c>
      <c r="E33" s="720" t="str">
        <f>E32</f>
        <v>#REF!</v>
      </c>
      <c r="F33" s="721"/>
      <c r="G33" s="225"/>
      <c r="H33" s="128" t="str">
        <f>IFERROR(__xludf.DUMMYFUNCTION("IF($B$15:$B927="""","""",
  VLOOKUP(
    $B$15:$B927,
    QUERY(
      IMPORTRANGE(""1Ag27m9YF5mMfJh2E6NipJDFvPLlDI1p-s_1XEnzMHcc"",""Merge!F2:R""),
      ""select Col1, Col11"",
      0
    ),
    2,
    FALSE
  )
)
"),"#REF!")</f>
        <v>#REF!</v>
      </c>
      <c r="I33" s="700"/>
      <c r="J33" s="126" t="s">
        <v>87</v>
      </c>
      <c r="K33" s="126" t="str">
        <f>IFERROR(
  IF(B33="", "", VLOOKUP(B33, Data!$B$2:$K$905, 7, FALSE)),
  ""
)</f>
        <v/>
      </c>
      <c r="L33" s="712"/>
      <c r="M33" s="169" t="str">
        <f>M32/E33/H33</f>
        <v>#REF!</v>
      </c>
      <c r="N33" s="151">
        <f>N32</f>
        <v>1</v>
      </c>
      <c r="O33" s="169">
        <v>1.0</v>
      </c>
      <c r="P33" s="134">
        <v>1.0</v>
      </c>
      <c r="Q33" s="135" t="str">
        <f t="shared" si="16"/>
        <v>#REF!</v>
      </c>
      <c r="R33" s="136" t="str">
        <f>IFERROR(
  IF(B33="", "", VLOOKUP(B33, Data!$B$2:$K$905, 9, FALSE)),
  ""
)</f>
        <v/>
      </c>
      <c r="S33" s="152" t="str">
        <f t="shared" si="17"/>
        <v>#REF!</v>
      </c>
      <c r="T33" s="690"/>
      <c r="U33" s="136" t="str">
        <f>IFERROR(
  IF(B33="", "", VLOOKUP(B33, Data!$B$2:$K$905, 10, FALSE)),
  ""
)
</f>
        <v/>
      </c>
      <c r="V33" s="691"/>
      <c r="W33" s="140" t="str">
        <f t="shared" si="18"/>
        <v>#REF!</v>
      </c>
      <c r="X33" s="692"/>
      <c r="Y33" s="693"/>
      <c r="Z33" s="694"/>
      <c r="AA33" s="595"/>
      <c r="AB33" s="354" t="str">
        <f t="shared" si="19"/>
        <v>#REF!</v>
      </c>
      <c r="AC33" s="181"/>
      <c r="AD33" s="625"/>
      <c r="AE33" s="626"/>
      <c r="AF33" s="696"/>
      <c r="AG33" s="697"/>
      <c r="AH33" s="629"/>
      <c r="AI33" s="187"/>
      <c r="AJ33" s="630"/>
      <c r="AK33" s="630"/>
      <c r="AL33" s="595"/>
      <c r="AM33" s="595"/>
      <c r="AN33" s="595"/>
      <c r="AO33" s="595"/>
      <c r="AP33" s="595"/>
      <c r="AQ33" s="595"/>
      <c r="AR33" s="595"/>
      <c r="AS33" s="595"/>
      <c r="AT33" s="595"/>
      <c r="AU33" s="595"/>
      <c r="AV33" s="595"/>
      <c r="AW33" s="595"/>
      <c r="AX33" s="595"/>
      <c r="AY33" s="595"/>
      <c r="AZ33" s="595"/>
      <c r="BA33" s="595"/>
      <c r="BB33" s="595"/>
      <c r="BC33" s="595"/>
      <c r="BD33" s="595"/>
      <c r="BE33" s="595"/>
      <c r="BF33" s="595"/>
      <c r="BG33" s="595"/>
      <c r="BH33" s="595"/>
      <c r="BI33" s="651"/>
      <c r="BJ33" s="651"/>
      <c r="BK33" s="651"/>
      <c r="BL33" s="651"/>
      <c r="BM33" s="651"/>
      <c r="BN33" s="651"/>
      <c r="BO33" s="651"/>
      <c r="BP33" s="651"/>
      <c r="BQ33" s="651"/>
      <c r="BR33" s="651"/>
      <c r="BS33" s="651"/>
      <c r="BT33" s="651"/>
    </row>
    <row r="34">
      <c r="A34" s="631"/>
      <c r="B34" s="717"/>
      <c r="C34" s="701"/>
      <c r="D34" s="701"/>
      <c r="E34" s="722"/>
      <c r="F34" s="699"/>
      <c r="G34" s="225"/>
      <c r="H34" s="700"/>
      <c r="I34" s="700"/>
      <c r="J34" s="701"/>
      <c r="K34" s="701" t="str">
        <f>IFERROR(
  IF(B34="", "", VLOOKUP(B34, Data!$B$2:$K$905, 7, FALSE)),
  ""
)</f>
        <v/>
      </c>
      <c r="L34" s="704"/>
      <c r="M34" s="704"/>
      <c r="N34" s="711" t="str">
        <f>IFERROR(__xludf.DUMMYFUNCTION("IF(B34="""", """", IFERROR(1 / COS(RADIANS(REGEXEXTRACT(F34,""(\d+)""))), 1))"),"")</f>
        <v/>
      </c>
      <c r="O34" s="712"/>
      <c r="P34" s="700"/>
      <c r="Q34" s="704"/>
      <c r="R34" s="136" t="str">
        <f>IFERROR(
  IF(B34="", "", VLOOKUP(B34, Data!$B$2:$K$905, 9, FALSE)),
  ""
)</f>
        <v/>
      </c>
      <c r="S34" s="691"/>
      <c r="T34" s="690"/>
      <c r="U34" s="136" t="str">
        <f>IFERROR(
  IF(B34="", "", VLOOKUP(B34, Data!$B$2:$K$905, 10, FALSE)),
  ""
)
</f>
        <v/>
      </c>
      <c r="V34" s="691"/>
      <c r="W34" s="713"/>
      <c r="X34" s="692"/>
      <c r="Y34" s="595"/>
      <c r="Z34" s="595"/>
      <c r="AA34" s="595"/>
      <c r="AB34" s="595"/>
      <c r="AC34" s="181"/>
      <c r="AD34" s="625"/>
      <c r="AE34" s="626"/>
      <c r="AF34" s="696"/>
      <c r="AG34" s="697"/>
      <c r="AH34" s="629"/>
      <c r="AI34" s="187"/>
      <c r="AJ34" s="630"/>
      <c r="AK34" s="630"/>
      <c r="AL34" s="595"/>
      <c r="AM34" s="595"/>
      <c r="AN34" s="595"/>
      <c r="AO34" s="595"/>
      <c r="AP34" s="595"/>
      <c r="AQ34" s="595"/>
      <c r="AR34" s="595"/>
      <c r="AS34" s="595"/>
      <c r="AT34" s="595"/>
      <c r="AU34" s="595"/>
      <c r="AV34" s="595"/>
      <c r="AW34" s="595"/>
      <c r="AX34" s="595"/>
      <c r="AY34" s="595"/>
      <c r="AZ34" s="595"/>
      <c r="BA34" s="595"/>
      <c r="BB34" s="595"/>
      <c r="BC34" s="595"/>
      <c r="BD34" s="595"/>
      <c r="BE34" s="595"/>
      <c r="BF34" s="595"/>
      <c r="BG34" s="595"/>
      <c r="BH34" s="595"/>
      <c r="BI34" s="651"/>
      <c r="BJ34" s="651"/>
      <c r="BK34" s="651"/>
      <c r="BL34" s="651"/>
      <c r="BM34" s="651"/>
      <c r="BN34" s="651"/>
      <c r="BO34" s="651"/>
      <c r="BP34" s="651"/>
      <c r="BQ34" s="651"/>
      <c r="BR34" s="651"/>
      <c r="BS34" s="651"/>
      <c r="BT34" s="651"/>
    </row>
    <row r="35">
      <c r="A35" s="631">
        <v>1.0</v>
      </c>
      <c r="B35" s="723"/>
      <c r="C35" s="89" t="s">
        <v>89</v>
      </c>
      <c r="D35" s="656"/>
      <c r="E35" s="658"/>
      <c r="F35" s="655"/>
      <c r="G35" s="656"/>
      <c r="H35" s="656"/>
      <c r="I35" s="656"/>
      <c r="J35" s="656"/>
      <c r="K35" s="656" t="s">
        <v>42</v>
      </c>
      <c r="L35" s="658"/>
      <c r="M35" s="658"/>
      <c r="N35" s="659"/>
      <c r="O35" s="658"/>
      <c r="P35" s="656"/>
      <c r="Q35" s="658"/>
      <c r="R35" s="681" t="str">
        <f>IFERROR(
  IF(B35="", "", VLOOKUP(B35, Data!$B$2:$K$905, 9, FALSE)),
  ""
)</f>
        <v/>
      </c>
      <c r="S35" s="662"/>
      <c r="T35" s="661"/>
      <c r="U35" s="681" t="str">
        <f>IFERROR(
  IF(B35="", "", VLOOKUP(B35, Data!$B$2:$K$905, 10, FALSE)),
  ""
)
</f>
        <v/>
      </c>
      <c r="V35" s="662"/>
      <c r="W35" s="663"/>
      <c r="X35" s="664"/>
      <c r="Y35" s="595"/>
      <c r="Z35" s="595"/>
      <c r="AA35" s="595"/>
      <c r="AB35" s="595"/>
      <c r="AC35" s="181"/>
      <c r="AD35" s="668"/>
      <c r="AE35" s="669"/>
      <c r="AF35" s="670"/>
      <c r="AG35" s="715"/>
      <c r="AH35" s="672"/>
      <c r="AI35" s="187"/>
      <c r="AJ35" s="673"/>
      <c r="AK35" s="673"/>
      <c r="AL35" s="595"/>
      <c r="AM35" s="595"/>
      <c r="AN35" s="595"/>
      <c r="AO35" s="595"/>
      <c r="AP35" s="595"/>
      <c r="AQ35" s="595"/>
      <c r="AR35" s="595"/>
      <c r="AS35" s="595"/>
      <c r="AT35" s="595"/>
      <c r="AU35" s="595"/>
      <c r="AV35" s="595"/>
      <c r="AW35" s="595"/>
      <c r="AX35" s="595"/>
      <c r="AY35" s="595"/>
      <c r="AZ35" s="595"/>
      <c r="BA35" s="595"/>
      <c r="BB35" s="595"/>
      <c r="BC35" s="595"/>
      <c r="BD35" s="595"/>
      <c r="BE35" s="595"/>
      <c r="BF35" s="595"/>
      <c r="BG35" s="595"/>
      <c r="BH35" s="595"/>
      <c r="BI35" s="651"/>
      <c r="BJ35" s="651"/>
      <c r="BK35" s="651"/>
      <c r="BL35" s="651"/>
      <c r="BM35" s="651"/>
      <c r="BN35" s="651"/>
      <c r="BO35" s="651"/>
      <c r="BP35" s="651"/>
      <c r="BQ35" s="651"/>
      <c r="BR35" s="651"/>
      <c r="BS35" s="651"/>
      <c r="BT35" s="651"/>
    </row>
    <row r="36">
      <c r="A36" s="631">
        <v>1.0</v>
      </c>
      <c r="B36" s="674"/>
      <c r="C36" s="157" t="s">
        <v>90</v>
      </c>
      <c r="D36" s="678"/>
      <c r="E36" s="679"/>
      <c r="F36" s="677"/>
      <c r="G36" s="678"/>
      <c r="H36" s="678"/>
      <c r="I36" s="678"/>
      <c r="J36" s="678"/>
      <c r="K36" s="678" t="s">
        <v>42</v>
      </c>
      <c r="L36" s="106" t="str">
        <f>Q36</f>
        <v>#REF!</v>
      </c>
      <c r="M36" s="679"/>
      <c r="N36" s="680"/>
      <c r="O36" s="679"/>
      <c r="P36" s="678"/>
      <c r="Q36" s="106" t="str">
        <f>Q37</f>
        <v>#REF!</v>
      </c>
      <c r="R36" s="681" t="str">
        <f>IFERROR(
  IF(B36="", "", VLOOKUP(B36, Data!$B$2:$K$905, 9, FALSE)),
  ""
)</f>
        <v/>
      </c>
      <c r="S36" s="724" t="str">
        <f>iferror(T36/Q36,"")</f>
        <v/>
      </c>
      <c r="T36" s="109" t="str">
        <f>SUM(S37:S38)</f>
        <v>#REF!</v>
      </c>
      <c r="U36" s="681" t="str">
        <f>IFERROR(
  IF(B36="", "", VLOOKUP(B36, Data!$B$2:$K$905, 10, FALSE)),
  ""
)
</f>
        <v/>
      </c>
      <c r="V36" s="724" t="str">
        <f>iferror(W36/Q36,"")</f>
        <v/>
      </c>
      <c r="W36" s="110" t="str">
        <f>SUM(W37:W38)</f>
        <v>#REF!</v>
      </c>
      <c r="X36" s="111" t="str">
        <f>W36/$AC$758/$W$765/$X$755</f>
        <v>#REF!</v>
      </c>
      <c r="Y36" s="112" t="str">
        <f>(T36+W36)=(SUM(AB37:AB38))</f>
        <v>#REF!</v>
      </c>
      <c r="Z36" s="113" t="str">
        <f>(T36+W36)-(SUM(AB37:AB38))</f>
        <v>#REF!</v>
      </c>
      <c r="AA36" s="595"/>
      <c r="AB36" s="595"/>
      <c r="AC36" s="181"/>
      <c r="AD36" s="114" t="str">
        <f>W36+T36</f>
        <v>#REF!</v>
      </c>
      <c r="AE36" s="115" t="str">
        <f>AD36</f>
        <v>#REF!</v>
      </c>
      <c r="AF36" s="116" t="str">
        <f>AE36/$AE$733</f>
        <v>#REF!</v>
      </c>
      <c r="AG36" s="683" t="str">
        <f>AF36*$AG$740</f>
        <v>#REF!</v>
      </c>
      <c r="AH36" s="118" t="str">
        <f>AF36*$AG$743</f>
        <v>#REF!</v>
      </c>
      <c r="AI36" s="187"/>
      <c r="AJ36" s="119" t="str">
        <f>ROUND(AK36/L36,2)</f>
        <v>#REF!</v>
      </c>
      <c r="AK36" s="119" t="str">
        <f>ROUND(AH36+AG36+AD36,2)</f>
        <v>#REF!</v>
      </c>
      <c r="AL36" s="595"/>
      <c r="AM36" s="595"/>
      <c r="AN36" s="595"/>
      <c r="AO36" s="595"/>
      <c r="AP36" s="595"/>
      <c r="AQ36" s="595"/>
      <c r="AR36" s="595"/>
      <c r="AS36" s="595"/>
      <c r="AT36" s="595"/>
      <c r="AU36" s="595"/>
      <c r="AV36" s="595"/>
      <c r="AW36" s="595"/>
      <c r="AX36" s="595"/>
      <c r="AY36" s="595"/>
      <c r="AZ36" s="595"/>
      <c r="BA36" s="595"/>
      <c r="BB36" s="595"/>
      <c r="BC36" s="595"/>
      <c r="BD36" s="595"/>
      <c r="BE36" s="595"/>
      <c r="BF36" s="595"/>
      <c r="BG36" s="595"/>
      <c r="BH36" s="595"/>
      <c r="BI36" s="651"/>
      <c r="BJ36" s="651"/>
      <c r="BK36" s="651"/>
      <c r="BL36" s="651"/>
      <c r="BM36" s="651"/>
      <c r="BN36" s="651"/>
      <c r="BO36" s="651"/>
      <c r="BP36" s="651"/>
      <c r="BQ36" s="651"/>
      <c r="BR36" s="651"/>
      <c r="BS36" s="651"/>
      <c r="BT36" s="651"/>
    </row>
    <row r="37">
      <c r="A37" s="703" t="s">
        <v>435</v>
      </c>
      <c r="B37" s="717" t="s">
        <v>91</v>
      </c>
      <c r="C37" s="158" t="s">
        <v>89</v>
      </c>
      <c r="D37" s="148" t="s">
        <v>92</v>
      </c>
      <c r="E37" s="725"/>
      <c r="F37" s="699"/>
      <c r="G37" s="689" t="s">
        <v>429</v>
      </c>
      <c r="H37" s="700" t="str">
        <f>IFERROR(__xludf.DUMMYFUNCTION("IFERROR(REGEXEXTRACT(C37, ""(\d*\.\d+)mm""), """")"),"")</f>
        <v/>
      </c>
      <c r="I37" s="700"/>
      <c r="J37" s="126" t="s">
        <v>87</v>
      </c>
      <c r="K37" s="128" t="s">
        <v>41</v>
      </c>
      <c r="L37" s="712"/>
      <c r="M37" s="169" t="str">
        <f>M32</f>
        <v>#REF!</v>
      </c>
      <c r="N37" s="151">
        <f>IFERROR(__xludf.DUMMYFUNCTION("IF(B37="""", """", IFERROR(1 / COS(RADIANS(REGEXEXTRACT(F37,""(\d+)""))), 1))"),1.0)</f>
        <v>1</v>
      </c>
      <c r="O37" s="169">
        <v>1.0</v>
      </c>
      <c r="P37" s="134">
        <v>1.0</v>
      </c>
      <c r="Q37" s="168" t="str">
        <f>M37*N37*O37*P37</f>
        <v>#REF!</v>
      </c>
      <c r="R37" s="136" t="str">
        <f>IFERROR(
  IF(B37="", "", VLOOKUP(B37, Data!$B$2:$K$905, 9, FALSE)),
  ""
)</f>
        <v/>
      </c>
      <c r="S37" s="137" t="str">
        <f>R37*Q37</f>
        <v>#REF!</v>
      </c>
      <c r="T37" s="690"/>
      <c r="U37" s="136" t="str">
        <f>IFERROR(
  IF(B37="", "", VLOOKUP(B37, Data!$B$2:$K$905, 10, FALSE)),
  ""
)
</f>
        <v/>
      </c>
      <c r="V37" s="691"/>
      <c r="W37" s="140" t="str">
        <f>U37*Q37</f>
        <v>#REF!</v>
      </c>
      <c r="X37" s="692"/>
      <c r="Y37" s="595"/>
      <c r="Z37" s="595"/>
      <c r="AA37" s="595"/>
      <c r="AB37" s="354" t="str">
        <f t="shared" ref="AB37:AB38" si="20">W37+S37</f>
        <v>#REF!</v>
      </c>
      <c r="AC37" s="181"/>
      <c r="AD37" s="625"/>
      <c r="AE37" s="626"/>
      <c r="AF37" s="696"/>
      <c r="AG37" s="697"/>
      <c r="AH37" s="629"/>
      <c r="AI37" s="187"/>
      <c r="AJ37" s="630"/>
      <c r="AK37" s="630"/>
      <c r="AL37" s="595"/>
      <c r="AM37" s="595"/>
      <c r="AN37" s="595"/>
      <c r="AO37" s="595"/>
      <c r="AP37" s="595"/>
      <c r="AQ37" s="595"/>
      <c r="AR37" s="595"/>
      <c r="AS37" s="595"/>
      <c r="AT37" s="595"/>
      <c r="AU37" s="595"/>
      <c r="AV37" s="595"/>
      <c r="AW37" s="595"/>
      <c r="AX37" s="595"/>
      <c r="AY37" s="595"/>
      <c r="AZ37" s="595"/>
      <c r="BA37" s="595"/>
      <c r="BB37" s="595"/>
      <c r="BC37" s="595"/>
      <c r="BD37" s="595"/>
      <c r="BE37" s="595"/>
      <c r="BF37" s="595"/>
      <c r="BG37" s="595"/>
      <c r="BH37" s="595"/>
      <c r="BI37" s="651"/>
      <c r="BJ37" s="651"/>
      <c r="BK37" s="651"/>
      <c r="BL37" s="651"/>
      <c r="BM37" s="651"/>
      <c r="BN37" s="651"/>
      <c r="BO37" s="651"/>
      <c r="BP37" s="651"/>
      <c r="BQ37" s="651"/>
      <c r="BR37" s="651"/>
      <c r="BS37" s="651"/>
      <c r="BT37" s="651"/>
    </row>
    <row r="38">
      <c r="A38" s="684"/>
      <c r="B38" s="717"/>
      <c r="C38" s="701"/>
      <c r="D38" s="701"/>
      <c r="E38" s="725"/>
      <c r="F38" s="699"/>
      <c r="G38" s="700"/>
      <c r="H38" s="700"/>
      <c r="I38" s="700"/>
      <c r="J38" s="701"/>
      <c r="K38" s="700" t="s">
        <v>42</v>
      </c>
      <c r="L38" s="712"/>
      <c r="M38" s="712" t="s">
        <v>42</v>
      </c>
      <c r="N38" s="711" t="str">
        <f>IFERROR(__xludf.DUMMYFUNCTION("IF(B38="""", """", IFERROR(1 / COS(RADIANS(REGEXEXTRACT(F38,""(\d+)""))), 1))"),"")</f>
        <v/>
      </c>
      <c r="O38" s="712"/>
      <c r="P38" s="700"/>
      <c r="Q38" s="704"/>
      <c r="R38" s="681" t="str">
        <f>IFERROR(
  IF(B38="", "", VLOOKUP(B38, Data!$B$2:$K$905, 9, FALSE)),
  ""
)</f>
        <v/>
      </c>
      <c r="S38" s="691"/>
      <c r="T38" s="690"/>
      <c r="U38" s="681" t="str">
        <f>IFERROR(
  IF(B38="", "", VLOOKUP(B38, Data!$B$2:$K$905, 10, FALSE)),
  ""
)
</f>
        <v/>
      </c>
      <c r="V38" s="691"/>
      <c r="W38" s="713"/>
      <c r="X38" s="692"/>
      <c r="Y38" s="693"/>
      <c r="Z38" s="694"/>
      <c r="AA38" s="595"/>
      <c r="AB38" s="354">
        <f t="shared" si="20"/>
        <v>0</v>
      </c>
      <c r="AC38" s="181"/>
      <c r="AD38" s="625"/>
      <c r="AE38" s="626"/>
      <c r="AF38" s="696"/>
      <c r="AG38" s="697"/>
      <c r="AH38" s="629"/>
      <c r="AI38" s="187"/>
      <c r="AJ38" s="630"/>
      <c r="AK38" s="630"/>
      <c r="AL38" s="595"/>
      <c r="AM38" s="595"/>
      <c r="AN38" s="595"/>
      <c r="AO38" s="595"/>
      <c r="AP38" s="595"/>
      <c r="AQ38" s="595"/>
      <c r="AR38" s="595"/>
      <c r="AS38" s="595"/>
      <c r="AT38" s="595"/>
      <c r="AU38" s="595"/>
      <c r="AV38" s="595"/>
      <c r="AW38" s="595"/>
      <c r="AX38" s="595"/>
      <c r="AY38" s="595"/>
      <c r="AZ38" s="595"/>
      <c r="BA38" s="595"/>
      <c r="BB38" s="595"/>
      <c r="BC38" s="595"/>
      <c r="BD38" s="595"/>
      <c r="BE38" s="595"/>
      <c r="BF38" s="595"/>
      <c r="BG38" s="595"/>
      <c r="BH38" s="595"/>
      <c r="BI38" s="651"/>
      <c r="BJ38" s="651"/>
      <c r="BK38" s="651"/>
      <c r="BL38" s="651"/>
      <c r="BM38" s="651"/>
      <c r="BN38" s="651"/>
      <c r="BO38" s="651"/>
      <c r="BP38" s="651"/>
      <c r="BQ38" s="651"/>
      <c r="BR38" s="651"/>
      <c r="BS38" s="651"/>
      <c r="BT38" s="651"/>
    </row>
    <row r="39">
      <c r="A39" s="631">
        <v>1.0</v>
      </c>
      <c r="B39" s="652" t="s">
        <v>425</v>
      </c>
      <c r="C39" s="89" t="s">
        <v>93</v>
      </c>
      <c r="D39" s="172"/>
      <c r="E39" s="654"/>
      <c r="F39" s="655"/>
      <c r="G39" s="233"/>
      <c r="H39" s="656"/>
      <c r="I39" s="656"/>
      <c r="J39" s="656"/>
      <c r="K39" s="657" t="s">
        <v>42</v>
      </c>
      <c r="L39" s="658"/>
      <c r="M39" s="658" t="s">
        <v>42</v>
      </c>
      <c r="N39" s="659"/>
      <c r="O39" s="658"/>
      <c r="P39" s="656"/>
      <c r="Q39" s="658"/>
      <c r="R39" s="136" t="str">
        <f>IFERROR(
  IF(B39="", "", VLOOKUP(B39, Data!$B$2:$K$905, 9, FALSE)),
  ""
)</f>
        <v/>
      </c>
      <c r="S39" s="660"/>
      <c r="T39" s="661"/>
      <c r="U39" s="136" t="str">
        <f>IFERROR(
  IF(B39="", "", VLOOKUP(B39, Data!$B$2:$K$905, 10, FALSE)),
  ""
)
</f>
        <v/>
      </c>
      <c r="V39" s="662"/>
      <c r="W39" s="663"/>
      <c r="X39" s="692"/>
      <c r="Y39" s="595"/>
      <c r="Z39" s="595"/>
      <c r="AA39" s="595"/>
      <c r="AB39" s="354"/>
      <c r="AC39" s="181"/>
      <c r="AD39" s="625"/>
      <c r="AE39" s="626"/>
      <c r="AF39" s="696"/>
      <c r="AG39" s="628"/>
      <c r="AH39" s="629"/>
      <c r="AI39" s="187"/>
      <c r="AJ39" s="630"/>
      <c r="AK39" s="630"/>
      <c r="AL39" s="595"/>
      <c r="AM39" s="595"/>
      <c r="AN39" s="595"/>
      <c r="AO39" s="595"/>
      <c r="AP39" s="595"/>
      <c r="AQ39" s="595"/>
      <c r="AR39" s="595"/>
      <c r="AS39" s="595"/>
      <c r="AT39" s="595"/>
      <c r="AU39" s="595"/>
      <c r="AV39" s="595"/>
      <c r="AW39" s="595"/>
      <c r="AX39" s="595"/>
      <c r="AY39" s="595"/>
      <c r="AZ39" s="595"/>
      <c r="BA39" s="595"/>
      <c r="BB39" s="595"/>
      <c r="BC39" s="595"/>
      <c r="BD39" s="595"/>
      <c r="BE39" s="595"/>
      <c r="BF39" s="595"/>
      <c r="BG39" s="595"/>
      <c r="BH39" s="595"/>
      <c r="BI39" s="651"/>
      <c r="BJ39" s="651"/>
      <c r="BK39" s="651"/>
      <c r="BL39" s="651"/>
      <c r="BM39" s="651"/>
      <c r="BN39" s="651"/>
      <c r="BO39" s="651"/>
      <c r="BP39" s="651"/>
      <c r="BQ39" s="651"/>
      <c r="BR39" s="651"/>
      <c r="BS39" s="651"/>
      <c r="BT39" s="651"/>
    </row>
    <row r="40">
      <c r="A40" s="726">
        <v>1.0</v>
      </c>
      <c r="B40" s="727"/>
      <c r="C40" s="103" t="s">
        <v>443</v>
      </c>
      <c r="D40" s="678"/>
      <c r="E40" s="676"/>
      <c r="F40" s="677"/>
      <c r="G40" s="678"/>
      <c r="H40" s="728"/>
      <c r="I40" s="678"/>
      <c r="J40" s="678"/>
      <c r="K40" s="678" t="s">
        <v>42</v>
      </c>
      <c r="L40" s="106">
        <f>Q40</f>
        <v>0</v>
      </c>
      <c r="M40" s="679" t="s">
        <v>42</v>
      </c>
      <c r="N40" s="680"/>
      <c r="O40" s="679"/>
      <c r="P40" s="678"/>
      <c r="Q40" s="106">
        <f>Q41</f>
        <v>0</v>
      </c>
      <c r="R40" s="681" t="str">
        <f>IFERROR(
  IF(B40="", "", VLOOKUP(B40, Data!$B$2:$K$905, 9, FALSE)),
  ""
)</f>
        <v/>
      </c>
      <c r="S40" s="682">
        <f>IFERROR(T40/Q40, 0)</f>
        <v>0</v>
      </c>
      <c r="T40" s="109">
        <f>SUM(S41:S48)</f>
        <v>0</v>
      </c>
      <c r="U40" s="681" t="str">
        <f>IFERROR(
  IF(B40="", "", VLOOKUP(B40, Data!$B$2:$K$905, 10, FALSE)),
  ""
)
</f>
        <v/>
      </c>
      <c r="V40" s="109" t="str">
        <f>W40/Q40</f>
        <v>#DIV/0!</v>
      </c>
      <c r="W40" s="110">
        <f>SUM(W41:W48)</f>
        <v>0</v>
      </c>
      <c r="X40" s="111" t="str">
        <f>W40/$AC$135/$W$142/$X$132</f>
        <v>#DIV/0!</v>
      </c>
      <c r="Y40" s="112" t="b">
        <f>(T40+W40)=(SUM(AB41:AB48))</f>
        <v>1</v>
      </c>
      <c r="Z40" s="113">
        <f>(T40+W40)-(SUM(AB41:AB48))</f>
        <v>0</v>
      </c>
      <c r="AA40" s="595"/>
      <c r="AB40" s="595"/>
      <c r="AC40" s="181"/>
      <c r="AD40" s="114">
        <f>W40+T40</f>
        <v>0</v>
      </c>
      <c r="AE40" s="115">
        <f>AD40</f>
        <v>0</v>
      </c>
      <c r="AF40" s="116" t="str">
        <f>AE40/$AE$110</f>
        <v>#DIV/0!</v>
      </c>
      <c r="AG40" s="683" t="str">
        <f>AF40*$AG$117</f>
        <v>#DIV/0!</v>
      </c>
      <c r="AH40" s="118" t="str">
        <f>AF40*$AG$120</f>
        <v>#DIV/0!</v>
      </c>
      <c r="AI40" s="187"/>
      <c r="AJ40" s="119" t="str">
        <f>ROUND(AK40/L40,2)</f>
        <v>#DIV/0!</v>
      </c>
      <c r="AK40" s="119" t="str">
        <f>ROUND(AH40+AG40+AD40,2)</f>
        <v>#DIV/0!</v>
      </c>
      <c r="AL40" s="595"/>
      <c r="AM40" s="595"/>
      <c r="AN40" s="595"/>
      <c r="AO40" s="595"/>
      <c r="AP40" s="595"/>
      <c r="AQ40" s="595"/>
      <c r="AR40" s="595"/>
      <c r="AS40" s="595"/>
      <c r="AT40" s="595"/>
      <c r="AU40" s="595"/>
      <c r="AV40" s="595"/>
      <c r="AW40" s="595"/>
      <c r="AX40" s="595"/>
      <c r="AY40" s="595"/>
      <c r="AZ40" s="595"/>
      <c r="BA40" s="595"/>
      <c r="BB40" s="595"/>
      <c r="BC40" s="595"/>
      <c r="BD40" s="595"/>
      <c r="BE40" s="595"/>
      <c r="BF40" s="595"/>
      <c r="BG40" s="595"/>
      <c r="BH40" s="595"/>
      <c r="BI40" s="651"/>
      <c r="BJ40" s="651"/>
      <c r="BK40" s="651"/>
      <c r="BL40" s="651"/>
      <c r="BM40" s="651"/>
      <c r="BN40" s="651"/>
      <c r="BO40" s="651"/>
      <c r="BP40" s="651"/>
      <c r="BQ40" s="651"/>
      <c r="BR40" s="651"/>
      <c r="BS40" s="651"/>
      <c r="BT40" s="651"/>
    </row>
    <row r="41">
      <c r="A41" s="729" t="s">
        <v>444</v>
      </c>
      <c r="B41" s="154" t="str">
        <f>IFERROR(__xludf.DUMMYFUNCTION("IFERROR(
  IF(C41="""","""",
    IF(OR(REGEXMATCH(D41,""(?i)-Flashing""), REGEXMATCH(D41,""(?i)-EavesGut""), REGEXMATCH(D41,""(?i)Valley"")),
        ""DR"" &amp;
        TEXT(
            ROUNDUP(
                VALUE(MID(C41, FIND(""("",C41)+1, FIND(""/"","&amp;"C41)-FIND(""("",C41)-1)) / 50,
            0) * 50, ""0""
        ) &amp;
        MID(C41, FIND(""/"",C41)+1, FIND("")"",C41)-FIND(""/"",C41)-1) &amp;
        TEXT(H41*100,""0"") &amp;
        I41,
    IF(AND(D41=""Roof Sheet"", REGEXMATCH(C41,""(?i)KS\d{4}[A-Z]{2}"""&amp;")),
       REGEXEXTRACT(C41,""(?i)KS\d{4}[A-Z]{2}""),
    IF(AND(REGEXMATCH(D41,""(?i)-DP""), REGEXMATCH(C41,""(?i)Downpipe"")),
       ""dp"" &amp; REGEXEXTRACT(C41,""(\d+)"") &amp; ""mm"",
    IF(AND(REGEXMATCH(D41,""(?i)Bracket""), REGEXMATCH(C41,""(?i)Bracket"&amp;""")),
       ""Brkt"" &amp; REGEXEXTRACT(C41,""(\d+)"") &amp; ""mm"",
    IF(AND(REGEXMATCH(D41,""(?i)-OP""), REGEXMATCH(C41,""(?i)pops"")),
       ""op"" &amp; REGEXEXTRACT(C41,""(\d+)"") &amp; ""mm"",
    IF(OR(D41=""R-FFTop"", D41=""R-FFBottom"", D41=""R-FFSide""),
  "&amp;"      IF(REGEXMATCH(C41,""(?i)Profiled.*Top|Top.*Profiled""),""pfft"",
        IF(REGEXMATCH(C41,""(?i)Profiled.*Bottom|Bottom.*Profiled""),""pffb"",
        IF(REGEXMATCH(C41,""(?i)Square""),""sff"",""""))),
    IF(REGEXMATCH(D41,""(?i)-Rivets""),""Rvt"""&amp;",
    IF(REGEXMATCH(D41,""(?i)Silicone""),""300ml"",
    IF(REGEXMATCH(D41,""(?i)R-Butyl""),""300ml"",
    IF(REGEXMATCH(D41,""(?i)Fix""),""GenFix"",
    IF(AND(REGEXMATCH(C41,""(?i)Timber""), REGEXMATCH(D41,""(?i)Timber"")),""tp"",
    IF(AND(REGEXMATCH("&amp;"C41,""(?i)Vent G1275""), REGEXMATCH(D41,""(?i)Comb FIller"")),""CFV1275"",
    IF(REGEXMATCH(C41,""(?i)DPC""),""dpc"",
    IF(REGEXMATCH(C41,""(?i)Concealed Clips""),""ConClips"",
    IF(REGEXMATCH(D41,""(?i)-Takeoff ea""),""Takeoff ea"",
    IF(REGEXMATC"&amp;"H(D41,""(?i)-Takeoff LM""),""Takeoff LM"",
    IF(REGEXMATCH(D41,""(?i)-Takeoff m2""),""Takeoff m2"",
    IF(D41=""R-TU/TD"",""TU/TD"","""")))))))))))))))))
  )))"),"DR5503B55Mag")</f>
        <v>DR5503B55Mag</v>
      </c>
      <c r="C41" s="123" t="s">
        <v>445</v>
      </c>
      <c r="D41" s="124" t="s">
        <v>96</v>
      </c>
      <c r="E41" s="687">
        <f>VALUE(MID(C41, FIND("(", C41)+1, FIND("/", C41)-FIND("(", C41)-1)) / 1000</f>
        <v>0.53</v>
      </c>
      <c r="F41" s="688"/>
      <c r="G41" s="689"/>
      <c r="H41" s="128" t="str">
        <f>IFERROR(__xludf.DUMMYFUNCTION("IFERROR(REGEXEXTRACT(C41, ""(\d*\.\d+)mm""), """")"),"0.55")</f>
        <v>0.55</v>
      </c>
      <c r="I41" s="128" t="s">
        <v>97</v>
      </c>
      <c r="J41" s="126" t="s">
        <v>14</v>
      </c>
      <c r="K41" s="126" t="str">
        <f>IFERROR(
  IF(B41="", "", VLOOKUP(B41, Data!$B$2:$K$905, 7, FALSE)),
  ""
)</f>
        <v/>
      </c>
      <c r="L41" s="704"/>
      <c r="M41" s="730"/>
      <c r="N41" s="151">
        <f>IFERROR(__xludf.DUMMYFUNCTION("IF(
  AND(
    IFERROR(REGEXEXTRACT(C41,""@\s*(\d+(?:\.\d+)?)\s*deg""),"""")&lt;&gt;"""",
    F41&lt;&gt;""""
  ),
  ""Pls Confirm °"",
  IF(
    IFERROR(REGEXEXTRACT(C41,""@\s*(\d+(?:\.\d+)?)\s*deg""),"""")&lt;&gt;"""",
    1/COS(RADIANS(REGEXEXTRACT(C41,""@\s*(\d+(?:\.\d"&amp;"+)?)\s*deg""))),
    IF(
      F41&lt;&gt;"""",
      IF(
        ISNUMBER(SEARCH(""|"",F41)),
        1/COS(
          ATAN(
            TAN(RADIANS(VALUE(INDEX(SPLIT(F41,""|""),1)))) *
            TAN(RADIANS(VALUE(INDEX(SPLIT(F41,""|""),2))))
            /
 "&amp;"           SQRT(
              TAN(RADIANS(VALUE(INDEX(SPLIT(F41,""|""),1))))^2 +
              TAN(RADIANS(VALUE(INDEX(SPLIT(F41,""|""),2))))^2
            )
          )
        ),
        1/COS(RADIANS(VALUE(F41)))
      ),
      1
    )
  )
)"),1.0)</f>
        <v>1</v>
      </c>
      <c r="O41" s="169">
        <v>1.0</v>
      </c>
      <c r="P41" s="134">
        <v>1.0</v>
      </c>
      <c r="Q41" s="168">
        <f t="shared" ref="Q41:Q47" si="21">M41*N41*O41*P41</f>
        <v>0</v>
      </c>
      <c r="R41" s="136" t="str">
        <f>IFERROR(
  IF(B41="", "", VLOOKUP(B41, Data!$B$2:$K$905, 9, FALSE)),
  ""
)</f>
        <v/>
      </c>
      <c r="S41" s="152">
        <f t="shared" ref="S41:S47" si="22">R41*Q41</f>
        <v>0</v>
      </c>
      <c r="T41" s="690"/>
      <c r="U41" s="136" t="str">
        <f>IFERROR(
  IF(B41="", "", VLOOKUP(B41, Data!$B$2:$K$905, 10, FALSE)),
  ""
)
</f>
        <v/>
      </c>
      <c r="V41" s="691"/>
      <c r="W41" s="140">
        <f t="shared" ref="W41:W47" si="23">U41*Q41</f>
        <v>0</v>
      </c>
      <c r="X41" s="692"/>
      <c r="Y41" s="693"/>
      <c r="Z41" s="731"/>
      <c r="AA41" s="595"/>
      <c r="AB41" s="354">
        <f t="shared" ref="AB41:AB46" si="24">W41+S41</f>
        <v>0</v>
      </c>
      <c r="AC41" s="181"/>
      <c r="AD41" s="625"/>
      <c r="AE41" s="626"/>
      <c r="AF41" s="696"/>
      <c r="AG41" s="697"/>
      <c r="AH41" s="629"/>
      <c r="AI41" s="187"/>
      <c r="AJ41" s="630"/>
      <c r="AK41" s="630"/>
      <c r="AL41" s="595"/>
      <c r="AM41" s="595"/>
      <c r="AN41" s="595"/>
      <c r="AO41" s="595"/>
      <c r="AP41" s="595"/>
      <c r="AQ41" s="595"/>
      <c r="AR41" s="595"/>
      <c r="AS41" s="595"/>
      <c r="AT41" s="595"/>
      <c r="AU41" s="595"/>
      <c r="AV41" s="595"/>
      <c r="AW41" s="595"/>
      <c r="AX41" s="595"/>
      <c r="AY41" s="595"/>
      <c r="AZ41" s="595"/>
      <c r="BA41" s="595"/>
      <c r="BB41" s="595"/>
      <c r="BC41" s="595"/>
      <c r="BD41" s="595"/>
      <c r="BE41" s="595"/>
      <c r="BF41" s="595"/>
      <c r="BG41" s="595"/>
      <c r="BH41" s="595"/>
      <c r="BI41" s="651"/>
      <c r="BJ41" s="651"/>
      <c r="BK41" s="651"/>
      <c r="BL41" s="651"/>
      <c r="BM41" s="651"/>
      <c r="BN41" s="651"/>
      <c r="BO41" s="651"/>
      <c r="BP41" s="651"/>
      <c r="BQ41" s="651"/>
      <c r="BR41" s="651"/>
      <c r="BS41" s="651"/>
      <c r="BT41" s="651"/>
    </row>
    <row r="42">
      <c r="A42" s="732"/>
      <c r="B42" s="154" t="str">
        <f>IFERROR(__xludf.DUMMYFUNCTION("IFERROR(
  IF(C42="""","""",
    IF(OR(REGEXMATCH(D42,""(?i)-Flashing""), REGEXMATCH(D42,""(?i)-EavesGut""), REGEXMATCH(D42,""(?i)Valley"")),
        ""DR"" &amp;
        TEXT(
            ROUNDUP(
                MIN(
                    VALUE(MID(C42, FIND("&amp;"""("",C42)+1, FIND(""/"",C42)-FIND(""("",C42)-1)),
                    1200
                ) / 50, 0
            ) * 50, ""0""
        ) &amp;
        MID(C42, FIND(""/"",C42)+1, FIND("")"",C42)-FIND(""/"",C42)-1) &amp;
        TEXT(H42*100,""0"") &amp;
        I42,"&amp;"
    IF(AND(D42=""Roof Sheet"", REGEXMATCH(C42,""(?i)KS\d{4}[A-Z]{2}"")),
       REGEXEXTRACT(C42,""(?i)KS\d{4}[A-Z]{2}""),
    IF(AND(REGEXMATCH(D42,""(?i)-DP""), REGEXMATCH(C42,""(?i)Downpipe"")),
       ""dp"" &amp; REGEXEXTRACT(C42,""(\d+)"") &amp; ""mm"",
  "&amp;"  IF(AND(REGEXMATCH(D42,""(?i)Bracket""), REGEXMATCH(C42,""(?i)Bracket"")),
       ""Brkt"" &amp; REGEXEXTRACT(C42,""(\d+)"") &amp; ""mm"",
    IF(AND(REGEXMATCH(D42,""(?i)-OP""), REGEXMATCH(C42,""(?i)pops"")),
       ""op"" &amp; REGEXEXTRACT(C42,""(\d+)"") &amp; ""mm"""&amp;",
    IF(OR(D42=""R-FFTop"", D42=""R-FFBottom"", D42=""R-FFSide""),
        IF(REGEXMATCH(C42,""(?i)Profiled.*Top|Top.*Profiled""),""pfft"",
        IF(REGEXMATCH(C42,""(?i)Profiled.*Bottom|Bottom.*Profiled""),""pffb"",
        IF(REGEXMATCH(C42,""(?i)Squ"&amp;"are""),""sff"",""""))),
    IF(REGEXMATCH(D42,""(?i)-Rivets""),""Rvt"",
    IF(REGEXMATCH(D42,""(?i)Silicone""),""300ml"",
    IF(REGEXMATCH(D42,""(?i)R-Butyl""),""300ml"",
    IF(REGEXMATCH(D42,""(?i)Fix""),""GenFix"",
    IF(AND(REGEXMATCH(C42,""(?i)Tim"&amp;"ber""), REGEXMATCH(D42,""(?i)Timber"")),""tp"",
    IF(AND(REGEXMATCH(C42,""(?i)Vent G1275""), REGEXMATCH(D42,""(?i)Comb FIller"")),""CFV1275"",
    IF(REGEXMATCH(C42,""(?i)DPC""),""dpc"",
    IF(REGEXMATCH(C42,""(?i)Concealed Clips""),""ConClips"",
    I"&amp;"F(REGEXMATCH(D42,""(?i)-Takeoff ea""),""Takeoff ea"",
    IF(REGEXMATCH(D42,""(?i)-Takeoff LM""),""Takeoff LM"",
    IF(REGEXMATCH(D42,""(?i)-Takeoff m2""),""Takeoff m2"",
    IF(D42=""R-TU/TD"",""TU/TD"","""")))))))))))))))))
  )))"),"300ml")</f>
        <v>300ml</v>
      </c>
      <c r="C42" s="225" t="s">
        <v>98</v>
      </c>
      <c r="D42" s="124" t="s">
        <v>99</v>
      </c>
      <c r="E42" s="687">
        <f>E41</f>
        <v>0.53</v>
      </c>
      <c r="F42" s="733" t="str">
        <f>IFERROR(__xludf.DUMMYFUNCTION("iferror(ROUND(
  DEGREES(
    ATAN(
      TAN(RADIANS(VALUE(INDEX(SPLIT(F41,""|""),1)))) *
      TAN(RADIANS(VALUE(INDEX(SPLIT(F41,""|""),2))))
      /
      SQRT(
        TAN(RADIANS(VALUE(INDEX(SPLIT(F41,""|""),1))))^2 +
        TAN(RADIANS(VALUE(INDEX("&amp;"SPLIT(F41,""|""),2))))^2
      )
    )
  ),
  2
))"),"")</f>
        <v/>
      </c>
      <c r="G42" s="700"/>
      <c r="H42" s="128" t="str">
        <f>IFERROR(__xludf.DUMMYFUNCTION("IFERROR(REGEXEXTRACT(C42, ""(\d*\.\d+)mm""), """")"),"")</f>
        <v/>
      </c>
      <c r="I42" s="700"/>
      <c r="J42" s="126" t="s">
        <v>87</v>
      </c>
      <c r="K42" s="126" t="str">
        <f>IFERROR(
  IF(B42="", "", VLOOKUP(B42, Data!$B$2:$K$905, 7, FALSE)),
  ""
)</f>
        <v/>
      </c>
      <c r="L42" s="704"/>
      <c r="M42" s="150">
        <f>(ROUNDDOWN((M41/5.7)+2,0)*E42)/8</f>
        <v>0.1325</v>
      </c>
      <c r="N42" s="151">
        <f t="shared" ref="N42:N47" si="25">if(B42="","",(if(N41="",N40,N41)))</f>
        <v>1</v>
      </c>
      <c r="O42" s="169">
        <v>1.0</v>
      </c>
      <c r="P42" s="134">
        <v>1.0</v>
      </c>
      <c r="Q42" s="168">
        <f t="shared" si="21"/>
        <v>0.1325</v>
      </c>
      <c r="R42" s="136" t="str">
        <f>IFERROR(
  IF(B42="", "", VLOOKUP(B42, Data!$B$2:$K$905, 9, FALSE)),
  ""
)</f>
        <v/>
      </c>
      <c r="S42" s="152">
        <f t="shared" si="22"/>
        <v>0</v>
      </c>
      <c r="T42" s="690"/>
      <c r="U42" s="681" t="str">
        <f>IFERROR(
  IF(B42="", "", VLOOKUP(B42, Data!$B$2:$K$905, 10, FALSE)),
  ""
)
</f>
        <v/>
      </c>
      <c r="V42" s="691"/>
      <c r="W42" s="140">
        <f t="shared" si="23"/>
        <v>0</v>
      </c>
      <c r="X42" s="692"/>
      <c r="Y42" s="595"/>
      <c r="Z42" s="595"/>
      <c r="AA42" s="595"/>
      <c r="AB42" s="354">
        <f t="shared" si="24"/>
        <v>0</v>
      </c>
      <c r="AC42" s="181"/>
      <c r="AD42" s="625"/>
      <c r="AE42" s="626"/>
      <c r="AF42" s="696"/>
      <c r="AG42" s="697"/>
      <c r="AH42" s="629"/>
      <c r="AI42" s="187"/>
      <c r="AJ42" s="630"/>
      <c r="AK42" s="630"/>
      <c r="AL42" s="595"/>
      <c r="AM42" s="595"/>
      <c r="AN42" s="595"/>
      <c r="AO42" s="595"/>
      <c r="AP42" s="595"/>
      <c r="AQ42" s="595"/>
      <c r="AR42" s="595"/>
      <c r="AS42" s="595"/>
      <c r="AT42" s="595"/>
      <c r="AU42" s="595"/>
      <c r="AV42" s="595"/>
      <c r="AW42" s="595"/>
      <c r="AX42" s="595"/>
      <c r="AY42" s="595"/>
      <c r="AZ42" s="595"/>
      <c r="BA42" s="595"/>
      <c r="BB42" s="595"/>
      <c r="BC42" s="595"/>
      <c r="BD42" s="595"/>
      <c r="BE42" s="595"/>
      <c r="BF42" s="595"/>
      <c r="BG42" s="595"/>
      <c r="BH42" s="595"/>
      <c r="BI42" s="651"/>
      <c r="BJ42" s="651"/>
      <c r="BK42" s="651"/>
      <c r="BL42" s="651"/>
      <c r="BM42" s="651"/>
      <c r="BN42" s="651"/>
      <c r="BO42" s="651"/>
      <c r="BP42" s="651"/>
      <c r="BQ42" s="651"/>
      <c r="BR42" s="651"/>
      <c r="BS42" s="651"/>
      <c r="BT42" s="651"/>
    </row>
    <row r="43">
      <c r="A43" s="732"/>
      <c r="B43" s="154" t="str">
        <f>IFERROR(__xludf.DUMMYFUNCTION("IFERROR(
  IF(C43="""","""",
    IF(OR(REGEXMATCH(D43,""(?i)-Flashing""), REGEXMATCH(D43,""(?i)-EavesGut""), REGEXMATCH(D43,""(?i)Valley"")),
        ""DR"" &amp;
        TEXT(
            ROUNDUP(
                MIN(
                    VALUE(MID(C43, FIND("&amp;"""("",C43)+1, FIND(""/"",C43)-FIND(""("",C43)-1)),
                    1200
                ) / 50, 0
            ) * 50, ""0""
        ) &amp;
        MID(C43, FIND(""/"",C43)+1, FIND("")"",C43)-FIND(""/"",C43)-1) &amp;
        TEXT(H43*100,""0"") &amp;
        I43,"&amp;"
    IF(AND(D43=""Roof Sheet"", REGEXMATCH(C43,""(?i)KS\d{4}[A-Z]{2}"")),
       REGEXEXTRACT(C43,""(?i)KS\d{4}[A-Z]{2}""),
    IF(AND(REGEXMATCH(D43,""(?i)-DP""), REGEXMATCH(C43,""(?i)Downpipe"")),
       ""dp"" &amp; REGEXEXTRACT(C43,""(\d+)"") &amp; ""mm"",
  "&amp;"  IF(AND(REGEXMATCH(D43,""(?i)Bracket""), REGEXMATCH(C43,""(?i)Bracket"")),
       ""Brkt"" &amp; REGEXEXTRACT(C43,""(\d+)"") &amp; ""mm"",
    IF(AND(REGEXMATCH(D43,""(?i)-OP""), REGEXMATCH(C43,""(?i)pops"")),
       ""op"" &amp; REGEXEXTRACT(C43,""(\d+)"") &amp; ""mm"""&amp;",
    IF(OR(D43=""R-FFTop"", D43=""R-FFBottom"", D43=""R-FFSide""),
        IF(REGEXMATCH(C43,""(?i)Profiled.*Top|Top.*Profiled""),""pfft"",
        IF(REGEXMATCH(C43,""(?i)Profiled.*Bottom|Bottom.*Profiled""),""pffb"",
        IF(REGEXMATCH(C43,""(?i)Squ"&amp;"are""),""sff"",""""))),
    IF(REGEXMATCH(D43,""(?i)-Rivets""),""Rvt"",
    IF(REGEXMATCH(D43,""(?i)Silicone""),""300ml"",
    IF(REGEXMATCH(D43,""(?i)R-Butyl""),""300ml"",
    IF(REGEXMATCH(D43,""(?i)Fix""),""GenFix"",
    IF(AND(REGEXMATCH(C43,""(?i)Tim"&amp;"ber""), REGEXMATCH(D43,""(?i)Timber"")),""tp"",
    IF(AND(REGEXMATCH(C43,""(?i)Vent G1275""), REGEXMATCH(D43,""(?i)Comb FIller"")),""CFV1275"",
    IF(REGEXMATCH(C43,""(?i)DPC""),""dpc"",
    IF(REGEXMATCH(C43,""(?i)Concealed Clips""),""ConClips"",
    I"&amp;"F(REGEXMATCH(D43,""(?i)-Takeoff ea""),""Takeoff ea"",
    IF(REGEXMATCH(D43,""(?i)-Takeoff LM""),""Takeoff LM"",
    IF(REGEXMATCH(D43,""(?i)-Takeoff m2""),""Takeoff m2"",
    IF(D43=""R-TU/TD"",""TU/TD"","""")))))))))))))))))
  )))"),"Rvt")</f>
        <v>Rvt</v>
      </c>
      <c r="C43" s="225" t="s">
        <v>100</v>
      </c>
      <c r="D43" s="124" t="s">
        <v>101</v>
      </c>
      <c r="E43" s="687">
        <f>E41</f>
        <v>0.53</v>
      </c>
      <c r="F43" s="721"/>
      <c r="G43" s="700"/>
      <c r="H43" s="128" t="str">
        <f>IFERROR(__xludf.DUMMYFUNCTION("IFERROR(REGEXEXTRACT(C43, ""(\d*\.\d+)mm""), """")"),"")</f>
        <v/>
      </c>
      <c r="I43" s="700"/>
      <c r="J43" s="126" t="s">
        <v>87</v>
      </c>
      <c r="K43" s="126" t="str">
        <f>IFERROR(
  IF(B43="", "", VLOOKUP(B43, Data!$B$2:$K$905, 7, FALSE)),
  ""
)</f>
        <v/>
      </c>
      <c r="L43" s="704"/>
      <c r="M43" s="150">
        <f>ROUNDUP(((M41/5.7)+1)*(E43/0.05),0)</f>
        <v>11</v>
      </c>
      <c r="N43" s="151">
        <f t="shared" si="25"/>
        <v>1</v>
      </c>
      <c r="O43" s="169">
        <v>1.0</v>
      </c>
      <c r="P43" s="134">
        <v>1.0</v>
      </c>
      <c r="Q43" s="168">
        <f t="shared" si="21"/>
        <v>11</v>
      </c>
      <c r="R43" s="136" t="str">
        <f>IFERROR(
  IF(B43="", "", VLOOKUP(B43, Data!$B$2:$K$905, 9, FALSE)),
  ""
)</f>
        <v/>
      </c>
      <c r="S43" s="152">
        <f t="shared" si="22"/>
        <v>0</v>
      </c>
      <c r="T43" s="690"/>
      <c r="U43" s="681" t="str">
        <f>IFERROR(
  IF(B43="", "", VLOOKUP(B43, Data!$B$2:$K$905, 10, FALSE)),
  ""
)
</f>
        <v/>
      </c>
      <c r="V43" s="691"/>
      <c r="W43" s="140">
        <f t="shared" si="23"/>
        <v>0</v>
      </c>
      <c r="X43" s="692"/>
      <c r="Y43" s="595"/>
      <c r="Z43" s="595"/>
      <c r="AA43" s="595"/>
      <c r="AB43" s="354">
        <f t="shared" si="24"/>
        <v>0</v>
      </c>
      <c r="AC43" s="181"/>
      <c r="AD43" s="625"/>
      <c r="AE43" s="626"/>
      <c r="AF43" s="696"/>
      <c r="AG43" s="697"/>
      <c r="AH43" s="629"/>
      <c r="AI43" s="187"/>
      <c r="AJ43" s="630"/>
      <c r="AK43" s="630"/>
      <c r="AL43" s="595"/>
      <c r="AM43" s="595"/>
      <c r="AN43" s="595"/>
      <c r="AO43" s="595"/>
      <c r="AP43" s="595"/>
      <c r="AQ43" s="595"/>
      <c r="AR43" s="595"/>
      <c r="AS43" s="595"/>
      <c r="AT43" s="595"/>
      <c r="AU43" s="595"/>
      <c r="AV43" s="595"/>
      <c r="AW43" s="595"/>
      <c r="AX43" s="595"/>
      <c r="AY43" s="595"/>
      <c r="AZ43" s="595"/>
      <c r="BA43" s="595"/>
      <c r="BB43" s="595"/>
      <c r="BC43" s="595"/>
      <c r="BD43" s="595"/>
      <c r="BE43" s="595"/>
      <c r="BF43" s="595"/>
      <c r="BG43" s="595"/>
      <c r="BH43" s="595"/>
      <c r="BI43" s="651"/>
      <c r="BJ43" s="651"/>
      <c r="BK43" s="651"/>
      <c r="BL43" s="651"/>
      <c r="BM43" s="651"/>
      <c r="BN43" s="651"/>
      <c r="BO43" s="651"/>
      <c r="BP43" s="651"/>
      <c r="BQ43" s="651"/>
      <c r="BR43" s="651"/>
      <c r="BS43" s="651"/>
      <c r="BT43" s="651"/>
    </row>
    <row r="44">
      <c r="A44" s="732"/>
      <c r="B44" s="154" t="str">
        <f>IFERROR(__xludf.DUMMYFUNCTION("IFERROR(
  IF(C44="""","""",
    IF(OR(REGEXMATCH(D44,""(?i)-Flashing""), REGEXMATCH(D44,""(?i)-EavesGut""), REGEXMATCH(D44,""(?i)Valley"")),
        ""DR"" &amp;
        TEXT(
            ROUNDUP(
                MIN(
                    VALUE(MID(C44, FIND("&amp;"""("",C44)+1, FIND(""/"",C44)-FIND(""("",C44)-1)),
                    1200
                ) / 50, 0
            ) * 50, ""0""
        ) &amp;
        MID(C44, FIND(""/"",C44)+1, FIND("")"",C44)-FIND(""/"",C44)-1) &amp;
        TEXT(H44*100,""0"") &amp;
        I44,"&amp;"
    IF(AND(D44=""Roof Sheet"", REGEXMATCH(C44,""(?i)KS\d{4}[A-Z]{2}"")),
       REGEXEXTRACT(C44,""(?i)KS\d{4}[A-Z]{2}""),
    IF(AND(REGEXMATCH(D44,""(?i)-DP""), REGEXMATCH(C44,""(?i)Downpipe"")),
       ""dp"" &amp; REGEXEXTRACT(C44,""(\d+)"") &amp; ""mm"",
  "&amp;"  IF(AND(REGEXMATCH(D44,""(?i)Bracket""), REGEXMATCH(C44,""(?i)Bracket"")),
       ""Brkt"" &amp; REGEXEXTRACT(C44,""(\d+)"") &amp; ""mm"",
    IF(AND(REGEXMATCH(D44,""(?i)-OP""), REGEXMATCH(C44,""(?i)pops"")),
       ""op"" &amp; REGEXEXTRACT(C44,""(\d+)"") &amp; ""mm"""&amp;",
    IF(OR(D44=""R-FFTop"", D44=""R-FFBottom"", D44=""R-FFSide""),
        IF(REGEXMATCH(C44,""(?i)Profiled.*Top|Top.*Profiled""),""pfft"",
        IF(REGEXMATCH(C44,""(?i)Profiled.*Bottom|Bottom.*Profiled""),""pffb"",
        IF(REGEXMATCH(C44,""(?i)Squ"&amp;"are""),""sff"",""""))),
    IF(REGEXMATCH(D44,""(?i)-Rivets""),""Rvt"",
    IF(REGEXMATCH(D44,""(?i)Silicone""),""300ml"",
    IF(REGEXMATCH(D44,""(?i)R-Butyl""),""300ml"",
    IF(REGEXMATCH(D44,""(?i)Fix""),""GenFix"",
    IF(AND(REGEXMATCH(C44,""(?i)Tim"&amp;"ber""), REGEXMATCH(D44,""(?i)Timber"")),""tp"",
    IF(AND(REGEXMATCH(C44,""(?i)Vent G1275""), REGEXMATCH(D44,""(?i)Comb FIller"")),""CFV1275"",
    IF(REGEXMATCH(C44,""(?i)DPC""),""dpc"",
    IF(REGEXMATCH(C44,""(?i)Concealed Clips""),""ConClips"",
    I"&amp;"F(REGEXMATCH(D44,""(?i)-Takeoff ea""),""Takeoff ea"",
    IF(REGEXMATCH(D44,""(?i)-Takeoff LM""),""Takeoff LM"",
    IF(REGEXMATCH(D44,""(?i)-Takeoff m2""),""Takeoff m2"",
    IF(D44=""R-TU/TD"",""TU/TD"","""")))))))))))))))))
  )))"),"GenFix")</f>
        <v>GenFix</v>
      </c>
      <c r="C44" s="158" t="s">
        <v>102</v>
      </c>
      <c r="D44" s="124" t="s">
        <v>103</v>
      </c>
      <c r="E44" s="722"/>
      <c r="F44" s="721"/>
      <c r="G44" s="701"/>
      <c r="H44" s="128"/>
      <c r="I44" s="700"/>
      <c r="J44" s="126" t="s">
        <v>87</v>
      </c>
      <c r="K44" s="126" t="str">
        <f>IFERROR(
  IF(B44="", "", VLOOKUP(B44, Data!$B$2:$K$905, 7, FALSE)),
  ""
)</f>
        <v/>
      </c>
      <c r="L44" s="712"/>
      <c r="M44" s="150">
        <f>ROUNDUP(M41/0.6,0)+1</f>
        <v>1</v>
      </c>
      <c r="N44" s="151">
        <f t="shared" si="25"/>
        <v>1</v>
      </c>
      <c r="O44" s="169">
        <v>1.0</v>
      </c>
      <c r="P44" s="134">
        <v>2.0</v>
      </c>
      <c r="Q44" s="168">
        <f t="shared" si="21"/>
        <v>2</v>
      </c>
      <c r="R44" s="136" t="str">
        <f>IFERROR(
  IF(B44="", "", VLOOKUP(B44, Data!$B$2:$K$905, 9, FALSE)),
  ""
)</f>
        <v/>
      </c>
      <c r="S44" s="152">
        <f t="shared" si="22"/>
        <v>0</v>
      </c>
      <c r="T44" s="690"/>
      <c r="U44" s="681" t="str">
        <f>IFERROR(
  IF(B44="", "", VLOOKUP(B44, Data!$B$2:$K$905, 10, FALSE)),
  ""
)
</f>
        <v/>
      </c>
      <c r="V44" s="691"/>
      <c r="W44" s="140">
        <f t="shared" si="23"/>
        <v>0</v>
      </c>
      <c r="X44" s="692"/>
      <c r="Y44" s="595"/>
      <c r="Z44" s="595"/>
      <c r="AA44" s="595"/>
      <c r="AB44" s="354">
        <f t="shared" si="24"/>
        <v>0</v>
      </c>
      <c r="AC44" s="181"/>
      <c r="AD44" s="625"/>
      <c r="AE44" s="626"/>
      <c r="AF44" s="696"/>
      <c r="AG44" s="697"/>
      <c r="AH44" s="629"/>
      <c r="AI44" s="187"/>
      <c r="AJ44" s="630"/>
      <c r="AK44" s="630"/>
      <c r="AL44" s="595"/>
      <c r="AM44" s="595"/>
      <c r="AN44" s="595"/>
      <c r="AO44" s="595"/>
      <c r="AP44" s="595"/>
      <c r="AQ44" s="595"/>
      <c r="AR44" s="595"/>
      <c r="AS44" s="595"/>
      <c r="AT44" s="595"/>
      <c r="AU44" s="595"/>
      <c r="AV44" s="595"/>
      <c r="AW44" s="595"/>
      <c r="AX44" s="595"/>
      <c r="AY44" s="595"/>
      <c r="AZ44" s="595"/>
      <c r="BA44" s="595"/>
      <c r="BB44" s="595"/>
      <c r="BC44" s="595"/>
      <c r="BD44" s="595"/>
      <c r="BE44" s="595"/>
      <c r="BF44" s="595"/>
      <c r="BG44" s="595"/>
      <c r="BH44" s="595"/>
      <c r="BI44" s="651"/>
      <c r="BJ44" s="651"/>
      <c r="BK44" s="651"/>
      <c r="BL44" s="651"/>
      <c r="BM44" s="651"/>
      <c r="BN44" s="651"/>
      <c r="BO44" s="651"/>
      <c r="BP44" s="651"/>
      <c r="BQ44" s="651"/>
      <c r="BR44" s="651"/>
      <c r="BS44" s="651"/>
      <c r="BT44" s="651"/>
    </row>
    <row r="45">
      <c r="A45" s="732"/>
      <c r="B45" s="154" t="str">
        <f>IFERROR(__xludf.DUMMYFUNCTION("IFERROR(
  IF(C45="""","""",
    IF(OR(REGEXMATCH(D45,""(?i)-Flashing""), REGEXMATCH(D45,""(?i)-EavesGut""), REGEXMATCH(D45,""(?i)Valley"")),
        ""DR"" &amp;
        TEXT(
            ROUNDUP(
                MIN(
                    VALUE(MID(C45, FIND("&amp;"""("",C45)+1, FIND(""/"",C45)-FIND(""("",C45)-1)),
                    1200
                ) / 50, 0
            ) * 50, ""0""
        ) &amp;
        MID(C45, FIND(""/"",C45)+1, FIND("")"",C45)-FIND(""/"",C45)-1) &amp;
        TEXT(H45*100,""0"") &amp;
        I45,"&amp;"
    IF(AND(D45=""Roof Sheet"", REGEXMATCH(C45,""(?i)KS\d{4}[A-Z]{2}"")),
       REGEXEXTRACT(C45,""(?i)KS\d{4}[A-Z]{2}""),
    IF(AND(REGEXMATCH(D45,""(?i)-DP""), REGEXMATCH(C45,""(?i)Downpipe"")),
       ""dp"" &amp; REGEXEXTRACT(C45,""(\d+)"") &amp; ""mm"",
  "&amp;"  IF(AND(REGEXMATCH(D45,""(?i)Bracket""), REGEXMATCH(C45,""(?i)Bracket"")),
       ""Brkt"" &amp; REGEXEXTRACT(C45,""(\d+)"") &amp; ""mm"",
    IF(AND(REGEXMATCH(D45,""(?i)-OP""), REGEXMATCH(C45,""(?i)pops"")),
       ""op"" &amp; REGEXEXTRACT(C45,""(\d+)"") &amp; ""mm"""&amp;",
    IF(OR(D45=""R-FFTop"", D45=""R-FFBottom"", D45=""R-FFSide""),
        IF(REGEXMATCH(C45,""(?i)Profiled.*Top|Top.*Profiled""),""pfft"",
        IF(REGEXMATCH(C45,""(?i)Profiled.*Bottom|Bottom.*Profiled""),""pffb"",
        IF(REGEXMATCH(C45,""(?i)Squ"&amp;"are""),""sff"",""""))),
    IF(REGEXMATCH(D45,""(?i)-Rivets""),""Rvt"",
    IF(REGEXMATCH(D45,""(?i)Silicone""),""300ml"",
    IF(REGEXMATCH(D45,""(?i)R-Butyl""),""300ml"",
    IF(REGEXMATCH(D45,""(?i)Fix""),""GenFix"",
    IF(AND(REGEXMATCH(C45,""(?i)Tim"&amp;"ber""), REGEXMATCH(D45,""(?i)Timber"")),""tp"",
    IF(AND(REGEXMATCH(C45,""(?i)Vent G1275""), REGEXMATCH(D45,""(?i)Comb FIller"")),""CFV1275"",
    IF(REGEXMATCH(C45,""(?i)DPC""),""dpc"",
    IF(REGEXMATCH(C45,""(?i)Concealed Clips""),""ConClips"",
    I"&amp;"F(REGEXMATCH(D45,""(?i)-Takeoff ea""),""Takeoff ea"",
    IF(REGEXMATCH(D45,""(?i)-Takeoff LM""),""Takeoff LM"",
    IF(REGEXMATCH(D45,""(?i)-Takeoff m2""),""Takeoff m2"",
    IF(D45=""R-TU/TD"",""TU/TD"","""")))))))))))))))))
  )))"),"pfft")</f>
        <v>pfft</v>
      </c>
      <c r="C45" s="223" t="s">
        <v>104</v>
      </c>
      <c r="D45" s="124" t="s">
        <v>105</v>
      </c>
      <c r="E45" s="722"/>
      <c r="F45" s="721"/>
      <c r="G45" s="701"/>
      <c r="H45" s="128"/>
      <c r="I45" s="700"/>
      <c r="J45" s="126" t="s">
        <v>87</v>
      </c>
      <c r="K45" s="126" t="str">
        <f>IFERROR(
  IF(B45="", "", VLOOKUP(B45, Data!$B$2:$K$905, 7, FALSE)),
  ""
)</f>
        <v/>
      </c>
      <c r="L45" s="712"/>
      <c r="M45" s="150" t="str">
        <f>M41</f>
        <v/>
      </c>
      <c r="N45" s="151">
        <f t="shared" si="25"/>
        <v>1</v>
      </c>
      <c r="O45" s="169">
        <v>1.0</v>
      </c>
      <c r="P45" s="134">
        <v>1.0</v>
      </c>
      <c r="Q45" s="168">
        <f t="shared" si="21"/>
        <v>0</v>
      </c>
      <c r="R45" s="136" t="str">
        <f>IFERROR(
  IF(B45="", "", VLOOKUP(B45, Data!$B$2:$K$905, 9, FALSE)),
  ""
)</f>
        <v/>
      </c>
      <c r="S45" s="152">
        <f t="shared" si="22"/>
        <v>0</v>
      </c>
      <c r="T45" s="690"/>
      <c r="U45" s="136" t="str">
        <f>IFERROR(
  IF(B45="", "", VLOOKUP(B45, Data!$B$2:$K$905, 10, FALSE)),
  ""
)
</f>
        <v/>
      </c>
      <c r="V45" s="691"/>
      <c r="W45" s="140">
        <f t="shared" si="23"/>
        <v>0</v>
      </c>
      <c r="X45" s="692"/>
      <c r="Y45" s="595"/>
      <c r="Z45" s="595"/>
      <c r="AA45" s="595"/>
      <c r="AB45" s="354">
        <f t="shared" si="24"/>
        <v>0</v>
      </c>
      <c r="AC45" s="181"/>
      <c r="AD45" s="625"/>
      <c r="AE45" s="626"/>
      <c r="AF45" s="696"/>
      <c r="AG45" s="697"/>
      <c r="AH45" s="629"/>
      <c r="AI45" s="187"/>
      <c r="AJ45" s="630"/>
      <c r="AK45" s="630"/>
      <c r="AL45" s="595"/>
      <c r="AM45" s="595"/>
      <c r="AN45" s="595"/>
      <c r="AO45" s="595"/>
      <c r="AP45" s="595"/>
      <c r="AQ45" s="595"/>
      <c r="AR45" s="595"/>
      <c r="AS45" s="595"/>
      <c r="AT45" s="595"/>
      <c r="AU45" s="595"/>
      <c r="AV45" s="595"/>
      <c r="AW45" s="595"/>
      <c r="AX45" s="595"/>
      <c r="AY45" s="595"/>
      <c r="AZ45" s="595"/>
      <c r="BA45" s="595"/>
      <c r="BB45" s="595"/>
      <c r="BC45" s="595"/>
      <c r="BD45" s="595"/>
      <c r="BE45" s="595"/>
      <c r="BF45" s="595"/>
      <c r="BG45" s="595"/>
      <c r="BH45" s="595"/>
      <c r="BI45" s="651"/>
      <c r="BJ45" s="651"/>
      <c r="BK45" s="651"/>
      <c r="BL45" s="651"/>
      <c r="BM45" s="651"/>
      <c r="BN45" s="651"/>
      <c r="BO45" s="651"/>
      <c r="BP45" s="651"/>
      <c r="BQ45" s="651"/>
      <c r="BR45" s="651"/>
      <c r="BS45" s="651"/>
      <c r="BT45" s="651"/>
    </row>
    <row r="46">
      <c r="A46" s="732"/>
      <c r="B46" s="154" t="str">
        <f>IFERROR(__xludf.DUMMYFUNCTION("IFERROR(
  IF(C46="""","""",
    IF(OR(REGEXMATCH(D46,""(?i)-Flashing""), REGEXMATCH(D46,""(?i)-EavesGut""), REGEXMATCH(D46,""(?i)Valley"")),
        ""DR"" &amp;
        TEXT(
            ROUNDUP(
                MIN(
                    VALUE(MID(C46, FIND("&amp;"""("",C46)+1, FIND(""/"",C46)-FIND(""("",C46)-1)),
                    1200
                ) / 50, 0
            ) * 50, ""0""
        ) &amp;
        MID(C46, FIND(""/"",C46)+1, FIND("")"",C46)-FIND(""/"",C46)-1) &amp;
        TEXT(H46*100,""0"") &amp;
        I46,"&amp;"
    IF(AND(D46=""Roof Sheet"", REGEXMATCH(C46,""(?i)KS\d{4}[A-Z]{2}"")),
       REGEXEXTRACT(C46,""(?i)KS\d{4}[A-Z]{2}""),
    IF(AND(REGEXMATCH(D46,""(?i)-DP""), REGEXMATCH(C46,""(?i)Downpipe"")),
       ""dp"" &amp; REGEXEXTRACT(C46,""(\d+)"") &amp; ""mm"",
  "&amp;"  IF(AND(REGEXMATCH(D46,""(?i)Bracket""), REGEXMATCH(C46,""(?i)Bracket"")),
       ""Brkt"" &amp; REGEXEXTRACT(C46,""(\d+)"") &amp; ""mm"",
    IF(AND(REGEXMATCH(D46,""(?i)-OP""), REGEXMATCH(C46,""(?i)pops"")),
       ""op"" &amp; REGEXEXTRACT(C46,""(\d+)"") &amp; ""mm"""&amp;",
    IF(OR(D46=""R-FFTop"", D46=""R-FFBottom"", D46=""R-FFSide""),
        IF(REGEXMATCH(C46,""(?i)Profiled.*Top|Top.*Profiled""),""pfft"",
        IF(REGEXMATCH(C46,""(?i)Profiled.*Bottom|Bottom.*Profiled""),""pffb"",
        IF(REGEXMATCH(C46,""(?i)Squ"&amp;"are""),""sff"",""""))),
    IF(REGEXMATCH(D46,""(?i)-Rivets""),""Rvt"",
    IF(REGEXMATCH(D46,""(?i)Silicone""),""300ml"",
    IF(REGEXMATCH(D46,""(?i)R-Butyl""),""300ml"",
    IF(REGEXMATCH(D46,""(?i)Fix""),""GenFix"",
    IF(AND(REGEXMATCH(C46,""(?i)Tim"&amp;"ber""), REGEXMATCH(D46,""(?i)Timber"")),""tp"",
    IF(AND(REGEXMATCH(C46,""(?i)Vent G1275""), REGEXMATCH(D46,""(?i)Comb FIller"")),""CFV1275"",
    IF(REGEXMATCH(C46,""(?i)DPC""),""dpc"",
    IF(REGEXMATCH(C46,""(?i)Concealed Clips""),""ConClips"",
    I"&amp;"F(REGEXMATCH(D46,""(?i)-Takeoff ea""),""Takeoff ea"",
    IF(REGEXMATCH(D46,""(?i)-Takeoff LM""),""Takeoff LM"",
    IF(REGEXMATCH(D46,""(?i)-Takeoff m2""),""Takeoff m2"",
    IF(D46=""R-TU/TD"",""TU/TD"","""")))))))))))))))))
  )))"),"TU/TD")</f>
        <v>TU/TD</v>
      </c>
      <c r="C46" s="223" t="s">
        <v>446</v>
      </c>
      <c r="D46" s="148" t="s">
        <v>107</v>
      </c>
      <c r="E46" s="722"/>
      <c r="F46" s="721"/>
      <c r="G46" s="701"/>
      <c r="H46" s="128"/>
      <c r="I46" s="700"/>
      <c r="J46" s="126" t="s">
        <v>87</v>
      </c>
      <c r="K46" s="126" t="str">
        <f>IFERROR(
  IF(B46="", "", VLOOKUP(B46, Data!$B$2:$K$905, 7, FALSE)),
  ""
)</f>
        <v/>
      </c>
      <c r="L46" s="712"/>
      <c r="M46" s="150" t="str">
        <f>M41</f>
        <v/>
      </c>
      <c r="N46" s="151">
        <f t="shared" si="25"/>
        <v>1</v>
      </c>
      <c r="O46" s="169">
        <v>1.0</v>
      </c>
      <c r="P46" s="134">
        <v>1.0</v>
      </c>
      <c r="Q46" s="168">
        <f t="shared" si="21"/>
        <v>0</v>
      </c>
      <c r="R46" s="136" t="str">
        <f>IFERROR(
  IF(B46="", "", VLOOKUP(B46, Data!$B$2:$K$905, 9, FALSE)),
  ""
)</f>
        <v/>
      </c>
      <c r="S46" s="152">
        <f t="shared" si="22"/>
        <v>0</v>
      </c>
      <c r="T46" s="690"/>
      <c r="U46" s="136" t="str">
        <f>IFERROR(
  IF(B46="", "", VLOOKUP(B46, Data!$B$2:$K$905, 10, FALSE)),
  ""
)
</f>
        <v/>
      </c>
      <c r="V46" s="691"/>
      <c r="W46" s="140">
        <f t="shared" si="23"/>
        <v>0</v>
      </c>
      <c r="X46" s="692"/>
      <c r="Y46" s="595"/>
      <c r="Z46" s="595"/>
      <c r="AA46" s="595"/>
      <c r="AB46" s="354">
        <f t="shared" si="24"/>
        <v>0</v>
      </c>
      <c r="AC46" s="181"/>
      <c r="AD46" s="625"/>
      <c r="AE46" s="626"/>
      <c r="AF46" s="696"/>
      <c r="AG46" s="697"/>
      <c r="AH46" s="629"/>
      <c r="AI46" s="187"/>
      <c r="AJ46" s="630"/>
      <c r="AK46" s="630"/>
      <c r="AL46" s="595"/>
      <c r="AM46" s="595"/>
      <c r="AN46" s="595"/>
      <c r="AO46" s="595"/>
      <c r="AP46" s="595"/>
      <c r="AQ46" s="595"/>
      <c r="AR46" s="595"/>
      <c r="AS46" s="595"/>
      <c r="AT46" s="595"/>
      <c r="AU46" s="595"/>
      <c r="AV46" s="595"/>
      <c r="AW46" s="595"/>
      <c r="AX46" s="595"/>
      <c r="AY46" s="595"/>
      <c r="AZ46" s="595"/>
      <c r="BA46" s="595"/>
      <c r="BB46" s="595"/>
      <c r="BC46" s="595"/>
      <c r="BD46" s="595"/>
      <c r="BE46" s="595"/>
      <c r="BF46" s="595"/>
      <c r="BG46" s="595"/>
      <c r="BH46" s="595"/>
      <c r="BI46" s="651"/>
      <c r="BJ46" s="651"/>
      <c r="BK46" s="651"/>
      <c r="BL46" s="651"/>
      <c r="BM46" s="651"/>
      <c r="BN46" s="651"/>
      <c r="BO46" s="651"/>
      <c r="BP46" s="651"/>
      <c r="BQ46" s="651"/>
      <c r="BR46" s="651"/>
      <c r="BS46" s="651"/>
      <c r="BT46" s="651"/>
    </row>
    <row r="47">
      <c r="A47" s="732"/>
      <c r="B47" s="122" t="s">
        <v>447</v>
      </c>
      <c r="C47" s="223" t="s">
        <v>448</v>
      </c>
      <c r="D47" s="148" t="s">
        <v>303</v>
      </c>
      <c r="E47" s="722"/>
      <c r="F47" s="721"/>
      <c r="G47" s="701"/>
      <c r="H47" s="128"/>
      <c r="I47" s="700"/>
      <c r="J47" s="126" t="s">
        <v>87</v>
      </c>
      <c r="K47" s="126" t="str">
        <f>IFERROR(
  IF(B47="", "", VLOOKUP(B47, Data!$B$2:$K$905, 7, FALSE)),
  ""
)</f>
        <v/>
      </c>
      <c r="L47" s="712"/>
      <c r="M47" s="730">
        <v>2.0</v>
      </c>
      <c r="N47" s="151">
        <f t="shared" si="25"/>
        <v>1</v>
      </c>
      <c r="O47" s="169">
        <v>1.0</v>
      </c>
      <c r="P47" s="134">
        <v>1.0</v>
      </c>
      <c r="Q47" s="168">
        <f t="shared" si="21"/>
        <v>2</v>
      </c>
      <c r="R47" s="136" t="str">
        <f>IFERROR(
  IF(B47="", "", VLOOKUP(B47, Data!$B$2:$K$905, 9, FALSE)),
  ""
)</f>
        <v/>
      </c>
      <c r="S47" s="152">
        <f t="shared" si="22"/>
        <v>0</v>
      </c>
      <c r="T47" s="690"/>
      <c r="U47" s="136" t="str">
        <f>IFERROR(
  IF(B47="", "", VLOOKUP(B47, Data!$B$2:$K$905, 10, FALSE)),
  ""
)
</f>
        <v/>
      </c>
      <c r="V47" s="691"/>
      <c r="W47" s="140">
        <f t="shared" si="23"/>
        <v>0</v>
      </c>
      <c r="X47" s="692"/>
      <c r="Y47" s="595"/>
      <c r="Z47" s="595"/>
      <c r="AA47" s="595"/>
      <c r="AB47" s="354"/>
      <c r="AC47" s="181"/>
      <c r="AD47" s="625"/>
      <c r="AE47" s="626"/>
      <c r="AF47" s="696"/>
      <c r="AG47" s="697"/>
      <c r="AH47" s="629"/>
      <c r="AI47" s="187"/>
      <c r="AJ47" s="630"/>
      <c r="AK47" s="630"/>
      <c r="AL47" s="595"/>
      <c r="AM47" s="595"/>
      <c r="AN47" s="595"/>
      <c r="AO47" s="595"/>
      <c r="AP47" s="595"/>
      <c r="AQ47" s="595"/>
      <c r="AR47" s="595"/>
      <c r="AS47" s="595"/>
      <c r="AT47" s="595"/>
      <c r="AU47" s="595"/>
      <c r="AV47" s="595"/>
      <c r="AW47" s="595"/>
      <c r="AX47" s="595"/>
      <c r="AY47" s="595"/>
      <c r="AZ47" s="595"/>
      <c r="BA47" s="595"/>
      <c r="BB47" s="595"/>
      <c r="BC47" s="595"/>
      <c r="BD47" s="595"/>
      <c r="BE47" s="595"/>
      <c r="BF47" s="595"/>
      <c r="BG47" s="595"/>
      <c r="BH47" s="595"/>
      <c r="BI47" s="651"/>
      <c r="BJ47" s="651"/>
      <c r="BK47" s="651"/>
      <c r="BL47" s="651"/>
      <c r="BM47" s="651"/>
      <c r="BN47" s="651"/>
      <c r="BO47" s="651"/>
      <c r="BP47" s="651"/>
      <c r="BQ47" s="651"/>
      <c r="BR47" s="651"/>
      <c r="BS47" s="651"/>
      <c r="BT47" s="651"/>
    </row>
    <row r="48">
      <c r="A48" s="732"/>
      <c r="B48" s="154"/>
      <c r="C48" s="700"/>
      <c r="D48" s="701"/>
      <c r="E48" s="722"/>
      <c r="F48" s="721"/>
      <c r="G48" s="701"/>
      <c r="H48" s="128"/>
      <c r="I48" s="700"/>
      <c r="J48" s="701"/>
      <c r="K48" s="701"/>
      <c r="L48" s="712"/>
      <c r="M48" s="704"/>
      <c r="N48" s="151" t="str">
        <f>if(B48="","",(if(N45="",N44,N45)))</f>
        <v/>
      </c>
      <c r="O48" s="712"/>
      <c r="P48" s="700"/>
      <c r="Q48" s="712"/>
      <c r="R48" s="681"/>
      <c r="S48" s="691"/>
      <c r="T48" s="690"/>
      <c r="U48" s="681"/>
      <c r="V48" s="691"/>
      <c r="W48" s="713"/>
      <c r="X48" s="692"/>
      <c r="Y48" s="595"/>
      <c r="Z48" s="595"/>
      <c r="AA48" s="595"/>
      <c r="AB48" s="595"/>
      <c r="AC48" s="181"/>
      <c r="AD48" s="625"/>
      <c r="AE48" s="626"/>
      <c r="AF48" s="696"/>
      <c r="AG48" s="697"/>
      <c r="AH48" s="629"/>
      <c r="AI48" s="187"/>
      <c r="AJ48" s="630"/>
      <c r="AK48" s="630"/>
      <c r="AL48" s="595"/>
      <c r="AM48" s="595"/>
      <c r="AN48" s="595"/>
      <c r="AO48" s="595"/>
      <c r="AP48" s="595"/>
      <c r="AQ48" s="595"/>
      <c r="AR48" s="595"/>
      <c r="AS48" s="595"/>
      <c r="AT48" s="595"/>
      <c r="AU48" s="595"/>
      <c r="AV48" s="595"/>
      <c r="AW48" s="595"/>
      <c r="AX48" s="595"/>
      <c r="AY48" s="595"/>
      <c r="AZ48" s="595"/>
      <c r="BA48" s="595"/>
      <c r="BB48" s="595"/>
      <c r="BC48" s="595"/>
      <c r="BD48" s="595"/>
      <c r="BE48" s="595"/>
      <c r="BF48" s="595"/>
      <c r="BG48" s="595"/>
      <c r="BH48" s="595"/>
      <c r="BI48" s="651"/>
      <c r="BJ48" s="651"/>
      <c r="BK48" s="651"/>
      <c r="BL48" s="651"/>
      <c r="BM48" s="651"/>
      <c r="BN48" s="651"/>
      <c r="BO48" s="651"/>
      <c r="BP48" s="651"/>
      <c r="BQ48" s="651"/>
      <c r="BR48" s="651"/>
      <c r="BS48" s="651"/>
      <c r="BT48" s="651"/>
    </row>
    <row r="49">
      <c r="A49" s="726">
        <v>1.0</v>
      </c>
      <c r="B49" s="727"/>
      <c r="C49" s="103" t="s">
        <v>449</v>
      </c>
      <c r="D49" s="678"/>
      <c r="E49" s="676"/>
      <c r="F49" s="677"/>
      <c r="G49" s="678"/>
      <c r="H49" s="728"/>
      <c r="I49" s="678"/>
      <c r="J49" s="678"/>
      <c r="K49" s="678" t="s">
        <v>42</v>
      </c>
      <c r="L49" s="106">
        <f>Q49</f>
        <v>0</v>
      </c>
      <c r="M49" s="679" t="s">
        <v>42</v>
      </c>
      <c r="N49" s="680"/>
      <c r="O49" s="679"/>
      <c r="P49" s="678"/>
      <c r="Q49" s="106">
        <f>Q50</f>
        <v>0</v>
      </c>
      <c r="R49" s="681" t="str">
        <f>IFERROR(
  IF(B49="", "", VLOOKUP(B49, Data!$B$2:$K$905, 9, FALSE)),
  ""
)</f>
        <v/>
      </c>
      <c r="S49" s="682">
        <f>IFERROR(T49/Q49, 0)</f>
        <v>0</v>
      </c>
      <c r="T49" s="109">
        <f>SUM(S50:S56)</f>
        <v>0</v>
      </c>
      <c r="U49" s="681" t="str">
        <f>IFERROR(
  IF(B49="", "", VLOOKUP(B49, Data!$B$2:$K$905, 10, FALSE)),
  ""
)
</f>
        <v/>
      </c>
      <c r="V49" s="109" t="str">
        <f>W49/Q49</f>
        <v>#DIV/0!</v>
      </c>
      <c r="W49" s="110">
        <f>SUM(W50:W56)</f>
        <v>0</v>
      </c>
      <c r="X49" s="111" t="str">
        <f>W49/$AC$135/$W$142/$X$132</f>
        <v>#DIV/0!</v>
      </c>
      <c r="Y49" s="112" t="b">
        <f>(T49+W49)=(SUM(AB50:AB56))</f>
        <v>1</v>
      </c>
      <c r="Z49" s="113">
        <f>(T49+W49)-(SUM(AB50:AB56))</f>
        <v>0</v>
      </c>
      <c r="AA49" s="595"/>
      <c r="AB49" s="595"/>
      <c r="AC49" s="181"/>
      <c r="AD49" s="114">
        <f>W49+T49</f>
        <v>0</v>
      </c>
      <c r="AE49" s="115">
        <f>AD49</f>
        <v>0</v>
      </c>
      <c r="AF49" s="116" t="str">
        <f>AE49/$AE$110</f>
        <v>#DIV/0!</v>
      </c>
      <c r="AG49" s="683" t="str">
        <f>AF49*$AG$117</f>
        <v>#DIV/0!</v>
      </c>
      <c r="AH49" s="118" t="str">
        <f>AF49*$AG$120</f>
        <v>#DIV/0!</v>
      </c>
      <c r="AI49" s="187"/>
      <c r="AJ49" s="119" t="str">
        <f>ROUND(AK49/L49,2)</f>
        <v>#DIV/0!</v>
      </c>
      <c r="AK49" s="119" t="str">
        <f>ROUND(AH49+AG49+AD49,2)</f>
        <v>#DIV/0!</v>
      </c>
      <c r="AL49" s="595"/>
      <c r="AM49" s="595"/>
      <c r="AN49" s="595"/>
      <c r="AO49" s="595"/>
      <c r="AP49" s="595"/>
      <c r="AQ49" s="595"/>
      <c r="AR49" s="595"/>
      <c r="AS49" s="595"/>
      <c r="AT49" s="595"/>
      <c r="AU49" s="595"/>
      <c r="AV49" s="595"/>
      <c r="AW49" s="595"/>
      <c r="AX49" s="595"/>
      <c r="AY49" s="595"/>
      <c r="AZ49" s="595"/>
      <c r="BA49" s="595"/>
      <c r="BB49" s="595"/>
      <c r="BC49" s="595"/>
      <c r="BD49" s="595"/>
      <c r="BE49" s="595"/>
      <c r="BF49" s="595"/>
      <c r="BG49" s="595"/>
      <c r="BH49" s="595"/>
      <c r="BI49" s="651"/>
      <c r="BJ49" s="651"/>
      <c r="BK49" s="651"/>
      <c r="BL49" s="651"/>
      <c r="BM49" s="651"/>
      <c r="BN49" s="651"/>
      <c r="BO49" s="651"/>
      <c r="BP49" s="651"/>
      <c r="BQ49" s="651"/>
      <c r="BR49" s="651"/>
      <c r="BS49" s="651"/>
      <c r="BT49" s="651"/>
    </row>
    <row r="50">
      <c r="A50" s="729" t="s">
        <v>444</v>
      </c>
      <c r="B50" s="154" t="str">
        <f>IFERROR(__xludf.DUMMYFUNCTION("IFERROR(
  IF(C50="""","""",
    IF(OR(REGEXMATCH(D50,""(?i)-Flashing""), REGEXMATCH(D50,""(?i)-EavesGut""), REGEXMATCH(D50,""(?i)Valley"")),
        ""DR"" &amp;
        TEXT(
            ROUNDUP(
                VALUE(MID(C50, FIND(""("",C50)+1, FIND(""/"","&amp;"C50)-FIND(""("",C50)-1)) / 50,
            0) * 50, ""0""
        ) &amp;
        MID(C50, FIND(""/"",C50)+1, FIND("")"",C50)-FIND(""/"",C50)-1) &amp;
        TEXT(H50*100,""0"") &amp;
        I50,
    IF(AND(D50=""Roof Sheet"", REGEXMATCH(C50,""(?i)KS\d{4}[A-Z]{2}"""&amp;")),
       REGEXEXTRACT(C50,""(?i)KS\d{4}[A-Z]{2}""),
    IF(AND(REGEXMATCH(D50,""(?i)-DP""), REGEXMATCH(C50,""(?i)Downpipe"")),
       ""dp"" &amp; REGEXEXTRACT(C50,""(\d+)"") &amp; ""mm"",
    IF(AND(REGEXMATCH(D50,""(?i)Bracket""), REGEXMATCH(C50,""(?i)Bracket"&amp;""")),
       ""Brkt"" &amp; REGEXEXTRACT(C50,""(\d+)"") &amp; ""mm"",
    IF(AND(REGEXMATCH(D50,""(?i)-OP""), REGEXMATCH(C50,""(?i)pops"")),
       ""op"" &amp; REGEXEXTRACT(C50,""(\d+)"") &amp; ""mm"",
    IF(OR(D50=""R-FFTop"", D50=""R-FFBottom"", D50=""R-FFSide""),
  "&amp;"      IF(REGEXMATCH(C50,""(?i)Profiled.*Top|Top.*Profiled""),""pfft"",
        IF(REGEXMATCH(C50,""(?i)Profiled.*Bottom|Bottom.*Profiled""),""pffb"",
        IF(REGEXMATCH(C50,""(?i)Square""),""sff"",""""))),
    IF(REGEXMATCH(D50,""(?i)-Rivets""),""Rvt"""&amp;",
    IF(REGEXMATCH(D50,""(?i)Silicone""),""300ml"",
    IF(REGEXMATCH(D50,""(?i)R-Butyl""),""300ml"",
    IF(REGEXMATCH(D50,""(?i)Fix""),""GenFix"",
    IF(AND(REGEXMATCH(C50,""(?i)Timber""), REGEXMATCH(D50,""(?i)Timber"")),""tp"",
    IF(AND(REGEXMATCH("&amp;"C50,""(?i)Vent G1275""), REGEXMATCH(D50,""(?i)Comb FIller"")),""CFV1275"",
    IF(REGEXMATCH(C50,""(?i)DPC""),""dpc"",
    IF(REGEXMATCH(C50,""(?i)Concealed Clips""),""ConClips"",
    IF(REGEXMATCH(D50,""(?i)-Takeoff ea""),""Takeoff ea"",
    IF(REGEXMATC"&amp;"H(D50,""(?i)-Takeoff LM""),""Takeoff LM"",
    IF(REGEXMATCH(D50,""(?i)-Takeoff m2""),""Takeoff m2"",
    IF(D50=""R-TU/TD"",""TU/TD"","""")))))))))))))))))
  )))"),"DR5503B55Mag")</f>
        <v>DR5503B55Mag</v>
      </c>
      <c r="C50" s="123" t="s">
        <v>450</v>
      </c>
      <c r="D50" s="124" t="s">
        <v>96</v>
      </c>
      <c r="E50" s="687">
        <f>VALUE(MID(C50, FIND("(", C50)+1, FIND("/", C50)-FIND("(", C50)-1)) / 1000</f>
        <v>0.53</v>
      </c>
      <c r="F50" s="688" t="s">
        <v>451</v>
      </c>
      <c r="G50" s="689"/>
      <c r="H50" s="128" t="str">
        <f>IFERROR(__xludf.DUMMYFUNCTION("IFERROR(REGEXEXTRACT(C50, ""(\d*\.\d+)mm""), """")"),"0.55")</f>
        <v>0.55</v>
      </c>
      <c r="I50" s="128" t="s">
        <v>97</v>
      </c>
      <c r="J50" s="126" t="s">
        <v>14</v>
      </c>
      <c r="K50" s="126" t="str">
        <f>IFERROR(
  IF(B50="", "", VLOOKUP(B50, Data!$B$2:$K$905, 7, FALSE)),
  ""
)</f>
        <v/>
      </c>
      <c r="L50" s="704"/>
      <c r="M50" s="730"/>
      <c r="N50" s="151">
        <f>IFERROR(__xludf.DUMMYFUNCTION("IF(
  AND(
    IFERROR(REGEXEXTRACT(C50,""@\s*(\d+(?:\.\d+)?)\s*deg""),"""")&lt;&gt;"""",
    F50&lt;&gt;""""
  ),
  ""Pls Confirm °"",
  IF(
    IFERROR(REGEXEXTRACT(C50,""@\s*(\d+(?:\.\d+)?)\s*deg""),"""")&lt;&gt;"""",
    1/COS(RADIANS(REGEXEXTRACT(C50,""@\s*(\d+(?:\.\d"&amp;"+)?)\s*deg""))),
    IF(
      F50&lt;&gt;"""",
      IF(
        ISNUMBER(SEARCH(""|"",F50)),
        1/COS(
          ATAN(
            TAN(RADIANS(VALUE(INDEX(SPLIT(F50,""|""),1)))) *
            TAN(RADIANS(VALUE(INDEX(SPLIT(F50,""|""),2))))
            /
 "&amp;"           SQRT(
              TAN(RADIANS(VALUE(INDEX(SPLIT(F50,""|""),1))))^2 +
              TAN(RADIANS(VALUE(INDEX(SPLIT(F50,""|""),2))))^2
            )
          )
        ),
        1/COS(RADIANS(VALUE(F50)))
      ),
      1
    )
  )
)"),1.0177909337689373)</f>
        <v>1.017790934</v>
      </c>
      <c r="O50" s="169">
        <v>1.0</v>
      </c>
      <c r="P50" s="134">
        <v>1.0</v>
      </c>
      <c r="Q50" s="168">
        <f t="shared" ref="Q50:Q55" si="26">M50*N50*O50*P50</f>
        <v>0</v>
      </c>
      <c r="R50" s="136" t="str">
        <f>IFERROR(
  IF(B50="", "", VLOOKUP(B50, Data!$B$2:$K$905, 9, FALSE)),
  ""
)</f>
        <v/>
      </c>
      <c r="S50" s="152">
        <f t="shared" ref="S50:S55" si="27">R50*Q50</f>
        <v>0</v>
      </c>
      <c r="T50" s="690"/>
      <c r="U50" s="136" t="str">
        <f>IFERROR(
  IF(B50="", "", VLOOKUP(B50, Data!$B$2:$K$905, 10, FALSE)),
  ""
)
</f>
        <v/>
      </c>
      <c r="V50" s="691"/>
      <c r="W50" s="140">
        <f t="shared" ref="W50:W55" si="28">U50*Q50</f>
        <v>0</v>
      </c>
      <c r="X50" s="692"/>
      <c r="Y50" s="693"/>
      <c r="Z50" s="731"/>
      <c r="AA50" s="595"/>
      <c r="AB50" s="354">
        <f t="shared" ref="AB50:AB55" si="29">W50+S50</f>
        <v>0</v>
      </c>
      <c r="AC50" s="181"/>
      <c r="AD50" s="625"/>
      <c r="AE50" s="626"/>
      <c r="AF50" s="696"/>
      <c r="AG50" s="697"/>
      <c r="AH50" s="629"/>
      <c r="AI50" s="187"/>
      <c r="AJ50" s="630"/>
      <c r="AK50" s="630"/>
      <c r="AL50" s="595"/>
      <c r="AM50" s="595"/>
      <c r="AN50" s="595"/>
      <c r="AO50" s="595"/>
      <c r="AP50" s="595"/>
      <c r="AQ50" s="595"/>
      <c r="AR50" s="595"/>
      <c r="AS50" s="595"/>
      <c r="AT50" s="595"/>
      <c r="AU50" s="595"/>
      <c r="AV50" s="595"/>
      <c r="AW50" s="595"/>
      <c r="AX50" s="595"/>
      <c r="AY50" s="595"/>
      <c r="AZ50" s="595"/>
      <c r="BA50" s="595"/>
      <c r="BB50" s="595"/>
      <c r="BC50" s="595"/>
      <c r="BD50" s="595"/>
      <c r="BE50" s="595"/>
      <c r="BF50" s="595"/>
      <c r="BG50" s="595"/>
      <c r="BH50" s="595"/>
      <c r="BI50" s="651"/>
      <c r="BJ50" s="651"/>
      <c r="BK50" s="651"/>
      <c r="BL50" s="651"/>
      <c r="BM50" s="651"/>
      <c r="BN50" s="651"/>
      <c r="BO50" s="651"/>
      <c r="BP50" s="651"/>
      <c r="BQ50" s="651"/>
      <c r="BR50" s="651"/>
      <c r="BS50" s="651"/>
      <c r="BT50" s="651"/>
    </row>
    <row r="51">
      <c r="A51" s="732"/>
      <c r="B51" s="154" t="str">
        <f>IFERROR(__xludf.DUMMYFUNCTION("IFERROR(
  IF(C51="""","""",
    IF(OR(REGEXMATCH(D51,""(?i)-Flashing""), REGEXMATCH(D51,""(?i)-EavesGut""), REGEXMATCH(D51,""(?i)Valley"")),
        ""DR"" &amp;
        TEXT(
            ROUNDUP(
                MIN(
                    VALUE(MID(C51, FIND("&amp;"""("",C51)+1, FIND(""/"",C51)-FIND(""("",C51)-1)),
                    1200
                ) / 50, 0
            ) * 50, ""0""
        ) &amp;
        MID(C51, FIND(""/"",C51)+1, FIND("")"",C51)-FIND(""/"",C51)-1) &amp;
        TEXT(H51*100,""0"") &amp;
        I51,"&amp;"
    IF(AND(D51=""Roof Sheet"", REGEXMATCH(C51,""(?i)KS\d{4}[A-Z]{2}"")),
       REGEXEXTRACT(C51,""(?i)KS\d{4}[A-Z]{2}""),
    IF(AND(REGEXMATCH(D51,""(?i)-DP""), REGEXMATCH(C51,""(?i)Downpipe"")),
       ""dp"" &amp; REGEXEXTRACT(C51,""(\d+)"") &amp; ""mm"",
  "&amp;"  IF(AND(REGEXMATCH(D51,""(?i)Bracket""), REGEXMATCH(C51,""(?i)Bracket"")),
       ""Brkt"" &amp; REGEXEXTRACT(C51,""(\d+)"") &amp; ""mm"",
    IF(AND(REGEXMATCH(D51,""(?i)-OP""), REGEXMATCH(C51,""(?i)pops"")),
       ""op"" &amp; REGEXEXTRACT(C51,""(\d+)"") &amp; ""mm"""&amp;",
    IF(OR(D51=""R-FFTop"", D51=""R-FFBottom"", D51=""R-FFSide""),
        IF(REGEXMATCH(C51,""(?i)Profiled.*Top|Top.*Profiled""),""pfft"",
        IF(REGEXMATCH(C51,""(?i)Profiled.*Bottom|Bottom.*Profiled""),""pffb"",
        IF(REGEXMATCH(C51,""(?i)Squ"&amp;"are""),""sff"",""""))),
    IF(REGEXMATCH(D51,""(?i)-Rivets""),""Rvt"",
    IF(REGEXMATCH(D51,""(?i)Silicone""),""300ml"",
    IF(REGEXMATCH(D51,""(?i)R-Butyl""),""300ml"",
    IF(REGEXMATCH(D51,""(?i)Fix""),""GenFix"",
    IF(AND(REGEXMATCH(C51,""(?i)Tim"&amp;"ber""), REGEXMATCH(D51,""(?i)Timber"")),""tp"",
    IF(AND(REGEXMATCH(C51,""(?i)Vent G1275""), REGEXMATCH(D51,""(?i)Comb FIller"")),""CFV1275"",
    IF(REGEXMATCH(C51,""(?i)DPC""),""dpc"",
    IF(REGEXMATCH(C51,""(?i)Concealed Clips""),""ConClips"",
    I"&amp;"F(REGEXMATCH(D51,""(?i)-Takeoff ea""),""Takeoff ea"",
    IF(REGEXMATCH(D51,""(?i)-Takeoff LM""),""Takeoff LM"",
    IF(REGEXMATCH(D51,""(?i)-Takeoff m2""),""Takeoff m2"",
    IF(D51=""R-TU/TD"",""TU/TD"","""")))))))))))))))))
  )))"),"300ml")</f>
        <v>300ml</v>
      </c>
      <c r="C51" s="225" t="s">
        <v>98</v>
      </c>
      <c r="D51" s="124" t="s">
        <v>99</v>
      </c>
      <c r="E51" s="687">
        <f>E50</f>
        <v>0.53</v>
      </c>
      <c r="F51" s="733">
        <f>IFERROR(__xludf.DUMMYFUNCTION("iferror(ROUND(
  DEGREES(
    ATAN(
      TAN(RADIANS(VALUE(INDEX(SPLIT(F50,""|""),1)))) *
      TAN(RADIANS(VALUE(INDEX(SPLIT(F50,""|""),2))))
      /
      SQRT(
        TAN(RADIANS(VALUE(INDEX(SPLIT(F50,""|""),1))))^2 +
        TAN(RADIANS(VALUE(INDEX("&amp;"SPLIT(F50,""|""),2))))^2
      )
    )
  ),
  2
))"),10.73)</f>
        <v>10.73</v>
      </c>
      <c r="G51" s="700"/>
      <c r="H51" s="128" t="str">
        <f>IFERROR(__xludf.DUMMYFUNCTION("IFERROR(REGEXEXTRACT(C51, ""(\d*\.\d+)mm""), """")"),"")</f>
        <v/>
      </c>
      <c r="I51" s="700"/>
      <c r="J51" s="126" t="s">
        <v>87</v>
      </c>
      <c r="K51" s="126" t="str">
        <f>IFERROR(
  IF(B51="", "", VLOOKUP(B51, Data!$B$2:$K$905, 7, FALSE)),
  ""
)</f>
        <v/>
      </c>
      <c r="L51" s="704"/>
      <c r="M51" s="150">
        <f>(ROUNDDOWN((M50/5.7)+2,0)*E51)/8</f>
        <v>0.1325</v>
      </c>
      <c r="N51" s="151">
        <f t="shared" ref="N51:N55" si="30">if(B51="","",(if(N50="",N49,N50)))</f>
        <v>1.017790934</v>
      </c>
      <c r="O51" s="169">
        <v>1.0</v>
      </c>
      <c r="P51" s="134">
        <v>1.0</v>
      </c>
      <c r="Q51" s="168">
        <f t="shared" si="26"/>
        <v>0.1348572987</v>
      </c>
      <c r="R51" s="136" t="str">
        <f>IFERROR(
  IF(B51="", "", VLOOKUP(B51, Data!$B$2:$K$905, 9, FALSE)),
  ""
)</f>
        <v/>
      </c>
      <c r="S51" s="152">
        <f t="shared" si="27"/>
        <v>0</v>
      </c>
      <c r="T51" s="690"/>
      <c r="U51" s="681" t="str">
        <f>IFERROR(
  IF(B51="", "", VLOOKUP(B51, Data!$B$2:$K$905, 10, FALSE)),
  ""
)
</f>
        <v/>
      </c>
      <c r="V51" s="691"/>
      <c r="W51" s="140">
        <f t="shared" si="28"/>
        <v>0</v>
      </c>
      <c r="X51" s="692"/>
      <c r="Y51" s="595"/>
      <c r="Z51" s="595"/>
      <c r="AA51" s="595"/>
      <c r="AB51" s="354">
        <f t="shared" si="29"/>
        <v>0</v>
      </c>
      <c r="AC51" s="181"/>
      <c r="AD51" s="625"/>
      <c r="AE51" s="626"/>
      <c r="AF51" s="696"/>
      <c r="AG51" s="697"/>
      <c r="AH51" s="629"/>
      <c r="AI51" s="187"/>
      <c r="AJ51" s="630"/>
      <c r="AK51" s="630"/>
      <c r="AL51" s="595"/>
      <c r="AM51" s="595"/>
      <c r="AN51" s="595"/>
      <c r="AO51" s="595"/>
      <c r="AP51" s="595"/>
      <c r="AQ51" s="595"/>
      <c r="AR51" s="595"/>
      <c r="AS51" s="595"/>
      <c r="AT51" s="595"/>
      <c r="AU51" s="595"/>
      <c r="AV51" s="595"/>
      <c r="AW51" s="595"/>
      <c r="AX51" s="595"/>
      <c r="AY51" s="595"/>
      <c r="AZ51" s="595"/>
      <c r="BA51" s="595"/>
      <c r="BB51" s="595"/>
      <c r="BC51" s="595"/>
      <c r="BD51" s="595"/>
      <c r="BE51" s="595"/>
      <c r="BF51" s="595"/>
      <c r="BG51" s="595"/>
      <c r="BH51" s="595"/>
      <c r="BI51" s="651"/>
      <c r="BJ51" s="651"/>
      <c r="BK51" s="651"/>
      <c r="BL51" s="651"/>
      <c r="BM51" s="651"/>
      <c r="BN51" s="651"/>
      <c r="BO51" s="651"/>
      <c r="BP51" s="651"/>
      <c r="BQ51" s="651"/>
      <c r="BR51" s="651"/>
      <c r="BS51" s="651"/>
      <c r="BT51" s="651"/>
    </row>
    <row r="52">
      <c r="A52" s="732"/>
      <c r="B52" s="154" t="str">
        <f>IFERROR(__xludf.DUMMYFUNCTION("IFERROR(
  IF(C52="""","""",
    IF(OR(REGEXMATCH(D52,""(?i)-Flashing""), REGEXMATCH(D52,""(?i)-EavesGut""), REGEXMATCH(D52,""(?i)Valley"")),
        ""DR"" &amp;
        TEXT(
            ROUNDUP(
                MIN(
                    VALUE(MID(C52, FIND("&amp;"""("",C52)+1, FIND(""/"",C52)-FIND(""("",C52)-1)),
                    1200
                ) / 50, 0
            ) * 50, ""0""
        ) &amp;
        MID(C52, FIND(""/"",C52)+1, FIND("")"",C52)-FIND(""/"",C52)-1) &amp;
        TEXT(H52*100,""0"") &amp;
        I52,"&amp;"
    IF(AND(D52=""Roof Sheet"", REGEXMATCH(C52,""(?i)KS\d{4}[A-Z]{2}"")),
       REGEXEXTRACT(C52,""(?i)KS\d{4}[A-Z]{2}""),
    IF(AND(REGEXMATCH(D52,""(?i)-DP""), REGEXMATCH(C52,""(?i)Downpipe"")),
       ""dp"" &amp; REGEXEXTRACT(C52,""(\d+)"") &amp; ""mm"",
  "&amp;"  IF(AND(REGEXMATCH(D52,""(?i)Bracket""), REGEXMATCH(C52,""(?i)Bracket"")),
       ""Brkt"" &amp; REGEXEXTRACT(C52,""(\d+)"") &amp; ""mm"",
    IF(AND(REGEXMATCH(D52,""(?i)-OP""), REGEXMATCH(C52,""(?i)pops"")),
       ""op"" &amp; REGEXEXTRACT(C52,""(\d+)"") &amp; ""mm"""&amp;",
    IF(OR(D52=""R-FFTop"", D52=""R-FFBottom"", D52=""R-FFSide""),
        IF(REGEXMATCH(C52,""(?i)Profiled.*Top|Top.*Profiled""),""pfft"",
        IF(REGEXMATCH(C52,""(?i)Profiled.*Bottom|Bottom.*Profiled""),""pffb"",
        IF(REGEXMATCH(C52,""(?i)Squ"&amp;"are""),""sff"",""""))),
    IF(REGEXMATCH(D52,""(?i)-Rivets""),""Rvt"",
    IF(REGEXMATCH(D52,""(?i)Silicone""),""300ml"",
    IF(REGEXMATCH(D52,""(?i)R-Butyl""),""300ml"",
    IF(REGEXMATCH(D52,""(?i)Fix""),""GenFix"",
    IF(AND(REGEXMATCH(C52,""(?i)Tim"&amp;"ber""), REGEXMATCH(D52,""(?i)Timber"")),""tp"",
    IF(AND(REGEXMATCH(C52,""(?i)Vent G1275""), REGEXMATCH(D52,""(?i)Comb FIller"")),""CFV1275"",
    IF(REGEXMATCH(C52,""(?i)DPC""),""dpc"",
    IF(REGEXMATCH(C52,""(?i)Concealed Clips""),""ConClips"",
    I"&amp;"F(REGEXMATCH(D52,""(?i)-Takeoff ea""),""Takeoff ea"",
    IF(REGEXMATCH(D52,""(?i)-Takeoff LM""),""Takeoff LM"",
    IF(REGEXMATCH(D52,""(?i)-Takeoff m2""),""Takeoff m2"",
    IF(D52=""R-TU/TD"",""TU/TD"","""")))))))))))))))))
  )))"),"Rvt")</f>
        <v>Rvt</v>
      </c>
      <c r="C52" s="225" t="s">
        <v>100</v>
      </c>
      <c r="D52" s="124" t="s">
        <v>101</v>
      </c>
      <c r="E52" s="687">
        <f>E50</f>
        <v>0.53</v>
      </c>
      <c r="F52" s="721"/>
      <c r="G52" s="700"/>
      <c r="H52" s="128" t="str">
        <f>IFERROR(__xludf.DUMMYFUNCTION("IFERROR(REGEXEXTRACT(C52, ""(\d*\.\d+)mm""), """")"),"")</f>
        <v/>
      </c>
      <c r="I52" s="700"/>
      <c r="J52" s="126" t="s">
        <v>87</v>
      </c>
      <c r="K52" s="126" t="str">
        <f>IFERROR(
  IF(B52="", "", VLOOKUP(B52, Data!$B$2:$K$905, 7, FALSE)),
  ""
)</f>
        <v/>
      </c>
      <c r="L52" s="704"/>
      <c r="M52" s="150">
        <f>ROUNDUP(((M50/5.7)+1)*(E52/0.05),0)</f>
        <v>11</v>
      </c>
      <c r="N52" s="151">
        <f t="shared" si="30"/>
        <v>1.017790934</v>
      </c>
      <c r="O52" s="169">
        <v>1.0</v>
      </c>
      <c r="P52" s="134">
        <v>1.0</v>
      </c>
      <c r="Q52" s="168">
        <f t="shared" si="26"/>
        <v>11.19570027</v>
      </c>
      <c r="R52" s="136" t="str">
        <f>IFERROR(
  IF(B52="", "", VLOOKUP(B52, Data!$B$2:$K$905, 9, FALSE)),
  ""
)</f>
        <v/>
      </c>
      <c r="S52" s="152">
        <f t="shared" si="27"/>
        <v>0</v>
      </c>
      <c r="T52" s="690"/>
      <c r="U52" s="681" t="str">
        <f>IFERROR(
  IF(B52="", "", VLOOKUP(B52, Data!$B$2:$K$905, 10, FALSE)),
  ""
)
</f>
        <v/>
      </c>
      <c r="V52" s="691"/>
      <c r="W52" s="140">
        <f t="shared" si="28"/>
        <v>0</v>
      </c>
      <c r="X52" s="692"/>
      <c r="Y52" s="595"/>
      <c r="Z52" s="595"/>
      <c r="AA52" s="595"/>
      <c r="AB52" s="354">
        <f t="shared" si="29"/>
        <v>0</v>
      </c>
      <c r="AC52" s="181"/>
      <c r="AD52" s="625"/>
      <c r="AE52" s="626"/>
      <c r="AF52" s="696"/>
      <c r="AG52" s="697"/>
      <c r="AH52" s="629"/>
      <c r="AI52" s="187"/>
      <c r="AJ52" s="630"/>
      <c r="AK52" s="630"/>
      <c r="AL52" s="595"/>
      <c r="AM52" s="595"/>
      <c r="AN52" s="595"/>
      <c r="AO52" s="595"/>
      <c r="AP52" s="595"/>
      <c r="AQ52" s="595"/>
      <c r="AR52" s="595"/>
      <c r="AS52" s="595"/>
      <c r="AT52" s="595"/>
      <c r="AU52" s="595"/>
      <c r="AV52" s="595"/>
      <c r="AW52" s="595"/>
      <c r="AX52" s="595"/>
      <c r="AY52" s="595"/>
      <c r="AZ52" s="595"/>
      <c r="BA52" s="595"/>
      <c r="BB52" s="595"/>
      <c r="BC52" s="595"/>
      <c r="BD52" s="595"/>
      <c r="BE52" s="595"/>
      <c r="BF52" s="595"/>
      <c r="BG52" s="595"/>
      <c r="BH52" s="595"/>
      <c r="BI52" s="651"/>
      <c r="BJ52" s="651"/>
      <c r="BK52" s="651"/>
      <c r="BL52" s="651"/>
      <c r="BM52" s="651"/>
      <c r="BN52" s="651"/>
      <c r="BO52" s="651"/>
      <c r="BP52" s="651"/>
      <c r="BQ52" s="651"/>
      <c r="BR52" s="651"/>
      <c r="BS52" s="651"/>
      <c r="BT52" s="651"/>
    </row>
    <row r="53">
      <c r="A53" s="732"/>
      <c r="B53" s="154" t="str">
        <f>IFERROR(__xludf.DUMMYFUNCTION("IFERROR(
  IF(C53="""","""",
    IF(OR(REGEXMATCH(D53,""(?i)-Flashing""), REGEXMATCH(D53,""(?i)-EavesGut""), REGEXMATCH(D53,""(?i)Valley"")),
        ""DR"" &amp;
        TEXT(
            ROUNDUP(
                MIN(
                    VALUE(MID(C53, FIND("&amp;"""("",C53)+1, FIND(""/"",C53)-FIND(""("",C53)-1)),
                    1200
                ) / 50, 0
            ) * 50, ""0""
        ) &amp;
        MID(C53, FIND(""/"",C53)+1, FIND("")"",C53)-FIND(""/"",C53)-1) &amp;
        TEXT(H53*100,""0"") &amp;
        I53,"&amp;"
    IF(AND(D53=""Roof Sheet"", REGEXMATCH(C53,""(?i)KS\d{4}[A-Z]{2}"")),
       REGEXEXTRACT(C53,""(?i)KS\d{4}[A-Z]{2}""),
    IF(AND(REGEXMATCH(D53,""(?i)-DP""), REGEXMATCH(C53,""(?i)Downpipe"")),
       ""dp"" &amp; REGEXEXTRACT(C53,""(\d+)"") &amp; ""mm"",
  "&amp;"  IF(AND(REGEXMATCH(D53,""(?i)Bracket""), REGEXMATCH(C53,""(?i)Bracket"")),
       ""Brkt"" &amp; REGEXEXTRACT(C53,""(\d+)"") &amp; ""mm"",
    IF(AND(REGEXMATCH(D53,""(?i)-OP""), REGEXMATCH(C53,""(?i)pops"")),
       ""op"" &amp; REGEXEXTRACT(C53,""(\d+)"") &amp; ""mm"""&amp;",
    IF(OR(D53=""R-FFTop"", D53=""R-FFBottom"", D53=""R-FFSide""),
        IF(REGEXMATCH(C53,""(?i)Profiled.*Top|Top.*Profiled""),""pfft"",
        IF(REGEXMATCH(C53,""(?i)Profiled.*Bottom|Bottom.*Profiled""),""pffb"",
        IF(REGEXMATCH(C53,""(?i)Squ"&amp;"are""),""sff"",""""))),
    IF(REGEXMATCH(D53,""(?i)-Rivets""),""Rvt"",
    IF(REGEXMATCH(D53,""(?i)Silicone""),""300ml"",
    IF(REGEXMATCH(D53,""(?i)R-Butyl""),""300ml"",
    IF(REGEXMATCH(D53,""(?i)Fix""),""GenFix"",
    IF(AND(REGEXMATCH(C53,""(?i)Tim"&amp;"ber""), REGEXMATCH(D53,""(?i)Timber"")),""tp"",
    IF(AND(REGEXMATCH(C53,""(?i)Vent G1275""), REGEXMATCH(D53,""(?i)Comb FIller"")),""CFV1275"",
    IF(REGEXMATCH(C53,""(?i)DPC""),""dpc"",
    IF(REGEXMATCH(C53,""(?i)Concealed Clips""),""ConClips"",
    I"&amp;"F(REGEXMATCH(D53,""(?i)-Takeoff ea""),""Takeoff ea"",
    IF(REGEXMATCH(D53,""(?i)-Takeoff LM""),""Takeoff LM"",
    IF(REGEXMATCH(D53,""(?i)-Takeoff m2""),""Takeoff m2"",
    IF(D53=""R-TU/TD"",""TU/TD"","""")))))))))))))))))
  )))"),"GenFix")</f>
        <v>GenFix</v>
      </c>
      <c r="C53" s="158" t="s">
        <v>102</v>
      </c>
      <c r="D53" s="124" t="s">
        <v>103</v>
      </c>
      <c r="E53" s="722"/>
      <c r="F53" s="721"/>
      <c r="G53" s="701"/>
      <c r="H53" s="128"/>
      <c r="I53" s="700"/>
      <c r="J53" s="126" t="s">
        <v>87</v>
      </c>
      <c r="K53" s="126" t="str">
        <f>IFERROR(
  IF(B53="", "", VLOOKUP(B53, Data!$B$2:$K$905, 7, FALSE)),
  ""
)</f>
        <v/>
      </c>
      <c r="L53" s="712"/>
      <c r="M53" s="150">
        <f>ROUNDUP(M50/0.6,0)+1</f>
        <v>1</v>
      </c>
      <c r="N53" s="151">
        <f t="shared" si="30"/>
        <v>1.017790934</v>
      </c>
      <c r="O53" s="169">
        <v>1.0</v>
      </c>
      <c r="P53" s="134">
        <v>2.0</v>
      </c>
      <c r="Q53" s="168">
        <f t="shared" si="26"/>
        <v>2.035581868</v>
      </c>
      <c r="R53" s="136" t="str">
        <f>IFERROR(
  IF(B53="", "", VLOOKUP(B53, Data!$B$2:$K$905, 9, FALSE)),
  ""
)</f>
        <v/>
      </c>
      <c r="S53" s="152">
        <f t="shared" si="27"/>
        <v>0</v>
      </c>
      <c r="T53" s="690"/>
      <c r="U53" s="681" t="str">
        <f>IFERROR(
  IF(B53="", "", VLOOKUP(B53, Data!$B$2:$K$905, 10, FALSE)),
  ""
)
</f>
        <v/>
      </c>
      <c r="V53" s="691"/>
      <c r="W53" s="140">
        <f t="shared" si="28"/>
        <v>0</v>
      </c>
      <c r="X53" s="692"/>
      <c r="Y53" s="595"/>
      <c r="Z53" s="595"/>
      <c r="AA53" s="595"/>
      <c r="AB53" s="354">
        <f t="shared" si="29"/>
        <v>0</v>
      </c>
      <c r="AC53" s="181"/>
      <c r="AD53" s="625"/>
      <c r="AE53" s="626"/>
      <c r="AF53" s="696"/>
      <c r="AG53" s="697"/>
      <c r="AH53" s="629"/>
      <c r="AI53" s="187"/>
      <c r="AJ53" s="630"/>
      <c r="AK53" s="630"/>
      <c r="AL53" s="595"/>
      <c r="AM53" s="595"/>
      <c r="AN53" s="595"/>
      <c r="AO53" s="595"/>
      <c r="AP53" s="595"/>
      <c r="AQ53" s="595"/>
      <c r="AR53" s="595"/>
      <c r="AS53" s="595"/>
      <c r="AT53" s="595"/>
      <c r="AU53" s="595"/>
      <c r="AV53" s="595"/>
      <c r="AW53" s="595"/>
      <c r="AX53" s="595"/>
      <c r="AY53" s="595"/>
      <c r="AZ53" s="595"/>
      <c r="BA53" s="595"/>
      <c r="BB53" s="595"/>
      <c r="BC53" s="595"/>
      <c r="BD53" s="595"/>
      <c r="BE53" s="595"/>
      <c r="BF53" s="595"/>
      <c r="BG53" s="595"/>
      <c r="BH53" s="595"/>
      <c r="BI53" s="651"/>
      <c r="BJ53" s="651"/>
      <c r="BK53" s="651"/>
      <c r="BL53" s="651"/>
      <c r="BM53" s="651"/>
      <c r="BN53" s="651"/>
      <c r="BO53" s="651"/>
      <c r="BP53" s="651"/>
      <c r="BQ53" s="651"/>
      <c r="BR53" s="651"/>
      <c r="BS53" s="651"/>
      <c r="BT53" s="651"/>
    </row>
    <row r="54">
      <c r="A54" s="732"/>
      <c r="B54" s="154" t="str">
        <f>IFERROR(__xludf.DUMMYFUNCTION("IFERROR(
  IF(C54="""","""",
    IF(OR(REGEXMATCH(D54,""(?i)-Flashing""), REGEXMATCH(D54,""(?i)-EavesGut""), REGEXMATCH(D54,""(?i)Valley"")),
        ""DR"" &amp;
        TEXT(
            ROUNDUP(
                MIN(
                    VALUE(MID(C54, FIND("&amp;"""("",C54)+1, FIND(""/"",C54)-FIND(""("",C54)-1)),
                    1200
                ) / 50, 0
            ) * 50, ""0""
        ) &amp;
        MID(C54, FIND(""/"",C54)+1, FIND("")"",C54)-FIND(""/"",C54)-1) &amp;
        TEXT(H54*100,""0"") &amp;
        I54,"&amp;"
    IF(AND(D54=""Roof Sheet"", REGEXMATCH(C54,""(?i)KS\d{4}[A-Z]{2}"")),
       REGEXEXTRACT(C54,""(?i)KS\d{4}[A-Z]{2}""),
    IF(AND(REGEXMATCH(D54,""(?i)-DP""), REGEXMATCH(C54,""(?i)Downpipe"")),
       ""dp"" &amp; REGEXEXTRACT(C54,""(\d+)"") &amp; ""mm"",
  "&amp;"  IF(AND(REGEXMATCH(D54,""(?i)Bracket""), REGEXMATCH(C54,""(?i)Bracket"")),
       ""Brkt"" &amp; REGEXEXTRACT(C54,""(\d+)"") &amp; ""mm"",
    IF(AND(REGEXMATCH(D54,""(?i)-OP""), REGEXMATCH(C54,""(?i)pops"")),
       ""op"" &amp; REGEXEXTRACT(C54,""(\d+)"") &amp; ""mm"""&amp;",
    IF(OR(D54=""R-FFTop"", D54=""R-FFBottom"", D54=""R-FFSide""),
        IF(REGEXMATCH(C54,""(?i)Profiled.*Top|Top.*Profiled""),""pfft"",
        IF(REGEXMATCH(C54,""(?i)Profiled.*Bottom|Bottom.*Profiled""),""pffb"",
        IF(REGEXMATCH(C54,""(?i)Squ"&amp;"are""),""sff"",""""))),
    IF(REGEXMATCH(D54,""(?i)-Rivets""),""Rvt"",
    IF(REGEXMATCH(D54,""(?i)Silicone""),""300ml"",
    IF(REGEXMATCH(D54,""(?i)R-Butyl""),""300ml"",
    IF(REGEXMATCH(D54,""(?i)Fix""),""GenFix"",
    IF(AND(REGEXMATCH(C54,""(?i)Tim"&amp;"ber""), REGEXMATCH(D54,""(?i)Timber"")),""tp"",
    IF(AND(REGEXMATCH(C54,""(?i)Vent G1275""), REGEXMATCH(D54,""(?i)Comb FIller"")),""CFV1275"",
    IF(REGEXMATCH(C54,""(?i)DPC""),""dpc"",
    IF(REGEXMATCH(C54,""(?i)Concealed Clips""),""ConClips"",
    I"&amp;"F(REGEXMATCH(D54,""(?i)-Takeoff ea""),""Takeoff ea"",
    IF(REGEXMATCH(D54,""(?i)-Takeoff LM""),""Takeoff LM"",
    IF(REGEXMATCH(D54,""(?i)-Takeoff m2""),""Takeoff m2"",
    IF(D54=""R-TU/TD"",""TU/TD"","""")))))))))))))))))
  )))"),"pfft")</f>
        <v>pfft</v>
      </c>
      <c r="C54" s="223" t="s">
        <v>104</v>
      </c>
      <c r="D54" s="124" t="s">
        <v>105</v>
      </c>
      <c r="E54" s="722"/>
      <c r="F54" s="721"/>
      <c r="G54" s="701"/>
      <c r="H54" s="128"/>
      <c r="I54" s="700"/>
      <c r="J54" s="126" t="s">
        <v>87</v>
      </c>
      <c r="K54" s="126" t="str">
        <f>IFERROR(
  IF(B54="", "", VLOOKUP(B54, Data!$B$2:$K$905, 7, FALSE)),
  ""
)</f>
        <v/>
      </c>
      <c r="L54" s="712"/>
      <c r="M54" s="150" t="str">
        <f>M50</f>
        <v/>
      </c>
      <c r="N54" s="151">
        <f t="shared" si="30"/>
        <v>1.017790934</v>
      </c>
      <c r="O54" s="169">
        <v>1.0</v>
      </c>
      <c r="P54" s="134">
        <v>1.0</v>
      </c>
      <c r="Q54" s="168">
        <f t="shared" si="26"/>
        <v>0</v>
      </c>
      <c r="R54" s="136" t="str">
        <f>IFERROR(
  IF(B54="", "", VLOOKUP(B54, Data!$B$2:$K$905, 9, FALSE)),
  ""
)</f>
        <v/>
      </c>
      <c r="S54" s="152">
        <f t="shared" si="27"/>
        <v>0</v>
      </c>
      <c r="T54" s="690"/>
      <c r="U54" s="136" t="str">
        <f>IFERROR(
  IF(B54="", "", VLOOKUP(B54, Data!$B$2:$K$905, 10, FALSE)),
  ""
)
</f>
        <v/>
      </c>
      <c r="V54" s="691"/>
      <c r="W54" s="140">
        <f t="shared" si="28"/>
        <v>0</v>
      </c>
      <c r="X54" s="692"/>
      <c r="Y54" s="595"/>
      <c r="Z54" s="595"/>
      <c r="AA54" s="595"/>
      <c r="AB54" s="354">
        <f t="shared" si="29"/>
        <v>0</v>
      </c>
      <c r="AC54" s="181"/>
      <c r="AD54" s="625"/>
      <c r="AE54" s="626"/>
      <c r="AF54" s="696"/>
      <c r="AG54" s="697"/>
      <c r="AH54" s="629"/>
      <c r="AI54" s="187"/>
      <c r="AJ54" s="630"/>
      <c r="AK54" s="630"/>
      <c r="AL54" s="595"/>
      <c r="AM54" s="595"/>
      <c r="AN54" s="595"/>
      <c r="AO54" s="595"/>
      <c r="AP54" s="595"/>
      <c r="AQ54" s="595"/>
      <c r="AR54" s="595"/>
      <c r="AS54" s="595"/>
      <c r="AT54" s="595"/>
      <c r="AU54" s="595"/>
      <c r="AV54" s="595"/>
      <c r="AW54" s="595"/>
      <c r="AX54" s="595"/>
      <c r="AY54" s="595"/>
      <c r="AZ54" s="595"/>
      <c r="BA54" s="595"/>
      <c r="BB54" s="595"/>
      <c r="BC54" s="595"/>
      <c r="BD54" s="595"/>
      <c r="BE54" s="595"/>
      <c r="BF54" s="595"/>
      <c r="BG54" s="595"/>
      <c r="BH54" s="595"/>
      <c r="BI54" s="651"/>
      <c r="BJ54" s="651"/>
      <c r="BK54" s="651"/>
      <c r="BL54" s="651"/>
      <c r="BM54" s="651"/>
      <c r="BN54" s="651"/>
      <c r="BO54" s="651"/>
      <c r="BP54" s="651"/>
      <c r="BQ54" s="651"/>
      <c r="BR54" s="651"/>
      <c r="BS54" s="651"/>
      <c r="BT54" s="651"/>
    </row>
    <row r="55">
      <c r="A55" s="732"/>
      <c r="B55" s="154" t="str">
        <f>IFERROR(__xludf.DUMMYFUNCTION("IFERROR(
  IF(C55="""","""",
    IF(OR(REGEXMATCH(D55,""(?i)-Flashing""), REGEXMATCH(D55,""(?i)-EavesGut""), REGEXMATCH(D55,""(?i)Valley"")),
        ""DR"" &amp;
        TEXT(
            ROUNDUP(
                MIN(
                    VALUE(MID(C55, FIND("&amp;"""("",C55)+1, FIND(""/"",C55)-FIND(""("",C55)-1)),
                    1200
                ) / 50, 0
            ) * 50, ""0""
        ) &amp;
        MID(C55, FIND(""/"",C55)+1, FIND("")"",C55)-FIND(""/"",C55)-1) &amp;
        TEXT(H55*100,""0"") &amp;
        I55,"&amp;"
    IF(AND(D55=""Roof Sheet"", REGEXMATCH(C55,""(?i)KS\d{4}[A-Z]{2}"")),
       REGEXEXTRACT(C55,""(?i)KS\d{4}[A-Z]{2}""),
    IF(AND(REGEXMATCH(D55,""(?i)-DP""), REGEXMATCH(C55,""(?i)Downpipe"")),
       ""dp"" &amp; REGEXEXTRACT(C55,""(\d+)"") &amp; ""mm"",
  "&amp;"  IF(AND(REGEXMATCH(D55,""(?i)Bracket""), REGEXMATCH(C55,""(?i)Bracket"")),
       ""Brkt"" &amp; REGEXEXTRACT(C55,""(\d+)"") &amp; ""mm"",
    IF(AND(REGEXMATCH(D55,""(?i)-OP""), REGEXMATCH(C55,""(?i)pops"")),
       ""op"" &amp; REGEXEXTRACT(C55,""(\d+)"") &amp; ""mm"""&amp;",
    IF(OR(D55=""R-FFTop"", D55=""R-FFBottom"", D55=""R-FFSide""),
        IF(REGEXMATCH(C55,""(?i)Profiled.*Top|Top.*Profiled""),""pfft"",
        IF(REGEXMATCH(C55,""(?i)Profiled.*Bottom|Bottom.*Profiled""),""pffb"",
        IF(REGEXMATCH(C55,""(?i)Squ"&amp;"are""),""sff"",""""))),
    IF(REGEXMATCH(D55,""(?i)-Rivets""),""Rvt"",
    IF(REGEXMATCH(D55,""(?i)Silicone""),""300ml"",
    IF(REGEXMATCH(D55,""(?i)R-Butyl""),""300ml"",
    IF(REGEXMATCH(D55,""(?i)Fix""),""GenFix"",
    IF(AND(REGEXMATCH(C55,""(?i)Tim"&amp;"ber""), REGEXMATCH(D55,""(?i)Timber"")),""tp"",
    IF(AND(REGEXMATCH(C55,""(?i)Vent G1275""), REGEXMATCH(D55,""(?i)Comb FIller"")),""CFV1275"",
    IF(REGEXMATCH(C55,""(?i)DPC""),""dpc"",
    IF(REGEXMATCH(C55,""(?i)Concealed Clips""),""ConClips"",
    I"&amp;"F(REGEXMATCH(D55,""(?i)-Takeoff ea""),""Takeoff ea"",
    IF(REGEXMATCH(D55,""(?i)-Takeoff LM""),""Takeoff LM"",
    IF(REGEXMATCH(D55,""(?i)-Takeoff m2""),""Takeoff m2"",
    IF(D55=""R-TU/TD"",""TU/TD"","""")))))))))))))))))
  )))"),"TU/TD")</f>
        <v>TU/TD</v>
      </c>
      <c r="C55" s="223" t="s">
        <v>446</v>
      </c>
      <c r="D55" s="148" t="s">
        <v>107</v>
      </c>
      <c r="E55" s="722"/>
      <c r="F55" s="721"/>
      <c r="G55" s="701"/>
      <c r="H55" s="128"/>
      <c r="I55" s="700"/>
      <c r="J55" s="126" t="s">
        <v>87</v>
      </c>
      <c r="K55" s="126" t="str">
        <f>IFERROR(
  IF(B55="", "", VLOOKUP(B55, Data!$B$2:$K$905, 7, FALSE)),
  ""
)</f>
        <v/>
      </c>
      <c r="L55" s="712"/>
      <c r="M55" s="150" t="str">
        <f>M50</f>
        <v/>
      </c>
      <c r="N55" s="151">
        <f t="shared" si="30"/>
        <v>1.017790934</v>
      </c>
      <c r="O55" s="169">
        <v>1.0</v>
      </c>
      <c r="P55" s="134">
        <v>1.0</v>
      </c>
      <c r="Q55" s="168">
        <f t="shared" si="26"/>
        <v>0</v>
      </c>
      <c r="R55" s="136" t="str">
        <f>IFERROR(
  IF(B55="", "", VLOOKUP(B55, Data!$B$2:$K$905, 9, FALSE)),
  ""
)</f>
        <v/>
      </c>
      <c r="S55" s="152">
        <f t="shared" si="27"/>
        <v>0</v>
      </c>
      <c r="T55" s="690"/>
      <c r="U55" s="136" t="str">
        <f>IFERROR(
  IF(B55="", "", VLOOKUP(B55, Data!$B$2:$K$905, 10, FALSE)),
  ""
)
</f>
        <v/>
      </c>
      <c r="V55" s="691"/>
      <c r="W55" s="140">
        <f t="shared" si="28"/>
        <v>0</v>
      </c>
      <c r="X55" s="692"/>
      <c r="Y55" s="595"/>
      <c r="Z55" s="595"/>
      <c r="AA55" s="595"/>
      <c r="AB55" s="354">
        <f t="shared" si="29"/>
        <v>0</v>
      </c>
      <c r="AC55" s="181"/>
      <c r="AD55" s="625"/>
      <c r="AE55" s="626"/>
      <c r="AF55" s="696"/>
      <c r="AG55" s="697"/>
      <c r="AH55" s="629"/>
      <c r="AI55" s="187"/>
      <c r="AJ55" s="630"/>
      <c r="AK55" s="630"/>
      <c r="AL55" s="595"/>
      <c r="AM55" s="595"/>
      <c r="AN55" s="595"/>
      <c r="AO55" s="595"/>
      <c r="AP55" s="595"/>
      <c r="AQ55" s="595"/>
      <c r="AR55" s="595"/>
      <c r="AS55" s="595"/>
      <c r="AT55" s="595"/>
      <c r="AU55" s="595"/>
      <c r="AV55" s="595"/>
      <c r="AW55" s="595"/>
      <c r="AX55" s="595"/>
      <c r="AY55" s="595"/>
      <c r="AZ55" s="595"/>
      <c r="BA55" s="595"/>
      <c r="BB55" s="595"/>
      <c r="BC55" s="595"/>
      <c r="BD55" s="595"/>
      <c r="BE55" s="595"/>
      <c r="BF55" s="595"/>
      <c r="BG55" s="595"/>
      <c r="BH55" s="595"/>
      <c r="BI55" s="651"/>
      <c r="BJ55" s="651"/>
      <c r="BK55" s="651"/>
      <c r="BL55" s="651"/>
      <c r="BM55" s="651"/>
      <c r="BN55" s="651"/>
      <c r="BO55" s="651"/>
      <c r="BP55" s="651"/>
      <c r="BQ55" s="651"/>
      <c r="BR55" s="651"/>
      <c r="BS55" s="651"/>
      <c r="BT55" s="651"/>
    </row>
    <row r="56">
      <c r="A56" s="732"/>
      <c r="B56" s="154"/>
      <c r="C56" s="700"/>
      <c r="D56" s="701"/>
      <c r="E56" s="722"/>
      <c r="F56" s="721"/>
      <c r="G56" s="701"/>
      <c r="H56" s="128"/>
      <c r="I56" s="700"/>
      <c r="J56" s="701"/>
      <c r="K56" s="701"/>
      <c r="L56" s="712"/>
      <c r="M56" s="704"/>
      <c r="N56" s="151" t="str">
        <f>if(B56="","",(if(N54="",N53,N54)))</f>
        <v/>
      </c>
      <c r="O56" s="712"/>
      <c r="P56" s="700"/>
      <c r="Q56" s="712"/>
      <c r="R56" s="681"/>
      <c r="S56" s="691"/>
      <c r="T56" s="690"/>
      <c r="U56" s="681"/>
      <c r="V56" s="691"/>
      <c r="W56" s="713"/>
      <c r="X56" s="692"/>
      <c r="Y56" s="595"/>
      <c r="Z56" s="595"/>
      <c r="AA56" s="595"/>
      <c r="AB56" s="595"/>
      <c r="AC56" s="181"/>
      <c r="AD56" s="625"/>
      <c r="AE56" s="626"/>
      <c r="AF56" s="696"/>
      <c r="AG56" s="697"/>
      <c r="AH56" s="629"/>
      <c r="AI56" s="187"/>
      <c r="AJ56" s="630"/>
      <c r="AK56" s="630"/>
      <c r="AL56" s="595"/>
      <c r="AM56" s="595"/>
      <c r="AN56" s="595"/>
      <c r="AO56" s="595"/>
      <c r="AP56" s="595"/>
      <c r="AQ56" s="595"/>
      <c r="AR56" s="595"/>
      <c r="AS56" s="595"/>
      <c r="AT56" s="595"/>
      <c r="AU56" s="595"/>
      <c r="AV56" s="595"/>
      <c r="AW56" s="595"/>
      <c r="AX56" s="595"/>
      <c r="AY56" s="595"/>
      <c r="AZ56" s="595"/>
      <c r="BA56" s="595"/>
      <c r="BB56" s="595"/>
      <c r="BC56" s="595"/>
      <c r="BD56" s="595"/>
      <c r="BE56" s="595"/>
      <c r="BF56" s="595"/>
      <c r="BG56" s="595"/>
      <c r="BH56" s="595"/>
      <c r="BI56" s="651"/>
      <c r="BJ56" s="651"/>
      <c r="BK56" s="651"/>
      <c r="BL56" s="651"/>
      <c r="BM56" s="651"/>
      <c r="BN56" s="651"/>
      <c r="BO56" s="651"/>
      <c r="BP56" s="651"/>
      <c r="BQ56" s="651"/>
      <c r="BR56" s="651"/>
      <c r="BS56" s="651"/>
      <c r="BT56" s="651"/>
    </row>
    <row r="57">
      <c r="A57" s="631">
        <v>1.0</v>
      </c>
      <c r="B57" s="727"/>
      <c r="C57" s="103" t="s">
        <v>452</v>
      </c>
      <c r="D57" s="678"/>
      <c r="E57" s="676"/>
      <c r="F57" s="677"/>
      <c r="G57" s="157"/>
      <c r="H57" s="678"/>
      <c r="I57" s="678"/>
      <c r="J57" s="678"/>
      <c r="K57" s="678" t="s">
        <v>42</v>
      </c>
      <c r="L57" s="106">
        <f>Q57</f>
        <v>132.23</v>
      </c>
      <c r="M57" s="679" t="s">
        <v>42</v>
      </c>
      <c r="N57" s="680"/>
      <c r="O57" s="679"/>
      <c r="P57" s="678"/>
      <c r="Q57" s="106">
        <f>Q58</f>
        <v>132.23</v>
      </c>
      <c r="R57" s="136" t="str">
        <f>IFERROR(
  IF(B57="", "", VLOOKUP(B57, Data!$B$2:$K$905, 9, FALSE)),
  ""
)</f>
        <v/>
      </c>
      <c r="S57" s="682">
        <f>IFERROR(T57/Q57, 0)</f>
        <v>0</v>
      </c>
      <c r="T57" s="109">
        <f>SUM(S58:S66)</f>
        <v>0</v>
      </c>
      <c r="U57" s="136" t="str">
        <f>IFERROR(
  IF(B57="", "", VLOOKUP(B57, Data!$B$2:$K$905, 10, FALSE)),
  ""
)
</f>
        <v/>
      </c>
      <c r="V57" s="109">
        <f>W57/Q57</f>
        <v>0</v>
      </c>
      <c r="W57" s="110">
        <f>SUM(W58:W66)</f>
        <v>0</v>
      </c>
      <c r="X57" s="111" t="str">
        <f>W57/$AC$758/$W$765/$X$755</f>
        <v>#REF!</v>
      </c>
      <c r="Y57" s="112" t="b">
        <f>(T57+W57)=(SUM(AB58:AB66))</f>
        <v>1</v>
      </c>
      <c r="Z57" s="113">
        <f>(T57+W57)-(SUM(AB58:AB66))</f>
        <v>0</v>
      </c>
      <c r="AA57" s="595"/>
      <c r="AB57" s="595"/>
      <c r="AC57" s="181"/>
      <c r="AD57" s="114">
        <f>W57+T57</f>
        <v>0</v>
      </c>
      <c r="AE57" s="115">
        <f>AD57</f>
        <v>0</v>
      </c>
      <c r="AF57" s="116" t="str">
        <f>AE57/$AE$733</f>
        <v>#REF!</v>
      </c>
      <c r="AG57" s="683" t="str">
        <f>AF57*$AG$740</f>
        <v>#REF!</v>
      </c>
      <c r="AH57" s="118" t="str">
        <f>AF57*$AG$743</f>
        <v>#REF!</v>
      </c>
      <c r="AI57" s="187"/>
      <c r="AJ57" s="119" t="str">
        <f>ROUND(AK57/L57,2)</f>
        <v>#REF!</v>
      </c>
      <c r="AK57" s="119" t="str">
        <f>ROUND(AH57+AG57+AD57,2)</f>
        <v>#REF!</v>
      </c>
      <c r="AL57" s="595"/>
      <c r="AM57" s="595"/>
      <c r="AN57" s="595"/>
      <c r="AO57" s="595"/>
      <c r="AP57" s="595"/>
      <c r="AQ57" s="595"/>
      <c r="AR57" s="595"/>
      <c r="AS57" s="595"/>
      <c r="AT57" s="595"/>
      <c r="AU57" s="595"/>
      <c r="AV57" s="595"/>
      <c r="AW57" s="595"/>
      <c r="AX57" s="595"/>
      <c r="AY57" s="595"/>
      <c r="AZ57" s="595"/>
      <c r="BA57" s="595"/>
      <c r="BB57" s="595"/>
      <c r="BC57" s="595"/>
      <c r="BD57" s="595"/>
      <c r="BE57" s="595"/>
      <c r="BF57" s="595"/>
      <c r="BG57" s="595"/>
      <c r="BH57" s="595"/>
      <c r="BI57" s="651"/>
      <c r="BJ57" s="651"/>
      <c r="BK57" s="651"/>
      <c r="BL57" s="651"/>
      <c r="BM57" s="651"/>
      <c r="BN57" s="651"/>
      <c r="BO57" s="651"/>
      <c r="BP57" s="651"/>
      <c r="BQ57" s="651"/>
      <c r="BR57" s="651"/>
      <c r="BS57" s="651"/>
      <c r="BT57" s="651"/>
    </row>
    <row r="58">
      <c r="A58" s="716" t="s">
        <v>444</v>
      </c>
      <c r="B58" s="154" t="str">
        <f>IFERROR(__xludf.DUMMYFUNCTION("IFERROR(
  IF(C58="""","""",
    IF(OR(REGEXMATCH(D58,""(?i)-Flashing""), REGEXMATCH(D58,""(?i)-EavesGut""), REGEXMATCH(D58,""(?i)Valley"")),
        ""DR"" &amp;
        TEXT(
            ROUNDUP(
                VALUE(MID(C58, FIND(""("",C58)+1, FIND(""/"","&amp;"C58)-FIND(""("",C58)-1)) / 50,
            0) * 50, ""0""
        ) &amp;
        MID(C58, FIND(""/"",C58)+1, FIND("")"",C58)-FIND(""/"",C58)-1) &amp;
        TEXT(H58*100,""0"") &amp;
        I58,
    IF(AND(D58=""Roof Sheet"", REGEXMATCH(C58,""(?i)KS\d{4}[A-Z]{2}"""&amp;")),
       REGEXEXTRACT(C58,""(?i)KS\d{4}[A-Z]{2}""),
    IF(AND(REGEXMATCH(D58,""(?i)-DP""), REGEXMATCH(C58,""(?i)Downpipe"")),
       ""dp"" &amp; REGEXEXTRACT(C58,""(\d+)"") &amp; ""mm"",
    IF(AND(REGEXMATCH(D58,""(?i)Bracket""), REGEXMATCH(C58,""(?i)Bracket"&amp;""")),
       ""Brkt"" &amp; REGEXEXTRACT(C58,""(\d+)"") &amp; ""mm"",
    IF(AND(REGEXMATCH(D58,""(?i)-OP""), REGEXMATCH(C58,""(?i)pops"")),
       ""op"" &amp; REGEXEXTRACT(C58,""(\d+)"") &amp; ""mm"",
    IF(OR(D58=""R-FFTop"", D58=""R-FFBottom"", D58=""R-FFSide""),
  "&amp;"      IF(REGEXMATCH(C58,""(?i)Profiled.*Top|Top.*Profiled""),""pfft"",
        IF(REGEXMATCH(C58,""(?i)Profiled.*Bottom|Bottom.*Profiled""),""pffb"",
        IF(REGEXMATCH(C58,""(?i)Square""),""sff"",""""))),
    IF(REGEXMATCH(D58,""(?i)-Rivets""),""Rvt"""&amp;",
    IF(REGEXMATCH(D58,""(?i)Silicone""),""300ml"",
    IF(REGEXMATCH(D58,""(?i)R-Butyl""),""300ml"",
    IF(REGEXMATCH(D58,""(?i)Fix""),""GenFix"",
    IF(AND(REGEXMATCH(C58,""(?i)Timber""), REGEXMATCH(D58,""(?i)Timber"")),""tp"",
    IF(AND(REGEXMATCH("&amp;"C58,""(?i)Vent G1275""), REGEXMATCH(D58,""(?i)Comb FIller"")),""CFV1275"",
    IF(REGEXMATCH(C58,""(?i)DPC""),""dpc"",
    IF(REGEXMATCH(C58,""(?i)Concealed Clips""),""ConClips"",
    IF(REGEXMATCH(D58,""(?i)-Takeoff ea""),""Takeoff ea"",
    IF(REGEXMATC"&amp;"H(D58,""(?i)-Takeoff LM""),""Takeoff LM"",
    IF(REGEXMATCH(D58,""(?i)-Takeoff m2""),""Takeoff m2"",
    IF(D58=""R-TU/TD"",""TU/TD"","""")))))))))))))))))
  )))"),"DR8003B55Mag")</f>
        <v>DR8003B55Mag</v>
      </c>
      <c r="C58" s="123" t="s">
        <v>453</v>
      </c>
      <c r="D58" s="124" t="s">
        <v>96</v>
      </c>
      <c r="E58" s="687">
        <f>VALUE(MID(C58, FIND("(", C58)+1, FIND("/", C58)-FIND("(", C58)-1)) / 1000</f>
        <v>0.78</v>
      </c>
      <c r="F58" s="688"/>
      <c r="G58" s="689" t="s">
        <v>429</v>
      </c>
      <c r="H58" s="128" t="str">
        <f>IFERROR(__xludf.DUMMYFUNCTION("IFERROR(REGEXEXTRACT(C58, ""(\d*\.\d+)mm""), """")"),"0.55")</f>
        <v>0.55</v>
      </c>
      <c r="I58" s="128" t="s">
        <v>97</v>
      </c>
      <c r="J58" s="126" t="s">
        <v>14</v>
      </c>
      <c r="K58" s="126" t="str">
        <f>IFERROR(
  IF(B58="", "", VLOOKUP(B58, Data!$B$2:$K$905, 7, FALSE)),
  ""
)</f>
        <v/>
      </c>
      <c r="L58" s="704"/>
      <c r="M58" s="730">
        <v>132.23</v>
      </c>
      <c r="N58" s="151">
        <f>IFERROR(__xludf.DUMMYFUNCTION("IF(
  AND(
    IFERROR(REGEXEXTRACT(C58,""@\s*(\d+(?:\.\d+)?)\s*deg""),"""")&lt;&gt;"""",
    F58&lt;&gt;""""
  ),
  ""Pls Confirm °"",
  IF(
    IFERROR(REGEXEXTRACT(C58,""@\s*(\d+(?:\.\d+)?)\s*deg""),"""")&lt;&gt;"""",
    1/COS(RADIANS(REGEXEXTRACT(C58,""@\s*(\d+(?:\.\d"&amp;"+)?)\s*deg""))),
    IF(
      F58&lt;&gt;"""",
      IF(
        ISNUMBER(SEARCH(""|"",F58)),
        1/COS(
          ATAN(
            TAN(RADIANS(VALUE(INDEX(SPLIT(F58,""|""),1)))) *
            TAN(RADIANS(VALUE(INDEX(SPLIT(F58,""|""),2))))
            /
 "&amp;"           SQRT(
              TAN(RADIANS(VALUE(INDEX(SPLIT(F58,""|""),1))))^2 +
              TAN(RADIANS(VALUE(INDEX(SPLIT(F58,""|""),2))))^2
            )
          )
        ),
        1/COS(RADIANS(VALUE(F58)))
      ),
      1
    )
  )
)"),1.0)</f>
        <v>1</v>
      </c>
      <c r="O58" s="169">
        <v>1.0</v>
      </c>
      <c r="P58" s="134">
        <v>1.0</v>
      </c>
      <c r="Q58" s="168">
        <f t="shared" ref="Q58:Q62" si="31">M58*N58*O58*P58</f>
        <v>132.23</v>
      </c>
      <c r="R58" s="136" t="str">
        <f>IFERROR(
  IF(B58="", "", VLOOKUP(B58, Data!$B$2:$K$905, 9, FALSE)),
  ""
)</f>
        <v/>
      </c>
      <c r="S58" s="152">
        <f t="shared" ref="S58:S62" si="32">R58*Q58</f>
        <v>0</v>
      </c>
      <c r="T58" s="690"/>
      <c r="U58" s="136" t="str">
        <f>IFERROR(
  IF(B58="", "", VLOOKUP(B58, Data!$B$2:$K$905, 10, FALSE)),
  ""
)
</f>
        <v/>
      </c>
      <c r="V58" s="691"/>
      <c r="W58" s="140">
        <f t="shared" ref="W58:W62" si="33">U58*Q58</f>
        <v>0</v>
      </c>
      <c r="X58" s="692"/>
      <c r="Y58" s="693"/>
      <c r="Z58" s="731"/>
      <c r="AA58" s="595"/>
      <c r="AB58" s="354">
        <f t="shared" ref="AB58:AB62" si="34">W58+S58</f>
        <v>0</v>
      </c>
      <c r="AC58" s="181"/>
      <c r="AD58" s="625"/>
      <c r="AE58" s="626"/>
      <c r="AF58" s="696"/>
      <c r="AG58" s="697"/>
      <c r="AH58" s="629"/>
      <c r="AI58" s="187"/>
      <c r="AJ58" s="630"/>
      <c r="AK58" s="630"/>
      <c r="AL58" s="595"/>
      <c r="AM58" s="595"/>
      <c r="AN58" s="595"/>
      <c r="AO58" s="595"/>
      <c r="AP58" s="595"/>
      <c r="AQ58" s="595"/>
      <c r="AR58" s="595"/>
      <c r="AS58" s="595"/>
      <c r="AT58" s="595"/>
      <c r="AU58" s="595"/>
      <c r="AV58" s="595"/>
      <c r="AW58" s="595"/>
      <c r="AX58" s="595"/>
      <c r="AY58" s="595"/>
      <c r="AZ58" s="595"/>
      <c r="BA58" s="595"/>
      <c r="BB58" s="595"/>
      <c r="BC58" s="595"/>
      <c r="BD58" s="595"/>
      <c r="BE58" s="595"/>
      <c r="BF58" s="595"/>
      <c r="BG58" s="595"/>
      <c r="BH58" s="595"/>
      <c r="BI58" s="651"/>
      <c r="BJ58" s="651"/>
      <c r="BK58" s="651"/>
      <c r="BL58" s="651"/>
      <c r="BM58" s="651"/>
      <c r="BN58" s="651"/>
      <c r="BO58" s="651"/>
      <c r="BP58" s="651"/>
      <c r="BQ58" s="651"/>
      <c r="BR58" s="651"/>
      <c r="BS58" s="651"/>
      <c r="BT58" s="651"/>
    </row>
    <row r="59">
      <c r="A59" s="631"/>
      <c r="B59" s="154" t="str">
        <f>IFERROR(__xludf.DUMMYFUNCTION("IFERROR(
  IF(C59="""","""",
    IF(OR(REGEXMATCH(D59,""(?i)-Flashing""), REGEXMATCH(D59,""(?i)-EavesGut""), REGEXMATCH(D59,""(?i)Valley"")),
        ""DR"" &amp;
        TEXT(
            ROUNDUP(
                MIN(
                    VALUE(MID(C59, FIND("&amp;"""("",C59)+1, FIND(""/"",C59)-FIND(""("",C59)-1)),
                    1200
                ) / 50, 0
            ) * 50, ""0""
        ) &amp;
        MID(C59, FIND(""/"",C59)+1, FIND("")"",C59)-FIND(""/"",C59)-1) &amp;
        TEXT(H59*100,""0"") &amp;
        I59,"&amp;"
    IF(AND(D59=""Roof Sheet"", REGEXMATCH(C59,""(?i)KS\d{4}[A-Z]{2}"")),
       REGEXEXTRACT(C59,""(?i)KS\d{4}[A-Z]{2}""),
    IF(AND(REGEXMATCH(D59,""(?i)-DP""), REGEXMATCH(C59,""(?i)Downpipe"")),
       ""dp"" &amp; REGEXEXTRACT(C59,""(\d+)"") &amp; ""mm"",
  "&amp;"  IF(AND(REGEXMATCH(D59,""(?i)Bracket""), REGEXMATCH(C59,""(?i)Bracket"")),
       ""Brkt"" &amp; REGEXEXTRACT(C59,""(\d+)"") &amp; ""mm"",
    IF(AND(REGEXMATCH(D59,""(?i)-OP""), REGEXMATCH(C59,""(?i)pops"")),
       ""op"" &amp; REGEXEXTRACT(C59,""(\d+)"") &amp; ""mm"""&amp;",
    IF(OR(D59=""R-FFTop"", D59=""R-FFBottom"", D59=""R-FFSide""),
        IF(REGEXMATCH(C59,""(?i)Profiled.*Top|Top.*Profiled""),""pfft"",
        IF(REGEXMATCH(C59,""(?i)Profiled.*Bottom|Bottom.*Profiled""),""pffb"",
        IF(REGEXMATCH(C59,""(?i)Squ"&amp;"are""),""sff"",""""))),
    IF(REGEXMATCH(D59,""(?i)-Rivets""),""Rvt"",
    IF(REGEXMATCH(D59,""(?i)Silicone""),""300ml"",
    IF(REGEXMATCH(D59,""(?i)R-Butyl""),""300ml"",
    IF(REGEXMATCH(D59,""(?i)Fix""),""GenFix"",
    IF(AND(REGEXMATCH(C59,""(?i)Tim"&amp;"ber""), REGEXMATCH(D59,""(?i)Timber"")),""tp"",
    IF(AND(REGEXMATCH(C59,""(?i)Vent G1275""), REGEXMATCH(D59,""(?i)Comb FIller"")),""CFV1275"",
    IF(REGEXMATCH(C59,""(?i)DPC""),""dpc"",
    IF(REGEXMATCH(C59,""(?i)Concealed Clips""),""ConClips"",
    I"&amp;"F(REGEXMATCH(D59,""(?i)-Takeoff ea""),""Takeoff ea"",
    IF(REGEXMATCH(D59,""(?i)-Takeoff LM""),""Takeoff LM"",
    IF(REGEXMATCH(D59,""(?i)-Takeoff m2""),""Takeoff m2"",
    IF(D59=""R-TU/TD"",""TU/TD"","""")))))))))))))))))
  )))"),"300ml")</f>
        <v>300ml</v>
      </c>
      <c r="C59" s="734" t="s">
        <v>98</v>
      </c>
      <c r="D59" s="124" t="s">
        <v>99</v>
      </c>
      <c r="E59" s="687">
        <f>E58</f>
        <v>0.78</v>
      </c>
      <c r="F59" s="721"/>
      <c r="G59" s="225"/>
      <c r="H59" s="700" t="str">
        <f>IFERROR(__xludf.DUMMYFUNCTION("IFERROR(REGEXEXTRACT(C59, ""(\d*\.\d+)mm""), """")"),"")</f>
        <v/>
      </c>
      <c r="I59" s="700"/>
      <c r="J59" s="126" t="s">
        <v>87</v>
      </c>
      <c r="K59" s="126" t="str">
        <f>IFERROR(
  IF(B59="", "", VLOOKUP(B59, Data!$B$2:$K$905, 7, FALSE)),
  ""
)</f>
        <v/>
      </c>
      <c r="L59" s="704"/>
      <c r="M59" s="150">
        <f>(ROUNDDOWN((M58/5.7)+2,0)*E59)/8</f>
        <v>2.4375</v>
      </c>
      <c r="N59" s="151">
        <f t="shared" ref="N59:N62" si="35">N58</f>
        <v>1</v>
      </c>
      <c r="O59" s="169">
        <v>1.0</v>
      </c>
      <c r="P59" s="134">
        <v>1.0</v>
      </c>
      <c r="Q59" s="168">
        <f t="shared" si="31"/>
        <v>2.4375</v>
      </c>
      <c r="R59" s="136" t="str">
        <f>IFERROR(
  IF(B59="", "", VLOOKUP(B59, Data!$B$2:$K$905, 9, FALSE)),
  ""
)</f>
        <v/>
      </c>
      <c r="S59" s="152">
        <f t="shared" si="32"/>
        <v>0</v>
      </c>
      <c r="T59" s="690"/>
      <c r="U59" s="136" t="str">
        <f>IFERROR(
  IF(B59="", "", VLOOKUP(B59, Data!$B$2:$K$905, 10, FALSE)),
  ""
)
</f>
        <v/>
      </c>
      <c r="V59" s="691"/>
      <c r="W59" s="140">
        <f t="shared" si="33"/>
        <v>0</v>
      </c>
      <c r="X59" s="692"/>
      <c r="Y59" s="595"/>
      <c r="Z59" s="595"/>
      <c r="AA59" s="595"/>
      <c r="AB59" s="354">
        <f t="shared" si="34"/>
        <v>0</v>
      </c>
      <c r="AC59" s="181"/>
      <c r="AD59" s="625"/>
      <c r="AE59" s="626"/>
      <c r="AF59" s="696"/>
      <c r="AG59" s="697"/>
      <c r="AH59" s="629"/>
      <c r="AI59" s="187"/>
      <c r="AJ59" s="630"/>
      <c r="AK59" s="630"/>
      <c r="AL59" s="595"/>
      <c r="AM59" s="595"/>
      <c r="AN59" s="595"/>
      <c r="AO59" s="595"/>
      <c r="AP59" s="595"/>
      <c r="AQ59" s="595"/>
      <c r="AR59" s="595"/>
      <c r="AS59" s="595"/>
      <c r="AT59" s="595"/>
      <c r="AU59" s="595"/>
      <c r="AV59" s="595"/>
      <c r="AW59" s="595"/>
      <c r="AX59" s="595"/>
      <c r="AY59" s="595"/>
      <c r="AZ59" s="595"/>
      <c r="BA59" s="595"/>
      <c r="BB59" s="595"/>
      <c r="BC59" s="595"/>
      <c r="BD59" s="595"/>
      <c r="BE59" s="595"/>
      <c r="BF59" s="595"/>
      <c r="BG59" s="595"/>
      <c r="BH59" s="595"/>
      <c r="BI59" s="651"/>
      <c r="BJ59" s="651"/>
      <c r="BK59" s="651"/>
      <c r="BL59" s="651"/>
      <c r="BM59" s="651"/>
      <c r="BN59" s="651"/>
      <c r="BO59" s="651"/>
      <c r="BP59" s="651"/>
      <c r="BQ59" s="651"/>
      <c r="BR59" s="651"/>
      <c r="BS59" s="651"/>
      <c r="BT59" s="651"/>
    </row>
    <row r="60">
      <c r="A60" s="631"/>
      <c r="B60" s="154" t="str">
        <f>IFERROR(__xludf.DUMMYFUNCTION("IFERROR(
  IF(C60="""","""",
    IF(OR(REGEXMATCH(D60,""(?i)-Flashing""), REGEXMATCH(D60,""(?i)-EavesGut""), REGEXMATCH(D60,""(?i)Valley"")),
        ""DR"" &amp;
        TEXT(
            ROUNDUP(
                MIN(
                    VALUE(MID(C60, FIND("&amp;"""("",C60)+1, FIND(""/"",C60)-FIND(""("",C60)-1)),
                    1200
                ) / 50, 0
            ) * 50, ""0""
        ) &amp;
        MID(C60, FIND(""/"",C60)+1, FIND("")"",C60)-FIND(""/"",C60)-1) &amp;
        TEXT(H60*100,""0"") &amp;
        I60,"&amp;"
    IF(AND(D60=""Roof Sheet"", REGEXMATCH(C60,""(?i)KS\d{4}[A-Z]{2}"")),
       REGEXEXTRACT(C60,""(?i)KS\d{4}[A-Z]{2}""),
    IF(AND(REGEXMATCH(D60,""(?i)-DP""), REGEXMATCH(C60,""(?i)Downpipe"")),
       ""dp"" &amp; REGEXEXTRACT(C60,""(\d+)"") &amp; ""mm"",
  "&amp;"  IF(AND(REGEXMATCH(D60,""(?i)Bracket""), REGEXMATCH(C60,""(?i)Bracket"")),
       ""Brkt"" &amp; REGEXEXTRACT(C60,""(\d+)"") &amp; ""mm"",
    IF(AND(REGEXMATCH(D60,""(?i)-OP""), REGEXMATCH(C60,""(?i)pops"")),
       ""op"" &amp; REGEXEXTRACT(C60,""(\d+)"") &amp; ""mm"""&amp;",
    IF(OR(D60=""R-FFTop"", D60=""R-FFBottom"", D60=""R-FFSide""),
        IF(REGEXMATCH(C60,""(?i)Profiled.*Top|Top.*Profiled""),""pfft"",
        IF(REGEXMATCH(C60,""(?i)Profiled.*Bottom|Bottom.*Profiled""),""pffb"",
        IF(REGEXMATCH(C60,""(?i)Squ"&amp;"are""),""sff"",""""))),
    IF(REGEXMATCH(D60,""(?i)-Rivets""),""Rvt"",
    IF(REGEXMATCH(D60,""(?i)Silicone""),""300ml"",
    IF(REGEXMATCH(D60,""(?i)R-Butyl""),""300ml"",
    IF(REGEXMATCH(D60,""(?i)Fix""),""GenFix"",
    IF(AND(REGEXMATCH(C60,""(?i)Tim"&amp;"ber""), REGEXMATCH(D60,""(?i)Timber"")),""tp"",
    IF(AND(REGEXMATCH(C60,""(?i)Vent G1275""), REGEXMATCH(D60,""(?i)Comb FIller"")),""CFV1275"",
    IF(REGEXMATCH(C60,""(?i)DPC""),""dpc"",
    IF(REGEXMATCH(C60,""(?i)Concealed Clips""),""ConClips"",
    I"&amp;"F(REGEXMATCH(D60,""(?i)-Takeoff ea""),""Takeoff ea"",
    IF(REGEXMATCH(D60,""(?i)-Takeoff LM""),""Takeoff LM"",
    IF(REGEXMATCH(D60,""(?i)-Takeoff m2""),""Takeoff m2"",
    IF(D60=""R-TU/TD"",""TU/TD"","""")))))))))))))))))
  )))"),"Rvt")</f>
        <v>Rvt</v>
      </c>
      <c r="C60" s="734" t="s">
        <v>100</v>
      </c>
      <c r="D60" s="124" t="s">
        <v>101</v>
      </c>
      <c r="E60" s="687">
        <f>E58</f>
        <v>0.78</v>
      </c>
      <c r="F60" s="721"/>
      <c r="G60" s="225"/>
      <c r="H60" s="700" t="str">
        <f>IFERROR(__xludf.DUMMYFUNCTION("IFERROR(REGEXEXTRACT(C60, ""(\d*\.\d+)mm""), """")"),"")</f>
        <v/>
      </c>
      <c r="I60" s="700"/>
      <c r="J60" s="126" t="s">
        <v>87</v>
      </c>
      <c r="K60" s="126" t="str">
        <f>IFERROR(
  IF(B60="", "", VLOOKUP(B60, Data!$B$2:$K$905, 7, FALSE)),
  ""
)</f>
        <v/>
      </c>
      <c r="L60" s="704"/>
      <c r="M60" s="150">
        <f>ROUNDUP(((M58/5.7)+1)*(E60/0.05),0)</f>
        <v>378</v>
      </c>
      <c r="N60" s="151">
        <f t="shared" si="35"/>
        <v>1</v>
      </c>
      <c r="O60" s="169">
        <v>1.0</v>
      </c>
      <c r="P60" s="134">
        <v>1.0</v>
      </c>
      <c r="Q60" s="168">
        <f t="shared" si="31"/>
        <v>378</v>
      </c>
      <c r="R60" s="136" t="str">
        <f>IFERROR(
  IF(B60="", "", VLOOKUP(B60, Data!$B$2:$K$905, 9, FALSE)),
  ""
)</f>
        <v/>
      </c>
      <c r="S60" s="152">
        <f t="shared" si="32"/>
        <v>0</v>
      </c>
      <c r="T60" s="690"/>
      <c r="U60" s="136" t="str">
        <f>IFERROR(
  IF(B60="", "", VLOOKUP(B60, Data!$B$2:$K$905, 10, FALSE)),
  ""
)
</f>
        <v/>
      </c>
      <c r="V60" s="691"/>
      <c r="W60" s="140">
        <f t="shared" si="33"/>
        <v>0</v>
      </c>
      <c r="X60" s="692"/>
      <c r="Y60" s="595"/>
      <c r="Z60" s="595"/>
      <c r="AA60" s="595"/>
      <c r="AB60" s="354">
        <f t="shared" si="34"/>
        <v>0</v>
      </c>
      <c r="AC60" s="181"/>
      <c r="AD60" s="625"/>
      <c r="AE60" s="626"/>
      <c r="AF60" s="696"/>
      <c r="AG60" s="697"/>
      <c r="AH60" s="629"/>
      <c r="AI60" s="187"/>
      <c r="AJ60" s="630"/>
      <c r="AK60" s="630"/>
      <c r="AL60" s="595"/>
      <c r="AM60" s="595"/>
      <c r="AN60" s="595"/>
      <c r="AO60" s="595"/>
      <c r="AP60" s="595"/>
      <c r="AQ60" s="595"/>
      <c r="AR60" s="595"/>
      <c r="AS60" s="595"/>
      <c r="AT60" s="595"/>
      <c r="AU60" s="595"/>
      <c r="AV60" s="595"/>
      <c r="AW60" s="595"/>
      <c r="AX60" s="595"/>
      <c r="AY60" s="595"/>
      <c r="AZ60" s="595"/>
      <c r="BA60" s="595"/>
      <c r="BB60" s="595"/>
      <c r="BC60" s="595"/>
      <c r="BD60" s="595"/>
      <c r="BE60" s="595"/>
      <c r="BF60" s="595"/>
      <c r="BG60" s="595"/>
      <c r="BH60" s="595"/>
      <c r="BI60" s="651"/>
      <c r="BJ60" s="651"/>
      <c r="BK60" s="651"/>
      <c r="BL60" s="651"/>
      <c r="BM60" s="651"/>
      <c r="BN60" s="651"/>
      <c r="BO60" s="651"/>
      <c r="BP60" s="651"/>
      <c r="BQ60" s="651"/>
      <c r="BR60" s="651"/>
      <c r="BS60" s="651"/>
      <c r="BT60" s="651"/>
    </row>
    <row r="61">
      <c r="A61" s="631"/>
      <c r="B61" s="154" t="str">
        <f>IFERROR(__xludf.DUMMYFUNCTION("IFERROR(
  IF(C61="""","""",
    IF(OR(REGEXMATCH(D61,""(?i)-Flashing""), REGEXMATCH(D61,""(?i)-EavesGut""), REGEXMATCH(D61,""(?i)Valley"")),
        ""DR"" &amp;
        TEXT(
            ROUNDUP(
                MIN(
                    VALUE(MID(C61, FIND("&amp;"""("",C61)+1, FIND(""/"",C61)-FIND(""("",C61)-1)),
                    1200
                ) / 50, 0
            ) * 50, ""0""
        ) &amp;
        MID(C61, FIND(""/"",C61)+1, FIND("")"",C61)-FIND(""/"",C61)-1) &amp;
        TEXT(H61*100,""0"") &amp;
        I61,"&amp;"
    IF(AND(D61=""Roof Sheet"", REGEXMATCH(C61,""(?i)KS\d{4}[A-Z]{2}"")),
       REGEXEXTRACT(C61,""(?i)KS\d{4}[A-Z]{2}""),
    IF(AND(REGEXMATCH(D61,""(?i)-DP""), REGEXMATCH(C61,""(?i)Downpipe"")),
       ""dp"" &amp; REGEXEXTRACT(C61,""(\d+)"") &amp; ""mm"",
  "&amp;"  IF(AND(REGEXMATCH(D61,""(?i)Bracket""), REGEXMATCH(C61,""(?i)Bracket"")),
       ""Brkt"" &amp; REGEXEXTRACT(C61,""(\d+)"") &amp; ""mm"",
    IF(AND(REGEXMATCH(D61,""(?i)-OP""), REGEXMATCH(C61,""(?i)pops"")),
       ""op"" &amp; REGEXEXTRACT(C61,""(\d+)"") &amp; ""mm"""&amp;",
    IF(OR(D61=""R-FFTop"", D61=""R-FFBottom"", D61=""R-FFSide""),
        IF(REGEXMATCH(C61,""(?i)Profiled.*Top|Top.*Profiled""),""pfft"",
        IF(REGEXMATCH(C61,""(?i)Profiled.*Bottom|Bottom.*Profiled""),""pffb"",
        IF(REGEXMATCH(C61,""(?i)Squ"&amp;"are""),""sff"",""""))),
    IF(REGEXMATCH(D61,""(?i)-Rivets""),""Rvt"",
    IF(REGEXMATCH(D61,""(?i)Silicone""),""300ml"",
    IF(REGEXMATCH(D61,""(?i)R-Butyl""),""300ml"",
    IF(REGEXMATCH(D61,""(?i)Fix""),""GenFix"",
    IF(AND(REGEXMATCH(C61,""(?i)Tim"&amp;"ber""), REGEXMATCH(D61,""(?i)Timber"")),""tp"",
    IF(AND(REGEXMATCH(C61,""(?i)Vent G1275""), REGEXMATCH(D61,""(?i)Comb FIller"")),""CFV1275"",
    IF(REGEXMATCH(C61,""(?i)DPC""),""dpc"",
    IF(REGEXMATCH(C61,""(?i)Concealed Clips""),""ConClips"",
    I"&amp;"F(REGEXMATCH(D61,""(?i)-Takeoff ea""),""Takeoff ea"",
    IF(REGEXMATCH(D61,""(?i)-Takeoff LM""),""Takeoff LM"",
    IF(REGEXMATCH(D61,""(?i)-Takeoff m2""),""Takeoff m2"",
    IF(D61=""R-TU/TD"",""TU/TD"","""")))))))))))))))))
  )))"),"GenFix")</f>
        <v>GenFix</v>
      </c>
      <c r="C61" s="698" t="s">
        <v>102</v>
      </c>
      <c r="D61" s="124" t="s">
        <v>103</v>
      </c>
      <c r="E61" s="722"/>
      <c r="F61" s="721"/>
      <c r="G61" s="158"/>
      <c r="H61" s="700"/>
      <c r="I61" s="700"/>
      <c r="J61" s="126" t="s">
        <v>87</v>
      </c>
      <c r="K61" s="126" t="str">
        <f>IFERROR(
  IF(B61="", "", VLOOKUP(B61, Data!$B$2:$K$905, 7, FALSE)),
  ""
)</f>
        <v/>
      </c>
      <c r="L61" s="712"/>
      <c r="M61" s="150">
        <f>ROUNDUP(M58/0.6,0)+1</f>
        <v>222</v>
      </c>
      <c r="N61" s="151">
        <f t="shared" si="35"/>
        <v>1</v>
      </c>
      <c r="O61" s="169">
        <v>1.0</v>
      </c>
      <c r="P61" s="134">
        <v>2.0</v>
      </c>
      <c r="Q61" s="168">
        <f t="shared" si="31"/>
        <v>444</v>
      </c>
      <c r="R61" s="136" t="str">
        <f>IFERROR(
  IF(B61="", "", VLOOKUP(B61, Data!$B$2:$K$905, 9, FALSE)),
  ""
)</f>
        <v/>
      </c>
      <c r="S61" s="152">
        <f t="shared" si="32"/>
        <v>0</v>
      </c>
      <c r="T61" s="690"/>
      <c r="U61" s="136" t="str">
        <f>IFERROR(
  IF(B61="", "", VLOOKUP(B61, Data!$B$2:$K$905, 10, FALSE)),
  ""
)
</f>
        <v/>
      </c>
      <c r="V61" s="691"/>
      <c r="W61" s="140">
        <f t="shared" si="33"/>
        <v>0</v>
      </c>
      <c r="X61" s="692"/>
      <c r="Y61" s="595"/>
      <c r="Z61" s="595"/>
      <c r="AA61" s="595"/>
      <c r="AB61" s="354">
        <f t="shared" si="34"/>
        <v>0</v>
      </c>
      <c r="AC61" s="181"/>
      <c r="AD61" s="625"/>
      <c r="AE61" s="626"/>
      <c r="AF61" s="696"/>
      <c r="AG61" s="697"/>
      <c r="AH61" s="629"/>
      <c r="AI61" s="187"/>
      <c r="AJ61" s="630"/>
      <c r="AK61" s="630"/>
      <c r="AL61" s="595"/>
      <c r="AM61" s="595"/>
      <c r="AN61" s="595"/>
      <c r="AO61" s="595"/>
      <c r="AP61" s="595"/>
      <c r="AQ61" s="595"/>
      <c r="AR61" s="595"/>
      <c r="AS61" s="595"/>
      <c r="AT61" s="595"/>
      <c r="AU61" s="595"/>
      <c r="AV61" s="595"/>
      <c r="AW61" s="595"/>
      <c r="AX61" s="595"/>
      <c r="AY61" s="595"/>
      <c r="AZ61" s="595"/>
      <c r="BA61" s="595"/>
      <c r="BB61" s="595"/>
      <c r="BC61" s="595"/>
      <c r="BD61" s="595"/>
      <c r="BE61" s="595"/>
      <c r="BF61" s="595"/>
      <c r="BG61" s="595"/>
      <c r="BH61" s="595"/>
      <c r="BI61" s="651"/>
      <c r="BJ61" s="651"/>
      <c r="BK61" s="651"/>
      <c r="BL61" s="651"/>
      <c r="BM61" s="651"/>
      <c r="BN61" s="651"/>
      <c r="BO61" s="651"/>
      <c r="BP61" s="651"/>
      <c r="BQ61" s="651"/>
      <c r="BR61" s="651"/>
      <c r="BS61" s="651"/>
      <c r="BT61" s="651"/>
    </row>
    <row r="62">
      <c r="A62" s="631"/>
      <c r="B62" s="154" t="str">
        <f>IFERROR(__xludf.DUMMYFUNCTION("IFERROR(
  IF(C62="""","""",
    IF(OR(REGEXMATCH(D62,""(?i)-Flashing""), REGEXMATCH(D62,""(?i)-EavesGut""), REGEXMATCH(D62,""(?i)Valley"")),
        ""DR"" &amp;
        TEXT(
            ROUNDUP(
                MIN(
                    VALUE(MID(C62, FIND("&amp;"""("",C62)+1, FIND(""/"",C62)-FIND(""("",C62)-1)),
                    1200
                ) / 50, 0
            ) * 50, ""0""
        ) &amp;
        MID(C62, FIND(""/"",C62)+1, FIND("")"",C62)-FIND(""/"",C62)-1) &amp;
        TEXT(H62*100,""0"") &amp;
        I62,"&amp;"
    IF(AND(D62=""Roof Sheet"", REGEXMATCH(C62,""(?i)KS\d{4}[A-Z]{2}"")),
       REGEXEXTRACT(C62,""(?i)KS\d{4}[A-Z]{2}""),
    IF(AND(REGEXMATCH(D62,""(?i)-DP""), REGEXMATCH(C62,""(?i)Downpipe"")),
       ""dp"" &amp; REGEXEXTRACT(C62,""(\d+)"") &amp; ""mm"",
  "&amp;"  IF(AND(REGEXMATCH(D62,""(?i)Bracket""), REGEXMATCH(C62,""(?i)Bracket"")),
       ""Brkt"" &amp; REGEXEXTRACT(C62,""(\d+)"") &amp; ""mm"",
    IF(AND(REGEXMATCH(D62,""(?i)-OP""), REGEXMATCH(C62,""(?i)pops"")),
       ""op"" &amp; REGEXEXTRACT(C62,""(\d+)"") &amp; ""mm"""&amp;",
    IF(OR(D62=""R-FFTop"", D62=""R-FFBottom"", D62=""R-FFSide""),
        IF(REGEXMATCH(C62,""(?i)Profiled.*Top|Top.*Profiled""),""pfft"",
        IF(REGEXMATCH(C62,""(?i)Profiled.*Bottom|Bottom.*Profiled""),""pffb"",
        IF(REGEXMATCH(C62,""(?i)Squ"&amp;"are""),""sff"",""""))),
    IF(REGEXMATCH(D62,""(?i)-Rivets""),""Rvt"",
    IF(REGEXMATCH(D62,""(?i)Silicone""),""300ml"",
    IF(REGEXMATCH(D62,""(?i)R-Butyl""),""300ml"",
    IF(REGEXMATCH(D62,""(?i)Fix""),""GenFix"",
    IF(AND(REGEXMATCH(C62,""(?i)Tim"&amp;"ber""), REGEXMATCH(D62,""(?i)Timber"")),""tp"",
    IF(AND(REGEXMATCH(C62,""(?i)Vent G1275""), REGEXMATCH(D62,""(?i)Comb FIller"")),""CFV1275"",
    IF(REGEXMATCH(C62,""(?i)DPC""),""dpc"",
    IF(REGEXMATCH(C62,""(?i)Concealed Clips""),""ConClips"",
    I"&amp;"F(REGEXMATCH(D62,""(?i)-Takeoff ea""),""Takeoff ea"",
    IF(REGEXMATCH(D62,""(?i)-Takeoff LM""),""Takeoff LM"",
    IF(REGEXMATCH(D62,""(?i)-Takeoff m2""),""Takeoff m2"",
    IF(D62=""R-TU/TD"",""TU/TD"","""")))))))))))))))))
  )))"),"sff")</f>
        <v>sff</v>
      </c>
      <c r="C62" s="734" t="s">
        <v>454</v>
      </c>
      <c r="D62" s="124" t="s">
        <v>105</v>
      </c>
      <c r="E62" s="722"/>
      <c r="F62" s="721"/>
      <c r="G62" s="158"/>
      <c r="H62" s="700"/>
      <c r="I62" s="700"/>
      <c r="J62" s="126" t="s">
        <v>87</v>
      </c>
      <c r="K62" s="126" t="str">
        <f>IFERROR(
  IF(B62="", "", VLOOKUP(B62, Data!$B$2:$K$905, 7, FALSE)),
  ""
)</f>
        <v/>
      </c>
      <c r="L62" s="712"/>
      <c r="M62" s="150">
        <f>M58</f>
        <v>132.23</v>
      </c>
      <c r="N62" s="151">
        <f t="shared" si="35"/>
        <v>1</v>
      </c>
      <c r="O62" s="169">
        <v>1.0</v>
      </c>
      <c r="P62" s="134">
        <v>1.0</v>
      </c>
      <c r="Q62" s="168">
        <f t="shared" si="31"/>
        <v>132.23</v>
      </c>
      <c r="R62" s="136" t="str">
        <f>IFERROR(
  IF(B62="", "", VLOOKUP(B62, Data!$B$2:$K$905, 9, FALSE)),
  ""
)</f>
        <v/>
      </c>
      <c r="S62" s="152">
        <f t="shared" si="32"/>
        <v>0</v>
      </c>
      <c r="T62" s="690"/>
      <c r="U62" s="136" t="str">
        <f>IFERROR(
  IF(B62="", "", VLOOKUP(B62, Data!$B$2:$K$905, 10, FALSE)),
  ""
)
</f>
        <v/>
      </c>
      <c r="V62" s="691"/>
      <c r="W62" s="140">
        <f t="shared" si="33"/>
        <v>0</v>
      </c>
      <c r="X62" s="692"/>
      <c r="Y62" s="595"/>
      <c r="Z62" s="595"/>
      <c r="AA62" s="595"/>
      <c r="AB62" s="354">
        <f t="shared" si="34"/>
        <v>0</v>
      </c>
      <c r="AC62" s="181"/>
      <c r="AD62" s="625"/>
      <c r="AE62" s="626"/>
      <c r="AF62" s="696"/>
      <c r="AG62" s="697"/>
      <c r="AH62" s="629"/>
      <c r="AI62" s="187"/>
      <c r="AJ62" s="630"/>
      <c r="AK62" s="630"/>
      <c r="AL62" s="595"/>
      <c r="AM62" s="595"/>
      <c r="AN62" s="595"/>
      <c r="AO62" s="595"/>
      <c r="AP62" s="595"/>
      <c r="AQ62" s="595"/>
      <c r="AR62" s="595"/>
      <c r="AS62" s="595"/>
      <c r="AT62" s="595"/>
      <c r="AU62" s="595"/>
      <c r="AV62" s="595"/>
      <c r="AW62" s="595"/>
      <c r="AX62" s="595"/>
      <c r="AY62" s="595"/>
      <c r="AZ62" s="595"/>
      <c r="BA62" s="595"/>
      <c r="BB62" s="595"/>
      <c r="BC62" s="595"/>
      <c r="BD62" s="595"/>
      <c r="BE62" s="595"/>
      <c r="BF62" s="595"/>
      <c r="BG62" s="595"/>
      <c r="BH62" s="595"/>
      <c r="BI62" s="651"/>
      <c r="BJ62" s="651"/>
      <c r="BK62" s="651"/>
      <c r="BL62" s="651"/>
      <c r="BM62" s="651"/>
      <c r="BN62" s="651"/>
      <c r="BO62" s="651"/>
      <c r="BP62" s="651"/>
      <c r="BQ62" s="651"/>
      <c r="BR62" s="651"/>
      <c r="BS62" s="651"/>
      <c r="BT62" s="651"/>
    </row>
    <row r="63">
      <c r="A63" s="631"/>
      <c r="B63" s="154"/>
      <c r="C63" s="734"/>
      <c r="D63" s="124"/>
      <c r="E63" s="722"/>
      <c r="F63" s="721"/>
      <c r="G63" s="158"/>
      <c r="H63" s="700"/>
      <c r="I63" s="700"/>
      <c r="J63" s="126"/>
      <c r="K63" s="126"/>
      <c r="L63" s="712"/>
      <c r="M63" s="150"/>
      <c r="N63" s="151"/>
      <c r="O63" s="169"/>
      <c r="P63" s="134"/>
      <c r="Q63" s="168"/>
      <c r="R63" s="136"/>
      <c r="S63" s="152"/>
      <c r="T63" s="690"/>
      <c r="U63" s="136"/>
      <c r="V63" s="691"/>
      <c r="W63" s="140"/>
      <c r="X63" s="692"/>
      <c r="Y63" s="595"/>
      <c r="Z63" s="595"/>
      <c r="AA63" s="595"/>
      <c r="AB63" s="354"/>
      <c r="AC63" s="181"/>
      <c r="AD63" s="625"/>
      <c r="AE63" s="626"/>
      <c r="AF63" s="696"/>
      <c r="AG63" s="697"/>
      <c r="AH63" s="629"/>
      <c r="AI63" s="187"/>
      <c r="AJ63" s="630"/>
      <c r="AK63" s="630"/>
      <c r="AL63" s="595"/>
      <c r="AM63" s="595"/>
      <c r="AN63" s="595"/>
      <c r="AO63" s="595"/>
      <c r="AP63" s="595"/>
      <c r="AQ63" s="595"/>
      <c r="AR63" s="595"/>
      <c r="AS63" s="595"/>
      <c r="AT63" s="595"/>
      <c r="AU63" s="595"/>
      <c r="AV63" s="595"/>
      <c r="AW63" s="595"/>
      <c r="AX63" s="595"/>
      <c r="AY63" s="595"/>
      <c r="AZ63" s="595"/>
      <c r="BA63" s="595"/>
      <c r="BB63" s="595"/>
      <c r="BC63" s="595"/>
      <c r="BD63" s="595"/>
      <c r="BE63" s="595"/>
      <c r="BF63" s="595"/>
      <c r="BG63" s="595"/>
      <c r="BH63" s="595"/>
      <c r="BI63" s="651"/>
      <c r="BJ63" s="651"/>
      <c r="BK63" s="651"/>
      <c r="BL63" s="651"/>
      <c r="BM63" s="651"/>
      <c r="BN63" s="651"/>
      <c r="BO63" s="651"/>
      <c r="BP63" s="651"/>
      <c r="BQ63" s="651"/>
      <c r="BR63" s="651"/>
      <c r="BS63" s="651"/>
      <c r="BT63" s="651"/>
    </row>
    <row r="64">
      <c r="A64" s="716" t="s">
        <v>435</v>
      </c>
      <c r="B64" s="154" t="s">
        <v>455</v>
      </c>
      <c r="C64" s="698" t="s">
        <v>456</v>
      </c>
      <c r="D64" s="239" t="s">
        <v>457</v>
      </c>
      <c r="E64" s="722"/>
      <c r="F64" s="721"/>
      <c r="G64" s="701"/>
      <c r="H64" s="700"/>
      <c r="I64" s="712"/>
      <c r="J64" s="701"/>
      <c r="K64" s="701"/>
      <c r="L64" s="712"/>
      <c r="M64" s="150">
        <f>ROUNDUP(M58/0.8,0)+1</f>
        <v>167</v>
      </c>
      <c r="N64" s="151">
        <f>N62</f>
        <v>1</v>
      </c>
      <c r="O64" s="169">
        <v>1.0</v>
      </c>
      <c r="P64" s="134">
        <v>1.0</v>
      </c>
      <c r="Q64" s="168">
        <f t="shared" ref="Q64:Q65" si="36">M64*N64*O64*P64</f>
        <v>167</v>
      </c>
      <c r="R64" s="681" t="str">
        <f>IFERROR(
  IF(B64="", "", VLOOKUP(B64, Data!$B$2:$K$905, 9, FALSE)),
  ""
)</f>
        <v/>
      </c>
      <c r="S64" s="152">
        <f t="shared" ref="S64:S65" si="37">R64*Q64</f>
        <v>0</v>
      </c>
      <c r="T64" s="690"/>
      <c r="U64" s="681" t="str">
        <f>IFERROR(
  IF(B64="", "", VLOOKUP(B64, Data!$B$2:$K$905, 10, FALSE)),
  ""
)
</f>
        <v/>
      </c>
      <c r="V64" s="691"/>
      <c r="W64" s="140">
        <f t="shared" ref="W64:W65" si="38">U64*Q64</f>
        <v>0</v>
      </c>
      <c r="X64" s="692"/>
      <c r="Y64" s="595"/>
      <c r="Z64" s="595"/>
      <c r="AA64" s="595"/>
      <c r="AB64" s="595"/>
      <c r="AC64" s="181"/>
      <c r="AD64" s="625"/>
      <c r="AE64" s="626"/>
      <c r="AF64" s="696"/>
      <c r="AG64" s="697"/>
      <c r="AH64" s="629"/>
      <c r="AI64" s="187"/>
      <c r="AJ64" s="630"/>
      <c r="AK64" s="630"/>
      <c r="AL64" s="595"/>
      <c r="AM64" s="595"/>
      <c r="AN64" s="595"/>
      <c r="AO64" s="595"/>
      <c r="AP64" s="595"/>
      <c r="AQ64" s="595"/>
      <c r="AR64" s="595"/>
      <c r="AS64" s="595"/>
      <c r="AT64" s="595"/>
      <c r="AU64" s="595"/>
      <c r="AV64" s="595"/>
      <c r="AW64" s="595"/>
      <c r="AX64" s="595"/>
      <c r="AY64" s="595"/>
      <c r="AZ64" s="595"/>
      <c r="BA64" s="595"/>
      <c r="BB64" s="595"/>
      <c r="BC64" s="595"/>
      <c r="BD64" s="595"/>
      <c r="BE64" s="595"/>
      <c r="BF64" s="595"/>
      <c r="BG64" s="595"/>
      <c r="BH64" s="595"/>
      <c r="BI64" s="651"/>
      <c r="BJ64" s="651"/>
      <c r="BK64" s="651"/>
      <c r="BL64" s="651"/>
      <c r="BM64" s="651"/>
      <c r="BN64" s="651"/>
      <c r="BO64" s="651"/>
      <c r="BP64" s="651"/>
      <c r="BQ64" s="651"/>
      <c r="BR64" s="651"/>
      <c r="BS64" s="651"/>
      <c r="BT64" s="651"/>
    </row>
    <row r="65">
      <c r="A65" s="631"/>
      <c r="B65" s="154" t="str">
        <f>IFERROR(__xludf.DUMMYFUNCTION("IFERROR(
  IF(C65="""","""",
    IF(OR(REGEXMATCH(D65,""(?i)-Flashing""), REGEXMATCH(D65,""(?i)-EavesGut""), REGEXMATCH(D65,""(?i)Valley"")),
        ""DR"" &amp;
        TEXT(
            ROUNDUP(
                MIN(
                    VALUE(MID(C65, FIND("&amp;"""("",C65)+1, FIND(""/"",C65)-FIND(""("",C65)-1)),
                    1200
                ) / 50, 0
            ) * 50, ""0""
        ) &amp;
        MID(C65, FIND(""/"",C65)+1, FIND("")"",C65)-FIND(""/"",C65)-1) &amp;
        TEXT(H65*100,""0"") &amp;
        I65,"&amp;"
    IF(AND(D65=""Roof Sheet"", REGEXMATCH(C65,""(?i)KS\d{4}[A-Z]{2}"")),
       REGEXEXTRACT(C65,""(?i)KS\d{4}[A-Z]{2}""),
    IF(AND(REGEXMATCH(D65,""(?i)-DP""), REGEXMATCH(C65,""(?i)Downpipe"")),
       ""dp"" &amp; REGEXEXTRACT(C65,""(\d+)"") &amp; ""mm"",
  "&amp;"  IF(AND(REGEXMATCH(D65,""(?i)Bracket""), REGEXMATCH(C65,""(?i)Bracket"")),
       ""Brkt"" &amp; REGEXEXTRACT(C65,""(\d+)"") &amp; ""mm"",
    IF(AND(REGEXMATCH(D65,""(?i)-OP""), REGEXMATCH(C65,""(?i)pops"")),
       ""op"" &amp; REGEXEXTRACT(C65,""(\d+)"") &amp; ""mm"""&amp;",
    IF(OR(D65=""R-FFTop"", D65=""R-FFBottom"", D65=""R-FFSide""),
        IF(REGEXMATCH(C65,""(?i)Profiled.*Top|Top.*Profiled""),""pfft"",
        IF(REGEXMATCH(C65,""(?i)Profiled.*Bottom|Bottom.*Profiled""),""pffb"",
        IF(REGEXMATCH(C65,""(?i)Squ"&amp;"are""),""sff"",""""))),
    IF(REGEXMATCH(D65,""(?i)-Rivets""),""Rvt"",
    IF(REGEXMATCH(D65,""(?i)Silicone""),""300ml"",
    IF(REGEXMATCH(D65,""(?i)R-Butyl""),""300ml"",
    IF(REGEXMATCH(D65,""(?i)Fix""),""GenFix"",
    IF(AND(REGEXMATCH(C65,""(?i)Tim"&amp;"ber""), REGEXMATCH(D65,""(?i)Timber"")),""tp"",
    IF(AND(REGEXMATCH(C65,""(?i)Vent G1275""), REGEXMATCH(D65,""(?i)Comb FIller"")),""CFV1275"",
    IF(REGEXMATCH(C65,""(?i)DPC""),""dpc"",
    IF(REGEXMATCH(C65,""(?i)Concealed Clips""),""ConClips"",
    I"&amp;"F(REGEXMATCH(D65,""(?i)-Takeoff ea""),""Takeoff ea"",
    IF(REGEXMATCH(D65,""(?i)-Takeoff LM""),""Takeoff LM"",
    IF(REGEXMATCH(D65,""(?i)-Takeoff m2""),""Takeoff m2"",
    IF(D65=""R-TU/TD"",""TU/TD"","""")))))))))))))))))
  )))"),"GenFix")</f>
        <v>GenFix</v>
      </c>
      <c r="C65" s="698" t="s">
        <v>102</v>
      </c>
      <c r="D65" s="124" t="s">
        <v>103</v>
      </c>
      <c r="E65" s="722"/>
      <c r="F65" s="721"/>
      <c r="G65" s="158"/>
      <c r="H65" s="700"/>
      <c r="I65" s="700"/>
      <c r="J65" s="126" t="s">
        <v>87</v>
      </c>
      <c r="K65" s="126" t="str">
        <f>IFERROR(
  IF(B65="", "", VLOOKUP(B65, Data!$B$2:$K$905, 7, FALSE)),
  ""
)</f>
        <v/>
      </c>
      <c r="L65" s="712"/>
      <c r="M65" s="150">
        <f>ROUNDUP(M64/0.6,0)+1</f>
        <v>280</v>
      </c>
      <c r="N65" s="151">
        <f>N64</f>
        <v>1</v>
      </c>
      <c r="O65" s="169">
        <v>1.0</v>
      </c>
      <c r="P65" s="134">
        <v>2.0</v>
      </c>
      <c r="Q65" s="168">
        <f t="shared" si="36"/>
        <v>560</v>
      </c>
      <c r="R65" s="136" t="str">
        <f>IFERROR(
  IF(B65="", "", VLOOKUP(B65, Data!$B$2:$K$905, 9, FALSE)),
  ""
)</f>
        <v/>
      </c>
      <c r="S65" s="152">
        <f t="shared" si="37"/>
        <v>0</v>
      </c>
      <c r="T65" s="690"/>
      <c r="U65" s="136" t="str">
        <f>IFERROR(
  IF(B65="", "", VLOOKUP(B65, Data!$B$2:$K$905, 10, FALSE)),
  ""
)
</f>
        <v/>
      </c>
      <c r="V65" s="691"/>
      <c r="W65" s="140">
        <f t="shared" si="38"/>
        <v>0</v>
      </c>
      <c r="X65" s="692"/>
      <c r="Y65" s="595"/>
      <c r="Z65" s="595"/>
      <c r="AA65" s="595"/>
      <c r="AB65" s="354">
        <f t="shared" ref="AB65:AB66" si="39">W65+S65</f>
        <v>0</v>
      </c>
      <c r="AC65" s="181"/>
      <c r="AD65" s="625"/>
      <c r="AE65" s="626"/>
      <c r="AF65" s="696"/>
      <c r="AG65" s="697"/>
      <c r="AH65" s="629"/>
      <c r="AI65" s="187"/>
      <c r="AJ65" s="630"/>
      <c r="AK65" s="630"/>
      <c r="AL65" s="595"/>
      <c r="AM65" s="595"/>
      <c r="AN65" s="595"/>
      <c r="AO65" s="595"/>
      <c r="AP65" s="595"/>
      <c r="AQ65" s="595"/>
      <c r="AR65" s="595"/>
      <c r="AS65" s="595"/>
      <c r="AT65" s="595"/>
      <c r="AU65" s="595"/>
      <c r="AV65" s="595"/>
      <c r="AW65" s="595"/>
      <c r="AX65" s="595"/>
      <c r="AY65" s="595"/>
      <c r="AZ65" s="595"/>
      <c r="BA65" s="595"/>
      <c r="BB65" s="595"/>
      <c r="BC65" s="595"/>
      <c r="BD65" s="595"/>
      <c r="BE65" s="595"/>
      <c r="BF65" s="595"/>
      <c r="BG65" s="595"/>
      <c r="BH65" s="595"/>
      <c r="BI65" s="651"/>
      <c r="BJ65" s="651"/>
      <c r="BK65" s="651"/>
      <c r="BL65" s="651"/>
      <c r="BM65" s="651"/>
      <c r="BN65" s="651"/>
      <c r="BO65" s="651"/>
      <c r="BP65" s="651"/>
      <c r="BQ65" s="651"/>
      <c r="BR65" s="651"/>
      <c r="BS65" s="651"/>
      <c r="BT65" s="651"/>
    </row>
    <row r="66">
      <c r="A66" s="631"/>
      <c r="B66" s="154"/>
      <c r="C66" s="123"/>
      <c r="D66" s="124"/>
      <c r="E66" s="687"/>
      <c r="F66" s="699"/>
      <c r="G66" s="225"/>
      <c r="H66" s="128"/>
      <c r="I66" s="128"/>
      <c r="J66" s="126"/>
      <c r="K66" s="126"/>
      <c r="L66" s="704"/>
      <c r="M66" s="730"/>
      <c r="N66" s="151"/>
      <c r="O66" s="169"/>
      <c r="P66" s="134"/>
      <c r="Q66" s="168"/>
      <c r="R66" s="136"/>
      <c r="S66" s="152"/>
      <c r="T66" s="690"/>
      <c r="U66" s="136"/>
      <c r="V66" s="691"/>
      <c r="W66" s="140"/>
      <c r="X66" s="692"/>
      <c r="Y66" s="693"/>
      <c r="Z66" s="731"/>
      <c r="AA66" s="595"/>
      <c r="AB66" s="354">
        <f t="shared" si="39"/>
        <v>0</v>
      </c>
      <c r="AC66" s="181"/>
      <c r="AD66" s="625"/>
      <c r="AE66" s="626"/>
      <c r="AF66" s="696"/>
      <c r="AG66" s="697"/>
      <c r="AH66" s="629"/>
      <c r="AI66" s="187"/>
      <c r="AJ66" s="630"/>
      <c r="AK66" s="630"/>
      <c r="AL66" s="595"/>
      <c r="AM66" s="595"/>
      <c r="AN66" s="595"/>
      <c r="AO66" s="595"/>
      <c r="AP66" s="595"/>
      <c r="AQ66" s="595"/>
      <c r="AR66" s="595"/>
      <c r="AS66" s="595"/>
      <c r="AT66" s="595"/>
      <c r="AU66" s="595"/>
      <c r="AV66" s="595"/>
      <c r="AW66" s="595"/>
      <c r="AX66" s="595"/>
      <c r="AY66" s="595"/>
      <c r="AZ66" s="595"/>
      <c r="BA66" s="595"/>
      <c r="BB66" s="595"/>
      <c r="BC66" s="595"/>
      <c r="BD66" s="595"/>
      <c r="BE66" s="595"/>
      <c r="BF66" s="595"/>
      <c r="BG66" s="595"/>
      <c r="BH66" s="595"/>
      <c r="BI66" s="651"/>
      <c r="BJ66" s="651"/>
      <c r="BK66" s="651"/>
      <c r="BL66" s="651"/>
      <c r="BM66" s="651"/>
      <c r="BN66" s="651"/>
      <c r="BO66" s="651"/>
      <c r="BP66" s="651"/>
      <c r="BQ66" s="651"/>
      <c r="BR66" s="651"/>
      <c r="BS66" s="651"/>
      <c r="BT66" s="651"/>
    </row>
    <row r="67">
      <c r="A67" s="631">
        <v>1.0</v>
      </c>
      <c r="B67" s="727"/>
      <c r="C67" s="103" t="s">
        <v>458</v>
      </c>
      <c r="D67" s="192"/>
      <c r="E67" s="679"/>
      <c r="F67" s="677"/>
      <c r="G67" s="157"/>
      <c r="H67" s="678"/>
      <c r="I67" s="678"/>
      <c r="J67" s="678"/>
      <c r="K67" s="678" t="s">
        <v>42</v>
      </c>
      <c r="L67" s="106">
        <f>Q67</f>
        <v>4.005489384</v>
      </c>
      <c r="M67" s="679" t="s">
        <v>42</v>
      </c>
      <c r="N67" s="680" t="s">
        <v>42</v>
      </c>
      <c r="O67" s="679"/>
      <c r="P67" s="678"/>
      <c r="Q67" s="106">
        <f>Q68</f>
        <v>4.005489384</v>
      </c>
      <c r="R67" s="136" t="str">
        <f>IFERROR(
  IF(B67="", "", VLOOKUP(B67, Data!$B$2:$K$905, 9, FALSE)),
  ""
)</f>
        <v/>
      </c>
      <c r="S67" s="109">
        <f>T67/Q67</f>
        <v>0</v>
      </c>
      <c r="T67" s="109">
        <f>SUM(S68:S73)</f>
        <v>0</v>
      </c>
      <c r="U67" s="136" t="str">
        <f>IFERROR(
  IF(B67="", "", VLOOKUP(B67, Data!$B$2:$K$905, 10, FALSE)),
  ""
)
</f>
        <v/>
      </c>
      <c r="V67" s="109">
        <f>W67/Q67</f>
        <v>0</v>
      </c>
      <c r="W67" s="110">
        <f>SUM(W68:W73)</f>
        <v>0</v>
      </c>
      <c r="X67" s="111" t="str">
        <f>W67/$AC$758/$W$765/$X$755</f>
        <v>#REF!</v>
      </c>
      <c r="Y67" s="112" t="b">
        <f>(T67+W67)=(SUM(AB68:AB73))</f>
        <v>1</v>
      </c>
      <c r="Z67" s="113">
        <f>(T67+W67)-(SUM(AB68:AB73))</f>
        <v>0</v>
      </c>
      <c r="AA67" s="595"/>
      <c r="AB67" s="595"/>
      <c r="AC67" s="181"/>
      <c r="AD67" s="114">
        <f>W67+T67</f>
        <v>0</v>
      </c>
      <c r="AE67" s="115">
        <f>AD67</f>
        <v>0</v>
      </c>
      <c r="AF67" s="116" t="str">
        <f>AE67/$AE$733</f>
        <v>#REF!</v>
      </c>
      <c r="AG67" s="683" t="str">
        <f>AF67*$AG$740</f>
        <v>#REF!</v>
      </c>
      <c r="AH67" s="118" t="str">
        <f>AF67*$AG$743</f>
        <v>#REF!</v>
      </c>
      <c r="AI67" s="187"/>
      <c r="AJ67" s="119" t="str">
        <f>ROUND(AK67/L67,2)</f>
        <v>#REF!</v>
      </c>
      <c r="AK67" s="119" t="str">
        <f>ROUND(AH67+AG67+AD67,2)</f>
        <v>#REF!</v>
      </c>
      <c r="AL67" s="595"/>
      <c r="AM67" s="595"/>
      <c r="AN67" s="595"/>
      <c r="AO67" s="595"/>
      <c r="AP67" s="595"/>
      <c r="AQ67" s="595"/>
      <c r="AR67" s="595"/>
      <c r="AS67" s="595"/>
      <c r="AT67" s="595"/>
      <c r="AU67" s="595"/>
      <c r="AV67" s="595"/>
      <c r="AW67" s="595"/>
      <c r="AX67" s="595"/>
      <c r="AY67" s="595"/>
      <c r="AZ67" s="595"/>
      <c r="BA67" s="595"/>
      <c r="BB67" s="595"/>
      <c r="BC67" s="595"/>
      <c r="BD67" s="595"/>
      <c r="BE67" s="595"/>
      <c r="BF67" s="595"/>
      <c r="BG67" s="595"/>
      <c r="BH67" s="595"/>
      <c r="BI67" s="651"/>
      <c r="BJ67" s="651"/>
      <c r="BK67" s="651"/>
      <c r="BL67" s="651"/>
      <c r="BM67" s="651"/>
      <c r="BN67" s="651"/>
      <c r="BO67" s="651"/>
      <c r="BP67" s="651"/>
      <c r="BQ67" s="651"/>
      <c r="BR67" s="651"/>
      <c r="BS67" s="651"/>
      <c r="BT67" s="651"/>
    </row>
    <row r="68">
      <c r="A68" s="716" t="s">
        <v>444</v>
      </c>
      <c r="B68" s="154" t="str">
        <f>IFERROR(__xludf.DUMMYFUNCTION("IFERROR(
  IF(C68="""","""",
    IF(OR(REGEXMATCH(D68,""(?i)-Flashing""), REGEXMATCH(D68,""(?i)-EavesGut""), REGEXMATCH(D68,""(?i)Valley"")),
        ""DR"" &amp;
        TEXT(
            ROUNDUP(
                VALUE(MID(C68, FIND(""("",C68)+1, FIND(""/"","&amp;"C68)-FIND(""("",C68)-1)) / 50,
            0) * 50, ""0""
        ) &amp;
        MID(C68, FIND(""/"",C68)+1, FIND("")"",C68)-FIND(""/"",C68)-1) &amp;
        TEXT(H68*100,""0"") &amp;
        I68,
    IF(AND(D68=""Roof Sheet"", REGEXMATCH(C68,""(?i)KS\d{4}[A-Z]{2}"""&amp;")),
       REGEXEXTRACT(C68,""(?i)KS\d{4}[A-Z]{2}""),
    IF(AND(REGEXMATCH(D68,""(?i)-DP""), REGEXMATCH(C68,""(?i)Downpipe"")),
       ""dp"" &amp; REGEXEXTRACT(C68,""(\d+)"") &amp; ""mm"",
    IF(AND(REGEXMATCH(D68,""(?i)Bracket""), REGEXMATCH(C68,""(?i)Bracket"&amp;""")),
       ""Brkt"" &amp; REGEXEXTRACT(C68,""(\d+)"") &amp; ""mm"",
    IF(AND(REGEXMATCH(D68,""(?i)-OP""), REGEXMATCH(C68,""(?i)pops"")),
       ""op"" &amp; REGEXEXTRACT(C68,""(\d+)"") &amp; ""mm"",
    IF(OR(D68=""R-FFTop"", D68=""R-FFBottom"", D68=""R-FFSide""),
  "&amp;"      IF(REGEXMATCH(C68,""(?i)Profiled.*Top|Top.*Profiled""),""pfft"",
        IF(REGEXMATCH(C68,""(?i)Profiled.*Bottom|Bottom.*Profiled""),""pffb"",
        IF(REGEXMATCH(C68,""(?i)Square""),""sff"",""""))),
    IF(REGEXMATCH(D68,""(?i)-Rivets""),""Rvt"""&amp;",
    IF(REGEXMATCH(D68,""(?i)Silicone""),""300ml"",
    IF(REGEXMATCH(D68,""(?i)R-Butyl""),""300ml"",
    IF(REGEXMATCH(D68,""(?i)Fix""),""GenFix"",
    IF(AND(REGEXMATCH(C68,""(?i)Timber""), REGEXMATCH(D68,""(?i)Timber"")),""tp"",
    IF(AND(REGEXMATCH("&amp;"C68,""(?i)Vent G1275""), REGEXMATCH(D68,""(?i)Comb FIller"")),""CFV1275"",
    IF(REGEXMATCH(C68,""(?i)DPC""),""dpc"",
    IF(REGEXMATCH(C68,""(?i)Concealed Clips""),""ConClips"",
    IF(REGEXMATCH(D68,""(?i)-Takeoff ea""),""Takeoff ea"",
    IF(REGEXMATC"&amp;"H(D68,""(?i)-Takeoff LM""),""Takeoff LM"",
    IF(REGEXMATCH(D68,""(?i)-Takeoff m2""),""Takeoff m2"",
    IF(D68=""R-TU/TD"",""TU/TD"","""")))))))))))))))))
  )))"),"DR21002B55Mag")</f>
        <v>DR21002B55Mag</v>
      </c>
      <c r="C68" s="123" t="s">
        <v>459</v>
      </c>
      <c r="D68" s="202" t="s">
        <v>96</v>
      </c>
      <c r="E68" s="168">
        <f>VALUE(MID(C68, FIND("(", C68)+1, FIND("/", C68)-FIND("(", C68)-1)) / 1000</f>
        <v>2.1</v>
      </c>
      <c r="F68" s="699"/>
      <c r="G68" s="689" t="s">
        <v>429</v>
      </c>
      <c r="H68" s="128" t="str">
        <f>IFERROR(__xludf.DUMMYFUNCTION("IFERROR(REGEXEXTRACT(C68, ""(\d*\.\d+)mm""), """")"),"0.55")</f>
        <v>0.55</v>
      </c>
      <c r="I68" s="128" t="s">
        <v>97</v>
      </c>
      <c r="J68" s="126" t="s">
        <v>14</v>
      </c>
      <c r="K68" s="126" t="s">
        <v>55</v>
      </c>
      <c r="L68" s="135"/>
      <c r="M68" s="730">
        <v>4.0</v>
      </c>
      <c r="N68" s="151">
        <f>IFERROR(__xludf.DUMMYFUNCTION("IF(
  AND(
    IFERROR(REGEXEXTRACT(C68,""@\s*(\d+(?:\.\d+)?)\s*deg""),"""")&lt;&gt;"""",
    F68&lt;&gt;""""
  ),
  ""Pls Confirm °"",
  IF(
    IFERROR(REGEXEXTRACT(C68,""@\s*(\d+(?:\.\d+)?)\s*deg""),"""")&lt;&gt;"""",
    1/COS(RADIANS(REGEXEXTRACT(C68,""@\s*(\d+(?:\.\d"&amp;"+)?)\s*deg""))),
    IF(
      F68&lt;&gt;"""",
      IF(
        ISNUMBER(SEARCH(""|"",F68)),
        1/COS(
          ATAN(
            TAN(RADIANS(VALUE(INDEX(SPLIT(F68,""|""),1)))) *
            TAN(RADIANS(VALUE(INDEX(SPLIT(F68,""|""),2))))
            /
 "&amp;"           SQRT(
              TAN(RADIANS(VALUE(INDEX(SPLIT(F68,""|""),1))))^2 +
              TAN(RADIANS(VALUE(INDEX(SPLIT(F68,""|""),2))))^2
            )
          )
        ),
        1/COS(RADIANS(VALUE(F68)))
      ),
      1
    )
  )
)"),1.001372345997921)</f>
        <v>1.001372346</v>
      </c>
      <c r="O68" s="169">
        <v>1.0</v>
      </c>
      <c r="P68" s="156">
        <v>1.0</v>
      </c>
      <c r="Q68" s="168">
        <f t="shared" ref="Q68:Q73" si="40">M68*N68*O68*P68</f>
        <v>4.005489384</v>
      </c>
      <c r="R68" s="136" t="str">
        <f>IFERROR(
  IF(B68="", "", VLOOKUP(B68, Data!$B$2:$K$905, 9, FALSE)),
  ""
)</f>
        <v/>
      </c>
      <c r="S68" s="137">
        <f t="shared" ref="S68:S73" si="41">R68*Q68</f>
        <v>0</v>
      </c>
      <c r="T68" s="690"/>
      <c r="U68" s="136" t="str">
        <f>IFERROR(
  IF(B68="", "", VLOOKUP(B68, Data!$B$2:$K$905, 10, FALSE)),
  ""
)
</f>
        <v/>
      </c>
      <c r="V68" s="691"/>
      <c r="W68" s="140">
        <f t="shared" ref="W68:W73" si="42">U68*Q68</f>
        <v>0</v>
      </c>
      <c r="X68" s="693"/>
      <c r="Y68" s="595"/>
      <c r="Z68" s="595"/>
      <c r="AA68" s="595"/>
      <c r="AB68" s="354">
        <f t="shared" ref="AB68:AB73" si="43">W68+S68</f>
        <v>0</v>
      </c>
      <c r="AC68" s="181"/>
      <c r="AD68" s="625"/>
      <c r="AE68" s="626"/>
      <c r="AF68" s="696"/>
      <c r="AG68" s="697"/>
      <c r="AH68" s="629"/>
      <c r="AI68" s="187"/>
      <c r="AJ68" s="630"/>
      <c r="AK68" s="630"/>
      <c r="AL68" s="595"/>
      <c r="AM68" s="595"/>
      <c r="AN68" s="595"/>
      <c r="AO68" s="595"/>
      <c r="AP68" s="595"/>
      <c r="AQ68" s="595"/>
      <c r="AR68" s="595"/>
      <c r="AS68" s="595"/>
      <c r="AT68" s="595"/>
      <c r="AU68" s="595"/>
      <c r="AV68" s="595"/>
      <c r="AW68" s="595"/>
      <c r="AX68" s="595"/>
      <c r="AY68" s="595"/>
      <c r="AZ68" s="595"/>
      <c r="BA68" s="595"/>
      <c r="BB68" s="595"/>
      <c r="BC68" s="595"/>
      <c r="BD68" s="595"/>
      <c r="BE68" s="595"/>
      <c r="BF68" s="595"/>
      <c r="BG68" s="595"/>
      <c r="BH68" s="595"/>
      <c r="BI68" s="651"/>
      <c r="BJ68" s="651"/>
      <c r="BK68" s="651"/>
      <c r="BL68" s="651"/>
      <c r="BM68" s="651"/>
      <c r="BN68" s="651"/>
      <c r="BO68" s="651"/>
      <c r="BP68" s="651"/>
      <c r="BQ68" s="651"/>
      <c r="BR68" s="651"/>
      <c r="BS68" s="651"/>
      <c r="BT68" s="651"/>
    </row>
    <row r="69">
      <c r="A69" s="631"/>
      <c r="B69" s="154" t="str">
        <f>IFERROR(__xludf.DUMMYFUNCTION("IFERROR(
  IF(C69="""","""",
    IF(OR(REGEXMATCH(D69,""(?i)-Flashing""), REGEXMATCH(D69,""(?i)-EavesGut""), REGEXMATCH(D69,""(?i)Valley"")),
        ""DR"" &amp;
        TEXT(
            ROUNDUP(
                MIN(
                    VALUE(MID(C69, FIND("&amp;"""("",C69)+1, FIND(""/"",C69)-FIND(""("",C69)-1)),
                    1200
                ) / 50, 0
            ) * 50, ""0""
        ) &amp;
        MID(C69, FIND(""/"",C69)+1, FIND("")"",C69)-FIND(""/"",C69)-1) &amp;
        TEXT(H69*100,""0"") &amp;
        I69,"&amp;"
    IF(AND(D69=""Roof Sheet"", REGEXMATCH(C69,""(?i)KS\d{4}[A-Z]{2}"")),
       REGEXEXTRACT(C69,""(?i)KS\d{4}[A-Z]{2}""),
    IF(AND(REGEXMATCH(D69,""(?i)-DP""), REGEXMATCH(C69,""(?i)Downpipe"")),
       ""dp"" &amp; REGEXEXTRACT(C69,""(\d+)"") &amp; ""mm"",
  "&amp;"  IF(AND(REGEXMATCH(D69,""(?i)Bracket""), REGEXMATCH(C69,""(?i)Bracket"")),
       ""Brkt"" &amp; REGEXEXTRACT(C69,""(\d+)"") &amp; ""mm"",
    IF(AND(REGEXMATCH(D69,""(?i)-OP""), REGEXMATCH(C69,""(?i)pops"")),
       ""op"" &amp; REGEXEXTRACT(C69,""(\d+)"") &amp; ""mm"""&amp;",
    IF(OR(D69=""R-FFTop"", D69=""R-FFBottom"", D69=""R-FFSide""),
        IF(REGEXMATCH(C69,""(?i)Profiled.*Top|Top.*Profiled""),""pfft"",
        IF(REGEXMATCH(C69,""(?i)Profiled.*Bottom|Bottom.*Profiled""),""pffb"",
        IF(REGEXMATCH(C69,""(?i)Squ"&amp;"are""),""sff"",""""))),
    IF(REGEXMATCH(D69,""(?i)-Rivets""),""Rvt"",
    IF(REGEXMATCH(D69,""(?i)Silicone""),""300ml"",
    IF(REGEXMATCH(D69,""(?i)R-Butyl""),""300ml"",
    IF(REGEXMATCH(D69,""(?i)Fix""),""GenFix"",
    IF(AND(REGEXMATCH(C69,""(?i)Tim"&amp;"ber""), REGEXMATCH(D69,""(?i)Timber"")),""tp"",
    IF(AND(REGEXMATCH(C69,""(?i)Vent G1275""), REGEXMATCH(D69,""(?i)Comb FIller"")),""CFV1275"",
    IF(REGEXMATCH(C69,""(?i)DPC""),""dpc"",
    IF(REGEXMATCH(C69,""(?i)Concealed Clips""),""ConClips"",
    I"&amp;"F(REGEXMATCH(D69,""(?i)-Takeoff ea""),""Takeoff ea"",
    IF(REGEXMATCH(D69,""(?i)-Takeoff LM""),""Takeoff LM"",
    IF(REGEXMATCH(D69,""(?i)-Takeoff m2""),""Takeoff m2"",
    IF(D69=""R-TU/TD"",""TU/TD"","""")))))))))))))))))
  )))"),"300ml")</f>
        <v>300ml</v>
      </c>
      <c r="C69" s="734" t="s">
        <v>98</v>
      </c>
      <c r="D69" s="202" t="s">
        <v>99</v>
      </c>
      <c r="E69" s="168">
        <f>E68</f>
        <v>2.1</v>
      </c>
      <c r="F69" s="699"/>
      <c r="G69" s="225"/>
      <c r="H69" s="700" t="str">
        <f>IFERROR(__xludf.DUMMYFUNCTION("IFERROR(REGEXEXTRACT(C69, ""(\d*\.\d+)mm""), """")"),"")</f>
        <v/>
      </c>
      <c r="I69" s="700"/>
      <c r="J69" s="126" t="s">
        <v>87</v>
      </c>
      <c r="K69" s="128" t="s">
        <v>52</v>
      </c>
      <c r="L69" s="135"/>
      <c r="M69" s="150">
        <f>(ROUNDDOWN((M68/5.7)+2,0)*E69)/8</f>
        <v>0.525</v>
      </c>
      <c r="N69" s="151">
        <f t="shared" ref="N69:N72" si="44">N68</f>
        <v>1.001372346</v>
      </c>
      <c r="O69" s="169">
        <v>1.0</v>
      </c>
      <c r="P69" s="134">
        <f t="shared" ref="P69:P71" si="45">P68</f>
        <v>1</v>
      </c>
      <c r="Q69" s="168">
        <f t="shared" si="40"/>
        <v>0.5257204816</v>
      </c>
      <c r="R69" s="136" t="str">
        <f>IFERROR(
  IF(B69="", "", VLOOKUP(B69, Data!$B$2:$K$905, 9, FALSE)),
  ""
)</f>
        <v/>
      </c>
      <c r="S69" s="137">
        <f t="shared" si="41"/>
        <v>0</v>
      </c>
      <c r="T69" s="690"/>
      <c r="U69" s="136" t="str">
        <f>IFERROR(
  IF(B69="", "", VLOOKUP(B69, Data!$B$2:$K$905, 10, FALSE)),
  ""
)
</f>
        <v/>
      </c>
      <c r="V69" s="691"/>
      <c r="W69" s="140">
        <f t="shared" si="42"/>
        <v>0</v>
      </c>
      <c r="X69" s="692"/>
      <c r="Y69" s="595"/>
      <c r="Z69" s="595"/>
      <c r="AA69" s="595"/>
      <c r="AB69" s="354">
        <f t="shared" si="43"/>
        <v>0</v>
      </c>
      <c r="AC69" s="181"/>
      <c r="AD69" s="625"/>
      <c r="AE69" s="626"/>
      <c r="AF69" s="696"/>
      <c r="AG69" s="697"/>
      <c r="AH69" s="629"/>
      <c r="AI69" s="187"/>
      <c r="AJ69" s="630"/>
      <c r="AK69" s="630"/>
      <c r="AL69" s="595"/>
      <c r="AM69" s="595"/>
      <c r="AN69" s="595"/>
      <c r="AO69" s="595"/>
      <c r="AP69" s="595"/>
      <c r="AQ69" s="595"/>
      <c r="AR69" s="595"/>
      <c r="AS69" s="595"/>
      <c r="AT69" s="595"/>
      <c r="AU69" s="595"/>
      <c r="AV69" s="595"/>
      <c r="AW69" s="595"/>
      <c r="AX69" s="595"/>
      <c r="AY69" s="595"/>
      <c r="AZ69" s="595"/>
      <c r="BA69" s="595"/>
      <c r="BB69" s="595"/>
      <c r="BC69" s="595"/>
      <c r="BD69" s="595"/>
      <c r="BE69" s="595"/>
      <c r="BF69" s="595"/>
      <c r="BG69" s="595"/>
      <c r="BH69" s="595"/>
      <c r="BI69" s="651"/>
      <c r="BJ69" s="651"/>
      <c r="BK69" s="651"/>
      <c r="BL69" s="651"/>
      <c r="BM69" s="651"/>
      <c r="BN69" s="651"/>
      <c r="BO69" s="651"/>
      <c r="BP69" s="651"/>
      <c r="BQ69" s="651"/>
      <c r="BR69" s="651"/>
      <c r="BS69" s="651"/>
      <c r="BT69" s="651"/>
    </row>
    <row r="70">
      <c r="A70" s="631"/>
      <c r="B70" s="154" t="str">
        <f>IFERROR(__xludf.DUMMYFUNCTION("IFERROR(
  IF(C70="""","""",
    IF(OR(REGEXMATCH(D70,""(?i)-Flashing""), REGEXMATCH(D70,""(?i)-EavesGut""), REGEXMATCH(D70,""(?i)Valley"")),
        ""DR"" &amp;
        TEXT(
            ROUNDUP(
                MIN(
                    VALUE(MID(C70, FIND("&amp;"""("",C70)+1, FIND(""/"",C70)-FIND(""("",C70)-1)),
                    1200
                ) / 50, 0
            ) * 50, ""0""
        ) &amp;
        MID(C70, FIND(""/"",C70)+1, FIND("")"",C70)-FIND(""/"",C70)-1) &amp;
        TEXT(H70*100,""0"") &amp;
        I70,"&amp;"
    IF(AND(D70=""Roof Sheet"", REGEXMATCH(C70,""(?i)KS\d{4}[A-Z]{2}"")),
       REGEXEXTRACT(C70,""(?i)KS\d{4}[A-Z]{2}""),
    IF(AND(REGEXMATCH(D70,""(?i)-DP""), REGEXMATCH(C70,""(?i)Downpipe"")),
       ""dp"" &amp; REGEXEXTRACT(C70,""(\d+)"") &amp; ""mm"",
  "&amp;"  IF(AND(REGEXMATCH(D70,""(?i)Bracket""), REGEXMATCH(C70,""(?i)Bracket"")),
       ""Brkt"" &amp; REGEXEXTRACT(C70,""(\d+)"") &amp; ""mm"",
    IF(AND(REGEXMATCH(D70,""(?i)-OP""), REGEXMATCH(C70,""(?i)pops"")),
       ""op"" &amp; REGEXEXTRACT(C70,""(\d+)"") &amp; ""mm"""&amp;",
    IF(OR(D70=""R-FFTop"", D70=""R-FFBottom"", D70=""R-FFSide""),
        IF(REGEXMATCH(C70,""(?i)Profiled.*Top|Top.*Profiled""),""pfft"",
        IF(REGEXMATCH(C70,""(?i)Profiled.*Bottom|Bottom.*Profiled""),""pffb"",
        IF(REGEXMATCH(C70,""(?i)Squ"&amp;"are""),""sff"",""""))),
    IF(REGEXMATCH(D70,""(?i)-Rivets""),""Rvt"",
    IF(REGEXMATCH(D70,""(?i)Silicone""),""300ml"",
    IF(REGEXMATCH(D70,""(?i)R-Butyl""),""300ml"",
    IF(REGEXMATCH(D70,""(?i)Fix""),""GenFix"",
    IF(AND(REGEXMATCH(C70,""(?i)Tim"&amp;"ber""), REGEXMATCH(D70,""(?i)Timber"")),""tp"",
    IF(AND(REGEXMATCH(C70,""(?i)Vent G1275""), REGEXMATCH(D70,""(?i)Comb FIller"")),""CFV1275"",
    IF(REGEXMATCH(C70,""(?i)DPC""),""dpc"",
    IF(REGEXMATCH(C70,""(?i)Concealed Clips""),""ConClips"",
    I"&amp;"F(REGEXMATCH(D70,""(?i)-Takeoff ea""),""Takeoff ea"",
    IF(REGEXMATCH(D70,""(?i)-Takeoff LM""),""Takeoff LM"",
    IF(REGEXMATCH(D70,""(?i)-Takeoff m2""),""Takeoff m2"",
    IF(D70=""R-TU/TD"",""TU/TD"","""")))))))))))))))))
  )))"),"Rvt")</f>
        <v>Rvt</v>
      </c>
      <c r="C70" s="734" t="s">
        <v>100</v>
      </c>
      <c r="D70" s="202" t="s">
        <v>101</v>
      </c>
      <c r="E70" s="168">
        <f t="shared" ref="E70:E71" si="46">E68</f>
        <v>2.1</v>
      </c>
      <c r="F70" s="699"/>
      <c r="G70" s="225"/>
      <c r="H70" s="700" t="str">
        <f>IFERROR(__xludf.DUMMYFUNCTION("IFERROR(REGEXEXTRACT(C70, ""(\d*\.\d+)mm""), """")"),"")</f>
        <v/>
      </c>
      <c r="I70" s="700"/>
      <c r="J70" s="126" t="s">
        <v>87</v>
      </c>
      <c r="K70" s="128" t="s">
        <v>52</v>
      </c>
      <c r="L70" s="135"/>
      <c r="M70" s="150">
        <f>ROUNDUP(((M68/5.7)+1)*(E70/0.05),0)</f>
        <v>72</v>
      </c>
      <c r="N70" s="151">
        <f t="shared" si="44"/>
        <v>1.001372346</v>
      </c>
      <c r="O70" s="169">
        <v>1.0</v>
      </c>
      <c r="P70" s="134">
        <f t="shared" si="45"/>
        <v>1</v>
      </c>
      <c r="Q70" s="168">
        <f t="shared" si="40"/>
        <v>72.09880891</v>
      </c>
      <c r="R70" s="136" t="str">
        <f>IFERROR(
  IF(B70="", "", VLOOKUP(B70, Data!$B$2:$K$905, 9, FALSE)),
  ""
)</f>
        <v/>
      </c>
      <c r="S70" s="137">
        <f t="shared" si="41"/>
        <v>0</v>
      </c>
      <c r="T70" s="690"/>
      <c r="U70" s="136" t="str">
        <f>IFERROR(
  IF(B70="", "", VLOOKUP(B70, Data!$B$2:$K$905, 10, FALSE)),
  ""
)
</f>
        <v/>
      </c>
      <c r="V70" s="691"/>
      <c r="W70" s="140">
        <f t="shared" si="42"/>
        <v>0</v>
      </c>
      <c r="X70" s="692"/>
      <c r="Y70" s="595"/>
      <c r="Z70" s="595"/>
      <c r="AA70" s="595"/>
      <c r="AB70" s="354">
        <f t="shared" si="43"/>
        <v>0</v>
      </c>
      <c r="AC70" s="181"/>
      <c r="AD70" s="625"/>
      <c r="AE70" s="626"/>
      <c r="AF70" s="696"/>
      <c r="AG70" s="697"/>
      <c r="AH70" s="629"/>
      <c r="AI70" s="187"/>
      <c r="AJ70" s="630"/>
      <c r="AK70" s="630"/>
      <c r="AL70" s="595"/>
      <c r="AM70" s="595"/>
      <c r="AN70" s="595"/>
      <c r="AO70" s="595"/>
      <c r="AP70" s="595"/>
      <c r="AQ70" s="595"/>
      <c r="AR70" s="595"/>
      <c r="AS70" s="595"/>
      <c r="AT70" s="595"/>
      <c r="AU70" s="595"/>
      <c r="AV70" s="595"/>
      <c r="AW70" s="595"/>
      <c r="AX70" s="595"/>
      <c r="AY70" s="595"/>
      <c r="AZ70" s="595"/>
      <c r="BA70" s="595"/>
      <c r="BB70" s="595"/>
      <c r="BC70" s="595"/>
      <c r="BD70" s="595"/>
      <c r="BE70" s="595"/>
      <c r="BF70" s="595"/>
      <c r="BG70" s="595"/>
      <c r="BH70" s="595"/>
      <c r="BI70" s="651"/>
      <c r="BJ70" s="651"/>
      <c r="BK70" s="651"/>
      <c r="BL70" s="651"/>
      <c r="BM70" s="651"/>
      <c r="BN70" s="651"/>
      <c r="BO70" s="651"/>
      <c r="BP70" s="651"/>
      <c r="BQ70" s="651"/>
      <c r="BR70" s="651"/>
      <c r="BS70" s="651"/>
      <c r="BT70" s="651"/>
    </row>
    <row r="71">
      <c r="A71" s="631"/>
      <c r="B71" s="154" t="str">
        <f>IFERROR(__xludf.DUMMYFUNCTION("IFERROR(
  IF(C71="""","""",
    IF(OR(REGEXMATCH(D71,""(?i)-Flashing""), REGEXMATCH(D71,""(?i)-EavesGut""), REGEXMATCH(D71,""(?i)Valley"")),
        ""DR"" &amp;
        TEXT(
            ROUNDUP(
                MIN(
                    VALUE(MID(C71, FIND("&amp;"""("",C71)+1, FIND(""/"",C71)-FIND(""("",C71)-1)),
                    1200
                ) / 50, 0
            ) * 50, ""0""
        ) &amp;
        MID(C71, FIND(""/"",C71)+1, FIND("")"",C71)-FIND(""/"",C71)-1) &amp;
        TEXT(H71*100,""0"") &amp;
        I71,"&amp;"
    IF(AND(D71=""Roof Sheet"", REGEXMATCH(C71,""(?i)KS\d{4}[A-Z]{2}"")),
       REGEXEXTRACT(C71,""(?i)KS\d{4}[A-Z]{2}""),
    IF(AND(REGEXMATCH(D71,""(?i)-DP""), REGEXMATCH(C71,""(?i)Downpipe"")),
       ""dp"" &amp; REGEXEXTRACT(C71,""(\d+)"") &amp; ""mm"",
  "&amp;"  IF(AND(REGEXMATCH(D71,""(?i)Bracket""), REGEXMATCH(C71,""(?i)Bracket"")),
       ""Brkt"" &amp; REGEXEXTRACT(C71,""(\d+)"") &amp; ""mm"",
    IF(AND(REGEXMATCH(D71,""(?i)-OP""), REGEXMATCH(C71,""(?i)pops"")),
       ""op"" &amp; REGEXEXTRACT(C71,""(\d+)"") &amp; ""mm"""&amp;",
    IF(OR(D71=""R-FFTop"", D71=""R-FFBottom"", D71=""R-FFSide""),
        IF(REGEXMATCH(C71,""(?i)Profiled.*Top|Top.*Profiled""),""pfft"",
        IF(REGEXMATCH(C71,""(?i)Profiled.*Bottom|Bottom.*Profiled""),""pffb"",
        IF(REGEXMATCH(C71,""(?i)Squ"&amp;"are""),""sff"",""""))),
    IF(REGEXMATCH(D71,""(?i)-Rivets""),""Rvt"",
    IF(REGEXMATCH(D71,""(?i)Silicone""),""300ml"",
    IF(REGEXMATCH(D71,""(?i)R-Butyl""),""300ml"",
    IF(REGEXMATCH(D71,""(?i)Fix""),""GenFix"",
    IF(AND(REGEXMATCH(C71,""(?i)Tim"&amp;"ber""), REGEXMATCH(D71,""(?i)Timber"")),""tp"",
    IF(AND(REGEXMATCH(C71,""(?i)Vent G1275""), REGEXMATCH(D71,""(?i)Comb FIller"")),""CFV1275"",
    IF(REGEXMATCH(C71,""(?i)DPC""),""dpc"",
    IF(REGEXMATCH(C71,""(?i)Concealed Clips""),""ConClips"",
    I"&amp;"F(REGEXMATCH(D71,""(?i)-Takeoff ea""),""Takeoff ea"",
    IF(REGEXMATCH(D71,""(?i)-Takeoff LM""),""Takeoff LM"",
    IF(REGEXMATCH(D71,""(?i)-Takeoff m2""),""Takeoff m2"",
    IF(D71=""R-TU/TD"",""TU/TD"","""")))))))))))))))))
  )))"),"GenFix")</f>
        <v>GenFix</v>
      </c>
      <c r="C71" s="698" t="s">
        <v>102</v>
      </c>
      <c r="D71" s="124" t="s">
        <v>389</v>
      </c>
      <c r="E71" s="168">
        <f t="shared" si="46"/>
        <v>2.1</v>
      </c>
      <c r="F71" s="699"/>
      <c r="G71" s="158"/>
      <c r="H71" s="700" t="str">
        <f>IFERROR(__xludf.DUMMYFUNCTION("IFERROR(REGEXEXTRACT(C71, ""(\d*\.\d+)mm""), """")"),"")</f>
        <v/>
      </c>
      <c r="I71" s="700"/>
      <c r="J71" s="126" t="s">
        <v>87</v>
      </c>
      <c r="K71" s="126" t="s">
        <v>52</v>
      </c>
      <c r="L71" s="135"/>
      <c r="M71" s="150">
        <f>ROUNDUP((M68*E71)*8,0)+1</f>
        <v>69</v>
      </c>
      <c r="N71" s="151">
        <f t="shared" si="44"/>
        <v>1.001372346</v>
      </c>
      <c r="O71" s="169">
        <v>1.0</v>
      </c>
      <c r="P71" s="134">
        <f t="shared" si="45"/>
        <v>1</v>
      </c>
      <c r="Q71" s="168">
        <f t="shared" si="40"/>
        <v>69.09469187</v>
      </c>
      <c r="R71" s="136" t="str">
        <f>IFERROR(
  IF(B71="", "", VLOOKUP(B71, Data!$B$2:$K$905, 9, FALSE)),
  ""
)</f>
        <v/>
      </c>
      <c r="S71" s="137">
        <f t="shared" si="41"/>
        <v>0</v>
      </c>
      <c r="T71" s="690"/>
      <c r="U71" s="136" t="str">
        <f>IFERROR(
  IF(B71="", "", VLOOKUP(B71, Data!$B$2:$K$905, 10, FALSE)),
  ""
)
</f>
        <v/>
      </c>
      <c r="V71" s="691"/>
      <c r="W71" s="140">
        <f t="shared" si="42"/>
        <v>0</v>
      </c>
      <c r="X71" s="692"/>
      <c r="Y71" s="595"/>
      <c r="Z71" s="595"/>
      <c r="AA71" s="595"/>
      <c r="AB71" s="354">
        <f t="shared" si="43"/>
        <v>0</v>
      </c>
      <c r="AC71" s="181"/>
      <c r="AD71" s="625"/>
      <c r="AE71" s="626"/>
      <c r="AF71" s="696"/>
      <c r="AG71" s="697"/>
      <c r="AH71" s="629"/>
      <c r="AI71" s="187"/>
      <c r="AJ71" s="630"/>
      <c r="AK71" s="630"/>
      <c r="AL71" s="595"/>
      <c r="AM71" s="595"/>
      <c r="AN71" s="595"/>
      <c r="AO71" s="595"/>
      <c r="AP71" s="595"/>
      <c r="AQ71" s="595"/>
      <c r="AR71" s="595"/>
      <c r="AS71" s="595"/>
      <c r="AT71" s="595"/>
      <c r="AU71" s="595"/>
      <c r="AV71" s="595"/>
      <c r="AW71" s="595"/>
      <c r="AX71" s="595"/>
      <c r="AY71" s="595"/>
      <c r="AZ71" s="595"/>
      <c r="BA71" s="595"/>
      <c r="BB71" s="595"/>
      <c r="BC71" s="595"/>
      <c r="BD71" s="595"/>
      <c r="BE71" s="595"/>
      <c r="BF71" s="595"/>
      <c r="BG71" s="595"/>
      <c r="BH71" s="595"/>
      <c r="BI71" s="651"/>
      <c r="BJ71" s="651"/>
      <c r="BK71" s="651"/>
      <c r="BL71" s="651"/>
      <c r="BM71" s="651"/>
      <c r="BN71" s="651"/>
      <c r="BO71" s="651"/>
      <c r="BP71" s="651"/>
      <c r="BQ71" s="651"/>
      <c r="BR71" s="651"/>
      <c r="BS71" s="651"/>
      <c r="BT71" s="651"/>
    </row>
    <row r="72">
      <c r="A72" s="631"/>
      <c r="B72" s="154" t="str">
        <f>IFERROR(__xludf.DUMMYFUNCTION("IFERROR(
  IF(C72="""","""",
    IF(OR(REGEXMATCH(D72,""(?i)-Flashing""), REGEXMATCH(D72,""(?i)-EavesGut""), REGEXMATCH(D72,""(?i)Valley"")),
        ""DR"" &amp;
        TEXT(
            ROUNDUP(
                MIN(
                    VALUE(MID(C72, FIND("&amp;"""("",C72)+1, FIND(""/"",C72)-FIND(""("",C72)-1)),
                    1200
                ) / 50, 0
            ) * 50, ""0""
        ) &amp;
        MID(C72, FIND(""/"",C72)+1, FIND("")"",C72)-FIND(""/"",C72)-1) &amp;
        TEXT(H72*100,""0"") &amp;
        I72,"&amp;"
    IF(AND(D72=""Roof Sheet"", REGEXMATCH(C72,""(?i)KS\d{4}[A-Z]{2}"")),
       REGEXEXTRACT(C72,""(?i)KS\d{4}[A-Z]{2}""),
    IF(AND(REGEXMATCH(D72,""(?i)-DP""), REGEXMATCH(C72,""(?i)Downpipe"")),
       ""dp"" &amp; REGEXEXTRACT(C72,""(\d+)"") &amp; ""mm"",
  "&amp;"  IF(AND(REGEXMATCH(D72,""(?i)Bracket""), REGEXMATCH(C72,""(?i)Bracket"")),
       ""Brkt"" &amp; REGEXEXTRACT(C72,""(\d+)"") &amp; ""mm"",
    IF(AND(REGEXMATCH(D72,""(?i)-OP""), REGEXMATCH(C72,""(?i)pops"")),
       ""op"" &amp; REGEXEXTRACT(C72,""(\d+)"") &amp; ""mm"""&amp;",
    IF(OR(D72=""R-FFTop"", D72=""R-FFBottom"", D72=""R-FFSide""),
        IF(REGEXMATCH(C72,""(?i)Profiled.*Top|Top.*Profiled""),""pfft"",
        IF(REGEXMATCH(C72,""(?i)Profiled.*Bottom|Bottom.*Profiled""),""pffb"",
        IF(REGEXMATCH(C72,""(?i)Squ"&amp;"are""),""sff"",""""))),
    IF(REGEXMATCH(D72,""(?i)-Rivets""),""Rvt"",
    IF(REGEXMATCH(D72,""(?i)Silicone""),""300ml"",
    IF(REGEXMATCH(D72,""(?i)R-Butyl""),""300ml"",
    IF(REGEXMATCH(D72,""(?i)Fix""),""GenFix"",
    IF(AND(REGEXMATCH(C72,""(?i)Tim"&amp;"ber""), REGEXMATCH(D72,""(?i)Timber"")),""tp"",
    IF(AND(REGEXMATCH(C72,""(?i)Vent G1275""), REGEXMATCH(D72,""(?i)Comb FIller"")),""CFV1275"",
    IF(REGEXMATCH(C72,""(?i)DPC""),""dpc"",
    IF(REGEXMATCH(C72,""(?i)Concealed Clips""),""ConClips"",
    I"&amp;"F(REGEXMATCH(D72,""(?i)-Takeoff ea""),""Takeoff ea"",
    IF(REGEXMATCH(D72,""(?i)-Takeoff LM""),""Takeoff LM"",
    IF(REGEXMATCH(D72,""(?i)-Takeoff m2""),""Takeoff m2"",
    IF(D72=""R-TU/TD"",""TU/TD"","""")))))))))))))))))
  )))"),"sff")</f>
        <v>sff</v>
      </c>
      <c r="C72" s="734" t="s">
        <v>110</v>
      </c>
      <c r="D72" s="124" t="s">
        <v>111</v>
      </c>
      <c r="E72" s="704"/>
      <c r="F72" s="699"/>
      <c r="G72" s="158"/>
      <c r="H72" s="700" t="str">
        <f>IFERROR(__xludf.DUMMYFUNCTION("IFERROR(REGEXEXTRACT(C72, ""(\d*\.\d+)mm""), """")"),"")</f>
        <v/>
      </c>
      <c r="I72" s="700"/>
      <c r="J72" s="126" t="s">
        <v>87</v>
      </c>
      <c r="K72" s="126" t="s">
        <v>55</v>
      </c>
      <c r="L72" s="135"/>
      <c r="M72" s="150">
        <f>M68</f>
        <v>4</v>
      </c>
      <c r="N72" s="151">
        <f t="shared" si="44"/>
        <v>1.001372346</v>
      </c>
      <c r="O72" s="169">
        <v>1.0</v>
      </c>
      <c r="P72" s="134">
        <f>P71*2</f>
        <v>2</v>
      </c>
      <c r="Q72" s="168">
        <f t="shared" si="40"/>
        <v>8.010978768</v>
      </c>
      <c r="R72" s="136" t="str">
        <f>IFERROR(
  IF(B72="", "", VLOOKUP(B72, Data!$B$2:$K$905, 9, FALSE)),
  ""
)</f>
        <v/>
      </c>
      <c r="S72" s="137">
        <f t="shared" si="41"/>
        <v>0</v>
      </c>
      <c r="T72" s="690"/>
      <c r="U72" s="136" t="str">
        <f>IFERROR(
  IF(B72="", "", VLOOKUP(B72, Data!$B$2:$K$905, 10, FALSE)),
  ""
)
</f>
        <v/>
      </c>
      <c r="V72" s="691"/>
      <c r="W72" s="140">
        <f t="shared" si="42"/>
        <v>0</v>
      </c>
      <c r="X72" s="692"/>
      <c r="Y72" s="595"/>
      <c r="Z72" s="595"/>
      <c r="AA72" s="595"/>
      <c r="AB72" s="354">
        <f t="shared" si="43"/>
        <v>0</v>
      </c>
      <c r="AC72" s="181"/>
      <c r="AD72" s="625"/>
      <c r="AE72" s="626"/>
      <c r="AF72" s="696"/>
      <c r="AG72" s="697"/>
      <c r="AH72" s="629"/>
      <c r="AI72" s="187"/>
      <c r="AJ72" s="630"/>
      <c r="AK72" s="630"/>
      <c r="AL72" s="595"/>
      <c r="AM72" s="595"/>
      <c r="AN72" s="595"/>
      <c r="AO72" s="595"/>
      <c r="AP72" s="595"/>
      <c r="AQ72" s="595"/>
      <c r="AR72" s="595"/>
      <c r="AS72" s="595"/>
      <c r="AT72" s="595"/>
      <c r="AU72" s="595"/>
      <c r="AV72" s="595"/>
      <c r="AW72" s="595"/>
      <c r="AX72" s="595"/>
      <c r="AY72" s="595"/>
      <c r="AZ72" s="595"/>
      <c r="BA72" s="595"/>
      <c r="BB72" s="595"/>
      <c r="BC72" s="595"/>
      <c r="BD72" s="595"/>
      <c r="BE72" s="595"/>
      <c r="BF72" s="595"/>
      <c r="BG72" s="595"/>
      <c r="BH72" s="595"/>
      <c r="BI72" s="651"/>
      <c r="BJ72" s="651"/>
      <c r="BK72" s="651"/>
      <c r="BL72" s="651"/>
      <c r="BM72" s="651"/>
      <c r="BN72" s="651"/>
      <c r="BO72" s="651"/>
      <c r="BP72" s="651"/>
      <c r="BQ72" s="651"/>
      <c r="BR72" s="651"/>
      <c r="BS72" s="651"/>
      <c r="BT72" s="651"/>
    </row>
    <row r="73">
      <c r="A73" s="631"/>
      <c r="B73" s="154" t="str">
        <f>IFERROR(__xludf.DUMMYFUNCTION("IFERROR(
  IF(C73="""","""",
    IF(OR(REGEXMATCH(D73,""(?i)-Flashing""), REGEXMATCH(D73,""(?i)-EavesGut""), REGEXMATCH(D73,""(?i)Valley"")),
        ""DR"" &amp;
        TEXT(
            ROUNDUP(
                MIN(
                    VALUE(MID(C73, FIND("&amp;"""("",C73)+1, FIND(""/"",C73)-FIND(""("",C73)-1)),
                    1200
                ) / 50, 0
            ) * 50, ""0""
        ) &amp;
        MID(C73, FIND(""/"",C73)+1, FIND("")"",C73)-FIND(""/"",C73)-1) &amp;
        TEXT(H73*100,""0"") &amp;
        I73,"&amp;"
    IF(AND(D73=""Roof Sheet"", REGEXMATCH(C73,""(?i)KS\d{4}[A-Z]{2}"")),
       REGEXEXTRACT(C73,""(?i)KS\d{4}[A-Z]{2}""),
    IF(AND(REGEXMATCH(D73,""(?i)-DP""), REGEXMATCH(C73,""(?i)Downpipe"")),
       ""dp"" &amp; REGEXEXTRACT(C73,""(\d+)"") &amp; ""mm"",
  "&amp;"  IF(AND(REGEXMATCH(D73,""(?i)Bracket""), REGEXMATCH(C73,""(?i)Bracket"")),
       ""Brkt"" &amp; REGEXEXTRACT(C73,""(\d+)"") &amp; ""mm"",
    IF(AND(REGEXMATCH(D73,""(?i)-OP""), REGEXMATCH(C73,""(?i)pops"")),
       ""op"" &amp; REGEXEXTRACT(C73,""(\d+)"") &amp; ""mm"""&amp;",
    IF(OR(D73=""R-FFTop"", D73=""R-FFBottom"", D73=""R-FFSide""),
        IF(REGEXMATCH(C73,""(?i)Profiled.*Top|Top.*Profiled""),""pfft"",
        IF(REGEXMATCH(C73,""(?i)Profiled.*Bottom|Bottom.*Profiled""),""pffb"",
        IF(REGEXMATCH(C73,""(?i)Squ"&amp;"are""),""sff"",""""))),
    IF(REGEXMATCH(D73,""(?i)-Rivets""),""Rvt"",
    IF(REGEXMATCH(D73,""(?i)Silicone""),""300ml"",
    IF(REGEXMATCH(D73,""(?i)R-Butyl""),""300ml"",
    IF(REGEXMATCH(D73,""(?i)Fix""),""GenFix"",
    IF(AND(REGEXMATCH(C73,""(?i)Tim"&amp;"ber""), REGEXMATCH(D73,""(?i)Timber"")),""tp"",
    IF(AND(REGEXMATCH(C73,""(?i)Vent G1275""), REGEXMATCH(D73,""(?i)Comb FIller"")),""CFV1275"",
    IF(REGEXMATCH(C73,""(?i)DPC""),""dpc"",
    IF(REGEXMATCH(C73,""(?i)Concealed Clips""),""ConClips"",
    I"&amp;"F(REGEXMATCH(D73,""(?i)-Takeoff ea""),""Takeoff ea"",
    IF(REGEXMATCH(D73,""(?i)-Takeoff LM""),""Takeoff LM"",
    IF(REGEXMATCH(D73,""(?i)-Takeoff m2""),""Takeoff m2"",
    IF(D73=""R-TU/TD"",""TU/TD"","""")))))))))))))))))
  )))"),"pfft")</f>
        <v>pfft</v>
      </c>
      <c r="C73" s="734" t="s">
        <v>104</v>
      </c>
      <c r="D73" s="124" t="s">
        <v>105</v>
      </c>
      <c r="E73" s="712"/>
      <c r="F73" s="721"/>
      <c r="G73" s="158"/>
      <c r="H73" s="700"/>
      <c r="I73" s="700"/>
      <c r="J73" s="126" t="s">
        <v>87</v>
      </c>
      <c r="K73" s="126" t="s">
        <v>55</v>
      </c>
      <c r="L73" s="168"/>
      <c r="M73" s="150">
        <f>E71</f>
        <v>2.1</v>
      </c>
      <c r="N73" s="151">
        <f>IFERROR(__xludf.DUMMYFUNCTION("IF(B73="""", """", IFERROR(1 / COS(RADIANS(REGEXEXTRACT(F73,""(\d+)""))), 1))"),1.0)</f>
        <v>1</v>
      </c>
      <c r="O73" s="169">
        <v>1.0</v>
      </c>
      <c r="P73" s="134">
        <f>P72</f>
        <v>2</v>
      </c>
      <c r="Q73" s="168">
        <f t="shared" si="40"/>
        <v>4.2</v>
      </c>
      <c r="R73" s="136" t="str">
        <f>IFERROR(
  IF(B73="", "", VLOOKUP(B73, Data!$B$2:$K$905, 9, FALSE)),
  ""
)</f>
        <v/>
      </c>
      <c r="S73" s="137">
        <f t="shared" si="41"/>
        <v>0</v>
      </c>
      <c r="T73" s="690"/>
      <c r="U73" s="136" t="str">
        <f>IFERROR(
  IF(B73="", "", VLOOKUP(B73, Data!$B$2:$K$905, 10, FALSE)),
  ""
)
</f>
        <v/>
      </c>
      <c r="V73" s="691"/>
      <c r="W73" s="140">
        <f t="shared" si="42"/>
        <v>0</v>
      </c>
      <c r="X73" s="692"/>
      <c r="Y73" s="595"/>
      <c r="Z73" s="595"/>
      <c r="AA73" s="595"/>
      <c r="AB73" s="354">
        <f t="shared" si="43"/>
        <v>0</v>
      </c>
      <c r="AC73" s="181"/>
      <c r="AD73" s="625"/>
      <c r="AE73" s="626"/>
      <c r="AF73" s="696"/>
      <c r="AG73" s="697"/>
      <c r="AH73" s="629"/>
      <c r="AI73" s="187"/>
      <c r="AJ73" s="630"/>
      <c r="AK73" s="630"/>
      <c r="AL73" s="595"/>
      <c r="AM73" s="595"/>
      <c r="AN73" s="595"/>
      <c r="AO73" s="595"/>
      <c r="AP73" s="595"/>
      <c r="AQ73" s="595"/>
      <c r="AR73" s="595"/>
      <c r="AS73" s="595"/>
      <c r="AT73" s="595"/>
      <c r="AU73" s="595"/>
      <c r="AV73" s="595"/>
      <c r="AW73" s="595"/>
      <c r="AX73" s="595"/>
      <c r="AY73" s="595"/>
      <c r="AZ73" s="595"/>
      <c r="BA73" s="595"/>
      <c r="BB73" s="595"/>
      <c r="BC73" s="595"/>
      <c r="BD73" s="595"/>
      <c r="BE73" s="595"/>
      <c r="BF73" s="595"/>
      <c r="BG73" s="595"/>
      <c r="BH73" s="595"/>
      <c r="BI73" s="651"/>
      <c r="BJ73" s="651"/>
      <c r="BK73" s="651"/>
      <c r="BL73" s="651"/>
      <c r="BM73" s="651"/>
      <c r="BN73" s="651"/>
      <c r="BO73" s="651"/>
      <c r="BP73" s="651"/>
      <c r="BQ73" s="651"/>
      <c r="BR73" s="651"/>
      <c r="BS73" s="651"/>
      <c r="BT73" s="651"/>
    </row>
    <row r="74">
      <c r="A74" s="631"/>
      <c r="B74" s="154"/>
      <c r="C74" s="735"/>
      <c r="D74" s="736"/>
      <c r="E74" s="737"/>
      <c r="F74" s="738"/>
      <c r="G74" s="739"/>
      <c r="H74" s="736"/>
      <c r="I74" s="737"/>
      <c r="J74" s="736"/>
      <c r="K74" s="736" t="s">
        <v>42</v>
      </c>
      <c r="L74" s="737"/>
      <c r="M74" s="737" t="s">
        <v>42</v>
      </c>
      <c r="N74" s="151" t="str">
        <f>IFERROR(__xludf.DUMMYFUNCTION("IF(B74="""", """", IFERROR(1 / COS(RADIANS(REGEXEXTRACT(F74,""(\d+)""))), 1))"),"")</f>
        <v/>
      </c>
      <c r="O74" s="737"/>
      <c r="P74" s="736"/>
      <c r="Q74" s="740"/>
      <c r="R74" s="136" t="str">
        <f>IFERROR(
  IF(B74="", "", VLOOKUP(B74, Data!$B$2:$K$905, 9, FALSE)),
  ""
)</f>
        <v/>
      </c>
      <c r="S74" s="741"/>
      <c r="T74" s="741"/>
      <c r="U74" s="136" t="str">
        <f>IFERROR(
  IF(B74="", "", VLOOKUP(B74, Data!$B$2:$K$905, 10, FALSE)),
  ""
)
</f>
        <v/>
      </c>
      <c r="V74" s="741"/>
      <c r="W74" s="742"/>
      <c r="X74" s="595"/>
      <c r="Y74" s="595"/>
      <c r="Z74" s="595"/>
      <c r="AA74" s="595"/>
      <c r="AB74" s="595"/>
      <c r="AC74" s="181"/>
      <c r="AD74" s="625"/>
      <c r="AE74" s="626"/>
      <c r="AF74" s="627"/>
      <c r="AG74" s="697"/>
      <c r="AH74" s="629"/>
      <c r="AI74" s="187"/>
      <c r="AJ74" s="630"/>
      <c r="AK74" s="630"/>
      <c r="AL74" s="595"/>
      <c r="AM74" s="595"/>
      <c r="AN74" s="595"/>
      <c r="AO74" s="595"/>
      <c r="AP74" s="595"/>
      <c r="AQ74" s="595"/>
      <c r="AR74" s="595"/>
      <c r="AS74" s="595"/>
      <c r="AT74" s="595"/>
      <c r="AU74" s="595"/>
      <c r="AV74" s="595"/>
      <c r="AW74" s="595"/>
      <c r="AX74" s="595"/>
      <c r="AY74" s="595"/>
      <c r="AZ74" s="595"/>
      <c r="BA74" s="595"/>
      <c r="BB74" s="595"/>
      <c r="BC74" s="595"/>
      <c r="BD74" s="595"/>
      <c r="BE74" s="595"/>
      <c r="BF74" s="595"/>
      <c r="BG74" s="595"/>
      <c r="BH74" s="595"/>
      <c r="BI74" s="651"/>
      <c r="BJ74" s="651"/>
      <c r="BK74" s="651"/>
      <c r="BL74" s="651"/>
      <c r="BM74" s="651"/>
      <c r="BN74" s="651"/>
      <c r="BO74" s="651"/>
      <c r="BP74" s="651"/>
      <c r="BQ74" s="651"/>
      <c r="BR74" s="651"/>
      <c r="BS74" s="651"/>
      <c r="BT74" s="651"/>
    </row>
    <row r="75">
      <c r="A75" s="631">
        <v>1.0</v>
      </c>
      <c r="B75" s="727"/>
      <c r="C75" s="103" t="s">
        <v>460</v>
      </c>
      <c r="D75" s="192"/>
      <c r="E75" s="679"/>
      <c r="F75" s="677"/>
      <c r="G75" s="157"/>
      <c r="H75" s="678"/>
      <c r="I75" s="678"/>
      <c r="J75" s="678"/>
      <c r="K75" s="678" t="s">
        <v>42</v>
      </c>
      <c r="L75" s="106">
        <f>Q75</f>
        <v>4.005489384</v>
      </c>
      <c r="M75" s="679" t="s">
        <v>42</v>
      </c>
      <c r="N75" s="680" t="s">
        <v>42</v>
      </c>
      <c r="O75" s="679"/>
      <c r="P75" s="678"/>
      <c r="Q75" s="106">
        <f>Q76</f>
        <v>4.005489384</v>
      </c>
      <c r="R75" s="136" t="str">
        <f>IFERROR(
  IF(B75="", "", VLOOKUP(B75, Data!$B$2:$K$905, 9, FALSE)),
  ""
)</f>
        <v/>
      </c>
      <c r="S75" s="109">
        <f>T75/Q75</f>
        <v>0</v>
      </c>
      <c r="T75" s="109">
        <f>SUM(S76:S81)</f>
        <v>0</v>
      </c>
      <c r="U75" s="136" t="str">
        <f>IFERROR(
  IF(B75="", "", VLOOKUP(B75, Data!$B$2:$K$905, 10, FALSE)),
  ""
)
</f>
        <v/>
      </c>
      <c r="V75" s="109">
        <f>W75/Q75</f>
        <v>0</v>
      </c>
      <c r="W75" s="110">
        <f>SUM(W76:W81)</f>
        <v>0</v>
      </c>
      <c r="X75" s="111" t="str">
        <f>W75/$AC$758/$W$765/$X$755</f>
        <v>#REF!</v>
      </c>
      <c r="Y75" s="112" t="b">
        <f>(T75+W75)=(SUM(AB76:AB81))</f>
        <v>1</v>
      </c>
      <c r="Z75" s="113">
        <f>(T75+W75)-(SUM(AB76:AB81))</f>
        <v>0</v>
      </c>
      <c r="AA75" s="595"/>
      <c r="AB75" s="595"/>
      <c r="AC75" s="181"/>
      <c r="AD75" s="114">
        <f>W75+T75</f>
        <v>0</v>
      </c>
      <c r="AE75" s="115">
        <f>AD75</f>
        <v>0</v>
      </c>
      <c r="AF75" s="116" t="str">
        <f>AE75/$AE$733</f>
        <v>#REF!</v>
      </c>
      <c r="AG75" s="683" t="str">
        <f>AF75*$AG$740</f>
        <v>#REF!</v>
      </c>
      <c r="AH75" s="118" t="str">
        <f>AF75*$AG$743</f>
        <v>#REF!</v>
      </c>
      <c r="AI75" s="187"/>
      <c r="AJ75" s="119" t="str">
        <f>ROUND(AK75/L75,2)</f>
        <v>#REF!</v>
      </c>
      <c r="AK75" s="119" t="str">
        <f>ROUND(AH75+AG75+AD75,2)</f>
        <v>#REF!</v>
      </c>
      <c r="AL75" s="595"/>
      <c r="AM75" s="595"/>
      <c r="AN75" s="595"/>
      <c r="AO75" s="595"/>
      <c r="AP75" s="595"/>
      <c r="AQ75" s="595"/>
      <c r="AR75" s="595"/>
      <c r="AS75" s="595"/>
      <c r="AT75" s="595"/>
      <c r="AU75" s="595"/>
      <c r="AV75" s="595"/>
      <c r="AW75" s="595"/>
      <c r="AX75" s="595"/>
      <c r="AY75" s="595"/>
      <c r="AZ75" s="595"/>
      <c r="BA75" s="595"/>
      <c r="BB75" s="595"/>
      <c r="BC75" s="595"/>
      <c r="BD75" s="595"/>
      <c r="BE75" s="595"/>
      <c r="BF75" s="595"/>
      <c r="BG75" s="595"/>
      <c r="BH75" s="595"/>
      <c r="BI75" s="651"/>
      <c r="BJ75" s="651"/>
      <c r="BK75" s="651"/>
      <c r="BL75" s="651"/>
      <c r="BM75" s="651"/>
      <c r="BN75" s="651"/>
      <c r="BO75" s="651"/>
      <c r="BP75" s="651"/>
      <c r="BQ75" s="651"/>
      <c r="BR75" s="651"/>
      <c r="BS75" s="651"/>
      <c r="BT75" s="651"/>
    </row>
    <row r="76">
      <c r="A76" s="716" t="s">
        <v>444</v>
      </c>
      <c r="B76" s="154" t="str">
        <f>IFERROR(__xludf.DUMMYFUNCTION("IFERROR(
  IF(C76="""","""",
    IF(OR(REGEXMATCH(D76,""(?i)-Flashing""), REGEXMATCH(D76,""(?i)-EavesGut""), REGEXMATCH(D76,""(?i)Valley"")),
        ""DR"" &amp;
        TEXT(
            ROUNDUP(
                VALUE(MID(C76, FIND(""("",C76)+1, FIND(""/"","&amp;"C76)-FIND(""("",C76)-1)) / 50,
            0) * 50, ""0""
        ) &amp;
        MID(C76, FIND(""/"",C76)+1, FIND("")"",C76)-FIND(""/"",C76)-1) &amp;
        TEXT(H76*100,""0"") &amp;
        I76,
    IF(AND(D76=""Roof Sheet"", REGEXMATCH(C76,""(?i)KS\d{4}[A-Z]{2}"""&amp;")),
       REGEXEXTRACT(C76,""(?i)KS\d{4}[A-Z]{2}""),
    IF(AND(REGEXMATCH(D76,""(?i)-DP""), REGEXMATCH(C76,""(?i)Downpipe"")),
       ""dp"" &amp; REGEXEXTRACT(C76,""(\d+)"") &amp; ""mm"",
    IF(AND(REGEXMATCH(D76,""(?i)Bracket""), REGEXMATCH(C76,""(?i)Bracket"&amp;""")),
       ""Brkt"" &amp; REGEXEXTRACT(C76,""(\d+)"") &amp; ""mm"",
    IF(AND(REGEXMATCH(D76,""(?i)-OP""), REGEXMATCH(C76,""(?i)pops"")),
       ""op"" &amp; REGEXEXTRACT(C76,""(\d+)"") &amp; ""mm"",
    IF(OR(D76=""R-FFTop"", D76=""R-FFBottom"", D76=""R-FFSide""),
  "&amp;"      IF(REGEXMATCH(C76,""(?i)Profiled.*Top|Top.*Profiled""),""pfft"",
        IF(REGEXMATCH(C76,""(?i)Profiled.*Bottom|Bottom.*Profiled""),""pffb"",
        IF(REGEXMATCH(C76,""(?i)Square""),""sff"",""""))),
    IF(REGEXMATCH(D76,""(?i)-Rivets""),""Rvt"""&amp;",
    IF(REGEXMATCH(D76,""(?i)Silicone""),""300ml"",
    IF(REGEXMATCH(D76,""(?i)R-Butyl""),""300ml"",
    IF(REGEXMATCH(D76,""(?i)Fix""),""GenFix"",
    IF(AND(REGEXMATCH(C76,""(?i)Timber""), REGEXMATCH(D76,""(?i)Timber"")),""tp"",
    IF(AND(REGEXMATCH("&amp;"C76,""(?i)Vent G1275""), REGEXMATCH(D76,""(?i)Comb FIller"")),""CFV1275"",
    IF(REGEXMATCH(C76,""(?i)DPC""),""dpc"",
    IF(REGEXMATCH(C76,""(?i)Concealed Clips""),""ConClips"",
    IF(REGEXMATCH(D76,""(?i)-Takeoff ea""),""Takeoff ea"",
    IF(REGEXMATC"&amp;"H(D76,""(?i)-Takeoff LM""),""Takeoff LM"",
    IF(REGEXMATCH(D76,""(?i)-Takeoff m2""),""Takeoff m2"",
    IF(D76=""R-TU/TD"",""TU/TD"","""")))))))))))))))))
  )))"),"DR26502B55Mag")</f>
        <v>DR26502B55Mag</v>
      </c>
      <c r="C76" s="123" t="s">
        <v>461</v>
      </c>
      <c r="D76" s="202" t="s">
        <v>96</v>
      </c>
      <c r="E76" s="168">
        <f>VALUE(MID(C76, FIND("(", C76)+1, FIND("/", C76)-FIND("(", C76)-1)) / 1000</f>
        <v>2.65</v>
      </c>
      <c r="F76" s="688"/>
      <c r="G76" s="689" t="s">
        <v>429</v>
      </c>
      <c r="H76" s="128" t="str">
        <f>IFERROR(__xludf.DUMMYFUNCTION("IFERROR(REGEXEXTRACT(C76, ""(\d*\.\d+)mm""), """")"),"0.55")</f>
        <v>0.55</v>
      </c>
      <c r="I76" s="128" t="s">
        <v>97</v>
      </c>
      <c r="J76" s="126" t="s">
        <v>14</v>
      </c>
      <c r="K76" s="126" t="s">
        <v>55</v>
      </c>
      <c r="L76" s="135"/>
      <c r="M76" s="730">
        <v>4.0</v>
      </c>
      <c r="N76" s="151">
        <f>IFERROR(__xludf.DUMMYFUNCTION("IF(
  AND(
    IFERROR(REGEXEXTRACT(C76,""@\s*(\d+(?:\.\d+)?)\s*deg""),"""")&lt;&gt;"""",
    F76&lt;&gt;""""
  ),
  ""Pls Confirm °"",
  IF(
    IFERROR(REGEXEXTRACT(C76,""@\s*(\d+(?:\.\d+)?)\s*deg""),"""")&lt;&gt;"""",
    1/COS(RADIANS(REGEXEXTRACT(C76,""@\s*(\d+(?:\.\d"&amp;"+)?)\s*deg""))),
    IF(
      F76&lt;&gt;"""",
      IF(
        ISNUMBER(SEARCH(""|"",F76)),
        1/COS(
          ATAN(
            TAN(RADIANS(VALUE(INDEX(SPLIT(F76,""|""),1)))) *
            TAN(RADIANS(VALUE(INDEX(SPLIT(F76,""|""),2))))
            /
 "&amp;"           SQRT(
              TAN(RADIANS(VALUE(INDEX(SPLIT(F76,""|""),1))))^2 +
              TAN(RADIANS(VALUE(INDEX(SPLIT(F76,""|""),2))))^2
            )
          )
        ),
        1/COS(RADIANS(VALUE(F76)))
      ),
      1
    )
  )
)"),1.001372345997921)</f>
        <v>1.001372346</v>
      </c>
      <c r="O76" s="169">
        <v>1.0</v>
      </c>
      <c r="P76" s="156">
        <v>1.0</v>
      </c>
      <c r="Q76" s="168">
        <f t="shared" ref="Q76:Q81" si="47">M76*N76*O76*P76</f>
        <v>4.005489384</v>
      </c>
      <c r="R76" s="136" t="str">
        <f>IFERROR(
  IF(B76="", "", VLOOKUP(B76, Data!$B$2:$K$905, 9, FALSE)),
  ""
)</f>
        <v/>
      </c>
      <c r="S76" s="137">
        <f t="shared" ref="S76:S81" si="48">R76*Q76</f>
        <v>0</v>
      </c>
      <c r="T76" s="690"/>
      <c r="U76" s="136" t="str">
        <f>IFERROR(
  IF(B76="", "", VLOOKUP(B76, Data!$B$2:$K$905, 10, FALSE)),
  ""
)
</f>
        <v/>
      </c>
      <c r="V76" s="691"/>
      <c r="W76" s="140">
        <f t="shared" ref="W76:W81" si="49">U76*Q76</f>
        <v>0</v>
      </c>
      <c r="X76" s="693"/>
      <c r="Y76" s="595"/>
      <c r="Z76" s="595"/>
      <c r="AA76" s="595"/>
      <c r="AB76" s="354">
        <f t="shared" ref="AB76:AB81" si="50">W76+S76</f>
        <v>0</v>
      </c>
      <c r="AC76" s="181"/>
      <c r="AD76" s="625"/>
      <c r="AE76" s="626"/>
      <c r="AF76" s="696"/>
      <c r="AG76" s="697"/>
      <c r="AH76" s="629"/>
      <c r="AI76" s="187"/>
      <c r="AJ76" s="630"/>
      <c r="AK76" s="630"/>
      <c r="AL76" s="595"/>
      <c r="AM76" s="595"/>
      <c r="AN76" s="595"/>
      <c r="AO76" s="595"/>
      <c r="AP76" s="595"/>
      <c r="AQ76" s="595"/>
      <c r="AR76" s="595"/>
      <c r="AS76" s="595"/>
      <c r="AT76" s="595"/>
      <c r="AU76" s="595"/>
      <c r="AV76" s="595"/>
      <c r="AW76" s="595"/>
      <c r="AX76" s="595"/>
      <c r="AY76" s="595"/>
      <c r="AZ76" s="595"/>
      <c r="BA76" s="595"/>
      <c r="BB76" s="595"/>
      <c r="BC76" s="595"/>
      <c r="BD76" s="595"/>
      <c r="BE76" s="595"/>
      <c r="BF76" s="595"/>
      <c r="BG76" s="595"/>
      <c r="BH76" s="595"/>
      <c r="BI76" s="651"/>
      <c r="BJ76" s="651"/>
      <c r="BK76" s="651"/>
      <c r="BL76" s="651"/>
      <c r="BM76" s="651"/>
      <c r="BN76" s="651"/>
      <c r="BO76" s="651"/>
      <c r="BP76" s="651"/>
      <c r="BQ76" s="651"/>
      <c r="BR76" s="651"/>
      <c r="BS76" s="651"/>
      <c r="BT76" s="651"/>
    </row>
    <row r="77">
      <c r="A77" s="631"/>
      <c r="B77" s="154" t="str">
        <f>IFERROR(__xludf.DUMMYFUNCTION("IFERROR(
  IF(C77="""","""",
    IF(OR(REGEXMATCH(D77,""(?i)-Flashing""), REGEXMATCH(D77,""(?i)-EavesGut""), REGEXMATCH(D77,""(?i)Valley"")),
        ""DR"" &amp;
        TEXT(
            ROUNDUP(
                MIN(
                    VALUE(MID(C77, FIND("&amp;"""("",C77)+1, FIND(""/"",C77)-FIND(""("",C77)-1)),
                    1200
                ) / 50, 0
            ) * 50, ""0""
        ) &amp;
        MID(C77, FIND(""/"",C77)+1, FIND("")"",C77)-FIND(""/"",C77)-1) &amp;
        TEXT(H77*100,""0"") &amp;
        I77,"&amp;"
    IF(AND(D77=""Roof Sheet"", REGEXMATCH(C77,""(?i)KS\d{4}[A-Z]{2}"")),
       REGEXEXTRACT(C77,""(?i)KS\d{4}[A-Z]{2}""),
    IF(AND(REGEXMATCH(D77,""(?i)-DP""), REGEXMATCH(C77,""(?i)Downpipe"")),
       ""dp"" &amp; REGEXEXTRACT(C77,""(\d+)"") &amp; ""mm"",
  "&amp;"  IF(AND(REGEXMATCH(D77,""(?i)Bracket""), REGEXMATCH(C77,""(?i)Bracket"")),
       ""Brkt"" &amp; REGEXEXTRACT(C77,""(\d+)"") &amp; ""mm"",
    IF(AND(REGEXMATCH(D77,""(?i)-OP""), REGEXMATCH(C77,""(?i)pops"")),
       ""op"" &amp; REGEXEXTRACT(C77,""(\d+)"") &amp; ""mm"""&amp;",
    IF(OR(D77=""R-FFTop"", D77=""R-FFBottom"", D77=""R-FFSide""),
        IF(REGEXMATCH(C77,""(?i)Profiled.*Top|Top.*Profiled""),""pfft"",
        IF(REGEXMATCH(C77,""(?i)Profiled.*Bottom|Bottom.*Profiled""),""pffb"",
        IF(REGEXMATCH(C77,""(?i)Squ"&amp;"are""),""sff"",""""))),
    IF(REGEXMATCH(D77,""(?i)-Rivets""),""Rvt"",
    IF(REGEXMATCH(D77,""(?i)Silicone""),""300ml"",
    IF(REGEXMATCH(D77,""(?i)R-Butyl""),""300ml"",
    IF(REGEXMATCH(D77,""(?i)Fix""),""GenFix"",
    IF(AND(REGEXMATCH(C77,""(?i)Tim"&amp;"ber""), REGEXMATCH(D77,""(?i)Timber"")),""tp"",
    IF(AND(REGEXMATCH(C77,""(?i)Vent G1275""), REGEXMATCH(D77,""(?i)Comb FIller"")),""CFV1275"",
    IF(REGEXMATCH(C77,""(?i)DPC""),""dpc"",
    IF(REGEXMATCH(C77,""(?i)Concealed Clips""),""ConClips"",
    I"&amp;"F(REGEXMATCH(D77,""(?i)-Takeoff ea""),""Takeoff ea"",
    IF(REGEXMATCH(D77,""(?i)-Takeoff LM""),""Takeoff LM"",
    IF(REGEXMATCH(D77,""(?i)-Takeoff m2""),""Takeoff m2"",
    IF(D77=""R-TU/TD"",""TU/TD"","""")))))))))))))))))
  )))"),"300ml")</f>
        <v>300ml</v>
      </c>
      <c r="C77" s="734" t="s">
        <v>98</v>
      </c>
      <c r="D77" s="202" t="s">
        <v>99</v>
      </c>
      <c r="E77" s="168">
        <f>E76</f>
        <v>2.65</v>
      </c>
      <c r="F77" s="699"/>
      <c r="G77" s="225"/>
      <c r="H77" s="700" t="str">
        <f>IFERROR(__xludf.DUMMYFUNCTION("IFERROR(REGEXEXTRACT(C77, ""(\d*\.\d+)mm""), """")"),"")</f>
        <v/>
      </c>
      <c r="I77" s="700"/>
      <c r="J77" s="126" t="s">
        <v>87</v>
      </c>
      <c r="K77" s="128" t="s">
        <v>52</v>
      </c>
      <c r="L77" s="135"/>
      <c r="M77" s="150">
        <f>(ROUNDDOWN((M76/5.7)+2,0)*E77)/8</f>
        <v>0.6625</v>
      </c>
      <c r="N77" s="151">
        <f t="shared" ref="N77:N80" si="51">N76</f>
        <v>1.001372346</v>
      </c>
      <c r="O77" s="169">
        <v>1.0</v>
      </c>
      <c r="P77" s="134">
        <f t="shared" ref="P77:P79" si="52">P76</f>
        <v>1</v>
      </c>
      <c r="Q77" s="168">
        <f t="shared" si="47"/>
        <v>0.6634091792</v>
      </c>
      <c r="R77" s="136" t="str">
        <f>IFERROR(
  IF(B77="", "", VLOOKUP(B77, Data!$B$2:$K$905, 9, FALSE)),
  ""
)</f>
        <v/>
      </c>
      <c r="S77" s="137">
        <f t="shared" si="48"/>
        <v>0</v>
      </c>
      <c r="T77" s="690"/>
      <c r="U77" s="136" t="str">
        <f>IFERROR(
  IF(B77="", "", VLOOKUP(B77, Data!$B$2:$K$905, 10, FALSE)),
  ""
)
</f>
        <v/>
      </c>
      <c r="V77" s="691"/>
      <c r="W77" s="140">
        <f t="shared" si="49"/>
        <v>0</v>
      </c>
      <c r="X77" s="692"/>
      <c r="Y77" s="595"/>
      <c r="Z77" s="595"/>
      <c r="AA77" s="595"/>
      <c r="AB77" s="354">
        <f t="shared" si="50"/>
        <v>0</v>
      </c>
      <c r="AC77" s="181"/>
      <c r="AD77" s="625"/>
      <c r="AE77" s="626"/>
      <c r="AF77" s="696"/>
      <c r="AG77" s="697"/>
      <c r="AH77" s="629"/>
      <c r="AI77" s="187"/>
      <c r="AJ77" s="630"/>
      <c r="AK77" s="630"/>
      <c r="AL77" s="595"/>
      <c r="AM77" s="595"/>
      <c r="AN77" s="595"/>
      <c r="AO77" s="595"/>
      <c r="AP77" s="595"/>
      <c r="AQ77" s="595"/>
      <c r="AR77" s="595"/>
      <c r="AS77" s="595"/>
      <c r="AT77" s="595"/>
      <c r="AU77" s="595"/>
      <c r="AV77" s="595"/>
      <c r="AW77" s="595"/>
      <c r="AX77" s="595"/>
      <c r="AY77" s="595"/>
      <c r="AZ77" s="595"/>
      <c r="BA77" s="595"/>
      <c r="BB77" s="595"/>
      <c r="BC77" s="595"/>
      <c r="BD77" s="595"/>
      <c r="BE77" s="595"/>
      <c r="BF77" s="595"/>
      <c r="BG77" s="595"/>
      <c r="BH77" s="595"/>
      <c r="BI77" s="651"/>
      <c r="BJ77" s="651"/>
      <c r="BK77" s="651"/>
      <c r="BL77" s="651"/>
      <c r="BM77" s="651"/>
      <c r="BN77" s="651"/>
      <c r="BO77" s="651"/>
      <c r="BP77" s="651"/>
      <c r="BQ77" s="651"/>
      <c r="BR77" s="651"/>
      <c r="BS77" s="651"/>
      <c r="BT77" s="651"/>
    </row>
    <row r="78">
      <c r="A78" s="631"/>
      <c r="B78" s="154" t="str">
        <f>IFERROR(__xludf.DUMMYFUNCTION("IFERROR(
  IF(C78="""","""",
    IF(OR(REGEXMATCH(D78,""(?i)-Flashing""), REGEXMATCH(D78,""(?i)-EavesGut""), REGEXMATCH(D78,""(?i)Valley"")),
        ""DR"" &amp;
        TEXT(
            ROUNDUP(
                MIN(
                    VALUE(MID(C78, FIND("&amp;"""("",C78)+1, FIND(""/"",C78)-FIND(""("",C78)-1)),
                    1200
                ) / 50, 0
            ) * 50, ""0""
        ) &amp;
        MID(C78, FIND(""/"",C78)+1, FIND("")"",C78)-FIND(""/"",C78)-1) &amp;
        TEXT(H78*100,""0"") &amp;
        I78,"&amp;"
    IF(AND(D78=""Roof Sheet"", REGEXMATCH(C78,""(?i)KS\d{4}[A-Z]{2}"")),
       REGEXEXTRACT(C78,""(?i)KS\d{4}[A-Z]{2}""),
    IF(AND(REGEXMATCH(D78,""(?i)-DP""), REGEXMATCH(C78,""(?i)Downpipe"")),
       ""dp"" &amp; REGEXEXTRACT(C78,""(\d+)"") &amp; ""mm"",
  "&amp;"  IF(AND(REGEXMATCH(D78,""(?i)Bracket""), REGEXMATCH(C78,""(?i)Bracket"")),
       ""Brkt"" &amp; REGEXEXTRACT(C78,""(\d+)"") &amp; ""mm"",
    IF(AND(REGEXMATCH(D78,""(?i)-OP""), REGEXMATCH(C78,""(?i)pops"")),
       ""op"" &amp; REGEXEXTRACT(C78,""(\d+)"") &amp; ""mm"""&amp;",
    IF(OR(D78=""R-FFTop"", D78=""R-FFBottom"", D78=""R-FFSide""),
        IF(REGEXMATCH(C78,""(?i)Profiled.*Top|Top.*Profiled""),""pfft"",
        IF(REGEXMATCH(C78,""(?i)Profiled.*Bottom|Bottom.*Profiled""),""pffb"",
        IF(REGEXMATCH(C78,""(?i)Squ"&amp;"are""),""sff"",""""))),
    IF(REGEXMATCH(D78,""(?i)-Rivets""),""Rvt"",
    IF(REGEXMATCH(D78,""(?i)Silicone""),""300ml"",
    IF(REGEXMATCH(D78,""(?i)R-Butyl""),""300ml"",
    IF(REGEXMATCH(D78,""(?i)Fix""),""GenFix"",
    IF(AND(REGEXMATCH(C78,""(?i)Tim"&amp;"ber""), REGEXMATCH(D78,""(?i)Timber"")),""tp"",
    IF(AND(REGEXMATCH(C78,""(?i)Vent G1275""), REGEXMATCH(D78,""(?i)Comb FIller"")),""CFV1275"",
    IF(REGEXMATCH(C78,""(?i)DPC""),""dpc"",
    IF(REGEXMATCH(C78,""(?i)Concealed Clips""),""ConClips"",
    I"&amp;"F(REGEXMATCH(D78,""(?i)-Takeoff ea""),""Takeoff ea"",
    IF(REGEXMATCH(D78,""(?i)-Takeoff LM""),""Takeoff LM"",
    IF(REGEXMATCH(D78,""(?i)-Takeoff m2""),""Takeoff m2"",
    IF(D78=""R-TU/TD"",""TU/TD"","""")))))))))))))))))
  )))"),"Rvt")</f>
        <v>Rvt</v>
      </c>
      <c r="C78" s="734" t="s">
        <v>100</v>
      </c>
      <c r="D78" s="202" t="s">
        <v>101</v>
      </c>
      <c r="E78" s="168">
        <f t="shared" ref="E78:E79" si="53">E76</f>
        <v>2.65</v>
      </c>
      <c r="F78" s="699"/>
      <c r="G78" s="225"/>
      <c r="H78" s="700" t="str">
        <f>IFERROR(__xludf.DUMMYFUNCTION("IFERROR(REGEXEXTRACT(C78, ""(\d*\.\d+)mm""), """")"),"")</f>
        <v/>
      </c>
      <c r="I78" s="700"/>
      <c r="J78" s="126" t="s">
        <v>87</v>
      </c>
      <c r="K78" s="128" t="s">
        <v>52</v>
      </c>
      <c r="L78" s="135"/>
      <c r="M78" s="150">
        <f>ROUNDUP(((M76/5.7)+1)*(E78/0.05),0)</f>
        <v>91</v>
      </c>
      <c r="N78" s="151">
        <f t="shared" si="51"/>
        <v>1.001372346</v>
      </c>
      <c r="O78" s="169">
        <v>1.0</v>
      </c>
      <c r="P78" s="134">
        <f t="shared" si="52"/>
        <v>1</v>
      </c>
      <c r="Q78" s="168">
        <f t="shared" si="47"/>
        <v>91.12488349</v>
      </c>
      <c r="R78" s="136" t="str">
        <f>IFERROR(
  IF(B78="", "", VLOOKUP(B78, Data!$B$2:$K$905, 9, FALSE)),
  ""
)</f>
        <v/>
      </c>
      <c r="S78" s="137">
        <f t="shared" si="48"/>
        <v>0</v>
      </c>
      <c r="T78" s="690"/>
      <c r="U78" s="136" t="str">
        <f>IFERROR(
  IF(B78="", "", VLOOKUP(B78, Data!$B$2:$K$905, 10, FALSE)),
  ""
)
</f>
        <v/>
      </c>
      <c r="V78" s="691"/>
      <c r="W78" s="140">
        <f t="shared" si="49"/>
        <v>0</v>
      </c>
      <c r="X78" s="692"/>
      <c r="Y78" s="595"/>
      <c r="Z78" s="595"/>
      <c r="AA78" s="595"/>
      <c r="AB78" s="354">
        <f t="shared" si="50"/>
        <v>0</v>
      </c>
      <c r="AC78" s="181"/>
      <c r="AD78" s="625"/>
      <c r="AE78" s="626"/>
      <c r="AF78" s="696"/>
      <c r="AG78" s="697"/>
      <c r="AH78" s="629"/>
      <c r="AI78" s="187"/>
      <c r="AJ78" s="630"/>
      <c r="AK78" s="630"/>
      <c r="AL78" s="595"/>
      <c r="AM78" s="595"/>
      <c r="AN78" s="595"/>
      <c r="AO78" s="595"/>
      <c r="AP78" s="595"/>
      <c r="AQ78" s="595"/>
      <c r="AR78" s="595"/>
      <c r="AS78" s="595"/>
      <c r="AT78" s="595"/>
      <c r="AU78" s="595"/>
      <c r="AV78" s="595"/>
      <c r="AW78" s="595"/>
      <c r="AX78" s="595"/>
      <c r="AY78" s="595"/>
      <c r="AZ78" s="595"/>
      <c r="BA78" s="595"/>
      <c r="BB78" s="595"/>
      <c r="BC78" s="595"/>
      <c r="BD78" s="595"/>
      <c r="BE78" s="595"/>
      <c r="BF78" s="595"/>
      <c r="BG78" s="595"/>
      <c r="BH78" s="595"/>
      <c r="BI78" s="651"/>
      <c r="BJ78" s="651"/>
      <c r="BK78" s="651"/>
      <c r="BL78" s="651"/>
      <c r="BM78" s="651"/>
      <c r="BN78" s="651"/>
      <c r="BO78" s="651"/>
      <c r="BP78" s="651"/>
      <c r="BQ78" s="651"/>
      <c r="BR78" s="651"/>
      <c r="BS78" s="651"/>
      <c r="BT78" s="651"/>
    </row>
    <row r="79">
      <c r="A79" s="631"/>
      <c r="B79" s="154" t="str">
        <f>IFERROR(__xludf.DUMMYFUNCTION("IFERROR(
  IF(C79="""","""",
    IF(OR(REGEXMATCH(D79,""(?i)-Flashing""), REGEXMATCH(D79,""(?i)-EavesGut""), REGEXMATCH(D79,""(?i)Valley"")),
        ""DR"" &amp;
        TEXT(
            ROUNDUP(
                MIN(
                    VALUE(MID(C79, FIND("&amp;"""("",C79)+1, FIND(""/"",C79)-FIND(""("",C79)-1)),
                    1200
                ) / 50, 0
            ) * 50, ""0""
        ) &amp;
        MID(C79, FIND(""/"",C79)+1, FIND("")"",C79)-FIND(""/"",C79)-1) &amp;
        TEXT(H79*100,""0"") &amp;
        I79,"&amp;"
    IF(AND(D79=""Roof Sheet"", REGEXMATCH(C79,""(?i)KS\d{4}[A-Z]{2}"")),
       REGEXEXTRACT(C79,""(?i)KS\d{4}[A-Z]{2}""),
    IF(AND(REGEXMATCH(D79,""(?i)-DP""), REGEXMATCH(C79,""(?i)Downpipe"")),
       ""dp"" &amp; REGEXEXTRACT(C79,""(\d+)"") &amp; ""mm"",
  "&amp;"  IF(AND(REGEXMATCH(D79,""(?i)Bracket""), REGEXMATCH(C79,""(?i)Bracket"")),
       ""Brkt"" &amp; REGEXEXTRACT(C79,""(\d+)"") &amp; ""mm"",
    IF(AND(REGEXMATCH(D79,""(?i)-OP""), REGEXMATCH(C79,""(?i)pops"")),
       ""op"" &amp; REGEXEXTRACT(C79,""(\d+)"") &amp; ""mm"""&amp;",
    IF(OR(D79=""R-FFTop"", D79=""R-FFBottom"", D79=""R-FFSide""),
        IF(REGEXMATCH(C79,""(?i)Profiled.*Top|Top.*Profiled""),""pfft"",
        IF(REGEXMATCH(C79,""(?i)Profiled.*Bottom|Bottom.*Profiled""),""pffb"",
        IF(REGEXMATCH(C79,""(?i)Squ"&amp;"are""),""sff"",""""))),
    IF(REGEXMATCH(D79,""(?i)-Rivets""),""Rvt"",
    IF(REGEXMATCH(D79,""(?i)Silicone""),""300ml"",
    IF(REGEXMATCH(D79,""(?i)R-Butyl""),""300ml"",
    IF(REGEXMATCH(D79,""(?i)Fix""),""GenFix"",
    IF(AND(REGEXMATCH(C79,""(?i)Tim"&amp;"ber""), REGEXMATCH(D79,""(?i)Timber"")),""tp"",
    IF(AND(REGEXMATCH(C79,""(?i)Vent G1275""), REGEXMATCH(D79,""(?i)Comb FIller"")),""CFV1275"",
    IF(REGEXMATCH(C79,""(?i)DPC""),""dpc"",
    IF(REGEXMATCH(C79,""(?i)Concealed Clips""),""ConClips"",
    I"&amp;"F(REGEXMATCH(D79,""(?i)-Takeoff ea""),""Takeoff ea"",
    IF(REGEXMATCH(D79,""(?i)-Takeoff LM""),""Takeoff LM"",
    IF(REGEXMATCH(D79,""(?i)-Takeoff m2""),""Takeoff m2"",
    IF(D79=""R-TU/TD"",""TU/TD"","""")))))))))))))))))
  )))"),"GenFix")</f>
        <v>GenFix</v>
      </c>
      <c r="C79" s="698" t="s">
        <v>102</v>
      </c>
      <c r="D79" s="124" t="s">
        <v>389</v>
      </c>
      <c r="E79" s="168">
        <f t="shared" si="53"/>
        <v>2.65</v>
      </c>
      <c r="F79" s="699"/>
      <c r="G79" s="158"/>
      <c r="H79" s="700" t="str">
        <f>IFERROR(__xludf.DUMMYFUNCTION("IFERROR(REGEXEXTRACT(C79, ""(\d*\.\d+)mm""), """")"),"")</f>
        <v/>
      </c>
      <c r="I79" s="700"/>
      <c r="J79" s="126" t="s">
        <v>87</v>
      </c>
      <c r="K79" s="126" t="s">
        <v>52</v>
      </c>
      <c r="L79" s="135"/>
      <c r="M79" s="150">
        <f>ROUNDUP((M76*E79)*8,0)+1</f>
        <v>86</v>
      </c>
      <c r="N79" s="151">
        <f t="shared" si="51"/>
        <v>1.001372346</v>
      </c>
      <c r="O79" s="169">
        <v>1.0</v>
      </c>
      <c r="P79" s="134">
        <f t="shared" si="52"/>
        <v>1</v>
      </c>
      <c r="Q79" s="168">
        <f t="shared" si="47"/>
        <v>86.11802176</v>
      </c>
      <c r="R79" s="136" t="str">
        <f>IFERROR(
  IF(B79="", "", VLOOKUP(B79, Data!$B$2:$K$905, 9, FALSE)),
  ""
)</f>
        <v/>
      </c>
      <c r="S79" s="137">
        <f t="shared" si="48"/>
        <v>0</v>
      </c>
      <c r="T79" s="690"/>
      <c r="U79" s="136" t="str">
        <f>IFERROR(
  IF(B79="", "", VLOOKUP(B79, Data!$B$2:$K$905, 10, FALSE)),
  ""
)
</f>
        <v/>
      </c>
      <c r="V79" s="691"/>
      <c r="W79" s="140">
        <f t="shared" si="49"/>
        <v>0</v>
      </c>
      <c r="X79" s="692"/>
      <c r="Y79" s="595"/>
      <c r="Z79" s="595"/>
      <c r="AA79" s="595"/>
      <c r="AB79" s="354">
        <f t="shared" si="50"/>
        <v>0</v>
      </c>
      <c r="AC79" s="181"/>
      <c r="AD79" s="625"/>
      <c r="AE79" s="626"/>
      <c r="AF79" s="696"/>
      <c r="AG79" s="697"/>
      <c r="AH79" s="629"/>
      <c r="AI79" s="187"/>
      <c r="AJ79" s="630"/>
      <c r="AK79" s="630"/>
      <c r="AL79" s="595"/>
      <c r="AM79" s="595"/>
      <c r="AN79" s="595"/>
      <c r="AO79" s="595"/>
      <c r="AP79" s="595"/>
      <c r="AQ79" s="595"/>
      <c r="AR79" s="595"/>
      <c r="AS79" s="595"/>
      <c r="AT79" s="595"/>
      <c r="AU79" s="595"/>
      <c r="AV79" s="595"/>
      <c r="AW79" s="595"/>
      <c r="AX79" s="595"/>
      <c r="AY79" s="595"/>
      <c r="AZ79" s="595"/>
      <c r="BA79" s="595"/>
      <c r="BB79" s="595"/>
      <c r="BC79" s="595"/>
      <c r="BD79" s="595"/>
      <c r="BE79" s="595"/>
      <c r="BF79" s="595"/>
      <c r="BG79" s="595"/>
      <c r="BH79" s="595"/>
      <c r="BI79" s="651"/>
      <c r="BJ79" s="651"/>
      <c r="BK79" s="651"/>
      <c r="BL79" s="651"/>
      <c r="BM79" s="651"/>
      <c r="BN79" s="651"/>
      <c r="BO79" s="651"/>
      <c r="BP79" s="651"/>
      <c r="BQ79" s="651"/>
      <c r="BR79" s="651"/>
      <c r="BS79" s="651"/>
      <c r="BT79" s="651"/>
    </row>
    <row r="80">
      <c r="A80" s="631"/>
      <c r="B80" s="154" t="str">
        <f>IFERROR(__xludf.DUMMYFUNCTION("IFERROR(
  IF(C80="""","""",
    IF(OR(REGEXMATCH(D80,""(?i)-Flashing""), REGEXMATCH(D80,""(?i)-EavesGut""), REGEXMATCH(D80,""(?i)Valley"")),
        ""DR"" &amp;
        TEXT(
            ROUNDUP(
                MIN(
                    VALUE(MID(C80, FIND("&amp;"""("",C80)+1, FIND(""/"",C80)-FIND(""("",C80)-1)),
                    1200
                ) / 50, 0
            ) * 50, ""0""
        ) &amp;
        MID(C80, FIND(""/"",C80)+1, FIND("")"",C80)-FIND(""/"",C80)-1) &amp;
        TEXT(H80*100,""0"") &amp;
        I80,"&amp;"
    IF(AND(D80=""Roof Sheet"", REGEXMATCH(C80,""(?i)KS\d{4}[A-Z]{2}"")),
       REGEXEXTRACT(C80,""(?i)KS\d{4}[A-Z]{2}""),
    IF(AND(REGEXMATCH(D80,""(?i)-DP""), REGEXMATCH(C80,""(?i)Downpipe"")),
       ""dp"" &amp; REGEXEXTRACT(C80,""(\d+)"") &amp; ""mm"",
  "&amp;"  IF(AND(REGEXMATCH(D80,""(?i)Bracket""), REGEXMATCH(C80,""(?i)Bracket"")),
       ""Brkt"" &amp; REGEXEXTRACT(C80,""(\d+)"") &amp; ""mm"",
    IF(AND(REGEXMATCH(D80,""(?i)-OP""), REGEXMATCH(C80,""(?i)pops"")),
       ""op"" &amp; REGEXEXTRACT(C80,""(\d+)"") &amp; ""mm"""&amp;",
    IF(OR(D80=""R-FFTop"", D80=""R-FFBottom"", D80=""R-FFSide""),
        IF(REGEXMATCH(C80,""(?i)Profiled.*Top|Top.*Profiled""),""pfft"",
        IF(REGEXMATCH(C80,""(?i)Profiled.*Bottom|Bottom.*Profiled""),""pffb"",
        IF(REGEXMATCH(C80,""(?i)Squ"&amp;"are""),""sff"",""""))),
    IF(REGEXMATCH(D80,""(?i)-Rivets""),""Rvt"",
    IF(REGEXMATCH(D80,""(?i)Silicone""),""300ml"",
    IF(REGEXMATCH(D80,""(?i)R-Butyl""),""300ml"",
    IF(REGEXMATCH(D80,""(?i)Fix""),""GenFix"",
    IF(AND(REGEXMATCH(C80,""(?i)Tim"&amp;"ber""), REGEXMATCH(D80,""(?i)Timber"")),""tp"",
    IF(AND(REGEXMATCH(C80,""(?i)Vent G1275""), REGEXMATCH(D80,""(?i)Comb FIller"")),""CFV1275"",
    IF(REGEXMATCH(C80,""(?i)DPC""),""dpc"",
    IF(REGEXMATCH(C80,""(?i)Concealed Clips""),""ConClips"",
    I"&amp;"F(REGEXMATCH(D80,""(?i)-Takeoff ea""),""Takeoff ea"",
    IF(REGEXMATCH(D80,""(?i)-Takeoff LM""),""Takeoff LM"",
    IF(REGEXMATCH(D80,""(?i)-Takeoff m2""),""Takeoff m2"",
    IF(D80=""R-TU/TD"",""TU/TD"","""")))))))))))))))))
  )))"),"sff")</f>
        <v>sff</v>
      </c>
      <c r="C80" s="734" t="s">
        <v>110</v>
      </c>
      <c r="D80" s="124" t="s">
        <v>111</v>
      </c>
      <c r="E80" s="704"/>
      <c r="F80" s="699"/>
      <c r="G80" s="158"/>
      <c r="H80" s="700" t="str">
        <f>IFERROR(__xludf.DUMMYFUNCTION("IFERROR(REGEXEXTRACT(C80, ""(\d*\.\d+)mm""), """")"),"")</f>
        <v/>
      </c>
      <c r="I80" s="700"/>
      <c r="J80" s="126" t="s">
        <v>87</v>
      </c>
      <c r="K80" s="126" t="s">
        <v>55</v>
      </c>
      <c r="L80" s="135"/>
      <c r="M80" s="150">
        <f>M76</f>
        <v>4</v>
      </c>
      <c r="N80" s="151">
        <f t="shared" si="51"/>
        <v>1.001372346</v>
      </c>
      <c r="O80" s="169">
        <v>1.0</v>
      </c>
      <c r="P80" s="134">
        <f>P79*2</f>
        <v>2</v>
      </c>
      <c r="Q80" s="168">
        <f t="shared" si="47"/>
        <v>8.010978768</v>
      </c>
      <c r="R80" s="136" t="str">
        <f>IFERROR(
  IF(B80="", "", VLOOKUP(B80, Data!$B$2:$K$905, 9, FALSE)),
  ""
)</f>
        <v/>
      </c>
      <c r="S80" s="137">
        <f t="shared" si="48"/>
        <v>0</v>
      </c>
      <c r="T80" s="690"/>
      <c r="U80" s="136" t="str">
        <f>IFERROR(
  IF(B80="", "", VLOOKUP(B80, Data!$B$2:$K$905, 10, FALSE)),
  ""
)
</f>
        <v/>
      </c>
      <c r="V80" s="691"/>
      <c r="W80" s="140">
        <f t="shared" si="49"/>
        <v>0</v>
      </c>
      <c r="X80" s="692"/>
      <c r="Y80" s="595"/>
      <c r="Z80" s="595"/>
      <c r="AA80" s="595"/>
      <c r="AB80" s="354">
        <f t="shared" si="50"/>
        <v>0</v>
      </c>
      <c r="AC80" s="181"/>
      <c r="AD80" s="625"/>
      <c r="AE80" s="626"/>
      <c r="AF80" s="696"/>
      <c r="AG80" s="697"/>
      <c r="AH80" s="629"/>
      <c r="AI80" s="187"/>
      <c r="AJ80" s="630"/>
      <c r="AK80" s="630"/>
      <c r="AL80" s="595"/>
      <c r="AM80" s="595"/>
      <c r="AN80" s="595"/>
      <c r="AO80" s="595"/>
      <c r="AP80" s="595"/>
      <c r="AQ80" s="595"/>
      <c r="AR80" s="595"/>
      <c r="AS80" s="595"/>
      <c r="AT80" s="595"/>
      <c r="AU80" s="595"/>
      <c r="AV80" s="595"/>
      <c r="AW80" s="595"/>
      <c r="AX80" s="595"/>
      <c r="AY80" s="595"/>
      <c r="AZ80" s="595"/>
      <c r="BA80" s="595"/>
      <c r="BB80" s="595"/>
      <c r="BC80" s="595"/>
      <c r="BD80" s="595"/>
      <c r="BE80" s="595"/>
      <c r="BF80" s="595"/>
      <c r="BG80" s="595"/>
      <c r="BH80" s="595"/>
      <c r="BI80" s="651"/>
      <c r="BJ80" s="651"/>
      <c r="BK80" s="651"/>
      <c r="BL80" s="651"/>
      <c r="BM80" s="651"/>
      <c r="BN80" s="651"/>
      <c r="BO80" s="651"/>
      <c r="BP80" s="651"/>
      <c r="BQ80" s="651"/>
      <c r="BR80" s="651"/>
      <c r="BS80" s="651"/>
      <c r="BT80" s="651"/>
    </row>
    <row r="81">
      <c r="A81" s="631"/>
      <c r="B81" s="154" t="str">
        <f>IFERROR(__xludf.DUMMYFUNCTION("IFERROR(
  IF(C81="""","""",
    IF(OR(REGEXMATCH(D81,""(?i)-Flashing""), REGEXMATCH(D81,""(?i)-EavesGut""), REGEXMATCH(D81,""(?i)Valley"")),
        ""DR"" &amp;
        TEXT(
            ROUNDUP(
                MIN(
                    VALUE(MID(C81, FIND("&amp;"""("",C81)+1, FIND(""/"",C81)-FIND(""("",C81)-1)),
                    1200
                ) / 50, 0
            ) * 50, ""0""
        ) &amp;
        MID(C81, FIND(""/"",C81)+1, FIND("")"",C81)-FIND(""/"",C81)-1) &amp;
        TEXT(H81*100,""0"") &amp;
        I81,"&amp;"
    IF(AND(D81=""Roof Sheet"", REGEXMATCH(C81,""(?i)KS\d{4}[A-Z]{2}"")),
       REGEXEXTRACT(C81,""(?i)KS\d{4}[A-Z]{2}""),
    IF(AND(REGEXMATCH(D81,""(?i)-DP""), REGEXMATCH(C81,""(?i)Downpipe"")),
       ""dp"" &amp; REGEXEXTRACT(C81,""(\d+)"") &amp; ""mm"",
  "&amp;"  IF(AND(REGEXMATCH(D81,""(?i)Bracket""), REGEXMATCH(C81,""(?i)Bracket"")),
       ""Brkt"" &amp; REGEXEXTRACT(C81,""(\d+)"") &amp; ""mm"",
    IF(AND(REGEXMATCH(D81,""(?i)-OP""), REGEXMATCH(C81,""(?i)pops"")),
       ""op"" &amp; REGEXEXTRACT(C81,""(\d+)"") &amp; ""mm"""&amp;",
    IF(OR(D81=""R-FFTop"", D81=""R-FFBottom"", D81=""R-FFSide""),
        IF(REGEXMATCH(C81,""(?i)Profiled.*Top|Top.*Profiled""),""pfft"",
        IF(REGEXMATCH(C81,""(?i)Profiled.*Bottom|Bottom.*Profiled""),""pffb"",
        IF(REGEXMATCH(C81,""(?i)Squ"&amp;"are""),""sff"",""""))),
    IF(REGEXMATCH(D81,""(?i)-Rivets""),""Rvt"",
    IF(REGEXMATCH(D81,""(?i)Silicone""),""300ml"",
    IF(REGEXMATCH(D81,""(?i)R-Butyl""),""300ml"",
    IF(REGEXMATCH(D81,""(?i)Fix""),""GenFix"",
    IF(AND(REGEXMATCH(C81,""(?i)Tim"&amp;"ber""), REGEXMATCH(D81,""(?i)Timber"")),""tp"",
    IF(AND(REGEXMATCH(C81,""(?i)Vent G1275""), REGEXMATCH(D81,""(?i)Comb FIller"")),""CFV1275"",
    IF(REGEXMATCH(C81,""(?i)DPC""),""dpc"",
    IF(REGEXMATCH(C81,""(?i)Concealed Clips""),""ConClips"",
    I"&amp;"F(REGEXMATCH(D81,""(?i)-Takeoff ea""),""Takeoff ea"",
    IF(REGEXMATCH(D81,""(?i)-Takeoff LM""),""Takeoff LM"",
    IF(REGEXMATCH(D81,""(?i)-Takeoff m2""),""Takeoff m2"",
    IF(D81=""R-TU/TD"",""TU/TD"","""")))))))))))))))))
  )))"),"pfft")</f>
        <v>pfft</v>
      </c>
      <c r="C81" s="734" t="s">
        <v>104</v>
      </c>
      <c r="D81" s="124" t="s">
        <v>105</v>
      </c>
      <c r="E81" s="712"/>
      <c r="F81" s="721"/>
      <c r="G81" s="158"/>
      <c r="H81" s="700"/>
      <c r="I81" s="700"/>
      <c r="J81" s="126" t="s">
        <v>87</v>
      </c>
      <c r="K81" s="126" t="s">
        <v>55</v>
      </c>
      <c r="L81" s="168"/>
      <c r="M81" s="150">
        <f>E79</f>
        <v>2.65</v>
      </c>
      <c r="N81" s="151">
        <f>IFERROR(__xludf.DUMMYFUNCTION("IF(B81="""", """", IFERROR(1 / COS(RADIANS(REGEXEXTRACT(F81,""(\d+)""))), 1))"),1.0)</f>
        <v>1</v>
      </c>
      <c r="O81" s="169">
        <v>1.0</v>
      </c>
      <c r="P81" s="134">
        <f>P80</f>
        <v>2</v>
      </c>
      <c r="Q81" s="168">
        <f t="shared" si="47"/>
        <v>5.3</v>
      </c>
      <c r="R81" s="136" t="str">
        <f>IFERROR(
  IF(B81="", "", VLOOKUP(B81, Data!$B$2:$K$905, 9, FALSE)),
  ""
)</f>
        <v/>
      </c>
      <c r="S81" s="137">
        <f t="shared" si="48"/>
        <v>0</v>
      </c>
      <c r="T81" s="690"/>
      <c r="U81" s="136" t="str">
        <f>IFERROR(
  IF(B81="", "", VLOOKUP(B81, Data!$B$2:$K$905, 10, FALSE)),
  ""
)
</f>
        <v/>
      </c>
      <c r="V81" s="691"/>
      <c r="W81" s="140">
        <f t="shared" si="49"/>
        <v>0</v>
      </c>
      <c r="X81" s="692"/>
      <c r="Y81" s="595"/>
      <c r="Z81" s="595"/>
      <c r="AA81" s="595"/>
      <c r="AB81" s="354">
        <f t="shared" si="50"/>
        <v>0</v>
      </c>
      <c r="AC81" s="181"/>
      <c r="AD81" s="625"/>
      <c r="AE81" s="626"/>
      <c r="AF81" s="696"/>
      <c r="AG81" s="697"/>
      <c r="AH81" s="629"/>
      <c r="AI81" s="187"/>
      <c r="AJ81" s="630"/>
      <c r="AK81" s="630"/>
      <c r="AL81" s="595"/>
      <c r="AM81" s="595"/>
      <c r="AN81" s="595"/>
      <c r="AO81" s="595"/>
      <c r="AP81" s="595"/>
      <c r="AQ81" s="595"/>
      <c r="AR81" s="595"/>
      <c r="AS81" s="595"/>
      <c r="AT81" s="595"/>
      <c r="AU81" s="595"/>
      <c r="AV81" s="595"/>
      <c r="AW81" s="595"/>
      <c r="AX81" s="595"/>
      <c r="AY81" s="595"/>
      <c r="AZ81" s="595"/>
      <c r="BA81" s="595"/>
      <c r="BB81" s="595"/>
      <c r="BC81" s="595"/>
      <c r="BD81" s="595"/>
      <c r="BE81" s="595"/>
      <c r="BF81" s="595"/>
      <c r="BG81" s="595"/>
      <c r="BH81" s="595"/>
      <c r="BI81" s="651"/>
      <c r="BJ81" s="651"/>
      <c r="BK81" s="651"/>
      <c r="BL81" s="651"/>
      <c r="BM81" s="651"/>
      <c r="BN81" s="651"/>
      <c r="BO81" s="651"/>
      <c r="BP81" s="651"/>
      <c r="BQ81" s="651"/>
      <c r="BR81" s="651"/>
      <c r="BS81" s="651"/>
      <c r="BT81" s="651"/>
    </row>
    <row r="82">
      <c r="A82" s="631"/>
      <c r="B82" s="154"/>
      <c r="C82" s="735"/>
      <c r="D82" s="736"/>
      <c r="E82" s="737"/>
      <c r="F82" s="738"/>
      <c r="G82" s="739"/>
      <c r="H82" s="736"/>
      <c r="I82" s="737"/>
      <c r="J82" s="736"/>
      <c r="K82" s="736" t="s">
        <v>42</v>
      </c>
      <c r="L82" s="737"/>
      <c r="M82" s="737" t="s">
        <v>42</v>
      </c>
      <c r="N82" s="151" t="str">
        <f>IFERROR(__xludf.DUMMYFUNCTION("IF(B82="""", """", IFERROR(1 / COS(RADIANS(REGEXEXTRACT(F82,""(\d+)""))), 1))"),"")</f>
        <v/>
      </c>
      <c r="O82" s="737"/>
      <c r="P82" s="736"/>
      <c r="Q82" s="740"/>
      <c r="R82" s="136" t="str">
        <f>IFERROR(
  IF(B82="", "", VLOOKUP(B82, Data!$B$2:$K$905, 9, FALSE)),
  ""
)</f>
        <v/>
      </c>
      <c r="S82" s="741"/>
      <c r="T82" s="741"/>
      <c r="U82" s="136" t="str">
        <f>IFERROR(
  IF(B82="", "", VLOOKUP(B82, Data!$B$2:$K$905, 10, FALSE)),
  ""
)
</f>
        <v/>
      </c>
      <c r="V82" s="741"/>
      <c r="W82" s="742"/>
      <c r="X82" s="595"/>
      <c r="Y82" s="595"/>
      <c r="Z82" s="595"/>
      <c r="AA82" s="595"/>
      <c r="AB82" s="595"/>
      <c r="AC82" s="181"/>
      <c r="AD82" s="625"/>
      <c r="AE82" s="626"/>
      <c r="AF82" s="627"/>
      <c r="AG82" s="697"/>
      <c r="AH82" s="629"/>
      <c r="AI82" s="187"/>
      <c r="AJ82" s="630"/>
      <c r="AK82" s="630"/>
      <c r="AL82" s="595"/>
      <c r="AM82" s="595"/>
      <c r="AN82" s="595"/>
      <c r="AO82" s="595"/>
      <c r="AP82" s="595"/>
      <c r="AQ82" s="595"/>
      <c r="AR82" s="595"/>
      <c r="AS82" s="595"/>
      <c r="AT82" s="595"/>
      <c r="AU82" s="595"/>
      <c r="AV82" s="595"/>
      <c r="AW82" s="595"/>
      <c r="AX82" s="595"/>
      <c r="AY82" s="595"/>
      <c r="AZ82" s="595"/>
      <c r="BA82" s="595"/>
      <c r="BB82" s="595"/>
      <c r="BC82" s="595"/>
      <c r="BD82" s="595"/>
      <c r="BE82" s="595"/>
      <c r="BF82" s="595"/>
      <c r="BG82" s="595"/>
      <c r="BH82" s="595"/>
      <c r="BI82" s="651"/>
      <c r="BJ82" s="651"/>
      <c r="BK82" s="651"/>
      <c r="BL82" s="651"/>
      <c r="BM82" s="651"/>
      <c r="BN82" s="651"/>
      <c r="BO82" s="651"/>
      <c r="BP82" s="651"/>
      <c r="BQ82" s="651"/>
      <c r="BR82" s="651"/>
      <c r="BS82" s="651"/>
      <c r="BT82" s="651"/>
    </row>
    <row r="83">
      <c r="A83" s="631">
        <v>1.0</v>
      </c>
      <c r="B83" s="727"/>
      <c r="C83" s="103" t="s">
        <v>462</v>
      </c>
      <c r="D83" s="678"/>
      <c r="E83" s="676"/>
      <c r="F83" s="677"/>
      <c r="G83" s="157"/>
      <c r="H83" s="678"/>
      <c r="I83" s="678"/>
      <c r="J83" s="678"/>
      <c r="K83" s="678" t="s">
        <v>42</v>
      </c>
      <c r="L83" s="106">
        <f>Q83</f>
        <v>147</v>
      </c>
      <c r="M83" s="679" t="s">
        <v>42</v>
      </c>
      <c r="N83" s="680"/>
      <c r="O83" s="679"/>
      <c r="P83" s="678"/>
      <c r="Q83" s="106">
        <f>Q84</f>
        <v>147</v>
      </c>
      <c r="R83" s="136" t="str">
        <f>IFERROR(
  IF(B83="", "", VLOOKUP(B83, Data!$B$2:$K$905, 9, FALSE)),
  ""
)</f>
        <v/>
      </c>
      <c r="S83" s="682">
        <f>IFERROR(T83/Q83, 0)</f>
        <v>0</v>
      </c>
      <c r="T83" s="109">
        <f>SUM(S84:S90)</f>
        <v>0</v>
      </c>
      <c r="U83" s="136" t="str">
        <f>IFERROR(
  IF(B83="", "", VLOOKUP(B83, Data!$B$2:$K$905, 10, FALSE)),
  ""
)
</f>
        <v/>
      </c>
      <c r="V83" s="109">
        <f>W83/Q83</f>
        <v>0</v>
      </c>
      <c r="W83" s="110">
        <f>SUM(W84:W90)</f>
        <v>0</v>
      </c>
      <c r="X83" s="111" t="str">
        <f>W83/$AC$758/$W$765/$X$755</f>
        <v>#REF!</v>
      </c>
      <c r="Y83" s="112" t="b">
        <f>(T83+W83)=(SUM(AB84:AB90))</f>
        <v>1</v>
      </c>
      <c r="Z83" s="113">
        <f>(T83+W83)-(SUM(AB84:AB90))</f>
        <v>0</v>
      </c>
      <c r="AA83" s="595"/>
      <c r="AB83" s="595"/>
      <c r="AC83" s="181"/>
      <c r="AD83" s="114">
        <f>W83+T83</f>
        <v>0</v>
      </c>
      <c r="AE83" s="115">
        <f>AD83</f>
        <v>0</v>
      </c>
      <c r="AF83" s="116" t="str">
        <f>AE83/$AE$733</f>
        <v>#REF!</v>
      </c>
      <c r="AG83" s="683" t="str">
        <f>AF83*$AG$740</f>
        <v>#REF!</v>
      </c>
      <c r="AH83" s="118" t="str">
        <f>AF83*$AG$743</f>
        <v>#REF!</v>
      </c>
      <c r="AI83" s="187"/>
      <c r="AJ83" s="119" t="str">
        <f>ROUND(AK83/L83,2)</f>
        <v>#REF!</v>
      </c>
      <c r="AK83" s="119" t="str">
        <f>ROUND(AH83+AG83+AD83,2)</f>
        <v>#REF!</v>
      </c>
      <c r="AL83" s="595"/>
      <c r="AM83" s="595"/>
      <c r="AN83" s="595"/>
      <c r="AO83" s="595"/>
      <c r="AP83" s="595"/>
      <c r="AQ83" s="595"/>
      <c r="AR83" s="595"/>
      <c r="AS83" s="595"/>
      <c r="AT83" s="595"/>
      <c r="AU83" s="595"/>
      <c r="AV83" s="595"/>
      <c r="AW83" s="595"/>
      <c r="AX83" s="595"/>
      <c r="AY83" s="595"/>
      <c r="AZ83" s="595"/>
      <c r="BA83" s="595"/>
      <c r="BB83" s="595"/>
      <c r="BC83" s="595"/>
      <c r="BD83" s="595"/>
      <c r="BE83" s="595"/>
      <c r="BF83" s="595"/>
      <c r="BG83" s="595"/>
      <c r="BH83" s="595"/>
      <c r="BI83" s="651"/>
      <c r="BJ83" s="651"/>
      <c r="BK83" s="651"/>
      <c r="BL83" s="651"/>
      <c r="BM83" s="651"/>
      <c r="BN83" s="651"/>
      <c r="BO83" s="651"/>
      <c r="BP83" s="651"/>
      <c r="BQ83" s="651"/>
      <c r="BR83" s="651"/>
      <c r="BS83" s="651"/>
      <c r="BT83" s="651"/>
    </row>
    <row r="84">
      <c r="A84" s="716" t="s">
        <v>444</v>
      </c>
      <c r="B84" s="154" t="str">
        <f>IFERROR(__xludf.DUMMYFUNCTION("IFERROR(
  IF(C84="""","""",
    IF(OR(REGEXMATCH(D84,""(?i)-Flashing""), REGEXMATCH(D84,""(?i)-EavesGut""), REGEXMATCH(D84,""(?i)Valley"")),
        ""DR"" &amp;
        TEXT(
            ROUNDUP(
                VALUE(MID(C84, FIND(""("",C84)+1, FIND(""/"","&amp;"C84)-FIND(""("",C84)-1)) / 50,
            0) * 50, ""0""
        ) &amp;
        MID(C84, FIND(""/"",C84)+1, FIND("")"",C84)-FIND(""/"",C84)-1) &amp;
        TEXT(H84*100,""0"") &amp;
        I84,
    IF(AND(D84=""Roof Sheet"", REGEXMATCH(C84,""(?i)KS\d{4}[A-Z]{2}"""&amp;")),
       REGEXEXTRACT(C84,""(?i)KS\d{4}[A-Z]{2}""),
    IF(AND(REGEXMATCH(D84,""(?i)-DP""), REGEXMATCH(C84,""(?i)Downpipe"")),
       ""dp"" &amp; REGEXEXTRACT(C84,""(\d+)"") &amp; ""mm"",
    IF(AND(REGEXMATCH(D84,""(?i)Bracket""), REGEXMATCH(C84,""(?i)Bracket"&amp;""")),
       ""Brkt"" &amp; REGEXEXTRACT(C84,""(\d+)"") &amp; ""mm"",
    IF(AND(REGEXMATCH(D84,""(?i)-OP""), REGEXMATCH(C84,""(?i)pops"")),
       ""op"" &amp; REGEXEXTRACT(C84,""(\d+)"") &amp; ""mm"",
    IF(OR(D84=""R-FFTop"", D84=""R-FFBottom"", D84=""R-FFSide""),
  "&amp;"      IF(REGEXMATCH(C84,""(?i)Profiled.*Top|Top.*Profiled""),""pfft"",
        IF(REGEXMATCH(C84,""(?i)Profiled.*Bottom|Bottom.*Profiled""),""pffb"",
        IF(REGEXMATCH(C84,""(?i)Square""),""sff"",""""))),
    IF(REGEXMATCH(D84,""(?i)-Rivets""),""Rvt"""&amp;",
    IF(REGEXMATCH(D84,""(?i)Silicone""),""300ml"",
    IF(REGEXMATCH(D84,""(?i)R-Butyl""),""300ml"",
    IF(REGEXMATCH(D84,""(?i)Fix""),""GenFix"",
    IF(AND(REGEXMATCH(C84,""(?i)Timber""), REGEXMATCH(D84,""(?i)Timber"")),""tp"",
    IF(AND(REGEXMATCH("&amp;"C84,""(?i)Vent G1275""), REGEXMATCH(D84,""(?i)Comb FIller"")),""CFV1275"",
    IF(REGEXMATCH(C84,""(?i)DPC""),""dpc"",
    IF(REGEXMATCH(C84,""(?i)Concealed Clips""),""ConClips"",
    IF(REGEXMATCH(D84,""(?i)-Takeoff ea""),""Takeoff ea"",
    IF(REGEXMATC"&amp;"H(D84,""(?i)-Takeoff LM""),""Takeoff LM"",
    IF(REGEXMATCH(D84,""(?i)-Takeoff m2""),""Takeoff m2"",
    IF(D84=""R-TU/TD"",""TU/TD"","""")))))))))))))))))
  )))"),"DR3503B55Mag")</f>
        <v>DR3503B55Mag</v>
      </c>
      <c r="C84" s="123" t="s">
        <v>463</v>
      </c>
      <c r="D84" s="124" t="s">
        <v>96</v>
      </c>
      <c r="E84" s="687">
        <f>VALUE(MID(C84, FIND("(", C84)+1, FIND("/", C84)-FIND("(", C84)-1)) / 1000</f>
        <v>0.31</v>
      </c>
      <c r="F84" s="688"/>
      <c r="G84" s="689" t="s">
        <v>429</v>
      </c>
      <c r="H84" s="128" t="str">
        <f>IFERROR(__xludf.DUMMYFUNCTION("IFERROR(REGEXEXTRACT(C84, ""(\d*\.\d+)mm""), """")"),"0.55")</f>
        <v>0.55</v>
      </c>
      <c r="I84" s="128" t="s">
        <v>97</v>
      </c>
      <c r="J84" s="126" t="s">
        <v>14</v>
      </c>
      <c r="K84" s="126" t="str">
        <f>IFERROR(
  IF(B84="", "", VLOOKUP(B84, Data!$B$2:$K$905, 7, FALSE)),
  ""
)</f>
        <v/>
      </c>
      <c r="L84" s="704"/>
      <c r="M84" s="150">
        <f>M118</f>
        <v>147</v>
      </c>
      <c r="N84" s="151">
        <f>IFERROR(__xludf.DUMMYFUNCTION("IF(
  AND(
    IFERROR(REGEXEXTRACT(C84,""@\s*(\d+(?:\.\d+)?)\s*deg""),"""")&lt;&gt;"""",
    F84&lt;&gt;""""
  ),
  ""Pls Confirm °"",
  IF(
    IFERROR(REGEXEXTRACT(C84,""@\s*(\d+(?:\.\d+)?)\s*deg""),"""")&lt;&gt;"""",
    1/COS(RADIANS(REGEXEXTRACT(C84,""@\s*(\d+(?:\.\d"&amp;"+)?)\s*deg""))),
    IF(
      F84&lt;&gt;"""",
      IF(
        ISNUMBER(SEARCH(""|"",F84)),
        1/COS(
          ATAN(
            TAN(RADIANS(VALUE(INDEX(SPLIT(F84,""|""),1)))) *
            TAN(RADIANS(VALUE(INDEX(SPLIT(F84,""|""),2))))
            /
 "&amp;"           SQRT(
              TAN(RADIANS(VALUE(INDEX(SPLIT(F84,""|""),1))))^2 +
              TAN(RADIANS(VALUE(INDEX(SPLIT(F84,""|""),2))))^2
            )
          )
        ),
        1/COS(RADIANS(VALUE(F84)))
      ),
      1
    )
  )
)"),1.0)</f>
        <v>1</v>
      </c>
      <c r="O84" s="169">
        <v>1.0</v>
      </c>
      <c r="P84" s="134">
        <v>1.0</v>
      </c>
      <c r="Q84" s="168">
        <f t="shared" ref="Q84:Q87" si="54">M84*N84*O84*P84</f>
        <v>147</v>
      </c>
      <c r="R84" s="136" t="str">
        <f>IFERROR(
  IF(B84="", "", VLOOKUP(B84, Data!$B$2:$K$905, 9, FALSE)),
  ""
)</f>
        <v/>
      </c>
      <c r="S84" s="152">
        <f t="shared" ref="S84:S87" si="55">R84*Q84</f>
        <v>0</v>
      </c>
      <c r="T84" s="690"/>
      <c r="U84" s="136" t="str">
        <f>IFERROR(
  IF(B84="", "", VLOOKUP(B84, Data!$B$2:$K$905, 10, FALSE)),
  ""
)
</f>
        <v/>
      </c>
      <c r="V84" s="691"/>
      <c r="W84" s="140">
        <f t="shared" ref="W84:W87" si="56">U84*Q84</f>
        <v>0</v>
      </c>
      <c r="X84" s="692"/>
      <c r="Y84" s="693"/>
      <c r="Z84" s="731"/>
      <c r="AA84" s="595"/>
      <c r="AB84" s="354">
        <f t="shared" ref="AB84:AB90" si="57">W84+S84</f>
        <v>0</v>
      </c>
      <c r="AC84" s="181"/>
      <c r="AD84" s="625"/>
      <c r="AE84" s="626"/>
      <c r="AF84" s="696"/>
      <c r="AG84" s="697"/>
      <c r="AH84" s="629"/>
      <c r="AI84" s="187"/>
      <c r="AJ84" s="630"/>
      <c r="AK84" s="630"/>
      <c r="AL84" s="595"/>
      <c r="AM84" s="595"/>
      <c r="AN84" s="595"/>
      <c r="AO84" s="595"/>
      <c r="AP84" s="595"/>
      <c r="AQ84" s="595"/>
      <c r="AR84" s="595"/>
      <c r="AS84" s="595"/>
      <c r="AT84" s="595"/>
      <c r="AU84" s="595"/>
      <c r="AV84" s="595"/>
      <c r="AW84" s="595"/>
      <c r="AX84" s="595"/>
      <c r="AY84" s="595"/>
      <c r="AZ84" s="595"/>
      <c r="BA84" s="595"/>
      <c r="BB84" s="595"/>
      <c r="BC84" s="595"/>
      <c r="BD84" s="595"/>
      <c r="BE84" s="595"/>
      <c r="BF84" s="595"/>
      <c r="BG84" s="595"/>
      <c r="BH84" s="595"/>
      <c r="BI84" s="651"/>
      <c r="BJ84" s="651"/>
      <c r="BK84" s="651"/>
      <c r="BL84" s="651"/>
      <c r="BM84" s="651"/>
      <c r="BN84" s="651"/>
      <c r="BO84" s="651"/>
      <c r="BP84" s="651"/>
      <c r="BQ84" s="651"/>
      <c r="BR84" s="651"/>
      <c r="BS84" s="651"/>
      <c r="BT84" s="651"/>
    </row>
    <row r="85">
      <c r="A85" s="631"/>
      <c r="B85" s="154" t="str">
        <f>IFERROR(__xludf.DUMMYFUNCTION("IFERROR(
  IF(C85="""","""",
    IF(OR(REGEXMATCH(D85,""(?i)-Flashing""), REGEXMATCH(D85,""(?i)-EavesGut""), REGEXMATCH(D85,""(?i)Valley"")),
        ""DR"" &amp;
        TEXT(
            ROUNDUP(
                MIN(
                    VALUE(MID(C85, FIND("&amp;"""("",C85)+1, FIND(""/"",C85)-FIND(""("",C85)-1)),
                    1200
                ) / 50, 0
            ) * 50, ""0""
        ) &amp;
        MID(C85, FIND(""/"",C85)+1, FIND("")"",C85)-FIND(""/"",C85)-1) &amp;
        TEXT(H85*100,""0"") &amp;
        I85,"&amp;"
    IF(AND(D85=""Roof Sheet"", REGEXMATCH(C85,""(?i)KS\d{4}[A-Z]{2}"")),
       REGEXEXTRACT(C85,""(?i)KS\d{4}[A-Z]{2}""),
    IF(AND(REGEXMATCH(D85,""(?i)-DP""), REGEXMATCH(C85,""(?i)Downpipe"")),
       ""dp"" &amp; REGEXEXTRACT(C85,""(\d+)"") &amp; ""mm"",
  "&amp;"  IF(AND(REGEXMATCH(D85,""(?i)Bracket""), REGEXMATCH(C85,""(?i)Bracket"")),
       ""Brkt"" &amp; REGEXEXTRACT(C85,""(\d+)"") &amp; ""mm"",
    IF(AND(REGEXMATCH(D85,""(?i)-OP""), REGEXMATCH(C85,""(?i)pops"")),
       ""op"" &amp; REGEXEXTRACT(C85,""(\d+)"") &amp; ""mm"""&amp;",
    IF(OR(D85=""R-FFTop"", D85=""R-FFBottom"", D85=""R-FFSide""),
        IF(REGEXMATCH(C85,""(?i)Profiled.*Top|Top.*Profiled""),""pfft"",
        IF(REGEXMATCH(C85,""(?i)Profiled.*Bottom|Bottom.*Profiled""),""pffb"",
        IF(REGEXMATCH(C85,""(?i)Squ"&amp;"are""),""sff"",""""))),
    IF(REGEXMATCH(D85,""(?i)-Rivets""),""Rvt"",
    IF(REGEXMATCH(D85,""(?i)Silicone""),""300ml"",
    IF(REGEXMATCH(D85,""(?i)R-Butyl""),""300ml"",
    IF(REGEXMATCH(D85,""(?i)Fix""),""GenFix"",
    IF(AND(REGEXMATCH(C85,""(?i)Tim"&amp;"ber""), REGEXMATCH(D85,""(?i)Timber"")),""tp"",
    IF(AND(REGEXMATCH(C85,""(?i)Vent G1275""), REGEXMATCH(D85,""(?i)Comb FIller"")),""CFV1275"",
    IF(REGEXMATCH(C85,""(?i)DPC""),""dpc"",
    IF(REGEXMATCH(C85,""(?i)Concealed Clips""),""ConClips"",
    I"&amp;"F(REGEXMATCH(D85,""(?i)-Takeoff ea""),""Takeoff ea"",
    IF(REGEXMATCH(D85,""(?i)-Takeoff LM""),""Takeoff LM"",
    IF(REGEXMATCH(D85,""(?i)-Takeoff m2""),""Takeoff m2"",
    IF(D85=""R-TU/TD"",""TU/TD"","""")))))))))))))))))
  )))"),"300ml")</f>
        <v>300ml</v>
      </c>
      <c r="C85" s="734" t="s">
        <v>98</v>
      </c>
      <c r="D85" s="124" t="s">
        <v>99</v>
      </c>
      <c r="E85" s="687">
        <f>E84</f>
        <v>0.31</v>
      </c>
      <c r="F85" s="721"/>
      <c r="G85" s="225"/>
      <c r="H85" s="700" t="str">
        <f>IFERROR(__xludf.DUMMYFUNCTION("IFERROR(REGEXEXTRACT(C85, ""(\d*\.\d+)mm""), """")"),"")</f>
        <v/>
      </c>
      <c r="I85" s="700"/>
      <c r="J85" s="126" t="s">
        <v>87</v>
      </c>
      <c r="K85" s="126" t="str">
        <f>IFERROR(
  IF(B85="", "", VLOOKUP(B85, Data!$B$2:$K$905, 7, FALSE)),
  ""
)</f>
        <v/>
      </c>
      <c r="L85" s="704"/>
      <c r="M85" s="150">
        <f>(ROUNDDOWN((M84/5.7)+2,0)*E85)/8</f>
        <v>1.04625</v>
      </c>
      <c r="N85" s="151">
        <f t="shared" ref="N85:N87" si="58">N84</f>
        <v>1</v>
      </c>
      <c r="O85" s="169">
        <v>1.0</v>
      </c>
      <c r="P85" s="134">
        <v>1.0</v>
      </c>
      <c r="Q85" s="168">
        <f t="shared" si="54"/>
        <v>1.04625</v>
      </c>
      <c r="R85" s="136" t="str">
        <f>IFERROR(
  IF(B85="", "", VLOOKUP(B85, Data!$B$2:$K$905, 9, FALSE)),
  ""
)</f>
        <v/>
      </c>
      <c r="S85" s="152">
        <f t="shared" si="55"/>
        <v>0</v>
      </c>
      <c r="T85" s="690"/>
      <c r="U85" s="136" t="str">
        <f>IFERROR(
  IF(B85="", "", VLOOKUP(B85, Data!$B$2:$K$905, 10, FALSE)),
  ""
)
</f>
        <v/>
      </c>
      <c r="V85" s="691"/>
      <c r="W85" s="140">
        <f t="shared" si="56"/>
        <v>0</v>
      </c>
      <c r="X85" s="692"/>
      <c r="Y85" s="595"/>
      <c r="Z85" s="595"/>
      <c r="AA85" s="595"/>
      <c r="AB85" s="354">
        <f t="shared" si="57"/>
        <v>0</v>
      </c>
      <c r="AC85" s="181"/>
      <c r="AD85" s="625"/>
      <c r="AE85" s="626"/>
      <c r="AF85" s="696"/>
      <c r="AG85" s="697"/>
      <c r="AH85" s="629"/>
      <c r="AI85" s="187"/>
      <c r="AJ85" s="630"/>
      <c r="AK85" s="630"/>
      <c r="AL85" s="595"/>
      <c r="AM85" s="595"/>
      <c r="AN85" s="595"/>
      <c r="AO85" s="595"/>
      <c r="AP85" s="595"/>
      <c r="AQ85" s="595"/>
      <c r="AR85" s="595"/>
      <c r="AS85" s="595"/>
      <c r="AT85" s="595"/>
      <c r="AU85" s="595"/>
      <c r="AV85" s="595"/>
      <c r="AW85" s="595"/>
      <c r="AX85" s="595"/>
      <c r="AY85" s="595"/>
      <c r="AZ85" s="595"/>
      <c r="BA85" s="595"/>
      <c r="BB85" s="595"/>
      <c r="BC85" s="595"/>
      <c r="BD85" s="595"/>
      <c r="BE85" s="595"/>
      <c r="BF85" s="595"/>
      <c r="BG85" s="595"/>
      <c r="BH85" s="595"/>
      <c r="BI85" s="651"/>
      <c r="BJ85" s="651"/>
      <c r="BK85" s="651"/>
      <c r="BL85" s="651"/>
      <c r="BM85" s="651"/>
      <c r="BN85" s="651"/>
      <c r="BO85" s="651"/>
      <c r="BP85" s="651"/>
      <c r="BQ85" s="651"/>
      <c r="BR85" s="651"/>
      <c r="BS85" s="651"/>
      <c r="BT85" s="651"/>
    </row>
    <row r="86">
      <c r="A86" s="631"/>
      <c r="B86" s="154" t="str">
        <f>IFERROR(__xludf.DUMMYFUNCTION("IFERROR(
  IF(C86="""","""",
    IF(OR(REGEXMATCH(D86,""(?i)-Flashing""), REGEXMATCH(D86,""(?i)-EavesGut""), REGEXMATCH(D86,""(?i)Valley"")),
        ""DR"" &amp;
        TEXT(
            ROUNDUP(
                MIN(
                    VALUE(MID(C86, FIND("&amp;"""("",C86)+1, FIND(""/"",C86)-FIND(""("",C86)-1)),
                    1200
                ) / 50, 0
            ) * 50, ""0""
        ) &amp;
        MID(C86, FIND(""/"",C86)+1, FIND("")"",C86)-FIND(""/"",C86)-1) &amp;
        TEXT(H86*100,""0"") &amp;
        I86,"&amp;"
    IF(AND(D86=""Roof Sheet"", REGEXMATCH(C86,""(?i)KS\d{4}[A-Z]{2}"")),
       REGEXEXTRACT(C86,""(?i)KS\d{4}[A-Z]{2}""),
    IF(AND(REGEXMATCH(D86,""(?i)-DP""), REGEXMATCH(C86,""(?i)Downpipe"")),
       ""dp"" &amp; REGEXEXTRACT(C86,""(\d+)"") &amp; ""mm"",
  "&amp;"  IF(AND(REGEXMATCH(D86,""(?i)Bracket""), REGEXMATCH(C86,""(?i)Bracket"")),
       ""Brkt"" &amp; REGEXEXTRACT(C86,""(\d+)"") &amp; ""mm"",
    IF(AND(REGEXMATCH(D86,""(?i)-OP""), REGEXMATCH(C86,""(?i)pops"")),
       ""op"" &amp; REGEXEXTRACT(C86,""(\d+)"") &amp; ""mm"""&amp;",
    IF(OR(D86=""R-FFTop"", D86=""R-FFBottom"", D86=""R-FFSide""),
        IF(REGEXMATCH(C86,""(?i)Profiled.*Top|Top.*Profiled""),""pfft"",
        IF(REGEXMATCH(C86,""(?i)Profiled.*Bottom|Bottom.*Profiled""),""pffb"",
        IF(REGEXMATCH(C86,""(?i)Squ"&amp;"are""),""sff"",""""))),
    IF(REGEXMATCH(D86,""(?i)-Rivets""),""Rvt"",
    IF(REGEXMATCH(D86,""(?i)Silicone""),""300ml"",
    IF(REGEXMATCH(D86,""(?i)R-Butyl""),""300ml"",
    IF(REGEXMATCH(D86,""(?i)Fix""),""GenFix"",
    IF(AND(REGEXMATCH(C86,""(?i)Tim"&amp;"ber""), REGEXMATCH(D86,""(?i)Timber"")),""tp"",
    IF(AND(REGEXMATCH(C86,""(?i)Vent G1275""), REGEXMATCH(D86,""(?i)Comb FIller"")),""CFV1275"",
    IF(REGEXMATCH(C86,""(?i)DPC""),""dpc"",
    IF(REGEXMATCH(C86,""(?i)Concealed Clips""),""ConClips"",
    I"&amp;"F(REGEXMATCH(D86,""(?i)-Takeoff ea""),""Takeoff ea"",
    IF(REGEXMATCH(D86,""(?i)-Takeoff LM""),""Takeoff LM"",
    IF(REGEXMATCH(D86,""(?i)-Takeoff m2""),""Takeoff m2"",
    IF(D86=""R-TU/TD"",""TU/TD"","""")))))))))))))))))
  )))"),"Rvt")</f>
        <v>Rvt</v>
      </c>
      <c r="C86" s="734" t="s">
        <v>100</v>
      </c>
      <c r="D86" s="124" t="s">
        <v>101</v>
      </c>
      <c r="E86" s="687">
        <f>E84</f>
        <v>0.31</v>
      </c>
      <c r="F86" s="721"/>
      <c r="G86" s="225"/>
      <c r="H86" s="700" t="str">
        <f>IFERROR(__xludf.DUMMYFUNCTION("IFERROR(REGEXEXTRACT(C86, ""(\d*\.\d+)mm""), """")"),"")</f>
        <v/>
      </c>
      <c r="I86" s="700"/>
      <c r="J86" s="126" t="s">
        <v>87</v>
      </c>
      <c r="K86" s="126" t="str">
        <f>IFERROR(
  IF(B86="", "", VLOOKUP(B86, Data!$B$2:$K$905, 7, FALSE)),
  ""
)</f>
        <v/>
      </c>
      <c r="L86" s="704"/>
      <c r="M86" s="150">
        <f>ROUNDUP(((M84/5.7)+1)*(E86/0.05),0)</f>
        <v>167</v>
      </c>
      <c r="N86" s="151">
        <f t="shared" si="58"/>
        <v>1</v>
      </c>
      <c r="O86" s="169">
        <v>1.0</v>
      </c>
      <c r="P86" s="134">
        <v>1.0</v>
      </c>
      <c r="Q86" s="168">
        <f t="shared" si="54"/>
        <v>167</v>
      </c>
      <c r="R86" s="136" t="str">
        <f>IFERROR(
  IF(B86="", "", VLOOKUP(B86, Data!$B$2:$K$905, 9, FALSE)),
  ""
)</f>
        <v/>
      </c>
      <c r="S86" s="152">
        <f t="shared" si="55"/>
        <v>0</v>
      </c>
      <c r="T86" s="690"/>
      <c r="U86" s="136" t="str">
        <f>IFERROR(
  IF(B86="", "", VLOOKUP(B86, Data!$B$2:$K$905, 10, FALSE)),
  ""
)
</f>
        <v/>
      </c>
      <c r="V86" s="691"/>
      <c r="W86" s="140">
        <f t="shared" si="56"/>
        <v>0</v>
      </c>
      <c r="X86" s="692"/>
      <c r="Y86" s="595"/>
      <c r="Z86" s="595"/>
      <c r="AA86" s="595"/>
      <c r="AB86" s="354">
        <f t="shared" si="57"/>
        <v>0</v>
      </c>
      <c r="AC86" s="181"/>
      <c r="AD86" s="625"/>
      <c r="AE86" s="626"/>
      <c r="AF86" s="696"/>
      <c r="AG86" s="697"/>
      <c r="AH86" s="629"/>
      <c r="AI86" s="187"/>
      <c r="AJ86" s="630"/>
      <c r="AK86" s="630"/>
      <c r="AL86" s="595"/>
      <c r="AM86" s="595"/>
      <c r="AN86" s="595"/>
      <c r="AO86" s="595"/>
      <c r="AP86" s="595"/>
      <c r="AQ86" s="595"/>
      <c r="AR86" s="595"/>
      <c r="AS86" s="595"/>
      <c r="AT86" s="595"/>
      <c r="AU86" s="595"/>
      <c r="AV86" s="595"/>
      <c r="AW86" s="595"/>
      <c r="AX86" s="595"/>
      <c r="AY86" s="595"/>
      <c r="AZ86" s="595"/>
      <c r="BA86" s="595"/>
      <c r="BB86" s="595"/>
      <c r="BC86" s="595"/>
      <c r="BD86" s="595"/>
      <c r="BE86" s="595"/>
      <c r="BF86" s="595"/>
      <c r="BG86" s="595"/>
      <c r="BH86" s="595"/>
      <c r="BI86" s="651"/>
      <c r="BJ86" s="651"/>
      <c r="BK86" s="651"/>
      <c r="BL86" s="651"/>
      <c r="BM86" s="651"/>
      <c r="BN86" s="651"/>
      <c r="BO86" s="651"/>
      <c r="BP86" s="651"/>
      <c r="BQ86" s="651"/>
      <c r="BR86" s="651"/>
      <c r="BS86" s="651"/>
      <c r="BT86" s="651"/>
    </row>
    <row r="87">
      <c r="A87" s="631"/>
      <c r="B87" s="154" t="str">
        <f>IFERROR(__xludf.DUMMYFUNCTION("IFERROR(
  IF(C87="""","""",
    IF(OR(REGEXMATCH(D87,""(?i)-Flashing""), REGEXMATCH(D87,""(?i)-EavesGut""), REGEXMATCH(D87,""(?i)Valley"")),
        ""DR"" &amp;
        TEXT(
            ROUNDUP(
                MIN(
                    VALUE(MID(C87, FIND("&amp;"""("",C87)+1, FIND(""/"",C87)-FIND(""("",C87)-1)),
                    1200
                ) / 50, 0
            ) * 50, ""0""
        ) &amp;
        MID(C87, FIND(""/"",C87)+1, FIND("")"",C87)-FIND(""/"",C87)-1) &amp;
        TEXT(H87*100,""0"") &amp;
        I87,"&amp;"
    IF(AND(D87=""Roof Sheet"", REGEXMATCH(C87,""(?i)KS\d{4}[A-Z]{2}"")),
       REGEXEXTRACT(C87,""(?i)KS\d{4}[A-Z]{2}""),
    IF(AND(REGEXMATCH(D87,""(?i)-DP""), REGEXMATCH(C87,""(?i)Downpipe"")),
       ""dp"" &amp; REGEXEXTRACT(C87,""(\d+)"") &amp; ""mm"",
  "&amp;"  IF(AND(REGEXMATCH(D87,""(?i)Bracket""), REGEXMATCH(C87,""(?i)Bracket"")),
       ""Brkt"" &amp; REGEXEXTRACT(C87,""(\d+)"") &amp; ""mm"",
    IF(AND(REGEXMATCH(D87,""(?i)-OP""), REGEXMATCH(C87,""(?i)pops"")),
       ""op"" &amp; REGEXEXTRACT(C87,""(\d+)"") &amp; ""mm"""&amp;",
    IF(OR(D87=""R-FFTop"", D87=""R-FFBottom"", D87=""R-FFSide""),
        IF(REGEXMATCH(C87,""(?i)Profiled.*Top|Top.*Profiled""),""pfft"",
        IF(REGEXMATCH(C87,""(?i)Profiled.*Bottom|Bottom.*Profiled""),""pffb"",
        IF(REGEXMATCH(C87,""(?i)Squ"&amp;"are""),""sff"",""""))),
    IF(REGEXMATCH(D87,""(?i)-Rivets""),""Rvt"",
    IF(REGEXMATCH(D87,""(?i)Silicone""),""300ml"",
    IF(REGEXMATCH(D87,""(?i)R-Butyl""),""300ml"",
    IF(REGEXMATCH(D87,""(?i)Fix""),""GenFix"",
    IF(AND(REGEXMATCH(C87,""(?i)Tim"&amp;"ber""), REGEXMATCH(D87,""(?i)Timber"")),""tp"",
    IF(AND(REGEXMATCH(C87,""(?i)Vent G1275""), REGEXMATCH(D87,""(?i)Comb FIller"")),""CFV1275"",
    IF(REGEXMATCH(C87,""(?i)DPC""),""dpc"",
    IF(REGEXMATCH(C87,""(?i)Concealed Clips""),""ConClips"",
    I"&amp;"F(REGEXMATCH(D87,""(?i)-Takeoff ea""),""Takeoff ea"",
    IF(REGEXMATCH(D87,""(?i)-Takeoff LM""),""Takeoff LM"",
    IF(REGEXMATCH(D87,""(?i)-Takeoff m2""),""Takeoff m2"",
    IF(D87=""R-TU/TD"",""TU/TD"","""")))))))))))))))))
  )))"),"GenFix")</f>
        <v>GenFix</v>
      </c>
      <c r="C87" s="698" t="s">
        <v>102</v>
      </c>
      <c r="D87" s="124" t="s">
        <v>103</v>
      </c>
      <c r="E87" s="722"/>
      <c r="F87" s="721"/>
      <c r="G87" s="158"/>
      <c r="H87" s="700"/>
      <c r="I87" s="700"/>
      <c r="J87" s="126" t="s">
        <v>87</v>
      </c>
      <c r="K87" s="126" t="str">
        <f>IFERROR(
  IF(B87="", "", VLOOKUP(B87, Data!$B$2:$K$905, 7, FALSE)),
  ""
)</f>
        <v/>
      </c>
      <c r="L87" s="712"/>
      <c r="M87" s="150">
        <f>ROUNDUP(M84/0.6,0)+1</f>
        <v>246</v>
      </c>
      <c r="N87" s="151">
        <f t="shared" si="58"/>
        <v>1</v>
      </c>
      <c r="O87" s="169">
        <v>1.0</v>
      </c>
      <c r="P87" s="134">
        <v>2.0</v>
      </c>
      <c r="Q87" s="168">
        <f t="shared" si="54"/>
        <v>492</v>
      </c>
      <c r="R87" s="136" t="str">
        <f>IFERROR(
  IF(B87="", "", VLOOKUP(B87, Data!$B$2:$K$905, 9, FALSE)),
  ""
)</f>
        <v/>
      </c>
      <c r="S87" s="152">
        <f t="shared" si="55"/>
        <v>0</v>
      </c>
      <c r="T87" s="690"/>
      <c r="U87" s="136" t="str">
        <f>IFERROR(
  IF(B87="", "", VLOOKUP(B87, Data!$B$2:$K$905, 10, FALSE)),
  ""
)
</f>
        <v/>
      </c>
      <c r="V87" s="691"/>
      <c r="W87" s="140">
        <f t="shared" si="56"/>
        <v>0</v>
      </c>
      <c r="X87" s="692"/>
      <c r="Y87" s="595"/>
      <c r="Z87" s="595"/>
      <c r="AA87" s="595"/>
      <c r="AB87" s="354">
        <f t="shared" si="57"/>
        <v>0</v>
      </c>
      <c r="AC87" s="181"/>
      <c r="AD87" s="625"/>
      <c r="AE87" s="626"/>
      <c r="AF87" s="696"/>
      <c r="AG87" s="697"/>
      <c r="AH87" s="629"/>
      <c r="AI87" s="187"/>
      <c r="AJ87" s="630"/>
      <c r="AK87" s="630"/>
      <c r="AL87" s="595"/>
      <c r="AM87" s="595"/>
      <c r="AN87" s="595"/>
      <c r="AO87" s="595"/>
      <c r="AP87" s="595"/>
      <c r="AQ87" s="595"/>
      <c r="AR87" s="595"/>
      <c r="AS87" s="595"/>
      <c r="AT87" s="595"/>
      <c r="AU87" s="595"/>
      <c r="AV87" s="595"/>
      <c r="AW87" s="595"/>
      <c r="AX87" s="595"/>
      <c r="AY87" s="595"/>
      <c r="AZ87" s="595"/>
      <c r="BA87" s="595"/>
      <c r="BB87" s="595"/>
      <c r="BC87" s="595"/>
      <c r="BD87" s="595"/>
      <c r="BE87" s="595"/>
      <c r="BF87" s="595"/>
      <c r="BG87" s="595"/>
      <c r="BH87" s="595"/>
      <c r="BI87" s="651"/>
      <c r="BJ87" s="651"/>
      <c r="BK87" s="651"/>
      <c r="BL87" s="651"/>
      <c r="BM87" s="651"/>
      <c r="BN87" s="651"/>
      <c r="BO87" s="651"/>
      <c r="BP87" s="651"/>
      <c r="BQ87" s="651"/>
      <c r="BR87" s="651"/>
      <c r="BS87" s="651"/>
      <c r="BT87" s="651"/>
    </row>
    <row r="88">
      <c r="A88" s="631"/>
      <c r="B88" s="154"/>
      <c r="C88" s="698"/>
      <c r="D88" s="124"/>
      <c r="E88" s="722"/>
      <c r="F88" s="721"/>
      <c r="G88" s="158"/>
      <c r="H88" s="700"/>
      <c r="I88" s="700"/>
      <c r="J88" s="126"/>
      <c r="K88" s="126"/>
      <c r="L88" s="712"/>
      <c r="M88" s="150"/>
      <c r="N88" s="151"/>
      <c r="O88" s="169"/>
      <c r="P88" s="134"/>
      <c r="Q88" s="168"/>
      <c r="R88" s="136"/>
      <c r="S88" s="152"/>
      <c r="T88" s="690"/>
      <c r="U88" s="136"/>
      <c r="V88" s="691"/>
      <c r="W88" s="140"/>
      <c r="X88" s="692"/>
      <c r="Y88" s="595"/>
      <c r="Z88" s="595"/>
      <c r="AA88" s="595"/>
      <c r="AB88" s="354">
        <f t="shared" si="57"/>
        <v>0</v>
      </c>
      <c r="AC88" s="181"/>
      <c r="AD88" s="625"/>
      <c r="AE88" s="626"/>
      <c r="AF88" s="696"/>
      <c r="AG88" s="697"/>
      <c r="AH88" s="629"/>
      <c r="AI88" s="187"/>
      <c r="AJ88" s="630"/>
      <c r="AK88" s="630"/>
      <c r="AL88" s="595"/>
      <c r="AM88" s="595"/>
      <c r="AN88" s="595"/>
      <c r="AO88" s="595"/>
      <c r="AP88" s="595"/>
      <c r="AQ88" s="595"/>
      <c r="AR88" s="595"/>
      <c r="AS88" s="595"/>
      <c r="AT88" s="595"/>
      <c r="AU88" s="595"/>
      <c r="AV88" s="595"/>
      <c r="AW88" s="595"/>
      <c r="AX88" s="595"/>
      <c r="AY88" s="595"/>
      <c r="AZ88" s="595"/>
      <c r="BA88" s="595"/>
      <c r="BB88" s="595"/>
      <c r="BC88" s="595"/>
      <c r="BD88" s="595"/>
      <c r="BE88" s="595"/>
      <c r="BF88" s="595"/>
      <c r="BG88" s="595"/>
      <c r="BH88" s="595"/>
      <c r="BI88" s="651"/>
      <c r="BJ88" s="651"/>
      <c r="BK88" s="651"/>
      <c r="BL88" s="651"/>
      <c r="BM88" s="651"/>
      <c r="BN88" s="651"/>
      <c r="BO88" s="651"/>
      <c r="BP88" s="651"/>
      <c r="BQ88" s="651"/>
      <c r="BR88" s="651"/>
      <c r="BS88" s="651"/>
      <c r="BT88" s="651"/>
    </row>
    <row r="89">
      <c r="A89" s="716" t="s">
        <v>435</v>
      </c>
      <c r="B89" s="122" t="s">
        <v>128</v>
      </c>
      <c r="C89" s="123" t="s">
        <v>464</v>
      </c>
      <c r="D89" s="148" t="s">
        <v>130</v>
      </c>
      <c r="E89" s="722"/>
      <c r="F89" s="721"/>
      <c r="G89" s="158"/>
      <c r="H89" s="700"/>
      <c r="I89" s="700"/>
      <c r="J89" s="126" t="s">
        <v>87</v>
      </c>
      <c r="K89" s="126" t="str">
        <f>IFERROR(
  IF(B89="", "", VLOOKUP(B89, Data!$B$2:$K$905, 7, FALSE)),
  ""
)</f>
        <v/>
      </c>
      <c r="L89" s="712"/>
      <c r="M89" s="150">
        <f>M84</f>
        <v>147</v>
      </c>
      <c r="N89" s="151">
        <f>N87</f>
        <v>1</v>
      </c>
      <c r="O89" s="169">
        <v>1.0</v>
      </c>
      <c r="P89" s="156">
        <v>1.0</v>
      </c>
      <c r="Q89" s="168">
        <f>M89*N89*O89*P89</f>
        <v>147</v>
      </c>
      <c r="R89" s="136" t="str">
        <f>IFERROR(
  IF(B89="", "", VLOOKUP(B89, Data!$B$2:$K$905, 9, FALSE)),
  ""
)</f>
        <v/>
      </c>
      <c r="S89" s="152">
        <f>R89*Q89</f>
        <v>0</v>
      </c>
      <c r="T89" s="690"/>
      <c r="U89" s="136" t="str">
        <f>IFERROR(
  IF(B89="", "", VLOOKUP(B89, Data!$B$2:$K$905, 10, FALSE)),
  ""
)
</f>
        <v/>
      </c>
      <c r="V89" s="691"/>
      <c r="W89" s="140">
        <f>U89*Q89</f>
        <v>0</v>
      </c>
      <c r="X89" s="692"/>
      <c r="Y89" s="595"/>
      <c r="Z89" s="595"/>
      <c r="AA89" s="595"/>
      <c r="AB89" s="354">
        <f t="shared" si="57"/>
        <v>0</v>
      </c>
      <c r="AC89" s="181"/>
      <c r="AD89" s="625"/>
      <c r="AE89" s="626"/>
      <c r="AF89" s="696"/>
      <c r="AG89" s="697"/>
      <c r="AH89" s="629"/>
      <c r="AI89" s="187"/>
      <c r="AJ89" s="630"/>
      <c r="AK89" s="630"/>
      <c r="AL89" s="595"/>
      <c r="AM89" s="595"/>
      <c r="AN89" s="595"/>
      <c r="AO89" s="595"/>
      <c r="AP89" s="595"/>
      <c r="AQ89" s="595"/>
      <c r="AR89" s="595"/>
      <c r="AS89" s="595"/>
      <c r="AT89" s="595"/>
      <c r="AU89" s="595"/>
      <c r="AV89" s="595"/>
      <c r="AW89" s="595"/>
      <c r="AX89" s="595"/>
      <c r="AY89" s="595"/>
      <c r="AZ89" s="595"/>
      <c r="BA89" s="595"/>
      <c r="BB89" s="595"/>
      <c r="BC89" s="595"/>
      <c r="BD89" s="595"/>
      <c r="BE89" s="595"/>
      <c r="BF89" s="595"/>
      <c r="BG89" s="595"/>
      <c r="BH89" s="595"/>
      <c r="BI89" s="651"/>
      <c r="BJ89" s="651"/>
      <c r="BK89" s="651"/>
      <c r="BL89" s="651"/>
      <c r="BM89" s="651"/>
      <c r="BN89" s="651"/>
      <c r="BO89" s="651"/>
      <c r="BP89" s="651"/>
      <c r="BQ89" s="651"/>
      <c r="BR89" s="651"/>
      <c r="BS89" s="651"/>
      <c r="BT89" s="651"/>
    </row>
    <row r="90">
      <c r="A90" s="631"/>
      <c r="B90" s="154"/>
      <c r="C90" s="734"/>
      <c r="D90" s="124"/>
      <c r="E90" s="722"/>
      <c r="F90" s="721"/>
      <c r="G90" s="158"/>
      <c r="H90" s="700"/>
      <c r="I90" s="700"/>
      <c r="J90" s="126"/>
      <c r="K90" s="126"/>
      <c r="L90" s="712"/>
      <c r="M90" s="150"/>
      <c r="N90" s="151"/>
      <c r="O90" s="169"/>
      <c r="P90" s="134"/>
      <c r="Q90" s="168"/>
      <c r="R90" s="136" t="str">
        <f>IFERROR(
  IF(B90="", "", VLOOKUP(B90, Data!$B$2:$K$905, 9, FALSE)),
  ""
)</f>
        <v/>
      </c>
      <c r="S90" s="152"/>
      <c r="T90" s="690"/>
      <c r="U90" s="136" t="str">
        <f>IFERROR(
  IF(B90="", "", VLOOKUP(B90, Data!$B$2:$K$905, 10, FALSE)),
  ""
)
</f>
        <v/>
      </c>
      <c r="V90" s="691"/>
      <c r="W90" s="140"/>
      <c r="X90" s="692"/>
      <c r="Y90" s="595"/>
      <c r="Z90" s="595"/>
      <c r="AA90" s="595"/>
      <c r="AB90" s="354">
        <f t="shared" si="57"/>
        <v>0</v>
      </c>
      <c r="AC90" s="181"/>
      <c r="AD90" s="625"/>
      <c r="AE90" s="626"/>
      <c r="AF90" s="696"/>
      <c r="AG90" s="697"/>
      <c r="AH90" s="629"/>
      <c r="AI90" s="187"/>
      <c r="AJ90" s="630"/>
      <c r="AK90" s="630"/>
      <c r="AL90" s="595"/>
      <c r="AM90" s="595"/>
      <c r="AN90" s="595"/>
      <c r="AO90" s="595"/>
      <c r="AP90" s="595"/>
      <c r="AQ90" s="595"/>
      <c r="AR90" s="595"/>
      <c r="AS90" s="595"/>
      <c r="AT90" s="595"/>
      <c r="AU90" s="595"/>
      <c r="AV90" s="595"/>
      <c r="AW90" s="595"/>
      <c r="AX90" s="595"/>
      <c r="AY90" s="595"/>
      <c r="AZ90" s="595"/>
      <c r="BA90" s="595"/>
      <c r="BB90" s="595"/>
      <c r="BC90" s="595"/>
      <c r="BD90" s="595"/>
      <c r="BE90" s="595"/>
      <c r="BF90" s="595"/>
      <c r="BG90" s="595"/>
      <c r="BH90" s="595"/>
      <c r="BI90" s="651"/>
      <c r="BJ90" s="651"/>
      <c r="BK90" s="651"/>
      <c r="BL90" s="651"/>
      <c r="BM90" s="651"/>
      <c r="BN90" s="651"/>
      <c r="BO90" s="651"/>
      <c r="BP90" s="651"/>
      <c r="BQ90" s="651"/>
      <c r="BR90" s="651"/>
      <c r="BS90" s="651"/>
      <c r="BT90" s="651"/>
    </row>
    <row r="91">
      <c r="A91" s="631">
        <v>1.0</v>
      </c>
      <c r="B91" s="727"/>
      <c r="C91" s="103" t="s">
        <v>465</v>
      </c>
      <c r="D91" s="678"/>
      <c r="E91" s="676"/>
      <c r="F91" s="677"/>
      <c r="G91" s="157"/>
      <c r="H91" s="678"/>
      <c r="I91" s="678"/>
      <c r="J91" s="678"/>
      <c r="K91" s="678" t="s">
        <v>42</v>
      </c>
      <c r="L91" s="106">
        <f>Q91</f>
        <v>147.2017349</v>
      </c>
      <c r="M91" s="679" t="s">
        <v>42</v>
      </c>
      <c r="N91" s="680"/>
      <c r="O91" s="679"/>
      <c r="P91" s="678"/>
      <c r="Q91" s="106">
        <f>Q92</f>
        <v>147.2017349</v>
      </c>
      <c r="R91" s="136" t="str">
        <f>IFERROR(
  IF(B91="", "", VLOOKUP(B91, Data!$B$2:$K$905, 9, FALSE)),
  ""
)</f>
        <v/>
      </c>
      <c r="S91" s="682">
        <f>IFERROR(T91/Q91, 0)</f>
        <v>0</v>
      </c>
      <c r="T91" s="109">
        <f>SUM(S92:S98)</f>
        <v>0</v>
      </c>
      <c r="U91" s="136" t="str">
        <f>IFERROR(
  IF(B91="", "", VLOOKUP(B91, Data!$B$2:$K$905, 10, FALSE)),
  ""
)
</f>
        <v/>
      </c>
      <c r="V91" s="109">
        <f>W91/Q91</f>
        <v>0</v>
      </c>
      <c r="W91" s="110">
        <f>SUM(W92:W98)</f>
        <v>0</v>
      </c>
      <c r="X91" s="111" t="str">
        <f>W91/$AC$758/$W$765/$X$755</f>
        <v>#REF!</v>
      </c>
      <c r="Y91" s="112" t="b">
        <f>(T91+W91)=(SUM(AB92:AB98))</f>
        <v>1</v>
      </c>
      <c r="Z91" s="113">
        <f>(T91+W91)-(SUM(AB92:AB98))</f>
        <v>0</v>
      </c>
      <c r="AA91" s="595"/>
      <c r="AB91" s="595"/>
      <c r="AC91" s="181"/>
      <c r="AD91" s="114">
        <f>W91+T91</f>
        <v>0</v>
      </c>
      <c r="AE91" s="115">
        <f>AD91</f>
        <v>0</v>
      </c>
      <c r="AF91" s="116" t="str">
        <f>AE91/$AE$733</f>
        <v>#REF!</v>
      </c>
      <c r="AG91" s="683" t="str">
        <f>AF91*$AG$740</f>
        <v>#REF!</v>
      </c>
      <c r="AH91" s="118" t="str">
        <f>AF91*$AG$743</f>
        <v>#REF!</v>
      </c>
      <c r="AI91" s="187"/>
      <c r="AJ91" s="119" t="str">
        <f>ROUND(AK91/L91,2)</f>
        <v>#REF!</v>
      </c>
      <c r="AK91" s="119" t="str">
        <f>ROUND(AH91+AG91+AD91,2)</f>
        <v>#REF!</v>
      </c>
      <c r="AL91" s="595"/>
      <c r="AM91" s="595"/>
      <c r="AN91" s="595"/>
      <c r="AO91" s="595"/>
      <c r="AP91" s="595"/>
      <c r="AQ91" s="595"/>
      <c r="AR91" s="595"/>
      <c r="AS91" s="595"/>
      <c r="AT91" s="595"/>
      <c r="AU91" s="595"/>
      <c r="AV91" s="595"/>
      <c r="AW91" s="595"/>
      <c r="AX91" s="595"/>
      <c r="AY91" s="595"/>
      <c r="AZ91" s="595"/>
      <c r="BA91" s="595"/>
      <c r="BB91" s="595"/>
      <c r="BC91" s="595"/>
      <c r="BD91" s="595"/>
      <c r="BE91" s="595"/>
      <c r="BF91" s="595"/>
      <c r="BG91" s="595"/>
      <c r="BH91" s="595"/>
      <c r="BI91" s="651"/>
      <c r="BJ91" s="651"/>
      <c r="BK91" s="651"/>
      <c r="BL91" s="651"/>
      <c r="BM91" s="651"/>
      <c r="BN91" s="651"/>
      <c r="BO91" s="651"/>
      <c r="BP91" s="651"/>
      <c r="BQ91" s="651"/>
      <c r="BR91" s="651"/>
      <c r="BS91" s="651"/>
      <c r="BT91" s="651"/>
    </row>
    <row r="92">
      <c r="A92" s="716" t="s">
        <v>444</v>
      </c>
      <c r="B92" s="154" t="str">
        <f>IFERROR(__xludf.DUMMYFUNCTION("IFERROR(
  IF(C92="""","""",
    IF(OR(REGEXMATCH(D92,""(?i)-Flashing""), REGEXMATCH(D92,""(?i)-EavesGut""), REGEXMATCH(D92,""(?i)Valley"")),
        ""DR"" &amp;
        TEXT(
            ROUNDUP(
                VALUE(MID(C92, FIND(""("",C92)+1, FIND(""/"","&amp;"C92)-FIND(""("",C92)-1)) / 50,
            0) * 50, ""0""
        ) &amp;
        MID(C92, FIND(""/"",C92)+1, FIND("")"",C92)-FIND(""/"",C92)-1) &amp;
        TEXT(H92*100,""0"") &amp;
        I92,
    IF(AND(D92=""Roof Sheet"", REGEXMATCH(C92,""(?i)KS\d{4}[A-Z]{2}"""&amp;")),
       REGEXEXTRACT(C92,""(?i)KS\d{4}[A-Z]{2}""),
    IF(AND(REGEXMATCH(D92,""(?i)-DP""), REGEXMATCH(C92,""(?i)Downpipe"")),
       ""dp"" &amp; REGEXEXTRACT(C92,""(\d+)"") &amp; ""mm"",
    IF(AND(REGEXMATCH(D92,""(?i)Bracket""), REGEXMATCH(C92,""(?i)Bracket"&amp;""")),
       ""Brkt"" &amp; REGEXEXTRACT(C92,""(\d+)"") &amp; ""mm"",
    IF(AND(REGEXMATCH(D92,""(?i)-OP""), REGEXMATCH(C92,""(?i)pops"")),
       ""op"" &amp; REGEXEXTRACT(C92,""(\d+)"") &amp; ""mm"",
    IF(OR(D92=""R-FFTop"", D92=""R-FFBottom"", D92=""R-FFSide""),
  "&amp;"      IF(REGEXMATCH(C92,""(?i)Profiled.*Top|Top.*Profiled""),""pfft"",
        IF(REGEXMATCH(C92,""(?i)Profiled.*Bottom|Bottom.*Profiled""),""pffb"",
        IF(REGEXMATCH(C92,""(?i)Square""),""sff"",""""))),
    IF(REGEXMATCH(D92,""(?i)-Rivets""),""Rvt"""&amp;",
    IF(REGEXMATCH(D92,""(?i)Silicone""),""300ml"",
    IF(REGEXMATCH(D92,""(?i)R-Butyl""),""300ml"",
    IF(REGEXMATCH(D92,""(?i)Fix""),""GenFix"",
    IF(AND(REGEXMATCH(C92,""(?i)Timber""), REGEXMATCH(D92,""(?i)Timber"")),""tp"",
    IF(AND(REGEXMATCH("&amp;"C92,""(?i)Vent G1275""), REGEXMATCH(D92,""(?i)Comb FIller"")),""CFV1275"",
    IF(REGEXMATCH(C92,""(?i)DPC""),""dpc"",
    IF(REGEXMATCH(C92,""(?i)Concealed Clips""),""ConClips"",
    IF(REGEXMATCH(D92,""(?i)-Takeoff ea""),""Takeoff ea"",
    IF(REGEXMATC"&amp;"H(D92,""(?i)-Takeoff LM""),""Takeoff LM"",
    IF(REGEXMATCH(D92,""(?i)-Takeoff m2""),""Takeoff m2"",
    IF(D92=""R-TU/TD"",""TU/TD"","""")))))))))))))))))
  )))"),"DR3503B55Mag")</f>
        <v>DR3503B55Mag</v>
      </c>
      <c r="C92" s="123" t="s">
        <v>466</v>
      </c>
      <c r="D92" s="124" t="s">
        <v>96</v>
      </c>
      <c r="E92" s="687">
        <f>VALUE(MID(C92, FIND("(", C92)+1, FIND("/", C92)-FIND("(", C92)-1)) / 1000</f>
        <v>0.31</v>
      </c>
      <c r="F92" s="688"/>
      <c r="G92" s="689" t="s">
        <v>429</v>
      </c>
      <c r="H92" s="128" t="str">
        <f>IFERROR(__xludf.DUMMYFUNCTION("IFERROR(REGEXEXTRACT(C92, ""(\d*\.\d+)mm""), """")"),"0.55")</f>
        <v>0.55</v>
      </c>
      <c r="I92" s="128" t="s">
        <v>97</v>
      </c>
      <c r="J92" s="126" t="s">
        <v>14</v>
      </c>
      <c r="K92" s="126" t="str">
        <f>IFERROR(
  IF(B92="", "", VLOOKUP(B92, Data!$B$2:$K$905, 7, FALSE)),
  ""
)</f>
        <v/>
      </c>
      <c r="L92" s="704"/>
      <c r="M92" s="150">
        <f>M130</f>
        <v>147</v>
      </c>
      <c r="N92" s="151">
        <f>IFERROR(__xludf.DUMMYFUNCTION("IF(
  AND(
    IFERROR(REGEXEXTRACT(C92,""@\s*(\d+(?:\.\d+)?)\s*deg""),"""")&lt;&gt;"""",
    F92&lt;&gt;""""
  ),
  ""Pls Confirm °"",
  IF(
    IFERROR(REGEXEXTRACT(C92,""@\s*(\d+(?:\.\d+)?)\s*deg""),"""")&lt;&gt;"""",
    1/COS(RADIANS(REGEXEXTRACT(C92,""@\s*(\d+(?:\.\d"&amp;"+)?)\s*deg""))),
    IF(
      F92&lt;&gt;"""",
      IF(
        ISNUMBER(SEARCH(""|"",F92)),
        1/COS(
          ATAN(
            TAN(RADIANS(VALUE(INDEX(SPLIT(F92,""|""),1)))) *
            TAN(RADIANS(VALUE(INDEX(SPLIT(F92,""|""),2))))
            /
 "&amp;"           SQRT(
              TAN(RADIANS(VALUE(INDEX(SPLIT(F92,""|""),1))))^2 +
              TAN(RADIANS(VALUE(INDEX(SPLIT(F92,""|""),2))))^2
            )
          )
        ),
        1/COS(RADIANS(VALUE(F92)))
      ),
      1
    )
  )
)"),1.001372345997921)</f>
        <v>1.001372346</v>
      </c>
      <c r="O92" s="169">
        <v>1.0</v>
      </c>
      <c r="P92" s="134">
        <v>1.0</v>
      </c>
      <c r="Q92" s="168">
        <f t="shared" ref="Q92:Q95" si="59">M92*N92*O92*P92</f>
        <v>147.2017349</v>
      </c>
      <c r="R92" s="136" t="str">
        <f>IFERROR(
  IF(B92="", "", VLOOKUP(B92, Data!$B$2:$K$905, 9, FALSE)),
  ""
)</f>
        <v/>
      </c>
      <c r="S92" s="152">
        <f t="shared" ref="S92:S95" si="60">R92*Q92</f>
        <v>0</v>
      </c>
      <c r="T92" s="690"/>
      <c r="U92" s="136" t="str">
        <f>IFERROR(
  IF(B92="", "", VLOOKUP(B92, Data!$B$2:$K$905, 10, FALSE)),
  ""
)
</f>
        <v/>
      </c>
      <c r="V92" s="691"/>
      <c r="W92" s="140">
        <f t="shared" ref="W92:W95" si="61">U92*Q92</f>
        <v>0</v>
      </c>
      <c r="X92" s="692"/>
      <c r="Y92" s="693"/>
      <c r="Z92" s="731"/>
      <c r="AA92" s="595"/>
      <c r="AB92" s="354">
        <f t="shared" ref="AB92:AB98" si="62">W92+S92</f>
        <v>0</v>
      </c>
      <c r="AC92" s="181"/>
      <c r="AD92" s="625"/>
      <c r="AE92" s="626"/>
      <c r="AF92" s="696"/>
      <c r="AG92" s="697"/>
      <c r="AH92" s="629"/>
      <c r="AI92" s="187"/>
      <c r="AJ92" s="630"/>
      <c r="AK92" s="630"/>
      <c r="AL92" s="595"/>
      <c r="AM92" s="595"/>
      <c r="AN92" s="595"/>
      <c r="AO92" s="595"/>
      <c r="AP92" s="595"/>
      <c r="AQ92" s="595"/>
      <c r="AR92" s="595"/>
      <c r="AS92" s="595"/>
      <c r="AT92" s="595"/>
      <c r="AU92" s="595"/>
      <c r="AV92" s="595"/>
      <c r="AW92" s="595"/>
      <c r="AX92" s="595"/>
      <c r="AY92" s="595"/>
      <c r="AZ92" s="595"/>
      <c r="BA92" s="595"/>
      <c r="BB92" s="595"/>
      <c r="BC92" s="595"/>
      <c r="BD92" s="595"/>
      <c r="BE92" s="595"/>
      <c r="BF92" s="595"/>
      <c r="BG92" s="595"/>
      <c r="BH92" s="595"/>
      <c r="BI92" s="651"/>
      <c r="BJ92" s="651"/>
      <c r="BK92" s="651"/>
      <c r="BL92" s="651"/>
      <c r="BM92" s="651"/>
      <c r="BN92" s="651"/>
      <c r="BO92" s="651"/>
      <c r="BP92" s="651"/>
      <c r="BQ92" s="651"/>
      <c r="BR92" s="651"/>
      <c r="BS92" s="651"/>
      <c r="BT92" s="651"/>
    </row>
    <row r="93">
      <c r="A93" s="631"/>
      <c r="B93" s="154" t="str">
        <f>IFERROR(__xludf.DUMMYFUNCTION("IFERROR(
  IF(C93="""","""",
    IF(OR(REGEXMATCH(D93,""(?i)-Flashing""), REGEXMATCH(D93,""(?i)-EavesGut""), REGEXMATCH(D93,""(?i)Valley"")),
        ""DR"" &amp;
        TEXT(
            ROUNDUP(
                MIN(
                    VALUE(MID(C93, FIND("&amp;"""("",C93)+1, FIND(""/"",C93)-FIND(""("",C93)-1)),
                    1200
                ) / 50, 0
            ) * 50, ""0""
        ) &amp;
        MID(C93, FIND(""/"",C93)+1, FIND("")"",C93)-FIND(""/"",C93)-1) &amp;
        TEXT(H93*100,""0"") &amp;
        I93,"&amp;"
    IF(AND(D93=""Roof Sheet"", REGEXMATCH(C93,""(?i)KS\d{4}[A-Z]{2}"")),
       REGEXEXTRACT(C93,""(?i)KS\d{4}[A-Z]{2}""),
    IF(AND(REGEXMATCH(D93,""(?i)-DP""), REGEXMATCH(C93,""(?i)Downpipe"")),
       ""dp"" &amp; REGEXEXTRACT(C93,""(\d+)"") &amp; ""mm"",
  "&amp;"  IF(AND(REGEXMATCH(D93,""(?i)Bracket""), REGEXMATCH(C93,""(?i)Bracket"")),
       ""Brkt"" &amp; REGEXEXTRACT(C93,""(\d+)"") &amp; ""mm"",
    IF(AND(REGEXMATCH(D93,""(?i)-OP""), REGEXMATCH(C93,""(?i)pops"")),
       ""op"" &amp; REGEXEXTRACT(C93,""(\d+)"") &amp; ""mm"""&amp;",
    IF(OR(D93=""R-FFTop"", D93=""R-FFBottom"", D93=""R-FFSide""),
        IF(REGEXMATCH(C93,""(?i)Profiled.*Top|Top.*Profiled""),""pfft"",
        IF(REGEXMATCH(C93,""(?i)Profiled.*Bottom|Bottom.*Profiled""),""pffb"",
        IF(REGEXMATCH(C93,""(?i)Squ"&amp;"are""),""sff"",""""))),
    IF(REGEXMATCH(D93,""(?i)-Rivets""),""Rvt"",
    IF(REGEXMATCH(D93,""(?i)Silicone""),""300ml"",
    IF(REGEXMATCH(D93,""(?i)R-Butyl""),""300ml"",
    IF(REGEXMATCH(D93,""(?i)Fix""),""GenFix"",
    IF(AND(REGEXMATCH(C93,""(?i)Tim"&amp;"ber""), REGEXMATCH(D93,""(?i)Timber"")),""tp"",
    IF(AND(REGEXMATCH(C93,""(?i)Vent G1275""), REGEXMATCH(D93,""(?i)Comb FIller"")),""CFV1275"",
    IF(REGEXMATCH(C93,""(?i)DPC""),""dpc"",
    IF(REGEXMATCH(C93,""(?i)Concealed Clips""),""ConClips"",
    I"&amp;"F(REGEXMATCH(D93,""(?i)-Takeoff ea""),""Takeoff ea"",
    IF(REGEXMATCH(D93,""(?i)-Takeoff LM""),""Takeoff LM"",
    IF(REGEXMATCH(D93,""(?i)-Takeoff m2""),""Takeoff m2"",
    IF(D93=""R-TU/TD"",""TU/TD"","""")))))))))))))))))
  )))"),"300ml")</f>
        <v>300ml</v>
      </c>
      <c r="C93" s="734" t="s">
        <v>98</v>
      </c>
      <c r="D93" s="124" t="s">
        <v>99</v>
      </c>
      <c r="E93" s="687">
        <f>E92</f>
        <v>0.31</v>
      </c>
      <c r="F93" s="721"/>
      <c r="G93" s="225"/>
      <c r="H93" s="700" t="str">
        <f>IFERROR(__xludf.DUMMYFUNCTION("IFERROR(REGEXEXTRACT(C93, ""(\d*\.\d+)mm""), """")"),"")</f>
        <v/>
      </c>
      <c r="I93" s="700"/>
      <c r="J93" s="126" t="s">
        <v>87</v>
      </c>
      <c r="K93" s="126" t="str">
        <f>IFERROR(
  IF(B93="", "", VLOOKUP(B93, Data!$B$2:$K$905, 7, FALSE)),
  ""
)</f>
        <v/>
      </c>
      <c r="L93" s="704"/>
      <c r="M93" s="150">
        <f>(ROUNDDOWN((M92/5.7)+2,0)*E93)/8</f>
        <v>1.04625</v>
      </c>
      <c r="N93" s="151">
        <f t="shared" ref="N93:N95" si="63">N92</f>
        <v>1.001372346</v>
      </c>
      <c r="O93" s="169">
        <v>1.0</v>
      </c>
      <c r="P93" s="134">
        <v>1.0</v>
      </c>
      <c r="Q93" s="168">
        <f t="shared" si="59"/>
        <v>1.047685817</v>
      </c>
      <c r="R93" s="136" t="str">
        <f>IFERROR(
  IF(B93="", "", VLOOKUP(B93, Data!$B$2:$K$905, 9, FALSE)),
  ""
)</f>
        <v/>
      </c>
      <c r="S93" s="152">
        <f t="shared" si="60"/>
        <v>0</v>
      </c>
      <c r="T93" s="690"/>
      <c r="U93" s="136" t="str">
        <f>IFERROR(
  IF(B93="", "", VLOOKUP(B93, Data!$B$2:$K$905, 10, FALSE)),
  ""
)
</f>
        <v/>
      </c>
      <c r="V93" s="691"/>
      <c r="W93" s="140">
        <f t="shared" si="61"/>
        <v>0</v>
      </c>
      <c r="X93" s="692"/>
      <c r="Y93" s="595"/>
      <c r="Z93" s="595"/>
      <c r="AA93" s="595"/>
      <c r="AB93" s="354">
        <f t="shared" si="62"/>
        <v>0</v>
      </c>
      <c r="AC93" s="181"/>
      <c r="AD93" s="625"/>
      <c r="AE93" s="626"/>
      <c r="AF93" s="696"/>
      <c r="AG93" s="697"/>
      <c r="AH93" s="629"/>
      <c r="AI93" s="187"/>
      <c r="AJ93" s="630"/>
      <c r="AK93" s="630"/>
      <c r="AL93" s="595"/>
      <c r="AM93" s="595"/>
      <c r="AN93" s="595"/>
      <c r="AO93" s="595"/>
      <c r="AP93" s="595"/>
      <c r="AQ93" s="595"/>
      <c r="AR93" s="595"/>
      <c r="AS93" s="595"/>
      <c r="AT93" s="595"/>
      <c r="AU93" s="595"/>
      <c r="AV93" s="595"/>
      <c r="AW93" s="595"/>
      <c r="AX93" s="595"/>
      <c r="AY93" s="595"/>
      <c r="AZ93" s="595"/>
      <c r="BA93" s="595"/>
      <c r="BB93" s="595"/>
      <c r="BC93" s="595"/>
      <c r="BD93" s="595"/>
      <c r="BE93" s="595"/>
      <c r="BF93" s="595"/>
      <c r="BG93" s="595"/>
      <c r="BH93" s="595"/>
      <c r="BI93" s="651"/>
      <c r="BJ93" s="651"/>
      <c r="BK93" s="651"/>
      <c r="BL93" s="651"/>
      <c r="BM93" s="651"/>
      <c r="BN93" s="651"/>
      <c r="BO93" s="651"/>
      <c r="BP93" s="651"/>
      <c r="BQ93" s="651"/>
      <c r="BR93" s="651"/>
      <c r="BS93" s="651"/>
      <c r="BT93" s="651"/>
    </row>
    <row r="94">
      <c r="A94" s="631"/>
      <c r="B94" s="154" t="str">
        <f>IFERROR(__xludf.DUMMYFUNCTION("IFERROR(
  IF(C94="""","""",
    IF(OR(REGEXMATCH(D94,""(?i)-Flashing""), REGEXMATCH(D94,""(?i)-EavesGut""), REGEXMATCH(D94,""(?i)Valley"")),
        ""DR"" &amp;
        TEXT(
            ROUNDUP(
                MIN(
                    VALUE(MID(C94, FIND("&amp;"""("",C94)+1, FIND(""/"",C94)-FIND(""("",C94)-1)),
                    1200
                ) / 50, 0
            ) * 50, ""0""
        ) &amp;
        MID(C94, FIND(""/"",C94)+1, FIND("")"",C94)-FIND(""/"",C94)-1) &amp;
        TEXT(H94*100,""0"") &amp;
        I94,"&amp;"
    IF(AND(D94=""Roof Sheet"", REGEXMATCH(C94,""(?i)KS\d{4}[A-Z]{2}"")),
       REGEXEXTRACT(C94,""(?i)KS\d{4}[A-Z]{2}""),
    IF(AND(REGEXMATCH(D94,""(?i)-DP""), REGEXMATCH(C94,""(?i)Downpipe"")),
       ""dp"" &amp; REGEXEXTRACT(C94,""(\d+)"") &amp; ""mm"",
  "&amp;"  IF(AND(REGEXMATCH(D94,""(?i)Bracket""), REGEXMATCH(C94,""(?i)Bracket"")),
       ""Brkt"" &amp; REGEXEXTRACT(C94,""(\d+)"") &amp; ""mm"",
    IF(AND(REGEXMATCH(D94,""(?i)-OP""), REGEXMATCH(C94,""(?i)pops"")),
       ""op"" &amp; REGEXEXTRACT(C94,""(\d+)"") &amp; ""mm"""&amp;",
    IF(OR(D94=""R-FFTop"", D94=""R-FFBottom"", D94=""R-FFSide""),
        IF(REGEXMATCH(C94,""(?i)Profiled.*Top|Top.*Profiled""),""pfft"",
        IF(REGEXMATCH(C94,""(?i)Profiled.*Bottom|Bottom.*Profiled""),""pffb"",
        IF(REGEXMATCH(C94,""(?i)Squ"&amp;"are""),""sff"",""""))),
    IF(REGEXMATCH(D94,""(?i)-Rivets""),""Rvt"",
    IF(REGEXMATCH(D94,""(?i)Silicone""),""300ml"",
    IF(REGEXMATCH(D94,""(?i)R-Butyl""),""300ml"",
    IF(REGEXMATCH(D94,""(?i)Fix""),""GenFix"",
    IF(AND(REGEXMATCH(C94,""(?i)Tim"&amp;"ber""), REGEXMATCH(D94,""(?i)Timber"")),""tp"",
    IF(AND(REGEXMATCH(C94,""(?i)Vent G1275""), REGEXMATCH(D94,""(?i)Comb FIller"")),""CFV1275"",
    IF(REGEXMATCH(C94,""(?i)DPC""),""dpc"",
    IF(REGEXMATCH(C94,""(?i)Concealed Clips""),""ConClips"",
    I"&amp;"F(REGEXMATCH(D94,""(?i)-Takeoff ea""),""Takeoff ea"",
    IF(REGEXMATCH(D94,""(?i)-Takeoff LM""),""Takeoff LM"",
    IF(REGEXMATCH(D94,""(?i)-Takeoff m2""),""Takeoff m2"",
    IF(D94=""R-TU/TD"",""TU/TD"","""")))))))))))))))))
  )))"),"Rvt")</f>
        <v>Rvt</v>
      </c>
      <c r="C94" s="734" t="s">
        <v>100</v>
      </c>
      <c r="D94" s="124" t="s">
        <v>101</v>
      </c>
      <c r="E94" s="687">
        <f>E92</f>
        <v>0.31</v>
      </c>
      <c r="F94" s="721"/>
      <c r="G94" s="225"/>
      <c r="H94" s="700" t="str">
        <f>IFERROR(__xludf.DUMMYFUNCTION("IFERROR(REGEXEXTRACT(C94, ""(\d*\.\d+)mm""), """")"),"")</f>
        <v/>
      </c>
      <c r="I94" s="700"/>
      <c r="J94" s="126" t="s">
        <v>87</v>
      </c>
      <c r="K94" s="126" t="str">
        <f>IFERROR(
  IF(B94="", "", VLOOKUP(B94, Data!$B$2:$K$905, 7, FALSE)),
  ""
)</f>
        <v/>
      </c>
      <c r="L94" s="704"/>
      <c r="M94" s="150">
        <f>ROUNDUP(((M92/5.7)+1)*(E94/0.05),0)</f>
        <v>167</v>
      </c>
      <c r="N94" s="151">
        <f t="shared" si="63"/>
        <v>1.001372346</v>
      </c>
      <c r="O94" s="169">
        <v>1.0</v>
      </c>
      <c r="P94" s="134">
        <v>1.0</v>
      </c>
      <c r="Q94" s="168">
        <f t="shared" si="59"/>
        <v>167.2291818</v>
      </c>
      <c r="R94" s="136" t="str">
        <f>IFERROR(
  IF(B94="", "", VLOOKUP(B94, Data!$B$2:$K$905, 9, FALSE)),
  ""
)</f>
        <v/>
      </c>
      <c r="S94" s="152">
        <f t="shared" si="60"/>
        <v>0</v>
      </c>
      <c r="T94" s="690"/>
      <c r="U94" s="136" t="str">
        <f>IFERROR(
  IF(B94="", "", VLOOKUP(B94, Data!$B$2:$K$905, 10, FALSE)),
  ""
)
</f>
        <v/>
      </c>
      <c r="V94" s="691"/>
      <c r="W94" s="140">
        <f t="shared" si="61"/>
        <v>0</v>
      </c>
      <c r="X94" s="692"/>
      <c r="Y94" s="595"/>
      <c r="Z94" s="595"/>
      <c r="AA94" s="595"/>
      <c r="AB94" s="354">
        <f t="shared" si="62"/>
        <v>0</v>
      </c>
      <c r="AC94" s="181"/>
      <c r="AD94" s="625"/>
      <c r="AE94" s="626"/>
      <c r="AF94" s="696"/>
      <c r="AG94" s="697"/>
      <c r="AH94" s="629"/>
      <c r="AI94" s="187"/>
      <c r="AJ94" s="630"/>
      <c r="AK94" s="630"/>
      <c r="AL94" s="595"/>
      <c r="AM94" s="595"/>
      <c r="AN94" s="595"/>
      <c r="AO94" s="595"/>
      <c r="AP94" s="595"/>
      <c r="AQ94" s="595"/>
      <c r="AR94" s="595"/>
      <c r="AS94" s="595"/>
      <c r="AT94" s="595"/>
      <c r="AU94" s="595"/>
      <c r="AV94" s="595"/>
      <c r="AW94" s="595"/>
      <c r="AX94" s="595"/>
      <c r="AY94" s="595"/>
      <c r="AZ94" s="595"/>
      <c r="BA94" s="595"/>
      <c r="BB94" s="595"/>
      <c r="BC94" s="595"/>
      <c r="BD94" s="595"/>
      <c r="BE94" s="595"/>
      <c r="BF94" s="595"/>
      <c r="BG94" s="595"/>
      <c r="BH94" s="595"/>
      <c r="BI94" s="651"/>
      <c r="BJ94" s="651"/>
      <c r="BK94" s="651"/>
      <c r="BL94" s="651"/>
      <c r="BM94" s="651"/>
      <c r="BN94" s="651"/>
      <c r="BO94" s="651"/>
      <c r="BP94" s="651"/>
      <c r="BQ94" s="651"/>
      <c r="BR94" s="651"/>
      <c r="BS94" s="651"/>
      <c r="BT94" s="651"/>
    </row>
    <row r="95">
      <c r="A95" s="631"/>
      <c r="B95" s="154" t="str">
        <f>IFERROR(__xludf.DUMMYFUNCTION("IFERROR(
  IF(C95="""","""",
    IF(OR(REGEXMATCH(D95,""(?i)-Flashing""), REGEXMATCH(D95,""(?i)-EavesGut""), REGEXMATCH(D95,""(?i)Valley"")),
        ""DR"" &amp;
        TEXT(
            ROUNDUP(
                MIN(
                    VALUE(MID(C95, FIND("&amp;"""("",C95)+1, FIND(""/"",C95)-FIND(""("",C95)-1)),
                    1200
                ) / 50, 0
            ) * 50, ""0""
        ) &amp;
        MID(C95, FIND(""/"",C95)+1, FIND("")"",C95)-FIND(""/"",C95)-1) &amp;
        TEXT(H95*100,""0"") &amp;
        I95,"&amp;"
    IF(AND(D95=""Roof Sheet"", REGEXMATCH(C95,""(?i)KS\d{4}[A-Z]{2}"")),
       REGEXEXTRACT(C95,""(?i)KS\d{4}[A-Z]{2}""),
    IF(AND(REGEXMATCH(D95,""(?i)-DP""), REGEXMATCH(C95,""(?i)Downpipe"")),
       ""dp"" &amp; REGEXEXTRACT(C95,""(\d+)"") &amp; ""mm"",
  "&amp;"  IF(AND(REGEXMATCH(D95,""(?i)Bracket""), REGEXMATCH(C95,""(?i)Bracket"")),
       ""Brkt"" &amp; REGEXEXTRACT(C95,""(\d+)"") &amp; ""mm"",
    IF(AND(REGEXMATCH(D95,""(?i)-OP""), REGEXMATCH(C95,""(?i)pops"")),
       ""op"" &amp; REGEXEXTRACT(C95,""(\d+)"") &amp; ""mm"""&amp;",
    IF(OR(D95=""R-FFTop"", D95=""R-FFBottom"", D95=""R-FFSide""),
        IF(REGEXMATCH(C95,""(?i)Profiled.*Top|Top.*Profiled""),""pfft"",
        IF(REGEXMATCH(C95,""(?i)Profiled.*Bottom|Bottom.*Profiled""),""pffb"",
        IF(REGEXMATCH(C95,""(?i)Squ"&amp;"are""),""sff"",""""))),
    IF(REGEXMATCH(D95,""(?i)-Rivets""),""Rvt"",
    IF(REGEXMATCH(D95,""(?i)Silicone""),""300ml"",
    IF(REGEXMATCH(D95,""(?i)R-Butyl""),""300ml"",
    IF(REGEXMATCH(D95,""(?i)Fix""),""GenFix"",
    IF(AND(REGEXMATCH(C95,""(?i)Tim"&amp;"ber""), REGEXMATCH(D95,""(?i)Timber"")),""tp"",
    IF(AND(REGEXMATCH(C95,""(?i)Vent G1275""), REGEXMATCH(D95,""(?i)Comb FIller"")),""CFV1275"",
    IF(REGEXMATCH(C95,""(?i)DPC""),""dpc"",
    IF(REGEXMATCH(C95,""(?i)Concealed Clips""),""ConClips"",
    I"&amp;"F(REGEXMATCH(D95,""(?i)-Takeoff ea""),""Takeoff ea"",
    IF(REGEXMATCH(D95,""(?i)-Takeoff LM""),""Takeoff LM"",
    IF(REGEXMATCH(D95,""(?i)-Takeoff m2""),""Takeoff m2"",
    IF(D95=""R-TU/TD"",""TU/TD"","""")))))))))))))))))
  )))"),"GenFix")</f>
        <v>GenFix</v>
      </c>
      <c r="C95" s="698" t="s">
        <v>102</v>
      </c>
      <c r="D95" s="124" t="s">
        <v>103</v>
      </c>
      <c r="E95" s="722"/>
      <c r="F95" s="721"/>
      <c r="G95" s="158"/>
      <c r="H95" s="700"/>
      <c r="I95" s="700"/>
      <c r="J95" s="126" t="s">
        <v>87</v>
      </c>
      <c r="K95" s="126" t="str">
        <f>IFERROR(
  IF(B95="", "", VLOOKUP(B95, Data!$B$2:$K$905, 7, FALSE)),
  ""
)</f>
        <v/>
      </c>
      <c r="L95" s="712"/>
      <c r="M95" s="150">
        <f>ROUNDUP(M92/0.6,0)+1</f>
        <v>246</v>
      </c>
      <c r="N95" s="151">
        <f t="shared" si="63"/>
        <v>1.001372346</v>
      </c>
      <c r="O95" s="169">
        <v>1.0</v>
      </c>
      <c r="P95" s="134">
        <v>2.0</v>
      </c>
      <c r="Q95" s="168">
        <f t="shared" si="59"/>
        <v>492.6751942</v>
      </c>
      <c r="R95" s="136" t="str">
        <f>IFERROR(
  IF(B95="", "", VLOOKUP(B95, Data!$B$2:$K$905, 9, FALSE)),
  ""
)</f>
        <v/>
      </c>
      <c r="S95" s="152">
        <f t="shared" si="60"/>
        <v>0</v>
      </c>
      <c r="T95" s="690"/>
      <c r="U95" s="136" t="str">
        <f>IFERROR(
  IF(B95="", "", VLOOKUP(B95, Data!$B$2:$K$905, 10, FALSE)),
  ""
)
</f>
        <v/>
      </c>
      <c r="V95" s="691"/>
      <c r="W95" s="140">
        <f t="shared" si="61"/>
        <v>0</v>
      </c>
      <c r="X95" s="692"/>
      <c r="Y95" s="595"/>
      <c r="Z95" s="595"/>
      <c r="AA95" s="595"/>
      <c r="AB95" s="354">
        <f t="shared" si="62"/>
        <v>0</v>
      </c>
      <c r="AC95" s="181"/>
      <c r="AD95" s="625"/>
      <c r="AE95" s="626"/>
      <c r="AF95" s="696"/>
      <c r="AG95" s="697"/>
      <c r="AH95" s="629"/>
      <c r="AI95" s="187"/>
      <c r="AJ95" s="630"/>
      <c r="AK95" s="630"/>
      <c r="AL95" s="595"/>
      <c r="AM95" s="595"/>
      <c r="AN95" s="595"/>
      <c r="AO95" s="595"/>
      <c r="AP95" s="595"/>
      <c r="AQ95" s="595"/>
      <c r="AR95" s="595"/>
      <c r="AS95" s="595"/>
      <c r="AT95" s="595"/>
      <c r="AU95" s="595"/>
      <c r="AV95" s="595"/>
      <c r="AW95" s="595"/>
      <c r="AX95" s="595"/>
      <c r="AY95" s="595"/>
      <c r="AZ95" s="595"/>
      <c r="BA95" s="595"/>
      <c r="BB95" s="595"/>
      <c r="BC95" s="595"/>
      <c r="BD95" s="595"/>
      <c r="BE95" s="595"/>
      <c r="BF95" s="595"/>
      <c r="BG95" s="595"/>
      <c r="BH95" s="595"/>
      <c r="BI95" s="651"/>
      <c r="BJ95" s="651"/>
      <c r="BK95" s="651"/>
      <c r="BL95" s="651"/>
      <c r="BM95" s="651"/>
      <c r="BN95" s="651"/>
      <c r="BO95" s="651"/>
      <c r="BP95" s="651"/>
      <c r="BQ95" s="651"/>
      <c r="BR95" s="651"/>
      <c r="BS95" s="651"/>
      <c r="BT95" s="651"/>
    </row>
    <row r="96">
      <c r="A96" s="631"/>
      <c r="B96" s="154"/>
      <c r="C96" s="698"/>
      <c r="D96" s="124"/>
      <c r="E96" s="722"/>
      <c r="F96" s="721"/>
      <c r="G96" s="158"/>
      <c r="H96" s="700"/>
      <c r="I96" s="700"/>
      <c r="J96" s="126"/>
      <c r="K96" s="126"/>
      <c r="L96" s="712"/>
      <c r="M96" s="150"/>
      <c r="N96" s="151"/>
      <c r="O96" s="169"/>
      <c r="P96" s="134"/>
      <c r="Q96" s="168"/>
      <c r="R96" s="136"/>
      <c r="S96" s="152"/>
      <c r="T96" s="690"/>
      <c r="U96" s="136"/>
      <c r="V96" s="691"/>
      <c r="W96" s="140"/>
      <c r="X96" s="692"/>
      <c r="Y96" s="595"/>
      <c r="Z96" s="595"/>
      <c r="AA96" s="595"/>
      <c r="AB96" s="354">
        <f t="shared" si="62"/>
        <v>0</v>
      </c>
      <c r="AC96" s="181"/>
      <c r="AD96" s="625"/>
      <c r="AE96" s="626"/>
      <c r="AF96" s="696"/>
      <c r="AG96" s="697"/>
      <c r="AH96" s="629"/>
      <c r="AI96" s="187"/>
      <c r="AJ96" s="630"/>
      <c r="AK96" s="630"/>
      <c r="AL96" s="595"/>
      <c r="AM96" s="595"/>
      <c r="AN96" s="595"/>
      <c r="AO96" s="595"/>
      <c r="AP96" s="595"/>
      <c r="AQ96" s="595"/>
      <c r="AR96" s="595"/>
      <c r="AS96" s="595"/>
      <c r="AT96" s="595"/>
      <c r="AU96" s="595"/>
      <c r="AV96" s="595"/>
      <c r="AW96" s="595"/>
      <c r="AX96" s="595"/>
      <c r="AY96" s="595"/>
      <c r="AZ96" s="595"/>
      <c r="BA96" s="595"/>
      <c r="BB96" s="595"/>
      <c r="BC96" s="595"/>
      <c r="BD96" s="595"/>
      <c r="BE96" s="595"/>
      <c r="BF96" s="595"/>
      <c r="BG96" s="595"/>
      <c r="BH96" s="595"/>
      <c r="BI96" s="651"/>
      <c r="BJ96" s="651"/>
      <c r="BK96" s="651"/>
      <c r="BL96" s="651"/>
      <c r="BM96" s="651"/>
      <c r="BN96" s="651"/>
      <c r="BO96" s="651"/>
      <c r="BP96" s="651"/>
      <c r="BQ96" s="651"/>
      <c r="BR96" s="651"/>
      <c r="BS96" s="651"/>
      <c r="BT96" s="651"/>
    </row>
    <row r="97">
      <c r="A97" s="631"/>
      <c r="B97" s="122" t="s">
        <v>128</v>
      </c>
      <c r="C97" s="123" t="s">
        <v>464</v>
      </c>
      <c r="D97" s="148" t="s">
        <v>130</v>
      </c>
      <c r="E97" s="722"/>
      <c r="F97" s="721"/>
      <c r="G97" s="158"/>
      <c r="H97" s="700"/>
      <c r="I97" s="700"/>
      <c r="J97" s="126" t="s">
        <v>87</v>
      </c>
      <c r="K97" s="126" t="str">
        <f>IFERROR(
  IF(B97="", "", VLOOKUP(B97, Data!$B$2:$K$905, 7, FALSE)),
  ""
)</f>
        <v/>
      </c>
      <c r="L97" s="712"/>
      <c r="M97" s="150">
        <f>M92</f>
        <v>147</v>
      </c>
      <c r="N97" s="151">
        <f>N95</f>
        <v>1.001372346</v>
      </c>
      <c r="O97" s="169">
        <v>1.0</v>
      </c>
      <c r="P97" s="156">
        <v>0.0</v>
      </c>
      <c r="Q97" s="168">
        <f>M97*N97*O97*P97</f>
        <v>0</v>
      </c>
      <c r="R97" s="136" t="str">
        <f>IFERROR(
  IF(B97="", "", VLOOKUP(B97, Data!$B$2:$K$905, 9, FALSE)),
  ""
)</f>
        <v/>
      </c>
      <c r="S97" s="152">
        <f>R97*Q97</f>
        <v>0</v>
      </c>
      <c r="T97" s="690"/>
      <c r="U97" s="136" t="str">
        <f>IFERROR(
  IF(B97="", "", VLOOKUP(B97, Data!$B$2:$K$905, 10, FALSE)),
  ""
)
</f>
        <v/>
      </c>
      <c r="V97" s="691"/>
      <c r="W97" s="140">
        <f>U97*Q97</f>
        <v>0</v>
      </c>
      <c r="X97" s="692"/>
      <c r="Y97" s="595"/>
      <c r="Z97" s="595"/>
      <c r="AA97" s="595"/>
      <c r="AB97" s="354">
        <f t="shared" si="62"/>
        <v>0</v>
      </c>
      <c r="AC97" s="181"/>
      <c r="AD97" s="625"/>
      <c r="AE97" s="626"/>
      <c r="AF97" s="696"/>
      <c r="AG97" s="697"/>
      <c r="AH97" s="629"/>
      <c r="AI97" s="187"/>
      <c r="AJ97" s="630"/>
      <c r="AK97" s="630"/>
      <c r="AL97" s="595"/>
      <c r="AM97" s="595"/>
      <c r="AN97" s="595"/>
      <c r="AO97" s="595"/>
      <c r="AP97" s="595"/>
      <c r="AQ97" s="595"/>
      <c r="AR97" s="595"/>
      <c r="AS97" s="595"/>
      <c r="AT97" s="595"/>
      <c r="AU97" s="595"/>
      <c r="AV97" s="595"/>
      <c r="AW97" s="595"/>
      <c r="AX97" s="595"/>
      <c r="AY97" s="595"/>
      <c r="AZ97" s="595"/>
      <c r="BA97" s="595"/>
      <c r="BB97" s="595"/>
      <c r="BC97" s="595"/>
      <c r="BD97" s="595"/>
      <c r="BE97" s="595"/>
      <c r="BF97" s="595"/>
      <c r="BG97" s="595"/>
      <c r="BH97" s="595"/>
      <c r="BI97" s="651"/>
      <c r="BJ97" s="651"/>
      <c r="BK97" s="651"/>
      <c r="BL97" s="651"/>
      <c r="BM97" s="651"/>
      <c r="BN97" s="651"/>
      <c r="BO97" s="651"/>
      <c r="BP97" s="651"/>
      <c r="BQ97" s="651"/>
      <c r="BR97" s="651"/>
      <c r="BS97" s="651"/>
      <c r="BT97" s="651"/>
    </row>
    <row r="98">
      <c r="A98" s="631"/>
      <c r="B98" s="154"/>
      <c r="C98" s="734"/>
      <c r="D98" s="124"/>
      <c r="E98" s="722"/>
      <c r="F98" s="721"/>
      <c r="G98" s="158"/>
      <c r="H98" s="700"/>
      <c r="I98" s="700"/>
      <c r="J98" s="126"/>
      <c r="K98" s="126"/>
      <c r="L98" s="712"/>
      <c r="M98" s="150"/>
      <c r="N98" s="151"/>
      <c r="O98" s="169"/>
      <c r="P98" s="134"/>
      <c r="Q98" s="168"/>
      <c r="R98" s="136" t="str">
        <f>IFERROR(
  IF(B98="", "", VLOOKUP(B98, Data!$B$2:$K$905, 9, FALSE)),
  ""
)</f>
        <v/>
      </c>
      <c r="S98" s="152"/>
      <c r="T98" s="690"/>
      <c r="U98" s="136" t="str">
        <f>IFERROR(
  IF(B98="", "", VLOOKUP(B98, Data!$B$2:$K$905, 10, FALSE)),
  ""
)
</f>
        <v/>
      </c>
      <c r="V98" s="691"/>
      <c r="W98" s="140"/>
      <c r="X98" s="692"/>
      <c r="Y98" s="595"/>
      <c r="Z98" s="595"/>
      <c r="AA98" s="595"/>
      <c r="AB98" s="354">
        <f t="shared" si="62"/>
        <v>0</v>
      </c>
      <c r="AC98" s="181"/>
      <c r="AD98" s="625"/>
      <c r="AE98" s="626"/>
      <c r="AF98" s="696"/>
      <c r="AG98" s="697"/>
      <c r="AH98" s="629"/>
      <c r="AI98" s="187"/>
      <c r="AJ98" s="630"/>
      <c r="AK98" s="630"/>
      <c r="AL98" s="595"/>
      <c r="AM98" s="595"/>
      <c r="AN98" s="595"/>
      <c r="AO98" s="595"/>
      <c r="AP98" s="595"/>
      <c r="AQ98" s="595"/>
      <c r="AR98" s="595"/>
      <c r="AS98" s="595"/>
      <c r="AT98" s="595"/>
      <c r="AU98" s="595"/>
      <c r="AV98" s="595"/>
      <c r="AW98" s="595"/>
      <c r="AX98" s="595"/>
      <c r="AY98" s="595"/>
      <c r="AZ98" s="595"/>
      <c r="BA98" s="595"/>
      <c r="BB98" s="595"/>
      <c r="BC98" s="595"/>
      <c r="BD98" s="595"/>
      <c r="BE98" s="595"/>
      <c r="BF98" s="595"/>
      <c r="BG98" s="595"/>
      <c r="BH98" s="595"/>
      <c r="BI98" s="651"/>
      <c r="BJ98" s="651"/>
      <c r="BK98" s="651"/>
      <c r="BL98" s="651"/>
      <c r="BM98" s="651"/>
      <c r="BN98" s="651"/>
      <c r="BO98" s="651"/>
      <c r="BP98" s="651"/>
      <c r="BQ98" s="651"/>
      <c r="BR98" s="651"/>
      <c r="BS98" s="651"/>
      <c r="BT98" s="651"/>
    </row>
    <row r="99">
      <c r="A99" s="743">
        <v>1.0</v>
      </c>
      <c r="B99" s="714" t="s">
        <v>425</v>
      </c>
      <c r="C99" s="167" t="s">
        <v>467</v>
      </c>
      <c r="D99" s="744"/>
      <c r="E99" s="745"/>
      <c r="F99" s="746"/>
      <c r="G99" s="90"/>
      <c r="H99" s="90"/>
      <c r="I99" s="91"/>
      <c r="J99" s="90"/>
      <c r="K99" s="90" t="s">
        <v>42</v>
      </c>
      <c r="L99" s="91"/>
      <c r="M99" s="91" t="s">
        <v>42</v>
      </c>
      <c r="N99" s="92"/>
      <c r="O99" s="91"/>
      <c r="P99" s="90"/>
      <c r="Q99" s="91"/>
      <c r="R99" s="136" t="str">
        <f>IFERROR(
  IF(B99="", "", VLOOKUP(B99, Data!$B$2:$K$905, 9, FALSE)),
  ""
)</f>
        <v/>
      </c>
      <c r="S99" s="234"/>
      <c r="T99" s="235"/>
      <c r="U99" s="136" t="str">
        <f>IFERROR(
  IF(B99="", "", VLOOKUP(B99, Data!$B$2:$K$905, 10, FALSE)),
  ""
)
</f>
        <v/>
      </c>
      <c r="V99" s="234"/>
      <c r="W99" s="236"/>
      <c r="X99" s="159"/>
      <c r="Y99" s="5"/>
      <c r="Z99" s="5"/>
      <c r="AA99" s="5"/>
      <c r="AB99" s="5"/>
      <c r="AC99" s="33"/>
      <c r="AD99" s="65"/>
      <c r="AE99" s="66"/>
      <c r="AF99" s="144"/>
      <c r="AG99" s="68"/>
      <c r="AH99" s="69"/>
      <c r="AI99" s="39"/>
      <c r="AJ99" s="70"/>
      <c r="AK99" s="70"/>
      <c r="AL99" s="5"/>
      <c r="AM99" s="5"/>
      <c r="AN99" s="5"/>
      <c r="AO99" s="5"/>
      <c r="AP99" s="5"/>
      <c r="AQ99" s="5"/>
      <c r="AR99" s="5"/>
      <c r="AS99" s="5"/>
      <c r="AT99" s="5"/>
      <c r="AU99" s="5"/>
      <c r="AV99" s="5"/>
      <c r="AW99" s="5"/>
      <c r="AX99" s="5"/>
      <c r="AY99" s="5"/>
      <c r="AZ99" s="5"/>
      <c r="BA99" s="5"/>
      <c r="BB99" s="5"/>
      <c r="BC99" s="5"/>
      <c r="BD99" s="5"/>
      <c r="BE99" s="5"/>
      <c r="BF99" s="5"/>
      <c r="BG99" s="5"/>
      <c r="BH99" s="5"/>
      <c r="BI99" s="260"/>
      <c r="BJ99" s="260"/>
      <c r="BK99" s="260"/>
      <c r="BL99" s="260"/>
      <c r="BM99" s="260"/>
      <c r="BN99" s="260"/>
      <c r="BO99" s="260"/>
      <c r="BP99" s="260"/>
      <c r="BQ99" s="260"/>
      <c r="BR99" s="260"/>
      <c r="BS99" s="260"/>
      <c r="BT99" s="260"/>
    </row>
    <row r="100">
      <c r="A100" s="743">
        <v>1.0</v>
      </c>
      <c r="B100" s="747"/>
      <c r="C100" s="103" t="s">
        <v>468</v>
      </c>
      <c r="D100" s="748"/>
      <c r="E100" s="749"/>
      <c r="F100" s="750"/>
      <c r="G100" s="104"/>
      <c r="H100" s="104"/>
      <c r="I100" s="105"/>
      <c r="J100" s="104"/>
      <c r="K100" s="104" t="s">
        <v>42</v>
      </c>
      <c r="L100" s="106">
        <f>Q100</f>
        <v>50.72853284</v>
      </c>
      <c r="M100" s="105" t="s">
        <v>42</v>
      </c>
      <c r="N100" s="107"/>
      <c r="O100" s="105"/>
      <c r="P100" s="104"/>
      <c r="Q100" s="106">
        <f>Q101</f>
        <v>50.72853284</v>
      </c>
      <c r="R100" s="136" t="str">
        <f>IFERROR(
  IF(B100="", "", VLOOKUP(B100, Data!$B$2:$K$905, 9, FALSE)),
  ""
)</f>
        <v/>
      </c>
      <c r="S100" s="682">
        <f>IFERROR(T100/Q100, 0)</f>
        <v>0</v>
      </c>
      <c r="T100" s="109">
        <f>SUM(S101:S103)</f>
        <v>0</v>
      </c>
      <c r="U100" s="136" t="str">
        <f>IFERROR(
  IF(B100="", "", VLOOKUP(B100, Data!$B$2:$K$905, 10, FALSE)),
  ""
)
</f>
        <v/>
      </c>
      <c r="V100" s="109">
        <f>W100/Q100</f>
        <v>0</v>
      </c>
      <c r="W100" s="110">
        <f>SUM(W101:W103)</f>
        <v>0</v>
      </c>
      <c r="X100" s="111" t="str">
        <f>W100/$AC$178/$W$185/$X$175</f>
        <v>#DIV/0!</v>
      </c>
      <c r="Y100" s="112" t="b">
        <f>(T100+W100)=(SUM(AB101:AB103))</f>
        <v>1</v>
      </c>
      <c r="Z100" s="222">
        <f>(T100+W100)-(SUM(AB101:AB103))</f>
        <v>0</v>
      </c>
      <c r="AA100" s="5"/>
      <c r="AB100" s="5"/>
      <c r="AC100" s="33"/>
      <c r="AD100" s="114">
        <f>W100+T100</f>
        <v>0</v>
      </c>
      <c r="AE100" s="115">
        <f>AD100</f>
        <v>0</v>
      </c>
      <c r="AF100" s="116" t="str">
        <f>AE100/$AE$153</f>
        <v>#DIV/0!</v>
      </c>
      <c r="AG100" s="683" t="str">
        <f>AF100*$AG$160</f>
        <v>#DIV/0!</v>
      </c>
      <c r="AH100" s="118" t="str">
        <f>AF100*$AG$163</f>
        <v>#DIV/0!</v>
      </c>
      <c r="AI100" s="187"/>
      <c r="AJ100" s="119" t="str">
        <f>ROUND(AK100/L100,2)</f>
        <v>#DIV/0!</v>
      </c>
      <c r="AK100" s="119" t="str">
        <f>ROUND(AH100+AG100+AD100,2)</f>
        <v>#DIV/0!</v>
      </c>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260"/>
      <c r="BJ100" s="260"/>
      <c r="BK100" s="260"/>
      <c r="BL100" s="260"/>
      <c r="BM100" s="260"/>
      <c r="BN100" s="260"/>
      <c r="BO100" s="260"/>
      <c r="BP100" s="260"/>
      <c r="BQ100" s="260"/>
      <c r="BR100" s="260"/>
      <c r="BS100" s="260"/>
      <c r="BT100" s="260"/>
    </row>
    <row r="101">
      <c r="A101" s="729" t="s">
        <v>435</v>
      </c>
      <c r="B101" s="122" t="s">
        <v>469</v>
      </c>
      <c r="C101" s="123" t="s">
        <v>470</v>
      </c>
      <c r="D101" s="148" t="s">
        <v>348</v>
      </c>
      <c r="E101" s="722"/>
      <c r="F101" s="751">
        <v>15.0</v>
      </c>
      <c r="G101" s="689"/>
      <c r="H101" s="128"/>
      <c r="I101" s="712"/>
      <c r="J101" s="126" t="s">
        <v>14</v>
      </c>
      <c r="K101" s="126" t="str">
        <f>IFERROR(
  IF(B101="", "", VLOOKUP(B101, Data!$B$2:$K$905, 7, FALSE)),
  ""
)</f>
        <v/>
      </c>
      <c r="L101" s="712"/>
      <c r="M101" s="730">
        <v>49.0</v>
      </c>
      <c r="N101" s="151">
        <f>IFERROR(__xludf.DUMMYFUNCTION("IF(
  AND(
    IFERROR(REGEXEXTRACT(C101,""@\s*(\d+(?:\.\d+)?)\s*deg""),"""")&lt;&gt;"""",
    F101&lt;&gt;""""
  ),
  ""Pls Confirm °"",
  IF(
    IFERROR(REGEXEXTRACT(C101,""@\s*(\d+(?:\.\d+)?)\s*deg""),"""")&lt;&gt;"""",
    1/COS(RADIANS(REGEXEXTRACT(C101,""@\s*(\d+(?:"&amp;"\.\d+)?)\s*deg""))),
    IF(
      F101&lt;&gt;"""",
      IF(
        ISNUMBER(SEARCH(""|"",F101)),
        1/COS(
          ATAN(
            TAN(RADIANS(VALUE(INDEX(SPLIT(F101,""|""),1)))) *
            TAN(RADIANS(VALUE(INDEX(SPLIT(F101,""|""),2))))
       "&amp;"     /
            SQRT(
              TAN(RADIANS(VALUE(INDEX(SPLIT(F101,""|""),1))))^2 +
              TAN(RADIANS(VALUE(INDEX(SPLIT(F101,""|""),2))))^2
            )
          )
        ),
        1/COS(RADIANS(VALUE(F101)))
      ),
      1
    )
  )
"&amp;")"),1.035276180410083)</f>
        <v>1.03527618</v>
      </c>
      <c r="O101" s="169">
        <v>1.0</v>
      </c>
      <c r="P101" s="134">
        <v>1.0</v>
      </c>
      <c r="Q101" s="168">
        <f t="shared" ref="Q101:Q102" si="64">M101*N101*O101*P101</f>
        <v>50.72853284</v>
      </c>
      <c r="R101" s="136" t="str">
        <f>IFERROR(
  IF(B101="", "", VLOOKUP(B101, Data!$B$2:$K$905, 9, FALSE)),
  ""
)</f>
        <v/>
      </c>
      <c r="S101" s="152">
        <f t="shared" ref="S101:S102" si="65">R101*Q101</f>
        <v>0</v>
      </c>
      <c r="T101" s="690"/>
      <c r="U101" s="136" t="str">
        <f>IFERROR(
  IF(B101="", "", VLOOKUP(B101, Data!$B$2:$K$905, 10, FALSE)),
  ""
)
</f>
        <v/>
      </c>
      <c r="V101" s="691"/>
      <c r="W101" s="140">
        <f t="shared" ref="W101:W102" si="66">U101*Q101</f>
        <v>0</v>
      </c>
      <c r="X101" s="692"/>
      <c r="Y101" s="595"/>
      <c r="Z101" s="595"/>
      <c r="AA101" s="595"/>
      <c r="AB101" s="354">
        <f t="shared" ref="AB101:AB103" si="67">W101+S101</f>
        <v>0</v>
      </c>
      <c r="AC101" s="181"/>
      <c r="AD101" s="625"/>
      <c r="AE101" s="626"/>
      <c r="AF101" s="696"/>
      <c r="AG101" s="697"/>
      <c r="AH101" s="629"/>
      <c r="AI101" s="187"/>
      <c r="AJ101" s="630"/>
      <c r="AK101" s="630"/>
      <c r="AL101" s="595"/>
      <c r="AM101" s="595"/>
      <c r="AN101" s="595"/>
      <c r="AO101" s="595"/>
      <c r="AP101" s="595"/>
      <c r="AQ101" s="595"/>
      <c r="AR101" s="595"/>
      <c r="AS101" s="595"/>
      <c r="AT101" s="595"/>
      <c r="AU101" s="595"/>
      <c r="AV101" s="595"/>
      <c r="AW101" s="595"/>
      <c r="AX101" s="595"/>
      <c r="AY101" s="595"/>
      <c r="AZ101" s="595"/>
      <c r="BA101" s="595"/>
      <c r="BB101" s="595"/>
      <c r="BC101" s="595"/>
      <c r="BD101" s="595"/>
      <c r="BE101" s="595"/>
      <c r="BF101" s="595"/>
      <c r="BG101" s="595"/>
      <c r="BH101" s="595"/>
      <c r="BI101" s="651"/>
      <c r="BJ101" s="651"/>
      <c r="BK101" s="651"/>
      <c r="BL101" s="651"/>
      <c r="BM101" s="651"/>
      <c r="BN101" s="651"/>
      <c r="BO101" s="651"/>
      <c r="BP101" s="651"/>
      <c r="BQ101" s="651"/>
      <c r="BR101" s="651"/>
      <c r="BS101" s="651"/>
      <c r="BT101" s="651"/>
    </row>
    <row r="102">
      <c r="A102" s="732"/>
      <c r="B102" s="154" t="str">
        <f>IFERROR(__xludf.DUMMYFUNCTION("IFERROR(
  IF(C102="""","""",
    IF(OR(REGEXMATCH(D102,""(?i)-Flashing""), REGEXMATCH(D102,""(?i)-EavesGut""), REGEXMATCH(D102,""(?i)Valley"")),
        ""DR"" &amp;
        TEXT(
            ROUNDUP(
                MIN(
                    VALUE(MID(C102, "&amp;"FIND(""("",C102)+1, FIND(""/"",C102)-FIND(""("",C102)-1)),
                    1200
                ) / 50, 0
            ) * 50, ""0""
        ) &amp;
        MID(C102, FIND(""/"",C102)+1, FIND("")"",C102)-FIND(""/"",C102)-1) &amp;
        TEXT(H102*100,""0"") &amp;"&amp;"
        I102,
    IF(AND(D102=""Roof Sheet"", REGEXMATCH(C102,""(?i)KS\d{4}[A-Z]{2}"")),
       REGEXEXTRACT(C102,""(?i)KS\d{4}[A-Z]{2}""),
    IF(AND(REGEXMATCH(D102,""(?i)-DP""), REGEXMATCH(C102,""(?i)Downpipe"")),
       ""dp"" &amp; REGEXEXTRACT(C102,""("&amp;"\d+)"") &amp; ""mm"",
    IF(AND(REGEXMATCH(D102,""(?i)Bracket""), REGEXMATCH(C102,""(?i)Bracket"")),
       ""Brkt"" &amp; REGEXEXTRACT(C102,""(\d+)"") &amp; ""mm"",
    IF(AND(REGEXMATCH(D102,""(?i)-OP""), REGEXMATCH(C102,""(?i)pops"")),
       ""op"" &amp; REGEXEXTRAC"&amp;"T(C102,""(\d+)"") &amp; ""mm"",
    IF(OR(D102=""R-FFTop"", D102=""R-FFBottom"", D102=""R-FFSide""),
        IF(REGEXMATCH(C102,""(?i)Profiled.*Top|Top.*Profiled""),""pfft"",
        IF(REGEXMATCH(C102,""(?i)Profiled.*Bottom|Bottom.*Profiled""),""pffb"",
    "&amp;"    IF(REGEXMATCH(C102,""(?i)Square""),""sff"",""""))),
    IF(REGEXMATCH(D102,""(?i)-Rivets""),""Rvt"",
    IF(REGEXMATCH(D102,""(?i)Silicone""),""300ml"",
    IF(REGEXMATCH(D102,""(?i)R-Butyl""),""300ml"",
    IF(REGEXMATCH(D102,""(?i)Fix""),""GenFix"","&amp;"
    IF(AND(REGEXMATCH(C102,""(?i)Timber""), REGEXMATCH(D102,""(?i)Timber"")),""tp"",
    IF(AND(REGEXMATCH(C102,""(?i)Vent G1275""), REGEXMATCH(D102,""(?i)Comb FIller"")),""CFV1275"",
    IF(REGEXMATCH(C102,""(?i)DPC""),""dpc"",
    IF(REGEXMATCH(C102,"""&amp;"(?i)Concealed Clips""),""ConClips"",
    IF(REGEXMATCH(D102,""(?i)-Takeoff ea""),""Takeoff ea"",
    IF(REGEXMATCH(D102,""(?i)-Takeoff LM""),""Takeoff LM"",
    IF(REGEXMATCH(D102,""(?i)-Takeoff m2""),""Takeoff m2"",
    IF(D102=""R-TU/TD"",""TU/TD"","""""&amp;")))))))))))))))))
  )))"),"GenFix")</f>
        <v>GenFix</v>
      </c>
      <c r="C102" s="698" t="s">
        <v>102</v>
      </c>
      <c r="D102" s="686" t="s">
        <v>103</v>
      </c>
      <c r="E102" s="722"/>
      <c r="F102" s="721"/>
      <c r="G102" s="701"/>
      <c r="H102" s="128"/>
      <c r="I102" s="712"/>
      <c r="J102" s="126" t="s">
        <v>87</v>
      </c>
      <c r="K102" s="126" t="str">
        <f>IFERROR(
  IF(B102="", "", VLOOKUP(B102, Data!$B$2:$K$905, 7, FALSE)),
  ""
)</f>
        <v/>
      </c>
      <c r="L102" s="712"/>
      <c r="M102" s="150">
        <f>ROUNDUP(M101/0.6,0)+1</f>
        <v>83</v>
      </c>
      <c r="N102" s="151">
        <f>if(B102="","",(if(N101="",N63,N101)))</f>
        <v>1.03527618</v>
      </c>
      <c r="O102" s="169">
        <v>1.0</v>
      </c>
      <c r="P102" s="134">
        <v>2.0</v>
      </c>
      <c r="Q102" s="168">
        <f t="shared" si="64"/>
        <v>171.8558459</v>
      </c>
      <c r="R102" s="136" t="str">
        <f>IFERROR(
  IF(B102="", "", VLOOKUP(B102, Data!$B$2:$K$905, 9, FALSE)),
  ""
)</f>
        <v/>
      </c>
      <c r="S102" s="152">
        <f t="shared" si="65"/>
        <v>0</v>
      </c>
      <c r="T102" s="690"/>
      <c r="U102" s="136" t="str">
        <f>IFERROR(
  IF(B102="", "", VLOOKUP(B102, Data!$B$2:$K$905, 10, FALSE)),
  ""
)
</f>
        <v/>
      </c>
      <c r="V102" s="691"/>
      <c r="W102" s="140">
        <f t="shared" si="66"/>
        <v>0</v>
      </c>
      <c r="X102" s="692"/>
      <c r="Y102" s="595"/>
      <c r="Z102" s="595"/>
      <c r="AA102" s="595"/>
      <c r="AB102" s="354">
        <f t="shared" si="67"/>
        <v>0</v>
      </c>
      <c r="AC102" s="181"/>
      <c r="AD102" s="625"/>
      <c r="AE102" s="626"/>
      <c r="AF102" s="696"/>
      <c r="AG102" s="697"/>
      <c r="AH102" s="629"/>
      <c r="AI102" s="187"/>
      <c r="AJ102" s="630"/>
      <c r="AK102" s="630"/>
      <c r="AL102" s="595"/>
      <c r="AM102" s="595"/>
      <c r="AN102" s="595"/>
      <c r="AO102" s="595"/>
      <c r="AP102" s="595"/>
      <c r="AQ102" s="595"/>
      <c r="AR102" s="595"/>
      <c r="AS102" s="595"/>
      <c r="AT102" s="595"/>
      <c r="AU102" s="595"/>
      <c r="AV102" s="595"/>
      <c r="AW102" s="595"/>
      <c r="AX102" s="595"/>
      <c r="AY102" s="595"/>
      <c r="AZ102" s="595"/>
      <c r="BA102" s="595"/>
      <c r="BB102" s="595"/>
      <c r="BC102" s="595"/>
      <c r="BD102" s="595"/>
      <c r="BE102" s="595"/>
      <c r="BF102" s="595"/>
      <c r="BG102" s="595"/>
      <c r="BH102" s="595"/>
      <c r="BI102" s="651"/>
      <c r="BJ102" s="651"/>
      <c r="BK102" s="651"/>
      <c r="BL102" s="651"/>
      <c r="BM102" s="651"/>
      <c r="BN102" s="651"/>
      <c r="BO102" s="651"/>
      <c r="BP102" s="651"/>
      <c r="BQ102" s="651"/>
      <c r="BR102" s="651"/>
      <c r="BS102" s="651"/>
      <c r="BT102" s="651"/>
    </row>
    <row r="103">
      <c r="A103" s="732"/>
      <c r="B103" s="154"/>
      <c r="C103" s="701"/>
      <c r="D103" s="701"/>
      <c r="E103" s="722"/>
      <c r="F103" s="699"/>
      <c r="G103" s="700"/>
      <c r="H103" s="128"/>
      <c r="I103" s="700"/>
      <c r="J103" s="701"/>
      <c r="K103" s="701"/>
      <c r="L103" s="704"/>
      <c r="M103" s="704"/>
      <c r="N103" s="151" t="str">
        <f>if(B103="","",(if(N102="",N101,N102)))</f>
        <v/>
      </c>
      <c r="O103" s="712"/>
      <c r="P103" s="700"/>
      <c r="Q103" s="712"/>
      <c r="R103" s="136" t="str">
        <f>IFERROR(
  IF(B103="", "", VLOOKUP(B103, Data!$B$2:$K$905, 9, FALSE)),
  ""
)</f>
        <v/>
      </c>
      <c r="S103" s="691"/>
      <c r="T103" s="690"/>
      <c r="U103" s="136" t="str">
        <f>IFERROR(
  IF(B103="", "", VLOOKUP(B103, Data!$B$2:$K$905, 10, FALSE)),
  ""
)
</f>
        <v/>
      </c>
      <c r="V103" s="691"/>
      <c r="W103" s="713"/>
      <c r="X103" s="692"/>
      <c r="Y103" s="693"/>
      <c r="Z103" s="731"/>
      <c r="AA103" s="595"/>
      <c r="AB103" s="354">
        <f t="shared" si="67"/>
        <v>0</v>
      </c>
      <c r="AC103" s="181"/>
      <c r="AD103" s="625"/>
      <c r="AE103" s="626"/>
      <c r="AF103" s="696"/>
      <c r="AG103" s="697"/>
      <c r="AH103" s="629"/>
      <c r="AI103" s="187"/>
      <c r="AJ103" s="630"/>
      <c r="AK103" s="630"/>
      <c r="AL103" s="595"/>
      <c r="AM103" s="595"/>
      <c r="AN103" s="595"/>
      <c r="AO103" s="595"/>
      <c r="AP103" s="595"/>
      <c r="AQ103" s="595"/>
      <c r="AR103" s="595"/>
      <c r="AS103" s="595"/>
      <c r="AT103" s="595"/>
      <c r="AU103" s="595"/>
      <c r="AV103" s="595"/>
      <c r="AW103" s="595"/>
      <c r="AX103" s="595"/>
      <c r="AY103" s="595"/>
      <c r="AZ103" s="595"/>
      <c r="BA103" s="595"/>
      <c r="BB103" s="595"/>
      <c r="BC103" s="595"/>
      <c r="BD103" s="595"/>
      <c r="BE103" s="595"/>
      <c r="BF103" s="595"/>
      <c r="BG103" s="595"/>
      <c r="BH103" s="595"/>
      <c r="BI103" s="651"/>
      <c r="BJ103" s="651"/>
      <c r="BK103" s="651"/>
      <c r="BL103" s="651"/>
      <c r="BM103" s="651"/>
      <c r="BN103" s="651"/>
      <c r="BO103" s="651"/>
      <c r="BP103" s="651"/>
      <c r="BQ103" s="651"/>
      <c r="BR103" s="651"/>
      <c r="BS103" s="651"/>
      <c r="BT103" s="651"/>
    </row>
    <row r="104">
      <c r="A104" s="743">
        <v>1.0</v>
      </c>
      <c r="B104" s="714" t="s">
        <v>425</v>
      </c>
      <c r="C104" s="167" t="s">
        <v>471</v>
      </c>
      <c r="D104" s="744"/>
      <c r="E104" s="745"/>
      <c r="F104" s="746"/>
      <c r="G104" s="90"/>
      <c r="H104" s="90"/>
      <c r="I104" s="91"/>
      <c r="J104" s="90"/>
      <c r="K104" s="90" t="s">
        <v>42</v>
      </c>
      <c r="L104" s="91"/>
      <c r="M104" s="91" t="s">
        <v>42</v>
      </c>
      <c r="N104" s="92"/>
      <c r="O104" s="91"/>
      <c r="P104" s="90"/>
      <c r="Q104" s="91"/>
      <c r="R104" s="136" t="str">
        <f>IFERROR(
  IF(B104="", "", VLOOKUP(B104, Data!$B$2:$K$905, 9, FALSE)),
  ""
)</f>
        <v/>
      </c>
      <c r="S104" s="234"/>
      <c r="T104" s="235"/>
      <c r="U104" s="136" t="str">
        <f>IFERROR(
  IF(B104="", "", VLOOKUP(B104, Data!$B$2:$K$905, 10, FALSE)),
  ""
)
</f>
        <v/>
      </c>
      <c r="V104" s="234"/>
      <c r="W104" s="236"/>
      <c r="X104" s="159"/>
      <c r="Y104" s="5"/>
      <c r="Z104" s="5"/>
      <c r="AA104" s="5"/>
      <c r="AB104" s="5"/>
      <c r="AC104" s="33"/>
      <c r="AD104" s="65"/>
      <c r="AE104" s="66"/>
      <c r="AF104" s="144"/>
      <c r="AG104" s="68"/>
      <c r="AH104" s="69"/>
      <c r="AI104" s="39"/>
      <c r="AJ104" s="70"/>
      <c r="AK104" s="70"/>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260"/>
      <c r="BJ104" s="260"/>
      <c r="BK104" s="260"/>
      <c r="BL104" s="260"/>
      <c r="BM104" s="260"/>
      <c r="BN104" s="260"/>
      <c r="BO104" s="260"/>
      <c r="BP104" s="260"/>
      <c r="BQ104" s="260"/>
      <c r="BR104" s="260"/>
      <c r="BS104" s="260"/>
      <c r="BT104" s="260"/>
    </row>
    <row r="105">
      <c r="A105" s="743">
        <v>1.0</v>
      </c>
      <c r="B105" s="747"/>
      <c r="C105" s="103" t="s">
        <v>472</v>
      </c>
      <c r="D105" s="748"/>
      <c r="E105" s="749"/>
      <c r="F105" s="750"/>
      <c r="G105" s="104"/>
      <c r="H105" s="104"/>
      <c r="I105" s="105"/>
      <c r="J105" s="104"/>
      <c r="K105" s="104" t="s">
        <v>42</v>
      </c>
      <c r="L105" s="106">
        <f>Q105</f>
        <v>1</v>
      </c>
      <c r="M105" s="105" t="s">
        <v>42</v>
      </c>
      <c r="N105" s="107"/>
      <c r="O105" s="105"/>
      <c r="P105" s="104"/>
      <c r="Q105" s="106">
        <f>Q106</f>
        <v>1</v>
      </c>
      <c r="R105" s="136" t="str">
        <f>IFERROR(
  IF(B105="", "", VLOOKUP(B105, Data!$B$2:$K$905, 9, FALSE)),
  ""
)</f>
        <v/>
      </c>
      <c r="S105" s="682">
        <f>IFERROR(T105/Q105, 0)</f>
        <v>0</v>
      </c>
      <c r="T105" s="109">
        <f>SUM(S106:S109)</f>
        <v>0</v>
      </c>
      <c r="U105" s="136" t="str">
        <f>IFERROR(
  IF(B105="", "", VLOOKUP(B105, Data!$B$2:$K$905, 10, FALSE)),
  ""
)
</f>
        <v/>
      </c>
      <c r="V105" s="109">
        <f>W105/Q105</f>
        <v>0</v>
      </c>
      <c r="W105" s="110">
        <f>SUM(W106:W109)</f>
        <v>0</v>
      </c>
      <c r="X105" s="111" t="str">
        <f>W105/$AC$160/$W$167/$X$157</f>
        <v>#DIV/0!</v>
      </c>
      <c r="Y105" s="112" t="b">
        <f>(T105+W105)=(SUM(AB106:AB109))</f>
        <v>1</v>
      </c>
      <c r="Z105" s="222">
        <f>(T105+W105)-(SUM(AB106:AB109))</f>
        <v>0</v>
      </c>
      <c r="AA105" s="5"/>
      <c r="AB105" s="5"/>
      <c r="AC105" s="33"/>
      <c r="AD105" s="114">
        <f>W105+T105</f>
        <v>0</v>
      </c>
      <c r="AE105" s="115">
        <f>AD105</f>
        <v>0</v>
      </c>
      <c r="AF105" s="116" t="str">
        <f>AE105/$AE$135</f>
        <v>#DIV/0!</v>
      </c>
      <c r="AG105" s="683" t="str">
        <f>AF105*$AG$142</f>
        <v>#DIV/0!</v>
      </c>
      <c r="AH105" s="118" t="str">
        <f>AF105*$AG$145</f>
        <v>#DIV/0!</v>
      </c>
      <c r="AI105" s="187"/>
      <c r="AJ105" s="119" t="str">
        <f>ROUND(AK105/L105,2)</f>
        <v>#DIV/0!</v>
      </c>
      <c r="AK105" s="119" t="str">
        <f>ROUND(AH105+AG105+AD105,2)</f>
        <v>#DIV/0!</v>
      </c>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260"/>
      <c r="BJ105" s="260"/>
      <c r="BK105" s="260"/>
      <c r="BL105" s="260"/>
      <c r="BM105" s="260"/>
      <c r="BN105" s="260"/>
      <c r="BO105" s="260"/>
      <c r="BP105" s="260"/>
      <c r="BQ105" s="260"/>
      <c r="BR105" s="260"/>
      <c r="BS105" s="260"/>
      <c r="BT105" s="260"/>
    </row>
    <row r="106">
      <c r="A106" s="743"/>
      <c r="B106" s="717" t="s">
        <v>473</v>
      </c>
      <c r="C106" s="734" t="s">
        <v>474</v>
      </c>
      <c r="D106" s="686" t="s">
        <v>391</v>
      </c>
      <c r="E106" s="752"/>
      <c r="F106" s="751"/>
      <c r="G106" s="689"/>
      <c r="H106" s="127" t="str">
        <f>IFERROR(__xludf.DUMMYFUNCTION("IFERROR(REGEXEXTRACT(C106, ""(\d*\.\d+)mm""), """")"),"")</f>
        <v/>
      </c>
      <c r="I106" s="161"/>
      <c r="J106" s="126" t="s">
        <v>14</v>
      </c>
      <c r="K106" s="126" t="str">
        <f>IFERROR(
  IF(B106="", "", VLOOKUP(B106, Data!$B$2:$K$905, 7, FALSE)),
  ""
)</f>
        <v/>
      </c>
      <c r="L106" s="161"/>
      <c r="M106" s="730">
        <v>1.0</v>
      </c>
      <c r="N106" s="151">
        <f>IFERROR(__xludf.DUMMYFUNCTION("IF(
  AND(
    IFERROR(REGEXEXTRACT(C106,""@\s*(\d+(?:\.\d+)?)\s*deg""),"""")&lt;&gt;"""",
    F106&lt;&gt;""""
  ),
  ""Pls Confirm °"",
  IF(
    IFERROR(REGEXEXTRACT(C106,""@\s*(\d+(?:\.\d+)?)\s*deg""),"""")&lt;&gt;"""",
    1/COS(RADIANS(REGEXEXTRACT(C106,""@\s*(\d+(?:"&amp;"\.\d+)?)\s*deg""))),
    IF(
      F106&lt;&gt;"""",
      IF(
        ISNUMBER(SEARCH(""|"",F106)),
        1/COS(
          ATAN(
            TAN(RADIANS(VALUE(INDEX(SPLIT(F106,""|""),1)))) *
            TAN(RADIANS(VALUE(INDEX(SPLIT(F106,""|""),2))))
       "&amp;"     /
            SQRT(
              TAN(RADIANS(VALUE(INDEX(SPLIT(F106,""|""),1))))^2 +
              TAN(RADIANS(VALUE(INDEX(SPLIT(F106,""|""),2))))^2
            )
          )
        ),
        1/COS(RADIANS(VALUE(F106)))
      ),
      1
    )
  )
"&amp;")"),1.0)</f>
        <v>1</v>
      </c>
      <c r="O106" s="169">
        <v>1.0</v>
      </c>
      <c r="P106" s="134">
        <v>1.0</v>
      </c>
      <c r="Q106" s="168">
        <f t="shared" ref="Q106:Q109" si="68">M106*N106*O106*P106</f>
        <v>1</v>
      </c>
      <c r="R106" s="136" t="str">
        <f>IFERROR(
  IF(B106="", "", VLOOKUP(B106, Data!$B$2:$K$905, 9, FALSE)),
  ""
)</f>
        <v/>
      </c>
      <c r="S106" s="152">
        <f t="shared" ref="S106:S109" si="69">R106*Q106</f>
        <v>0</v>
      </c>
      <c r="T106" s="138"/>
      <c r="U106" s="136" t="str">
        <f>IFERROR(
  IF(B106="", "", VLOOKUP(B106, Data!$B$2:$K$905, 10, FALSE)),
  ""
)
</f>
        <v/>
      </c>
      <c r="V106" s="139"/>
      <c r="W106" s="140">
        <f t="shared" ref="W106:W109" si="70">U106*Q106</f>
        <v>0</v>
      </c>
      <c r="X106" s="159"/>
      <c r="Y106" s="5"/>
      <c r="Z106" s="5"/>
      <c r="AA106" s="5"/>
      <c r="AB106" s="354">
        <f t="shared" ref="AB106:AB109" si="71">W106+S106</f>
        <v>0</v>
      </c>
      <c r="AC106" s="33"/>
      <c r="AD106" s="226"/>
      <c r="AE106" s="227"/>
      <c r="AF106" s="228"/>
      <c r="AG106" s="229"/>
      <c r="AH106" s="230"/>
      <c r="AI106" s="39"/>
      <c r="AJ106" s="231"/>
      <c r="AK106" s="231"/>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260"/>
      <c r="BJ106" s="260"/>
      <c r="BK106" s="260"/>
      <c r="BL106" s="260"/>
      <c r="BM106" s="260"/>
      <c r="BN106" s="260"/>
      <c r="BO106" s="260"/>
      <c r="BP106" s="260"/>
      <c r="BQ106" s="260"/>
      <c r="BR106" s="260"/>
      <c r="BS106" s="260"/>
      <c r="BT106" s="260"/>
    </row>
    <row r="107">
      <c r="A107" s="743" t="s">
        <v>435</v>
      </c>
      <c r="B107" s="717" t="s">
        <v>475</v>
      </c>
      <c r="C107" s="698" t="s">
        <v>476</v>
      </c>
      <c r="D107" s="686" t="s">
        <v>321</v>
      </c>
      <c r="E107" s="752"/>
      <c r="F107" s="753"/>
      <c r="G107" s="754"/>
      <c r="H107" s="127"/>
      <c r="I107" s="161"/>
      <c r="J107" s="126" t="s">
        <v>87</v>
      </c>
      <c r="K107" s="126" t="str">
        <f>IFERROR(
  IF(B107="", "", VLOOKUP(B107, Data!$B$2:$K$905, 7, FALSE)),
  ""
)</f>
        <v/>
      </c>
      <c r="L107" s="163"/>
      <c r="M107" s="150">
        <f>M106</f>
        <v>1</v>
      </c>
      <c r="N107" s="151">
        <f>IFERROR(__xludf.DUMMYFUNCTION("IF(B107="""", """", IFERROR(1 / COS(RADIANS(REGEXEXTRACT(F107,""(\d+)""))), 1))"),1.0)</f>
        <v>1</v>
      </c>
      <c r="O107" s="169">
        <v>1.0</v>
      </c>
      <c r="P107" s="134">
        <v>1.0</v>
      </c>
      <c r="Q107" s="168">
        <f t="shared" si="68"/>
        <v>1</v>
      </c>
      <c r="R107" s="136" t="str">
        <f>IFERROR(
  IF(B107="", "", VLOOKUP(B107, Data!$B$2:$K$905, 9, FALSE)),
  ""
)</f>
        <v/>
      </c>
      <c r="S107" s="152">
        <f t="shared" si="69"/>
        <v>0</v>
      </c>
      <c r="T107" s="138"/>
      <c r="U107" s="136" t="str">
        <f>IFERROR(
  IF(B107="", "", VLOOKUP(B107, Data!$B$2:$K$905, 10, FALSE)),
  ""
)
</f>
        <v/>
      </c>
      <c r="V107" s="139"/>
      <c r="W107" s="140">
        <f t="shared" si="70"/>
        <v>0</v>
      </c>
      <c r="X107" s="159"/>
      <c r="Y107" s="5"/>
      <c r="Z107" s="5"/>
      <c r="AA107" s="5"/>
      <c r="AB107" s="354">
        <f t="shared" si="71"/>
        <v>0</v>
      </c>
      <c r="AC107" s="33"/>
      <c r="AD107" s="65"/>
      <c r="AE107" s="66"/>
      <c r="AF107" s="144"/>
      <c r="AG107" s="68"/>
      <c r="AH107" s="69"/>
      <c r="AI107" s="39"/>
      <c r="AJ107" s="70"/>
      <c r="AK107" s="70"/>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260"/>
      <c r="BJ107" s="260"/>
      <c r="BK107" s="260"/>
      <c r="BL107" s="260"/>
      <c r="BM107" s="260"/>
      <c r="BN107" s="260"/>
      <c r="BO107" s="260"/>
      <c r="BP107" s="260"/>
      <c r="BQ107" s="260"/>
      <c r="BR107" s="260"/>
      <c r="BS107" s="260"/>
      <c r="BT107" s="260"/>
    </row>
    <row r="108">
      <c r="A108" s="743"/>
      <c r="B108" s="717" t="str">
        <f>IFERROR(__xludf.DUMMYFUNCTION("IFERROR(
  IF(C108="""","""",
    IF(OR(REGEXMATCH(D108,""(?i)-Flashing""), REGEXMATCH(D108,""(?i)-EavesGut""), REGEXMATCH(D108,""(?i)Valley"")),
        ""DR"" &amp;
        TEXT(
            ROUNDUP(
                MIN(
                    VALUE(MID(C108, "&amp;"FIND(""("",C108)+1, FIND(""/"",C108)-FIND(""("",C108)-1)),
                    1200
                ) / 50, 0
            ) * 50, ""0""
        ) &amp;
        MID(C108, FIND(""/"",C108)+1, FIND("")"",C108)-FIND(""/"",C108)-1) &amp;
        TEXT(H108*100,""0"") &amp;"&amp;"
        I108,
    IF(AND(D108=""Roof Sheet"", REGEXMATCH(C108,""(?i)KS\d{4}[A-Z]{2}"")),
       REGEXEXTRACT(C108,""(?i)KS\d{4}[A-Z]{2}""),
    IF(AND(REGEXMATCH(D108,""(?i)-DP""), REGEXMATCH(C108,""(?i)Downpipe"")),
       ""dp"" &amp; REGEXEXTRACT(C108,""("&amp;"\d+)"") &amp; ""mm"",
    IF(AND(REGEXMATCH(D108,""(?i)Bracket""), REGEXMATCH(C108,""(?i)Bracket"")),
       ""Brkt"" &amp; REGEXEXTRACT(C108,""(\d+)"") &amp; ""mm"",
    IF(AND(REGEXMATCH(D108,""(?i)-OP""), REGEXMATCH(C108,""(?i)pops"")),
       ""op"" &amp; REGEXEXTRAC"&amp;"T(C108,""(\d+)"") &amp; ""mm"",
    IF(OR(D108=""R-FFTop"", D108=""R-FFBottom"", D108=""R-FFSide""),
        IF(REGEXMATCH(C108,""(?i)Profiled.*Top|Top.*Profiled""),""pfft"",
        IF(REGEXMATCH(C108,""(?i)Profiled.*Bottom|Bottom.*Profiled""),""pffb"",
    "&amp;"    IF(REGEXMATCH(C108,""(?i)Square""),""sff"",""""))),
    IF(REGEXMATCH(D108,""(?i)-Rivets""),""Rvt"",
    IF(REGEXMATCH(D108,""(?i)Silicone|Seal""),""300ml"",
    IF(REGEXMATCH(D108,""(?i)R-Butyl""),""300ml"",
    IF(REGEXMATCH(D108,""(?i)Fix""),""GenF"&amp;"ix"",
    IF(AND(REGEXMATCH(C108,""(?i)Timber""), REGEXMATCH(D108,""(?i)Timber"")),""tp"",
    IF(AND(REGEXMATCH(C108,""(?i)Vent G1275""), REGEXMATCH(D108,""(?i)Comb FIller"")),""CFV1275"",
    IF(REGEXMATCH(C108,""(?i)DPC""),""dpc"",
    IF(REGEXMATCH(C1"&amp;"08,""(?i)Concealed Clips""),""ConClips"",
    IF(REGEXMATCH(D108,""(?i)-Takeoff ea""),""Takeoff ea"",
    IF(REGEXMATCH(D108,""(?i)-Takeoff LM""),""Takeoff LM"",
    IF(REGEXMATCH(D108,""(?i)-Takeoff m2""),""Takeoff m2"",
    IF(D108=""R-TU/TD"",""TU/TD"""&amp;","""")))))))))))))))))
  )))"),"300ml")</f>
        <v>300ml</v>
      </c>
      <c r="C108" s="734" t="s">
        <v>98</v>
      </c>
      <c r="D108" s="686" t="s">
        <v>327</v>
      </c>
      <c r="E108" s="755">
        <v>0.41</v>
      </c>
      <c r="F108" s="756" t="str">
        <f>F107</f>
        <v/>
      </c>
      <c r="G108" s="757"/>
      <c r="H108" s="127" t="str">
        <f>IFERROR(__xludf.DUMMYFUNCTION("IFERROR(REGEXEXTRACT(C108, ""(\d*\.\d+)mm""), """")"),"")</f>
        <v/>
      </c>
      <c r="I108" s="161"/>
      <c r="J108" s="126" t="s">
        <v>87</v>
      </c>
      <c r="K108" s="126" t="str">
        <f>IFERROR(
  IF(B108="", "", VLOOKUP(B108, Data!$B$2:$K$905, 7, FALSE)),
  ""
)</f>
        <v/>
      </c>
      <c r="L108" s="163"/>
      <c r="M108" s="150">
        <f>M107*ROUNDUP(E108/8,0)+1</f>
        <v>2</v>
      </c>
      <c r="N108" s="151">
        <f>IFERROR(__xludf.DUMMYFUNCTION("IF(B108="""", """", IFERROR(1 / COS(RADIANS(REGEXEXTRACT(F108,""(\d+)""))), 1))"),1.0)</f>
        <v>1</v>
      </c>
      <c r="O108" s="169">
        <v>1.0</v>
      </c>
      <c r="P108" s="134">
        <v>1.0</v>
      </c>
      <c r="Q108" s="168">
        <f t="shared" si="68"/>
        <v>2</v>
      </c>
      <c r="R108" s="136" t="str">
        <f>IFERROR(
  IF(B108="", "", VLOOKUP(B108, Data!$B$2:$K$905, 9, FALSE)),
  ""
)</f>
        <v/>
      </c>
      <c r="S108" s="152">
        <f t="shared" si="69"/>
        <v>0</v>
      </c>
      <c r="T108" s="138"/>
      <c r="U108" s="136" t="str">
        <f>IFERROR(
  IF(B108="", "", VLOOKUP(B108, Data!$B$2:$K$905, 10, FALSE)),
  ""
)
</f>
        <v/>
      </c>
      <c r="V108" s="139"/>
      <c r="W108" s="140">
        <f t="shared" si="70"/>
        <v>0</v>
      </c>
      <c r="X108" s="159"/>
      <c r="Y108" s="5"/>
      <c r="Z108" s="5"/>
      <c r="AA108" s="5"/>
      <c r="AB108" s="354">
        <f t="shared" si="71"/>
        <v>0</v>
      </c>
      <c r="AC108" s="33"/>
      <c r="AD108" s="65"/>
      <c r="AE108" s="66"/>
      <c r="AF108" s="144"/>
      <c r="AG108" s="68"/>
      <c r="AH108" s="69"/>
      <c r="AI108" s="39"/>
      <c r="AJ108" s="70"/>
      <c r="AK108" s="70"/>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260"/>
      <c r="BJ108" s="260"/>
      <c r="BK108" s="260"/>
      <c r="BL108" s="260"/>
      <c r="BM108" s="260"/>
      <c r="BN108" s="260"/>
      <c r="BO108" s="260"/>
      <c r="BP108" s="260"/>
      <c r="BQ108" s="260"/>
      <c r="BR108" s="260"/>
      <c r="BS108" s="260"/>
      <c r="BT108" s="260"/>
    </row>
    <row r="109">
      <c r="A109" s="743"/>
      <c r="B109" s="717" t="str">
        <f>IFERROR(__xludf.DUMMYFUNCTION("IFERROR(
  IF(C109="""","""",
    IF(OR(REGEXMATCH(D109,""(?i)-Flashing""), REGEXMATCH(D109,""(?i)-EavesGut""), REGEXMATCH(D109,""(?i)Valley"")),
        ""DR"" &amp;
        TEXT(
            ROUNDUP(
                MIN(
                    VALUE(MID(C109, "&amp;"FIND(""("",C109)+1, FIND(""/"",C109)-FIND(""("",C109)-1)),
                    1200
                ) / 50, 0
            ) * 50, ""0""
        ) &amp;
        MID(C109, FIND(""/"",C109)+1, FIND("")"",C109)-FIND(""/"",C109)-1) &amp;
        TEXT(H109*100,""0"") &amp;"&amp;"
        I109,
    IF(AND(D109=""Roof Sheet"", REGEXMATCH(C109,""(?i)KS\d{4}[A-Z]{2}"")),
       REGEXEXTRACT(C109,""(?i)KS\d{4}[A-Z]{2}""),
    IF(AND(REGEXMATCH(D109,""(?i)-DP""), REGEXMATCH(C109,""(?i)Downpipe"")),
       ""dp"" &amp; REGEXEXTRACT(C109,""("&amp;"\d+)"") &amp; ""mm"",
    IF(AND(REGEXMATCH(D109,""(?i)Bracket""), REGEXMATCH(C109,""(?i)Bracket"")),
       ""Brkt"" &amp; REGEXEXTRACT(C109,""(\d+)"") &amp; ""mm"",
    IF(AND(REGEXMATCH(D109,""(?i)-OP""), REGEXMATCH(C109,""(?i)pops"")),
       ""op"" &amp; REGEXEXTRAC"&amp;"T(C109,""(\d+)"") &amp; ""mm"",
    IF(OR(D109=""R-FFTop"", D109=""R-FFBottom"", D109=""R-FFSide""),
        IF(REGEXMATCH(C109,""(?i)Profiled.*Top|Top.*Profiled""),""pfft"",
        IF(REGEXMATCH(C109,""(?i)Profiled.*Bottom|Bottom.*Profiled""),""pffb"",
    "&amp;"    IF(REGEXMATCH(C109,""(?i)Square""),""sff"",""""))),
    IF(REGEXMATCH(D109,""(?i)-Rivets""),""Rvt"",
    IF(REGEXMATCH(D109,""(?i)Silicone""),""300ml"",
    IF(REGEXMATCH(D109,""(?i)R-Butyl""),""300ml"",
    IF(REGEXMATCH(D109,""(?i)Fix""),""GenFix"","&amp;"
    IF(AND(REGEXMATCH(C109,""(?i)Timber""), REGEXMATCH(D109,""(?i)Timber"")),""tp"",
    IF(AND(REGEXMATCH(C109,""(?i)Vent G1275""), REGEXMATCH(D109,""(?i)Comb FIller"")),""CFV1275"",
    IF(REGEXMATCH(C109,""(?i)DPC""),""dpc"",
    IF(REGEXMATCH(C109,"""&amp;"(?i)Concealed Clips""),""ConClips"",
    IF(REGEXMATCH(D109,""(?i)-Takeoff ea""),""Takeoff ea"",
    IF(REGEXMATCH(D109,""(?i)-Takeoff LM""),""Takeoff LM"",
    IF(REGEXMATCH(D109,""(?i)-Takeoff m2""),""Takeoff m2"",
    IF(D109=""R-TU/TD"",""TU/TD"","""""&amp;")))))))))))))))))
  )))"),"GenFix")</f>
        <v>GenFix</v>
      </c>
      <c r="C109" s="698" t="s">
        <v>102</v>
      </c>
      <c r="D109" s="686" t="s">
        <v>324</v>
      </c>
      <c r="E109" s="687">
        <f>E108</f>
        <v>0.41</v>
      </c>
      <c r="F109" s="753"/>
      <c r="G109" s="754"/>
      <c r="H109" s="127"/>
      <c r="I109" s="161"/>
      <c r="J109" s="126" t="s">
        <v>87</v>
      </c>
      <c r="K109" s="126" t="str">
        <f>IFERROR(
  IF(B109="", "", VLOOKUP(B109, Data!$B$2:$K$905, 7, FALSE)),
  ""
)</f>
        <v/>
      </c>
      <c r="L109" s="163"/>
      <c r="M109" s="150">
        <f>M107*ROUNDUP(E109/0.05,0)+1</f>
        <v>10</v>
      </c>
      <c r="N109" s="151">
        <f>IFERROR(__xludf.DUMMYFUNCTION("IF(B109="""", """", IFERROR(1 / COS(RADIANS(REGEXEXTRACT(F109,""(\d+)""))), 1))"),1.0)</f>
        <v>1</v>
      </c>
      <c r="O109" s="169">
        <v>1.0</v>
      </c>
      <c r="P109" s="134">
        <v>1.0</v>
      </c>
      <c r="Q109" s="168">
        <f t="shared" si="68"/>
        <v>10</v>
      </c>
      <c r="R109" s="136" t="str">
        <f>IFERROR(
  IF(B109="", "", VLOOKUP(B109, Data!$B$2:$K$905, 9, FALSE)),
  ""
)</f>
        <v/>
      </c>
      <c r="S109" s="152">
        <f t="shared" si="69"/>
        <v>0</v>
      </c>
      <c r="T109" s="138"/>
      <c r="U109" s="136" t="str">
        <f>IFERROR(
  IF(B109="", "", VLOOKUP(B109, Data!$B$2:$K$905, 10, FALSE)),
  ""
)
</f>
        <v/>
      </c>
      <c r="V109" s="139"/>
      <c r="W109" s="140">
        <f t="shared" si="70"/>
        <v>0</v>
      </c>
      <c r="X109" s="159"/>
      <c r="Y109" s="5"/>
      <c r="Z109" s="5"/>
      <c r="AA109" s="5"/>
      <c r="AB109" s="354">
        <f t="shared" si="71"/>
        <v>0</v>
      </c>
      <c r="AC109" s="33"/>
      <c r="AD109" s="65"/>
      <c r="AE109" s="66"/>
      <c r="AF109" s="144"/>
      <c r="AG109" s="68"/>
      <c r="AH109" s="69"/>
      <c r="AI109" s="39"/>
      <c r="AJ109" s="70"/>
      <c r="AK109" s="70"/>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260"/>
      <c r="BJ109" s="260"/>
      <c r="BK109" s="260"/>
      <c r="BL109" s="260"/>
      <c r="BM109" s="260"/>
      <c r="BN109" s="260"/>
      <c r="BO109" s="260"/>
      <c r="BP109" s="260"/>
      <c r="BQ109" s="260"/>
      <c r="BR109" s="260"/>
      <c r="BS109" s="260"/>
      <c r="BT109" s="260"/>
    </row>
    <row r="110">
      <c r="A110" s="743"/>
      <c r="B110" s="717"/>
      <c r="C110" s="698"/>
      <c r="D110" s="686"/>
      <c r="E110" s="687"/>
      <c r="F110" s="753"/>
      <c r="G110" s="754"/>
      <c r="H110" s="127"/>
      <c r="I110" s="161"/>
      <c r="J110" s="126"/>
      <c r="K110" s="126"/>
      <c r="L110" s="163"/>
      <c r="M110" s="150"/>
      <c r="N110" s="151"/>
      <c r="O110" s="169"/>
      <c r="P110" s="134"/>
      <c r="Q110" s="168"/>
      <c r="R110" s="136"/>
      <c r="S110" s="152"/>
      <c r="T110" s="138"/>
      <c r="U110" s="136"/>
      <c r="V110" s="139"/>
      <c r="W110" s="140"/>
      <c r="X110" s="159"/>
      <c r="Y110" s="5"/>
      <c r="Z110" s="5"/>
      <c r="AA110" s="5"/>
      <c r="AB110" s="354"/>
      <c r="AC110" s="33"/>
      <c r="AD110" s="65"/>
      <c r="AE110" s="66"/>
      <c r="AF110" s="144"/>
      <c r="AG110" s="68"/>
      <c r="AH110" s="69"/>
      <c r="AI110" s="39"/>
      <c r="AJ110" s="70"/>
      <c r="AK110" s="70"/>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260"/>
      <c r="BJ110" s="260"/>
      <c r="BK110" s="260"/>
      <c r="BL110" s="260"/>
      <c r="BM110" s="260"/>
      <c r="BN110" s="260"/>
      <c r="BO110" s="260"/>
      <c r="BP110" s="260"/>
      <c r="BQ110" s="260"/>
      <c r="BR110" s="260"/>
      <c r="BS110" s="260"/>
      <c r="BT110" s="260"/>
    </row>
    <row r="111">
      <c r="A111" s="743"/>
      <c r="B111" s="717" t="s">
        <v>473</v>
      </c>
      <c r="C111" s="734" t="s">
        <v>474</v>
      </c>
      <c r="D111" s="686" t="s">
        <v>391</v>
      </c>
      <c r="E111" s="752"/>
      <c r="F111" s="756"/>
      <c r="G111" s="689"/>
      <c r="H111" s="127" t="str">
        <f>IFERROR(__xludf.DUMMYFUNCTION("IFERROR(REGEXEXTRACT(C111, ""(\d*\.\d+)mm""), """")"),"")</f>
        <v/>
      </c>
      <c r="I111" s="161"/>
      <c r="J111" s="126" t="s">
        <v>14</v>
      </c>
      <c r="K111" s="126" t="str">
        <f>IFERROR(
  IF(B111="", "", VLOOKUP(B111, Data!$B$2:$K$905, 7, FALSE)),
  ""
)</f>
        <v/>
      </c>
      <c r="L111" s="161"/>
      <c r="M111" s="730">
        <v>1.0</v>
      </c>
      <c r="N111" s="151">
        <f>IFERROR(__xludf.DUMMYFUNCTION("IF(B111="""", """", IFERROR(1 / COS(RADIANS(REGEXEXTRACT(F111,""(\d+)""))), 1))"),1.0)</f>
        <v>1</v>
      </c>
      <c r="O111" s="169">
        <v>1.0</v>
      </c>
      <c r="P111" s="134">
        <v>1.0</v>
      </c>
      <c r="Q111" s="168">
        <f t="shared" ref="Q111:Q114" si="72">M111*N111*O111*P111</f>
        <v>1</v>
      </c>
      <c r="R111" s="136" t="str">
        <f>IFERROR(
  IF(B111="", "", VLOOKUP(B111, Data!$B$2:$K$905, 9, FALSE)),
  ""
)</f>
        <v/>
      </c>
      <c r="S111" s="152">
        <f t="shared" ref="S111:S114" si="73">R111*Q111</f>
        <v>0</v>
      </c>
      <c r="T111" s="138"/>
      <c r="U111" s="136" t="str">
        <f>IFERROR(
  IF(B111="", "", VLOOKUP(B111, Data!$B$2:$K$905, 10, FALSE)),
  ""
)
</f>
        <v/>
      </c>
      <c r="V111" s="139"/>
      <c r="W111" s="140">
        <f t="shared" ref="W111:W114" si="74">U111*Q111</f>
        <v>0</v>
      </c>
      <c r="X111" s="159"/>
      <c r="Y111" s="5"/>
      <c r="Z111" s="5"/>
      <c r="AA111" s="5"/>
      <c r="AB111" s="354">
        <f t="shared" ref="AB111:AB115" si="75">W111+S111</f>
        <v>0</v>
      </c>
      <c r="AC111" s="33"/>
      <c r="AD111" s="226"/>
      <c r="AE111" s="227"/>
      <c r="AF111" s="228"/>
      <c r="AG111" s="229"/>
      <c r="AH111" s="230"/>
      <c r="AI111" s="39"/>
      <c r="AJ111" s="231"/>
      <c r="AK111" s="231"/>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260"/>
      <c r="BJ111" s="260"/>
      <c r="BK111" s="260"/>
      <c r="BL111" s="260"/>
      <c r="BM111" s="260"/>
      <c r="BN111" s="260"/>
      <c r="BO111" s="260"/>
      <c r="BP111" s="260"/>
      <c r="BQ111" s="260"/>
      <c r="BR111" s="260"/>
      <c r="BS111" s="260"/>
      <c r="BT111" s="260"/>
    </row>
    <row r="112">
      <c r="A112" s="743" t="s">
        <v>435</v>
      </c>
      <c r="B112" s="717" t="s">
        <v>475</v>
      </c>
      <c r="C112" s="698" t="s">
        <v>476</v>
      </c>
      <c r="D112" s="686" t="s">
        <v>321</v>
      </c>
      <c r="E112" s="752"/>
      <c r="F112" s="753"/>
      <c r="G112" s="754"/>
      <c r="H112" s="127"/>
      <c r="I112" s="161"/>
      <c r="J112" s="126" t="s">
        <v>87</v>
      </c>
      <c r="K112" s="126" t="str">
        <f>IFERROR(
  IF(B112="", "", VLOOKUP(B112, Data!$B$2:$K$905, 7, FALSE)),
  ""
)</f>
        <v/>
      </c>
      <c r="L112" s="163"/>
      <c r="M112" s="150">
        <f>M111</f>
        <v>1</v>
      </c>
      <c r="N112" s="151">
        <f>IFERROR(__xludf.DUMMYFUNCTION("IF(B112="""", """", IFERROR(1 / COS(RADIANS(REGEXEXTRACT(F112,""(\d+)""))), 1))"),1.0)</f>
        <v>1</v>
      </c>
      <c r="O112" s="169">
        <v>1.0</v>
      </c>
      <c r="P112" s="134">
        <v>1.0</v>
      </c>
      <c r="Q112" s="168">
        <f t="shared" si="72"/>
        <v>1</v>
      </c>
      <c r="R112" s="136" t="str">
        <f>IFERROR(
  IF(B112="", "", VLOOKUP(B112, Data!$B$2:$K$905, 9, FALSE)),
  ""
)</f>
        <v/>
      </c>
      <c r="S112" s="152">
        <f t="shared" si="73"/>
        <v>0</v>
      </c>
      <c r="T112" s="138"/>
      <c r="U112" s="136" t="str">
        <f>IFERROR(
  IF(B112="", "", VLOOKUP(B112, Data!$B$2:$K$905, 10, FALSE)),
  ""
)
</f>
        <v/>
      </c>
      <c r="V112" s="139"/>
      <c r="W112" s="140">
        <f t="shared" si="74"/>
        <v>0</v>
      </c>
      <c r="X112" s="159"/>
      <c r="Y112" s="5"/>
      <c r="Z112" s="5"/>
      <c r="AA112" s="5"/>
      <c r="AB112" s="354">
        <f t="shared" si="75"/>
        <v>0</v>
      </c>
      <c r="AC112" s="33"/>
      <c r="AD112" s="65"/>
      <c r="AE112" s="66"/>
      <c r="AF112" s="144"/>
      <c r="AG112" s="68"/>
      <c r="AH112" s="69"/>
      <c r="AI112" s="39"/>
      <c r="AJ112" s="70"/>
      <c r="AK112" s="70"/>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260"/>
      <c r="BJ112" s="260"/>
      <c r="BK112" s="260"/>
      <c r="BL112" s="260"/>
      <c r="BM112" s="260"/>
      <c r="BN112" s="260"/>
      <c r="BO112" s="260"/>
      <c r="BP112" s="260"/>
      <c r="BQ112" s="260"/>
      <c r="BR112" s="260"/>
      <c r="BS112" s="260"/>
      <c r="BT112" s="260"/>
    </row>
    <row r="113">
      <c r="A113" s="743"/>
      <c r="B113" s="717" t="str">
        <f>IFERROR(__xludf.DUMMYFUNCTION("IFERROR(
  IF(C113="""","""",
    IF(OR(REGEXMATCH(D113,""(?i)-Flashing""), REGEXMATCH(D113,""(?i)-EavesGut""), REGEXMATCH(D113,""(?i)Valley"")),
        ""DR"" &amp;
        TEXT(
            ROUNDUP(
                MIN(
                    VALUE(MID(C113, "&amp;"FIND(""("",C113)+1, FIND(""/"",C113)-FIND(""("",C113)-1)),
                    1200
                ) / 50, 0
            ) * 50, ""0""
        ) &amp;
        MID(C113, FIND(""/"",C113)+1, FIND("")"",C113)-FIND(""/"",C113)-1) &amp;
        TEXT(H113*100,""0"") &amp;"&amp;"
        I113,
    IF(AND(D113=""Roof Sheet"", REGEXMATCH(C113,""(?i)KS\d{4}[A-Z]{2}"")),
       REGEXEXTRACT(C113,""(?i)KS\d{4}[A-Z]{2}""),
    IF(AND(REGEXMATCH(D113,""(?i)-DP""), REGEXMATCH(C113,""(?i)Downpipe"")),
       ""dp"" &amp; REGEXEXTRACT(C113,""("&amp;"\d+)"") &amp; ""mm"",
    IF(AND(REGEXMATCH(D113,""(?i)Bracket""), REGEXMATCH(C113,""(?i)Bracket"")),
       ""Brkt"" &amp; REGEXEXTRACT(C113,""(\d+)"") &amp; ""mm"",
    IF(AND(REGEXMATCH(D113,""(?i)-OP""), REGEXMATCH(C113,""(?i)pops"")),
       ""op"" &amp; REGEXEXTRAC"&amp;"T(C113,""(\d+)"") &amp; ""mm"",
    IF(OR(D113=""R-FFTop"", D113=""R-FFBottom"", D113=""R-FFSide""),
        IF(REGEXMATCH(C113,""(?i)Profiled.*Top|Top.*Profiled""),""pfft"",
        IF(REGEXMATCH(C113,""(?i)Profiled.*Bottom|Bottom.*Profiled""),""pffb"",
    "&amp;"    IF(REGEXMATCH(C113,""(?i)Square""),""sff"",""""))),
    IF(REGEXMATCH(D113,""(?i)-Rivets""),""Rvt"",
    IF(REGEXMATCH(D113,""(?i)Silicone|Seal""),""300ml"",
    IF(REGEXMATCH(D113,""(?i)R-Butyl""),""300ml"",
    IF(REGEXMATCH(D113,""(?i)Fix""),""GenF"&amp;"ix"",
    IF(AND(REGEXMATCH(C113,""(?i)Timber""), REGEXMATCH(D113,""(?i)Timber"")),""tp"",
    IF(AND(REGEXMATCH(C113,""(?i)Vent G1275""), REGEXMATCH(D113,""(?i)Comb FIller"")),""CFV1275"",
    IF(REGEXMATCH(C113,""(?i)DPC""),""dpc"",
    IF(REGEXMATCH(C1"&amp;"13,""(?i)Concealed Clips""),""ConClips"",
    IF(REGEXMATCH(D113,""(?i)-Takeoff ea""),""Takeoff ea"",
    IF(REGEXMATCH(D113,""(?i)-Takeoff LM""),""Takeoff LM"",
    IF(REGEXMATCH(D113,""(?i)-Takeoff m2""),""Takeoff m2"",
    IF(D113=""R-TU/TD"",""TU/TD"""&amp;","""")))))))))))))))))
  )))"),"300ml")</f>
        <v>300ml</v>
      </c>
      <c r="C113" s="734" t="s">
        <v>98</v>
      </c>
      <c r="D113" s="686" t="s">
        <v>327</v>
      </c>
      <c r="E113" s="755">
        <v>0.14</v>
      </c>
      <c r="F113" s="756" t="str">
        <f>F112</f>
        <v/>
      </c>
      <c r="G113" s="757"/>
      <c r="H113" s="127" t="str">
        <f>IFERROR(__xludf.DUMMYFUNCTION("IFERROR(REGEXEXTRACT(C113, ""(\d*\.\d+)mm""), """")"),"")</f>
        <v/>
      </c>
      <c r="I113" s="161"/>
      <c r="J113" s="126" t="s">
        <v>87</v>
      </c>
      <c r="K113" s="126" t="str">
        <f>IFERROR(
  IF(B113="", "", VLOOKUP(B113, Data!$B$2:$K$905, 7, FALSE)),
  ""
)</f>
        <v/>
      </c>
      <c r="L113" s="163"/>
      <c r="M113" s="150">
        <f>M112*ROUNDUP(E113/8,0)+1</f>
        <v>2</v>
      </c>
      <c r="N113" s="151">
        <f>IFERROR(__xludf.DUMMYFUNCTION("IF(B113="""", """", IFERROR(1 / COS(RADIANS(REGEXEXTRACT(F113,""(\d+)""))), 1))"),1.0)</f>
        <v>1</v>
      </c>
      <c r="O113" s="169">
        <v>1.0</v>
      </c>
      <c r="P113" s="134">
        <v>1.0</v>
      </c>
      <c r="Q113" s="168">
        <f t="shared" si="72"/>
        <v>2</v>
      </c>
      <c r="R113" s="136" t="str">
        <f>IFERROR(
  IF(B113="", "", VLOOKUP(B113, Data!$B$2:$K$905, 9, FALSE)),
  ""
)</f>
        <v/>
      </c>
      <c r="S113" s="152">
        <f t="shared" si="73"/>
        <v>0</v>
      </c>
      <c r="T113" s="138"/>
      <c r="U113" s="136" t="str">
        <f>IFERROR(
  IF(B113="", "", VLOOKUP(B113, Data!$B$2:$K$905, 10, FALSE)),
  ""
)
</f>
        <v/>
      </c>
      <c r="V113" s="139"/>
      <c r="W113" s="140">
        <f t="shared" si="74"/>
        <v>0</v>
      </c>
      <c r="X113" s="159"/>
      <c r="Y113" s="5"/>
      <c r="Z113" s="5"/>
      <c r="AA113" s="5"/>
      <c r="AB113" s="354">
        <f t="shared" si="75"/>
        <v>0</v>
      </c>
      <c r="AC113" s="33"/>
      <c r="AD113" s="65"/>
      <c r="AE113" s="66"/>
      <c r="AF113" s="144"/>
      <c r="AG113" s="68"/>
      <c r="AH113" s="69"/>
      <c r="AI113" s="39"/>
      <c r="AJ113" s="70"/>
      <c r="AK113" s="70"/>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260"/>
      <c r="BJ113" s="260"/>
      <c r="BK113" s="260"/>
      <c r="BL113" s="260"/>
      <c r="BM113" s="260"/>
      <c r="BN113" s="260"/>
      <c r="BO113" s="260"/>
      <c r="BP113" s="260"/>
      <c r="BQ113" s="260"/>
      <c r="BR113" s="260"/>
      <c r="BS113" s="260"/>
      <c r="BT113" s="260"/>
    </row>
    <row r="114">
      <c r="A114" s="743"/>
      <c r="B114" s="717" t="str">
        <f>IFERROR(__xludf.DUMMYFUNCTION("IFERROR(
  IF(C114="""","""",
    IF(OR(REGEXMATCH(D114,""(?i)-Flashing""), REGEXMATCH(D114,""(?i)-EavesGut""), REGEXMATCH(D114,""(?i)Valley"")),
        ""DR"" &amp;
        TEXT(
            ROUNDUP(
                MIN(
                    VALUE(MID(C114, "&amp;"FIND(""("",C114)+1, FIND(""/"",C114)-FIND(""("",C114)-1)),
                    1200
                ) / 50, 0
            ) * 50, ""0""
        ) &amp;
        MID(C114, FIND(""/"",C114)+1, FIND("")"",C114)-FIND(""/"",C114)-1) &amp;
        TEXT(H114*100,""0"") &amp;"&amp;"
        I114,
    IF(AND(D114=""Roof Sheet"", REGEXMATCH(C114,""(?i)KS\d{4}[A-Z]{2}"")),
       REGEXEXTRACT(C114,""(?i)KS\d{4}[A-Z]{2}""),
    IF(AND(REGEXMATCH(D114,""(?i)-DP""), REGEXMATCH(C114,""(?i)Downpipe"")),
       ""dp"" &amp; REGEXEXTRACT(C114,""("&amp;"\d+)"") &amp; ""mm"",
    IF(AND(REGEXMATCH(D114,""(?i)Bracket""), REGEXMATCH(C114,""(?i)Bracket"")),
       ""Brkt"" &amp; REGEXEXTRACT(C114,""(\d+)"") &amp; ""mm"",
    IF(AND(REGEXMATCH(D114,""(?i)-OP""), REGEXMATCH(C114,""(?i)pops"")),
       ""op"" &amp; REGEXEXTRAC"&amp;"T(C114,""(\d+)"") &amp; ""mm"",
    IF(OR(D114=""R-FFTop"", D114=""R-FFBottom"", D114=""R-FFSide""),
        IF(REGEXMATCH(C114,""(?i)Profiled.*Top|Top.*Profiled""),""pfft"",
        IF(REGEXMATCH(C114,""(?i)Profiled.*Bottom|Bottom.*Profiled""),""pffb"",
    "&amp;"    IF(REGEXMATCH(C114,""(?i)Square""),""sff"",""""))),
    IF(REGEXMATCH(D114,""(?i)-Rivets""),""Rvt"",
    IF(REGEXMATCH(D114,""(?i)Silicone""),""300ml"",
    IF(REGEXMATCH(D114,""(?i)R-Butyl""),""300ml"",
    IF(REGEXMATCH(D114,""(?i)Fix""),""GenFix"","&amp;"
    IF(AND(REGEXMATCH(C114,""(?i)Timber""), REGEXMATCH(D114,""(?i)Timber"")),""tp"",
    IF(AND(REGEXMATCH(C114,""(?i)Vent G1275""), REGEXMATCH(D114,""(?i)Comb FIller"")),""CFV1275"",
    IF(REGEXMATCH(C114,""(?i)DPC""),""dpc"",
    IF(REGEXMATCH(C114,"""&amp;"(?i)Concealed Clips""),""ConClips"",
    IF(REGEXMATCH(D114,""(?i)-Takeoff ea""),""Takeoff ea"",
    IF(REGEXMATCH(D114,""(?i)-Takeoff LM""),""Takeoff LM"",
    IF(REGEXMATCH(D114,""(?i)-Takeoff m2""),""Takeoff m2"",
    IF(D114=""R-TU/TD"",""TU/TD"","""""&amp;")))))))))))))))))
  )))"),"GenFix")</f>
        <v>GenFix</v>
      </c>
      <c r="C114" s="698" t="s">
        <v>102</v>
      </c>
      <c r="D114" s="686" t="s">
        <v>324</v>
      </c>
      <c r="E114" s="687">
        <f>E113</f>
        <v>0.14</v>
      </c>
      <c r="F114" s="753"/>
      <c r="G114" s="754"/>
      <c r="H114" s="127"/>
      <c r="I114" s="161"/>
      <c r="J114" s="126" t="s">
        <v>87</v>
      </c>
      <c r="K114" s="126" t="str">
        <f>IFERROR(
  IF(B114="", "", VLOOKUP(B114, Data!$B$2:$K$905, 7, FALSE)),
  ""
)</f>
        <v/>
      </c>
      <c r="L114" s="163"/>
      <c r="M114" s="150">
        <f>M112*ROUNDUP(E114/0.05,0)+1</f>
        <v>4</v>
      </c>
      <c r="N114" s="151">
        <f>IFERROR(__xludf.DUMMYFUNCTION("IF(B114="""", """", IFERROR(1 / COS(RADIANS(REGEXEXTRACT(F114,""(\d+)""))), 1))"),1.0)</f>
        <v>1</v>
      </c>
      <c r="O114" s="169">
        <v>1.0</v>
      </c>
      <c r="P114" s="134">
        <v>1.0</v>
      </c>
      <c r="Q114" s="168">
        <f t="shared" si="72"/>
        <v>4</v>
      </c>
      <c r="R114" s="136" t="str">
        <f>IFERROR(
  IF(B114="", "", VLOOKUP(B114, Data!$B$2:$K$905, 9, FALSE)),
  ""
)</f>
        <v/>
      </c>
      <c r="S114" s="152">
        <f t="shared" si="73"/>
        <v>0</v>
      </c>
      <c r="T114" s="138"/>
      <c r="U114" s="136" t="str">
        <f>IFERROR(
  IF(B114="", "", VLOOKUP(B114, Data!$B$2:$K$905, 10, FALSE)),
  ""
)
</f>
        <v/>
      </c>
      <c r="V114" s="139"/>
      <c r="W114" s="140">
        <f t="shared" si="74"/>
        <v>0</v>
      </c>
      <c r="X114" s="159"/>
      <c r="Y114" s="5"/>
      <c r="Z114" s="5"/>
      <c r="AA114" s="5"/>
      <c r="AB114" s="354">
        <f t="shared" si="75"/>
        <v>0</v>
      </c>
      <c r="AC114" s="33"/>
      <c r="AD114" s="65"/>
      <c r="AE114" s="66"/>
      <c r="AF114" s="144"/>
      <c r="AG114" s="68"/>
      <c r="AH114" s="69"/>
      <c r="AI114" s="39"/>
      <c r="AJ114" s="70"/>
      <c r="AK114" s="70"/>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260"/>
      <c r="BJ114" s="260"/>
      <c r="BK114" s="260"/>
      <c r="BL114" s="260"/>
      <c r="BM114" s="260"/>
      <c r="BN114" s="260"/>
      <c r="BO114" s="260"/>
      <c r="BP114" s="260"/>
      <c r="BQ114" s="260"/>
      <c r="BR114" s="260"/>
      <c r="BS114" s="260"/>
      <c r="BT114" s="260"/>
    </row>
    <row r="115">
      <c r="A115" s="732"/>
      <c r="B115" s="154"/>
      <c r="C115" s="700"/>
      <c r="D115" s="701"/>
      <c r="E115" s="722"/>
      <c r="F115" s="721"/>
      <c r="G115" s="701"/>
      <c r="H115" s="128"/>
      <c r="I115" s="700"/>
      <c r="J115" s="701"/>
      <c r="K115" s="701"/>
      <c r="L115" s="712"/>
      <c r="M115" s="704"/>
      <c r="N115" s="151" t="str">
        <f>if(B115="","",(if(#REF!="",#REF!,#REF!)))</f>
        <v/>
      </c>
      <c r="O115" s="712"/>
      <c r="P115" s="700"/>
      <c r="Q115" s="712"/>
      <c r="R115" s="136" t="str">
        <f>IFERROR(
  IF(B115="", "", VLOOKUP(B115, Data!$B$2:$K$905, 9, FALSE)),
  ""
)</f>
        <v/>
      </c>
      <c r="S115" s="691"/>
      <c r="T115" s="690"/>
      <c r="U115" s="136" t="str">
        <f>IFERROR(
  IF(B115="", "", VLOOKUP(B115, Data!$B$2:$K$905, 10, FALSE)),
  ""
)
</f>
        <v/>
      </c>
      <c r="V115" s="691"/>
      <c r="W115" s="713"/>
      <c r="X115" s="692"/>
      <c r="Y115" s="595"/>
      <c r="Z115" s="595"/>
      <c r="AA115" s="595"/>
      <c r="AB115" s="354">
        <f t="shared" si="75"/>
        <v>0</v>
      </c>
      <c r="AC115" s="181"/>
      <c r="AD115" s="625"/>
      <c r="AE115" s="626"/>
      <c r="AF115" s="696"/>
      <c r="AG115" s="697"/>
      <c r="AH115" s="629"/>
      <c r="AI115" s="187"/>
      <c r="AJ115" s="630"/>
      <c r="AK115" s="630"/>
      <c r="AL115" s="595"/>
      <c r="AM115" s="595"/>
      <c r="AN115" s="595"/>
      <c r="AO115" s="595"/>
      <c r="AP115" s="595"/>
      <c r="AQ115" s="595"/>
      <c r="AR115" s="595"/>
      <c r="AS115" s="595"/>
      <c r="AT115" s="595"/>
      <c r="AU115" s="595"/>
      <c r="AV115" s="595"/>
      <c r="AW115" s="595"/>
      <c r="AX115" s="595"/>
      <c r="AY115" s="595"/>
      <c r="AZ115" s="595"/>
      <c r="BA115" s="595"/>
      <c r="BB115" s="595"/>
      <c r="BC115" s="595"/>
      <c r="BD115" s="595"/>
      <c r="BE115" s="595"/>
      <c r="BF115" s="595"/>
      <c r="BG115" s="595"/>
      <c r="BH115" s="595"/>
      <c r="BI115" s="651"/>
      <c r="BJ115" s="651"/>
      <c r="BK115" s="651"/>
      <c r="BL115" s="651"/>
      <c r="BM115" s="651"/>
      <c r="BN115" s="651"/>
      <c r="BO115" s="651"/>
      <c r="BP115" s="651"/>
      <c r="BQ115" s="651"/>
      <c r="BR115" s="651"/>
      <c r="BS115" s="651"/>
      <c r="BT115" s="651"/>
    </row>
    <row r="116">
      <c r="A116" s="631">
        <v>1.0</v>
      </c>
      <c r="B116" s="652" t="s">
        <v>425</v>
      </c>
      <c r="C116" s="89" t="s">
        <v>477</v>
      </c>
      <c r="D116" s="656"/>
      <c r="E116" s="654"/>
      <c r="F116" s="655"/>
      <c r="G116" s="233"/>
      <c r="H116" s="656"/>
      <c r="I116" s="656"/>
      <c r="J116" s="656"/>
      <c r="K116" s="657" t="s">
        <v>42</v>
      </c>
      <c r="L116" s="658"/>
      <c r="M116" s="658" t="s">
        <v>42</v>
      </c>
      <c r="N116" s="659"/>
      <c r="O116" s="658"/>
      <c r="P116" s="656"/>
      <c r="Q116" s="658"/>
      <c r="R116" s="136" t="str">
        <f>IFERROR(
  IF(B116="", "", VLOOKUP(B116, Data!$B$2:$K$905, 9, FALSE)),
  ""
)</f>
        <v/>
      </c>
      <c r="S116" s="660"/>
      <c r="T116" s="661"/>
      <c r="U116" s="136" t="str">
        <f>IFERROR(
  IF(B116="", "", VLOOKUP(B116, Data!$B$2:$K$905, 10, FALSE)),
  ""
)
</f>
        <v/>
      </c>
      <c r="V116" s="662"/>
      <c r="W116" s="663"/>
      <c r="X116" s="692"/>
      <c r="Y116" s="595"/>
      <c r="Z116" s="595"/>
      <c r="AA116" s="595"/>
      <c r="AB116" s="354"/>
      <c r="AC116" s="181"/>
      <c r="AD116" s="625"/>
      <c r="AE116" s="626"/>
      <c r="AF116" s="696"/>
      <c r="AG116" s="628"/>
      <c r="AH116" s="629"/>
      <c r="AI116" s="187"/>
      <c r="AJ116" s="630"/>
      <c r="AK116" s="630"/>
      <c r="AL116" s="595"/>
      <c r="AM116" s="595"/>
      <c r="AN116" s="595"/>
      <c r="AO116" s="595"/>
      <c r="AP116" s="595"/>
      <c r="AQ116" s="595"/>
      <c r="AR116" s="595"/>
      <c r="AS116" s="595"/>
      <c r="AT116" s="595"/>
      <c r="AU116" s="595"/>
      <c r="AV116" s="595"/>
      <c r="AW116" s="595"/>
      <c r="AX116" s="595"/>
      <c r="AY116" s="595"/>
      <c r="AZ116" s="595"/>
      <c r="BA116" s="595"/>
      <c r="BB116" s="595"/>
      <c r="BC116" s="595"/>
      <c r="BD116" s="595"/>
      <c r="BE116" s="595"/>
      <c r="BF116" s="595"/>
      <c r="BG116" s="595"/>
      <c r="BH116" s="595"/>
      <c r="BI116" s="651"/>
      <c r="BJ116" s="651"/>
      <c r="BK116" s="651"/>
      <c r="BL116" s="651"/>
      <c r="BM116" s="651"/>
      <c r="BN116" s="651"/>
      <c r="BO116" s="651"/>
      <c r="BP116" s="651"/>
      <c r="BQ116" s="651"/>
      <c r="BR116" s="651"/>
      <c r="BS116" s="651"/>
      <c r="BT116" s="651"/>
    </row>
    <row r="117">
      <c r="A117" s="631">
        <v>1.0</v>
      </c>
      <c r="B117" s="727"/>
      <c r="C117" s="103" t="s">
        <v>478</v>
      </c>
      <c r="D117" s="678"/>
      <c r="E117" s="676"/>
      <c r="F117" s="677"/>
      <c r="G117" s="157"/>
      <c r="H117" s="678"/>
      <c r="I117" s="678"/>
      <c r="J117" s="678"/>
      <c r="K117" s="678" t="s">
        <v>42</v>
      </c>
      <c r="L117" s="106">
        <f>Q117</f>
        <v>147</v>
      </c>
      <c r="M117" s="679" t="s">
        <v>42</v>
      </c>
      <c r="N117" s="680"/>
      <c r="O117" s="679"/>
      <c r="P117" s="678"/>
      <c r="Q117" s="106">
        <f>Q118</f>
        <v>147</v>
      </c>
      <c r="R117" s="136" t="str">
        <f>IFERROR(
  IF(B117="", "", VLOOKUP(B117, Data!$B$2:$K$905, 9, FALSE)),
  ""
)</f>
        <v/>
      </c>
      <c r="S117" s="682">
        <f>IFERROR(T117/Q117, 0)</f>
        <v>0</v>
      </c>
      <c r="T117" s="109">
        <f>SUM(S118:S128)</f>
        <v>0</v>
      </c>
      <c r="U117" s="136" t="str">
        <f>IFERROR(
  IF(B117="", "", VLOOKUP(B117, Data!$B$2:$K$905, 10, FALSE)),
  ""
)
</f>
        <v/>
      </c>
      <c r="V117" s="109">
        <f>W117/Q117</f>
        <v>0</v>
      </c>
      <c r="W117" s="110">
        <f>SUM(W118:W128)</f>
        <v>0</v>
      </c>
      <c r="X117" s="111" t="str">
        <f>W117/$AC$758/$W$765/$X$755</f>
        <v>#REF!</v>
      </c>
      <c r="Y117" s="112" t="b">
        <f>(T117+W117)=(SUM(AB118:AB128))</f>
        <v>1</v>
      </c>
      <c r="Z117" s="113">
        <f>(T117+W117)-(SUM(AB118:AB128))</f>
        <v>0</v>
      </c>
      <c r="AA117" s="595"/>
      <c r="AB117" s="595"/>
      <c r="AC117" s="181"/>
      <c r="AD117" s="114">
        <f>W117+T117</f>
        <v>0</v>
      </c>
      <c r="AE117" s="115">
        <f>AD117</f>
        <v>0</v>
      </c>
      <c r="AF117" s="116" t="str">
        <f>AE117/$AE$733</f>
        <v>#REF!</v>
      </c>
      <c r="AG117" s="683" t="str">
        <f>AF117*$AG$740</f>
        <v>#REF!</v>
      </c>
      <c r="AH117" s="118" t="str">
        <f>AF117*$AG$743</f>
        <v>#REF!</v>
      </c>
      <c r="AI117" s="187"/>
      <c r="AJ117" s="119" t="str">
        <f>ROUND(AK117/L117,2)</f>
        <v>#REF!</v>
      </c>
      <c r="AK117" s="119" t="str">
        <f>ROUND(AH117+AG117+AD117,2)</f>
        <v>#REF!</v>
      </c>
      <c r="AL117" s="595"/>
      <c r="AM117" s="595"/>
      <c r="AN117" s="595"/>
      <c r="AO117" s="595"/>
      <c r="AP117" s="595"/>
      <c r="AQ117" s="595"/>
      <c r="AR117" s="595"/>
      <c r="AS117" s="595"/>
      <c r="AT117" s="595"/>
      <c r="AU117" s="595"/>
      <c r="AV117" s="595"/>
      <c r="AW117" s="595"/>
      <c r="AX117" s="595"/>
      <c r="AY117" s="595"/>
      <c r="AZ117" s="595"/>
      <c r="BA117" s="595"/>
      <c r="BB117" s="595"/>
      <c r="BC117" s="595"/>
      <c r="BD117" s="595"/>
      <c r="BE117" s="595"/>
      <c r="BF117" s="595"/>
      <c r="BG117" s="595"/>
      <c r="BH117" s="595"/>
      <c r="BI117" s="651"/>
      <c r="BJ117" s="651"/>
      <c r="BK117" s="651"/>
      <c r="BL117" s="651"/>
      <c r="BM117" s="651"/>
      <c r="BN117" s="651"/>
      <c r="BO117" s="651"/>
      <c r="BP117" s="651"/>
      <c r="BQ117" s="651"/>
      <c r="BR117" s="651"/>
      <c r="BS117" s="651"/>
      <c r="BT117" s="651"/>
    </row>
    <row r="118">
      <c r="A118" s="716" t="s">
        <v>479</v>
      </c>
      <c r="B118" s="154" t="s">
        <v>480</v>
      </c>
      <c r="C118" s="223" t="s">
        <v>481</v>
      </c>
      <c r="D118" s="124" t="s">
        <v>120</v>
      </c>
      <c r="E118" s="687">
        <f>VALUE(MID(C118, FIND("(", C118)+1, FIND("/", C118)-FIND("(", C118)-1)) / 1000</f>
        <v>0.67</v>
      </c>
      <c r="F118" s="721"/>
      <c r="G118" s="689" t="s">
        <v>429</v>
      </c>
      <c r="H118" s="700" t="str">
        <f>IFERROR(__xludf.DUMMYFUNCTION("IFERROR(REGEXEXTRACT(C118, ""(\d*\.\d+)mm""), """")"),"")</f>
        <v/>
      </c>
      <c r="I118" s="128" t="s">
        <v>97</v>
      </c>
      <c r="J118" s="126" t="s">
        <v>14</v>
      </c>
      <c r="K118" s="126" t="str">
        <f>IFERROR(
  IF(B118="", "", VLOOKUP(B118, Data!$B$2:$K$905, 7, FALSE)),
  ""
)</f>
        <v/>
      </c>
      <c r="L118" s="712"/>
      <c r="M118" s="730">
        <v>147.0</v>
      </c>
      <c r="N118" s="151">
        <f>IFERROR(__xludf.DUMMYFUNCTION("IF(B118="""", """", IFERROR(1 / COS(RADIANS(REGEXEXTRACT(F118,""(\d+)""))), 1))"),1.0)</f>
        <v>1</v>
      </c>
      <c r="O118" s="169">
        <v>1.0</v>
      </c>
      <c r="P118" s="134">
        <v>1.0</v>
      </c>
      <c r="Q118" s="168">
        <f t="shared" ref="Q118:Q124" si="76">M118*N118*O118*P118</f>
        <v>147</v>
      </c>
      <c r="R118" s="136" t="str">
        <f>IFERROR(
  IF(B118="", "", VLOOKUP(B118, Data!$B$2:$K$905, 9, FALSE)),
  ""
)</f>
        <v/>
      </c>
      <c r="S118" s="152">
        <f t="shared" ref="S118:S124" si="77">R118*Q118</f>
        <v>0</v>
      </c>
      <c r="T118" s="690"/>
      <c r="U118" s="136" t="str">
        <f>IFERROR(
  IF(B118="", "", VLOOKUP(B118, Data!$B$2:$K$905, 10, FALSE)),
  ""
)
</f>
        <v/>
      </c>
      <c r="V118" s="691"/>
      <c r="W118" s="140">
        <f t="shared" ref="W118:W124" si="78">U118*Q118</f>
        <v>0</v>
      </c>
      <c r="X118" s="692"/>
      <c r="Y118" s="595"/>
      <c r="Z118" s="595"/>
      <c r="AA118" s="595"/>
      <c r="AB118" s="354">
        <f t="shared" ref="AB118:AB124" si="79">W118+S118</f>
        <v>0</v>
      </c>
      <c r="AC118" s="181"/>
      <c r="AD118" s="705"/>
      <c r="AE118" s="706"/>
      <c r="AF118" s="707"/>
      <c r="AG118" s="708"/>
      <c r="AH118" s="709"/>
      <c r="AI118" s="187"/>
      <c r="AJ118" s="710"/>
      <c r="AK118" s="710"/>
      <c r="AL118" s="595"/>
      <c r="AM118" s="595"/>
      <c r="AN118" s="595"/>
      <c r="AO118" s="595"/>
      <c r="AP118" s="595"/>
      <c r="AQ118" s="595"/>
      <c r="AR118" s="595"/>
      <c r="AS118" s="595"/>
      <c r="AT118" s="595"/>
      <c r="AU118" s="595"/>
      <c r="AV118" s="595"/>
      <c r="AW118" s="595"/>
      <c r="AX118" s="595"/>
      <c r="AY118" s="595"/>
      <c r="AZ118" s="595"/>
      <c r="BA118" s="595"/>
      <c r="BB118" s="595"/>
      <c r="BC118" s="595"/>
      <c r="BD118" s="595"/>
      <c r="BE118" s="595"/>
      <c r="BF118" s="595"/>
      <c r="BG118" s="595"/>
      <c r="BH118" s="595"/>
      <c r="BI118" s="651"/>
      <c r="BJ118" s="651"/>
      <c r="BK118" s="651"/>
      <c r="BL118" s="651"/>
      <c r="BM118" s="651"/>
      <c r="BN118" s="651"/>
      <c r="BO118" s="651"/>
      <c r="BP118" s="651"/>
      <c r="BQ118" s="651"/>
      <c r="BR118" s="651"/>
      <c r="BS118" s="651"/>
      <c r="BT118" s="651"/>
    </row>
    <row r="119">
      <c r="A119" s="631"/>
      <c r="B119" s="154" t="str">
        <f>IFERROR(__xludf.DUMMYFUNCTION("IFERROR(
  IF(C119="""","""",
    IF(OR(REGEXMATCH(D119,""(?i)-Flashing""), REGEXMATCH(D119,""(?i)-EavesGut""), REGEXMATCH(D119,""(?i)Valley"")),
        ""DR"" &amp;
        TEXT(
            ROUNDUP(
                MIN(
                    VALUE(MID(C119, "&amp;"FIND(""("",C119)+1, FIND(""/"",C119)-FIND(""("",C119)-1)),
                    1200
                ) / 50, 0
            ) * 50, ""0""
        ) &amp;
        MID(C119, FIND(""/"",C119)+1, FIND("")"",C119)-FIND(""/"",C119)-1) &amp;
        TEXT(H119*100,""0"") &amp;"&amp;"
        I119,
    IF(AND(D119=""Roof Sheet"", REGEXMATCH(C119,""(?i)KS\d{4}[A-Z]{2}"")),
       REGEXEXTRACT(C119,""(?i)KS\d{4}[A-Z]{2}""),
    IF(AND(REGEXMATCH(D119,""(?i)-DP""), REGEXMATCH(C119,""(?i)Downpipe"")),
       ""dp"" &amp; REGEXEXTRACT(C119,""("&amp;"\d+)"") &amp; ""mm"",
    IF(AND(REGEXMATCH(D119,""(?i)Bracket""), REGEXMATCH(C119,""(?i)Bracket"")),
       ""Brkt"" &amp; REGEXEXTRACT(C119,""(\d+)"") &amp; ""mm"",
    IF(AND(REGEXMATCH(D119,""(?i)-OP""), REGEXMATCH(C119,""(?i)pops"")),
       ""op"" &amp; REGEXEXTRAC"&amp;"T(C119,""(\d+)"") &amp; ""mm"",
    IF(OR(D119=""R-FFTop"", D119=""R-FFBottom"", D119=""R-FFSide""),
        IF(REGEXMATCH(C119,""(?i)Profiled.*Top|Top.*Profiled""),""pfft"",
        IF(REGEXMATCH(C119,""(?i)Profiled.*Bottom|Bottom.*Profiled""),""pffb"",
    "&amp;"    IF(REGEXMATCH(C119,""(?i)Square""),""sff"",""""))),
    IF(REGEXMATCH(D119,""(?i)-Rivets""),""Rvt"",
    IF(REGEXMATCH(D119,""(?i)Silicone""),""300ml"",
    IF(REGEXMATCH(D119,""(?i)R-Butyl""),""300ml"",
    IF(REGEXMATCH(D119,""(?i)Fix""),""GenFix"","&amp;"
    IF(AND(REGEXMATCH(C119,""(?i)Timber""), REGEXMATCH(D119,""(?i)Timber"")),""tp"",
    IF(AND(REGEXMATCH(C119,""(?i)Vent G1275""), REGEXMATCH(D119,""(?i)Comb FIller"")),""CFV1275"",
    IF(REGEXMATCH(C119,""(?i)DPC""),""dpc"",
    IF(REGEXMATCH(C119,"""&amp;"(?i)Concealed Clips""),""ConClips"",
    IF(REGEXMATCH(D119,""(?i)-Takeoff ea""),""Takeoff ea"",
    IF(REGEXMATCH(D119,""(?i)-Takeoff LM""),""Takeoff LM"",
    IF(REGEXMATCH(D119,""(?i)-Takeoff m2""),""Takeoff m2"",
    IF(D119=""R-TU/TD"",""TU/TD"","""""&amp;")))))))))))))))))
  )))"),"300ml")</f>
        <v>300ml</v>
      </c>
      <c r="C119" s="734" t="s">
        <v>98</v>
      </c>
      <c r="D119" s="124" t="s">
        <v>99</v>
      </c>
      <c r="E119" s="687">
        <f>E118</f>
        <v>0.67</v>
      </c>
      <c r="F119" s="721"/>
      <c r="G119" s="158"/>
      <c r="H119" s="700"/>
      <c r="I119" s="700"/>
      <c r="J119" s="126" t="s">
        <v>87</v>
      </c>
      <c r="K119" s="126" t="str">
        <f>IFERROR(
  IF(B119="", "", VLOOKUP(B119, Data!$B$2:$K$905, 7, FALSE)),
  ""
)</f>
        <v/>
      </c>
      <c r="L119" s="712"/>
      <c r="M119" s="150">
        <f>(ROUNDDOWN((M118/5.7)+2,0)*E119)/8</f>
        <v>2.26125</v>
      </c>
      <c r="N119" s="151">
        <f>IFERROR(__xludf.DUMMYFUNCTION("IF(B119="""", """", IFERROR(1 / COS(RADIANS(REGEXEXTRACT(F119,""(\d+)""))), 1))"),1.0)</f>
        <v>1</v>
      </c>
      <c r="O119" s="169">
        <v>1.0</v>
      </c>
      <c r="P119" s="134">
        <v>1.0</v>
      </c>
      <c r="Q119" s="168">
        <f t="shared" si="76"/>
        <v>2.26125</v>
      </c>
      <c r="R119" s="136" t="str">
        <f>IFERROR(
  IF(B119="", "", VLOOKUP(B119, Data!$B$2:$K$905, 9, FALSE)),
  ""
)</f>
        <v/>
      </c>
      <c r="S119" s="152">
        <f t="shared" si="77"/>
        <v>0</v>
      </c>
      <c r="T119" s="690"/>
      <c r="U119" s="136" t="str">
        <f>IFERROR(
  IF(B119="", "", VLOOKUP(B119, Data!$B$2:$K$905, 10, FALSE)),
  ""
)
</f>
        <v/>
      </c>
      <c r="V119" s="691"/>
      <c r="W119" s="140">
        <f t="shared" si="78"/>
        <v>0</v>
      </c>
      <c r="X119" s="692"/>
      <c r="Y119" s="595"/>
      <c r="Z119" s="595"/>
      <c r="AA119" s="595"/>
      <c r="AB119" s="354">
        <f t="shared" si="79"/>
        <v>0</v>
      </c>
      <c r="AC119" s="181"/>
      <c r="AD119" s="625"/>
      <c r="AE119" s="626"/>
      <c r="AF119" s="696"/>
      <c r="AG119" s="697"/>
      <c r="AH119" s="629"/>
      <c r="AI119" s="187"/>
      <c r="AJ119" s="630"/>
      <c r="AK119" s="630"/>
      <c r="AL119" s="595"/>
      <c r="AM119" s="595"/>
      <c r="AN119" s="595"/>
      <c r="AO119" s="595"/>
      <c r="AP119" s="595"/>
      <c r="AQ119" s="595"/>
      <c r="AR119" s="595"/>
      <c r="AS119" s="595"/>
      <c r="AT119" s="595"/>
      <c r="AU119" s="595"/>
      <c r="AV119" s="595"/>
      <c r="AW119" s="595"/>
      <c r="AX119" s="595"/>
      <c r="AY119" s="595"/>
      <c r="AZ119" s="595"/>
      <c r="BA119" s="595"/>
      <c r="BB119" s="595"/>
      <c r="BC119" s="595"/>
      <c r="BD119" s="595"/>
      <c r="BE119" s="595"/>
      <c r="BF119" s="595"/>
      <c r="BG119" s="595"/>
      <c r="BH119" s="595"/>
      <c r="BI119" s="651"/>
      <c r="BJ119" s="651"/>
      <c r="BK119" s="651"/>
      <c r="BL119" s="651"/>
      <c r="BM119" s="651"/>
      <c r="BN119" s="651"/>
      <c r="BO119" s="651"/>
      <c r="BP119" s="651"/>
      <c r="BQ119" s="651"/>
      <c r="BR119" s="651"/>
      <c r="BS119" s="651"/>
      <c r="BT119" s="651"/>
    </row>
    <row r="120">
      <c r="A120" s="631"/>
      <c r="B120" s="154" t="str">
        <f>IFERROR(__xludf.DUMMYFUNCTION("IFERROR(
  IF(C120="""","""",
    IF(OR(REGEXMATCH(D120,""(?i)-Flashing""), REGEXMATCH(D120,""(?i)-EavesGut""), REGEXMATCH(D120,""(?i)Valley"")),
        ""DR"" &amp;
        TEXT(
            ROUNDUP(
                MIN(
                    VALUE(MID(C120, "&amp;"FIND(""("",C120)+1, FIND(""/"",C120)-FIND(""("",C120)-1)),
                    1200
                ) / 50, 0
            ) * 50, ""0""
        ) &amp;
        MID(C120, FIND(""/"",C120)+1, FIND("")"",C120)-FIND(""/"",C120)-1) &amp;
        TEXT(H120*100,""0"") &amp;"&amp;"
        I120,
    IF(AND(D120=""Roof Sheet"", REGEXMATCH(C120,""(?i)KS\d{4}[A-Z]{2}"")),
       REGEXEXTRACT(C120,""(?i)KS\d{4}[A-Z]{2}""),
    IF(AND(REGEXMATCH(D120,""(?i)-DP""), REGEXMATCH(C120,""(?i)Downpipe"")),
       ""dp"" &amp; REGEXEXTRACT(C120,""("&amp;"\d+)"") &amp; ""mm"",
    IF(AND(REGEXMATCH(D120,""(?i)Bracket""), REGEXMATCH(C120,""(?i)Bracket"")),
       ""Brkt"" &amp; REGEXEXTRACT(C120,""(\d+)"") &amp; ""mm"",
    IF(AND(REGEXMATCH(D120,""(?i)-OP""), REGEXMATCH(C120,""(?i)pops"")),
       ""op"" &amp; REGEXEXTRAC"&amp;"T(C120,""(\d+)"") &amp; ""mm"",
    IF(OR(D120=""R-FFTop"", D120=""R-FFBottom"", D120=""R-FFSide""),
        IF(REGEXMATCH(C120,""(?i)Profiled.*Top|Top.*Profiled""),""pfft"",
        IF(REGEXMATCH(C120,""(?i)Profiled.*Bottom|Bottom.*Profiled""),""pffb"",
    "&amp;"    IF(REGEXMATCH(C120,""(?i)Square""),""sff"",""""))),
    IF(REGEXMATCH(D120,""(?i)-Rivets""),""Rvt"",
    IF(REGEXMATCH(D120,""(?i)Silicone""),""300ml"",
    IF(REGEXMATCH(D120,""(?i)R-Butyl""),""300ml"",
    IF(REGEXMATCH(D120,""(?i)Fix""),""GenFix"","&amp;"
    IF(AND(REGEXMATCH(C120,""(?i)Timber""), REGEXMATCH(D120,""(?i)Timber"")),""tp"",
    IF(AND(REGEXMATCH(C120,""(?i)Vent G1275""), REGEXMATCH(D120,""(?i)Comb FIller"")),""CFV1275"",
    IF(REGEXMATCH(C120,""(?i)DPC""),""dpc"",
    IF(REGEXMATCH(C120,"""&amp;"(?i)Concealed Clips""),""ConClips"",
    IF(REGEXMATCH(D120,""(?i)-Takeoff ea""),""Takeoff ea"",
    IF(REGEXMATCH(D120,""(?i)-Takeoff LM""),""Takeoff LM"",
    IF(REGEXMATCH(D120,""(?i)-Takeoff m2""),""Takeoff m2"",
    IF(D120=""R-TU/TD"",""TU/TD"","""""&amp;")))))))))))))))))
  )))"),"Rvt")</f>
        <v>Rvt</v>
      </c>
      <c r="C120" s="734" t="s">
        <v>100</v>
      </c>
      <c r="D120" s="124" t="s">
        <v>101</v>
      </c>
      <c r="E120" s="687">
        <f>E118</f>
        <v>0.67</v>
      </c>
      <c r="F120" s="721"/>
      <c r="G120" s="158"/>
      <c r="H120" s="700"/>
      <c r="I120" s="700"/>
      <c r="J120" s="126" t="s">
        <v>87</v>
      </c>
      <c r="K120" s="126" t="str">
        <f>IFERROR(
  IF(B120="", "", VLOOKUP(B120, Data!$B$2:$K$905, 7, FALSE)),
  ""
)</f>
        <v/>
      </c>
      <c r="L120" s="712"/>
      <c r="M120" s="150">
        <f>ROUNDUP(((M118/5.7)+1)*(E120/0.05),0)</f>
        <v>359</v>
      </c>
      <c r="N120" s="151">
        <f>IFERROR(__xludf.DUMMYFUNCTION("IF(B120="""", """", IFERROR(1 / COS(RADIANS(REGEXEXTRACT(F120,""(\d+)""))), 1))"),1.0)</f>
        <v>1</v>
      </c>
      <c r="O120" s="169">
        <v>1.0</v>
      </c>
      <c r="P120" s="134">
        <v>1.0</v>
      </c>
      <c r="Q120" s="168">
        <f t="shared" si="76"/>
        <v>359</v>
      </c>
      <c r="R120" s="136" t="str">
        <f>IFERROR(
  IF(B120="", "", VLOOKUP(B120, Data!$B$2:$K$905, 9, FALSE)),
  ""
)</f>
        <v/>
      </c>
      <c r="S120" s="152">
        <f t="shared" si="77"/>
        <v>0</v>
      </c>
      <c r="T120" s="690"/>
      <c r="U120" s="136" t="str">
        <f>IFERROR(
  IF(B120="", "", VLOOKUP(B120, Data!$B$2:$K$905, 10, FALSE)),
  ""
)
</f>
        <v/>
      </c>
      <c r="V120" s="691"/>
      <c r="W120" s="140">
        <f t="shared" si="78"/>
        <v>0</v>
      </c>
      <c r="X120" s="692"/>
      <c r="Y120" s="595"/>
      <c r="Z120" s="595"/>
      <c r="AA120" s="595"/>
      <c r="AB120" s="354">
        <f t="shared" si="79"/>
        <v>0</v>
      </c>
      <c r="AC120" s="181"/>
      <c r="AD120" s="625"/>
      <c r="AE120" s="626"/>
      <c r="AF120" s="696"/>
      <c r="AG120" s="697"/>
      <c r="AH120" s="629"/>
      <c r="AI120" s="187"/>
      <c r="AJ120" s="630"/>
      <c r="AK120" s="630"/>
      <c r="AL120" s="595"/>
      <c r="AM120" s="595"/>
      <c r="AN120" s="595"/>
      <c r="AO120" s="595"/>
      <c r="AP120" s="595"/>
      <c r="AQ120" s="595"/>
      <c r="AR120" s="595"/>
      <c r="AS120" s="595"/>
      <c r="AT120" s="595"/>
      <c r="AU120" s="595"/>
      <c r="AV120" s="595"/>
      <c r="AW120" s="595"/>
      <c r="AX120" s="595"/>
      <c r="AY120" s="595"/>
      <c r="AZ120" s="595"/>
      <c r="BA120" s="595"/>
      <c r="BB120" s="595"/>
      <c r="BC120" s="595"/>
      <c r="BD120" s="595"/>
      <c r="BE120" s="595"/>
      <c r="BF120" s="595"/>
      <c r="BG120" s="595"/>
      <c r="BH120" s="595"/>
      <c r="BI120" s="651"/>
      <c r="BJ120" s="651"/>
      <c r="BK120" s="651"/>
      <c r="BL120" s="651"/>
      <c r="BM120" s="651"/>
      <c r="BN120" s="651"/>
      <c r="BO120" s="651"/>
      <c r="BP120" s="651"/>
      <c r="BQ120" s="651"/>
      <c r="BR120" s="651"/>
      <c r="BS120" s="651"/>
      <c r="BT120" s="651"/>
    </row>
    <row r="121">
      <c r="A121" s="716" t="s">
        <v>479</v>
      </c>
      <c r="B121" s="122" t="s">
        <v>482</v>
      </c>
      <c r="C121" s="123" t="s">
        <v>483</v>
      </c>
      <c r="D121" s="124" t="s">
        <v>122</v>
      </c>
      <c r="E121" s="687">
        <f>IFERROR(__xludf.DUMMYFUNCTION("IFERROR(REGEXEXTRACT(C121,""@\s*(\d+(?:\.\d+)?)\s*mm"")/1000,"""")"),0.6)</f>
        <v>0.6</v>
      </c>
      <c r="F121" s="699"/>
      <c r="G121" s="158"/>
      <c r="H121" s="700"/>
      <c r="I121" s="700"/>
      <c r="J121" s="126" t="s">
        <v>87</v>
      </c>
      <c r="K121" s="126" t="str">
        <f>IFERROR(
  IF(B121="", "", VLOOKUP(B121, Data!$B$2:$K$905, 7, FALSE)),
  ""
)</f>
        <v/>
      </c>
      <c r="L121" s="704"/>
      <c r="M121" s="150">
        <f>ROUNDUP(M118/E121,0)+1</f>
        <v>246</v>
      </c>
      <c r="N121" s="151">
        <f>IFERROR(__xludf.DUMMYFUNCTION("IF(B121="""", """", IFERROR(1 / COS(RADIANS(REGEXEXTRACT(F121,""(\d+)""))), 1))"),1.0)</f>
        <v>1</v>
      </c>
      <c r="O121" s="169">
        <v>1.0</v>
      </c>
      <c r="P121" s="134">
        <v>1.0</v>
      </c>
      <c r="Q121" s="168">
        <f t="shared" si="76"/>
        <v>246</v>
      </c>
      <c r="R121" s="136" t="str">
        <f>IFERROR(
  IF(B121="", "", VLOOKUP(B121, Data!$B$2:$K$905, 9, FALSE)),
  ""
)</f>
        <v/>
      </c>
      <c r="S121" s="152">
        <f t="shared" si="77"/>
        <v>0</v>
      </c>
      <c r="T121" s="690"/>
      <c r="U121" s="136" t="str">
        <f>IFERROR(
  IF(B121="", "", VLOOKUP(B121, Data!$B$2:$K$905, 10, FALSE)),
  ""
)
</f>
        <v/>
      </c>
      <c r="V121" s="691"/>
      <c r="W121" s="140">
        <f t="shared" si="78"/>
        <v>0</v>
      </c>
      <c r="X121" s="692"/>
      <c r="Y121" s="595"/>
      <c r="Z121" s="595"/>
      <c r="AA121" s="595"/>
      <c r="AB121" s="354">
        <f t="shared" si="79"/>
        <v>0</v>
      </c>
      <c r="AC121" s="181"/>
      <c r="AD121" s="625"/>
      <c r="AE121" s="626"/>
      <c r="AF121" s="696"/>
      <c r="AG121" s="697"/>
      <c r="AH121" s="629"/>
      <c r="AI121" s="187"/>
      <c r="AJ121" s="630"/>
      <c r="AK121" s="630"/>
      <c r="AL121" s="595"/>
      <c r="AM121" s="595"/>
      <c r="AN121" s="595"/>
      <c r="AO121" s="595"/>
      <c r="AP121" s="595"/>
      <c r="AQ121" s="595"/>
      <c r="AR121" s="595"/>
      <c r="AS121" s="595"/>
      <c r="AT121" s="595"/>
      <c r="AU121" s="595"/>
      <c r="AV121" s="595"/>
      <c r="AW121" s="595"/>
      <c r="AX121" s="595"/>
      <c r="AY121" s="595"/>
      <c r="AZ121" s="595"/>
      <c r="BA121" s="595"/>
      <c r="BB121" s="595"/>
      <c r="BC121" s="595"/>
      <c r="BD121" s="595"/>
      <c r="BE121" s="595"/>
      <c r="BF121" s="595"/>
      <c r="BG121" s="595"/>
      <c r="BH121" s="595"/>
      <c r="BI121" s="651"/>
      <c r="BJ121" s="651"/>
      <c r="BK121" s="651"/>
      <c r="BL121" s="651"/>
      <c r="BM121" s="651"/>
      <c r="BN121" s="651"/>
      <c r="BO121" s="651"/>
      <c r="BP121" s="651"/>
      <c r="BQ121" s="651"/>
      <c r="BR121" s="651"/>
      <c r="BS121" s="651"/>
      <c r="BT121" s="651"/>
    </row>
    <row r="122">
      <c r="A122" s="631"/>
      <c r="B122" s="154" t="str">
        <f>IFERROR(__xludf.DUMMYFUNCTION("IFERROR(
  IF(C122="""","""",
    IF(OR(REGEXMATCH(D122,""(?i)-Flashing""), REGEXMATCH(D122,""(?i)-EavesGut""), REGEXMATCH(D122,""(?i)Valley"")),
        ""DR"" &amp;
        TEXT(
            ROUNDUP(
                MIN(
                    VALUE(MID(C122, "&amp;"FIND(""("",C122)+1, FIND(""/"",C122)-FIND(""("",C122)-1)),
                    1200
                ) / 50, 0
            ) * 50, ""0""
        ) &amp;
        MID(C122, FIND(""/"",C122)+1, FIND("")"",C122)-FIND(""/"",C122)-1) &amp;
        TEXT(H122*100,""0"") &amp;"&amp;"
        I122,
    IF(AND(D122=""Roof Sheet"", REGEXMATCH(C122,""(?i)KS\d{4}[A-Z]{2}"")),
       REGEXEXTRACT(C122,""(?i)KS\d{4}[A-Z]{2}""),
    IF(AND(REGEXMATCH(D122,""(?i)-DP""), REGEXMATCH(C122,""(?i)Downpipe"")),
       ""dp"" &amp; REGEXEXTRACT(C122,""("&amp;"\d+)"") &amp; ""mm"",
    IF(AND(REGEXMATCH(D122,""(?i)Bracket""), REGEXMATCH(C122,""(?i)Bracket"")),
       ""Brkt"" &amp; REGEXEXTRACT(C122,""(\d+)"") &amp; ""mm"",
    IF(AND(REGEXMATCH(D122,""(?i)-OP""), REGEXMATCH(C122,""(?i)pops"")),
       ""op"" &amp; REGEXEXTRAC"&amp;"T(C122,""(\d+)"") &amp; ""mm"",
    IF(OR(D122=""R-FFTop"", D122=""R-FFBottom"", D122=""R-FFSide""),
        IF(REGEXMATCH(C122,""(?i)Profiled.*Top|Top.*Profiled""),""pfft"",
        IF(REGEXMATCH(C122,""(?i)Profiled.*Bottom|Bottom.*Profiled""),""pffb"",
    "&amp;"    IF(REGEXMATCH(C122,""(?i)Square""),""sff"",""""))),
    IF(REGEXMATCH(D122,""(?i)-Rivets""),""Rvt"",
    IF(REGEXMATCH(D122,""(?i)Silicone""),""300ml"",
    IF(REGEXMATCH(D122,""(?i)R-Butyl""),""300ml"",
    IF(REGEXMATCH(D122,""(?i)Fix""),""GenFix"","&amp;"
    IF(AND(REGEXMATCH(C122,""(?i)Timber""), REGEXMATCH(D122,""(?i)Timber"")),""tp"",
    IF(AND(REGEXMATCH(C122,""(?i)Vent G1275""), REGEXMATCH(D122,""(?i)Comb FIller"")),""CFV1275"",
    IF(REGEXMATCH(C122,""(?i)DPC""),""dpc"",
    IF(REGEXMATCH(C122,"""&amp;"(?i)Concealed Clips""),""ConClips"",
    IF(REGEXMATCH(D122,""(?i)-Takeoff ea""),""Takeoff ea"",
    IF(REGEXMATCH(D122,""(?i)-Takeoff LM""),""Takeoff LM"",
    IF(REGEXMATCH(D122,""(?i)-Takeoff m2""),""Takeoff m2"",
    IF(D122=""R-TU/TD"",""TU/TD"","""""&amp;")))))))))))))))))
  )))"),"GenFix")</f>
        <v>GenFix</v>
      </c>
      <c r="C122" s="698" t="s">
        <v>102</v>
      </c>
      <c r="D122" s="124" t="s">
        <v>123</v>
      </c>
      <c r="E122" s="687">
        <v>2.0</v>
      </c>
      <c r="F122" s="699"/>
      <c r="G122" s="158"/>
      <c r="H122" s="700"/>
      <c r="I122" s="700"/>
      <c r="J122" s="126" t="s">
        <v>87</v>
      </c>
      <c r="K122" s="126" t="str">
        <f>IFERROR(
  IF(B122="", "", VLOOKUP(B122, Data!$B$2:$K$905, 7, FALSE)),
  ""
)</f>
        <v/>
      </c>
      <c r="L122" s="704"/>
      <c r="M122" s="150">
        <f>ROUNDUP(M121*E122,0)+1</f>
        <v>493</v>
      </c>
      <c r="N122" s="151">
        <f>IFERROR(__xludf.DUMMYFUNCTION("IF(B122="""", """", IFERROR(1 / COS(RADIANS(REGEXEXTRACT(F122,""(\d+)""))), 1))"),1.0)</f>
        <v>1</v>
      </c>
      <c r="O122" s="169">
        <v>1.0</v>
      </c>
      <c r="P122" s="134">
        <v>1.0</v>
      </c>
      <c r="Q122" s="168">
        <f t="shared" si="76"/>
        <v>493</v>
      </c>
      <c r="R122" s="136" t="str">
        <f>IFERROR(
  IF(B122="", "", VLOOKUP(B122, Data!$B$2:$K$905, 9, FALSE)),
  ""
)</f>
        <v/>
      </c>
      <c r="S122" s="152">
        <f t="shared" si="77"/>
        <v>0</v>
      </c>
      <c r="T122" s="690"/>
      <c r="U122" s="136" t="str">
        <f>IFERROR(
  IF(B122="", "", VLOOKUP(B122, Data!$B$2:$K$905, 10, FALSE)),
  ""
)
</f>
        <v/>
      </c>
      <c r="V122" s="691"/>
      <c r="W122" s="140">
        <f t="shared" si="78"/>
        <v>0</v>
      </c>
      <c r="X122" s="692"/>
      <c r="Y122" s="595"/>
      <c r="Z122" s="595"/>
      <c r="AA122" s="595"/>
      <c r="AB122" s="354">
        <f t="shared" si="79"/>
        <v>0</v>
      </c>
      <c r="AC122" s="181"/>
      <c r="AD122" s="625"/>
      <c r="AE122" s="626"/>
      <c r="AF122" s="696"/>
      <c r="AG122" s="697"/>
      <c r="AH122" s="629"/>
      <c r="AI122" s="187"/>
      <c r="AJ122" s="630"/>
      <c r="AK122" s="630"/>
      <c r="AL122" s="595"/>
      <c r="AM122" s="595"/>
      <c r="AN122" s="595"/>
      <c r="AO122" s="595"/>
      <c r="AP122" s="595"/>
      <c r="AQ122" s="595"/>
      <c r="AR122" s="595"/>
      <c r="AS122" s="595"/>
      <c r="AT122" s="595"/>
      <c r="AU122" s="595"/>
      <c r="AV122" s="595"/>
      <c r="AW122" s="595"/>
      <c r="AX122" s="595"/>
      <c r="AY122" s="595"/>
      <c r="AZ122" s="595"/>
      <c r="BA122" s="595"/>
      <c r="BB122" s="595"/>
      <c r="BC122" s="595"/>
      <c r="BD122" s="595"/>
      <c r="BE122" s="595"/>
      <c r="BF122" s="595"/>
      <c r="BG122" s="595"/>
      <c r="BH122" s="595"/>
      <c r="BI122" s="651"/>
      <c r="BJ122" s="651"/>
      <c r="BK122" s="651"/>
      <c r="BL122" s="651"/>
      <c r="BM122" s="651"/>
      <c r="BN122" s="651"/>
      <c r="BO122" s="651"/>
      <c r="BP122" s="651"/>
      <c r="BQ122" s="651"/>
      <c r="BR122" s="651"/>
      <c r="BS122" s="651"/>
      <c r="BT122" s="651"/>
    </row>
    <row r="123">
      <c r="A123" s="631"/>
      <c r="B123" s="154" t="str">
        <f>IFERROR(__xludf.DUMMYFUNCTION("IFERROR(
  IF(C123="""","""",
    IF(OR(REGEXMATCH(D123,""(?i)-Flashing""), REGEXMATCH(D123,""(?i)-EavesGut""), REGEXMATCH(D123,""(?i)Valley"")),
        ""DR"" &amp;
        TEXT(
            ROUNDUP(
                MIN(
                    VALUE(MID(C123, "&amp;"FIND(""("",C123)+1, FIND(""/"",C123)-FIND(""("",C123)-1)),
                    1200
                ) / 50, 0
            ) * 50, ""0""
        ) &amp;
        MID(C123, FIND(""/"",C123)+1, FIND("")"",C123)-FIND(""/"",C123)-1) &amp;
        TEXT(H123*100,""0"") &amp;"&amp;"
        I123,
    IF(AND(D123=""Roof Sheet"", REGEXMATCH(C123,""(?i)KS\d{4}[A-Z]{2}"")),
       REGEXEXTRACT(C123,""(?i)KS\d{4}[A-Z]{2}""),
    IF(AND(REGEXMATCH(D123,""(?i)-DP""), REGEXMATCH(C123,""(?i)Downpipe"")),
       ""dp"" &amp; REGEXEXTRACT(C123,""("&amp;"\d+)"") &amp; ""mm"",
    IF(AND(REGEXMATCH(D123,""(?i)Bracket""), REGEXMATCH(C123,""(?i)Bracket"")),
       ""Brkt"" &amp; REGEXEXTRACT(C123,""(\d+)"") &amp; ""mm"",
    IF(AND(REGEXMATCH(D123,""(?i)-OP""), REGEXMATCH(C123,""(?i)pops"")),
       ""op"" &amp; REGEXEXTRAC"&amp;"T(C123,""(\d+)"") &amp; ""mm"",
    IF(OR(D123=""R-FFTop"", D123=""R-FFBottom"", D123=""R-FFSide""),
        IF(REGEXMATCH(C123,""(?i)Profiled.*Top|Top.*Profiled""),""pfft"",
        IF(REGEXMATCH(C123,""(?i)Profiled.*Bottom|Bottom.*Profiled""),""pffb"",
    "&amp;"    IF(REGEXMATCH(C123,""(?i)Square""),""sff"",""""))),
    IF(REGEXMATCH(D123,""(?i)-Rivets""),""Rvt"",
    IF(REGEXMATCH(D123,""(?i)Silicone""),""300ml"",
    IF(REGEXMATCH(D123,""(?i)R-Butyl""),""300ml"",
    IF(REGEXMATCH(D123,""(?i)Fix""),""GenFix"","&amp;"
    IF(AND(REGEXMATCH(C123,""(?i)Timber""), REGEXMATCH(D123,""(?i)Timber"")),""tp"",
    IF(AND(REGEXMATCH(C123,""(?i)Vent G1275""), REGEXMATCH(D123,""(?i)Comb FIller"")),""CFV1275"",
    IF(REGEXMATCH(C123,""(?i)DPC""),""dpc"",
    IF(REGEXMATCH(C123,"""&amp;"(?i)Concealed Clips""),""ConClips"",
    IF(REGEXMATCH(D123,""(?i)-Takeoff ea""),""Takeoff ea"",
    IF(REGEXMATCH(D123,""(?i)-Takeoff LM""),""Takeoff LM"",
    IF(REGEXMATCH(D123,""(?i)-Takeoff m2""),""Takeoff m2"",
    IF(D123=""R-TU/TD"",""TU/TD"","""""&amp;")))))))))))))))))
  )))"),"pffb")</f>
        <v>pffb</v>
      </c>
      <c r="C123" s="698" t="s">
        <v>125</v>
      </c>
      <c r="D123" s="124" t="s">
        <v>126</v>
      </c>
      <c r="E123" s="722"/>
      <c r="F123" s="699"/>
      <c r="G123" s="158"/>
      <c r="H123" s="700"/>
      <c r="I123" s="700"/>
      <c r="J123" s="126" t="s">
        <v>87</v>
      </c>
      <c r="K123" s="126" t="str">
        <f>IFERROR(
  IF(B123="", "", VLOOKUP(B123, Data!$B$2:$K$905, 7, FALSE)),
  ""
)</f>
        <v/>
      </c>
      <c r="L123" s="704"/>
      <c r="M123" s="150">
        <f>M118</f>
        <v>147</v>
      </c>
      <c r="N123" s="151">
        <f>IFERROR(__xludf.DUMMYFUNCTION("IF(B123="""", """", IFERROR(1 / COS(RADIANS(REGEXEXTRACT(F123,""(\d+)""))), 1))"),1.0)</f>
        <v>1</v>
      </c>
      <c r="O123" s="169">
        <v>1.0</v>
      </c>
      <c r="P123" s="134">
        <v>1.0</v>
      </c>
      <c r="Q123" s="168">
        <f t="shared" si="76"/>
        <v>147</v>
      </c>
      <c r="R123" s="136" t="str">
        <f>IFERROR(
  IF(B123="", "", VLOOKUP(B123, Data!$B$2:$K$905, 9, FALSE)),
  ""
)</f>
        <v/>
      </c>
      <c r="S123" s="152">
        <f t="shared" si="77"/>
        <v>0</v>
      </c>
      <c r="T123" s="690"/>
      <c r="U123" s="136" t="str">
        <f>IFERROR(
  IF(B123="", "", VLOOKUP(B123, Data!$B$2:$K$905, 10, FALSE)),
  ""
)
</f>
        <v/>
      </c>
      <c r="V123" s="691"/>
      <c r="W123" s="140">
        <f t="shared" si="78"/>
        <v>0</v>
      </c>
      <c r="X123" s="692"/>
      <c r="Y123" s="595"/>
      <c r="Z123" s="595"/>
      <c r="AA123" s="595"/>
      <c r="AB123" s="354">
        <f t="shared" si="79"/>
        <v>0</v>
      </c>
      <c r="AC123" s="181"/>
      <c r="AD123" s="625"/>
      <c r="AE123" s="626"/>
      <c r="AF123" s="696"/>
      <c r="AG123" s="697"/>
      <c r="AH123" s="629"/>
      <c r="AI123" s="187"/>
      <c r="AJ123" s="630"/>
      <c r="AK123" s="630"/>
      <c r="AL123" s="595"/>
      <c r="AM123" s="595"/>
      <c r="AN123" s="595"/>
      <c r="AO123" s="595"/>
      <c r="AP123" s="595"/>
      <c r="AQ123" s="595"/>
      <c r="AR123" s="595"/>
      <c r="AS123" s="595"/>
      <c r="AT123" s="595"/>
      <c r="AU123" s="595"/>
      <c r="AV123" s="595"/>
      <c r="AW123" s="595"/>
      <c r="AX123" s="595"/>
      <c r="AY123" s="595"/>
      <c r="AZ123" s="595"/>
      <c r="BA123" s="595"/>
      <c r="BB123" s="595"/>
      <c r="BC123" s="595"/>
      <c r="BD123" s="595"/>
      <c r="BE123" s="595"/>
      <c r="BF123" s="595"/>
      <c r="BG123" s="595"/>
      <c r="BH123" s="595"/>
      <c r="BI123" s="651"/>
      <c r="BJ123" s="651"/>
      <c r="BK123" s="651"/>
      <c r="BL123" s="651"/>
      <c r="BM123" s="651"/>
      <c r="BN123" s="651"/>
      <c r="BO123" s="651"/>
      <c r="BP123" s="651"/>
      <c r="BQ123" s="651"/>
      <c r="BR123" s="651"/>
      <c r="BS123" s="651"/>
      <c r="BT123" s="651"/>
    </row>
    <row r="124">
      <c r="A124" s="631"/>
      <c r="B124" s="154" t="str">
        <f>IFERROR(__xludf.DUMMYFUNCTION("IFERROR(
  IF(C124="""","""",
    IF(OR(REGEXMATCH(D124,""(?i)-Flashing""), REGEXMATCH(D124,""(?i)-EavesGut""), REGEXMATCH(D124,""(?i)Valley"")),
        ""DR"" &amp;
        TEXT(
            ROUNDUP(
                MIN(
                    VALUE(MID(C124, "&amp;"FIND(""("",C124)+1, FIND(""/"",C124)-FIND(""("",C124)-1)),
                    1200
                ) / 50, 0
            ) * 50, ""0""
        ) &amp;
        MID(C124, FIND(""/"",C124)+1, FIND("")"",C124)-FIND(""/"",C124)-1) &amp;
        TEXT(H124*100,""0"") &amp;"&amp;"
        I124,
    IF(AND(D124=""Roof Sheet"", REGEXMATCH(C124,""(?i)KS\d{4}[A-Z]{2}"")),
       REGEXEXTRACT(C124,""(?i)KS\d{4}[A-Z]{2}""),
    IF(AND(REGEXMATCH(D124,""(?i)-DP""), REGEXMATCH(C124,""(?i)Downpipe"")),
       ""dp"" &amp; REGEXEXTRACT(C124,""("&amp;"\d+)"") &amp; ""mm"",
    IF(AND(REGEXMATCH(D124,""(?i)Bracket""), REGEXMATCH(C124,""(?i)Bracket"")),
       ""Brkt"" &amp; REGEXEXTRACT(C124,""(\d+)"") &amp; ""mm"",
    IF(AND(REGEXMATCH(D124,""(?i)-OP""), REGEXMATCH(C124,""(?i)pops"")),
       ""op"" &amp; REGEXEXTRAC"&amp;"T(C124,""(\d+)"") &amp; ""mm"",
    IF(OR(D124=""R-FFTop"", D124=""R-FFBottom"", D124=""R-FFSide""),
        IF(REGEXMATCH(C124,""(?i)Profiled.*Top|Top.*Profiled""),""pfft"",
        IF(REGEXMATCH(C124,""(?i)Profiled.*Bottom|Bottom.*Profiled""),""pffb"",
    "&amp;"    IF(REGEXMATCH(C124,""(?i)Square""),""sff"",""""))),
    IF(REGEXMATCH(D124,""(?i)-Rivets""),""Rvt"",
    IF(REGEXMATCH(D124,""(?i)Silicone""),""300ml"",
    IF(REGEXMATCH(D124,""(?i)R-Butyl""),""300ml"",
    IF(REGEXMATCH(D124,""(?i)Fix""),""GenFix"","&amp;"
    IF(AND(REGEXMATCH(C124,""(?i)Timber""), REGEXMATCH(D124,""(?i)Timber"")),""tp"",
    IF(AND(REGEXMATCH(C124,""(?i)Vent G1275""), REGEXMATCH(D124,""(?i)Comb FIller"")),""CFV1275"",
    IF(REGEXMATCH(C124,""(?i)DPC""),""dpc"",
    IF(REGEXMATCH(C124,"""&amp;"(?i)Concealed Clips""),""ConClips"",
    IF(REGEXMATCH(D124,""(?i)-Takeoff ea""),""Takeoff ea"",
    IF(REGEXMATCH(D124,""(?i)-Takeoff LM""),""Takeoff LM"",
    IF(REGEXMATCH(D124,""(?i)-Takeoff m2""),""Takeoff m2"",
    IF(D124=""R-TU/TD"",""TU/TD"","""""&amp;")))))))))))))))))
  )))"),"TU/TD")</f>
        <v>TU/TD</v>
      </c>
      <c r="C124" s="698" t="s">
        <v>446</v>
      </c>
      <c r="D124" s="124" t="s">
        <v>107</v>
      </c>
      <c r="E124" s="722"/>
      <c r="F124" s="699"/>
      <c r="G124" s="158"/>
      <c r="H124" s="700"/>
      <c r="I124" s="700"/>
      <c r="J124" s="126" t="s">
        <v>87</v>
      </c>
      <c r="K124" s="126" t="str">
        <f>IFERROR(
  IF(B124="", "", VLOOKUP(B124, Data!$B$2:$K$905, 7, FALSE)),
  ""
)</f>
        <v/>
      </c>
      <c r="L124" s="704"/>
      <c r="M124" s="150">
        <f>M118</f>
        <v>147</v>
      </c>
      <c r="N124" s="151">
        <f>IFERROR(__xludf.DUMMYFUNCTION("IF(B124="""", """", IFERROR(1 / COS(RADIANS(REGEXEXTRACT(F124,""(\d+)""))), 1))"),1.0)</f>
        <v>1</v>
      </c>
      <c r="O124" s="169">
        <v>1.0</v>
      </c>
      <c r="P124" s="134">
        <v>1.0</v>
      </c>
      <c r="Q124" s="168">
        <f t="shared" si="76"/>
        <v>147</v>
      </c>
      <c r="R124" s="136" t="str">
        <f>IFERROR(
  IF(B124="", "", VLOOKUP(B124, Data!$B$2:$K$905, 9, FALSE)),
  ""
)</f>
        <v/>
      </c>
      <c r="S124" s="152">
        <f t="shared" si="77"/>
        <v>0</v>
      </c>
      <c r="T124" s="690"/>
      <c r="U124" s="136" t="str">
        <f>IFERROR(
  IF(B124="", "", VLOOKUP(B124, Data!$B$2:$K$905, 10, FALSE)),
  ""
)
</f>
        <v/>
      </c>
      <c r="V124" s="691"/>
      <c r="W124" s="140">
        <f t="shared" si="78"/>
        <v>0</v>
      </c>
      <c r="X124" s="692"/>
      <c r="Y124" s="595"/>
      <c r="Z124" s="595"/>
      <c r="AA124" s="595"/>
      <c r="AB124" s="354">
        <f t="shared" si="79"/>
        <v>0</v>
      </c>
      <c r="AC124" s="181"/>
      <c r="AD124" s="625"/>
      <c r="AE124" s="626"/>
      <c r="AF124" s="696"/>
      <c r="AG124" s="697"/>
      <c r="AH124" s="629"/>
      <c r="AI124" s="187"/>
      <c r="AJ124" s="630"/>
      <c r="AK124" s="630"/>
      <c r="AL124" s="595"/>
      <c r="AM124" s="595"/>
      <c r="AN124" s="595"/>
      <c r="AO124" s="595"/>
      <c r="AP124" s="595"/>
      <c r="AQ124" s="595"/>
      <c r="AR124" s="595"/>
      <c r="AS124" s="595"/>
      <c r="AT124" s="595"/>
      <c r="AU124" s="595"/>
      <c r="AV124" s="595"/>
      <c r="AW124" s="595"/>
      <c r="AX124" s="595"/>
      <c r="AY124" s="595"/>
      <c r="AZ124" s="595"/>
      <c r="BA124" s="595"/>
      <c r="BB124" s="595"/>
      <c r="BC124" s="595"/>
      <c r="BD124" s="595"/>
      <c r="BE124" s="595"/>
      <c r="BF124" s="595"/>
      <c r="BG124" s="595"/>
      <c r="BH124" s="595"/>
      <c r="BI124" s="651"/>
      <c r="BJ124" s="651"/>
      <c r="BK124" s="651"/>
      <c r="BL124" s="651"/>
      <c r="BM124" s="651"/>
      <c r="BN124" s="651"/>
      <c r="BO124" s="651"/>
      <c r="BP124" s="651"/>
      <c r="BQ124" s="651"/>
      <c r="BR124" s="651"/>
      <c r="BS124" s="651"/>
      <c r="BT124" s="651"/>
    </row>
    <row r="125">
      <c r="A125" s="631"/>
      <c r="B125" s="154"/>
      <c r="C125" s="702"/>
      <c r="D125" s="701"/>
      <c r="E125" s="722"/>
      <c r="F125" s="699"/>
      <c r="G125" s="158"/>
      <c r="H125" s="700"/>
      <c r="I125" s="700"/>
      <c r="J125" s="701"/>
      <c r="K125" s="701"/>
      <c r="L125" s="704"/>
      <c r="M125" s="704"/>
      <c r="N125" s="711"/>
      <c r="O125" s="712"/>
      <c r="P125" s="700"/>
      <c r="Q125" s="712"/>
      <c r="R125" s="136" t="str">
        <f>IFERROR(
  IF(B125="", "", VLOOKUP(B125, Data!$B$2:$K$905, 9, FALSE)),
  ""
)</f>
        <v/>
      </c>
      <c r="S125" s="691"/>
      <c r="T125" s="690"/>
      <c r="U125" s="136" t="str">
        <f>IFERROR(
  IF(B125="", "", VLOOKUP(B125, Data!$B$2:$K$905, 10, FALSE)),
  ""
)
</f>
        <v/>
      </c>
      <c r="V125" s="691"/>
      <c r="W125" s="713"/>
      <c r="X125" s="692"/>
      <c r="Y125" s="595"/>
      <c r="Z125" s="595"/>
      <c r="AA125" s="595"/>
      <c r="AB125" s="595"/>
      <c r="AC125" s="181"/>
      <c r="AD125" s="625"/>
      <c r="AE125" s="626"/>
      <c r="AF125" s="696"/>
      <c r="AG125" s="697"/>
      <c r="AH125" s="629"/>
      <c r="AI125" s="187"/>
      <c r="AJ125" s="630"/>
      <c r="AK125" s="630"/>
      <c r="AL125" s="595"/>
      <c r="AM125" s="595"/>
      <c r="AN125" s="595"/>
      <c r="AO125" s="595"/>
      <c r="AP125" s="595"/>
      <c r="AQ125" s="595"/>
      <c r="AR125" s="595"/>
      <c r="AS125" s="595"/>
      <c r="AT125" s="595"/>
      <c r="AU125" s="595"/>
      <c r="AV125" s="595"/>
      <c r="AW125" s="595"/>
      <c r="AX125" s="595"/>
      <c r="AY125" s="595"/>
      <c r="AZ125" s="595"/>
      <c r="BA125" s="595"/>
      <c r="BB125" s="595"/>
      <c r="BC125" s="595"/>
      <c r="BD125" s="595"/>
      <c r="BE125" s="595"/>
      <c r="BF125" s="595"/>
      <c r="BG125" s="595"/>
      <c r="BH125" s="595"/>
      <c r="BI125" s="651"/>
      <c r="BJ125" s="651"/>
      <c r="BK125" s="651"/>
      <c r="BL125" s="651"/>
      <c r="BM125" s="651"/>
      <c r="BN125" s="651"/>
      <c r="BO125" s="651"/>
      <c r="BP125" s="651"/>
      <c r="BQ125" s="651"/>
      <c r="BR125" s="651"/>
      <c r="BS125" s="651"/>
      <c r="BT125" s="651"/>
    </row>
    <row r="126">
      <c r="A126" s="631"/>
      <c r="B126" s="154" t="s">
        <v>131</v>
      </c>
      <c r="C126" s="734" t="s">
        <v>132</v>
      </c>
      <c r="D126" s="124" t="s">
        <v>484</v>
      </c>
      <c r="E126" s="722"/>
      <c r="F126" s="721"/>
      <c r="G126" s="158"/>
      <c r="H126" s="700"/>
      <c r="I126" s="700"/>
      <c r="J126" s="126" t="s">
        <v>87</v>
      </c>
      <c r="K126" s="126" t="str">
        <f>IFERROR(
  IF(B126="", "", VLOOKUP(B126, Data!$B$2:$K$905, 7, FALSE)),
  ""
)</f>
        <v/>
      </c>
      <c r="L126" s="712"/>
      <c r="M126" s="730">
        <v>1.0</v>
      </c>
      <c r="N126" s="151">
        <f>IFERROR(__xludf.DUMMYFUNCTION("IF(B126="""", """", IFERROR(1 / COS(RADIANS(REGEXEXTRACT(F126,""(\d+)""))), 1))"),1.0)</f>
        <v>1</v>
      </c>
      <c r="O126" s="169">
        <v>1.0</v>
      </c>
      <c r="P126" s="134">
        <v>1.0</v>
      </c>
      <c r="Q126" s="168">
        <f t="shared" ref="Q126:Q127" si="80">M126*N126*O126*P126</f>
        <v>1</v>
      </c>
      <c r="R126" s="136" t="str">
        <f>IFERROR(
  IF(B126="", "", VLOOKUP(B126, Data!$B$2:$K$905, 9, FALSE)),
  ""
)</f>
        <v/>
      </c>
      <c r="S126" s="152">
        <f t="shared" ref="S126:S127" si="81">R126*Q126</f>
        <v>0</v>
      </c>
      <c r="T126" s="690"/>
      <c r="U126" s="136" t="str">
        <f>IFERROR(
  IF(B126="", "", VLOOKUP(B126, Data!$B$2:$K$905, 10, FALSE)),
  ""
)
</f>
        <v/>
      </c>
      <c r="V126" s="691"/>
      <c r="W126" s="140">
        <f t="shared" ref="W126:W127" si="82">U126*Q126</f>
        <v>0</v>
      </c>
      <c r="X126" s="692"/>
      <c r="Y126" s="595"/>
      <c r="Z126" s="595"/>
      <c r="AA126" s="595"/>
      <c r="AB126" s="354">
        <f t="shared" ref="AB126:AB127" si="83">W126+S126</f>
        <v>0</v>
      </c>
      <c r="AC126" s="181"/>
      <c r="AD126" s="625"/>
      <c r="AE126" s="626"/>
      <c r="AF126" s="696"/>
      <c r="AG126" s="697"/>
      <c r="AH126" s="629"/>
      <c r="AI126" s="187"/>
      <c r="AJ126" s="630"/>
      <c r="AK126" s="630"/>
      <c r="AL126" s="595"/>
      <c r="AM126" s="595"/>
      <c r="AN126" s="595"/>
      <c r="AO126" s="595"/>
      <c r="AP126" s="595"/>
      <c r="AQ126" s="595"/>
      <c r="AR126" s="595"/>
      <c r="AS126" s="595"/>
      <c r="AT126" s="595"/>
      <c r="AU126" s="595"/>
      <c r="AV126" s="595"/>
      <c r="AW126" s="595"/>
      <c r="AX126" s="595"/>
      <c r="AY126" s="595"/>
      <c r="AZ126" s="595"/>
      <c r="BA126" s="595"/>
      <c r="BB126" s="595"/>
      <c r="BC126" s="595"/>
      <c r="BD126" s="595"/>
      <c r="BE126" s="595"/>
      <c r="BF126" s="595"/>
      <c r="BG126" s="595"/>
      <c r="BH126" s="595"/>
      <c r="BI126" s="651"/>
      <c r="BJ126" s="651"/>
      <c r="BK126" s="651"/>
      <c r="BL126" s="651"/>
      <c r="BM126" s="651"/>
      <c r="BN126" s="651"/>
      <c r="BO126" s="651"/>
      <c r="BP126" s="651"/>
      <c r="BQ126" s="651"/>
      <c r="BR126" s="651"/>
      <c r="BS126" s="651"/>
      <c r="BT126" s="651"/>
    </row>
    <row r="127">
      <c r="A127" s="631"/>
      <c r="B127" s="154" t="s">
        <v>134</v>
      </c>
      <c r="C127" s="734" t="s">
        <v>135</v>
      </c>
      <c r="D127" s="124" t="s">
        <v>484</v>
      </c>
      <c r="E127" s="722"/>
      <c r="F127" s="721"/>
      <c r="G127" s="158"/>
      <c r="H127" s="700"/>
      <c r="I127" s="700"/>
      <c r="J127" s="126" t="s">
        <v>87</v>
      </c>
      <c r="K127" s="126" t="str">
        <f>IFERROR(
  IF(B127="", "", VLOOKUP(B127, Data!$B$2:$K$905, 7, FALSE)),
  ""
)</f>
        <v/>
      </c>
      <c r="L127" s="712"/>
      <c r="M127" s="730">
        <v>1.0</v>
      </c>
      <c r="N127" s="151">
        <f>IFERROR(__xludf.DUMMYFUNCTION("IF(B127="""", """", IFERROR(1 / COS(RADIANS(REGEXEXTRACT(F127,""(\d+)""))), 1))"),1.0)</f>
        <v>1</v>
      </c>
      <c r="O127" s="169">
        <v>1.0</v>
      </c>
      <c r="P127" s="134">
        <v>1.0</v>
      </c>
      <c r="Q127" s="168">
        <f t="shared" si="80"/>
        <v>1</v>
      </c>
      <c r="R127" s="136" t="str">
        <f>IFERROR(
  IF(B127="", "", VLOOKUP(B127, Data!$B$2:$K$905, 9, FALSE)),
  ""
)</f>
        <v/>
      </c>
      <c r="S127" s="152">
        <f t="shared" si="81"/>
        <v>0</v>
      </c>
      <c r="T127" s="690"/>
      <c r="U127" s="136" t="str">
        <f>IFERROR(
  IF(B127="", "", VLOOKUP(B127, Data!$B$2:$K$905, 10, FALSE)),
  ""
)
</f>
        <v/>
      </c>
      <c r="V127" s="691"/>
      <c r="W127" s="140">
        <f t="shared" si="82"/>
        <v>0</v>
      </c>
      <c r="X127" s="692"/>
      <c r="Y127" s="595"/>
      <c r="Z127" s="595"/>
      <c r="AA127" s="595"/>
      <c r="AB127" s="354">
        <f t="shared" si="83"/>
        <v>0</v>
      </c>
      <c r="AC127" s="181"/>
      <c r="AD127" s="625"/>
      <c r="AE127" s="626"/>
      <c r="AF127" s="696"/>
      <c r="AG127" s="697"/>
      <c r="AH127" s="629"/>
      <c r="AI127" s="187"/>
      <c r="AJ127" s="630"/>
      <c r="AK127" s="630"/>
      <c r="AL127" s="595"/>
      <c r="AM127" s="595"/>
      <c r="AN127" s="595"/>
      <c r="AO127" s="595"/>
      <c r="AP127" s="595"/>
      <c r="AQ127" s="595"/>
      <c r="AR127" s="595"/>
      <c r="AS127" s="595"/>
      <c r="AT127" s="595"/>
      <c r="AU127" s="595"/>
      <c r="AV127" s="595"/>
      <c r="AW127" s="595"/>
      <c r="AX127" s="595"/>
      <c r="AY127" s="595"/>
      <c r="AZ127" s="595"/>
      <c r="BA127" s="595"/>
      <c r="BB127" s="595"/>
      <c r="BC127" s="595"/>
      <c r="BD127" s="595"/>
      <c r="BE127" s="595"/>
      <c r="BF127" s="595"/>
      <c r="BG127" s="595"/>
      <c r="BH127" s="595"/>
      <c r="BI127" s="651"/>
      <c r="BJ127" s="651"/>
      <c r="BK127" s="651"/>
      <c r="BL127" s="651"/>
      <c r="BM127" s="651"/>
      <c r="BN127" s="651"/>
      <c r="BO127" s="651"/>
      <c r="BP127" s="651"/>
      <c r="BQ127" s="651"/>
      <c r="BR127" s="651"/>
      <c r="BS127" s="651"/>
      <c r="BT127" s="651"/>
    </row>
    <row r="128">
      <c r="A128" s="631"/>
      <c r="B128" s="154"/>
      <c r="C128" s="758"/>
      <c r="D128" s="700"/>
      <c r="E128" s="722"/>
      <c r="F128" s="721"/>
      <c r="G128" s="158"/>
      <c r="H128" s="700"/>
      <c r="I128" s="700"/>
      <c r="J128" s="701"/>
      <c r="K128" s="701" t="str">
        <f>IFERROR(
  IF(B128="", "", VLOOKUP(B128, Data!$B$2:$K$905, 7, FALSE)),
  ""
)</f>
        <v/>
      </c>
      <c r="L128" s="712"/>
      <c r="M128" s="704" t="s">
        <v>42</v>
      </c>
      <c r="N128" s="711" t="str">
        <f>IFERROR(__xludf.DUMMYFUNCTION("IF(B128="""", """", IFERROR(1 / COS(RADIANS(REGEXEXTRACT(F128,""(\d+)""))), 1))"),"")</f>
        <v/>
      </c>
      <c r="O128" s="712"/>
      <c r="P128" s="700"/>
      <c r="Q128" s="712"/>
      <c r="R128" s="136" t="str">
        <f>IFERROR(
  IF(B128="", "", VLOOKUP(B128, Data!$B$2:$K$905, 9, FALSE)),
  ""
)</f>
        <v/>
      </c>
      <c r="S128" s="691"/>
      <c r="T128" s="690"/>
      <c r="U128" s="136" t="str">
        <f>IFERROR(
  IF(B128="", "", VLOOKUP(B128, Data!$B$2:$K$905, 10, FALSE)),
  ""
)
</f>
        <v/>
      </c>
      <c r="V128" s="691"/>
      <c r="W128" s="713"/>
      <c r="X128" s="692"/>
      <c r="Y128" s="595"/>
      <c r="Z128" s="595"/>
      <c r="AA128" s="595"/>
      <c r="AB128" s="595"/>
      <c r="AC128" s="181"/>
      <c r="AD128" s="625"/>
      <c r="AE128" s="626"/>
      <c r="AF128" s="696"/>
      <c r="AG128" s="697"/>
      <c r="AH128" s="629"/>
      <c r="AI128" s="187"/>
      <c r="AJ128" s="630"/>
      <c r="AK128" s="630"/>
      <c r="AL128" s="595"/>
      <c r="AM128" s="595"/>
      <c r="AN128" s="595"/>
      <c r="AO128" s="595"/>
      <c r="AP128" s="595"/>
      <c r="AQ128" s="595"/>
      <c r="AR128" s="595"/>
      <c r="AS128" s="595"/>
      <c r="AT128" s="595"/>
      <c r="AU128" s="595"/>
      <c r="AV128" s="595"/>
      <c r="AW128" s="595"/>
      <c r="AX128" s="595"/>
      <c r="AY128" s="595"/>
      <c r="AZ128" s="595"/>
      <c r="BA128" s="595"/>
      <c r="BB128" s="595"/>
      <c r="BC128" s="595"/>
      <c r="BD128" s="595"/>
      <c r="BE128" s="595"/>
      <c r="BF128" s="595"/>
      <c r="BG128" s="595"/>
      <c r="BH128" s="595"/>
      <c r="BI128" s="651"/>
      <c r="BJ128" s="651"/>
      <c r="BK128" s="651"/>
      <c r="BL128" s="651"/>
      <c r="BM128" s="651"/>
      <c r="BN128" s="651"/>
      <c r="BO128" s="651"/>
      <c r="BP128" s="651"/>
      <c r="BQ128" s="651"/>
      <c r="BR128" s="651"/>
      <c r="BS128" s="651"/>
      <c r="BT128" s="651"/>
    </row>
    <row r="129">
      <c r="A129" s="631">
        <v>1.0</v>
      </c>
      <c r="B129" s="727"/>
      <c r="C129" s="103" t="s">
        <v>485</v>
      </c>
      <c r="D129" s="678"/>
      <c r="E129" s="676"/>
      <c r="F129" s="677"/>
      <c r="G129" s="157"/>
      <c r="H129" s="678"/>
      <c r="I129" s="678"/>
      <c r="J129" s="678"/>
      <c r="K129" s="678" t="s">
        <v>42</v>
      </c>
      <c r="L129" s="106">
        <f>Q129</f>
        <v>147</v>
      </c>
      <c r="M129" s="679" t="s">
        <v>42</v>
      </c>
      <c r="N129" s="680"/>
      <c r="O129" s="679"/>
      <c r="P129" s="678"/>
      <c r="Q129" s="106">
        <f>Q130</f>
        <v>147</v>
      </c>
      <c r="R129" s="136" t="str">
        <f>IFERROR(
  IF(B129="", "", VLOOKUP(B129, Data!$B$2:$K$905, 9, FALSE)),
  ""
)</f>
        <v/>
      </c>
      <c r="S129" s="682">
        <f>IFERROR(T129/Q129, 0)</f>
        <v>0</v>
      </c>
      <c r="T129" s="109">
        <f>SUM(S130:S140)</f>
        <v>0</v>
      </c>
      <c r="U129" s="136" t="str">
        <f>IFERROR(
  IF(B129="", "", VLOOKUP(B129, Data!$B$2:$K$905, 10, FALSE)),
  ""
)
</f>
        <v/>
      </c>
      <c r="V129" s="109">
        <f>W129/Q129</f>
        <v>0</v>
      </c>
      <c r="W129" s="110">
        <f>SUM(W130:W140)</f>
        <v>0</v>
      </c>
      <c r="X129" s="111" t="str">
        <f>W129/$AC$758/$W$765/$X$755</f>
        <v>#REF!</v>
      </c>
      <c r="Y129" s="112" t="b">
        <f>(T129+W129)=(SUM(AB130:AB140))</f>
        <v>1</v>
      </c>
      <c r="Z129" s="113">
        <f>(T129+W129)-(SUM(AB130:AB140))</f>
        <v>0</v>
      </c>
      <c r="AA129" s="595"/>
      <c r="AB129" s="595"/>
      <c r="AC129" s="181"/>
      <c r="AD129" s="114">
        <f>W129+T129</f>
        <v>0</v>
      </c>
      <c r="AE129" s="115">
        <f>AD129</f>
        <v>0</v>
      </c>
      <c r="AF129" s="116" t="str">
        <f>AE129/$AE$733</f>
        <v>#REF!</v>
      </c>
      <c r="AG129" s="683" t="str">
        <f>AF129*$AG$740</f>
        <v>#REF!</v>
      </c>
      <c r="AH129" s="118" t="str">
        <f>AF129*$AG$743</f>
        <v>#REF!</v>
      </c>
      <c r="AI129" s="187"/>
      <c r="AJ129" s="119" t="str">
        <f>ROUND(AK129/L129,2)</f>
        <v>#REF!</v>
      </c>
      <c r="AK129" s="119" t="str">
        <f>ROUND(AH129+AG129+AD129,2)</f>
        <v>#REF!</v>
      </c>
      <c r="AL129" s="595"/>
      <c r="AM129" s="595"/>
      <c r="AN129" s="595"/>
      <c r="AO129" s="595"/>
      <c r="AP129" s="595"/>
      <c r="AQ129" s="595"/>
      <c r="AR129" s="595"/>
      <c r="AS129" s="595"/>
      <c r="AT129" s="595"/>
      <c r="AU129" s="595"/>
      <c r="AV129" s="595"/>
      <c r="AW129" s="595"/>
      <c r="AX129" s="595"/>
      <c r="AY129" s="595"/>
      <c r="AZ129" s="595"/>
      <c r="BA129" s="595"/>
      <c r="BB129" s="595"/>
      <c r="BC129" s="595"/>
      <c r="BD129" s="595"/>
      <c r="BE129" s="595"/>
      <c r="BF129" s="595"/>
      <c r="BG129" s="595"/>
      <c r="BH129" s="595"/>
      <c r="BI129" s="651"/>
      <c r="BJ129" s="651"/>
      <c r="BK129" s="651"/>
      <c r="BL129" s="651"/>
      <c r="BM129" s="651"/>
      <c r="BN129" s="651"/>
      <c r="BO129" s="651"/>
      <c r="BP129" s="651"/>
      <c r="BQ129" s="651"/>
      <c r="BR129" s="651"/>
      <c r="BS129" s="651"/>
      <c r="BT129" s="651"/>
    </row>
    <row r="130">
      <c r="A130" s="716" t="s">
        <v>479</v>
      </c>
      <c r="B130" s="122" t="s">
        <v>486</v>
      </c>
      <c r="C130" s="223" t="s">
        <v>487</v>
      </c>
      <c r="D130" s="124" t="s">
        <v>120</v>
      </c>
      <c r="E130" s="687">
        <f>VALUE(MID(C130, FIND("(", C130)+1, FIND("/", C130)-FIND("(", C130)-1)) / 1000</f>
        <v>0.98</v>
      </c>
      <c r="F130" s="721"/>
      <c r="G130" s="689" t="s">
        <v>429</v>
      </c>
      <c r="H130" s="700" t="str">
        <f>IFERROR(__xludf.DUMMYFUNCTION("IFERROR(REGEXEXTRACT(C130, ""(\d*\.\d+)mm""), """")"),"")</f>
        <v/>
      </c>
      <c r="I130" s="128" t="s">
        <v>97</v>
      </c>
      <c r="J130" s="126" t="s">
        <v>14</v>
      </c>
      <c r="K130" s="126" t="str">
        <f>IFERROR(
  IF(B130="", "", VLOOKUP(B130, Data!$B$2:$K$905, 7, FALSE)),
  ""
)</f>
        <v/>
      </c>
      <c r="L130" s="712"/>
      <c r="M130" s="730">
        <v>147.0</v>
      </c>
      <c r="N130" s="151">
        <f>IFERROR(__xludf.DUMMYFUNCTION("IF(B130="""", """", IFERROR(1 / COS(RADIANS(REGEXEXTRACT(F130,""(\d+)""))), 1))"),1.0)</f>
        <v>1</v>
      </c>
      <c r="O130" s="169">
        <v>1.0</v>
      </c>
      <c r="P130" s="134">
        <v>1.0</v>
      </c>
      <c r="Q130" s="168">
        <f t="shared" ref="Q130:Q136" si="84">M130*N130*O130*P130</f>
        <v>147</v>
      </c>
      <c r="R130" s="136" t="str">
        <f>IFERROR(
  IF(B130="", "", VLOOKUP(B130, Data!$B$2:$K$905, 9, FALSE)),
  ""
)</f>
        <v/>
      </c>
      <c r="S130" s="152">
        <f t="shared" ref="S130:S136" si="85">R130*Q130</f>
        <v>0</v>
      </c>
      <c r="T130" s="690"/>
      <c r="U130" s="136" t="str">
        <f>IFERROR(
  IF(B130="", "", VLOOKUP(B130, Data!$B$2:$K$905, 10, FALSE)),
  ""
)
</f>
        <v/>
      </c>
      <c r="V130" s="691"/>
      <c r="W130" s="140">
        <f t="shared" ref="W130:W136" si="86">U130*Q130</f>
        <v>0</v>
      </c>
      <c r="X130" s="692"/>
      <c r="Y130" s="595"/>
      <c r="Z130" s="595"/>
      <c r="AA130" s="595"/>
      <c r="AB130" s="354">
        <f t="shared" ref="AB130:AB136" si="87">W130+S130</f>
        <v>0</v>
      </c>
      <c r="AC130" s="181"/>
      <c r="AD130" s="705"/>
      <c r="AE130" s="706"/>
      <c r="AF130" s="707"/>
      <c r="AG130" s="708"/>
      <c r="AH130" s="709"/>
      <c r="AI130" s="187"/>
      <c r="AJ130" s="710"/>
      <c r="AK130" s="710"/>
      <c r="AL130" s="595"/>
      <c r="AM130" s="595"/>
      <c r="AN130" s="595"/>
      <c r="AO130" s="595"/>
      <c r="AP130" s="595"/>
      <c r="AQ130" s="595"/>
      <c r="AR130" s="595"/>
      <c r="AS130" s="595"/>
      <c r="AT130" s="595"/>
      <c r="AU130" s="595"/>
      <c r="AV130" s="595"/>
      <c r="AW130" s="595"/>
      <c r="AX130" s="595"/>
      <c r="AY130" s="595"/>
      <c r="AZ130" s="595"/>
      <c r="BA130" s="595"/>
      <c r="BB130" s="595"/>
      <c r="BC130" s="595"/>
      <c r="BD130" s="595"/>
      <c r="BE130" s="595"/>
      <c r="BF130" s="595"/>
      <c r="BG130" s="595"/>
      <c r="BH130" s="595"/>
      <c r="BI130" s="651"/>
      <c r="BJ130" s="651"/>
      <c r="BK130" s="651"/>
      <c r="BL130" s="651"/>
      <c r="BM130" s="651"/>
      <c r="BN130" s="651"/>
      <c r="BO130" s="651"/>
      <c r="BP130" s="651"/>
      <c r="BQ130" s="651"/>
      <c r="BR130" s="651"/>
      <c r="BS130" s="651"/>
      <c r="BT130" s="651"/>
    </row>
    <row r="131">
      <c r="A131" s="631"/>
      <c r="B131" s="154" t="str">
        <f>IFERROR(__xludf.DUMMYFUNCTION("IFERROR(
  IF(C131="""","""",
    IF(OR(REGEXMATCH(D131,""(?i)-Flashing""), REGEXMATCH(D131,""(?i)-EavesGut""), REGEXMATCH(D131,""(?i)Valley"")),
        ""DR"" &amp;
        TEXT(
            ROUNDUP(
                MIN(
                    VALUE(MID(C131, "&amp;"FIND(""("",C131)+1, FIND(""/"",C131)-FIND(""("",C131)-1)),
                    1200
                ) / 50, 0
            ) * 50, ""0""
        ) &amp;
        MID(C131, FIND(""/"",C131)+1, FIND("")"",C131)-FIND(""/"",C131)-1) &amp;
        TEXT(H131*100,""0"") &amp;"&amp;"
        I131,
    IF(AND(D131=""Roof Sheet"", REGEXMATCH(C131,""(?i)KS\d{4}[A-Z]{2}"")),
       REGEXEXTRACT(C131,""(?i)KS\d{4}[A-Z]{2}""),
    IF(AND(REGEXMATCH(D131,""(?i)-DP""), REGEXMATCH(C131,""(?i)Downpipe"")),
       ""dp"" &amp; REGEXEXTRACT(C131,""("&amp;"\d+)"") &amp; ""mm"",
    IF(AND(REGEXMATCH(D131,""(?i)Bracket""), REGEXMATCH(C131,""(?i)Bracket"")),
       ""Brkt"" &amp; REGEXEXTRACT(C131,""(\d+)"") &amp; ""mm"",
    IF(AND(REGEXMATCH(D131,""(?i)-OP""), REGEXMATCH(C131,""(?i)pops"")),
       ""op"" &amp; REGEXEXTRAC"&amp;"T(C131,""(\d+)"") &amp; ""mm"",
    IF(OR(D131=""R-FFTop"", D131=""R-FFBottom"", D131=""R-FFSide""),
        IF(REGEXMATCH(C131,""(?i)Profiled.*Top|Top.*Profiled""),""pfft"",
        IF(REGEXMATCH(C131,""(?i)Profiled.*Bottom|Bottom.*Profiled""),""pffb"",
    "&amp;"    IF(REGEXMATCH(C131,""(?i)Square""),""sff"",""""))),
    IF(REGEXMATCH(D131,""(?i)-Rivets""),""Rvt"",
    IF(REGEXMATCH(D131,""(?i)Silicone""),""300ml"",
    IF(REGEXMATCH(D131,""(?i)R-Butyl""),""300ml"",
    IF(REGEXMATCH(D131,""(?i)Fix""),""GenFix"","&amp;"
    IF(AND(REGEXMATCH(C131,""(?i)Timber""), REGEXMATCH(D131,""(?i)Timber"")),""tp"",
    IF(AND(REGEXMATCH(C131,""(?i)Vent G1275""), REGEXMATCH(D131,""(?i)Comb FIller"")),""CFV1275"",
    IF(REGEXMATCH(C131,""(?i)DPC""),""dpc"",
    IF(REGEXMATCH(C131,"""&amp;"(?i)Concealed Clips""),""ConClips"",
    IF(REGEXMATCH(D131,""(?i)-Takeoff ea""),""Takeoff ea"",
    IF(REGEXMATCH(D131,""(?i)-Takeoff LM""),""Takeoff LM"",
    IF(REGEXMATCH(D131,""(?i)-Takeoff m2""),""Takeoff m2"",
    IF(D131=""R-TU/TD"",""TU/TD"","""""&amp;")))))))))))))))))
  )))"),"300ml")</f>
        <v>300ml</v>
      </c>
      <c r="C131" s="734" t="s">
        <v>98</v>
      </c>
      <c r="D131" s="124" t="s">
        <v>99</v>
      </c>
      <c r="E131" s="687">
        <f>E130</f>
        <v>0.98</v>
      </c>
      <c r="F131" s="721"/>
      <c r="G131" s="158"/>
      <c r="H131" s="700"/>
      <c r="I131" s="700"/>
      <c r="J131" s="126" t="s">
        <v>87</v>
      </c>
      <c r="K131" s="126" t="str">
        <f>IFERROR(
  IF(B131="", "", VLOOKUP(B131, Data!$B$2:$K$905, 7, FALSE)),
  ""
)</f>
        <v/>
      </c>
      <c r="L131" s="712"/>
      <c r="M131" s="150">
        <f>(ROUNDDOWN((M130/5.7)+2,0)*E131)/8</f>
        <v>3.3075</v>
      </c>
      <c r="N131" s="151">
        <f>IFERROR(__xludf.DUMMYFUNCTION("IF(B131="""", """", IFERROR(1 / COS(RADIANS(REGEXEXTRACT(F131,""(\d+)""))), 1))"),1.0)</f>
        <v>1</v>
      </c>
      <c r="O131" s="169">
        <v>1.0</v>
      </c>
      <c r="P131" s="134">
        <v>1.0</v>
      </c>
      <c r="Q131" s="168">
        <f t="shared" si="84"/>
        <v>3.3075</v>
      </c>
      <c r="R131" s="136" t="str">
        <f>IFERROR(
  IF(B131="", "", VLOOKUP(B131, Data!$B$2:$K$905, 9, FALSE)),
  ""
)</f>
        <v/>
      </c>
      <c r="S131" s="152">
        <f t="shared" si="85"/>
        <v>0</v>
      </c>
      <c r="T131" s="690"/>
      <c r="U131" s="136" t="str">
        <f>IFERROR(
  IF(B131="", "", VLOOKUP(B131, Data!$B$2:$K$905, 10, FALSE)),
  ""
)
</f>
        <v/>
      </c>
      <c r="V131" s="691"/>
      <c r="W131" s="140">
        <f t="shared" si="86"/>
        <v>0</v>
      </c>
      <c r="X131" s="692"/>
      <c r="Y131" s="595"/>
      <c r="Z131" s="595"/>
      <c r="AA131" s="595"/>
      <c r="AB131" s="354">
        <f t="shared" si="87"/>
        <v>0</v>
      </c>
      <c r="AC131" s="181"/>
      <c r="AD131" s="625"/>
      <c r="AE131" s="626"/>
      <c r="AF131" s="696"/>
      <c r="AG131" s="697"/>
      <c r="AH131" s="629"/>
      <c r="AI131" s="187"/>
      <c r="AJ131" s="630"/>
      <c r="AK131" s="630"/>
      <c r="AL131" s="595"/>
      <c r="AM131" s="595"/>
      <c r="AN131" s="595"/>
      <c r="AO131" s="595"/>
      <c r="AP131" s="595"/>
      <c r="AQ131" s="595"/>
      <c r="AR131" s="595"/>
      <c r="AS131" s="595"/>
      <c r="AT131" s="595"/>
      <c r="AU131" s="595"/>
      <c r="AV131" s="595"/>
      <c r="AW131" s="595"/>
      <c r="AX131" s="595"/>
      <c r="AY131" s="595"/>
      <c r="AZ131" s="595"/>
      <c r="BA131" s="595"/>
      <c r="BB131" s="595"/>
      <c r="BC131" s="595"/>
      <c r="BD131" s="595"/>
      <c r="BE131" s="595"/>
      <c r="BF131" s="595"/>
      <c r="BG131" s="595"/>
      <c r="BH131" s="595"/>
      <c r="BI131" s="651"/>
      <c r="BJ131" s="651"/>
      <c r="BK131" s="651"/>
      <c r="BL131" s="651"/>
      <c r="BM131" s="651"/>
      <c r="BN131" s="651"/>
      <c r="BO131" s="651"/>
      <c r="BP131" s="651"/>
      <c r="BQ131" s="651"/>
      <c r="BR131" s="651"/>
      <c r="BS131" s="651"/>
      <c r="BT131" s="651"/>
    </row>
    <row r="132">
      <c r="A132" s="631"/>
      <c r="B132" s="154" t="str">
        <f>IFERROR(__xludf.DUMMYFUNCTION("IFERROR(
  IF(C132="""","""",
    IF(OR(REGEXMATCH(D132,""(?i)-Flashing""), REGEXMATCH(D132,""(?i)-EavesGut""), REGEXMATCH(D132,""(?i)Valley"")),
        ""DR"" &amp;
        TEXT(
            ROUNDUP(
                MIN(
                    VALUE(MID(C132, "&amp;"FIND(""("",C132)+1, FIND(""/"",C132)-FIND(""("",C132)-1)),
                    1200
                ) / 50, 0
            ) * 50, ""0""
        ) &amp;
        MID(C132, FIND(""/"",C132)+1, FIND("")"",C132)-FIND(""/"",C132)-1) &amp;
        TEXT(H132*100,""0"") &amp;"&amp;"
        I132,
    IF(AND(D132=""Roof Sheet"", REGEXMATCH(C132,""(?i)KS\d{4}[A-Z]{2}"")),
       REGEXEXTRACT(C132,""(?i)KS\d{4}[A-Z]{2}""),
    IF(AND(REGEXMATCH(D132,""(?i)-DP""), REGEXMATCH(C132,""(?i)Downpipe"")),
       ""dp"" &amp; REGEXEXTRACT(C132,""("&amp;"\d+)"") &amp; ""mm"",
    IF(AND(REGEXMATCH(D132,""(?i)Bracket""), REGEXMATCH(C132,""(?i)Bracket"")),
       ""Brkt"" &amp; REGEXEXTRACT(C132,""(\d+)"") &amp; ""mm"",
    IF(AND(REGEXMATCH(D132,""(?i)-OP""), REGEXMATCH(C132,""(?i)pops"")),
       ""op"" &amp; REGEXEXTRAC"&amp;"T(C132,""(\d+)"") &amp; ""mm"",
    IF(OR(D132=""R-FFTop"", D132=""R-FFBottom"", D132=""R-FFSide""),
        IF(REGEXMATCH(C132,""(?i)Profiled.*Top|Top.*Profiled""),""pfft"",
        IF(REGEXMATCH(C132,""(?i)Profiled.*Bottom|Bottom.*Profiled""),""pffb"",
    "&amp;"    IF(REGEXMATCH(C132,""(?i)Square""),""sff"",""""))),
    IF(REGEXMATCH(D132,""(?i)-Rivets""),""Rvt"",
    IF(REGEXMATCH(D132,""(?i)Silicone""),""300ml"",
    IF(REGEXMATCH(D132,""(?i)R-Butyl""),""300ml"",
    IF(REGEXMATCH(D132,""(?i)Fix""),""GenFix"","&amp;"
    IF(AND(REGEXMATCH(C132,""(?i)Timber""), REGEXMATCH(D132,""(?i)Timber"")),""tp"",
    IF(AND(REGEXMATCH(C132,""(?i)Vent G1275""), REGEXMATCH(D132,""(?i)Comb FIller"")),""CFV1275"",
    IF(REGEXMATCH(C132,""(?i)DPC""),""dpc"",
    IF(REGEXMATCH(C132,"""&amp;"(?i)Concealed Clips""),""ConClips"",
    IF(REGEXMATCH(D132,""(?i)-Takeoff ea""),""Takeoff ea"",
    IF(REGEXMATCH(D132,""(?i)-Takeoff LM""),""Takeoff LM"",
    IF(REGEXMATCH(D132,""(?i)-Takeoff m2""),""Takeoff m2"",
    IF(D132=""R-TU/TD"",""TU/TD"","""""&amp;")))))))))))))))))
  )))"),"Rvt")</f>
        <v>Rvt</v>
      </c>
      <c r="C132" s="734" t="s">
        <v>100</v>
      </c>
      <c r="D132" s="124" t="s">
        <v>101</v>
      </c>
      <c r="E132" s="687">
        <f>E130</f>
        <v>0.98</v>
      </c>
      <c r="F132" s="721"/>
      <c r="G132" s="158"/>
      <c r="H132" s="700"/>
      <c r="I132" s="700"/>
      <c r="J132" s="126" t="s">
        <v>87</v>
      </c>
      <c r="K132" s="126" t="str">
        <f>IFERROR(
  IF(B132="", "", VLOOKUP(B132, Data!$B$2:$K$905, 7, FALSE)),
  ""
)</f>
        <v/>
      </c>
      <c r="L132" s="712"/>
      <c r="M132" s="150">
        <f>ROUNDUP(((M130/5.7)+1)*(E132/0.05),0)</f>
        <v>526</v>
      </c>
      <c r="N132" s="151">
        <f>IFERROR(__xludf.DUMMYFUNCTION("IF(B132="""", """", IFERROR(1 / COS(RADIANS(REGEXEXTRACT(F132,""(\d+)""))), 1))"),1.0)</f>
        <v>1</v>
      </c>
      <c r="O132" s="169">
        <v>1.0</v>
      </c>
      <c r="P132" s="134">
        <v>1.0</v>
      </c>
      <c r="Q132" s="168">
        <f t="shared" si="84"/>
        <v>526</v>
      </c>
      <c r="R132" s="136" t="str">
        <f>IFERROR(
  IF(B132="", "", VLOOKUP(B132, Data!$B$2:$K$905, 9, FALSE)),
  ""
)</f>
        <v/>
      </c>
      <c r="S132" s="152">
        <f t="shared" si="85"/>
        <v>0</v>
      </c>
      <c r="T132" s="690"/>
      <c r="U132" s="136" t="str">
        <f>IFERROR(
  IF(B132="", "", VLOOKUP(B132, Data!$B$2:$K$905, 10, FALSE)),
  ""
)
</f>
        <v/>
      </c>
      <c r="V132" s="691"/>
      <c r="W132" s="140">
        <f t="shared" si="86"/>
        <v>0</v>
      </c>
      <c r="X132" s="692"/>
      <c r="Y132" s="595"/>
      <c r="Z132" s="595"/>
      <c r="AA132" s="595"/>
      <c r="AB132" s="354">
        <f t="shared" si="87"/>
        <v>0</v>
      </c>
      <c r="AC132" s="181"/>
      <c r="AD132" s="625"/>
      <c r="AE132" s="626"/>
      <c r="AF132" s="696"/>
      <c r="AG132" s="697"/>
      <c r="AH132" s="629"/>
      <c r="AI132" s="187"/>
      <c r="AJ132" s="630"/>
      <c r="AK132" s="630"/>
      <c r="AL132" s="595"/>
      <c r="AM132" s="595"/>
      <c r="AN132" s="595"/>
      <c r="AO132" s="595"/>
      <c r="AP132" s="595"/>
      <c r="AQ132" s="595"/>
      <c r="AR132" s="595"/>
      <c r="AS132" s="595"/>
      <c r="AT132" s="595"/>
      <c r="AU132" s="595"/>
      <c r="AV132" s="595"/>
      <c r="AW132" s="595"/>
      <c r="AX132" s="595"/>
      <c r="AY132" s="595"/>
      <c r="AZ132" s="595"/>
      <c r="BA132" s="595"/>
      <c r="BB132" s="595"/>
      <c r="BC132" s="595"/>
      <c r="BD132" s="595"/>
      <c r="BE132" s="595"/>
      <c r="BF132" s="595"/>
      <c r="BG132" s="595"/>
      <c r="BH132" s="595"/>
      <c r="BI132" s="651"/>
      <c r="BJ132" s="651"/>
      <c r="BK132" s="651"/>
      <c r="BL132" s="651"/>
      <c r="BM132" s="651"/>
      <c r="BN132" s="651"/>
      <c r="BO132" s="651"/>
      <c r="BP132" s="651"/>
      <c r="BQ132" s="651"/>
      <c r="BR132" s="651"/>
      <c r="BS132" s="651"/>
      <c r="BT132" s="651"/>
    </row>
    <row r="133">
      <c r="A133" s="716" t="s">
        <v>479</v>
      </c>
      <c r="B133" s="122" t="s">
        <v>488</v>
      </c>
      <c r="C133" s="123" t="s">
        <v>489</v>
      </c>
      <c r="D133" s="124" t="s">
        <v>122</v>
      </c>
      <c r="E133" s="687">
        <f>IFERROR(__xludf.DUMMYFUNCTION("IFERROR(REGEXEXTRACT(C133,""@\s*(\d+(?:\.\d+)?)\s*mm"")/1000,"""")"),0.6)</f>
        <v>0.6</v>
      </c>
      <c r="F133" s="699"/>
      <c r="G133" s="158"/>
      <c r="H133" s="700"/>
      <c r="I133" s="700"/>
      <c r="J133" s="126" t="s">
        <v>87</v>
      </c>
      <c r="K133" s="126" t="str">
        <f>IFERROR(
  IF(B133="", "", VLOOKUP(B133, Data!$B$2:$K$905, 7, FALSE)),
  ""
)</f>
        <v/>
      </c>
      <c r="L133" s="704"/>
      <c r="M133" s="150">
        <f>ROUNDUP(M130/E133,0)+1</f>
        <v>246</v>
      </c>
      <c r="N133" s="151">
        <f>IFERROR(__xludf.DUMMYFUNCTION("IF(B133="""", """", IFERROR(1 / COS(RADIANS(REGEXEXTRACT(F133,""(\d+)""))), 1))"),1.0)</f>
        <v>1</v>
      </c>
      <c r="O133" s="169">
        <v>1.0</v>
      </c>
      <c r="P133" s="134">
        <v>1.0</v>
      </c>
      <c r="Q133" s="168">
        <f t="shared" si="84"/>
        <v>246</v>
      </c>
      <c r="R133" s="136" t="str">
        <f>IFERROR(
  IF(B133="", "", VLOOKUP(B133, Data!$B$2:$K$905, 9, FALSE)),
  ""
)</f>
        <v/>
      </c>
      <c r="S133" s="152">
        <f t="shared" si="85"/>
        <v>0</v>
      </c>
      <c r="T133" s="690"/>
      <c r="U133" s="136" t="str">
        <f>IFERROR(
  IF(B133="", "", VLOOKUP(B133, Data!$B$2:$K$905, 10, FALSE)),
  ""
)
</f>
        <v/>
      </c>
      <c r="V133" s="691"/>
      <c r="W133" s="140">
        <f t="shared" si="86"/>
        <v>0</v>
      </c>
      <c r="X133" s="692"/>
      <c r="Y133" s="595"/>
      <c r="Z133" s="595"/>
      <c r="AA133" s="595"/>
      <c r="AB133" s="354">
        <f t="shared" si="87"/>
        <v>0</v>
      </c>
      <c r="AC133" s="181"/>
      <c r="AD133" s="625"/>
      <c r="AE133" s="626"/>
      <c r="AF133" s="696"/>
      <c r="AG133" s="697"/>
      <c r="AH133" s="629"/>
      <c r="AI133" s="187"/>
      <c r="AJ133" s="630"/>
      <c r="AK133" s="630"/>
      <c r="AL133" s="595"/>
      <c r="AM133" s="595"/>
      <c r="AN133" s="595"/>
      <c r="AO133" s="595"/>
      <c r="AP133" s="595"/>
      <c r="AQ133" s="595"/>
      <c r="AR133" s="595"/>
      <c r="AS133" s="595"/>
      <c r="AT133" s="595"/>
      <c r="AU133" s="595"/>
      <c r="AV133" s="595"/>
      <c r="AW133" s="595"/>
      <c r="AX133" s="595"/>
      <c r="AY133" s="595"/>
      <c r="AZ133" s="595"/>
      <c r="BA133" s="595"/>
      <c r="BB133" s="595"/>
      <c r="BC133" s="595"/>
      <c r="BD133" s="595"/>
      <c r="BE133" s="595"/>
      <c r="BF133" s="595"/>
      <c r="BG133" s="595"/>
      <c r="BH133" s="595"/>
      <c r="BI133" s="651"/>
      <c r="BJ133" s="651"/>
      <c r="BK133" s="651"/>
      <c r="BL133" s="651"/>
      <c r="BM133" s="651"/>
      <c r="BN133" s="651"/>
      <c r="BO133" s="651"/>
      <c r="BP133" s="651"/>
      <c r="BQ133" s="651"/>
      <c r="BR133" s="651"/>
      <c r="BS133" s="651"/>
      <c r="BT133" s="651"/>
    </row>
    <row r="134">
      <c r="A134" s="631"/>
      <c r="B134" s="154" t="str">
        <f>IFERROR(__xludf.DUMMYFUNCTION("IFERROR(
  IF(C134="""","""",
    IF(OR(REGEXMATCH(D134,""(?i)-Flashing""), REGEXMATCH(D134,""(?i)-EavesGut""), REGEXMATCH(D134,""(?i)Valley"")),
        ""DR"" &amp;
        TEXT(
            ROUNDUP(
                MIN(
                    VALUE(MID(C134, "&amp;"FIND(""("",C134)+1, FIND(""/"",C134)-FIND(""("",C134)-1)),
                    1200
                ) / 50, 0
            ) * 50, ""0""
        ) &amp;
        MID(C134, FIND(""/"",C134)+1, FIND("")"",C134)-FIND(""/"",C134)-1) &amp;
        TEXT(H134*100,""0"") &amp;"&amp;"
        I134,
    IF(AND(D134=""Roof Sheet"", REGEXMATCH(C134,""(?i)KS\d{4}[A-Z]{2}"")),
       REGEXEXTRACT(C134,""(?i)KS\d{4}[A-Z]{2}""),
    IF(AND(REGEXMATCH(D134,""(?i)-DP""), REGEXMATCH(C134,""(?i)Downpipe"")),
       ""dp"" &amp; REGEXEXTRACT(C134,""("&amp;"\d+)"") &amp; ""mm"",
    IF(AND(REGEXMATCH(D134,""(?i)Bracket""), REGEXMATCH(C134,""(?i)Bracket"")),
       ""Brkt"" &amp; REGEXEXTRACT(C134,""(\d+)"") &amp; ""mm"",
    IF(AND(REGEXMATCH(D134,""(?i)-OP""), REGEXMATCH(C134,""(?i)pops"")),
       ""op"" &amp; REGEXEXTRAC"&amp;"T(C134,""(\d+)"") &amp; ""mm"",
    IF(OR(D134=""R-FFTop"", D134=""R-FFBottom"", D134=""R-FFSide""),
        IF(REGEXMATCH(C134,""(?i)Profiled.*Top|Top.*Profiled""),""pfft"",
        IF(REGEXMATCH(C134,""(?i)Profiled.*Bottom|Bottom.*Profiled""),""pffb"",
    "&amp;"    IF(REGEXMATCH(C134,""(?i)Square""),""sff"",""""))),
    IF(REGEXMATCH(D134,""(?i)-Rivets""),""Rvt"",
    IF(REGEXMATCH(D134,""(?i)Silicone""),""300ml"",
    IF(REGEXMATCH(D134,""(?i)R-Butyl""),""300ml"",
    IF(REGEXMATCH(D134,""(?i)Fix""),""GenFix"","&amp;"
    IF(AND(REGEXMATCH(C134,""(?i)Timber""), REGEXMATCH(D134,""(?i)Timber"")),""tp"",
    IF(AND(REGEXMATCH(C134,""(?i)Vent G1275""), REGEXMATCH(D134,""(?i)Comb FIller"")),""CFV1275"",
    IF(REGEXMATCH(C134,""(?i)DPC""),""dpc"",
    IF(REGEXMATCH(C134,"""&amp;"(?i)Concealed Clips""),""ConClips"",
    IF(REGEXMATCH(D134,""(?i)-Takeoff ea""),""Takeoff ea"",
    IF(REGEXMATCH(D134,""(?i)-Takeoff LM""),""Takeoff LM"",
    IF(REGEXMATCH(D134,""(?i)-Takeoff m2""),""Takeoff m2"",
    IF(D134=""R-TU/TD"",""TU/TD"","""""&amp;")))))))))))))))))
  )))"),"GenFix")</f>
        <v>GenFix</v>
      </c>
      <c r="C134" s="698" t="s">
        <v>102</v>
      </c>
      <c r="D134" s="124" t="s">
        <v>123</v>
      </c>
      <c r="E134" s="687">
        <v>2.0</v>
      </c>
      <c r="F134" s="699"/>
      <c r="G134" s="158"/>
      <c r="H134" s="700"/>
      <c r="I134" s="700"/>
      <c r="J134" s="126" t="s">
        <v>87</v>
      </c>
      <c r="K134" s="126" t="str">
        <f>IFERROR(
  IF(B134="", "", VLOOKUP(B134, Data!$B$2:$K$905, 7, FALSE)),
  ""
)</f>
        <v/>
      </c>
      <c r="L134" s="704"/>
      <c r="M134" s="150">
        <f>ROUNDUP(M133*E134,0)+1</f>
        <v>493</v>
      </c>
      <c r="N134" s="151">
        <f>IFERROR(__xludf.DUMMYFUNCTION("IF(B134="""", """", IFERROR(1 / COS(RADIANS(REGEXEXTRACT(F134,""(\d+)""))), 1))"),1.0)</f>
        <v>1</v>
      </c>
      <c r="O134" s="169">
        <v>1.0</v>
      </c>
      <c r="P134" s="134">
        <v>1.0</v>
      </c>
      <c r="Q134" s="168">
        <f t="shared" si="84"/>
        <v>493</v>
      </c>
      <c r="R134" s="136" t="str">
        <f>IFERROR(
  IF(B134="", "", VLOOKUP(B134, Data!$B$2:$K$905, 9, FALSE)),
  ""
)</f>
        <v/>
      </c>
      <c r="S134" s="152">
        <f t="shared" si="85"/>
        <v>0</v>
      </c>
      <c r="T134" s="690"/>
      <c r="U134" s="136" t="str">
        <f>IFERROR(
  IF(B134="", "", VLOOKUP(B134, Data!$B$2:$K$905, 10, FALSE)),
  ""
)
</f>
        <v/>
      </c>
      <c r="V134" s="691"/>
      <c r="W134" s="140">
        <f t="shared" si="86"/>
        <v>0</v>
      </c>
      <c r="X134" s="692"/>
      <c r="Y134" s="595"/>
      <c r="Z134" s="595"/>
      <c r="AA134" s="595"/>
      <c r="AB134" s="354">
        <f t="shared" si="87"/>
        <v>0</v>
      </c>
      <c r="AC134" s="181"/>
      <c r="AD134" s="625"/>
      <c r="AE134" s="626"/>
      <c r="AF134" s="696"/>
      <c r="AG134" s="697"/>
      <c r="AH134" s="629"/>
      <c r="AI134" s="187"/>
      <c r="AJ134" s="630"/>
      <c r="AK134" s="630"/>
      <c r="AL134" s="595"/>
      <c r="AM134" s="595"/>
      <c r="AN134" s="595"/>
      <c r="AO134" s="595"/>
      <c r="AP134" s="595"/>
      <c r="AQ134" s="595"/>
      <c r="AR134" s="595"/>
      <c r="AS134" s="595"/>
      <c r="AT134" s="595"/>
      <c r="AU134" s="595"/>
      <c r="AV134" s="595"/>
      <c r="AW134" s="595"/>
      <c r="AX134" s="595"/>
      <c r="AY134" s="595"/>
      <c r="AZ134" s="595"/>
      <c r="BA134" s="595"/>
      <c r="BB134" s="595"/>
      <c r="BC134" s="595"/>
      <c r="BD134" s="595"/>
      <c r="BE134" s="595"/>
      <c r="BF134" s="595"/>
      <c r="BG134" s="595"/>
      <c r="BH134" s="595"/>
      <c r="BI134" s="651"/>
      <c r="BJ134" s="651"/>
      <c r="BK134" s="651"/>
      <c r="BL134" s="651"/>
      <c r="BM134" s="651"/>
      <c r="BN134" s="651"/>
      <c r="BO134" s="651"/>
      <c r="BP134" s="651"/>
      <c r="BQ134" s="651"/>
      <c r="BR134" s="651"/>
      <c r="BS134" s="651"/>
      <c r="BT134" s="651"/>
    </row>
    <row r="135">
      <c r="A135" s="631"/>
      <c r="B135" s="154" t="str">
        <f>IFERROR(__xludf.DUMMYFUNCTION("IFERROR(
  IF(C135="""","""",
    IF(OR(REGEXMATCH(D135,""(?i)-Flashing""), REGEXMATCH(D135,""(?i)-EavesGut""), REGEXMATCH(D135,""(?i)Valley"")),
        ""DR"" &amp;
        TEXT(
            ROUNDUP(
                MIN(
                    VALUE(MID(C135, "&amp;"FIND(""("",C135)+1, FIND(""/"",C135)-FIND(""("",C135)-1)),
                    1200
                ) / 50, 0
            ) * 50, ""0""
        ) &amp;
        MID(C135, FIND(""/"",C135)+1, FIND("")"",C135)-FIND(""/"",C135)-1) &amp;
        TEXT(H135*100,""0"") &amp;"&amp;"
        I135,
    IF(AND(D135=""Roof Sheet"", REGEXMATCH(C135,""(?i)KS\d{4}[A-Z]{2}"")),
       REGEXEXTRACT(C135,""(?i)KS\d{4}[A-Z]{2}""),
    IF(AND(REGEXMATCH(D135,""(?i)-DP""), REGEXMATCH(C135,""(?i)Downpipe"")),
       ""dp"" &amp; REGEXEXTRACT(C135,""("&amp;"\d+)"") &amp; ""mm"",
    IF(AND(REGEXMATCH(D135,""(?i)Bracket""), REGEXMATCH(C135,""(?i)Bracket"")),
       ""Brkt"" &amp; REGEXEXTRACT(C135,""(\d+)"") &amp; ""mm"",
    IF(AND(REGEXMATCH(D135,""(?i)-OP""), REGEXMATCH(C135,""(?i)pops"")),
       ""op"" &amp; REGEXEXTRAC"&amp;"T(C135,""(\d+)"") &amp; ""mm"",
    IF(OR(D135=""R-FFTop"", D135=""R-FFBottom"", D135=""R-FFSide""),
        IF(REGEXMATCH(C135,""(?i)Profiled.*Top|Top.*Profiled""),""pfft"",
        IF(REGEXMATCH(C135,""(?i)Profiled.*Bottom|Bottom.*Profiled""),""pffb"",
    "&amp;"    IF(REGEXMATCH(C135,""(?i)Square""),""sff"",""""))),
    IF(REGEXMATCH(D135,""(?i)-Rivets""),""Rvt"",
    IF(REGEXMATCH(D135,""(?i)Silicone""),""300ml"",
    IF(REGEXMATCH(D135,""(?i)R-Butyl""),""300ml"",
    IF(REGEXMATCH(D135,""(?i)Fix""),""GenFix"","&amp;"
    IF(AND(REGEXMATCH(C135,""(?i)Timber""), REGEXMATCH(D135,""(?i)Timber"")),""tp"",
    IF(AND(REGEXMATCH(C135,""(?i)Vent G1275""), REGEXMATCH(D135,""(?i)Comb FIller"")),""CFV1275"",
    IF(REGEXMATCH(C135,""(?i)DPC""),""dpc"",
    IF(REGEXMATCH(C135,"""&amp;"(?i)Concealed Clips""),""ConClips"",
    IF(REGEXMATCH(D135,""(?i)-Takeoff ea""),""Takeoff ea"",
    IF(REGEXMATCH(D135,""(?i)-Takeoff LM""),""Takeoff LM"",
    IF(REGEXMATCH(D135,""(?i)-Takeoff m2""),""Takeoff m2"",
    IF(D135=""R-TU/TD"",""TU/TD"","""""&amp;")))))))))))))))))
  )))"),"pffb")</f>
        <v>pffb</v>
      </c>
      <c r="C135" s="698" t="s">
        <v>125</v>
      </c>
      <c r="D135" s="124" t="s">
        <v>126</v>
      </c>
      <c r="E135" s="722"/>
      <c r="F135" s="699"/>
      <c r="G135" s="158"/>
      <c r="H135" s="700"/>
      <c r="I135" s="700"/>
      <c r="J135" s="126" t="s">
        <v>87</v>
      </c>
      <c r="K135" s="126" t="str">
        <f>IFERROR(
  IF(B135="", "", VLOOKUP(B135, Data!$B$2:$K$905, 7, FALSE)),
  ""
)</f>
        <v/>
      </c>
      <c r="L135" s="704"/>
      <c r="M135" s="150">
        <f>M130</f>
        <v>147</v>
      </c>
      <c r="N135" s="151">
        <f>IFERROR(__xludf.DUMMYFUNCTION("IF(B135="""", """", IFERROR(1 / COS(RADIANS(REGEXEXTRACT(F135,""(\d+)""))), 1))"),1.0)</f>
        <v>1</v>
      </c>
      <c r="O135" s="169">
        <v>1.0</v>
      </c>
      <c r="P135" s="134">
        <v>1.0</v>
      </c>
      <c r="Q135" s="168">
        <f t="shared" si="84"/>
        <v>147</v>
      </c>
      <c r="R135" s="136" t="str">
        <f>IFERROR(
  IF(B135="", "", VLOOKUP(B135, Data!$B$2:$K$905, 9, FALSE)),
  ""
)</f>
        <v/>
      </c>
      <c r="S135" s="152">
        <f t="shared" si="85"/>
        <v>0</v>
      </c>
      <c r="T135" s="690"/>
      <c r="U135" s="136" t="str">
        <f>IFERROR(
  IF(B135="", "", VLOOKUP(B135, Data!$B$2:$K$905, 10, FALSE)),
  ""
)
</f>
        <v/>
      </c>
      <c r="V135" s="691"/>
      <c r="W135" s="140">
        <f t="shared" si="86"/>
        <v>0</v>
      </c>
      <c r="X135" s="692"/>
      <c r="Y135" s="595"/>
      <c r="Z135" s="595"/>
      <c r="AA135" s="595"/>
      <c r="AB135" s="354">
        <f t="shared" si="87"/>
        <v>0</v>
      </c>
      <c r="AC135" s="181"/>
      <c r="AD135" s="625"/>
      <c r="AE135" s="626"/>
      <c r="AF135" s="696"/>
      <c r="AG135" s="697"/>
      <c r="AH135" s="629"/>
      <c r="AI135" s="187"/>
      <c r="AJ135" s="630"/>
      <c r="AK135" s="630"/>
      <c r="AL135" s="595"/>
      <c r="AM135" s="595"/>
      <c r="AN135" s="595"/>
      <c r="AO135" s="595"/>
      <c r="AP135" s="595"/>
      <c r="AQ135" s="595"/>
      <c r="AR135" s="595"/>
      <c r="AS135" s="595"/>
      <c r="AT135" s="595"/>
      <c r="AU135" s="595"/>
      <c r="AV135" s="595"/>
      <c r="AW135" s="595"/>
      <c r="AX135" s="595"/>
      <c r="AY135" s="595"/>
      <c r="AZ135" s="595"/>
      <c r="BA135" s="595"/>
      <c r="BB135" s="595"/>
      <c r="BC135" s="595"/>
      <c r="BD135" s="595"/>
      <c r="BE135" s="595"/>
      <c r="BF135" s="595"/>
      <c r="BG135" s="595"/>
      <c r="BH135" s="595"/>
      <c r="BI135" s="651"/>
      <c r="BJ135" s="651"/>
      <c r="BK135" s="651"/>
      <c r="BL135" s="651"/>
      <c r="BM135" s="651"/>
      <c r="BN135" s="651"/>
      <c r="BO135" s="651"/>
      <c r="BP135" s="651"/>
      <c r="BQ135" s="651"/>
      <c r="BR135" s="651"/>
      <c r="BS135" s="651"/>
      <c r="BT135" s="651"/>
    </row>
    <row r="136">
      <c r="A136" s="631"/>
      <c r="B136" s="154" t="str">
        <f>IFERROR(__xludf.DUMMYFUNCTION("IFERROR(
  IF(C136="""","""",
    IF(OR(REGEXMATCH(D136,""(?i)-Flashing""), REGEXMATCH(D136,""(?i)-EavesGut""), REGEXMATCH(D136,""(?i)Valley"")),
        ""DR"" &amp;
        TEXT(
            ROUNDUP(
                MIN(
                    VALUE(MID(C136, "&amp;"FIND(""("",C136)+1, FIND(""/"",C136)-FIND(""("",C136)-1)),
                    1200
                ) / 50, 0
            ) * 50, ""0""
        ) &amp;
        MID(C136, FIND(""/"",C136)+1, FIND("")"",C136)-FIND(""/"",C136)-1) &amp;
        TEXT(H136*100,""0"") &amp;"&amp;"
        I136,
    IF(AND(D136=""Roof Sheet"", REGEXMATCH(C136,""(?i)KS\d{4}[A-Z]{2}"")),
       REGEXEXTRACT(C136,""(?i)KS\d{4}[A-Z]{2}""),
    IF(AND(REGEXMATCH(D136,""(?i)-DP""), REGEXMATCH(C136,""(?i)Downpipe"")),
       ""dp"" &amp; REGEXEXTRACT(C136,""("&amp;"\d+)"") &amp; ""mm"",
    IF(AND(REGEXMATCH(D136,""(?i)Bracket""), REGEXMATCH(C136,""(?i)Bracket"")),
       ""Brkt"" &amp; REGEXEXTRACT(C136,""(\d+)"") &amp; ""mm"",
    IF(AND(REGEXMATCH(D136,""(?i)-OP""), REGEXMATCH(C136,""(?i)pops"")),
       ""op"" &amp; REGEXEXTRAC"&amp;"T(C136,""(\d+)"") &amp; ""mm"",
    IF(OR(D136=""R-FFTop"", D136=""R-FFBottom"", D136=""R-FFSide""),
        IF(REGEXMATCH(C136,""(?i)Profiled.*Top|Top.*Profiled""),""pfft"",
        IF(REGEXMATCH(C136,""(?i)Profiled.*Bottom|Bottom.*Profiled""),""pffb"",
    "&amp;"    IF(REGEXMATCH(C136,""(?i)Square""),""sff"",""""))),
    IF(REGEXMATCH(D136,""(?i)-Rivets""),""Rvt"",
    IF(REGEXMATCH(D136,""(?i)Silicone""),""300ml"",
    IF(REGEXMATCH(D136,""(?i)R-Butyl""),""300ml"",
    IF(REGEXMATCH(D136,""(?i)Fix""),""GenFix"","&amp;"
    IF(AND(REGEXMATCH(C136,""(?i)Timber""), REGEXMATCH(D136,""(?i)Timber"")),""tp"",
    IF(AND(REGEXMATCH(C136,""(?i)Vent G1275""), REGEXMATCH(D136,""(?i)Comb FIller"")),""CFV1275"",
    IF(REGEXMATCH(C136,""(?i)DPC""),""dpc"",
    IF(REGEXMATCH(C136,"""&amp;"(?i)Concealed Clips""),""ConClips"",
    IF(REGEXMATCH(D136,""(?i)-Takeoff ea""),""Takeoff ea"",
    IF(REGEXMATCH(D136,""(?i)-Takeoff LM""),""Takeoff LM"",
    IF(REGEXMATCH(D136,""(?i)-Takeoff m2""),""Takeoff m2"",
    IF(D136=""R-TU/TD"",""TU/TD"","""""&amp;")))))))))))))))))
  )))"),"TU/TD")</f>
        <v>TU/TD</v>
      </c>
      <c r="C136" s="698" t="s">
        <v>446</v>
      </c>
      <c r="D136" s="124" t="s">
        <v>107</v>
      </c>
      <c r="E136" s="722"/>
      <c r="F136" s="699"/>
      <c r="G136" s="158"/>
      <c r="H136" s="700"/>
      <c r="I136" s="700"/>
      <c r="J136" s="126" t="s">
        <v>87</v>
      </c>
      <c r="K136" s="126" t="str">
        <f>IFERROR(
  IF(B136="", "", VLOOKUP(B136, Data!$B$2:$K$905, 7, FALSE)),
  ""
)</f>
        <v/>
      </c>
      <c r="L136" s="704"/>
      <c r="M136" s="150">
        <f>M130</f>
        <v>147</v>
      </c>
      <c r="N136" s="151">
        <f>IFERROR(__xludf.DUMMYFUNCTION("IF(B136="""", """", IFERROR(1 / COS(RADIANS(REGEXEXTRACT(F136,""(\d+)""))), 1))"),1.0)</f>
        <v>1</v>
      </c>
      <c r="O136" s="169">
        <v>1.0</v>
      </c>
      <c r="P136" s="134">
        <v>1.0</v>
      </c>
      <c r="Q136" s="168">
        <f t="shared" si="84"/>
        <v>147</v>
      </c>
      <c r="R136" s="136" t="str">
        <f>IFERROR(
  IF(B136="", "", VLOOKUP(B136, Data!$B$2:$K$905, 9, FALSE)),
  ""
)</f>
        <v/>
      </c>
      <c r="S136" s="152">
        <f t="shared" si="85"/>
        <v>0</v>
      </c>
      <c r="T136" s="690"/>
      <c r="U136" s="136" t="str">
        <f>IFERROR(
  IF(B136="", "", VLOOKUP(B136, Data!$B$2:$K$905, 10, FALSE)),
  ""
)
</f>
        <v/>
      </c>
      <c r="V136" s="691"/>
      <c r="W136" s="140">
        <f t="shared" si="86"/>
        <v>0</v>
      </c>
      <c r="X136" s="692"/>
      <c r="Y136" s="595"/>
      <c r="Z136" s="595"/>
      <c r="AA136" s="595"/>
      <c r="AB136" s="354">
        <f t="shared" si="87"/>
        <v>0</v>
      </c>
      <c r="AC136" s="181"/>
      <c r="AD136" s="625"/>
      <c r="AE136" s="626"/>
      <c r="AF136" s="696"/>
      <c r="AG136" s="697"/>
      <c r="AH136" s="629"/>
      <c r="AI136" s="187"/>
      <c r="AJ136" s="630"/>
      <c r="AK136" s="630"/>
      <c r="AL136" s="595"/>
      <c r="AM136" s="595"/>
      <c r="AN136" s="595"/>
      <c r="AO136" s="595"/>
      <c r="AP136" s="595"/>
      <c r="AQ136" s="595"/>
      <c r="AR136" s="595"/>
      <c r="AS136" s="595"/>
      <c r="AT136" s="595"/>
      <c r="AU136" s="595"/>
      <c r="AV136" s="595"/>
      <c r="AW136" s="595"/>
      <c r="AX136" s="595"/>
      <c r="AY136" s="595"/>
      <c r="AZ136" s="595"/>
      <c r="BA136" s="595"/>
      <c r="BB136" s="595"/>
      <c r="BC136" s="595"/>
      <c r="BD136" s="595"/>
      <c r="BE136" s="595"/>
      <c r="BF136" s="595"/>
      <c r="BG136" s="595"/>
      <c r="BH136" s="595"/>
      <c r="BI136" s="651"/>
      <c r="BJ136" s="651"/>
      <c r="BK136" s="651"/>
      <c r="BL136" s="651"/>
      <c r="BM136" s="651"/>
      <c r="BN136" s="651"/>
      <c r="BO136" s="651"/>
      <c r="BP136" s="651"/>
      <c r="BQ136" s="651"/>
      <c r="BR136" s="651"/>
      <c r="BS136" s="651"/>
      <c r="BT136" s="651"/>
    </row>
    <row r="137">
      <c r="A137" s="631"/>
      <c r="B137" s="154"/>
      <c r="C137" s="702"/>
      <c r="D137" s="701"/>
      <c r="E137" s="722"/>
      <c r="F137" s="699"/>
      <c r="G137" s="158"/>
      <c r="H137" s="700"/>
      <c r="I137" s="700"/>
      <c r="J137" s="701"/>
      <c r="K137" s="701"/>
      <c r="L137" s="704"/>
      <c r="M137" s="704"/>
      <c r="N137" s="711"/>
      <c r="O137" s="712"/>
      <c r="P137" s="700"/>
      <c r="Q137" s="712"/>
      <c r="R137" s="136" t="str">
        <f>IFERROR(
  IF(B137="", "", VLOOKUP(B137, Data!$B$2:$K$905, 9, FALSE)),
  ""
)</f>
        <v/>
      </c>
      <c r="S137" s="691"/>
      <c r="T137" s="690"/>
      <c r="U137" s="136" t="str">
        <f>IFERROR(
  IF(B137="", "", VLOOKUP(B137, Data!$B$2:$K$905, 10, FALSE)),
  ""
)
</f>
        <v/>
      </c>
      <c r="V137" s="691"/>
      <c r="W137" s="713"/>
      <c r="X137" s="692"/>
      <c r="Y137" s="595"/>
      <c r="Z137" s="595"/>
      <c r="AA137" s="595"/>
      <c r="AB137" s="595"/>
      <c r="AC137" s="181"/>
      <c r="AD137" s="625"/>
      <c r="AE137" s="626"/>
      <c r="AF137" s="696"/>
      <c r="AG137" s="697"/>
      <c r="AH137" s="629"/>
      <c r="AI137" s="187"/>
      <c r="AJ137" s="630"/>
      <c r="AK137" s="630"/>
      <c r="AL137" s="595"/>
      <c r="AM137" s="595"/>
      <c r="AN137" s="595"/>
      <c r="AO137" s="595"/>
      <c r="AP137" s="595"/>
      <c r="AQ137" s="595"/>
      <c r="AR137" s="595"/>
      <c r="AS137" s="595"/>
      <c r="AT137" s="595"/>
      <c r="AU137" s="595"/>
      <c r="AV137" s="595"/>
      <c r="AW137" s="595"/>
      <c r="AX137" s="595"/>
      <c r="AY137" s="595"/>
      <c r="AZ137" s="595"/>
      <c r="BA137" s="595"/>
      <c r="BB137" s="595"/>
      <c r="BC137" s="595"/>
      <c r="BD137" s="595"/>
      <c r="BE137" s="595"/>
      <c r="BF137" s="595"/>
      <c r="BG137" s="595"/>
      <c r="BH137" s="595"/>
      <c r="BI137" s="651"/>
      <c r="BJ137" s="651"/>
      <c r="BK137" s="651"/>
      <c r="BL137" s="651"/>
      <c r="BM137" s="651"/>
      <c r="BN137" s="651"/>
      <c r="BO137" s="651"/>
      <c r="BP137" s="651"/>
      <c r="BQ137" s="651"/>
      <c r="BR137" s="651"/>
      <c r="BS137" s="651"/>
      <c r="BT137" s="651"/>
    </row>
    <row r="138">
      <c r="A138" s="631"/>
      <c r="B138" s="154" t="s">
        <v>131</v>
      </c>
      <c r="C138" s="734" t="s">
        <v>132</v>
      </c>
      <c r="D138" s="124" t="s">
        <v>484</v>
      </c>
      <c r="E138" s="722"/>
      <c r="F138" s="721"/>
      <c r="G138" s="158"/>
      <c r="H138" s="700"/>
      <c r="I138" s="700"/>
      <c r="J138" s="126" t="s">
        <v>87</v>
      </c>
      <c r="K138" s="126" t="str">
        <f>IFERROR(
  IF(B138="", "", VLOOKUP(B138, Data!$B$2:$K$905, 7, FALSE)),
  ""
)</f>
        <v/>
      </c>
      <c r="L138" s="712"/>
      <c r="M138" s="730">
        <v>1.0</v>
      </c>
      <c r="N138" s="151">
        <f>IFERROR(__xludf.DUMMYFUNCTION("IF(B138="""", """", IFERROR(1 / COS(RADIANS(REGEXEXTRACT(F138,""(\d+)""))), 1))"),1.0)</f>
        <v>1</v>
      </c>
      <c r="O138" s="169">
        <v>1.0</v>
      </c>
      <c r="P138" s="134">
        <v>1.0</v>
      </c>
      <c r="Q138" s="168">
        <f t="shared" ref="Q138:Q139" si="88">M138*N138*O138*P138</f>
        <v>1</v>
      </c>
      <c r="R138" s="136" t="str">
        <f>IFERROR(
  IF(B138="", "", VLOOKUP(B138, Data!$B$2:$K$905, 9, FALSE)),
  ""
)</f>
        <v/>
      </c>
      <c r="S138" s="152">
        <f t="shared" ref="S138:S139" si="89">R138*Q138</f>
        <v>0</v>
      </c>
      <c r="T138" s="690"/>
      <c r="U138" s="136" t="str">
        <f>IFERROR(
  IF(B138="", "", VLOOKUP(B138, Data!$B$2:$K$905, 10, FALSE)),
  ""
)
</f>
        <v/>
      </c>
      <c r="V138" s="691"/>
      <c r="W138" s="140">
        <f t="shared" ref="W138:W139" si="90">U138*Q138</f>
        <v>0</v>
      </c>
      <c r="X138" s="692"/>
      <c r="Y138" s="595"/>
      <c r="Z138" s="595"/>
      <c r="AA138" s="595"/>
      <c r="AB138" s="354">
        <f t="shared" ref="AB138:AB139" si="91">W138+S138</f>
        <v>0</v>
      </c>
      <c r="AC138" s="181"/>
      <c r="AD138" s="625"/>
      <c r="AE138" s="626"/>
      <c r="AF138" s="696"/>
      <c r="AG138" s="697"/>
      <c r="AH138" s="629"/>
      <c r="AI138" s="187"/>
      <c r="AJ138" s="630"/>
      <c r="AK138" s="630"/>
      <c r="AL138" s="595"/>
      <c r="AM138" s="595"/>
      <c r="AN138" s="595"/>
      <c r="AO138" s="595"/>
      <c r="AP138" s="595"/>
      <c r="AQ138" s="595"/>
      <c r="AR138" s="595"/>
      <c r="AS138" s="595"/>
      <c r="AT138" s="595"/>
      <c r="AU138" s="595"/>
      <c r="AV138" s="595"/>
      <c r="AW138" s="595"/>
      <c r="AX138" s="595"/>
      <c r="AY138" s="595"/>
      <c r="AZ138" s="595"/>
      <c r="BA138" s="595"/>
      <c r="BB138" s="595"/>
      <c r="BC138" s="595"/>
      <c r="BD138" s="595"/>
      <c r="BE138" s="595"/>
      <c r="BF138" s="595"/>
      <c r="BG138" s="595"/>
      <c r="BH138" s="595"/>
      <c r="BI138" s="651"/>
      <c r="BJ138" s="651"/>
      <c r="BK138" s="651"/>
      <c r="BL138" s="651"/>
      <c r="BM138" s="651"/>
      <c r="BN138" s="651"/>
      <c r="BO138" s="651"/>
      <c r="BP138" s="651"/>
      <c r="BQ138" s="651"/>
      <c r="BR138" s="651"/>
      <c r="BS138" s="651"/>
      <c r="BT138" s="651"/>
    </row>
    <row r="139">
      <c r="A139" s="631"/>
      <c r="B139" s="154" t="s">
        <v>134</v>
      </c>
      <c r="C139" s="734" t="s">
        <v>135</v>
      </c>
      <c r="D139" s="124" t="s">
        <v>484</v>
      </c>
      <c r="E139" s="722"/>
      <c r="F139" s="721"/>
      <c r="G139" s="158"/>
      <c r="H139" s="700"/>
      <c r="I139" s="700"/>
      <c r="J139" s="126" t="s">
        <v>87</v>
      </c>
      <c r="K139" s="126" t="str">
        <f>IFERROR(
  IF(B139="", "", VLOOKUP(B139, Data!$B$2:$K$905, 7, FALSE)),
  ""
)</f>
        <v/>
      </c>
      <c r="L139" s="712"/>
      <c r="M139" s="730">
        <v>1.0</v>
      </c>
      <c r="N139" s="151">
        <f>IFERROR(__xludf.DUMMYFUNCTION("IF(B139="""", """", IFERROR(1 / COS(RADIANS(REGEXEXTRACT(F139,""(\d+)""))), 1))"),1.0)</f>
        <v>1</v>
      </c>
      <c r="O139" s="169">
        <v>1.0</v>
      </c>
      <c r="P139" s="134">
        <v>1.0</v>
      </c>
      <c r="Q139" s="168">
        <f t="shared" si="88"/>
        <v>1</v>
      </c>
      <c r="R139" s="136" t="str">
        <f>IFERROR(
  IF(B139="", "", VLOOKUP(B139, Data!$B$2:$K$905, 9, FALSE)),
  ""
)</f>
        <v/>
      </c>
      <c r="S139" s="152">
        <f t="shared" si="89"/>
        <v>0</v>
      </c>
      <c r="T139" s="690"/>
      <c r="U139" s="136" t="str">
        <f>IFERROR(
  IF(B139="", "", VLOOKUP(B139, Data!$B$2:$K$905, 10, FALSE)),
  ""
)
</f>
        <v/>
      </c>
      <c r="V139" s="691"/>
      <c r="W139" s="140">
        <f t="shared" si="90"/>
        <v>0</v>
      </c>
      <c r="X139" s="692"/>
      <c r="Y139" s="595"/>
      <c r="Z139" s="595"/>
      <c r="AA139" s="595"/>
      <c r="AB139" s="354">
        <f t="shared" si="91"/>
        <v>0</v>
      </c>
      <c r="AC139" s="181"/>
      <c r="AD139" s="625"/>
      <c r="AE139" s="626"/>
      <c r="AF139" s="696"/>
      <c r="AG139" s="697"/>
      <c r="AH139" s="629"/>
      <c r="AI139" s="187"/>
      <c r="AJ139" s="630"/>
      <c r="AK139" s="630"/>
      <c r="AL139" s="595"/>
      <c r="AM139" s="595"/>
      <c r="AN139" s="595"/>
      <c r="AO139" s="595"/>
      <c r="AP139" s="595"/>
      <c r="AQ139" s="595"/>
      <c r="AR139" s="595"/>
      <c r="AS139" s="595"/>
      <c r="AT139" s="595"/>
      <c r="AU139" s="595"/>
      <c r="AV139" s="595"/>
      <c r="AW139" s="595"/>
      <c r="AX139" s="595"/>
      <c r="AY139" s="595"/>
      <c r="AZ139" s="595"/>
      <c r="BA139" s="595"/>
      <c r="BB139" s="595"/>
      <c r="BC139" s="595"/>
      <c r="BD139" s="595"/>
      <c r="BE139" s="595"/>
      <c r="BF139" s="595"/>
      <c r="BG139" s="595"/>
      <c r="BH139" s="595"/>
      <c r="BI139" s="651"/>
      <c r="BJ139" s="651"/>
      <c r="BK139" s="651"/>
      <c r="BL139" s="651"/>
      <c r="BM139" s="651"/>
      <c r="BN139" s="651"/>
      <c r="BO139" s="651"/>
      <c r="BP139" s="651"/>
      <c r="BQ139" s="651"/>
      <c r="BR139" s="651"/>
      <c r="BS139" s="651"/>
      <c r="BT139" s="651"/>
    </row>
    <row r="140">
      <c r="A140" s="631"/>
      <c r="B140" s="154"/>
      <c r="C140" s="758"/>
      <c r="D140" s="700"/>
      <c r="E140" s="722"/>
      <c r="F140" s="721"/>
      <c r="G140" s="158"/>
      <c r="H140" s="700"/>
      <c r="I140" s="700"/>
      <c r="J140" s="701"/>
      <c r="K140" s="701" t="str">
        <f>IFERROR(
  IF(B140="", "", VLOOKUP(B140, Data!$B$2:$K$905, 7, FALSE)),
  ""
)</f>
        <v/>
      </c>
      <c r="L140" s="712"/>
      <c r="M140" s="704" t="s">
        <v>42</v>
      </c>
      <c r="N140" s="711" t="str">
        <f>IFERROR(__xludf.DUMMYFUNCTION("IF(B140="""", """", IFERROR(1 / COS(RADIANS(REGEXEXTRACT(F140,""(\d+)""))), 1))"),"")</f>
        <v/>
      </c>
      <c r="O140" s="712"/>
      <c r="P140" s="700"/>
      <c r="Q140" s="712"/>
      <c r="R140" s="136" t="str">
        <f>IFERROR(
  IF(B140="", "", VLOOKUP(B140, Data!$B$2:$K$905, 9, FALSE)),
  ""
)</f>
        <v/>
      </c>
      <c r="S140" s="691"/>
      <c r="T140" s="690"/>
      <c r="U140" s="136" t="str">
        <f>IFERROR(
  IF(B140="", "", VLOOKUP(B140, Data!$B$2:$K$905, 10, FALSE)),
  ""
)
</f>
        <v/>
      </c>
      <c r="V140" s="691"/>
      <c r="W140" s="713"/>
      <c r="X140" s="692"/>
      <c r="Y140" s="595"/>
      <c r="Z140" s="595"/>
      <c r="AA140" s="595"/>
      <c r="AB140" s="595"/>
      <c r="AC140" s="181"/>
      <c r="AD140" s="625"/>
      <c r="AE140" s="626"/>
      <c r="AF140" s="696"/>
      <c r="AG140" s="697"/>
      <c r="AH140" s="629"/>
      <c r="AI140" s="187"/>
      <c r="AJ140" s="630"/>
      <c r="AK140" s="630"/>
      <c r="AL140" s="595"/>
      <c r="AM140" s="595"/>
      <c r="AN140" s="595"/>
      <c r="AO140" s="595"/>
      <c r="AP140" s="595"/>
      <c r="AQ140" s="595"/>
      <c r="AR140" s="595"/>
      <c r="AS140" s="595"/>
      <c r="AT140" s="595"/>
      <c r="AU140" s="595"/>
      <c r="AV140" s="595"/>
      <c r="AW140" s="595"/>
      <c r="AX140" s="595"/>
      <c r="AY140" s="595"/>
      <c r="AZ140" s="595"/>
      <c r="BA140" s="595"/>
      <c r="BB140" s="595"/>
      <c r="BC140" s="595"/>
      <c r="BD140" s="595"/>
      <c r="BE140" s="595"/>
      <c r="BF140" s="595"/>
      <c r="BG140" s="595"/>
      <c r="BH140" s="595"/>
      <c r="BI140" s="651"/>
      <c r="BJ140" s="651"/>
      <c r="BK140" s="651"/>
      <c r="BL140" s="651"/>
      <c r="BM140" s="651"/>
      <c r="BN140" s="651"/>
      <c r="BO140" s="651"/>
      <c r="BP140" s="651"/>
      <c r="BQ140" s="651"/>
      <c r="BR140" s="651"/>
      <c r="BS140" s="651"/>
      <c r="BT140" s="651"/>
    </row>
    <row r="141">
      <c r="A141" s="631">
        <v>1.0</v>
      </c>
      <c r="B141" s="652" t="s">
        <v>425</v>
      </c>
      <c r="C141" s="89" t="s">
        <v>136</v>
      </c>
      <c r="D141" s="172"/>
      <c r="E141" s="654"/>
      <c r="F141" s="655"/>
      <c r="G141" s="233"/>
      <c r="H141" s="656"/>
      <c r="I141" s="656"/>
      <c r="J141" s="656"/>
      <c r="K141" s="657" t="s">
        <v>42</v>
      </c>
      <c r="L141" s="658"/>
      <c r="M141" s="658" t="s">
        <v>42</v>
      </c>
      <c r="N141" s="659"/>
      <c r="O141" s="658"/>
      <c r="P141" s="656"/>
      <c r="Q141" s="658"/>
      <c r="R141" s="136" t="str">
        <f>IFERROR(
  IF(B141="", "", VLOOKUP(B141, Data!$B$2:$K$905, 9, FALSE)),
  ""
)</f>
        <v/>
      </c>
      <c r="S141" s="660"/>
      <c r="T141" s="661"/>
      <c r="U141" s="136" t="str">
        <f>IFERROR(
  IF(B141="", "", VLOOKUP(B141, Data!$B$2:$K$905, 10, FALSE)),
  ""
)
</f>
        <v/>
      </c>
      <c r="V141" s="662"/>
      <c r="W141" s="663"/>
      <c r="X141" s="692"/>
      <c r="Y141" s="595"/>
      <c r="Z141" s="595"/>
      <c r="AA141" s="595"/>
      <c r="AB141" s="354"/>
      <c r="AC141" s="181"/>
      <c r="AD141" s="625"/>
      <c r="AE141" s="626"/>
      <c r="AF141" s="696"/>
      <c r="AG141" s="628"/>
      <c r="AH141" s="629"/>
      <c r="AI141" s="187"/>
      <c r="AJ141" s="630"/>
      <c r="AK141" s="630"/>
      <c r="AL141" s="595"/>
      <c r="AM141" s="595"/>
      <c r="AN141" s="595"/>
      <c r="AO141" s="595"/>
      <c r="AP141" s="595"/>
      <c r="AQ141" s="595"/>
      <c r="AR141" s="595"/>
      <c r="AS141" s="595"/>
      <c r="AT141" s="595"/>
      <c r="AU141" s="595"/>
      <c r="AV141" s="595"/>
      <c r="AW141" s="595"/>
      <c r="AX141" s="595"/>
      <c r="AY141" s="595"/>
      <c r="AZ141" s="595"/>
      <c r="BA141" s="595"/>
      <c r="BB141" s="595"/>
      <c r="BC141" s="595"/>
      <c r="BD141" s="595"/>
      <c r="BE141" s="595"/>
      <c r="BF141" s="595"/>
      <c r="BG141" s="595"/>
      <c r="BH141" s="595"/>
      <c r="BI141" s="651"/>
      <c r="BJ141" s="651"/>
      <c r="BK141" s="651"/>
      <c r="BL141" s="651"/>
      <c r="BM141" s="651"/>
      <c r="BN141" s="651"/>
      <c r="BO141" s="651"/>
      <c r="BP141" s="651"/>
      <c r="BQ141" s="651"/>
      <c r="BR141" s="651"/>
      <c r="BS141" s="651"/>
      <c r="BT141" s="651"/>
    </row>
    <row r="142">
      <c r="A142" s="631">
        <v>1.0</v>
      </c>
      <c r="B142" s="727"/>
      <c r="C142" s="103" t="s">
        <v>490</v>
      </c>
      <c r="D142" s="678"/>
      <c r="E142" s="676"/>
      <c r="F142" s="677"/>
      <c r="G142" s="157"/>
      <c r="H142" s="678"/>
      <c r="I142" s="678"/>
      <c r="J142" s="678"/>
      <c r="K142" s="728" t="s">
        <v>42</v>
      </c>
      <c r="L142" s="106">
        <f>Q142</f>
        <v>226.8</v>
      </c>
      <c r="M142" s="679" t="s">
        <v>42</v>
      </c>
      <c r="N142" s="680"/>
      <c r="O142" s="679"/>
      <c r="P142" s="678"/>
      <c r="Q142" s="106">
        <f>Q143</f>
        <v>226.8</v>
      </c>
      <c r="R142" s="136" t="str">
        <f>IFERROR(
  IF(B142="", "", VLOOKUP(B142, Data!$B$2:$K$905, 9, FALSE)),
  ""
)</f>
        <v/>
      </c>
      <c r="S142" s="682">
        <f>IFERROR(T142/Q142, 0)</f>
        <v>0</v>
      </c>
      <c r="T142" s="109">
        <f>SUM(S143:S149)</f>
        <v>0</v>
      </c>
      <c r="U142" s="136" t="str">
        <f>IFERROR(
  IF(B142="", "", VLOOKUP(B142, Data!$B$2:$K$905, 10, FALSE)),
  ""
)
</f>
        <v/>
      </c>
      <c r="V142" s="109">
        <f>W142/Q142</f>
        <v>0</v>
      </c>
      <c r="W142" s="110">
        <f>SUM(W143:W149)</f>
        <v>0</v>
      </c>
      <c r="X142" s="111" t="str">
        <f>W142/$AC$758/$W$765/$X$755</f>
        <v>#REF!</v>
      </c>
      <c r="Y142" s="112" t="b">
        <f>(T142+W142)=(SUM(AB143:AB149))</f>
        <v>1</v>
      </c>
      <c r="Z142" s="113">
        <f>(T142+W142)-(SUM(AB143:AB148))</f>
        <v>0</v>
      </c>
      <c r="AA142" s="595"/>
      <c r="AB142" s="354"/>
      <c r="AC142" s="181"/>
      <c r="AD142" s="114">
        <f>W142+T142</f>
        <v>0</v>
      </c>
      <c r="AE142" s="115">
        <f>AD142</f>
        <v>0</v>
      </c>
      <c r="AF142" s="116" t="str">
        <f>AE142/$AE$733</f>
        <v>#REF!</v>
      </c>
      <c r="AG142" s="683" t="str">
        <f>AF142*$AG$740</f>
        <v>#REF!</v>
      </c>
      <c r="AH142" s="118" t="str">
        <f>AF142*$AG$743</f>
        <v>#REF!</v>
      </c>
      <c r="AI142" s="187"/>
      <c r="AJ142" s="119" t="str">
        <f>ROUND(AK142/L142,2)</f>
        <v>#REF!</v>
      </c>
      <c r="AK142" s="119" t="str">
        <f>ROUND(AH142+AG142+AD142,2)</f>
        <v>#REF!</v>
      </c>
      <c r="AL142" s="595"/>
      <c r="AM142" s="595"/>
      <c r="AN142" s="595"/>
      <c r="AO142" s="595"/>
      <c r="AP142" s="595"/>
      <c r="AQ142" s="595"/>
      <c r="AR142" s="595"/>
      <c r="AS142" s="595"/>
      <c r="AT142" s="595"/>
      <c r="AU142" s="595"/>
      <c r="AV142" s="595"/>
      <c r="AW142" s="595"/>
      <c r="AX142" s="595"/>
      <c r="AY142" s="595"/>
      <c r="AZ142" s="595"/>
      <c r="BA142" s="595"/>
      <c r="BB142" s="595"/>
      <c r="BC142" s="595"/>
      <c r="BD142" s="595"/>
      <c r="BE142" s="595"/>
      <c r="BF142" s="595"/>
      <c r="BG142" s="595"/>
      <c r="BH142" s="595"/>
      <c r="BI142" s="651"/>
      <c r="BJ142" s="651"/>
      <c r="BK142" s="651"/>
      <c r="BL142" s="651"/>
      <c r="BM142" s="651"/>
      <c r="BN142" s="651"/>
      <c r="BO142" s="651"/>
      <c r="BP142" s="651"/>
      <c r="BQ142" s="651"/>
      <c r="BR142" s="651"/>
      <c r="BS142" s="651"/>
      <c r="BT142" s="651"/>
    </row>
    <row r="143">
      <c r="A143" s="716" t="s">
        <v>491</v>
      </c>
      <c r="B143" s="154" t="str">
        <f>IFERROR(__xludf.DUMMYFUNCTION("IFERROR(
  IF(C143="""","""",
    IF(OR(REGEXMATCH(D143,""(?i)-Flashing""), REGEXMATCH(D143,""(?i)-EavesGut""), REGEXMATCH(D143,""(?i)Valley"")),
        ""DR"" &amp;
        TEXT(
            ROUNDUP(
                MIN(
                    VALUE(MID(C143, "&amp;"FIND(""("",C143)+1, FIND(""/"",C143)-FIND(""("",C143)-1)),
                    1200
                ) / 50, 0
            ) * 50, ""0""
        ) &amp;
        MID(C143, FIND(""/"",C143)+1, FIND("")"",C143)-FIND(""/"",C143)-1) &amp;
        TEXT(H143*100,""0"") &amp;"&amp;"
        I143,
    IF(AND(D143=""Roof Sheet"", REGEXMATCH(C143,""(?i)KS\d{4}[A-Z]{2}"")),
       REGEXEXTRACT(C143,""(?i)KS\d{4}[A-Z]{2}""),
    IF(AND(REGEXMATCH(D143,""(?i)-DP""), REGEXMATCH(C143,""(?i)Downpipe"")),
       ""dp"" &amp; REGEXEXTRACT(C143,""("&amp;"\d+)"") &amp; ""mm"",
    IF(AND(REGEXMATCH(D143,""(?i)Bracket""), REGEXMATCH(C143,""(?i)Bracket"")),
       ""Brkt"" &amp; REGEXEXTRACT(C143,""(\d+)"") &amp; ""mm"",
    IF(AND(REGEXMATCH(D143,""(?i)-OP""), REGEXMATCH(C143,""(?i)pops"")),
       ""op"" &amp; REGEXEXTRAC"&amp;"T(C143,""(\d+)"") &amp; ""mm"",
    IF(OR(D143=""R-FFTop"", D143=""R-FFBottom"", D143=""R-FFSide""),
        IF(REGEXMATCH(C143,""(?i)Profiled.*Top|Top.*Profiled""),""pfft"",
        IF(REGEXMATCH(C143,""(?i)Profiled.*Bottom|Bottom.*Profiled""),""pffb"",
    "&amp;"    IF(REGEXMATCH(C143,""(?i)Square""),""sff"",""""))),
    IF(REGEXMATCH(D143,""(?i)-Rivets""),""Rvt"",
    IF(REGEXMATCH(D143,""(?i)Silicone|Seal""),""300ml"",
    IF(REGEXMATCH(D143,""(?i)R-Butyl""),""300ml"",
    IF(REGEXMATCH(D143,""(?i)Fix""),""GenF"&amp;"ix"",
    IF(AND(REGEXMATCH(C143,""(?i)Timber""), REGEXMATCH(D143,""(?i)Timber"")),""tp"",
    IF(AND(REGEXMATCH(C143,""(?i)Vent G1275""), REGEXMATCH(D143,""(?i)Comb FIller"")),""CFV1275"",
    IF(REGEXMATCH(C143,""(?i)DPC""),""dpc"",
    IF(REGEXMATCH(C1"&amp;"43,""(?i)Concealed Clips""),""ConClips"",
    IF(REGEXMATCH(D143,""(?i)-Takeoff ea""),""Takeoff ea"",
    IF(REGEXMATCH(D143,""(?i)-Takeoff LM""),""Takeoff LM"",
    IF(REGEXMATCH(D143,""(?i)-Takeoff m2""),""Takeoff m2"",
    IF(D143=""R-TU/TD"",""TU/TD"""&amp;","""")))))))))))))))))
  )))"),"dp150mm")</f>
        <v>dp150mm</v>
      </c>
      <c r="C143" s="123" t="s">
        <v>138</v>
      </c>
      <c r="D143" s="124" t="s">
        <v>139</v>
      </c>
      <c r="E143" s="725"/>
      <c r="F143" s="699"/>
      <c r="G143" s="689" t="s">
        <v>429</v>
      </c>
      <c r="H143" s="700"/>
      <c r="I143" s="700"/>
      <c r="J143" s="126" t="s">
        <v>14</v>
      </c>
      <c r="K143" s="126" t="str">
        <f>IFERROR(
  IF(B143="", "", VLOOKUP(B143, Data!$B$2:$K$905, 7, FALSE)),
  ""
)</f>
        <v/>
      </c>
      <c r="L143" s="131">
        <v>21.0</v>
      </c>
      <c r="M143" s="150">
        <f t="shared" ref="M143:M144" si="92">L143</f>
        <v>21</v>
      </c>
      <c r="N143" s="156">
        <v>1.8</v>
      </c>
      <c r="O143" s="759">
        <v>6.0</v>
      </c>
      <c r="P143" s="156">
        <v>1.0</v>
      </c>
      <c r="Q143" s="242">
        <f t="shared" ref="Q143:Q144" si="93">M143*N143*O143*P143</f>
        <v>226.8</v>
      </c>
      <c r="R143" s="136" t="str">
        <f>IFERROR(
  IF(B143="", "", VLOOKUP(B143, Data!$B$2:$K$905, 9, FALSE)),
  ""
)</f>
        <v/>
      </c>
      <c r="S143" s="152">
        <f t="shared" ref="S143:S144" si="94">R143*Q143</f>
        <v>0</v>
      </c>
      <c r="T143" s="690"/>
      <c r="U143" s="136" t="str">
        <f>IFERROR(
  IF(B143="", "", VLOOKUP(B143, Data!$B$2:$K$905, 10, FALSE)),
  ""
)
</f>
        <v/>
      </c>
      <c r="V143" s="691"/>
      <c r="W143" s="140">
        <f t="shared" ref="W143:W144" si="95">U143*Q143</f>
        <v>0</v>
      </c>
      <c r="X143" s="693"/>
      <c r="Y143" s="595"/>
      <c r="Z143" s="595"/>
      <c r="AA143" s="595"/>
      <c r="AB143" s="354">
        <f t="shared" ref="AB143:AB148" si="96">W143+S143</f>
        <v>0</v>
      </c>
      <c r="AC143" s="181"/>
      <c r="AD143" s="625"/>
      <c r="AE143" s="626"/>
      <c r="AF143" s="696"/>
      <c r="AG143" s="628"/>
      <c r="AH143" s="629"/>
      <c r="AI143" s="187"/>
      <c r="AJ143" s="630"/>
      <c r="AK143" s="630"/>
      <c r="AL143" s="595"/>
      <c r="AM143" s="595"/>
      <c r="AN143" s="595"/>
      <c r="AO143" s="595"/>
      <c r="AP143" s="595"/>
      <c r="AQ143" s="595"/>
      <c r="AR143" s="595"/>
      <c r="AS143" s="595"/>
      <c r="AT143" s="595"/>
      <c r="AU143" s="595"/>
      <c r="AV143" s="595"/>
      <c r="AW143" s="595"/>
      <c r="AX143" s="595"/>
      <c r="AY143" s="595"/>
      <c r="AZ143" s="595"/>
      <c r="BA143" s="595"/>
      <c r="BB143" s="595"/>
      <c r="BC143" s="595"/>
      <c r="BD143" s="595"/>
      <c r="BE143" s="595"/>
      <c r="BF143" s="595"/>
      <c r="BG143" s="595"/>
      <c r="BH143" s="595"/>
      <c r="BI143" s="651"/>
      <c r="BJ143" s="651"/>
      <c r="BK143" s="651"/>
      <c r="BL143" s="651"/>
      <c r="BM143" s="651"/>
      <c r="BN143" s="651"/>
      <c r="BO143" s="651"/>
      <c r="BP143" s="651"/>
      <c r="BQ143" s="651"/>
      <c r="BR143" s="651"/>
      <c r="BS143" s="651"/>
      <c r="BT143" s="651"/>
    </row>
    <row r="144">
      <c r="A144" s="716" t="s">
        <v>491</v>
      </c>
      <c r="B144" s="154" t="str">
        <f>IFERROR(__xludf.DUMMYFUNCTION("IFERROR(
  IF(C144="""","""",
    IF(OR(REGEXMATCH(D144,""(?i)-Flashing""), REGEXMATCH(D144,""(?i)-EavesGut""), REGEXMATCH(D144,""(?i)Valley"")),
        ""DR"" &amp;
        TEXT(
            ROUNDUP(
                MIN(
                    VALUE(MID(C144, "&amp;"FIND(""("",C144)+1, FIND(""/"",C144)-FIND(""("",C144)-1)),
                    1200
                ) / 50, 0
            ) * 50, ""0""
        ) &amp;
        MID(C144, FIND(""/"",C144)+1, FIND("")"",C144)-FIND(""/"",C144)-1) &amp;
        TEXT(H144*100,""0"") &amp;"&amp;"
        I144,
    IF(AND(D144=""Roof Sheet"", REGEXMATCH(C144,""(?i)KS\d{4}[A-Z]{2}"")),
       REGEXEXTRACT(C144,""(?i)KS\d{4}[A-Z]{2}""),
    IF(AND(REGEXMATCH(D144,""(?i)-DP""), REGEXMATCH(C144,""(?i)Downpipe"")),
       ""dp"" &amp; REGEXEXTRACT(C144,""("&amp;"\d+)"") &amp; ""mm"",
    IF(AND(REGEXMATCH(D144,""(?i)Bracket""), REGEXMATCH(C144,""(?i)Bracket"")),
       ""Brkt"" &amp; REGEXEXTRACT(C144,""(\d+)"") &amp; ""mm"",
    IF(AND(REGEXMATCH(D144,""(?i)-OP""), REGEXMATCH(C144,""(?i)pops"")),
       ""op"" &amp; REGEXEXTRAC"&amp;"T(C144,""(\d+)"") &amp; ""mm"",
    IF(OR(D144=""R-FFTop"", D144=""R-FFBottom"", D144=""R-FFSide""),
        IF(REGEXMATCH(C144,""(?i)Profiled.*Top|Top.*Profiled""),""pfft"",
        IF(REGEXMATCH(C144,""(?i)Profiled.*Bottom|Bottom.*Profiled""),""pffb"",
    "&amp;"    IF(REGEXMATCH(C144,""(?i)Square""),""sff"",""""))),
    IF(REGEXMATCH(D144,""(?i)-Rivets""),""Rvt"",
    IF(REGEXMATCH(D144,""(?i)Silicone|Seal""),""300ml"",
    IF(REGEXMATCH(D144,""(?i)R-Butyl""),""300ml"",
    IF(REGEXMATCH(D144,""(?i)Fix""),""GenF"&amp;"ix"",
    IF(AND(REGEXMATCH(C144,""(?i)Timber""), REGEXMATCH(D144,""(?i)Timber"")),""tp"",
    IF(AND(REGEXMATCH(C144,""(?i)Vent G1275""), REGEXMATCH(D144,""(?i)Comb FIller"")),""CFV1275"",
    IF(REGEXMATCH(C144,""(?i)DPC""),""dpc"",
    IF(REGEXMATCH(C1"&amp;"44,""(?i)Concealed Clips""),""ConClips"",
    IF(REGEXMATCH(D144,""(?i)-Takeoff ea""),""Takeoff ea"",
    IF(REGEXMATCH(D144,""(?i)-Takeoff LM""),""Takeoff LM"",
    IF(REGEXMATCH(D144,""(?i)-Takeoff m2""),""Takeoff m2"",
    IF(D144=""R-TU/TD"",""TU/TD"""&amp;","""")))))))))))))))))
  )))"),"Brkt150mm")</f>
        <v>Brkt150mm</v>
      </c>
      <c r="C144" s="123" t="s">
        <v>140</v>
      </c>
      <c r="D144" s="124" t="s">
        <v>141</v>
      </c>
      <c r="E144" s="725"/>
      <c r="F144" s="699"/>
      <c r="G144" s="158"/>
      <c r="H144" s="700"/>
      <c r="I144" s="700"/>
      <c r="J144" s="126" t="s">
        <v>87</v>
      </c>
      <c r="K144" s="126" t="str">
        <f>IFERROR(
  IF(B144="", "", VLOOKUP(B144, Data!$B$2:$K$905, 7, FALSE)),
  ""
)</f>
        <v/>
      </c>
      <c r="L144" s="135">
        <f>L143</f>
        <v>21</v>
      </c>
      <c r="M144" s="150">
        <f t="shared" si="92"/>
        <v>21</v>
      </c>
      <c r="N144" s="151">
        <v>1.0</v>
      </c>
      <c r="O144" s="169">
        <f>O143</f>
        <v>6</v>
      </c>
      <c r="P144" s="134">
        <v>1.0</v>
      </c>
      <c r="Q144" s="242">
        <f t="shared" si="93"/>
        <v>126</v>
      </c>
      <c r="R144" s="136" t="str">
        <f>IFERROR(
  IF(B144="", "", VLOOKUP(B144, Data!$B$2:$K$905, 9, FALSE)),
  ""
)</f>
        <v/>
      </c>
      <c r="S144" s="152">
        <f t="shared" si="94"/>
        <v>0</v>
      </c>
      <c r="T144" s="690"/>
      <c r="U144" s="136" t="str">
        <f>IFERROR(
  IF(B144="", "", VLOOKUP(B144, Data!$B$2:$K$905, 10, FALSE)),
  ""
)
</f>
        <v/>
      </c>
      <c r="V144" s="691"/>
      <c r="W144" s="140">
        <f t="shared" si="95"/>
        <v>0</v>
      </c>
      <c r="X144" s="692"/>
      <c r="Y144" s="595"/>
      <c r="Z144" s="595"/>
      <c r="AA144" s="595"/>
      <c r="AB144" s="354">
        <f t="shared" si="96"/>
        <v>0</v>
      </c>
      <c r="AC144" s="181"/>
      <c r="AD144" s="625"/>
      <c r="AE144" s="626"/>
      <c r="AF144" s="696"/>
      <c r="AG144" s="628"/>
      <c r="AH144" s="629"/>
      <c r="AI144" s="187"/>
      <c r="AJ144" s="630"/>
      <c r="AK144" s="630"/>
      <c r="AL144" s="595"/>
      <c r="AM144" s="595"/>
      <c r="AN144" s="595"/>
      <c r="AO144" s="595"/>
      <c r="AP144" s="595"/>
      <c r="AQ144" s="595"/>
      <c r="AR144" s="595"/>
      <c r="AS144" s="595"/>
      <c r="AT144" s="595"/>
      <c r="AU144" s="595"/>
      <c r="AV144" s="595"/>
      <c r="AW144" s="595"/>
      <c r="AX144" s="595"/>
      <c r="AY144" s="595"/>
      <c r="AZ144" s="595"/>
      <c r="BA144" s="595"/>
      <c r="BB144" s="595"/>
      <c r="BC144" s="595"/>
      <c r="BD144" s="595"/>
      <c r="BE144" s="595"/>
      <c r="BF144" s="595"/>
      <c r="BG144" s="595"/>
      <c r="BH144" s="595"/>
      <c r="BI144" s="651"/>
      <c r="BJ144" s="651"/>
      <c r="BK144" s="651"/>
      <c r="BL144" s="651"/>
      <c r="BM144" s="651"/>
      <c r="BN144" s="651"/>
      <c r="BO144" s="651"/>
      <c r="BP144" s="651"/>
      <c r="BQ144" s="651"/>
      <c r="BR144" s="651"/>
      <c r="BS144" s="651"/>
      <c r="BT144" s="651"/>
    </row>
    <row r="145">
      <c r="A145" s="631"/>
      <c r="B145" s="154" t="str">
        <f>IFERROR(__xludf.DUMMYFUNCTION("IFERROR(
  IF(C145="""","""",
    IF(OR(REGEXMATCH(D145,""(?i)-Flashing""), REGEXMATCH(D145,""(?i)-EavesGut""), REGEXMATCH(D145,""(?i)Valley"")),
        ""DR"" &amp;
        TEXT(
            ROUNDUP(
                MIN(
                    VALUE(MID(C145, "&amp;"FIND(""("",C145)+1, FIND(""/"",C145)-FIND(""("",C145)-1)),
                    1200
                ) / 50, 0
            ) * 50, ""0""
        ) &amp;
        MID(C145, FIND(""/"",C145)+1, FIND("")"",C145)-FIND(""/"",C145)-1) &amp;
        TEXT(H145*100,""0"") &amp;"&amp;"
        I145,
    IF(AND(D145=""Roof Sheet"", REGEXMATCH(C145,""(?i)KS\d{4}[A-Z]{2}"")),
       REGEXEXTRACT(C145,""(?i)KS\d{4}[A-Z]{2}""),
    IF(AND(REGEXMATCH(D145,""(?i)-DP""), REGEXMATCH(C145,""(?i)Downpipe"")),
       ""dp"" &amp; REGEXEXTRACT(C145,""("&amp;"\d+)"") &amp; ""mm"",
    IF(AND(REGEXMATCH(D145,""(?i)Bracket""), REGEXMATCH(C145,""(?i)Bracket"")),
       ""Brkt"" &amp; REGEXEXTRACT(C145,""(\d+)"") &amp; ""mm"",
    IF(AND(REGEXMATCH(D145,""(?i)-OP""), REGEXMATCH(C145,""(?i)pops"")),
       ""op"" &amp; REGEXEXTRAC"&amp;"T(C145,""(\d+)"") &amp; ""mm"",
    IF(OR(D145=""R-FFTop"", D145=""R-FFBottom"", D145=""R-FFSide""),
        IF(REGEXMATCH(C145,""(?i)Profiled.*Top|Top.*Profiled""),""pfft"",
        IF(REGEXMATCH(C145,""(?i)Profiled.*Bottom|Bottom.*Profiled""),""pffb"",
    "&amp;"    IF(REGEXMATCH(C145,""(?i)Square""),""sff"",""""))),
    IF(REGEXMATCH(D145,""(?i)-Rivets""),""Rvt"",
    IF(REGEXMATCH(D145,""(?i)Silicone|Seal""),""300ml"",
    IF(REGEXMATCH(D145,""(?i)R-Butyl""),""300ml"",
    IF(REGEXMATCH(D145,""(?i)Fix""),""GenF"&amp;"ix"",
    IF(AND(REGEXMATCH(C145,""(?i)Timber""), REGEXMATCH(D145,""(?i)Timber"")),""tp"",
    IF(AND(REGEXMATCH(C145,""(?i)Vent G1275""), REGEXMATCH(D145,""(?i)Comb FIller"")),""CFV1275"",
    IF(REGEXMATCH(C145,""(?i)DPC""),""dpc"",
    IF(REGEXMATCH(C1"&amp;"45,""(?i)Concealed Clips""),""ConClips"",
    IF(REGEXMATCH(D145,""(?i)-Takeoff ea""),""Takeoff ea"",
    IF(REGEXMATCH(D145,""(?i)-Takeoff LM""),""Takeoff LM"",
    IF(REGEXMATCH(D145,""(?i)-Takeoff m2""),""Takeoff m2"",
    IF(D145=""R-TU/TD"",""TU/TD"""&amp;","""")))))))))))))))))
  )))"),"")</f>
        <v/>
      </c>
      <c r="C145" s="701"/>
      <c r="D145" s="701"/>
      <c r="E145" s="722"/>
      <c r="F145" s="699"/>
      <c r="G145" s="158"/>
      <c r="H145" s="700"/>
      <c r="I145" s="700"/>
      <c r="J145" s="701"/>
      <c r="K145" s="126" t="str">
        <f>IFERROR(
  IF(B145="", "", VLOOKUP(B145, Data!$B$2:$K$905, 7, FALSE)),
  ""
)</f>
        <v/>
      </c>
      <c r="L145" s="704"/>
      <c r="M145" s="704" t="s">
        <v>42</v>
      </c>
      <c r="N145" s="711" t="str">
        <f>IFERROR(__xludf.DUMMYFUNCTION("IF(B145="""", """", IFERROR(1 / COS(RADIANS(REGEXEXTRACT(F145,""(\d+)""))), 1))"),"")</f>
        <v/>
      </c>
      <c r="O145" s="712"/>
      <c r="P145" s="700"/>
      <c r="Q145" s="242"/>
      <c r="R145" s="136" t="str">
        <f>IFERROR(
  IF(B145="", "", VLOOKUP(B145, Data!$B$2:$K$905, 9, FALSE)),
  ""
)</f>
        <v/>
      </c>
      <c r="S145" s="152"/>
      <c r="T145" s="690"/>
      <c r="U145" s="136" t="str">
        <f>IFERROR(
  IF(B145="", "", VLOOKUP(B145, Data!$B$2:$K$905, 10, FALSE)),
  ""
)
</f>
        <v/>
      </c>
      <c r="V145" s="691"/>
      <c r="W145" s="713"/>
      <c r="X145" s="692"/>
      <c r="Y145" s="595"/>
      <c r="Z145" s="595"/>
      <c r="AA145" s="595"/>
      <c r="AB145" s="354">
        <f t="shared" si="96"/>
        <v>0</v>
      </c>
      <c r="AC145" s="181"/>
      <c r="AD145" s="625"/>
      <c r="AE145" s="626"/>
      <c r="AF145" s="696"/>
      <c r="AG145" s="628"/>
      <c r="AH145" s="629"/>
      <c r="AI145" s="187"/>
      <c r="AJ145" s="630"/>
      <c r="AK145" s="630"/>
      <c r="AL145" s="595"/>
      <c r="AM145" s="595"/>
      <c r="AN145" s="595"/>
      <c r="AO145" s="595"/>
      <c r="AP145" s="595"/>
      <c r="AQ145" s="595"/>
      <c r="AR145" s="595"/>
      <c r="AS145" s="595"/>
      <c r="AT145" s="595"/>
      <c r="AU145" s="595"/>
      <c r="AV145" s="595"/>
      <c r="AW145" s="595"/>
      <c r="AX145" s="595"/>
      <c r="AY145" s="595"/>
      <c r="AZ145" s="595"/>
      <c r="BA145" s="595"/>
      <c r="BB145" s="595"/>
      <c r="BC145" s="595"/>
      <c r="BD145" s="595"/>
      <c r="BE145" s="595"/>
      <c r="BF145" s="595"/>
      <c r="BG145" s="595"/>
      <c r="BH145" s="595"/>
      <c r="BI145" s="651"/>
      <c r="BJ145" s="651"/>
      <c r="BK145" s="651"/>
      <c r="BL145" s="651"/>
      <c r="BM145" s="651"/>
      <c r="BN145" s="651"/>
      <c r="BO145" s="651"/>
      <c r="BP145" s="651"/>
      <c r="BQ145" s="651"/>
      <c r="BR145" s="651"/>
      <c r="BS145" s="651"/>
      <c r="BT145" s="651"/>
    </row>
    <row r="146">
      <c r="A146" s="716" t="s">
        <v>491</v>
      </c>
      <c r="B146" s="154" t="str">
        <f>IFERROR(__xludf.DUMMYFUNCTION("IFERROR(
  IF(C146="""","""",
    IF(OR(REGEXMATCH(D146,""(?i)-Flashing""), REGEXMATCH(D146,""(?i)-EavesGut""), REGEXMATCH(D146,""(?i)Valley"")),
        ""DR"" &amp;
        TEXT(
            ROUNDUP(
                MIN(
                    VALUE(MID(C146, "&amp;"FIND(""("",C146)+1, FIND(""/"",C146)-FIND(""("",C146)-1)),
                    1200
                ) / 50, 0
            ) * 50, ""0""
        ) &amp;
        MID(C146, FIND(""/"",C146)+1, FIND("")"",C146)-FIND(""/"",C146)-1) &amp;
        TEXT(H146*100,""0"") &amp;"&amp;"
        I146,
    IF(AND(D146=""Roof Sheet"", REGEXMATCH(C146,""(?i)KS\d{4}[A-Z]{2}"")),
       REGEXEXTRACT(C146,""(?i)KS\d{4}[A-Z]{2}""),
    IF(AND(REGEXMATCH(D146,""(?i)-DP""), REGEXMATCH(C146,""(?i)Downpipe"")),
       ""dp"" &amp; REGEXEXTRACT(C146,""("&amp;"\d+)"") &amp; ""mm"",
    IF(AND(REGEXMATCH(D146,""(?i)Bracket""), REGEXMATCH(C146,""(?i)Bracket"")),
       ""Brkt"" &amp; REGEXEXTRACT(C146,""(\d+)"") &amp; ""mm"",
    IF(AND(REGEXMATCH(D146,""(?i)-OP""), REGEXMATCH(C146,""(?i)pops"")),
       ""op"" &amp; REGEXEXTRAC"&amp;"T(C146,""(\d+)"") &amp; ""mm"",
    IF(OR(D146=""R-FFTop"", D146=""R-FFBottom"", D146=""R-FFSide""),
        IF(REGEXMATCH(C146,""(?i)Profiled.*Top|Top.*Profiled""),""pfft"",
        IF(REGEXMATCH(C146,""(?i)Profiled.*Bottom|Bottom.*Profiled""),""pffb"",
    "&amp;"    IF(REGEXMATCH(C146,""(?i)Square""),""sff"",""""))),
    IF(REGEXMATCH(D146,""(?i)-Rivets""),""Rvt"",
    IF(REGEXMATCH(D146,""(?i)Silicone|Seal""),""300ml"",
    IF(REGEXMATCH(D146,""(?i)R-Butyl""),""300ml"",
    IF(REGEXMATCH(D146,""(?i)Fix""),""GenF"&amp;"ix"",
    IF(AND(REGEXMATCH(C146,""(?i)Timber""), REGEXMATCH(D146,""(?i)Timber"")),""tp"",
    IF(AND(REGEXMATCH(C146,""(?i)Vent G1275""), REGEXMATCH(D146,""(?i)Comb FIller"")),""CFV1275"",
    IF(REGEXMATCH(C146,""(?i)DPC""),""dpc"",
    IF(REGEXMATCH(C1"&amp;"46,""(?i)Concealed Clips""),""ConClips"",
    IF(REGEXMATCH(D146,""(?i)-Takeoff ea""),""Takeoff ea"",
    IF(REGEXMATCH(D146,""(?i)-Takeoff LM""),""Takeoff LM"",
    IF(REGEXMATCH(D146,""(?i)-Takeoff m2""),""Takeoff m2"",
    IF(D146=""R-TU/TD"",""TU/TD"""&amp;","""")))))))))))))))))
  )))"),"op150mm")</f>
        <v>op150mm</v>
      </c>
      <c r="C146" s="123" t="s">
        <v>142</v>
      </c>
      <c r="D146" s="124" t="s">
        <v>143</v>
      </c>
      <c r="E146" s="687">
        <f>IFERROR(__xludf.DUMMYFUNCTION("IF(REGEXMATCH(C146, ""\d+mmØ""), VALUE(REGEXEXTRACT(C146, ""(\d+)mmØ""))/1000, """")
"),0.15)</f>
        <v>0.15</v>
      </c>
      <c r="F146" s="699"/>
      <c r="G146" s="158"/>
      <c r="H146" s="700"/>
      <c r="I146" s="700"/>
      <c r="J146" s="126" t="s">
        <v>87</v>
      </c>
      <c r="K146" s="126" t="str">
        <f>IFERROR(
  IF(B146="", "", VLOOKUP(B146, Data!$B$2:$K$905, 7, FALSE)),
  ""
)</f>
        <v/>
      </c>
      <c r="L146" s="704"/>
      <c r="M146" s="150">
        <v>1.0</v>
      </c>
      <c r="N146" s="151">
        <f>IFERROR(__xludf.DUMMYFUNCTION("IF(B146="""", """", IFERROR(1 / COS(RADIANS(REGEXEXTRACT(F146,""(\d+)""))), 1))"),1.0)</f>
        <v>1</v>
      </c>
      <c r="O146" s="759">
        <f>L144</f>
        <v>21</v>
      </c>
      <c r="P146" s="134">
        <v>1.0</v>
      </c>
      <c r="Q146" s="242">
        <f t="shared" ref="Q146:Q148" si="97">M146*N146*O146*P146</f>
        <v>21</v>
      </c>
      <c r="R146" s="136" t="str">
        <f>IFERROR(
  IF(B146="", "", VLOOKUP(B146, Data!$B$2:$K$905, 9, FALSE)),
  ""
)</f>
        <v/>
      </c>
      <c r="S146" s="152">
        <f t="shared" ref="S146:S148" si="98">R146*Q146</f>
        <v>0</v>
      </c>
      <c r="T146" s="690"/>
      <c r="U146" s="136" t="str">
        <f>IFERROR(
  IF(B146="", "", VLOOKUP(B146, Data!$B$2:$K$905, 10, FALSE)),
  ""
)
</f>
        <v/>
      </c>
      <c r="V146" s="691"/>
      <c r="W146" s="140">
        <f t="shared" ref="W146:W148" si="99">U146*Q146</f>
        <v>0</v>
      </c>
      <c r="X146" s="692"/>
      <c r="Y146" s="595"/>
      <c r="Z146" s="595"/>
      <c r="AA146" s="595"/>
      <c r="AB146" s="354">
        <f t="shared" si="96"/>
        <v>0</v>
      </c>
      <c r="AC146" s="181"/>
      <c r="AD146" s="625"/>
      <c r="AE146" s="626"/>
      <c r="AF146" s="696"/>
      <c r="AG146" s="628"/>
      <c r="AH146" s="629"/>
      <c r="AI146" s="187"/>
      <c r="AJ146" s="630"/>
      <c r="AK146" s="630"/>
      <c r="AL146" s="595"/>
      <c r="AM146" s="595"/>
      <c r="AN146" s="595"/>
      <c r="AO146" s="595"/>
      <c r="AP146" s="595"/>
      <c r="AQ146" s="595"/>
      <c r="AR146" s="595"/>
      <c r="AS146" s="595"/>
      <c r="AT146" s="595"/>
      <c r="AU146" s="595"/>
      <c r="AV146" s="595"/>
      <c r="AW146" s="595"/>
      <c r="AX146" s="595"/>
      <c r="AY146" s="595"/>
      <c r="AZ146" s="595"/>
      <c r="BA146" s="595"/>
      <c r="BB146" s="595"/>
      <c r="BC146" s="595"/>
      <c r="BD146" s="595"/>
      <c r="BE146" s="595"/>
      <c r="BF146" s="595"/>
      <c r="BG146" s="595"/>
      <c r="BH146" s="595"/>
      <c r="BI146" s="651"/>
      <c r="BJ146" s="651"/>
      <c r="BK146" s="651"/>
      <c r="BL146" s="651"/>
      <c r="BM146" s="651"/>
      <c r="BN146" s="651"/>
      <c r="BO146" s="651"/>
      <c r="BP146" s="651"/>
      <c r="BQ146" s="651"/>
      <c r="BR146" s="651"/>
      <c r="BS146" s="651"/>
      <c r="BT146" s="651"/>
    </row>
    <row r="147">
      <c r="A147" s="631"/>
      <c r="B147" s="154" t="str">
        <f>IFERROR(__xludf.DUMMYFUNCTION("IFERROR(
  IF(C147="""","""",
    IF(OR(REGEXMATCH(D147,""(?i)-Flashing""), REGEXMATCH(D147,""(?i)-EavesGut""), REGEXMATCH(D147,""(?i)Valley"")),
        ""DR"" &amp;
        TEXT(
            ROUNDUP(
                MIN(
                    VALUE(MID(C147, "&amp;"FIND(""("",C147)+1, FIND(""/"",C147)-FIND(""("",C147)-1)),
                    1200
                ) / 50, 0
            ) * 50, ""0""
        ) &amp;
        MID(C147, FIND(""/"",C147)+1, FIND("")"",C147)-FIND(""/"",C147)-1) &amp;
        TEXT(H147*100,""0"") &amp;"&amp;"
        I147,
    IF(AND(D147=""Roof Sheet"", REGEXMATCH(C147,""(?i)KS\d{4}[A-Z]{2}"")),
       REGEXEXTRACT(C147,""(?i)KS\d{4}[A-Z]{2}""),
    IF(AND(REGEXMATCH(D147,""(?i)-DP""), REGEXMATCH(C147,""(?i)Downpipe"")),
       ""dp"" &amp; REGEXEXTRACT(C147,""("&amp;"\d+)"") &amp; ""mm"",
    IF(AND(REGEXMATCH(D147,""(?i)Bracket""), REGEXMATCH(C147,""(?i)Bracket"")),
       ""Brkt"" &amp; REGEXEXTRACT(C147,""(\d+)"") &amp; ""mm"",
    IF(AND(REGEXMATCH(D147,""(?i)-OP""), REGEXMATCH(C147,""(?i)pops"")),
       ""op"" &amp; REGEXEXTRAC"&amp;"T(C147,""(\d+)"") &amp; ""mm"",
    IF(OR(D147=""R-FFTop"", D147=""R-FFBottom"", D147=""R-FFSide""),
        IF(REGEXMATCH(C147,""(?i)Profiled.*Top|Top.*Profiled""),""pfft"",
        IF(REGEXMATCH(C147,""(?i)Profiled.*Bottom|Bottom.*Profiled""),""pffb"",
    "&amp;"    IF(REGEXMATCH(C147,""(?i)Square""),""sff"",""""))),
    IF(REGEXMATCH(D147,""(?i)-Rivets""),""Rvt"",
    IF(REGEXMATCH(D147,""(?i)Silicone|Seal""),""300ml"",
    IF(REGEXMATCH(D147,""(?i)R-Butyl""),""300ml"",
    IF(REGEXMATCH(D147,""(?i)Fix""),""GenF"&amp;"ix"",
    IF(AND(REGEXMATCH(C147,""(?i)Timber""), REGEXMATCH(D147,""(?i)Timber"")),""tp"",
    IF(AND(REGEXMATCH(C147,""(?i)Vent G1275""), REGEXMATCH(D147,""(?i)Comb FIller"")),""CFV1275"",
    IF(REGEXMATCH(C147,""(?i)DPC""),""dpc"",
    IF(REGEXMATCH(C1"&amp;"47,""(?i)Concealed Clips""),""ConClips"",
    IF(REGEXMATCH(D147,""(?i)-Takeoff ea""),""Takeoff ea"",
    IF(REGEXMATCH(D147,""(?i)-Takeoff LM""),""Takeoff LM"",
    IF(REGEXMATCH(D147,""(?i)-Takeoff m2""),""Takeoff m2"",
    IF(D147=""R-TU/TD"",""TU/TD"""&amp;","""")))))))))))))))))
  )))"),"300ml")</f>
        <v>300ml</v>
      </c>
      <c r="C147" s="225" t="s">
        <v>98</v>
      </c>
      <c r="D147" s="124" t="s">
        <v>388</v>
      </c>
      <c r="E147" s="687">
        <f>E146</f>
        <v>0.15</v>
      </c>
      <c r="F147" s="699"/>
      <c r="G147" s="158"/>
      <c r="H147" s="700"/>
      <c r="I147" s="700"/>
      <c r="J147" s="126" t="s">
        <v>87</v>
      </c>
      <c r="K147" s="126" t="str">
        <f>IFERROR(
  IF(B147="", "", VLOOKUP(B147, Data!$B$2:$K$905, 7, FALSE)),
  ""
)</f>
        <v/>
      </c>
      <c r="L147" s="704"/>
      <c r="M147" s="150">
        <f>ROUNDUP(3.14*E147,0)/8</f>
        <v>0.125</v>
      </c>
      <c r="N147" s="151">
        <f>IFERROR(__xludf.DUMMYFUNCTION("IF(B147="""", """", IFERROR(1 / COS(RADIANS(REGEXEXTRACT(F147,""(\d+)""))), 1))"),1.0)</f>
        <v>1</v>
      </c>
      <c r="O147" s="169">
        <f>O146</f>
        <v>21</v>
      </c>
      <c r="P147" s="134">
        <v>1.0</v>
      </c>
      <c r="Q147" s="242">
        <f t="shared" si="97"/>
        <v>2.625</v>
      </c>
      <c r="R147" s="136" t="str">
        <f>IFERROR(
  IF(B147="", "", VLOOKUP(B147, Data!$B$2:$K$905, 9, FALSE)),
  ""
)</f>
        <v/>
      </c>
      <c r="S147" s="152">
        <f t="shared" si="98"/>
        <v>0</v>
      </c>
      <c r="T147" s="690"/>
      <c r="U147" s="136" t="str">
        <f>IFERROR(
  IF(B147="", "", VLOOKUP(B147, Data!$B$2:$K$905, 10, FALSE)),
  ""
)
</f>
        <v/>
      </c>
      <c r="V147" s="691"/>
      <c r="W147" s="140">
        <f t="shared" si="99"/>
        <v>0</v>
      </c>
      <c r="X147" s="692"/>
      <c r="Y147" s="595"/>
      <c r="Z147" s="595"/>
      <c r="AA147" s="595"/>
      <c r="AB147" s="354">
        <f t="shared" si="96"/>
        <v>0</v>
      </c>
      <c r="AC147" s="181"/>
      <c r="AD147" s="625"/>
      <c r="AE147" s="626"/>
      <c r="AF147" s="696"/>
      <c r="AG147" s="628"/>
      <c r="AH147" s="629"/>
      <c r="AI147" s="187"/>
      <c r="AJ147" s="630"/>
      <c r="AK147" s="630"/>
      <c r="AL147" s="595"/>
      <c r="AM147" s="595"/>
      <c r="AN147" s="595"/>
      <c r="AO147" s="595"/>
      <c r="AP147" s="595"/>
      <c r="AQ147" s="595"/>
      <c r="AR147" s="595"/>
      <c r="AS147" s="595"/>
      <c r="AT147" s="595"/>
      <c r="AU147" s="595"/>
      <c r="AV147" s="595"/>
      <c r="AW147" s="595"/>
      <c r="AX147" s="595"/>
      <c r="AY147" s="595"/>
      <c r="AZ147" s="595"/>
      <c r="BA147" s="595"/>
      <c r="BB147" s="595"/>
      <c r="BC147" s="595"/>
      <c r="BD147" s="595"/>
      <c r="BE147" s="595"/>
      <c r="BF147" s="595"/>
      <c r="BG147" s="595"/>
      <c r="BH147" s="595"/>
      <c r="BI147" s="651"/>
      <c r="BJ147" s="651"/>
      <c r="BK147" s="651"/>
      <c r="BL147" s="651"/>
      <c r="BM147" s="651"/>
      <c r="BN147" s="651"/>
      <c r="BO147" s="651"/>
      <c r="BP147" s="651"/>
      <c r="BQ147" s="651"/>
      <c r="BR147" s="651"/>
      <c r="BS147" s="651"/>
      <c r="BT147" s="651"/>
    </row>
    <row r="148">
      <c r="A148" s="631"/>
      <c r="B148" s="154" t="str">
        <f>IFERROR(__xludf.DUMMYFUNCTION("IFERROR(
  IF(C148="""","""",
    IF(OR(REGEXMATCH(D148,""(?i)-Flashing""), REGEXMATCH(D148,""(?i)-EavesGut""), REGEXMATCH(D148,""(?i)Valley"")),
        ""DR"" &amp;
        TEXT(
            ROUNDUP(
                MIN(
                    VALUE(MID(C148, "&amp;"FIND(""("",C148)+1, FIND(""/"",C148)-FIND(""("",C148)-1)),
                    1200
                ) / 50, 0
            ) * 50, ""0""
        ) &amp;
        MID(C148, FIND(""/"",C148)+1, FIND("")"",C148)-FIND(""/"",C148)-1) &amp;
        TEXT(H148*100,""0"") &amp;"&amp;"
        I148,
    IF(AND(D148=""Roof Sheet"", REGEXMATCH(C148,""(?i)KS\d{4}[A-Z]{2}"")),
       REGEXEXTRACT(C148,""(?i)KS\d{4}[A-Z]{2}""),
    IF(AND(REGEXMATCH(D148,""(?i)-DP""), REGEXMATCH(C148,""(?i)Downpipe"")),
       ""dp"" &amp; REGEXEXTRACT(C148,""("&amp;"\d+)"") &amp; ""mm"",
    IF(AND(REGEXMATCH(D148,""(?i)Bracket""), REGEXMATCH(C148,""(?i)Bracket"")),
       ""Brkt"" &amp; REGEXEXTRACT(C148,""(\d+)"") &amp; ""mm"",
    IF(AND(REGEXMATCH(D148,""(?i)-OP""), REGEXMATCH(C148,""(?i)pops"")),
       ""op"" &amp; REGEXEXTRAC"&amp;"T(C148,""(\d+)"") &amp; ""mm"",
    IF(OR(D148=""R-FFTop"", D148=""R-FFBottom"", D148=""R-FFSide""),
        IF(REGEXMATCH(C148,""(?i)Profiled.*Top|Top.*Profiled""),""pfft"",
        IF(REGEXMATCH(C148,""(?i)Profiled.*Bottom|Bottom.*Profiled""),""pffb"",
    "&amp;"    IF(REGEXMATCH(C148,""(?i)Square""),""sff"",""""))),
    IF(REGEXMATCH(D148,""(?i)-Rivets""),""Rvt"",
    IF(REGEXMATCH(D148,""(?i)Silicone|Seal""),""300ml"",
    IF(REGEXMATCH(D148,""(?i)R-Butyl""),""300ml"",
    IF(REGEXMATCH(D148,""(?i)Fix""),""GenF"&amp;"ix"",
    IF(AND(REGEXMATCH(C148,""(?i)Timber""), REGEXMATCH(D148,""(?i)Timber"")),""tp"",
    IF(AND(REGEXMATCH(C148,""(?i)Vent G1275""), REGEXMATCH(D148,""(?i)Comb FIller"")),""CFV1275"",
    IF(REGEXMATCH(C148,""(?i)DPC""),""dpc"",
    IF(REGEXMATCH(C1"&amp;"48,""(?i)Concealed Clips""),""ConClips"",
    IF(REGEXMATCH(D148,""(?i)-Takeoff ea""),""Takeoff ea"",
    IF(REGEXMATCH(D148,""(?i)-Takeoff LM""),""Takeoff LM"",
    IF(REGEXMATCH(D148,""(?i)-Takeoff m2""),""Takeoff m2"",
    IF(D148=""R-TU/TD"",""TU/TD"""&amp;","""")))))))))))))))))
  )))"),"GenFix")</f>
        <v>GenFix</v>
      </c>
      <c r="C148" s="225" t="s">
        <v>102</v>
      </c>
      <c r="D148" s="124" t="s">
        <v>144</v>
      </c>
      <c r="E148" s="687">
        <f>E146</f>
        <v>0.15</v>
      </c>
      <c r="F148" s="699"/>
      <c r="G148" s="158"/>
      <c r="H148" s="700"/>
      <c r="I148" s="700"/>
      <c r="J148" s="126" t="s">
        <v>87</v>
      </c>
      <c r="K148" s="126" t="str">
        <f>IFERROR(
  IF(B148="", "", VLOOKUP(B148, Data!$B$2:$K$905, 7, FALSE)),
  ""
)</f>
        <v/>
      </c>
      <c r="L148" s="704"/>
      <c r="M148" s="150">
        <f>ROUNDUP(3.14*E148,0)/0.05</f>
        <v>20</v>
      </c>
      <c r="N148" s="151">
        <f>IFERROR(__xludf.DUMMYFUNCTION("IF(B148="""", """", IFERROR(1 / COS(RADIANS(REGEXEXTRACT(F148,""(\d+)""))), 1))"),1.0)</f>
        <v>1</v>
      </c>
      <c r="O148" s="169">
        <f>O146</f>
        <v>21</v>
      </c>
      <c r="P148" s="134">
        <v>1.0</v>
      </c>
      <c r="Q148" s="242">
        <f t="shared" si="97"/>
        <v>420</v>
      </c>
      <c r="R148" s="136" t="str">
        <f>IFERROR(
  IF(B148="", "", VLOOKUP(B148, Data!$B$2:$K$905, 9, FALSE)),
  ""
)</f>
        <v/>
      </c>
      <c r="S148" s="152">
        <f t="shared" si="98"/>
        <v>0</v>
      </c>
      <c r="T148" s="690"/>
      <c r="U148" s="136" t="str">
        <f>IFERROR(
  IF(B148="", "", VLOOKUP(B148, Data!$B$2:$K$905, 10, FALSE)),
  ""
)
</f>
        <v/>
      </c>
      <c r="V148" s="691"/>
      <c r="W148" s="140">
        <f t="shared" si="99"/>
        <v>0</v>
      </c>
      <c r="X148" s="692"/>
      <c r="Y148" s="595"/>
      <c r="Z148" s="595"/>
      <c r="AA148" s="595"/>
      <c r="AB148" s="354">
        <f t="shared" si="96"/>
        <v>0</v>
      </c>
      <c r="AC148" s="181"/>
      <c r="AD148" s="625"/>
      <c r="AE148" s="626"/>
      <c r="AF148" s="696"/>
      <c r="AG148" s="628"/>
      <c r="AH148" s="629"/>
      <c r="AI148" s="187"/>
      <c r="AJ148" s="630"/>
      <c r="AK148" s="630"/>
      <c r="AL148" s="595"/>
      <c r="AM148" s="595"/>
      <c r="AN148" s="595"/>
      <c r="AO148" s="595"/>
      <c r="AP148" s="595"/>
      <c r="AQ148" s="595"/>
      <c r="AR148" s="595"/>
      <c r="AS148" s="595"/>
      <c r="AT148" s="595"/>
      <c r="AU148" s="595"/>
      <c r="AV148" s="595"/>
      <c r="AW148" s="595"/>
      <c r="AX148" s="595"/>
      <c r="AY148" s="595"/>
      <c r="AZ148" s="595"/>
      <c r="BA148" s="595"/>
      <c r="BB148" s="595"/>
      <c r="BC148" s="595"/>
      <c r="BD148" s="595"/>
      <c r="BE148" s="595"/>
      <c r="BF148" s="595"/>
      <c r="BG148" s="595"/>
      <c r="BH148" s="595"/>
      <c r="BI148" s="651"/>
      <c r="BJ148" s="651"/>
      <c r="BK148" s="651"/>
      <c r="BL148" s="651"/>
      <c r="BM148" s="651"/>
      <c r="BN148" s="651"/>
      <c r="BO148" s="651"/>
      <c r="BP148" s="651"/>
      <c r="BQ148" s="651"/>
      <c r="BR148" s="651"/>
      <c r="BS148" s="651"/>
      <c r="BT148" s="651"/>
    </row>
    <row r="149">
      <c r="A149" s="631"/>
      <c r="B149" s="154"/>
      <c r="C149" s="700"/>
      <c r="D149" s="701"/>
      <c r="E149" s="722"/>
      <c r="F149" s="699"/>
      <c r="G149" s="158"/>
      <c r="H149" s="700"/>
      <c r="I149" s="700"/>
      <c r="J149" s="701"/>
      <c r="K149" s="126"/>
      <c r="L149" s="704"/>
      <c r="M149" s="704"/>
      <c r="N149" s="711"/>
      <c r="O149" s="712"/>
      <c r="P149" s="700"/>
      <c r="Q149" s="712"/>
      <c r="R149" s="136" t="str">
        <f>IFERROR(
  IF(B149="", "", VLOOKUP(B149, Data!$B$2:$K$905, 9, FALSE)),
  ""
)</f>
        <v/>
      </c>
      <c r="S149" s="152"/>
      <c r="T149" s="690"/>
      <c r="U149" s="136" t="str">
        <f>IFERROR(
  IF(B149="", "", VLOOKUP(B149, Data!$B$2:$K$905, 10, FALSE)),
  ""
)
</f>
        <v/>
      </c>
      <c r="V149" s="691"/>
      <c r="W149" s="713"/>
      <c r="X149" s="692"/>
      <c r="Y149" s="595"/>
      <c r="Z149" s="595"/>
      <c r="AA149" s="595"/>
      <c r="AB149" s="354"/>
      <c r="AC149" s="181"/>
      <c r="AD149" s="625"/>
      <c r="AE149" s="626"/>
      <c r="AF149" s="696"/>
      <c r="AG149" s="628"/>
      <c r="AH149" s="629"/>
      <c r="AI149" s="187"/>
      <c r="AJ149" s="630"/>
      <c r="AK149" s="630"/>
      <c r="AL149" s="595"/>
      <c r="AM149" s="595"/>
      <c r="AN149" s="595"/>
      <c r="AO149" s="595"/>
      <c r="AP149" s="595"/>
      <c r="AQ149" s="595"/>
      <c r="AR149" s="595"/>
      <c r="AS149" s="595"/>
      <c r="AT149" s="595"/>
      <c r="AU149" s="595"/>
      <c r="AV149" s="595"/>
      <c r="AW149" s="595"/>
      <c r="AX149" s="595"/>
      <c r="AY149" s="595"/>
      <c r="AZ149" s="595"/>
      <c r="BA149" s="595"/>
      <c r="BB149" s="595"/>
      <c r="BC149" s="595"/>
      <c r="BD149" s="595"/>
      <c r="BE149" s="595"/>
      <c r="BF149" s="595"/>
      <c r="BG149" s="595"/>
      <c r="BH149" s="595"/>
      <c r="BI149" s="651"/>
      <c r="BJ149" s="651"/>
      <c r="BK149" s="651"/>
      <c r="BL149" s="651"/>
      <c r="BM149" s="651"/>
      <c r="BN149" s="651"/>
      <c r="BO149" s="651"/>
      <c r="BP149" s="651"/>
      <c r="BQ149" s="651"/>
      <c r="BR149" s="651"/>
      <c r="BS149" s="651"/>
      <c r="BT149" s="651"/>
    </row>
    <row r="150">
      <c r="A150" s="631">
        <v>1.0</v>
      </c>
      <c r="B150" s="727"/>
      <c r="C150" s="103" t="s">
        <v>490</v>
      </c>
      <c r="D150" s="678"/>
      <c r="E150" s="676"/>
      <c r="F150" s="677"/>
      <c r="G150" s="157"/>
      <c r="H150" s="678"/>
      <c r="I150" s="678"/>
      <c r="J150" s="678"/>
      <c r="K150" s="728" t="s">
        <v>42</v>
      </c>
      <c r="L150" s="106">
        <f>Q150</f>
        <v>24</v>
      </c>
      <c r="M150" s="679" t="s">
        <v>42</v>
      </c>
      <c r="N150" s="680"/>
      <c r="O150" s="679"/>
      <c r="P150" s="678"/>
      <c r="Q150" s="106">
        <f>Q151</f>
        <v>24</v>
      </c>
      <c r="R150" s="136" t="str">
        <f>IFERROR(
  IF(B150="", "", VLOOKUP(B150, Data!$B$2:$K$905, 9, FALSE)),
  ""
)</f>
        <v/>
      </c>
      <c r="S150" s="682">
        <f>IFERROR(T150/Q150, 0)</f>
        <v>0</v>
      </c>
      <c r="T150" s="109">
        <f>SUM(S151:S157)</f>
        <v>0</v>
      </c>
      <c r="U150" s="136" t="str">
        <f>IFERROR(
  IF(B150="", "", VLOOKUP(B150, Data!$B$2:$K$905, 10, FALSE)),
  ""
)
</f>
        <v/>
      </c>
      <c r="V150" s="109">
        <f>W150/Q150</f>
        <v>0</v>
      </c>
      <c r="W150" s="110">
        <f>SUM(W151:W157)</f>
        <v>0</v>
      </c>
      <c r="X150" s="111" t="str">
        <f>W150/$AC$758/$W$765/$X$755</f>
        <v>#REF!</v>
      </c>
      <c r="Y150" s="112" t="b">
        <f>(T150+W150)=(SUM(AB151:AB157))</f>
        <v>1</v>
      </c>
      <c r="Z150" s="113">
        <f>(T150+W150)-(SUM(AB151:AB156))</f>
        <v>0</v>
      </c>
      <c r="AA150" s="595"/>
      <c r="AB150" s="354"/>
      <c r="AC150" s="181"/>
      <c r="AD150" s="114">
        <f>W150+T150</f>
        <v>0</v>
      </c>
      <c r="AE150" s="115">
        <f>AD150</f>
        <v>0</v>
      </c>
      <c r="AF150" s="116" t="str">
        <f>AE150/$AE$733</f>
        <v>#REF!</v>
      </c>
      <c r="AG150" s="683" t="str">
        <f>AF150*$AG$740</f>
        <v>#REF!</v>
      </c>
      <c r="AH150" s="118" t="str">
        <f>AF150*$AG$743</f>
        <v>#REF!</v>
      </c>
      <c r="AI150" s="187"/>
      <c r="AJ150" s="119" t="str">
        <f>ROUND(AK150/L150,2)</f>
        <v>#REF!</v>
      </c>
      <c r="AK150" s="119" t="str">
        <f>ROUND(AH150+AG150+AD150,2)</f>
        <v>#REF!</v>
      </c>
      <c r="AL150" s="595"/>
      <c r="AM150" s="595"/>
      <c r="AN150" s="595"/>
      <c r="AO150" s="595"/>
      <c r="AP150" s="595"/>
      <c r="AQ150" s="595"/>
      <c r="AR150" s="595"/>
      <c r="AS150" s="595"/>
      <c r="AT150" s="595"/>
      <c r="AU150" s="595"/>
      <c r="AV150" s="595"/>
      <c r="AW150" s="595"/>
      <c r="AX150" s="595"/>
      <c r="AY150" s="595"/>
      <c r="AZ150" s="595"/>
      <c r="BA150" s="595"/>
      <c r="BB150" s="595"/>
      <c r="BC150" s="595"/>
      <c r="BD150" s="595"/>
      <c r="BE150" s="595"/>
      <c r="BF150" s="595"/>
      <c r="BG150" s="595"/>
      <c r="BH150" s="595"/>
      <c r="BI150" s="651"/>
      <c r="BJ150" s="651"/>
      <c r="BK150" s="651"/>
      <c r="BL150" s="651"/>
      <c r="BM150" s="651"/>
      <c r="BN150" s="651"/>
      <c r="BO150" s="651"/>
      <c r="BP150" s="651"/>
      <c r="BQ150" s="651"/>
      <c r="BR150" s="651"/>
      <c r="BS150" s="651"/>
      <c r="BT150" s="651"/>
    </row>
    <row r="151">
      <c r="A151" s="716" t="s">
        <v>491</v>
      </c>
      <c r="B151" s="154" t="str">
        <f>IFERROR(__xludf.DUMMYFUNCTION("IFERROR(
  IF(C151="""","""",
    IF(OR(REGEXMATCH(D151,""(?i)-Flashing""), REGEXMATCH(D151,""(?i)-EavesGut""), REGEXMATCH(D151,""(?i)Valley"")),
        ""DR"" &amp;
        TEXT(
            ROUNDUP(
                MIN(
                    VALUE(MID(C151, "&amp;"FIND(""("",C151)+1, FIND(""/"",C151)-FIND(""("",C151)-1)),
                    1200
                ) / 50, 0
            ) * 50, ""0""
        ) &amp;
        MID(C151, FIND(""/"",C151)+1, FIND("")"",C151)-FIND(""/"",C151)-1) &amp;
        TEXT(H151*100,""0"") &amp;"&amp;"
        I151,
    IF(AND(D151=""Roof Sheet"", REGEXMATCH(C151,""(?i)KS\d{4}[A-Z]{2}"")),
       REGEXEXTRACT(C151,""(?i)KS\d{4}[A-Z]{2}""),
    IF(AND(REGEXMATCH(D151,""(?i)-DP""), REGEXMATCH(C151,""(?i)Downpipe"")),
       ""dp"" &amp; REGEXEXTRACT(C151,""("&amp;"\d+)"") &amp; ""mm"",
    IF(AND(REGEXMATCH(D151,""(?i)Bracket""), REGEXMATCH(C151,""(?i)Bracket"")),
       ""Brkt"" &amp; REGEXEXTRACT(C151,""(\d+)"") &amp; ""mm"",
    IF(AND(REGEXMATCH(D151,""(?i)-OP""), REGEXMATCH(C151,""(?i)pops"")),
       ""op"" &amp; REGEXEXTRAC"&amp;"T(C151,""(\d+)"") &amp; ""mm"",
    IF(OR(D151=""R-FFTop"", D151=""R-FFBottom"", D151=""R-FFSide""),
        IF(REGEXMATCH(C151,""(?i)Profiled.*Top|Top.*Profiled""),""pfft"",
        IF(REGEXMATCH(C151,""(?i)Profiled.*Bottom|Bottom.*Profiled""),""pffb"",
    "&amp;"    IF(REGEXMATCH(C151,""(?i)Square""),""sff"",""""))),
    IF(REGEXMATCH(D151,""(?i)-Rivets""),""Rvt"",
    IF(REGEXMATCH(D151,""(?i)Silicone|Seal""),""300ml"",
    IF(REGEXMATCH(D151,""(?i)R-Butyl""),""300ml"",
    IF(REGEXMATCH(D151,""(?i)Fix""),""GenF"&amp;"ix"",
    IF(AND(REGEXMATCH(C151,""(?i)Timber""), REGEXMATCH(D151,""(?i)Timber"")),""tp"",
    IF(AND(REGEXMATCH(C151,""(?i)Vent G1275""), REGEXMATCH(D151,""(?i)Comb FIller"")),""CFV1275"",
    IF(REGEXMATCH(C151,""(?i)DPC""),""dpc"",
    IF(REGEXMATCH(C1"&amp;"51,""(?i)Concealed Clips""),""ConClips"",
    IF(REGEXMATCH(D151,""(?i)-Takeoff ea""),""Takeoff ea"",
    IF(REGEXMATCH(D151,""(?i)-Takeoff LM""),""Takeoff LM"",
    IF(REGEXMATCH(D151,""(?i)-Takeoff m2""),""Takeoff m2"",
    IF(D151=""R-TU/TD"",""TU/TD"""&amp;","""")))))))))))))))))
  )))"),"dp150mm")</f>
        <v>dp150mm</v>
      </c>
      <c r="C151" s="123" t="s">
        <v>138</v>
      </c>
      <c r="D151" s="124" t="s">
        <v>139</v>
      </c>
      <c r="E151" s="725"/>
      <c r="F151" s="699"/>
      <c r="G151" s="689" t="s">
        <v>429</v>
      </c>
      <c r="H151" s="700"/>
      <c r="I151" s="700"/>
      <c r="J151" s="126" t="s">
        <v>14</v>
      </c>
      <c r="K151" s="126" t="str">
        <f>IFERROR(
  IF(B151="", "", VLOOKUP(B151, Data!$B$2:$K$905, 7, FALSE)),
  ""
)</f>
        <v/>
      </c>
      <c r="L151" s="131">
        <v>2.0</v>
      </c>
      <c r="M151" s="150">
        <f t="shared" ref="M151:M152" si="100">L151</f>
        <v>2</v>
      </c>
      <c r="N151" s="156">
        <v>2.4</v>
      </c>
      <c r="O151" s="759">
        <v>5.0</v>
      </c>
      <c r="P151" s="156">
        <v>1.0</v>
      </c>
      <c r="Q151" s="242">
        <f t="shared" ref="Q151:Q152" si="101">M151*N151*O151*P151</f>
        <v>24</v>
      </c>
      <c r="R151" s="136" t="str">
        <f>IFERROR(
  IF(B151="", "", VLOOKUP(B151, Data!$B$2:$K$905, 9, FALSE)),
  ""
)</f>
        <v/>
      </c>
      <c r="S151" s="152">
        <f t="shared" ref="S151:S152" si="102">R151*Q151</f>
        <v>0</v>
      </c>
      <c r="T151" s="690"/>
      <c r="U151" s="136" t="str">
        <f>IFERROR(
  IF(B151="", "", VLOOKUP(B151, Data!$B$2:$K$905, 10, FALSE)),
  ""
)
</f>
        <v/>
      </c>
      <c r="V151" s="691"/>
      <c r="W151" s="140">
        <f t="shared" ref="W151:W152" si="103">U151*Q151</f>
        <v>0</v>
      </c>
      <c r="X151" s="693"/>
      <c r="Y151" s="595"/>
      <c r="Z151" s="595"/>
      <c r="AA151" s="595"/>
      <c r="AB151" s="354">
        <f t="shared" ref="AB151:AB156" si="104">W151+S151</f>
        <v>0</v>
      </c>
      <c r="AC151" s="181"/>
      <c r="AD151" s="625"/>
      <c r="AE151" s="626"/>
      <c r="AF151" s="696"/>
      <c r="AG151" s="628"/>
      <c r="AH151" s="629"/>
      <c r="AI151" s="187"/>
      <c r="AJ151" s="630"/>
      <c r="AK151" s="630"/>
      <c r="AL151" s="595"/>
      <c r="AM151" s="595"/>
      <c r="AN151" s="595"/>
      <c r="AO151" s="595"/>
      <c r="AP151" s="595"/>
      <c r="AQ151" s="595"/>
      <c r="AR151" s="595"/>
      <c r="AS151" s="595"/>
      <c r="AT151" s="595"/>
      <c r="AU151" s="595"/>
      <c r="AV151" s="595"/>
      <c r="AW151" s="595"/>
      <c r="AX151" s="595"/>
      <c r="AY151" s="595"/>
      <c r="AZ151" s="595"/>
      <c r="BA151" s="595"/>
      <c r="BB151" s="595"/>
      <c r="BC151" s="595"/>
      <c r="BD151" s="595"/>
      <c r="BE151" s="595"/>
      <c r="BF151" s="595"/>
      <c r="BG151" s="595"/>
      <c r="BH151" s="595"/>
      <c r="BI151" s="651"/>
      <c r="BJ151" s="651"/>
      <c r="BK151" s="651"/>
      <c r="BL151" s="651"/>
      <c r="BM151" s="651"/>
      <c r="BN151" s="651"/>
      <c r="BO151" s="651"/>
      <c r="BP151" s="651"/>
      <c r="BQ151" s="651"/>
      <c r="BR151" s="651"/>
      <c r="BS151" s="651"/>
      <c r="BT151" s="651"/>
    </row>
    <row r="152">
      <c r="A152" s="716" t="s">
        <v>491</v>
      </c>
      <c r="B152" s="154" t="str">
        <f>IFERROR(__xludf.DUMMYFUNCTION("IFERROR(
  IF(C152="""","""",
    IF(OR(REGEXMATCH(D152,""(?i)-Flashing""), REGEXMATCH(D152,""(?i)-EavesGut""), REGEXMATCH(D152,""(?i)Valley"")),
        ""DR"" &amp;
        TEXT(
            ROUNDUP(
                MIN(
                    VALUE(MID(C152, "&amp;"FIND(""("",C152)+1, FIND(""/"",C152)-FIND(""("",C152)-1)),
                    1200
                ) / 50, 0
            ) * 50, ""0""
        ) &amp;
        MID(C152, FIND(""/"",C152)+1, FIND("")"",C152)-FIND(""/"",C152)-1) &amp;
        TEXT(H152*100,""0"") &amp;"&amp;"
        I152,
    IF(AND(D152=""Roof Sheet"", REGEXMATCH(C152,""(?i)KS\d{4}[A-Z]{2}"")),
       REGEXEXTRACT(C152,""(?i)KS\d{4}[A-Z]{2}""),
    IF(AND(REGEXMATCH(D152,""(?i)-DP""), REGEXMATCH(C152,""(?i)Downpipe"")),
       ""dp"" &amp; REGEXEXTRACT(C152,""("&amp;"\d+)"") &amp; ""mm"",
    IF(AND(REGEXMATCH(D152,""(?i)Bracket""), REGEXMATCH(C152,""(?i)Bracket"")),
       ""Brkt"" &amp; REGEXEXTRACT(C152,""(\d+)"") &amp; ""mm"",
    IF(AND(REGEXMATCH(D152,""(?i)-OP""), REGEXMATCH(C152,""(?i)pops"")),
       ""op"" &amp; REGEXEXTRAC"&amp;"T(C152,""(\d+)"") &amp; ""mm"",
    IF(OR(D152=""R-FFTop"", D152=""R-FFBottom"", D152=""R-FFSide""),
        IF(REGEXMATCH(C152,""(?i)Profiled.*Top|Top.*Profiled""),""pfft"",
        IF(REGEXMATCH(C152,""(?i)Profiled.*Bottom|Bottom.*Profiled""),""pffb"",
    "&amp;"    IF(REGEXMATCH(C152,""(?i)Square""),""sff"",""""))),
    IF(REGEXMATCH(D152,""(?i)-Rivets""),""Rvt"",
    IF(REGEXMATCH(D152,""(?i)Silicone|Seal""),""300ml"",
    IF(REGEXMATCH(D152,""(?i)R-Butyl""),""300ml"",
    IF(REGEXMATCH(D152,""(?i)Fix""),""GenF"&amp;"ix"",
    IF(AND(REGEXMATCH(C152,""(?i)Timber""), REGEXMATCH(D152,""(?i)Timber"")),""tp"",
    IF(AND(REGEXMATCH(C152,""(?i)Vent G1275""), REGEXMATCH(D152,""(?i)Comb FIller"")),""CFV1275"",
    IF(REGEXMATCH(C152,""(?i)DPC""),""dpc"",
    IF(REGEXMATCH(C1"&amp;"52,""(?i)Concealed Clips""),""ConClips"",
    IF(REGEXMATCH(D152,""(?i)-Takeoff ea""),""Takeoff ea"",
    IF(REGEXMATCH(D152,""(?i)-Takeoff LM""),""Takeoff LM"",
    IF(REGEXMATCH(D152,""(?i)-Takeoff m2""),""Takeoff m2"",
    IF(D152=""R-TU/TD"",""TU/TD"""&amp;","""")))))))))))))))))
  )))"),"Brkt150mm")</f>
        <v>Brkt150mm</v>
      </c>
      <c r="C152" s="123" t="s">
        <v>140</v>
      </c>
      <c r="D152" s="124" t="s">
        <v>141</v>
      </c>
      <c r="E152" s="725"/>
      <c r="F152" s="699"/>
      <c r="G152" s="158"/>
      <c r="H152" s="700"/>
      <c r="I152" s="700"/>
      <c r="J152" s="126" t="s">
        <v>87</v>
      </c>
      <c r="K152" s="126" t="str">
        <f>IFERROR(
  IF(B152="", "", VLOOKUP(B152, Data!$B$2:$K$905, 7, FALSE)),
  ""
)</f>
        <v/>
      </c>
      <c r="L152" s="135">
        <f>L151</f>
        <v>2</v>
      </c>
      <c r="M152" s="150">
        <f t="shared" si="100"/>
        <v>2</v>
      </c>
      <c r="N152" s="151">
        <v>1.0</v>
      </c>
      <c r="O152" s="169">
        <f>O151</f>
        <v>5</v>
      </c>
      <c r="P152" s="134">
        <v>1.0</v>
      </c>
      <c r="Q152" s="242">
        <f t="shared" si="101"/>
        <v>10</v>
      </c>
      <c r="R152" s="136" t="str">
        <f>IFERROR(
  IF(B152="", "", VLOOKUP(B152, Data!$B$2:$K$905, 9, FALSE)),
  ""
)</f>
        <v/>
      </c>
      <c r="S152" s="152">
        <f t="shared" si="102"/>
        <v>0</v>
      </c>
      <c r="T152" s="690"/>
      <c r="U152" s="136" t="str">
        <f>IFERROR(
  IF(B152="", "", VLOOKUP(B152, Data!$B$2:$K$905, 10, FALSE)),
  ""
)
</f>
        <v/>
      </c>
      <c r="V152" s="691"/>
      <c r="W152" s="140">
        <f t="shared" si="103"/>
        <v>0</v>
      </c>
      <c r="X152" s="692"/>
      <c r="Y152" s="595"/>
      <c r="Z152" s="595"/>
      <c r="AA152" s="595"/>
      <c r="AB152" s="354">
        <f t="shared" si="104"/>
        <v>0</v>
      </c>
      <c r="AC152" s="181"/>
      <c r="AD152" s="625"/>
      <c r="AE152" s="626"/>
      <c r="AF152" s="696"/>
      <c r="AG152" s="628"/>
      <c r="AH152" s="629"/>
      <c r="AI152" s="187"/>
      <c r="AJ152" s="630"/>
      <c r="AK152" s="630"/>
      <c r="AL152" s="595"/>
      <c r="AM152" s="595"/>
      <c r="AN152" s="595"/>
      <c r="AO152" s="595"/>
      <c r="AP152" s="595"/>
      <c r="AQ152" s="595"/>
      <c r="AR152" s="595"/>
      <c r="AS152" s="595"/>
      <c r="AT152" s="595"/>
      <c r="AU152" s="595"/>
      <c r="AV152" s="595"/>
      <c r="AW152" s="595"/>
      <c r="AX152" s="595"/>
      <c r="AY152" s="595"/>
      <c r="AZ152" s="595"/>
      <c r="BA152" s="595"/>
      <c r="BB152" s="595"/>
      <c r="BC152" s="595"/>
      <c r="BD152" s="595"/>
      <c r="BE152" s="595"/>
      <c r="BF152" s="595"/>
      <c r="BG152" s="595"/>
      <c r="BH152" s="595"/>
      <c r="BI152" s="651"/>
      <c r="BJ152" s="651"/>
      <c r="BK152" s="651"/>
      <c r="BL152" s="651"/>
      <c r="BM152" s="651"/>
      <c r="BN152" s="651"/>
      <c r="BO152" s="651"/>
      <c r="BP152" s="651"/>
      <c r="BQ152" s="651"/>
      <c r="BR152" s="651"/>
      <c r="BS152" s="651"/>
      <c r="BT152" s="651"/>
    </row>
    <row r="153">
      <c r="A153" s="631"/>
      <c r="B153" s="154" t="str">
        <f>IFERROR(__xludf.DUMMYFUNCTION("IFERROR(
  IF(C153="""","""",
    IF(OR(REGEXMATCH(D153,""(?i)-Flashing""), REGEXMATCH(D153,""(?i)-EavesGut""), REGEXMATCH(D153,""(?i)Valley"")),
        ""DR"" &amp;
        TEXT(
            ROUNDUP(
                MIN(
                    VALUE(MID(C153, "&amp;"FIND(""("",C153)+1, FIND(""/"",C153)-FIND(""("",C153)-1)),
                    1200
                ) / 50, 0
            ) * 50, ""0""
        ) &amp;
        MID(C153, FIND(""/"",C153)+1, FIND("")"",C153)-FIND(""/"",C153)-1) &amp;
        TEXT(H153*100,""0"") &amp;"&amp;"
        I153,
    IF(AND(D153=""Roof Sheet"", REGEXMATCH(C153,""(?i)KS\d{4}[A-Z]{2}"")),
       REGEXEXTRACT(C153,""(?i)KS\d{4}[A-Z]{2}""),
    IF(AND(REGEXMATCH(D153,""(?i)-DP""), REGEXMATCH(C153,""(?i)Downpipe"")),
       ""dp"" &amp; REGEXEXTRACT(C153,""("&amp;"\d+)"") &amp; ""mm"",
    IF(AND(REGEXMATCH(D153,""(?i)Bracket""), REGEXMATCH(C153,""(?i)Bracket"")),
       ""Brkt"" &amp; REGEXEXTRACT(C153,""(\d+)"") &amp; ""mm"",
    IF(AND(REGEXMATCH(D153,""(?i)-OP""), REGEXMATCH(C153,""(?i)pops"")),
       ""op"" &amp; REGEXEXTRAC"&amp;"T(C153,""(\d+)"") &amp; ""mm"",
    IF(OR(D153=""R-FFTop"", D153=""R-FFBottom"", D153=""R-FFSide""),
        IF(REGEXMATCH(C153,""(?i)Profiled.*Top|Top.*Profiled""),""pfft"",
        IF(REGEXMATCH(C153,""(?i)Profiled.*Bottom|Bottom.*Profiled""),""pffb"",
    "&amp;"    IF(REGEXMATCH(C153,""(?i)Square""),""sff"",""""))),
    IF(REGEXMATCH(D153,""(?i)-Rivets""),""Rvt"",
    IF(REGEXMATCH(D153,""(?i)Silicone|Seal""),""300ml"",
    IF(REGEXMATCH(D153,""(?i)R-Butyl""),""300ml"",
    IF(REGEXMATCH(D153,""(?i)Fix""),""GenF"&amp;"ix"",
    IF(AND(REGEXMATCH(C153,""(?i)Timber""), REGEXMATCH(D153,""(?i)Timber"")),""tp"",
    IF(AND(REGEXMATCH(C153,""(?i)Vent G1275""), REGEXMATCH(D153,""(?i)Comb FIller"")),""CFV1275"",
    IF(REGEXMATCH(C153,""(?i)DPC""),""dpc"",
    IF(REGEXMATCH(C1"&amp;"53,""(?i)Concealed Clips""),""ConClips"",
    IF(REGEXMATCH(D153,""(?i)-Takeoff ea""),""Takeoff ea"",
    IF(REGEXMATCH(D153,""(?i)-Takeoff LM""),""Takeoff LM"",
    IF(REGEXMATCH(D153,""(?i)-Takeoff m2""),""Takeoff m2"",
    IF(D153=""R-TU/TD"",""TU/TD"""&amp;","""")))))))))))))))))
  )))"),"")</f>
        <v/>
      </c>
      <c r="C153" s="701"/>
      <c r="D153" s="701"/>
      <c r="E153" s="722"/>
      <c r="F153" s="699"/>
      <c r="G153" s="158"/>
      <c r="H153" s="700"/>
      <c r="I153" s="700"/>
      <c r="J153" s="701"/>
      <c r="K153" s="126" t="str">
        <f>IFERROR(
  IF(B153="", "", VLOOKUP(B153, Data!$B$2:$K$905, 7, FALSE)),
  ""
)</f>
        <v/>
      </c>
      <c r="L153" s="704"/>
      <c r="M153" s="704" t="s">
        <v>42</v>
      </c>
      <c r="N153" s="711" t="str">
        <f>IFERROR(__xludf.DUMMYFUNCTION("IF(B153="""", """", IFERROR(1 / COS(RADIANS(REGEXEXTRACT(F153,""(\d+)""))), 1))"),"")</f>
        <v/>
      </c>
      <c r="O153" s="712"/>
      <c r="P153" s="700"/>
      <c r="Q153" s="242"/>
      <c r="R153" s="136" t="str">
        <f>IFERROR(
  IF(B153="", "", VLOOKUP(B153, Data!$B$2:$K$905, 9, FALSE)),
  ""
)</f>
        <v/>
      </c>
      <c r="S153" s="152"/>
      <c r="T153" s="690"/>
      <c r="U153" s="136" t="str">
        <f>IFERROR(
  IF(B153="", "", VLOOKUP(B153, Data!$B$2:$K$905, 10, FALSE)),
  ""
)
</f>
        <v/>
      </c>
      <c r="V153" s="691"/>
      <c r="W153" s="713"/>
      <c r="X153" s="692"/>
      <c r="Y153" s="595"/>
      <c r="Z153" s="595"/>
      <c r="AA153" s="595"/>
      <c r="AB153" s="354">
        <f t="shared" si="104"/>
        <v>0</v>
      </c>
      <c r="AC153" s="181"/>
      <c r="AD153" s="625"/>
      <c r="AE153" s="626"/>
      <c r="AF153" s="696"/>
      <c r="AG153" s="628"/>
      <c r="AH153" s="629"/>
      <c r="AI153" s="187"/>
      <c r="AJ153" s="630"/>
      <c r="AK153" s="630"/>
      <c r="AL153" s="595"/>
      <c r="AM153" s="595"/>
      <c r="AN153" s="595"/>
      <c r="AO153" s="595"/>
      <c r="AP153" s="595"/>
      <c r="AQ153" s="595"/>
      <c r="AR153" s="595"/>
      <c r="AS153" s="595"/>
      <c r="AT153" s="595"/>
      <c r="AU153" s="595"/>
      <c r="AV153" s="595"/>
      <c r="AW153" s="595"/>
      <c r="AX153" s="595"/>
      <c r="AY153" s="595"/>
      <c r="AZ153" s="595"/>
      <c r="BA153" s="595"/>
      <c r="BB153" s="595"/>
      <c r="BC153" s="595"/>
      <c r="BD153" s="595"/>
      <c r="BE153" s="595"/>
      <c r="BF153" s="595"/>
      <c r="BG153" s="595"/>
      <c r="BH153" s="595"/>
      <c r="BI153" s="651"/>
      <c r="BJ153" s="651"/>
      <c r="BK153" s="651"/>
      <c r="BL153" s="651"/>
      <c r="BM153" s="651"/>
      <c r="BN153" s="651"/>
      <c r="BO153" s="651"/>
      <c r="BP153" s="651"/>
      <c r="BQ153" s="651"/>
      <c r="BR153" s="651"/>
      <c r="BS153" s="651"/>
      <c r="BT153" s="651"/>
    </row>
    <row r="154">
      <c r="A154" s="716" t="s">
        <v>491</v>
      </c>
      <c r="B154" s="154" t="str">
        <f>IFERROR(__xludf.DUMMYFUNCTION("IFERROR(
  IF(C154="""","""",
    IF(OR(REGEXMATCH(D154,""(?i)-Flashing""), REGEXMATCH(D154,""(?i)-EavesGut""), REGEXMATCH(D154,""(?i)Valley"")),
        ""DR"" &amp;
        TEXT(
            ROUNDUP(
                MIN(
                    VALUE(MID(C154, "&amp;"FIND(""("",C154)+1, FIND(""/"",C154)-FIND(""("",C154)-1)),
                    1200
                ) / 50, 0
            ) * 50, ""0""
        ) &amp;
        MID(C154, FIND(""/"",C154)+1, FIND("")"",C154)-FIND(""/"",C154)-1) &amp;
        TEXT(H154*100,""0"") &amp;"&amp;"
        I154,
    IF(AND(D154=""Roof Sheet"", REGEXMATCH(C154,""(?i)KS\d{4}[A-Z]{2}"")),
       REGEXEXTRACT(C154,""(?i)KS\d{4}[A-Z]{2}""),
    IF(AND(REGEXMATCH(D154,""(?i)-DP""), REGEXMATCH(C154,""(?i)Downpipe"")),
       ""dp"" &amp; REGEXEXTRACT(C154,""("&amp;"\d+)"") &amp; ""mm"",
    IF(AND(REGEXMATCH(D154,""(?i)Bracket""), REGEXMATCH(C154,""(?i)Bracket"")),
       ""Brkt"" &amp; REGEXEXTRACT(C154,""(\d+)"") &amp; ""mm"",
    IF(AND(REGEXMATCH(D154,""(?i)-OP""), REGEXMATCH(C154,""(?i)pops"")),
       ""op"" &amp; REGEXEXTRAC"&amp;"T(C154,""(\d+)"") &amp; ""mm"",
    IF(OR(D154=""R-FFTop"", D154=""R-FFBottom"", D154=""R-FFSide""),
        IF(REGEXMATCH(C154,""(?i)Profiled.*Top|Top.*Profiled""),""pfft"",
        IF(REGEXMATCH(C154,""(?i)Profiled.*Bottom|Bottom.*Profiled""),""pffb"",
    "&amp;"    IF(REGEXMATCH(C154,""(?i)Square""),""sff"",""""))),
    IF(REGEXMATCH(D154,""(?i)-Rivets""),""Rvt"",
    IF(REGEXMATCH(D154,""(?i)Silicone|Seal""),""300ml"",
    IF(REGEXMATCH(D154,""(?i)R-Butyl""),""300ml"",
    IF(REGEXMATCH(D154,""(?i)Fix""),""GenF"&amp;"ix"",
    IF(AND(REGEXMATCH(C154,""(?i)Timber""), REGEXMATCH(D154,""(?i)Timber"")),""tp"",
    IF(AND(REGEXMATCH(C154,""(?i)Vent G1275""), REGEXMATCH(D154,""(?i)Comb FIller"")),""CFV1275"",
    IF(REGEXMATCH(C154,""(?i)DPC""),""dpc"",
    IF(REGEXMATCH(C1"&amp;"54,""(?i)Concealed Clips""),""ConClips"",
    IF(REGEXMATCH(D154,""(?i)-Takeoff ea""),""Takeoff ea"",
    IF(REGEXMATCH(D154,""(?i)-Takeoff LM""),""Takeoff LM"",
    IF(REGEXMATCH(D154,""(?i)-Takeoff m2""),""Takeoff m2"",
    IF(D154=""R-TU/TD"",""TU/TD"""&amp;","""")))))))))))))))))
  )))"),"op150mm")</f>
        <v>op150mm</v>
      </c>
      <c r="C154" s="123" t="s">
        <v>142</v>
      </c>
      <c r="D154" s="124" t="s">
        <v>143</v>
      </c>
      <c r="E154" s="687">
        <f>IFERROR(__xludf.DUMMYFUNCTION("IF(REGEXMATCH(C154, ""\d+mmØ""), VALUE(REGEXEXTRACT(C154, ""(\d+)mmØ""))/1000, """")
"),0.15)</f>
        <v>0.15</v>
      </c>
      <c r="F154" s="699"/>
      <c r="G154" s="158"/>
      <c r="H154" s="700"/>
      <c r="I154" s="700"/>
      <c r="J154" s="126" t="s">
        <v>87</v>
      </c>
      <c r="K154" s="126" t="str">
        <f>IFERROR(
  IF(B154="", "", VLOOKUP(B154, Data!$B$2:$K$905, 7, FALSE)),
  ""
)</f>
        <v/>
      </c>
      <c r="L154" s="704"/>
      <c r="M154" s="150">
        <v>1.0</v>
      </c>
      <c r="N154" s="151">
        <f>IFERROR(__xludf.DUMMYFUNCTION("IF(B154="""", """", IFERROR(1 / COS(RADIANS(REGEXEXTRACT(F154,""(\d+)""))), 1))"),1.0)</f>
        <v>1</v>
      </c>
      <c r="O154" s="759">
        <f>L152</f>
        <v>2</v>
      </c>
      <c r="P154" s="134">
        <v>1.0</v>
      </c>
      <c r="Q154" s="242">
        <f t="shared" ref="Q154:Q156" si="105">M154*N154*O154*P154</f>
        <v>2</v>
      </c>
      <c r="R154" s="136" t="str">
        <f>IFERROR(
  IF(B154="", "", VLOOKUP(B154, Data!$B$2:$K$905, 9, FALSE)),
  ""
)</f>
        <v/>
      </c>
      <c r="S154" s="152">
        <f t="shared" ref="S154:S156" si="106">R154*Q154</f>
        <v>0</v>
      </c>
      <c r="T154" s="690"/>
      <c r="U154" s="136" t="str">
        <f>IFERROR(
  IF(B154="", "", VLOOKUP(B154, Data!$B$2:$K$905, 10, FALSE)),
  ""
)
</f>
        <v/>
      </c>
      <c r="V154" s="691"/>
      <c r="W154" s="140">
        <f t="shared" ref="W154:W156" si="107">U154*Q154</f>
        <v>0</v>
      </c>
      <c r="X154" s="692"/>
      <c r="Y154" s="595"/>
      <c r="Z154" s="595"/>
      <c r="AA154" s="595"/>
      <c r="AB154" s="354">
        <f t="shared" si="104"/>
        <v>0</v>
      </c>
      <c r="AC154" s="181"/>
      <c r="AD154" s="625"/>
      <c r="AE154" s="626"/>
      <c r="AF154" s="696"/>
      <c r="AG154" s="628"/>
      <c r="AH154" s="629"/>
      <c r="AI154" s="187"/>
      <c r="AJ154" s="630"/>
      <c r="AK154" s="630"/>
      <c r="AL154" s="595"/>
      <c r="AM154" s="595"/>
      <c r="AN154" s="595"/>
      <c r="AO154" s="595"/>
      <c r="AP154" s="595"/>
      <c r="AQ154" s="595"/>
      <c r="AR154" s="595"/>
      <c r="AS154" s="595"/>
      <c r="AT154" s="595"/>
      <c r="AU154" s="595"/>
      <c r="AV154" s="595"/>
      <c r="AW154" s="595"/>
      <c r="AX154" s="595"/>
      <c r="AY154" s="595"/>
      <c r="AZ154" s="595"/>
      <c r="BA154" s="595"/>
      <c r="BB154" s="595"/>
      <c r="BC154" s="595"/>
      <c r="BD154" s="595"/>
      <c r="BE154" s="595"/>
      <c r="BF154" s="595"/>
      <c r="BG154" s="595"/>
      <c r="BH154" s="595"/>
      <c r="BI154" s="651"/>
      <c r="BJ154" s="651"/>
      <c r="BK154" s="651"/>
      <c r="BL154" s="651"/>
      <c r="BM154" s="651"/>
      <c r="BN154" s="651"/>
      <c r="BO154" s="651"/>
      <c r="BP154" s="651"/>
      <c r="BQ154" s="651"/>
      <c r="BR154" s="651"/>
      <c r="BS154" s="651"/>
      <c r="BT154" s="651"/>
    </row>
    <row r="155">
      <c r="A155" s="631"/>
      <c r="B155" s="154" t="str">
        <f>IFERROR(__xludf.DUMMYFUNCTION("IFERROR(
  IF(C155="""","""",
    IF(OR(REGEXMATCH(D155,""(?i)-Flashing""), REGEXMATCH(D155,""(?i)-EavesGut""), REGEXMATCH(D155,""(?i)Valley"")),
        ""DR"" &amp;
        TEXT(
            ROUNDUP(
                MIN(
                    VALUE(MID(C155, "&amp;"FIND(""("",C155)+1, FIND(""/"",C155)-FIND(""("",C155)-1)),
                    1200
                ) / 50, 0
            ) * 50, ""0""
        ) &amp;
        MID(C155, FIND(""/"",C155)+1, FIND("")"",C155)-FIND(""/"",C155)-1) &amp;
        TEXT(H155*100,""0"") &amp;"&amp;"
        I155,
    IF(AND(D155=""Roof Sheet"", REGEXMATCH(C155,""(?i)KS\d{4}[A-Z]{2}"")),
       REGEXEXTRACT(C155,""(?i)KS\d{4}[A-Z]{2}""),
    IF(AND(REGEXMATCH(D155,""(?i)-DP""), REGEXMATCH(C155,""(?i)Downpipe"")),
       ""dp"" &amp; REGEXEXTRACT(C155,""("&amp;"\d+)"") &amp; ""mm"",
    IF(AND(REGEXMATCH(D155,""(?i)Bracket""), REGEXMATCH(C155,""(?i)Bracket"")),
       ""Brkt"" &amp; REGEXEXTRACT(C155,""(\d+)"") &amp; ""mm"",
    IF(AND(REGEXMATCH(D155,""(?i)-OP""), REGEXMATCH(C155,""(?i)pops"")),
       ""op"" &amp; REGEXEXTRAC"&amp;"T(C155,""(\d+)"") &amp; ""mm"",
    IF(OR(D155=""R-FFTop"", D155=""R-FFBottom"", D155=""R-FFSide""),
        IF(REGEXMATCH(C155,""(?i)Profiled.*Top|Top.*Profiled""),""pfft"",
        IF(REGEXMATCH(C155,""(?i)Profiled.*Bottom|Bottom.*Profiled""),""pffb"",
    "&amp;"    IF(REGEXMATCH(C155,""(?i)Square""),""sff"",""""))),
    IF(REGEXMATCH(D155,""(?i)-Rivets""),""Rvt"",
    IF(REGEXMATCH(D155,""(?i)Silicone|Seal""),""300ml"",
    IF(REGEXMATCH(D155,""(?i)R-Butyl""),""300ml"",
    IF(REGEXMATCH(D155,""(?i)Fix""),""GenF"&amp;"ix"",
    IF(AND(REGEXMATCH(C155,""(?i)Timber""), REGEXMATCH(D155,""(?i)Timber"")),""tp"",
    IF(AND(REGEXMATCH(C155,""(?i)Vent G1275""), REGEXMATCH(D155,""(?i)Comb FIller"")),""CFV1275"",
    IF(REGEXMATCH(C155,""(?i)DPC""),""dpc"",
    IF(REGEXMATCH(C1"&amp;"55,""(?i)Concealed Clips""),""ConClips"",
    IF(REGEXMATCH(D155,""(?i)-Takeoff ea""),""Takeoff ea"",
    IF(REGEXMATCH(D155,""(?i)-Takeoff LM""),""Takeoff LM"",
    IF(REGEXMATCH(D155,""(?i)-Takeoff m2""),""Takeoff m2"",
    IF(D155=""R-TU/TD"",""TU/TD"""&amp;","""")))))))))))))))))
  )))"),"300ml")</f>
        <v>300ml</v>
      </c>
      <c r="C155" s="225" t="s">
        <v>98</v>
      </c>
      <c r="D155" s="124" t="s">
        <v>388</v>
      </c>
      <c r="E155" s="687">
        <f>E154</f>
        <v>0.15</v>
      </c>
      <c r="F155" s="699"/>
      <c r="G155" s="158"/>
      <c r="H155" s="700"/>
      <c r="I155" s="700"/>
      <c r="J155" s="126" t="s">
        <v>87</v>
      </c>
      <c r="K155" s="126" t="str">
        <f>IFERROR(
  IF(B155="", "", VLOOKUP(B155, Data!$B$2:$K$905, 7, FALSE)),
  ""
)</f>
        <v/>
      </c>
      <c r="L155" s="704"/>
      <c r="M155" s="150">
        <f>ROUNDUP(3.14*E155,0)/8</f>
        <v>0.125</v>
      </c>
      <c r="N155" s="151">
        <f>IFERROR(__xludf.DUMMYFUNCTION("IF(B155="""", """", IFERROR(1 / COS(RADIANS(REGEXEXTRACT(F155,""(\d+)""))), 1))"),1.0)</f>
        <v>1</v>
      </c>
      <c r="O155" s="169">
        <f>O154</f>
        <v>2</v>
      </c>
      <c r="P155" s="134">
        <v>1.0</v>
      </c>
      <c r="Q155" s="242">
        <f t="shared" si="105"/>
        <v>0.25</v>
      </c>
      <c r="R155" s="136" t="str">
        <f>IFERROR(
  IF(B155="", "", VLOOKUP(B155, Data!$B$2:$K$905, 9, FALSE)),
  ""
)</f>
        <v/>
      </c>
      <c r="S155" s="152">
        <f t="shared" si="106"/>
        <v>0</v>
      </c>
      <c r="T155" s="690"/>
      <c r="U155" s="136" t="str">
        <f>IFERROR(
  IF(B155="", "", VLOOKUP(B155, Data!$B$2:$K$905, 10, FALSE)),
  ""
)
</f>
        <v/>
      </c>
      <c r="V155" s="691"/>
      <c r="W155" s="140">
        <f t="shared" si="107"/>
        <v>0</v>
      </c>
      <c r="X155" s="692"/>
      <c r="Y155" s="595"/>
      <c r="Z155" s="595"/>
      <c r="AA155" s="595"/>
      <c r="AB155" s="354">
        <f t="shared" si="104"/>
        <v>0</v>
      </c>
      <c r="AC155" s="181"/>
      <c r="AD155" s="625"/>
      <c r="AE155" s="626"/>
      <c r="AF155" s="696"/>
      <c r="AG155" s="628"/>
      <c r="AH155" s="629"/>
      <c r="AI155" s="187"/>
      <c r="AJ155" s="630"/>
      <c r="AK155" s="630"/>
      <c r="AL155" s="595"/>
      <c r="AM155" s="595"/>
      <c r="AN155" s="595"/>
      <c r="AO155" s="595"/>
      <c r="AP155" s="595"/>
      <c r="AQ155" s="595"/>
      <c r="AR155" s="595"/>
      <c r="AS155" s="595"/>
      <c r="AT155" s="595"/>
      <c r="AU155" s="595"/>
      <c r="AV155" s="595"/>
      <c r="AW155" s="595"/>
      <c r="AX155" s="595"/>
      <c r="AY155" s="595"/>
      <c r="AZ155" s="595"/>
      <c r="BA155" s="595"/>
      <c r="BB155" s="595"/>
      <c r="BC155" s="595"/>
      <c r="BD155" s="595"/>
      <c r="BE155" s="595"/>
      <c r="BF155" s="595"/>
      <c r="BG155" s="595"/>
      <c r="BH155" s="595"/>
      <c r="BI155" s="651"/>
      <c r="BJ155" s="651"/>
      <c r="BK155" s="651"/>
      <c r="BL155" s="651"/>
      <c r="BM155" s="651"/>
      <c r="BN155" s="651"/>
      <c r="BO155" s="651"/>
      <c r="BP155" s="651"/>
      <c r="BQ155" s="651"/>
      <c r="BR155" s="651"/>
      <c r="BS155" s="651"/>
      <c r="BT155" s="651"/>
    </row>
    <row r="156">
      <c r="A156" s="631"/>
      <c r="B156" s="154" t="str">
        <f>IFERROR(__xludf.DUMMYFUNCTION("IFERROR(
  IF(C156="""","""",
    IF(OR(REGEXMATCH(D156,""(?i)-Flashing""), REGEXMATCH(D156,""(?i)-EavesGut""), REGEXMATCH(D156,""(?i)Valley"")),
        ""DR"" &amp;
        TEXT(
            ROUNDUP(
                MIN(
                    VALUE(MID(C156, "&amp;"FIND(""("",C156)+1, FIND(""/"",C156)-FIND(""("",C156)-1)),
                    1200
                ) / 50, 0
            ) * 50, ""0""
        ) &amp;
        MID(C156, FIND(""/"",C156)+1, FIND("")"",C156)-FIND(""/"",C156)-1) &amp;
        TEXT(H156*100,""0"") &amp;"&amp;"
        I156,
    IF(AND(D156=""Roof Sheet"", REGEXMATCH(C156,""(?i)KS\d{4}[A-Z]{2}"")),
       REGEXEXTRACT(C156,""(?i)KS\d{4}[A-Z]{2}""),
    IF(AND(REGEXMATCH(D156,""(?i)-DP""), REGEXMATCH(C156,""(?i)Downpipe"")),
       ""dp"" &amp; REGEXEXTRACT(C156,""("&amp;"\d+)"") &amp; ""mm"",
    IF(AND(REGEXMATCH(D156,""(?i)Bracket""), REGEXMATCH(C156,""(?i)Bracket"")),
       ""Brkt"" &amp; REGEXEXTRACT(C156,""(\d+)"") &amp; ""mm"",
    IF(AND(REGEXMATCH(D156,""(?i)-OP""), REGEXMATCH(C156,""(?i)pops"")),
       ""op"" &amp; REGEXEXTRAC"&amp;"T(C156,""(\d+)"") &amp; ""mm"",
    IF(OR(D156=""R-FFTop"", D156=""R-FFBottom"", D156=""R-FFSide""),
        IF(REGEXMATCH(C156,""(?i)Profiled.*Top|Top.*Profiled""),""pfft"",
        IF(REGEXMATCH(C156,""(?i)Profiled.*Bottom|Bottom.*Profiled""),""pffb"",
    "&amp;"    IF(REGEXMATCH(C156,""(?i)Square""),""sff"",""""))),
    IF(REGEXMATCH(D156,""(?i)-Rivets""),""Rvt"",
    IF(REGEXMATCH(D156,""(?i)Silicone|Seal""),""300ml"",
    IF(REGEXMATCH(D156,""(?i)R-Butyl""),""300ml"",
    IF(REGEXMATCH(D156,""(?i)Fix""),""GenF"&amp;"ix"",
    IF(AND(REGEXMATCH(C156,""(?i)Timber""), REGEXMATCH(D156,""(?i)Timber"")),""tp"",
    IF(AND(REGEXMATCH(C156,""(?i)Vent G1275""), REGEXMATCH(D156,""(?i)Comb FIller"")),""CFV1275"",
    IF(REGEXMATCH(C156,""(?i)DPC""),""dpc"",
    IF(REGEXMATCH(C1"&amp;"56,""(?i)Concealed Clips""),""ConClips"",
    IF(REGEXMATCH(D156,""(?i)-Takeoff ea""),""Takeoff ea"",
    IF(REGEXMATCH(D156,""(?i)-Takeoff LM""),""Takeoff LM"",
    IF(REGEXMATCH(D156,""(?i)-Takeoff m2""),""Takeoff m2"",
    IF(D156=""R-TU/TD"",""TU/TD"""&amp;","""")))))))))))))))))
  )))"),"GenFix")</f>
        <v>GenFix</v>
      </c>
      <c r="C156" s="225" t="s">
        <v>102</v>
      </c>
      <c r="D156" s="124" t="s">
        <v>144</v>
      </c>
      <c r="E156" s="687">
        <f>E154</f>
        <v>0.15</v>
      </c>
      <c r="F156" s="699"/>
      <c r="G156" s="158"/>
      <c r="H156" s="700"/>
      <c r="I156" s="700"/>
      <c r="J156" s="126" t="s">
        <v>87</v>
      </c>
      <c r="K156" s="126" t="str">
        <f>IFERROR(
  IF(B156="", "", VLOOKUP(B156, Data!$B$2:$K$905, 7, FALSE)),
  ""
)</f>
        <v/>
      </c>
      <c r="L156" s="704"/>
      <c r="M156" s="150">
        <f>ROUNDUP(3.14*E156,0)/0.05</f>
        <v>20</v>
      </c>
      <c r="N156" s="151">
        <f>IFERROR(__xludf.DUMMYFUNCTION("IF(B156="""", """", IFERROR(1 / COS(RADIANS(REGEXEXTRACT(F156,""(\d+)""))), 1))"),1.0)</f>
        <v>1</v>
      </c>
      <c r="O156" s="169">
        <f>O154</f>
        <v>2</v>
      </c>
      <c r="P156" s="134">
        <v>1.0</v>
      </c>
      <c r="Q156" s="242">
        <f t="shared" si="105"/>
        <v>40</v>
      </c>
      <c r="R156" s="136" t="str">
        <f>IFERROR(
  IF(B156="", "", VLOOKUP(B156, Data!$B$2:$K$905, 9, FALSE)),
  ""
)</f>
        <v/>
      </c>
      <c r="S156" s="152">
        <f t="shared" si="106"/>
        <v>0</v>
      </c>
      <c r="T156" s="690"/>
      <c r="U156" s="136" t="str">
        <f>IFERROR(
  IF(B156="", "", VLOOKUP(B156, Data!$B$2:$K$905, 10, FALSE)),
  ""
)
</f>
        <v/>
      </c>
      <c r="V156" s="691"/>
      <c r="W156" s="140">
        <f t="shared" si="107"/>
        <v>0</v>
      </c>
      <c r="X156" s="692"/>
      <c r="Y156" s="595"/>
      <c r="Z156" s="595"/>
      <c r="AA156" s="595"/>
      <c r="AB156" s="354">
        <f t="shared" si="104"/>
        <v>0</v>
      </c>
      <c r="AC156" s="181"/>
      <c r="AD156" s="625"/>
      <c r="AE156" s="626"/>
      <c r="AF156" s="696"/>
      <c r="AG156" s="628"/>
      <c r="AH156" s="629"/>
      <c r="AI156" s="187"/>
      <c r="AJ156" s="630"/>
      <c r="AK156" s="630"/>
      <c r="AL156" s="595"/>
      <c r="AM156" s="595"/>
      <c r="AN156" s="595"/>
      <c r="AO156" s="595"/>
      <c r="AP156" s="595"/>
      <c r="AQ156" s="595"/>
      <c r="AR156" s="595"/>
      <c r="AS156" s="595"/>
      <c r="AT156" s="595"/>
      <c r="AU156" s="595"/>
      <c r="AV156" s="595"/>
      <c r="AW156" s="595"/>
      <c r="AX156" s="595"/>
      <c r="AY156" s="595"/>
      <c r="AZ156" s="595"/>
      <c r="BA156" s="595"/>
      <c r="BB156" s="595"/>
      <c r="BC156" s="595"/>
      <c r="BD156" s="595"/>
      <c r="BE156" s="595"/>
      <c r="BF156" s="595"/>
      <c r="BG156" s="595"/>
      <c r="BH156" s="595"/>
      <c r="BI156" s="651"/>
      <c r="BJ156" s="651"/>
      <c r="BK156" s="651"/>
      <c r="BL156" s="651"/>
      <c r="BM156" s="651"/>
      <c r="BN156" s="651"/>
      <c r="BO156" s="651"/>
      <c r="BP156" s="651"/>
      <c r="BQ156" s="651"/>
      <c r="BR156" s="651"/>
      <c r="BS156" s="651"/>
      <c r="BT156" s="651"/>
    </row>
    <row r="157">
      <c r="A157" s="631"/>
      <c r="B157" s="154"/>
      <c r="C157" s="700"/>
      <c r="D157" s="701"/>
      <c r="E157" s="722"/>
      <c r="F157" s="699"/>
      <c r="G157" s="158"/>
      <c r="H157" s="700"/>
      <c r="I157" s="700"/>
      <c r="J157" s="701"/>
      <c r="K157" s="126"/>
      <c r="L157" s="704"/>
      <c r="M157" s="704"/>
      <c r="N157" s="711"/>
      <c r="O157" s="712"/>
      <c r="P157" s="700"/>
      <c r="Q157" s="712"/>
      <c r="R157" s="136" t="str">
        <f>IFERROR(
  IF(B157="", "", VLOOKUP(B157, Data!$B$2:$K$905, 9, FALSE)),
  ""
)</f>
        <v/>
      </c>
      <c r="S157" s="152"/>
      <c r="T157" s="690"/>
      <c r="U157" s="136" t="str">
        <f>IFERROR(
  IF(B157="", "", VLOOKUP(B157, Data!$B$2:$K$905, 10, FALSE)),
  ""
)
</f>
        <v/>
      </c>
      <c r="V157" s="691"/>
      <c r="W157" s="713"/>
      <c r="X157" s="692"/>
      <c r="Y157" s="595"/>
      <c r="Z157" s="595"/>
      <c r="AA157" s="595"/>
      <c r="AB157" s="354"/>
      <c r="AC157" s="181"/>
      <c r="AD157" s="625"/>
      <c r="AE157" s="626"/>
      <c r="AF157" s="696"/>
      <c r="AG157" s="628"/>
      <c r="AH157" s="629"/>
      <c r="AI157" s="187"/>
      <c r="AJ157" s="630"/>
      <c r="AK157" s="630"/>
      <c r="AL157" s="595"/>
      <c r="AM157" s="595"/>
      <c r="AN157" s="595"/>
      <c r="AO157" s="595"/>
      <c r="AP157" s="595"/>
      <c r="AQ157" s="595"/>
      <c r="AR157" s="595"/>
      <c r="AS157" s="595"/>
      <c r="AT157" s="595"/>
      <c r="AU157" s="595"/>
      <c r="AV157" s="595"/>
      <c r="AW157" s="595"/>
      <c r="AX157" s="595"/>
      <c r="AY157" s="595"/>
      <c r="AZ157" s="595"/>
      <c r="BA157" s="595"/>
      <c r="BB157" s="595"/>
      <c r="BC157" s="595"/>
      <c r="BD157" s="595"/>
      <c r="BE157" s="595"/>
      <c r="BF157" s="595"/>
      <c r="BG157" s="595"/>
      <c r="BH157" s="595"/>
      <c r="BI157" s="651"/>
      <c r="BJ157" s="651"/>
      <c r="BK157" s="651"/>
      <c r="BL157" s="651"/>
      <c r="BM157" s="651"/>
      <c r="BN157" s="651"/>
      <c r="BO157" s="651"/>
      <c r="BP157" s="651"/>
      <c r="BQ157" s="651"/>
      <c r="BR157" s="651"/>
      <c r="BS157" s="651"/>
      <c r="BT157" s="651"/>
    </row>
    <row r="158">
      <c r="A158" s="631">
        <v>1.0</v>
      </c>
      <c r="B158" s="727"/>
      <c r="C158" s="103" t="s">
        <v>490</v>
      </c>
      <c r="D158" s="678"/>
      <c r="E158" s="676"/>
      <c r="F158" s="677"/>
      <c r="G158" s="157"/>
      <c r="H158" s="678"/>
      <c r="I158" s="678"/>
      <c r="J158" s="678"/>
      <c r="K158" s="728" t="s">
        <v>42</v>
      </c>
      <c r="L158" s="106">
        <f>Q158</f>
        <v>33.6</v>
      </c>
      <c r="M158" s="679" t="s">
        <v>42</v>
      </c>
      <c r="N158" s="680"/>
      <c r="O158" s="679"/>
      <c r="P158" s="678"/>
      <c r="Q158" s="106">
        <f>Q159+Q162</f>
        <v>33.6</v>
      </c>
      <c r="R158" s="136" t="str">
        <f>IFERROR(
  IF(B158="", "", VLOOKUP(B158, Data!$B$2:$K$905, 9, FALSE)),
  ""
)</f>
        <v/>
      </c>
      <c r="S158" s="682">
        <f>IFERROR(T158/Q158, 0)</f>
        <v>0</v>
      </c>
      <c r="T158" s="109">
        <f>SUM(S159:S170)</f>
        <v>0</v>
      </c>
      <c r="U158" s="136" t="str">
        <f>IFERROR(
  IF(B158="", "", VLOOKUP(B158, Data!$B$2:$K$905, 10, FALSE)),
  ""
)
</f>
        <v/>
      </c>
      <c r="V158" s="109">
        <f>W158/Q158</f>
        <v>0</v>
      </c>
      <c r="W158" s="110">
        <f>SUM(W159:W170)</f>
        <v>0</v>
      </c>
      <c r="X158" s="111" t="str">
        <f>W158/$AC$758/$W$765/$X$755</f>
        <v>#REF!</v>
      </c>
      <c r="Y158" s="112" t="b">
        <f>(T158+W158)=(SUM(AB159:AB169))</f>
        <v>1</v>
      </c>
      <c r="Z158" s="113">
        <f>(T158+W158)-(SUM(AB159:AB169))</f>
        <v>0</v>
      </c>
      <c r="AA158" s="595"/>
      <c r="AB158" s="354"/>
      <c r="AC158" s="181"/>
      <c r="AD158" s="114">
        <f>W158+T158</f>
        <v>0</v>
      </c>
      <c r="AE158" s="115">
        <f>AD158</f>
        <v>0</v>
      </c>
      <c r="AF158" s="116" t="str">
        <f>AE158/$AE$733</f>
        <v>#REF!</v>
      </c>
      <c r="AG158" s="683" t="str">
        <f>AF158*$AG$740</f>
        <v>#REF!</v>
      </c>
      <c r="AH158" s="118" t="str">
        <f>AF158*$AG$743</f>
        <v>#REF!</v>
      </c>
      <c r="AI158" s="187"/>
      <c r="AJ158" s="119" t="str">
        <f>ROUND(AK158/L158,2)</f>
        <v>#REF!</v>
      </c>
      <c r="AK158" s="119" t="str">
        <f>ROUND(AH158+AG158+AD158,2)</f>
        <v>#REF!</v>
      </c>
      <c r="AL158" s="595"/>
      <c r="AM158" s="595"/>
      <c r="AN158" s="595"/>
      <c r="AO158" s="595"/>
      <c r="AP158" s="595"/>
      <c r="AQ158" s="595"/>
      <c r="AR158" s="595"/>
      <c r="AS158" s="595"/>
      <c r="AT158" s="595"/>
      <c r="AU158" s="595"/>
      <c r="AV158" s="595"/>
      <c r="AW158" s="595"/>
      <c r="AX158" s="595"/>
      <c r="AY158" s="595"/>
      <c r="AZ158" s="595"/>
      <c r="BA158" s="595"/>
      <c r="BB158" s="595"/>
      <c r="BC158" s="595"/>
      <c r="BD158" s="595"/>
      <c r="BE158" s="595"/>
      <c r="BF158" s="595"/>
      <c r="BG158" s="595"/>
      <c r="BH158" s="595"/>
      <c r="BI158" s="651"/>
      <c r="BJ158" s="651"/>
      <c r="BK158" s="651"/>
      <c r="BL158" s="651"/>
      <c r="BM158" s="651"/>
      <c r="BN158" s="651"/>
      <c r="BO158" s="651"/>
      <c r="BP158" s="651"/>
      <c r="BQ158" s="651"/>
      <c r="BR158" s="651"/>
      <c r="BS158" s="651"/>
      <c r="BT158" s="651"/>
    </row>
    <row r="159">
      <c r="A159" s="716" t="s">
        <v>491</v>
      </c>
      <c r="B159" s="154" t="str">
        <f>IFERROR(__xludf.DUMMYFUNCTION("IFERROR(
  IF(C159="""","""",
    IF(OR(REGEXMATCH(D159,""(?i)-Flashing""), REGEXMATCH(D159,""(?i)-EavesGut""), REGEXMATCH(D159,""(?i)Valley"")),
        ""DR"" &amp;
        TEXT(
            ROUNDUP(
                MIN(
                    VALUE(MID(C159, "&amp;"FIND(""("",C159)+1, FIND(""/"",C159)-FIND(""("",C159)-1)),
                    1200
                ) / 50, 0
            ) * 50, ""0""
        ) &amp;
        MID(C159, FIND(""/"",C159)+1, FIND("")"",C159)-FIND(""/"",C159)-1) &amp;
        TEXT(H159*100,""0"") &amp;"&amp;"
        I159,
    IF(AND(D159=""Roof Sheet"", REGEXMATCH(C159,""(?i)KS\d{4}[A-Z]{2}"")),
       REGEXEXTRACT(C159,""(?i)KS\d{4}[A-Z]{2}""),
    IF(AND(REGEXMATCH(D159,""(?i)-DP""), REGEXMATCH(C159,""(?i)Downpipe"")),
       ""dp"" &amp; REGEXEXTRACT(C159,""("&amp;"\d+)"") &amp; ""mm"",
    IF(AND(REGEXMATCH(D159,""(?i)Bracket""), REGEXMATCH(C159,""(?i)Bracket"")),
       ""Brkt"" &amp; REGEXEXTRACT(C159,""(\d+)"") &amp; ""mm"",
    IF(AND(REGEXMATCH(D159,""(?i)-OP""), REGEXMATCH(C159,""(?i)pops"")),
       ""op"" &amp; REGEXEXTRAC"&amp;"T(C159,""(\d+)"") &amp; ""mm"",
    IF(OR(D159=""R-FFTop"", D159=""R-FFBottom"", D159=""R-FFSide""),
        IF(REGEXMATCH(C159,""(?i)Profiled.*Top|Top.*Profiled""),""pfft"",
        IF(REGEXMATCH(C159,""(?i)Profiled.*Bottom|Bottom.*Profiled""),""pffb"",
    "&amp;"    IF(REGEXMATCH(C159,""(?i)Square""),""sff"",""""))),
    IF(REGEXMATCH(D159,""(?i)-Rivets""),""Rvt"",
    IF(REGEXMATCH(D159,""(?i)Silicone|Seal""),""300ml"",
    IF(REGEXMATCH(D159,""(?i)R-Butyl""),""300ml"",
    IF(REGEXMATCH(D159,""(?i)Fix""),""GenF"&amp;"ix"",
    IF(AND(REGEXMATCH(C159,""(?i)Timber""), REGEXMATCH(D159,""(?i)Timber"")),""tp"",
    IF(AND(REGEXMATCH(C159,""(?i)Vent G1275""), REGEXMATCH(D159,""(?i)Comb FIller"")),""CFV1275"",
    IF(REGEXMATCH(C159,""(?i)DPC""),""dpc"",
    IF(REGEXMATCH(C1"&amp;"59,""(?i)Concealed Clips""),""ConClips"",
    IF(REGEXMATCH(D159,""(?i)-Takeoff ea""),""Takeoff ea"",
    IF(REGEXMATCH(D159,""(?i)-Takeoff LM""),""Takeoff LM"",
    IF(REGEXMATCH(D159,""(?i)-Takeoff m2""),""Takeoff m2"",
    IF(D159=""R-TU/TD"",""TU/TD"""&amp;","""")))))))))))))))))
  )))"),"dp150mm")</f>
        <v>dp150mm</v>
      </c>
      <c r="C159" s="123" t="s">
        <v>492</v>
      </c>
      <c r="D159" s="124" t="s">
        <v>139</v>
      </c>
      <c r="E159" s="725"/>
      <c r="F159" s="699"/>
      <c r="G159" s="689" t="s">
        <v>429</v>
      </c>
      <c r="H159" s="700"/>
      <c r="I159" s="700"/>
      <c r="J159" s="126" t="s">
        <v>14</v>
      </c>
      <c r="K159" s="126" t="str">
        <f>IFERROR(
  IF(B159="", "", VLOOKUP(B159, Data!$B$2:$K$905, 7, FALSE)),
  ""
)</f>
        <v/>
      </c>
      <c r="L159" s="131">
        <v>2.0</v>
      </c>
      <c r="M159" s="150">
        <f t="shared" ref="M159:M160" si="108">L159</f>
        <v>2</v>
      </c>
      <c r="N159" s="156">
        <v>2.4</v>
      </c>
      <c r="O159" s="759">
        <v>2.0</v>
      </c>
      <c r="P159" s="156">
        <v>1.0</v>
      </c>
      <c r="Q159" s="242">
        <f t="shared" ref="Q159:Q160" si="109">M159*N159*O159*P159</f>
        <v>9.6</v>
      </c>
      <c r="R159" s="136" t="str">
        <f>IFERROR(
  IF(B159="", "", VLOOKUP(B159, Data!$B$2:$K$905, 9, FALSE)),
  ""
)</f>
        <v/>
      </c>
      <c r="S159" s="152">
        <f t="shared" ref="S159:S160" si="110">R159*Q159</f>
        <v>0</v>
      </c>
      <c r="T159" s="690"/>
      <c r="U159" s="136" t="str">
        <f>IFERROR(
  IF(B159="", "", VLOOKUP(B159, Data!$B$2:$K$905, 10, FALSE)),
  ""
)
</f>
        <v/>
      </c>
      <c r="V159" s="691"/>
      <c r="W159" s="140">
        <f t="shared" ref="W159:W160" si="111">U159*Q159</f>
        <v>0</v>
      </c>
      <c r="X159" s="693"/>
      <c r="Y159" s="595"/>
      <c r="Z159" s="595"/>
      <c r="AA159" s="595"/>
      <c r="AB159" s="354">
        <f t="shared" ref="AB159:AB160" si="112">W159+S159</f>
        <v>0</v>
      </c>
      <c r="AC159" s="181"/>
      <c r="AD159" s="625"/>
      <c r="AE159" s="626"/>
      <c r="AF159" s="696"/>
      <c r="AG159" s="697"/>
      <c r="AH159" s="629"/>
      <c r="AI159" s="187"/>
      <c r="AJ159" s="630"/>
      <c r="AK159" s="630"/>
      <c r="AL159" s="595"/>
      <c r="AM159" s="595"/>
      <c r="AN159" s="595"/>
      <c r="AO159" s="595"/>
      <c r="AP159" s="595"/>
      <c r="AQ159" s="595"/>
      <c r="AR159" s="595"/>
      <c r="AS159" s="595"/>
      <c r="AT159" s="595"/>
      <c r="AU159" s="595"/>
      <c r="AV159" s="595"/>
      <c r="AW159" s="595"/>
      <c r="AX159" s="595"/>
      <c r="AY159" s="595"/>
      <c r="AZ159" s="595"/>
      <c r="BA159" s="595"/>
      <c r="BB159" s="595"/>
      <c r="BC159" s="595"/>
      <c r="BD159" s="595"/>
      <c r="BE159" s="595"/>
      <c r="BF159" s="595"/>
      <c r="BG159" s="595"/>
      <c r="BH159" s="595"/>
      <c r="BI159" s="651"/>
      <c r="BJ159" s="651"/>
      <c r="BK159" s="651"/>
      <c r="BL159" s="651"/>
      <c r="BM159" s="651"/>
      <c r="BN159" s="651"/>
      <c r="BO159" s="651"/>
      <c r="BP159" s="651"/>
      <c r="BQ159" s="651"/>
      <c r="BR159" s="651"/>
      <c r="BS159" s="651"/>
      <c r="BT159" s="651"/>
    </row>
    <row r="160">
      <c r="A160" s="703" t="s">
        <v>491</v>
      </c>
      <c r="B160" s="154" t="str">
        <f>IFERROR(__xludf.DUMMYFUNCTION("IFERROR(
  IF(C160="""","""",
    IF(OR(REGEXMATCH(D160,""(?i)-Flashing""), REGEXMATCH(D160,""(?i)-EavesGut""), REGEXMATCH(D160,""(?i)Valley"")),
        ""DR"" &amp;
        TEXT(
            ROUNDUP(
                MIN(
                    VALUE(MID(C160, "&amp;"FIND(""("",C160)+1, FIND(""/"",C160)-FIND(""("",C160)-1)),
                    1200
                ) / 50, 0
            ) * 50, ""0""
        ) &amp;
        MID(C160, FIND(""/"",C160)+1, FIND("")"",C160)-FIND(""/"",C160)-1) &amp;
        TEXT(H160*100,""0"") &amp;"&amp;"
        I160,
    IF(AND(D160=""Roof Sheet"", REGEXMATCH(C160,""(?i)KS\d{4}[A-Z]{2}"")),
       REGEXEXTRACT(C160,""(?i)KS\d{4}[A-Z]{2}""),
    IF(AND(REGEXMATCH(D160,""(?i)-DP""), REGEXMATCH(C160,""(?i)Downpipe"")),
       ""dp"" &amp; REGEXEXTRACT(C160,""("&amp;"\d+)"") &amp; ""mm"",
    IF(AND(REGEXMATCH(D160,""(?i)Bracket""), REGEXMATCH(C160,""(?i)Bracket"")),
       ""Brkt"" &amp; REGEXEXTRACT(C160,""(\d+)"") &amp; ""mm"",
    IF(AND(REGEXMATCH(D160,""(?i)-OP""), REGEXMATCH(C160,""(?i)pops"")),
       ""op"" &amp; REGEXEXTRAC"&amp;"T(C160,""(\d+)"") &amp; ""mm"",
    IF(OR(D160=""R-FFTop"", D160=""R-FFBottom"", D160=""R-FFSide""),
        IF(REGEXMATCH(C160,""(?i)Profiled.*Top|Top.*Profiled""),""pfft"",
        IF(REGEXMATCH(C160,""(?i)Profiled.*Bottom|Bottom.*Profiled""),""pffb"",
    "&amp;"    IF(REGEXMATCH(C160,""(?i)Square""),""sff"",""""))),
    IF(REGEXMATCH(D160,""(?i)-Rivets""),""Rvt"",
    IF(REGEXMATCH(D160,""(?i)Silicone|Seal""),""300ml"",
    IF(REGEXMATCH(D160,""(?i)R-Butyl""),""300ml"",
    IF(REGEXMATCH(D160,""(?i)Fix""),""GenF"&amp;"ix"",
    IF(AND(REGEXMATCH(C160,""(?i)Timber""), REGEXMATCH(D160,""(?i)Timber"")),""tp"",
    IF(AND(REGEXMATCH(C160,""(?i)Vent G1275""), REGEXMATCH(D160,""(?i)Comb FIller"")),""CFV1275"",
    IF(REGEXMATCH(C160,""(?i)DPC""),""dpc"",
    IF(REGEXMATCH(C1"&amp;"60,""(?i)Concealed Clips""),""ConClips"",
    IF(REGEXMATCH(D160,""(?i)-Takeoff ea""),""Takeoff ea"",
    IF(REGEXMATCH(D160,""(?i)-Takeoff LM""),""Takeoff LM"",
    IF(REGEXMATCH(D160,""(?i)-Takeoff m2""),""Takeoff m2"",
    IF(D160=""R-TU/TD"",""TU/TD"""&amp;","""")))))))))))))))))
  )))"),"Brkt150mm")</f>
        <v>Brkt150mm</v>
      </c>
      <c r="C160" s="123" t="s">
        <v>140</v>
      </c>
      <c r="D160" s="124" t="s">
        <v>141</v>
      </c>
      <c r="E160" s="725"/>
      <c r="F160" s="699"/>
      <c r="G160" s="702"/>
      <c r="H160" s="700"/>
      <c r="I160" s="700"/>
      <c r="J160" s="126" t="s">
        <v>87</v>
      </c>
      <c r="K160" s="126" t="str">
        <f>IFERROR(
  IF(B160="", "", VLOOKUP(B160, Data!$B$2:$K$905, 7, FALSE)),
  ""
)</f>
        <v/>
      </c>
      <c r="L160" s="135">
        <f>L159</f>
        <v>2</v>
      </c>
      <c r="M160" s="150">
        <f t="shared" si="108"/>
        <v>2</v>
      </c>
      <c r="N160" s="151">
        <v>1.0</v>
      </c>
      <c r="O160" s="169">
        <f>roundup(Q159/3,0)+1</f>
        <v>5</v>
      </c>
      <c r="P160" s="760">
        <f>P159</f>
        <v>1</v>
      </c>
      <c r="Q160" s="242">
        <f t="shared" si="109"/>
        <v>10</v>
      </c>
      <c r="R160" s="136" t="str">
        <f>IFERROR(
  IF(B160="", "", VLOOKUP(B160, Data!$B$2:$K$905, 9, FALSE)),
  ""
)</f>
        <v/>
      </c>
      <c r="S160" s="152">
        <f t="shared" si="110"/>
        <v>0</v>
      </c>
      <c r="T160" s="690"/>
      <c r="U160" s="136" t="str">
        <f>IFERROR(
  IF(B160="", "", VLOOKUP(B160, Data!$B$2:$K$905, 10, FALSE)),
  ""
)
</f>
        <v/>
      </c>
      <c r="V160" s="691"/>
      <c r="W160" s="140">
        <f t="shared" si="111"/>
        <v>0</v>
      </c>
      <c r="X160" s="692"/>
      <c r="Y160" s="595"/>
      <c r="Z160" s="595"/>
      <c r="AA160" s="595"/>
      <c r="AB160" s="354">
        <f t="shared" si="112"/>
        <v>0</v>
      </c>
      <c r="AC160" s="181"/>
      <c r="AD160" s="625"/>
      <c r="AE160" s="626"/>
      <c r="AF160" s="696"/>
      <c r="AG160" s="697"/>
      <c r="AH160" s="629"/>
      <c r="AI160" s="187"/>
      <c r="AJ160" s="630"/>
      <c r="AK160" s="630"/>
      <c r="AL160" s="595"/>
      <c r="AM160" s="595"/>
      <c r="AN160" s="595"/>
      <c r="AO160" s="595"/>
      <c r="AP160" s="595"/>
      <c r="AQ160" s="595"/>
      <c r="AR160" s="595"/>
      <c r="AS160" s="595"/>
      <c r="AT160" s="595"/>
      <c r="AU160" s="595"/>
      <c r="AV160" s="595"/>
      <c r="AW160" s="595"/>
      <c r="AX160" s="595"/>
      <c r="AY160" s="595"/>
      <c r="AZ160" s="595"/>
      <c r="BA160" s="595"/>
      <c r="BB160" s="595"/>
      <c r="BC160" s="595"/>
      <c r="BD160" s="595"/>
      <c r="BE160" s="595"/>
      <c r="BF160" s="595"/>
      <c r="BG160" s="595"/>
      <c r="BH160" s="595"/>
      <c r="BI160" s="651"/>
      <c r="BJ160" s="651"/>
      <c r="BK160" s="651"/>
      <c r="BL160" s="651"/>
      <c r="BM160" s="651"/>
      <c r="BN160" s="651"/>
      <c r="BO160" s="651"/>
      <c r="BP160" s="651"/>
      <c r="BQ160" s="651"/>
      <c r="BR160" s="651"/>
      <c r="BS160" s="651"/>
      <c r="BT160" s="651"/>
    </row>
    <row r="161">
      <c r="A161" s="631"/>
      <c r="B161" s="154"/>
      <c r="C161" s="123"/>
      <c r="D161" s="124"/>
      <c r="E161" s="725"/>
      <c r="F161" s="699"/>
      <c r="G161" s="689"/>
      <c r="H161" s="700"/>
      <c r="I161" s="700"/>
      <c r="J161" s="126"/>
      <c r="K161" s="126"/>
      <c r="L161" s="131"/>
      <c r="M161" s="150"/>
      <c r="N161" s="151"/>
      <c r="O161" s="759"/>
      <c r="P161" s="760"/>
      <c r="Q161" s="242"/>
      <c r="R161" s="136"/>
      <c r="S161" s="152"/>
      <c r="T161" s="690"/>
      <c r="U161" s="136" t="str">
        <f>IFERROR(
  IF(B161="", "", VLOOKUP(B161, Data!$B$2:$K$905, 10, FALSE)),
  ""
)
</f>
        <v/>
      </c>
      <c r="V161" s="691"/>
      <c r="W161" s="140"/>
      <c r="X161" s="693"/>
      <c r="Y161" s="595"/>
      <c r="Z161" s="595"/>
      <c r="AA161" s="595"/>
      <c r="AB161" s="354"/>
      <c r="AC161" s="181"/>
      <c r="AD161" s="625"/>
      <c r="AE161" s="626"/>
      <c r="AF161" s="696"/>
      <c r="AG161" s="628"/>
      <c r="AH161" s="629"/>
      <c r="AI161" s="187"/>
      <c r="AJ161" s="630"/>
      <c r="AK161" s="630"/>
      <c r="AL161" s="595"/>
      <c r="AM161" s="595"/>
      <c r="AN161" s="595"/>
      <c r="AO161" s="595"/>
      <c r="AP161" s="595"/>
      <c r="AQ161" s="595"/>
      <c r="AR161" s="595"/>
      <c r="AS161" s="595"/>
      <c r="AT161" s="595"/>
      <c r="AU161" s="595"/>
      <c r="AV161" s="595"/>
      <c r="AW161" s="595"/>
      <c r="AX161" s="595"/>
      <c r="AY161" s="595"/>
      <c r="AZ161" s="595"/>
      <c r="BA161" s="595"/>
      <c r="BB161" s="595"/>
      <c r="BC161" s="595"/>
      <c r="BD161" s="595"/>
      <c r="BE161" s="595"/>
      <c r="BF161" s="595"/>
      <c r="BG161" s="595"/>
      <c r="BH161" s="595"/>
      <c r="BI161" s="651"/>
      <c r="BJ161" s="651"/>
      <c r="BK161" s="651"/>
      <c r="BL161" s="651"/>
      <c r="BM161" s="651"/>
      <c r="BN161" s="651"/>
      <c r="BO161" s="651"/>
      <c r="BP161" s="651"/>
      <c r="BQ161" s="651"/>
      <c r="BR161" s="651"/>
      <c r="BS161" s="651"/>
      <c r="BT161" s="651"/>
    </row>
    <row r="162">
      <c r="A162" s="716" t="s">
        <v>491</v>
      </c>
      <c r="B162" s="154" t="str">
        <f>IFERROR(__xludf.DUMMYFUNCTION("IFERROR(
  IF(C162="""","""",
    IF(OR(REGEXMATCH(D162,""(?i)-Flashing""), REGEXMATCH(D162,""(?i)-EavesGut""), REGEXMATCH(D162,""(?i)Valley"")),
        ""DR"" &amp;
        TEXT(
            ROUNDUP(
                MIN(
                    VALUE(MID(C162, "&amp;"FIND(""("",C162)+1, FIND(""/"",C162)-FIND(""("",C162)-1)),
                    1200
                ) / 50, 0
            ) * 50, ""0""
        ) &amp;
        MID(C162, FIND(""/"",C162)+1, FIND("")"",C162)-FIND(""/"",C162)-1) &amp;
        TEXT(H162*100,""0"") &amp;"&amp;"
        I162,
    IF(AND(D162=""Roof Sheet"", REGEXMATCH(C162,""(?i)KS\d{4}[A-Z]{2}"")),
       REGEXEXTRACT(C162,""(?i)KS\d{4}[A-Z]{2}""),
    IF(AND(REGEXMATCH(D162,""(?i)-DP""), REGEXMATCH(C162,""(?i)Downpipe"")),
       ""dp"" &amp; REGEXEXTRACT(C162,""("&amp;"\d+)"") &amp; ""mm"",
    IF(AND(REGEXMATCH(D162,""(?i)Bracket""), REGEXMATCH(C162,""(?i)Bracket"")),
       ""Brkt"" &amp; REGEXEXTRACT(C162,""(\d+)"") &amp; ""mm"",
    IF(AND(REGEXMATCH(D162,""(?i)-OP""), REGEXMATCH(C162,""(?i)pops"")),
       ""op"" &amp; REGEXEXTRAC"&amp;"T(C162,""(\d+)"") &amp; ""mm"",
    IF(OR(D162=""R-FFTop"", D162=""R-FFBottom"", D162=""R-FFSide""),
        IF(REGEXMATCH(C162,""(?i)Profiled.*Top|Top.*Profiled""),""pfft"",
        IF(REGEXMATCH(C162,""(?i)Profiled.*Bottom|Bottom.*Profiled""),""pffb"",
    "&amp;"    IF(REGEXMATCH(C162,""(?i)Square""),""sff"",""""))),
    IF(REGEXMATCH(D162,""(?i)-Rivets""),""Rvt"",
    IF(REGEXMATCH(D162,""(?i)Silicone|Seal""),""300ml"",
    IF(REGEXMATCH(D162,""(?i)R-Butyl""),""300ml"",
    IF(REGEXMATCH(D162,""(?i)Fix""),""GenF"&amp;"ix"",
    IF(AND(REGEXMATCH(C162,""(?i)Timber""), REGEXMATCH(D162,""(?i)Timber"")),""tp"",
    IF(AND(REGEXMATCH(C162,""(?i)Vent G1275""), REGEXMATCH(D162,""(?i)Comb FIller"")),""CFV1275"",
    IF(REGEXMATCH(C162,""(?i)DPC""),""dpc"",
    IF(REGEXMATCH(C1"&amp;"62,""(?i)Concealed Clips""),""ConClips"",
    IF(REGEXMATCH(D162,""(?i)-Takeoff ea""),""Takeoff ea"",
    IF(REGEXMATCH(D162,""(?i)-Takeoff LM""),""Takeoff LM"",
    IF(REGEXMATCH(D162,""(?i)-Takeoff m2""),""Takeoff m2"",
    IF(D162=""R-TU/TD"",""TU/TD"""&amp;","""")))))))))))))))))
  )))"),"dp150mm")</f>
        <v>dp150mm</v>
      </c>
      <c r="C162" s="123" t="s">
        <v>493</v>
      </c>
      <c r="D162" s="124" t="s">
        <v>139</v>
      </c>
      <c r="E162" s="725"/>
      <c r="F162" s="699"/>
      <c r="G162" s="689" t="s">
        <v>429</v>
      </c>
      <c r="H162" s="700"/>
      <c r="I162" s="700"/>
      <c r="J162" s="126" t="s">
        <v>14</v>
      </c>
      <c r="K162" s="126" t="str">
        <f>IFERROR(
  IF(B162="", "", VLOOKUP(B162, Data!$B$2:$K$905, 7, FALSE)),
  ""
)</f>
        <v/>
      </c>
      <c r="L162" s="131">
        <v>2.0</v>
      </c>
      <c r="M162" s="150">
        <f t="shared" ref="M162:M165" si="113">L162</f>
        <v>2</v>
      </c>
      <c r="N162" s="156">
        <v>2.4</v>
      </c>
      <c r="O162" s="759">
        <v>5.0</v>
      </c>
      <c r="P162" s="156">
        <v>1.0</v>
      </c>
      <c r="Q162" s="242">
        <f t="shared" ref="Q162:Q165" si="115">M162*N162*O162*P162</f>
        <v>24</v>
      </c>
      <c r="R162" s="136" t="str">
        <f>IFERROR(
  IF(B162="", "", VLOOKUP(B162, Data!$B$2:$K$905, 9, FALSE)),
  ""
)</f>
        <v/>
      </c>
      <c r="S162" s="152">
        <f t="shared" ref="S162:S165" si="116">R162*Q162</f>
        <v>0</v>
      </c>
      <c r="T162" s="690"/>
      <c r="U162" s="136" t="str">
        <f>IFERROR(
  IF(B162="", "", VLOOKUP(B162, Data!$B$2:$K$905, 10, FALSE)),
  ""
)
</f>
        <v/>
      </c>
      <c r="V162" s="691"/>
      <c r="W162" s="140">
        <f t="shared" ref="W162:W165" si="117">U162*Q162</f>
        <v>0</v>
      </c>
      <c r="X162" s="693"/>
      <c r="Y162" s="595"/>
      <c r="Z162" s="595"/>
      <c r="AA162" s="595"/>
      <c r="AB162" s="354">
        <f t="shared" ref="AB162:AB163" si="118">W162+S162</f>
        <v>0</v>
      </c>
      <c r="AC162" s="181"/>
      <c r="AD162" s="625"/>
      <c r="AE162" s="626"/>
      <c r="AF162" s="696"/>
      <c r="AG162" s="628"/>
      <c r="AH162" s="629"/>
      <c r="AI162" s="187"/>
      <c r="AJ162" s="630"/>
      <c r="AK162" s="630"/>
      <c r="AL162" s="595"/>
      <c r="AM162" s="595"/>
      <c r="AN162" s="595"/>
      <c r="AO162" s="595"/>
      <c r="AP162" s="595"/>
      <c r="AQ162" s="595"/>
      <c r="AR162" s="595"/>
      <c r="AS162" s="595"/>
      <c r="AT162" s="595"/>
      <c r="AU162" s="595"/>
      <c r="AV162" s="595"/>
      <c r="AW162" s="595"/>
      <c r="AX162" s="595"/>
      <c r="AY162" s="595"/>
      <c r="AZ162" s="595"/>
      <c r="BA162" s="595"/>
      <c r="BB162" s="595"/>
      <c r="BC162" s="595"/>
      <c r="BD162" s="595"/>
      <c r="BE162" s="595"/>
      <c r="BF162" s="595"/>
      <c r="BG162" s="595"/>
      <c r="BH162" s="595"/>
      <c r="BI162" s="651"/>
      <c r="BJ162" s="651"/>
      <c r="BK162" s="651"/>
      <c r="BL162" s="651"/>
      <c r="BM162" s="651"/>
      <c r="BN162" s="651"/>
      <c r="BO162" s="651"/>
      <c r="BP162" s="651"/>
      <c r="BQ162" s="651"/>
      <c r="BR162" s="651"/>
      <c r="BS162" s="651"/>
      <c r="BT162" s="651"/>
    </row>
    <row r="163">
      <c r="A163" s="716" t="s">
        <v>491</v>
      </c>
      <c r="B163" s="154" t="str">
        <f>IFERROR(__xludf.DUMMYFUNCTION("IFERROR(
  IF(C163="""","""",
    IF(OR(REGEXMATCH(D163,""(?i)-Flashing""), REGEXMATCH(D163,""(?i)-EavesGut""), REGEXMATCH(D163,""(?i)Valley"")),
        ""DR"" &amp;
        TEXT(
            ROUNDUP(
                MIN(
                    VALUE(MID(C163, "&amp;"FIND(""("",C163)+1, FIND(""/"",C163)-FIND(""("",C163)-1)),
                    1200
                ) / 50, 0
            ) * 50, ""0""
        ) &amp;
        MID(C163, FIND(""/"",C163)+1, FIND("")"",C163)-FIND(""/"",C163)-1) &amp;
        TEXT(H163*100,""0"") &amp;"&amp;"
        I163,
    IF(AND(D163=""Roof Sheet"", REGEXMATCH(C163,""(?i)KS\d{4}[A-Z]{2}"")),
       REGEXEXTRACT(C163,""(?i)KS\d{4}[A-Z]{2}""),
    IF(AND(REGEXMATCH(D163,""(?i)-DP""), REGEXMATCH(C163,""(?i)Downpipe"")),
       ""dp"" &amp; REGEXEXTRACT(C163,""("&amp;"\d+)"") &amp; ""mm"",
    IF(AND(REGEXMATCH(D163,""(?i)Bracket""), REGEXMATCH(C163,""(?i)Bracket"")),
       ""Brkt"" &amp; REGEXEXTRACT(C163,""(\d+)"") &amp; ""mm"",
    IF(AND(REGEXMATCH(D163,""(?i)-OP""), REGEXMATCH(C163,""(?i)pops"")),
       ""op"" &amp; REGEXEXTRAC"&amp;"T(C163,""(\d+)"") &amp; ""mm"",
    IF(OR(D163=""R-FFTop"", D163=""R-FFBottom"", D163=""R-FFSide""),
        IF(REGEXMATCH(C163,""(?i)Profiled.*Top|Top.*Profiled""),""pfft"",
        IF(REGEXMATCH(C163,""(?i)Profiled.*Bottom|Bottom.*Profiled""),""pffb"",
    "&amp;"    IF(REGEXMATCH(C163,""(?i)Square""),""sff"",""""))),
    IF(REGEXMATCH(D163,""(?i)-Rivets""),""Rvt"",
    IF(REGEXMATCH(D163,""(?i)Silicone|Seal""),""300ml"",
    IF(REGEXMATCH(D163,""(?i)R-Butyl""),""300ml"",
    IF(REGEXMATCH(D163,""(?i)Fix""),""GenF"&amp;"ix"",
    IF(AND(REGEXMATCH(C163,""(?i)Timber""), REGEXMATCH(D163,""(?i)Timber"")),""tp"",
    IF(AND(REGEXMATCH(C163,""(?i)Vent G1275""), REGEXMATCH(D163,""(?i)Comb FIller"")),""CFV1275"",
    IF(REGEXMATCH(C163,""(?i)DPC""),""dpc"",
    IF(REGEXMATCH(C1"&amp;"63,""(?i)Concealed Clips""),""ConClips"",
    IF(REGEXMATCH(D163,""(?i)-Takeoff ea""),""Takeoff ea"",
    IF(REGEXMATCH(D163,""(?i)-Takeoff LM""),""Takeoff LM"",
    IF(REGEXMATCH(D163,""(?i)-Takeoff m2""),""Takeoff m2"",
    IF(D163=""R-TU/TD"",""TU/TD"""&amp;","""")))))))))))))))))
  )))"),"Brkt150mm")</f>
        <v>Brkt150mm</v>
      </c>
      <c r="C163" s="123" t="s">
        <v>140</v>
      </c>
      <c r="D163" s="124" t="s">
        <v>141</v>
      </c>
      <c r="E163" s="725"/>
      <c r="F163" s="699"/>
      <c r="G163" s="158"/>
      <c r="H163" s="700"/>
      <c r="I163" s="700"/>
      <c r="J163" s="126" t="s">
        <v>87</v>
      </c>
      <c r="K163" s="126" t="str">
        <f>IFERROR(
  IF(B163="", "", VLOOKUP(B163, Data!$B$2:$K$905, 7, FALSE)),
  ""
)</f>
        <v/>
      </c>
      <c r="L163" s="135">
        <f>L162</f>
        <v>2</v>
      </c>
      <c r="M163" s="150">
        <f t="shared" si="113"/>
        <v>2</v>
      </c>
      <c r="N163" s="151">
        <f>IFERROR(__xludf.DUMMYFUNCTION("IF(B163="""", """", IFERROR(1 / COS(RADIANS(REGEXEXTRACT(F163,""(\d+)""))), 1))"),1.0)</f>
        <v>1</v>
      </c>
      <c r="O163" s="169">
        <f t="shared" ref="O163:P163" si="114">O162</f>
        <v>5</v>
      </c>
      <c r="P163" s="760">
        <f t="shared" si="114"/>
        <v>1</v>
      </c>
      <c r="Q163" s="242">
        <f t="shared" si="115"/>
        <v>10</v>
      </c>
      <c r="R163" s="136" t="str">
        <f>IFERROR(
  IF(B163="", "", VLOOKUP(B163, Data!$B$2:$K$905, 9, FALSE)),
  ""
)</f>
        <v/>
      </c>
      <c r="S163" s="152">
        <f t="shared" si="116"/>
        <v>0</v>
      </c>
      <c r="T163" s="690"/>
      <c r="U163" s="136" t="str">
        <f>IFERROR(
  IF(B163="", "", VLOOKUP(B163, Data!$B$2:$K$905, 10, FALSE)),
  ""
)
</f>
        <v/>
      </c>
      <c r="V163" s="691"/>
      <c r="W163" s="140">
        <f t="shared" si="117"/>
        <v>0</v>
      </c>
      <c r="X163" s="692"/>
      <c r="Y163" s="595"/>
      <c r="Z163" s="595"/>
      <c r="AA163" s="595"/>
      <c r="AB163" s="354">
        <f t="shared" si="118"/>
        <v>0</v>
      </c>
      <c r="AC163" s="181"/>
      <c r="AD163" s="625"/>
      <c r="AE163" s="626"/>
      <c r="AF163" s="696"/>
      <c r="AG163" s="628"/>
      <c r="AH163" s="629"/>
      <c r="AI163" s="187"/>
      <c r="AJ163" s="630"/>
      <c r="AK163" s="630"/>
      <c r="AL163" s="595"/>
      <c r="AM163" s="595"/>
      <c r="AN163" s="595"/>
      <c r="AO163" s="595"/>
      <c r="AP163" s="595"/>
      <c r="AQ163" s="595"/>
      <c r="AR163" s="595"/>
      <c r="AS163" s="595"/>
      <c r="AT163" s="595"/>
      <c r="AU163" s="595"/>
      <c r="AV163" s="595"/>
      <c r="AW163" s="595"/>
      <c r="AX163" s="595"/>
      <c r="AY163" s="595"/>
      <c r="AZ163" s="595"/>
      <c r="BA163" s="595"/>
      <c r="BB163" s="595"/>
      <c r="BC163" s="595"/>
      <c r="BD163" s="595"/>
      <c r="BE163" s="595"/>
      <c r="BF163" s="595"/>
      <c r="BG163" s="595"/>
      <c r="BH163" s="595"/>
      <c r="BI163" s="651"/>
      <c r="BJ163" s="651"/>
      <c r="BK163" s="651"/>
      <c r="BL163" s="651"/>
      <c r="BM163" s="651"/>
      <c r="BN163" s="651"/>
      <c r="BO163" s="651"/>
      <c r="BP163" s="651"/>
      <c r="BQ163" s="651"/>
      <c r="BR163" s="651"/>
      <c r="BS163" s="651"/>
      <c r="BT163" s="651"/>
    </row>
    <row r="164">
      <c r="A164" s="716" t="s">
        <v>491</v>
      </c>
      <c r="B164" s="154" t="s">
        <v>494</v>
      </c>
      <c r="C164" s="123" t="s">
        <v>495</v>
      </c>
      <c r="D164" s="148" t="s">
        <v>337</v>
      </c>
      <c r="E164" s="725"/>
      <c r="F164" s="699"/>
      <c r="G164" s="158"/>
      <c r="H164" s="700"/>
      <c r="I164" s="700"/>
      <c r="J164" s="126" t="s">
        <v>87</v>
      </c>
      <c r="K164" s="126" t="str">
        <f>IFERROR(
  IF(B164="", "", VLOOKUP(B164, Data!$B$2:$K$905, 7, FALSE)),
  ""
)</f>
        <v/>
      </c>
      <c r="L164" s="131">
        <v>4.0</v>
      </c>
      <c r="M164" s="150">
        <f t="shared" si="113"/>
        <v>4</v>
      </c>
      <c r="N164" s="151">
        <f>IFERROR(__xludf.DUMMYFUNCTION("IF(B164="""", """", IFERROR(1 / COS(RADIANS(REGEXEXTRACT(F164,""(\d+)""))), 1))"),1.0)</f>
        <v>1</v>
      </c>
      <c r="O164" s="759">
        <v>1.0</v>
      </c>
      <c r="P164" s="760">
        <f>P163</f>
        <v>1</v>
      </c>
      <c r="Q164" s="242">
        <f t="shared" si="115"/>
        <v>4</v>
      </c>
      <c r="R164" s="136" t="str">
        <f>IFERROR(
  IF(B164="", "", VLOOKUP(B164, Data!$B$2:$K$905, 9, FALSE)),
  ""
)</f>
        <v/>
      </c>
      <c r="S164" s="152">
        <f t="shared" si="116"/>
        <v>0</v>
      </c>
      <c r="T164" s="690"/>
      <c r="U164" s="136" t="str">
        <f>IFERROR(
  IF(B164="", "", VLOOKUP(B164, Data!$B$2:$K$905, 10, FALSE)),
  ""
)
</f>
        <v/>
      </c>
      <c r="V164" s="691"/>
      <c r="W164" s="140">
        <f t="shared" si="117"/>
        <v>0</v>
      </c>
      <c r="X164" s="692"/>
      <c r="Y164" s="595"/>
      <c r="Z164" s="595"/>
      <c r="AA164" s="595"/>
      <c r="AB164" s="354"/>
      <c r="AC164" s="181"/>
      <c r="AD164" s="625"/>
      <c r="AE164" s="626"/>
      <c r="AF164" s="696"/>
      <c r="AG164" s="628"/>
      <c r="AH164" s="629"/>
      <c r="AI164" s="187"/>
      <c r="AJ164" s="630"/>
      <c r="AK164" s="630"/>
      <c r="AL164" s="595"/>
      <c r="AM164" s="595"/>
      <c r="AN164" s="595"/>
      <c r="AO164" s="595"/>
      <c r="AP164" s="595"/>
      <c r="AQ164" s="595"/>
      <c r="AR164" s="595"/>
      <c r="AS164" s="595"/>
      <c r="AT164" s="595"/>
      <c r="AU164" s="595"/>
      <c r="AV164" s="595"/>
      <c r="AW164" s="595"/>
      <c r="AX164" s="595"/>
      <c r="AY164" s="595"/>
      <c r="AZ164" s="595"/>
      <c r="BA164" s="595"/>
      <c r="BB164" s="595"/>
      <c r="BC164" s="595"/>
      <c r="BD164" s="595"/>
      <c r="BE164" s="595"/>
      <c r="BF164" s="595"/>
      <c r="BG164" s="595"/>
      <c r="BH164" s="595"/>
      <c r="BI164" s="651"/>
      <c r="BJ164" s="651"/>
      <c r="BK164" s="651"/>
      <c r="BL164" s="651"/>
      <c r="BM164" s="651"/>
      <c r="BN164" s="651"/>
      <c r="BO164" s="651"/>
      <c r="BP164" s="651"/>
      <c r="BQ164" s="651"/>
      <c r="BR164" s="651"/>
      <c r="BS164" s="651"/>
      <c r="BT164" s="651"/>
    </row>
    <row r="165">
      <c r="A165" s="631"/>
      <c r="B165" s="122" t="s">
        <v>496</v>
      </c>
      <c r="C165" s="123" t="s">
        <v>497</v>
      </c>
      <c r="D165" s="148" t="s">
        <v>337</v>
      </c>
      <c r="E165" s="725"/>
      <c r="F165" s="699"/>
      <c r="G165" s="158"/>
      <c r="H165" s="700"/>
      <c r="I165" s="700"/>
      <c r="J165" s="126" t="s">
        <v>87</v>
      </c>
      <c r="K165" s="126" t="str">
        <f>IFERROR(
  IF(B165="", "", VLOOKUP(B165, Data!$B$2:$K$905, 7, FALSE)),
  ""
)</f>
        <v/>
      </c>
      <c r="L165" s="131"/>
      <c r="M165" s="150" t="str">
        <f t="shared" si="113"/>
        <v/>
      </c>
      <c r="N165" s="151">
        <f>IFERROR(__xludf.DUMMYFUNCTION("IF(B165="""", """", IFERROR(1 / COS(RADIANS(REGEXEXTRACT(F165,""(\d+)""))), 1))"),1.0)</f>
        <v>1</v>
      </c>
      <c r="O165" s="759">
        <v>1.0</v>
      </c>
      <c r="P165" s="156">
        <v>0.0</v>
      </c>
      <c r="Q165" s="242">
        <f t="shared" si="115"/>
        <v>0</v>
      </c>
      <c r="R165" s="136" t="str">
        <f>IFERROR(
  IF(B165="", "", VLOOKUP(B165, Data!$B$2:$K$905, 9, FALSE)),
  ""
)</f>
        <v/>
      </c>
      <c r="S165" s="152">
        <f t="shared" si="116"/>
        <v>0</v>
      </c>
      <c r="T165" s="690"/>
      <c r="U165" s="136" t="str">
        <f>IFERROR(
  IF(B165="", "", VLOOKUP(B165, Data!$B$2:$K$905, 10, FALSE)),
  ""
)
</f>
        <v/>
      </c>
      <c r="V165" s="691"/>
      <c r="W165" s="140">
        <f t="shared" si="117"/>
        <v>0</v>
      </c>
      <c r="X165" s="692"/>
      <c r="Y165" s="595"/>
      <c r="Z165" s="595"/>
      <c r="AA165" s="595"/>
      <c r="AB165" s="354"/>
      <c r="AC165" s="181"/>
      <c r="AD165" s="625"/>
      <c r="AE165" s="626"/>
      <c r="AF165" s="696"/>
      <c r="AG165" s="628"/>
      <c r="AH165" s="629"/>
      <c r="AI165" s="187"/>
      <c r="AJ165" s="630"/>
      <c r="AK165" s="630"/>
      <c r="AL165" s="595"/>
      <c r="AM165" s="595"/>
      <c r="AN165" s="595"/>
      <c r="AO165" s="595"/>
      <c r="AP165" s="595"/>
      <c r="AQ165" s="595"/>
      <c r="AR165" s="595"/>
      <c r="AS165" s="595"/>
      <c r="AT165" s="595"/>
      <c r="AU165" s="595"/>
      <c r="AV165" s="595"/>
      <c r="AW165" s="595"/>
      <c r="AX165" s="595"/>
      <c r="AY165" s="595"/>
      <c r="AZ165" s="595"/>
      <c r="BA165" s="595"/>
      <c r="BB165" s="595"/>
      <c r="BC165" s="595"/>
      <c r="BD165" s="595"/>
      <c r="BE165" s="595"/>
      <c r="BF165" s="595"/>
      <c r="BG165" s="595"/>
      <c r="BH165" s="595"/>
      <c r="BI165" s="651"/>
      <c r="BJ165" s="651"/>
      <c r="BK165" s="651"/>
      <c r="BL165" s="651"/>
      <c r="BM165" s="651"/>
      <c r="BN165" s="651"/>
      <c r="BO165" s="651"/>
      <c r="BP165" s="651"/>
      <c r="BQ165" s="651"/>
      <c r="BR165" s="651"/>
      <c r="BS165" s="651"/>
      <c r="BT165" s="651"/>
    </row>
    <row r="166">
      <c r="A166" s="631"/>
      <c r="B166" s="154" t="str">
        <f>IFERROR(__xludf.DUMMYFUNCTION("IFERROR(
  IF(C166="""","""",
    IF(OR(REGEXMATCH(D166,""(?i)-Flashing""), REGEXMATCH(D166,""(?i)-EavesGut""), REGEXMATCH(D166,""(?i)Valley"")),
        ""DR"" &amp;
        TEXT(
            ROUNDUP(
                MIN(
                    VALUE(MID(C166, "&amp;"FIND(""("",C166)+1, FIND(""/"",C166)-FIND(""("",C166)-1)),
                    1200
                ) / 50, 0
            ) * 50, ""0""
        ) &amp;
        MID(C166, FIND(""/"",C166)+1, FIND("")"",C166)-FIND(""/"",C166)-1) &amp;
        TEXT(H166*100,""0"") &amp;"&amp;"
        I166,
    IF(AND(D166=""Roof Sheet"", REGEXMATCH(C166,""(?i)KS\d{4}[A-Z]{2}"")),
       REGEXEXTRACT(C166,""(?i)KS\d{4}[A-Z]{2}""),
    IF(AND(REGEXMATCH(D166,""(?i)-DP""), REGEXMATCH(C166,""(?i)Downpipe"")),
       ""dp"" &amp; REGEXEXTRACT(C166,""("&amp;"\d+)"") &amp; ""mm"",
    IF(AND(REGEXMATCH(D166,""(?i)Bracket""), REGEXMATCH(C166,""(?i)Bracket"")),
       ""Brkt"" &amp; REGEXEXTRACT(C166,""(\d+)"") &amp; ""mm"",
    IF(AND(REGEXMATCH(D166,""(?i)-OP""), REGEXMATCH(C166,""(?i)pops"")),
       ""op"" &amp; REGEXEXTRAC"&amp;"T(C166,""(\d+)"") &amp; ""mm"",
    IF(OR(D166=""R-FFTop"", D166=""R-FFBottom"", D166=""R-FFSide""),
        IF(REGEXMATCH(C166,""(?i)Profiled.*Top|Top.*Profiled""),""pfft"",
        IF(REGEXMATCH(C166,""(?i)Profiled.*Bottom|Bottom.*Profiled""),""pffb"",
    "&amp;"    IF(REGEXMATCH(C166,""(?i)Square""),""sff"",""""))),
    IF(REGEXMATCH(D166,""(?i)-Rivets""),""Rvt"",
    IF(REGEXMATCH(D166,""(?i)Silicone|Seal""),""300ml"",
    IF(REGEXMATCH(D166,""(?i)R-Butyl""),""300ml"",
    IF(REGEXMATCH(D166,""(?i)Fix""),""GenF"&amp;"ix"",
    IF(AND(REGEXMATCH(C166,""(?i)Timber""), REGEXMATCH(D166,""(?i)Timber"")),""tp"",
    IF(AND(REGEXMATCH(C166,""(?i)Vent G1275""), REGEXMATCH(D166,""(?i)Comb FIller"")),""CFV1275"",
    IF(REGEXMATCH(C166,""(?i)DPC""),""dpc"",
    IF(REGEXMATCH(C1"&amp;"66,""(?i)Concealed Clips""),""ConClips"",
    IF(REGEXMATCH(D166,""(?i)-Takeoff ea""),""Takeoff ea"",
    IF(REGEXMATCH(D166,""(?i)-Takeoff LM""),""Takeoff LM"",
    IF(REGEXMATCH(D166,""(?i)-Takeoff m2""),""Takeoff m2"",
    IF(D166=""R-TU/TD"",""TU/TD"""&amp;","""")))))))))))))))))
  )))"),"")</f>
        <v/>
      </c>
      <c r="C166" s="701"/>
      <c r="D166" s="701"/>
      <c r="E166" s="722"/>
      <c r="F166" s="699"/>
      <c r="G166" s="158"/>
      <c r="H166" s="700"/>
      <c r="I166" s="700"/>
      <c r="J166" s="701"/>
      <c r="K166" s="126" t="str">
        <f>IFERROR(
  IF(B166="", "", VLOOKUP(B166, Data!$B$2:$K$905, 7, FALSE)),
  ""
)</f>
        <v/>
      </c>
      <c r="L166" s="704"/>
      <c r="M166" s="704" t="s">
        <v>42</v>
      </c>
      <c r="N166" s="711" t="str">
        <f>IFERROR(__xludf.DUMMYFUNCTION("IF(B166="""", """", IFERROR(1 / COS(RADIANS(REGEXEXTRACT(F166,""(\d+)""))), 1))"),"")</f>
        <v/>
      </c>
      <c r="O166" s="712"/>
      <c r="P166" s="760"/>
      <c r="Q166" s="242"/>
      <c r="R166" s="136" t="str">
        <f>IFERROR(
  IF(B166="", "", VLOOKUP(B166, Data!$B$2:$K$905, 9, FALSE)),
  ""
)</f>
        <v/>
      </c>
      <c r="S166" s="152"/>
      <c r="T166" s="690"/>
      <c r="U166" s="136" t="str">
        <f>IFERROR(
  IF(B166="", "", VLOOKUP(B166, Data!$B$2:$K$905, 10, FALSE)),
  ""
)
</f>
        <v/>
      </c>
      <c r="V166" s="691"/>
      <c r="W166" s="713"/>
      <c r="X166" s="692"/>
      <c r="Y166" s="595"/>
      <c r="Z166" s="595"/>
      <c r="AA166" s="595"/>
      <c r="AB166" s="354">
        <f t="shared" ref="AB166:AB169" si="119">W166+S166</f>
        <v>0</v>
      </c>
      <c r="AC166" s="181"/>
      <c r="AD166" s="625"/>
      <c r="AE166" s="626"/>
      <c r="AF166" s="696"/>
      <c r="AG166" s="628"/>
      <c r="AH166" s="629"/>
      <c r="AI166" s="187"/>
      <c r="AJ166" s="630"/>
      <c r="AK166" s="630"/>
      <c r="AL166" s="595"/>
      <c r="AM166" s="595"/>
      <c r="AN166" s="595"/>
      <c r="AO166" s="595"/>
      <c r="AP166" s="595"/>
      <c r="AQ166" s="595"/>
      <c r="AR166" s="595"/>
      <c r="AS166" s="595"/>
      <c r="AT166" s="595"/>
      <c r="AU166" s="595"/>
      <c r="AV166" s="595"/>
      <c r="AW166" s="595"/>
      <c r="AX166" s="595"/>
      <c r="AY166" s="595"/>
      <c r="AZ166" s="595"/>
      <c r="BA166" s="595"/>
      <c r="BB166" s="595"/>
      <c r="BC166" s="595"/>
      <c r="BD166" s="595"/>
      <c r="BE166" s="595"/>
      <c r="BF166" s="595"/>
      <c r="BG166" s="595"/>
      <c r="BH166" s="595"/>
      <c r="BI166" s="651"/>
      <c r="BJ166" s="651"/>
      <c r="BK166" s="651"/>
      <c r="BL166" s="651"/>
      <c r="BM166" s="651"/>
      <c r="BN166" s="651"/>
      <c r="BO166" s="651"/>
      <c r="BP166" s="651"/>
      <c r="BQ166" s="651"/>
      <c r="BR166" s="651"/>
      <c r="BS166" s="651"/>
      <c r="BT166" s="651"/>
    </row>
    <row r="167">
      <c r="A167" s="716" t="s">
        <v>491</v>
      </c>
      <c r="B167" s="154" t="str">
        <f>IFERROR(__xludf.DUMMYFUNCTION("IFERROR(
  IF(C167="""","""",
    IF(OR(REGEXMATCH(D167,""(?i)-Flashing""), REGEXMATCH(D167,""(?i)-EavesGut""), REGEXMATCH(D167,""(?i)Valley"")),
        ""DR"" &amp;
        TEXT(
            ROUNDUP(
                MIN(
                    VALUE(MID(C167, "&amp;"FIND(""("",C167)+1, FIND(""/"",C167)-FIND(""("",C167)-1)),
                    1200
                ) / 50, 0
            ) * 50, ""0""
        ) &amp;
        MID(C167, FIND(""/"",C167)+1, FIND("")"",C167)-FIND(""/"",C167)-1) &amp;
        TEXT(H167*100,""0"") &amp;"&amp;"
        I167,
    IF(AND(D167=""Roof Sheet"", REGEXMATCH(C167,""(?i)KS\d{4}[A-Z]{2}"")),
       REGEXEXTRACT(C167,""(?i)KS\d{4}[A-Z]{2}""),
    IF(AND(REGEXMATCH(D167,""(?i)-DP""), REGEXMATCH(C167,""(?i)Downpipe"")),
       ""dp"" &amp; REGEXEXTRACT(C167,""("&amp;"\d+)"") &amp; ""mm"",
    IF(AND(REGEXMATCH(D167,""(?i)Bracket""), REGEXMATCH(C167,""(?i)Bracket"")),
       ""Brkt"" &amp; REGEXEXTRACT(C167,""(\d+)"") &amp; ""mm"",
    IF(AND(REGEXMATCH(D167,""(?i)-OP""), REGEXMATCH(C167,""(?i)pops"")),
       ""op"" &amp; REGEXEXTRAC"&amp;"T(C167,""(\d+)"") &amp; ""mm"",
    IF(OR(D167=""R-FFTop"", D167=""R-FFBottom"", D167=""R-FFSide""),
        IF(REGEXMATCH(C167,""(?i)Profiled.*Top|Top.*Profiled""),""pfft"",
        IF(REGEXMATCH(C167,""(?i)Profiled.*Bottom|Bottom.*Profiled""),""pffb"",
    "&amp;"    IF(REGEXMATCH(C167,""(?i)Square""),""sff"",""""))),
    IF(REGEXMATCH(D167,""(?i)-Rivets""),""Rvt"",
    IF(REGEXMATCH(D167,""(?i)Silicone|Seal""),""300ml"",
    IF(REGEXMATCH(D167,""(?i)R-Butyl""),""300ml"",
    IF(REGEXMATCH(D167,""(?i)Fix""),""GenF"&amp;"ix"",
    IF(AND(REGEXMATCH(C167,""(?i)Timber""), REGEXMATCH(D167,""(?i)Timber"")),""tp"",
    IF(AND(REGEXMATCH(C167,""(?i)Vent G1275""), REGEXMATCH(D167,""(?i)Comb FIller"")),""CFV1275"",
    IF(REGEXMATCH(C167,""(?i)DPC""),""dpc"",
    IF(REGEXMATCH(C1"&amp;"67,""(?i)Concealed Clips""),""ConClips"",
    IF(REGEXMATCH(D167,""(?i)-Takeoff ea""),""Takeoff ea"",
    IF(REGEXMATCH(D167,""(?i)-Takeoff LM""),""Takeoff LM"",
    IF(REGEXMATCH(D167,""(?i)-Takeoff m2""),""Takeoff m2"",
    IF(D167=""R-TU/TD"",""TU/TD"""&amp;","""")))))))))))))))))
  )))"),"op150mm")</f>
        <v>op150mm</v>
      </c>
      <c r="C167" s="123" t="s">
        <v>142</v>
      </c>
      <c r="D167" s="124" t="s">
        <v>143</v>
      </c>
      <c r="E167" s="687">
        <f>IFERROR(__xludf.DUMMYFUNCTION("IF(REGEXMATCH(C167, ""\d+mmØ""), VALUE(REGEXEXTRACT(C167, ""(\d+)mmØ""))/1000, """")
"),0.15)</f>
        <v>0.15</v>
      </c>
      <c r="F167" s="699"/>
      <c r="G167" s="158"/>
      <c r="H167" s="700"/>
      <c r="I167" s="700"/>
      <c r="J167" s="126" t="s">
        <v>87</v>
      </c>
      <c r="K167" s="126" t="str">
        <f>IFERROR(
  IF(B167="", "", VLOOKUP(B167, Data!$B$2:$K$905, 7, FALSE)),
  ""
)</f>
        <v/>
      </c>
      <c r="L167" s="704"/>
      <c r="M167" s="150">
        <v>1.0</v>
      </c>
      <c r="N167" s="151">
        <f>IFERROR(__xludf.DUMMYFUNCTION("IF(B167="""", """", IFERROR(1 / COS(RADIANS(REGEXEXTRACT(F167,""(\d+)""))), 1))"),1.0)</f>
        <v>1</v>
      </c>
      <c r="O167" s="759">
        <f>L163</f>
        <v>2</v>
      </c>
      <c r="P167" s="156">
        <v>1.0</v>
      </c>
      <c r="Q167" s="242">
        <f t="shared" ref="Q167:Q169" si="121">M167*N167*O167*P167</f>
        <v>2</v>
      </c>
      <c r="R167" s="136" t="str">
        <f>IFERROR(
  IF(B167="", "", VLOOKUP(B167, Data!$B$2:$K$905, 9, FALSE)),
  ""
)</f>
        <v/>
      </c>
      <c r="S167" s="152">
        <f t="shared" ref="S167:S169" si="122">R167*Q167</f>
        <v>0</v>
      </c>
      <c r="T167" s="690"/>
      <c r="U167" s="136" t="str">
        <f>IFERROR(
  IF(B167="", "", VLOOKUP(B167, Data!$B$2:$K$905, 10, FALSE)),
  ""
)
</f>
        <v/>
      </c>
      <c r="V167" s="691"/>
      <c r="W167" s="140">
        <f t="shared" ref="W167:W169" si="123">U167*Q167</f>
        <v>0</v>
      </c>
      <c r="X167" s="692"/>
      <c r="Y167" s="595"/>
      <c r="Z167" s="595"/>
      <c r="AA167" s="595"/>
      <c r="AB167" s="354">
        <f t="shared" si="119"/>
        <v>0</v>
      </c>
      <c r="AC167" s="181"/>
      <c r="AD167" s="625"/>
      <c r="AE167" s="626"/>
      <c r="AF167" s="696"/>
      <c r="AG167" s="628"/>
      <c r="AH167" s="629"/>
      <c r="AI167" s="187"/>
      <c r="AJ167" s="630"/>
      <c r="AK167" s="630"/>
      <c r="AL167" s="595"/>
      <c r="AM167" s="595"/>
      <c r="AN167" s="595"/>
      <c r="AO167" s="595"/>
      <c r="AP167" s="595"/>
      <c r="AQ167" s="595"/>
      <c r="AR167" s="595"/>
      <c r="AS167" s="595"/>
      <c r="AT167" s="595"/>
      <c r="AU167" s="595"/>
      <c r="AV167" s="595"/>
      <c r="AW167" s="595"/>
      <c r="AX167" s="595"/>
      <c r="AY167" s="595"/>
      <c r="AZ167" s="595"/>
      <c r="BA167" s="595"/>
      <c r="BB167" s="595"/>
      <c r="BC167" s="595"/>
      <c r="BD167" s="595"/>
      <c r="BE167" s="595"/>
      <c r="BF167" s="595"/>
      <c r="BG167" s="595"/>
      <c r="BH167" s="595"/>
      <c r="BI167" s="651"/>
      <c r="BJ167" s="651"/>
      <c r="BK167" s="651"/>
      <c r="BL167" s="651"/>
      <c r="BM167" s="651"/>
      <c r="BN167" s="651"/>
      <c r="BO167" s="651"/>
      <c r="BP167" s="651"/>
      <c r="BQ167" s="651"/>
      <c r="BR167" s="651"/>
      <c r="BS167" s="651"/>
      <c r="BT167" s="651"/>
    </row>
    <row r="168">
      <c r="A168" s="631"/>
      <c r="B168" s="154" t="str">
        <f>IFERROR(__xludf.DUMMYFUNCTION("IFERROR(
  IF(C168="""","""",
    IF(OR(REGEXMATCH(D168,""(?i)-Flashing""), REGEXMATCH(D168,""(?i)-EavesGut""), REGEXMATCH(D168,""(?i)Valley"")),
        ""DR"" &amp;
        TEXT(
            ROUNDUP(
                MIN(
                    VALUE(MID(C168, "&amp;"FIND(""("",C168)+1, FIND(""/"",C168)-FIND(""("",C168)-1)),
                    1200
                ) / 50, 0
            ) * 50, ""0""
        ) &amp;
        MID(C168, FIND(""/"",C168)+1, FIND("")"",C168)-FIND(""/"",C168)-1) &amp;
        TEXT(H168*100,""0"") &amp;"&amp;"
        I168,
    IF(AND(D168=""Roof Sheet"", REGEXMATCH(C168,""(?i)KS\d{4}[A-Z]{2}"")),
       REGEXEXTRACT(C168,""(?i)KS\d{4}[A-Z]{2}""),
    IF(AND(REGEXMATCH(D168,""(?i)-DP""), REGEXMATCH(C168,""(?i)Downpipe"")),
       ""dp"" &amp; REGEXEXTRACT(C168,""("&amp;"\d+)"") &amp; ""mm"",
    IF(AND(REGEXMATCH(D168,""(?i)Bracket""), REGEXMATCH(C168,""(?i)Bracket"")),
       ""Brkt"" &amp; REGEXEXTRACT(C168,""(\d+)"") &amp; ""mm"",
    IF(AND(REGEXMATCH(D168,""(?i)-OP""), REGEXMATCH(C168,""(?i)pops"")),
       ""op"" &amp; REGEXEXTRAC"&amp;"T(C168,""(\d+)"") &amp; ""mm"",
    IF(OR(D168=""R-FFTop"", D168=""R-FFBottom"", D168=""R-FFSide""),
        IF(REGEXMATCH(C168,""(?i)Profiled.*Top|Top.*Profiled""),""pfft"",
        IF(REGEXMATCH(C168,""(?i)Profiled.*Bottom|Bottom.*Profiled""),""pffb"",
    "&amp;"    IF(REGEXMATCH(C168,""(?i)Square""),""sff"",""""))),
    IF(REGEXMATCH(D168,""(?i)-Rivets""),""Rvt"",
    IF(REGEXMATCH(D168,""(?i)Silicone|Seal""),""300ml"",
    IF(REGEXMATCH(D168,""(?i)R-Butyl""),""300ml"",
    IF(REGEXMATCH(D168,""(?i)Fix""),""GenF"&amp;"ix"",
    IF(AND(REGEXMATCH(C168,""(?i)Timber""), REGEXMATCH(D168,""(?i)Timber"")),""tp"",
    IF(AND(REGEXMATCH(C168,""(?i)Vent G1275""), REGEXMATCH(D168,""(?i)Comb FIller"")),""CFV1275"",
    IF(REGEXMATCH(C168,""(?i)DPC""),""dpc"",
    IF(REGEXMATCH(C1"&amp;"68,""(?i)Concealed Clips""),""ConClips"",
    IF(REGEXMATCH(D168,""(?i)-Takeoff ea""),""Takeoff ea"",
    IF(REGEXMATCH(D168,""(?i)-Takeoff LM""),""Takeoff LM"",
    IF(REGEXMATCH(D168,""(?i)-Takeoff m2""),""Takeoff m2"",
    IF(D168=""R-TU/TD"",""TU/TD"""&amp;","""")))))))))))))))))
  )))"),"300ml")</f>
        <v>300ml</v>
      </c>
      <c r="C168" s="225" t="s">
        <v>98</v>
      </c>
      <c r="D168" s="124" t="s">
        <v>388</v>
      </c>
      <c r="E168" s="687">
        <f>E167</f>
        <v>0.15</v>
      </c>
      <c r="F168" s="699"/>
      <c r="G168" s="158"/>
      <c r="H168" s="700"/>
      <c r="I168" s="700"/>
      <c r="J168" s="126" t="s">
        <v>87</v>
      </c>
      <c r="K168" s="126" t="str">
        <f>IFERROR(
  IF(B168="", "", VLOOKUP(B168, Data!$B$2:$K$905, 7, FALSE)),
  ""
)</f>
        <v/>
      </c>
      <c r="L168" s="704"/>
      <c r="M168" s="150">
        <f>ROUNDUP(3.14*E168,0)/8</f>
        <v>0.125</v>
      </c>
      <c r="N168" s="151">
        <f>IFERROR(__xludf.DUMMYFUNCTION("IF(B168="""", """", IFERROR(1 / COS(RADIANS(REGEXEXTRACT(F168,""(\d+)""))), 1))"),1.0)</f>
        <v>1</v>
      </c>
      <c r="O168" s="169">
        <f t="shared" ref="O168:P168" si="120">O167</f>
        <v>2</v>
      </c>
      <c r="P168" s="760">
        <f t="shared" si="120"/>
        <v>1</v>
      </c>
      <c r="Q168" s="242">
        <f t="shared" si="121"/>
        <v>0.25</v>
      </c>
      <c r="R168" s="136" t="str">
        <f>IFERROR(
  IF(B168="", "", VLOOKUP(B168, Data!$B$2:$K$905, 9, FALSE)),
  ""
)</f>
        <v/>
      </c>
      <c r="S168" s="152">
        <f t="shared" si="122"/>
        <v>0</v>
      </c>
      <c r="T168" s="690"/>
      <c r="U168" s="136" t="str">
        <f>IFERROR(
  IF(B168="", "", VLOOKUP(B168, Data!$B$2:$K$905, 10, FALSE)),
  ""
)
</f>
        <v/>
      </c>
      <c r="V168" s="691"/>
      <c r="W168" s="140">
        <f t="shared" si="123"/>
        <v>0</v>
      </c>
      <c r="X168" s="692"/>
      <c r="Y168" s="595"/>
      <c r="Z168" s="595"/>
      <c r="AA168" s="595"/>
      <c r="AB168" s="354">
        <f t="shared" si="119"/>
        <v>0</v>
      </c>
      <c r="AC168" s="181"/>
      <c r="AD168" s="625"/>
      <c r="AE168" s="626"/>
      <c r="AF168" s="696"/>
      <c r="AG168" s="628"/>
      <c r="AH168" s="629"/>
      <c r="AI168" s="187"/>
      <c r="AJ168" s="630"/>
      <c r="AK168" s="630"/>
      <c r="AL168" s="595"/>
      <c r="AM168" s="595"/>
      <c r="AN168" s="595"/>
      <c r="AO168" s="595"/>
      <c r="AP168" s="595"/>
      <c r="AQ168" s="595"/>
      <c r="AR168" s="595"/>
      <c r="AS168" s="595"/>
      <c r="AT168" s="595"/>
      <c r="AU168" s="595"/>
      <c r="AV168" s="595"/>
      <c r="AW168" s="595"/>
      <c r="AX168" s="595"/>
      <c r="AY168" s="595"/>
      <c r="AZ168" s="595"/>
      <c r="BA168" s="595"/>
      <c r="BB168" s="595"/>
      <c r="BC168" s="595"/>
      <c r="BD168" s="595"/>
      <c r="BE168" s="595"/>
      <c r="BF168" s="595"/>
      <c r="BG168" s="595"/>
      <c r="BH168" s="595"/>
      <c r="BI168" s="651"/>
      <c r="BJ168" s="651"/>
      <c r="BK168" s="651"/>
      <c r="BL168" s="651"/>
      <c r="BM168" s="651"/>
      <c r="BN168" s="651"/>
      <c r="BO168" s="651"/>
      <c r="BP168" s="651"/>
      <c r="BQ168" s="651"/>
      <c r="BR168" s="651"/>
      <c r="BS168" s="651"/>
      <c r="BT168" s="651"/>
    </row>
    <row r="169">
      <c r="A169" s="631"/>
      <c r="B169" s="154" t="str">
        <f>IFERROR(__xludf.DUMMYFUNCTION("IFERROR(
  IF(C169="""","""",
    IF(OR(REGEXMATCH(D169,""(?i)-Flashing""), REGEXMATCH(D169,""(?i)-EavesGut""), REGEXMATCH(D169,""(?i)Valley"")),
        ""DR"" &amp;
        TEXT(
            ROUNDUP(
                MIN(
                    VALUE(MID(C169, "&amp;"FIND(""("",C169)+1, FIND(""/"",C169)-FIND(""("",C169)-1)),
                    1200
                ) / 50, 0
            ) * 50, ""0""
        ) &amp;
        MID(C169, FIND(""/"",C169)+1, FIND("")"",C169)-FIND(""/"",C169)-1) &amp;
        TEXT(H169*100,""0"") &amp;"&amp;"
        I169,
    IF(AND(D169=""Roof Sheet"", REGEXMATCH(C169,""(?i)KS\d{4}[A-Z]{2}"")),
       REGEXEXTRACT(C169,""(?i)KS\d{4}[A-Z]{2}""),
    IF(AND(REGEXMATCH(D169,""(?i)-DP""), REGEXMATCH(C169,""(?i)Downpipe"")),
       ""dp"" &amp; REGEXEXTRACT(C169,""("&amp;"\d+)"") &amp; ""mm"",
    IF(AND(REGEXMATCH(D169,""(?i)Bracket""), REGEXMATCH(C169,""(?i)Bracket"")),
       ""Brkt"" &amp; REGEXEXTRACT(C169,""(\d+)"") &amp; ""mm"",
    IF(AND(REGEXMATCH(D169,""(?i)-OP""), REGEXMATCH(C169,""(?i)pops"")),
       ""op"" &amp; REGEXEXTRAC"&amp;"T(C169,""(\d+)"") &amp; ""mm"",
    IF(OR(D169=""R-FFTop"", D169=""R-FFBottom"", D169=""R-FFSide""),
        IF(REGEXMATCH(C169,""(?i)Profiled.*Top|Top.*Profiled""),""pfft"",
        IF(REGEXMATCH(C169,""(?i)Profiled.*Bottom|Bottom.*Profiled""),""pffb"",
    "&amp;"    IF(REGEXMATCH(C169,""(?i)Square""),""sff"",""""))),
    IF(REGEXMATCH(D169,""(?i)-Rivets""),""Rvt"",
    IF(REGEXMATCH(D169,""(?i)Silicone|Seal""),""300ml"",
    IF(REGEXMATCH(D169,""(?i)R-Butyl""),""300ml"",
    IF(REGEXMATCH(D169,""(?i)Fix""),""GenF"&amp;"ix"",
    IF(AND(REGEXMATCH(C169,""(?i)Timber""), REGEXMATCH(D169,""(?i)Timber"")),""tp"",
    IF(AND(REGEXMATCH(C169,""(?i)Vent G1275""), REGEXMATCH(D169,""(?i)Comb FIller"")),""CFV1275"",
    IF(REGEXMATCH(C169,""(?i)DPC""),""dpc"",
    IF(REGEXMATCH(C1"&amp;"69,""(?i)Concealed Clips""),""ConClips"",
    IF(REGEXMATCH(D169,""(?i)-Takeoff ea""),""Takeoff ea"",
    IF(REGEXMATCH(D169,""(?i)-Takeoff LM""),""Takeoff LM"",
    IF(REGEXMATCH(D169,""(?i)-Takeoff m2""),""Takeoff m2"",
    IF(D169=""R-TU/TD"",""TU/TD"""&amp;","""")))))))))))))))))
  )))"),"GenFix")</f>
        <v>GenFix</v>
      </c>
      <c r="C169" s="225" t="s">
        <v>102</v>
      </c>
      <c r="D169" s="124" t="s">
        <v>144</v>
      </c>
      <c r="E169" s="687">
        <f>E167</f>
        <v>0.15</v>
      </c>
      <c r="F169" s="699"/>
      <c r="G169" s="158"/>
      <c r="H169" s="700"/>
      <c r="I169" s="700"/>
      <c r="J169" s="126" t="s">
        <v>87</v>
      </c>
      <c r="K169" s="126" t="str">
        <f>IFERROR(
  IF(B169="", "", VLOOKUP(B169, Data!$B$2:$K$905, 7, FALSE)),
  ""
)</f>
        <v/>
      </c>
      <c r="L169" s="704"/>
      <c r="M169" s="150">
        <f>ROUNDUP(3.14*E169,0)/0.05</f>
        <v>20</v>
      </c>
      <c r="N169" s="151">
        <f>IFERROR(__xludf.DUMMYFUNCTION("IF(B169="""", """", IFERROR(1 / COS(RADIANS(REGEXEXTRACT(F169,""(\d+)""))), 1))"),1.0)</f>
        <v>1</v>
      </c>
      <c r="O169" s="169">
        <f>O167</f>
        <v>2</v>
      </c>
      <c r="P169" s="760">
        <f>P168</f>
        <v>1</v>
      </c>
      <c r="Q169" s="242">
        <f t="shared" si="121"/>
        <v>40</v>
      </c>
      <c r="R169" s="136" t="str">
        <f>IFERROR(
  IF(B169="", "", VLOOKUP(B169, Data!$B$2:$K$905, 9, FALSE)),
  ""
)</f>
        <v/>
      </c>
      <c r="S169" s="152">
        <f t="shared" si="122"/>
        <v>0</v>
      </c>
      <c r="T169" s="690"/>
      <c r="U169" s="136" t="str">
        <f>IFERROR(
  IF(B169="", "", VLOOKUP(B169, Data!$B$2:$K$905, 10, FALSE)),
  ""
)
</f>
        <v/>
      </c>
      <c r="V169" s="691"/>
      <c r="W169" s="140">
        <f t="shared" si="123"/>
        <v>0</v>
      </c>
      <c r="X169" s="692"/>
      <c r="Y169" s="595"/>
      <c r="Z169" s="595"/>
      <c r="AA169" s="595"/>
      <c r="AB169" s="354">
        <f t="shared" si="119"/>
        <v>0</v>
      </c>
      <c r="AC169" s="181"/>
      <c r="AD169" s="625"/>
      <c r="AE169" s="626"/>
      <c r="AF169" s="696"/>
      <c r="AG169" s="628"/>
      <c r="AH169" s="629"/>
      <c r="AI169" s="187"/>
      <c r="AJ169" s="630"/>
      <c r="AK169" s="630"/>
      <c r="AL169" s="595"/>
      <c r="AM169" s="595"/>
      <c r="AN169" s="595"/>
      <c r="AO169" s="595"/>
      <c r="AP169" s="595"/>
      <c r="AQ169" s="595"/>
      <c r="AR169" s="595"/>
      <c r="AS169" s="595"/>
      <c r="AT169" s="595"/>
      <c r="AU169" s="595"/>
      <c r="AV169" s="595"/>
      <c r="AW169" s="595"/>
      <c r="AX169" s="595"/>
      <c r="AY169" s="595"/>
      <c r="AZ169" s="595"/>
      <c r="BA169" s="595"/>
      <c r="BB169" s="595"/>
      <c r="BC169" s="595"/>
      <c r="BD169" s="595"/>
      <c r="BE169" s="595"/>
      <c r="BF169" s="595"/>
      <c r="BG169" s="595"/>
      <c r="BH169" s="595"/>
      <c r="BI169" s="651"/>
      <c r="BJ169" s="651"/>
      <c r="BK169" s="651"/>
      <c r="BL169" s="651"/>
      <c r="BM169" s="651"/>
      <c r="BN169" s="651"/>
      <c r="BO169" s="651"/>
      <c r="BP169" s="651"/>
      <c r="BQ169" s="651"/>
      <c r="BR169" s="651"/>
      <c r="BS169" s="651"/>
      <c r="BT169" s="651"/>
    </row>
    <row r="170">
      <c r="A170" s="631"/>
      <c r="B170" s="154"/>
      <c r="C170" s="700"/>
      <c r="D170" s="701"/>
      <c r="E170" s="722"/>
      <c r="F170" s="699"/>
      <c r="G170" s="158"/>
      <c r="H170" s="700"/>
      <c r="I170" s="700"/>
      <c r="J170" s="701"/>
      <c r="K170" s="126"/>
      <c r="L170" s="704"/>
      <c r="M170" s="704"/>
      <c r="N170" s="711"/>
      <c r="O170" s="712"/>
      <c r="P170" s="700"/>
      <c r="Q170" s="712"/>
      <c r="R170" s="136" t="str">
        <f>IFERROR(
  IF(B170="", "", VLOOKUP(B170, Data!$B$2:$K$905, 9, FALSE)),
  ""
)</f>
        <v/>
      </c>
      <c r="S170" s="152"/>
      <c r="T170" s="690"/>
      <c r="U170" s="136" t="str">
        <f>IFERROR(
  IF(B170="", "", VLOOKUP(B170, Data!$B$2:$K$905, 10, FALSE)),
  ""
)
</f>
        <v/>
      </c>
      <c r="V170" s="691"/>
      <c r="W170" s="713"/>
      <c r="X170" s="692"/>
      <c r="Y170" s="595"/>
      <c r="Z170" s="595"/>
      <c r="AA170" s="595"/>
      <c r="AB170" s="354"/>
      <c r="AC170" s="181"/>
      <c r="AD170" s="625"/>
      <c r="AE170" s="626"/>
      <c r="AF170" s="696"/>
      <c r="AG170" s="628"/>
      <c r="AH170" s="629"/>
      <c r="AI170" s="187"/>
      <c r="AJ170" s="630"/>
      <c r="AK170" s="630"/>
      <c r="AL170" s="595"/>
      <c r="AM170" s="595"/>
      <c r="AN170" s="595"/>
      <c r="AO170" s="595"/>
      <c r="AP170" s="595"/>
      <c r="AQ170" s="595"/>
      <c r="AR170" s="595"/>
      <c r="AS170" s="595"/>
      <c r="AT170" s="595"/>
      <c r="AU170" s="595"/>
      <c r="AV170" s="595"/>
      <c r="AW170" s="595"/>
      <c r="AX170" s="595"/>
      <c r="AY170" s="595"/>
      <c r="AZ170" s="595"/>
      <c r="BA170" s="595"/>
      <c r="BB170" s="595"/>
      <c r="BC170" s="595"/>
      <c r="BD170" s="595"/>
      <c r="BE170" s="595"/>
      <c r="BF170" s="595"/>
      <c r="BG170" s="595"/>
      <c r="BH170" s="595"/>
      <c r="BI170" s="651"/>
      <c r="BJ170" s="651"/>
      <c r="BK170" s="651"/>
      <c r="BL170" s="651"/>
      <c r="BM170" s="651"/>
      <c r="BN170" s="651"/>
      <c r="BO170" s="651"/>
      <c r="BP170" s="651"/>
      <c r="BQ170" s="651"/>
      <c r="BR170" s="651"/>
      <c r="BS170" s="651"/>
      <c r="BT170" s="651"/>
    </row>
    <row r="171">
      <c r="A171" s="631">
        <v>1.0</v>
      </c>
      <c r="B171" s="727"/>
      <c r="C171" s="103" t="s">
        <v>490</v>
      </c>
      <c r="D171" s="678"/>
      <c r="E171" s="676"/>
      <c r="F171" s="677"/>
      <c r="G171" s="157"/>
      <c r="H171" s="678"/>
      <c r="I171" s="678"/>
      <c r="J171" s="678"/>
      <c r="K171" s="728" t="s">
        <v>42</v>
      </c>
      <c r="L171" s="106">
        <f>Q171</f>
        <v>31.2</v>
      </c>
      <c r="M171" s="679" t="s">
        <v>42</v>
      </c>
      <c r="N171" s="680"/>
      <c r="O171" s="679"/>
      <c r="P171" s="678"/>
      <c r="Q171" s="106">
        <f>Q172+Q175</f>
        <v>31.2</v>
      </c>
      <c r="R171" s="136" t="str">
        <f>IFERROR(
  IF(B171="", "", VLOOKUP(B171, Data!$B$2:$K$905, 9, FALSE)),
  ""
)</f>
        <v/>
      </c>
      <c r="S171" s="682">
        <f>IFERROR(T171/Q171, 0)</f>
        <v>0</v>
      </c>
      <c r="T171" s="109">
        <f>SUM(S172:S183)</f>
        <v>0</v>
      </c>
      <c r="U171" s="136" t="str">
        <f>IFERROR(
  IF(B171="", "", VLOOKUP(B171, Data!$B$2:$K$905, 10, FALSE)),
  ""
)
</f>
        <v/>
      </c>
      <c r="V171" s="109">
        <f>W171/Q171</f>
        <v>0</v>
      </c>
      <c r="W171" s="110">
        <f>SUM(W172:W183)</f>
        <v>0</v>
      </c>
      <c r="X171" s="111" t="str">
        <f>W171/$AC$758/$W$765/$X$755</f>
        <v>#REF!</v>
      </c>
      <c r="Y171" s="112" t="b">
        <f>(T171+W171)=(SUM(AB172:AB182))</f>
        <v>1</v>
      </c>
      <c r="Z171" s="113">
        <f>(T171+W171)-(SUM(AB172:AB182))</f>
        <v>0</v>
      </c>
      <c r="AA171" s="595"/>
      <c r="AB171" s="354"/>
      <c r="AC171" s="181"/>
      <c r="AD171" s="114">
        <f>W171+T171</f>
        <v>0</v>
      </c>
      <c r="AE171" s="115">
        <f>AD171</f>
        <v>0</v>
      </c>
      <c r="AF171" s="116" t="str">
        <f>AE171/$AE$733</f>
        <v>#REF!</v>
      </c>
      <c r="AG171" s="683" t="str">
        <f>AF171*$AG$740</f>
        <v>#REF!</v>
      </c>
      <c r="AH171" s="118" t="str">
        <f>AF171*$AG$743</f>
        <v>#REF!</v>
      </c>
      <c r="AI171" s="187"/>
      <c r="AJ171" s="119" t="str">
        <f>ROUND(AK171/L171,2)</f>
        <v>#REF!</v>
      </c>
      <c r="AK171" s="119" t="str">
        <f>ROUND(AH171+AG171+AD171,2)</f>
        <v>#REF!</v>
      </c>
      <c r="AL171" s="595"/>
      <c r="AM171" s="595"/>
      <c r="AN171" s="595"/>
      <c r="AO171" s="595"/>
      <c r="AP171" s="595"/>
      <c r="AQ171" s="595"/>
      <c r="AR171" s="595"/>
      <c r="AS171" s="595"/>
      <c r="AT171" s="595"/>
      <c r="AU171" s="595"/>
      <c r="AV171" s="595"/>
      <c r="AW171" s="595"/>
      <c r="AX171" s="595"/>
      <c r="AY171" s="595"/>
      <c r="AZ171" s="595"/>
      <c r="BA171" s="595"/>
      <c r="BB171" s="595"/>
      <c r="BC171" s="595"/>
      <c r="BD171" s="595"/>
      <c r="BE171" s="595"/>
      <c r="BF171" s="595"/>
      <c r="BG171" s="595"/>
      <c r="BH171" s="595"/>
      <c r="BI171" s="651"/>
      <c r="BJ171" s="651"/>
      <c r="BK171" s="651"/>
      <c r="BL171" s="651"/>
      <c r="BM171" s="651"/>
      <c r="BN171" s="651"/>
      <c r="BO171" s="651"/>
      <c r="BP171" s="651"/>
      <c r="BQ171" s="651"/>
      <c r="BR171" s="651"/>
      <c r="BS171" s="651"/>
      <c r="BT171" s="651"/>
    </row>
    <row r="172">
      <c r="A172" s="716" t="s">
        <v>491</v>
      </c>
      <c r="B172" s="154" t="str">
        <f>IFERROR(__xludf.DUMMYFUNCTION("IFERROR(
  IF(C172="""","""",
    IF(OR(REGEXMATCH(D172,""(?i)-Flashing""), REGEXMATCH(D172,""(?i)-EavesGut""), REGEXMATCH(D172,""(?i)Valley"")),
        ""DR"" &amp;
        TEXT(
            ROUNDUP(
                MIN(
                    VALUE(MID(C172, "&amp;"FIND(""("",C172)+1, FIND(""/"",C172)-FIND(""("",C172)-1)),
                    1200
                ) / 50, 0
            ) * 50, ""0""
        ) &amp;
        MID(C172, FIND(""/"",C172)+1, FIND("")"",C172)-FIND(""/"",C172)-1) &amp;
        TEXT(H172*100,""0"") &amp;"&amp;"
        I172,
    IF(AND(D172=""Roof Sheet"", REGEXMATCH(C172,""(?i)KS\d{4}[A-Z]{2}"")),
       REGEXEXTRACT(C172,""(?i)KS\d{4}[A-Z]{2}""),
    IF(AND(REGEXMATCH(D172,""(?i)-DP""), REGEXMATCH(C172,""(?i)Downpipe"")),
       ""dp"" &amp; REGEXEXTRACT(C172,""("&amp;"\d+)"") &amp; ""mm"",
    IF(AND(REGEXMATCH(D172,""(?i)Bracket""), REGEXMATCH(C172,""(?i)Bracket"")),
       ""Brkt"" &amp; REGEXEXTRACT(C172,""(\d+)"") &amp; ""mm"",
    IF(AND(REGEXMATCH(D172,""(?i)-OP""), REGEXMATCH(C172,""(?i)pops"")),
       ""op"" &amp; REGEXEXTRAC"&amp;"T(C172,""(\d+)"") &amp; ""mm"",
    IF(OR(D172=""R-FFTop"", D172=""R-FFBottom"", D172=""R-FFSide""),
        IF(REGEXMATCH(C172,""(?i)Profiled.*Top|Top.*Profiled""),""pfft"",
        IF(REGEXMATCH(C172,""(?i)Profiled.*Bottom|Bottom.*Profiled""),""pffb"",
    "&amp;"    IF(REGEXMATCH(C172,""(?i)Square""),""sff"",""""))),
    IF(REGEXMATCH(D172,""(?i)-Rivets""),""Rvt"",
    IF(REGEXMATCH(D172,""(?i)Silicone|Seal""),""300ml"",
    IF(REGEXMATCH(D172,""(?i)R-Butyl""),""300ml"",
    IF(REGEXMATCH(D172,""(?i)Fix""),""GenF"&amp;"ix"",
    IF(AND(REGEXMATCH(C172,""(?i)Timber""), REGEXMATCH(D172,""(?i)Timber"")),""tp"",
    IF(AND(REGEXMATCH(C172,""(?i)Vent G1275""), REGEXMATCH(D172,""(?i)Comb FIller"")),""CFV1275"",
    IF(REGEXMATCH(C172,""(?i)DPC""),""dpc"",
    IF(REGEXMATCH(C1"&amp;"72,""(?i)Concealed Clips""),""ConClips"",
    IF(REGEXMATCH(D172,""(?i)-Takeoff ea""),""Takeoff ea"",
    IF(REGEXMATCH(D172,""(?i)-Takeoff LM""),""Takeoff LM"",
    IF(REGEXMATCH(D172,""(?i)-Takeoff m2""),""Takeoff m2"",
    IF(D172=""R-TU/TD"",""TU/TD"""&amp;","""")))))))))))))))))
  )))"),"dp150mm")</f>
        <v>dp150mm</v>
      </c>
      <c r="C172" s="123" t="s">
        <v>492</v>
      </c>
      <c r="D172" s="124" t="s">
        <v>139</v>
      </c>
      <c r="E172" s="725"/>
      <c r="F172" s="699"/>
      <c r="G172" s="689" t="s">
        <v>429</v>
      </c>
      <c r="H172" s="700"/>
      <c r="I172" s="700"/>
      <c r="J172" s="126" t="s">
        <v>14</v>
      </c>
      <c r="K172" s="126" t="str">
        <f>IFERROR(
  IF(B172="", "", VLOOKUP(B172, Data!$B$2:$K$905, 7, FALSE)),
  ""
)</f>
        <v/>
      </c>
      <c r="L172" s="131">
        <v>2.0</v>
      </c>
      <c r="M172" s="150">
        <f t="shared" ref="M172:M173" si="124">L172</f>
        <v>2</v>
      </c>
      <c r="N172" s="156">
        <v>2.4</v>
      </c>
      <c r="O172" s="759">
        <v>2.0</v>
      </c>
      <c r="P172" s="156">
        <v>1.0</v>
      </c>
      <c r="Q172" s="242">
        <f t="shared" ref="Q172:Q173" si="125">M172*N172*O172*P172</f>
        <v>9.6</v>
      </c>
      <c r="R172" s="136" t="str">
        <f>IFERROR(
  IF(B172="", "", VLOOKUP(B172, Data!$B$2:$K$905, 9, FALSE)),
  ""
)</f>
        <v/>
      </c>
      <c r="S172" s="152">
        <f t="shared" ref="S172:S173" si="126">R172*Q172</f>
        <v>0</v>
      </c>
      <c r="T172" s="690"/>
      <c r="U172" s="136" t="str">
        <f>IFERROR(
  IF(B172="", "", VLOOKUP(B172, Data!$B$2:$K$905, 10, FALSE)),
  ""
)
</f>
        <v/>
      </c>
      <c r="V172" s="691"/>
      <c r="W172" s="140">
        <f t="shared" ref="W172:W173" si="127">U172*Q172</f>
        <v>0</v>
      </c>
      <c r="X172" s="693"/>
      <c r="Y172" s="595"/>
      <c r="Z172" s="595"/>
      <c r="AA172" s="595"/>
      <c r="AB172" s="354">
        <f t="shared" ref="AB172:AB173" si="128">W172+S172</f>
        <v>0</v>
      </c>
      <c r="AC172" s="181"/>
      <c r="AD172" s="625"/>
      <c r="AE172" s="626"/>
      <c r="AF172" s="696"/>
      <c r="AG172" s="697"/>
      <c r="AH172" s="629"/>
      <c r="AI172" s="187"/>
      <c r="AJ172" s="630"/>
      <c r="AK172" s="630"/>
      <c r="AL172" s="595"/>
      <c r="AM172" s="595"/>
      <c r="AN172" s="595"/>
      <c r="AO172" s="595"/>
      <c r="AP172" s="595"/>
      <c r="AQ172" s="595"/>
      <c r="AR172" s="595"/>
      <c r="AS172" s="595"/>
      <c r="AT172" s="595"/>
      <c r="AU172" s="595"/>
      <c r="AV172" s="595"/>
      <c r="AW172" s="595"/>
      <c r="AX172" s="595"/>
      <c r="AY172" s="595"/>
      <c r="AZ172" s="595"/>
      <c r="BA172" s="595"/>
      <c r="BB172" s="595"/>
      <c r="BC172" s="595"/>
      <c r="BD172" s="595"/>
      <c r="BE172" s="595"/>
      <c r="BF172" s="595"/>
      <c r="BG172" s="595"/>
      <c r="BH172" s="595"/>
      <c r="BI172" s="651"/>
      <c r="BJ172" s="651"/>
      <c r="BK172" s="651"/>
      <c r="BL172" s="651"/>
      <c r="BM172" s="651"/>
      <c r="BN172" s="651"/>
      <c r="BO172" s="651"/>
      <c r="BP172" s="651"/>
      <c r="BQ172" s="651"/>
      <c r="BR172" s="651"/>
      <c r="BS172" s="651"/>
      <c r="BT172" s="651"/>
    </row>
    <row r="173">
      <c r="A173" s="703" t="s">
        <v>491</v>
      </c>
      <c r="B173" s="154" t="str">
        <f>IFERROR(__xludf.DUMMYFUNCTION("IFERROR(
  IF(C173="""","""",
    IF(OR(REGEXMATCH(D173,""(?i)-Flashing""), REGEXMATCH(D173,""(?i)-EavesGut""), REGEXMATCH(D173,""(?i)Valley"")),
        ""DR"" &amp;
        TEXT(
            ROUNDUP(
                MIN(
                    VALUE(MID(C173, "&amp;"FIND(""("",C173)+1, FIND(""/"",C173)-FIND(""("",C173)-1)),
                    1200
                ) / 50, 0
            ) * 50, ""0""
        ) &amp;
        MID(C173, FIND(""/"",C173)+1, FIND("")"",C173)-FIND(""/"",C173)-1) &amp;
        TEXT(H173*100,""0"") &amp;"&amp;"
        I173,
    IF(AND(D173=""Roof Sheet"", REGEXMATCH(C173,""(?i)KS\d{4}[A-Z]{2}"")),
       REGEXEXTRACT(C173,""(?i)KS\d{4}[A-Z]{2}""),
    IF(AND(REGEXMATCH(D173,""(?i)-DP""), REGEXMATCH(C173,""(?i)Downpipe"")),
       ""dp"" &amp; REGEXEXTRACT(C173,""("&amp;"\d+)"") &amp; ""mm"",
    IF(AND(REGEXMATCH(D173,""(?i)Bracket""), REGEXMATCH(C173,""(?i)Bracket"")),
       ""Brkt"" &amp; REGEXEXTRACT(C173,""(\d+)"") &amp; ""mm"",
    IF(AND(REGEXMATCH(D173,""(?i)-OP""), REGEXMATCH(C173,""(?i)pops"")),
       ""op"" &amp; REGEXEXTRAC"&amp;"T(C173,""(\d+)"") &amp; ""mm"",
    IF(OR(D173=""R-FFTop"", D173=""R-FFBottom"", D173=""R-FFSide""),
        IF(REGEXMATCH(C173,""(?i)Profiled.*Top|Top.*Profiled""),""pfft"",
        IF(REGEXMATCH(C173,""(?i)Profiled.*Bottom|Bottom.*Profiled""),""pffb"",
    "&amp;"    IF(REGEXMATCH(C173,""(?i)Square""),""sff"",""""))),
    IF(REGEXMATCH(D173,""(?i)-Rivets""),""Rvt"",
    IF(REGEXMATCH(D173,""(?i)Silicone|Seal""),""300ml"",
    IF(REGEXMATCH(D173,""(?i)R-Butyl""),""300ml"",
    IF(REGEXMATCH(D173,""(?i)Fix""),""GenF"&amp;"ix"",
    IF(AND(REGEXMATCH(C173,""(?i)Timber""), REGEXMATCH(D173,""(?i)Timber"")),""tp"",
    IF(AND(REGEXMATCH(C173,""(?i)Vent G1275""), REGEXMATCH(D173,""(?i)Comb FIller"")),""CFV1275"",
    IF(REGEXMATCH(C173,""(?i)DPC""),""dpc"",
    IF(REGEXMATCH(C1"&amp;"73,""(?i)Concealed Clips""),""ConClips"",
    IF(REGEXMATCH(D173,""(?i)-Takeoff ea""),""Takeoff ea"",
    IF(REGEXMATCH(D173,""(?i)-Takeoff LM""),""Takeoff LM"",
    IF(REGEXMATCH(D173,""(?i)-Takeoff m2""),""Takeoff m2"",
    IF(D173=""R-TU/TD"",""TU/TD"""&amp;","""")))))))))))))))))
  )))"),"Brkt150mm")</f>
        <v>Brkt150mm</v>
      </c>
      <c r="C173" s="123" t="s">
        <v>140</v>
      </c>
      <c r="D173" s="124" t="s">
        <v>141</v>
      </c>
      <c r="E173" s="725"/>
      <c r="F173" s="699"/>
      <c r="G173" s="702"/>
      <c r="H173" s="700"/>
      <c r="I173" s="700"/>
      <c r="J173" s="126" t="s">
        <v>87</v>
      </c>
      <c r="K173" s="126" t="str">
        <f>IFERROR(
  IF(B173="", "", VLOOKUP(B173, Data!$B$2:$K$905, 7, FALSE)),
  ""
)</f>
        <v/>
      </c>
      <c r="L173" s="135">
        <f>L172</f>
        <v>2</v>
      </c>
      <c r="M173" s="150">
        <f t="shared" si="124"/>
        <v>2</v>
      </c>
      <c r="N173" s="151">
        <v>1.0</v>
      </c>
      <c r="O173" s="169">
        <f>roundup(Q172/3,0)+1</f>
        <v>5</v>
      </c>
      <c r="P173" s="760">
        <f>P172</f>
        <v>1</v>
      </c>
      <c r="Q173" s="242">
        <f t="shared" si="125"/>
        <v>10</v>
      </c>
      <c r="R173" s="136" t="str">
        <f>IFERROR(
  IF(B173="", "", VLOOKUP(B173, Data!$B$2:$K$905, 9, FALSE)),
  ""
)</f>
        <v/>
      </c>
      <c r="S173" s="152">
        <f t="shared" si="126"/>
        <v>0</v>
      </c>
      <c r="T173" s="690"/>
      <c r="U173" s="136" t="str">
        <f>IFERROR(
  IF(B173="", "", VLOOKUP(B173, Data!$B$2:$K$905, 10, FALSE)),
  ""
)
</f>
        <v/>
      </c>
      <c r="V173" s="691"/>
      <c r="W173" s="140">
        <f t="shared" si="127"/>
        <v>0</v>
      </c>
      <c r="X173" s="692"/>
      <c r="Y173" s="595"/>
      <c r="Z173" s="595"/>
      <c r="AA173" s="595"/>
      <c r="AB173" s="354">
        <f t="shared" si="128"/>
        <v>0</v>
      </c>
      <c r="AC173" s="181"/>
      <c r="AD173" s="625"/>
      <c r="AE173" s="626"/>
      <c r="AF173" s="696"/>
      <c r="AG173" s="697"/>
      <c r="AH173" s="629"/>
      <c r="AI173" s="187"/>
      <c r="AJ173" s="630"/>
      <c r="AK173" s="630"/>
      <c r="AL173" s="595"/>
      <c r="AM173" s="595"/>
      <c r="AN173" s="595"/>
      <c r="AO173" s="595"/>
      <c r="AP173" s="595"/>
      <c r="AQ173" s="595"/>
      <c r="AR173" s="595"/>
      <c r="AS173" s="595"/>
      <c r="AT173" s="595"/>
      <c r="AU173" s="595"/>
      <c r="AV173" s="595"/>
      <c r="AW173" s="595"/>
      <c r="AX173" s="595"/>
      <c r="AY173" s="595"/>
      <c r="AZ173" s="595"/>
      <c r="BA173" s="595"/>
      <c r="BB173" s="595"/>
      <c r="BC173" s="595"/>
      <c r="BD173" s="595"/>
      <c r="BE173" s="595"/>
      <c r="BF173" s="595"/>
      <c r="BG173" s="595"/>
      <c r="BH173" s="595"/>
      <c r="BI173" s="651"/>
      <c r="BJ173" s="651"/>
      <c r="BK173" s="651"/>
      <c r="BL173" s="651"/>
      <c r="BM173" s="651"/>
      <c r="BN173" s="651"/>
      <c r="BO173" s="651"/>
      <c r="BP173" s="651"/>
      <c r="BQ173" s="651"/>
      <c r="BR173" s="651"/>
      <c r="BS173" s="651"/>
      <c r="BT173" s="651"/>
    </row>
    <row r="174">
      <c r="A174" s="631"/>
      <c r="B174" s="154"/>
      <c r="C174" s="123"/>
      <c r="D174" s="124"/>
      <c r="E174" s="725"/>
      <c r="F174" s="699"/>
      <c r="G174" s="689"/>
      <c r="H174" s="700"/>
      <c r="I174" s="700"/>
      <c r="J174" s="126"/>
      <c r="K174" s="126"/>
      <c r="L174" s="131"/>
      <c r="M174" s="150"/>
      <c r="N174" s="151"/>
      <c r="O174" s="759"/>
      <c r="P174" s="760"/>
      <c r="Q174" s="242"/>
      <c r="R174" s="136"/>
      <c r="S174" s="152"/>
      <c r="T174" s="690"/>
      <c r="U174" s="136" t="str">
        <f>IFERROR(
  IF(B174="", "", VLOOKUP(B174, Data!$B$2:$K$905, 10, FALSE)),
  ""
)
</f>
        <v/>
      </c>
      <c r="V174" s="691"/>
      <c r="W174" s="140"/>
      <c r="X174" s="693"/>
      <c r="Y174" s="595"/>
      <c r="Z174" s="595"/>
      <c r="AA174" s="595"/>
      <c r="AB174" s="354"/>
      <c r="AC174" s="181"/>
      <c r="AD174" s="625"/>
      <c r="AE174" s="626"/>
      <c r="AF174" s="696"/>
      <c r="AG174" s="628"/>
      <c r="AH174" s="629"/>
      <c r="AI174" s="187"/>
      <c r="AJ174" s="630"/>
      <c r="AK174" s="630"/>
      <c r="AL174" s="595"/>
      <c r="AM174" s="595"/>
      <c r="AN174" s="595"/>
      <c r="AO174" s="595"/>
      <c r="AP174" s="595"/>
      <c r="AQ174" s="595"/>
      <c r="AR174" s="595"/>
      <c r="AS174" s="595"/>
      <c r="AT174" s="595"/>
      <c r="AU174" s="595"/>
      <c r="AV174" s="595"/>
      <c r="AW174" s="595"/>
      <c r="AX174" s="595"/>
      <c r="AY174" s="595"/>
      <c r="AZ174" s="595"/>
      <c r="BA174" s="595"/>
      <c r="BB174" s="595"/>
      <c r="BC174" s="595"/>
      <c r="BD174" s="595"/>
      <c r="BE174" s="595"/>
      <c r="BF174" s="595"/>
      <c r="BG174" s="595"/>
      <c r="BH174" s="595"/>
      <c r="BI174" s="651"/>
      <c r="BJ174" s="651"/>
      <c r="BK174" s="651"/>
      <c r="BL174" s="651"/>
      <c r="BM174" s="651"/>
      <c r="BN174" s="651"/>
      <c r="BO174" s="651"/>
      <c r="BP174" s="651"/>
      <c r="BQ174" s="651"/>
      <c r="BR174" s="651"/>
      <c r="BS174" s="651"/>
      <c r="BT174" s="651"/>
    </row>
    <row r="175">
      <c r="A175" s="716" t="s">
        <v>491</v>
      </c>
      <c r="B175" s="154" t="str">
        <f>IFERROR(__xludf.DUMMYFUNCTION("IFERROR(
  IF(C175="""","""",
    IF(OR(REGEXMATCH(D175,""(?i)-Flashing""), REGEXMATCH(D175,""(?i)-EavesGut""), REGEXMATCH(D175,""(?i)Valley"")),
        ""DR"" &amp;
        TEXT(
            ROUNDUP(
                MIN(
                    VALUE(MID(C175, "&amp;"FIND(""("",C175)+1, FIND(""/"",C175)-FIND(""("",C175)-1)),
                    1200
                ) / 50, 0
            ) * 50, ""0""
        ) &amp;
        MID(C175, FIND(""/"",C175)+1, FIND("")"",C175)-FIND(""/"",C175)-1) &amp;
        TEXT(H175*100,""0"") &amp;"&amp;"
        I175,
    IF(AND(D175=""Roof Sheet"", REGEXMATCH(C175,""(?i)KS\d{4}[A-Z]{2}"")),
       REGEXEXTRACT(C175,""(?i)KS\d{4}[A-Z]{2}""),
    IF(AND(REGEXMATCH(D175,""(?i)-DP""), REGEXMATCH(C175,""(?i)Downpipe"")),
       ""dp"" &amp; REGEXEXTRACT(C175,""("&amp;"\d+)"") &amp; ""mm"",
    IF(AND(REGEXMATCH(D175,""(?i)Bracket""), REGEXMATCH(C175,""(?i)Bracket"")),
       ""Brkt"" &amp; REGEXEXTRACT(C175,""(\d+)"") &amp; ""mm"",
    IF(AND(REGEXMATCH(D175,""(?i)-OP""), REGEXMATCH(C175,""(?i)pops"")),
       ""op"" &amp; REGEXEXTRAC"&amp;"T(C175,""(\d+)"") &amp; ""mm"",
    IF(OR(D175=""R-FFTop"", D175=""R-FFBottom"", D175=""R-FFSide""),
        IF(REGEXMATCH(C175,""(?i)Profiled.*Top|Top.*Profiled""),""pfft"",
        IF(REGEXMATCH(C175,""(?i)Profiled.*Bottom|Bottom.*Profiled""),""pffb"",
    "&amp;"    IF(REGEXMATCH(C175,""(?i)Square""),""sff"",""""))),
    IF(REGEXMATCH(D175,""(?i)-Rivets""),""Rvt"",
    IF(REGEXMATCH(D175,""(?i)Silicone|Seal""),""300ml"",
    IF(REGEXMATCH(D175,""(?i)R-Butyl""),""300ml"",
    IF(REGEXMATCH(D175,""(?i)Fix""),""GenF"&amp;"ix"",
    IF(AND(REGEXMATCH(C175,""(?i)Timber""), REGEXMATCH(D175,""(?i)Timber"")),""tp"",
    IF(AND(REGEXMATCH(C175,""(?i)Vent G1275""), REGEXMATCH(D175,""(?i)Comb FIller"")),""CFV1275"",
    IF(REGEXMATCH(C175,""(?i)DPC""),""dpc"",
    IF(REGEXMATCH(C1"&amp;"75,""(?i)Concealed Clips""),""ConClips"",
    IF(REGEXMATCH(D175,""(?i)-Takeoff ea""),""Takeoff ea"",
    IF(REGEXMATCH(D175,""(?i)-Takeoff LM""),""Takeoff LM"",
    IF(REGEXMATCH(D175,""(?i)-Takeoff m2""),""Takeoff m2"",
    IF(D175=""R-TU/TD"",""TU/TD"""&amp;","""")))))))))))))))))
  )))"),"dp150mm")</f>
        <v>dp150mm</v>
      </c>
      <c r="C175" s="123" t="s">
        <v>493</v>
      </c>
      <c r="D175" s="124" t="s">
        <v>139</v>
      </c>
      <c r="E175" s="725"/>
      <c r="F175" s="699"/>
      <c r="G175" s="689" t="s">
        <v>429</v>
      </c>
      <c r="H175" s="700"/>
      <c r="I175" s="700"/>
      <c r="J175" s="126" t="s">
        <v>14</v>
      </c>
      <c r="K175" s="126" t="str">
        <f>IFERROR(
  IF(B175="", "", VLOOKUP(B175, Data!$B$2:$K$905, 7, FALSE)),
  ""
)</f>
        <v/>
      </c>
      <c r="L175" s="131">
        <v>2.0</v>
      </c>
      <c r="M175" s="150">
        <f t="shared" ref="M175:M177" si="129">L175</f>
        <v>2</v>
      </c>
      <c r="N175" s="156">
        <v>1.8</v>
      </c>
      <c r="O175" s="759">
        <v>6.0</v>
      </c>
      <c r="P175" s="156">
        <v>1.0</v>
      </c>
      <c r="Q175" s="242">
        <f t="shared" ref="Q175:Q178" si="131">M175*N175*O175*P175</f>
        <v>21.6</v>
      </c>
      <c r="R175" s="136" t="str">
        <f>IFERROR(
  IF(B175="", "", VLOOKUP(B175, Data!$B$2:$K$905, 9, FALSE)),
  ""
)</f>
        <v/>
      </c>
      <c r="S175" s="152">
        <f t="shared" ref="S175:S178" si="132">R175*Q175</f>
        <v>0</v>
      </c>
      <c r="T175" s="690"/>
      <c r="U175" s="136" t="str">
        <f>IFERROR(
  IF(B175="", "", VLOOKUP(B175, Data!$B$2:$K$905, 10, FALSE)),
  ""
)
</f>
        <v/>
      </c>
      <c r="V175" s="691"/>
      <c r="W175" s="140">
        <f t="shared" ref="W175:W178" si="133">U175*Q175</f>
        <v>0</v>
      </c>
      <c r="X175" s="693"/>
      <c r="Y175" s="595"/>
      <c r="Z175" s="595"/>
      <c r="AA175" s="595"/>
      <c r="AB175" s="354">
        <f t="shared" ref="AB175:AB176" si="134">W175+S175</f>
        <v>0</v>
      </c>
      <c r="AC175" s="181"/>
      <c r="AD175" s="625"/>
      <c r="AE175" s="626"/>
      <c r="AF175" s="696"/>
      <c r="AG175" s="628"/>
      <c r="AH175" s="629"/>
      <c r="AI175" s="187"/>
      <c r="AJ175" s="630"/>
      <c r="AK175" s="630"/>
      <c r="AL175" s="595"/>
      <c r="AM175" s="595"/>
      <c r="AN175" s="595"/>
      <c r="AO175" s="595"/>
      <c r="AP175" s="595"/>
      <c r="AQ175" s="595"/>
      <c r="AR175" s="595"/>
      <c r="AS175" s="595"/>
      <c r="AT175" s="595"/>
      <c r="AU175" s="595"/>
      <c r="AV175" s="595"/>
      <c r="AW175" s="595"/>
      <c r="AX175" s="595"/>
      <c r="AY175" s="595"/>
      <c r="AZ175" s="595"/>
      <c r="BA175" s="595"/>
      <c r="BB175" s="595"/>
      <c r="BC175" s="595"/>
      <c r="BD175" s="595"/>
      <c r="BE175" s="595"/>
      <c r="BF175" s="595"/>
      <c r="BG175" s="595"/>
      <c r="BH175" s="595"/>
      <c r="BI175" s="651"/>
      <c r="BJ175" s="651"/>
      <c r="BK175" s="651"/>
      <c r="BL175" s="651"/>
      <c r="BM175" s="651"/>
      <c r="BN175" s="651"/>
      <c r="BO175" s="651"/>
      <c r="BP175" s="651"/>
      <c r="BQ175" s="651"/>
      <c r="BR175" s="651"/>
      <c r="BS175" s="651"/>
      <c r="BT175" s="651"/>
    </row>
    <row r="176">
      <c r="A176" s="716" t="s">
        <v>491</v>
      </c>
      <c r="B176" s="154" t="str">
        <f>IFERROR(__xludf.DUMMYFUNCTION("IFERROR(
  IF(C176="""","""",
    IF(OR(REGEXMATCH(D176,""(?i)-Flashing""), REGEXMATCH(D176,""(?i)-EavesGut""), REGEXMATCH(D176,""(?i)Valley"")),
        ""DR"" &amp;
        TEXT(
            ROUNDUP(
                MIN(
                    VALUE(MID(C176, "&amp;"FIND(""("",C176)+1, FIND(""/"",C176)-FIND(""("",C176)-1)),
                    1200
                ) / 50, 0
            ) * 50, ""0""
        ) &amp;
        MID(C176, FIND(""/"",C176)+1, FIND("")"",C176)-FIND(""/"",C176)-1) &amp;
        TEXT(H176*100,""0"") &amp;"&amp;"
        I176,
    IF(AND(D176=""Roof Sheet"", REGEXMATCH(C176,""(?i)KS\d{4}[A-Z]{2}"")),
       REGEXEXTRACT(C176,""(?i)KS\d{4}[A-Z]{2}""),
    IF(AND(REGEXMATCH(D176,""(?i)-DP""), REGEXMATCH(C176,""(?i)Downpipe"")),
       ""dp"" &amp; REGEXEXTRACT(C176,""("&amp;"\d+)"") &amp; ""mm"",
    IF(AND(REGEXMATCH(D176,""(?i)Bracket""), REGEXMATCH(C176,""(?i)Bracket"")),
       ""Brkt"" &amp; REGEXEXTRACT(C176,""(\d+)"") &amp; ""mm"",
    IF(AND(REGEXMATCH(D176,""(?i)-OP""), REGEXMATCH(C176,""(?i)pops"")),
       ""op"" &amp; REGEXEXTRAC"&amp;"T(C176,""(\d+)"") &amp; ""mm"",
    IF(OR(D176=""R-FFTop"", D176=""R-FFBottom"", D176=""R-FFSide""),
        IF(REGEXMATCH(C176,""(?i)Profiled.*Top|Top.*Profiled""),""pfft"",
        IF(REGEXMATCH(C176,""(?i)Profiled.*Bottom|Bottom.*Profiled""),""pffb"",
    "&amp;"    IF(REGEXMATCH(C176,""(?i)Square""),""sff"",""""))),
    IF(REGEXMATCH(D176,""(?i)-Rivets""),""Rvt"",
    IF(REGEXMATCH(D176,""(?i)Silicone|Seal""),""300ml"",
    IF(REGEXMATCH(D176,""(?i)R-Butyl""),""300ml"",
    IF(REGEXMATCH(D176,""(?i)Fix""),""GenF"&amp;"ix"",
    IF(AND(REGEXMATCH(C176,""(?i)Timber""), REGEXMATCH(D176,""(?i)Timber"")),""tp"",
    IF(AND(REGEXMATCH(C176,""(?i)Vent G1275""), REGEXMATCH(D176,""(?i)Comb FIller"")),""CFV1275"",
    IF(REGEXMATCH(C176,""(?i)DPC""),""dpc"",
    IF(REGEXMATCH(C1"&amp;"76,""(?i)Concealed Clips""),""ConClips"",
    IF(REGEXMATCH(D176,""(?i)-Takeoff ea""),""Takeoff ea"",
    IF(REGEXMATCH(D176,""(?i)-Takeoff LM""),""Takeoff LM"",
    IF(REGEXMATCH(D176,""(?i)-Takeoff m2""),""Takeoff m2"",
    IF(D176=""R-TU/TD"",""TU/TD"""&amp;","""")))))))))))))))))
  )))"),"Brkt150mm")</f>
        <v>Brkt150mm</v>
      </c>
      <c r="C176" s="123" t="s">
        <v>140</v>
      </c>
      <c r="D176" s="124" t="s">
        <v>141</v>
      </c>
      <c r="E176" s="725"/>
      <c r="F176" s="699"/>
      <c r="G176" s="158"/>
      <c r="H176" s="700"/>
      <c r="I176" s="700"/>
      <c r="J176" s="126" t="s">
        <v>87</v>
      </c>
      <c r="K176" s="126" t="str">
        <f>IFERROR(
  IF(B176="", "", VLOOKUP(B176, Data!$B$2:$K$905, 7, FALSE)),
  ""
)</f>
        <v/>
      </c>
      <c r="L176" s="135">
        <f>L175</f>
        <v>2</v>
      </c>
      <c r="M176" s="150">
        <f t="shared" si="129"/>
        <v>2</v>
      </c>
      <c r="N176" s="151">
        <f>IFERROR(__xludf.DUMMYFUNCTION("IF(B176="""", """", IFERROR(1 / COS(RADIANS(REGEXEXTRACT(F176,""(\d+)""))), 1))"),1.0)</f>
        <v>1</v>
      </c>
      <c r="O176" s="169">
        <f t="shared" ref="O176:P176" si="130">O175</f>
        <v>6</v>
      </c>
      <c r="P176" s="760">
        <f t="shared" si="130"/>
        <v>1</v>
      </c>
      <c r="Q176" s="242">
        <f t="shared" si="131"/>
        <v>12</v>
      </c>
      <c r="R176" s="136" t="str">
        <f>IFERROR(
  IF(B176="", "", VLOOKUP(B176, Data!$B$2:$K$905, 9, FALSE)),
  ""
)</f>
        <v/>
      </c>
      <c r="S176" s="152">
        <f t="shared" si="132"/>
        <v>0</v>
      </c>
      <c r="T176" s="690"/>
      <c r="U176" s="136" t="str">
        <f>IFERROR(
  IF(B176="", "", VLOOKUP(B176, Data!$B$2:$K$905, 10, FALSE)),
  ""
)
</f>
        <v/>
      </c>
      <c r="V176" s="691"/>
      <c r="W176" s="140">
        <f t="shared" si="133"/>
        <v>0</v>
      </c>
      <c r="X176" s="692"/>
      <c r="Y176" s="595"/>
      <c r="Z176" s="595"/>
      <c r="AA176" s="595"/>
      <c r="AB176" s="354">
        <f t="shared" si="134"/>
        <v>0</v>
      </c>
      <c r="AC176" s="181"/>
      <c r="AD176" s="625"/>
      <c r="AE176" s="626"/>
      <c r="AF176" s="696"/>
      <c r="AG176" s="628"/>
      <c r="AH176" s="629"/>
      <c r="AI176" s="187"/>
      <c r="AJ176" s="630"/>
      <c r="AK176" s="630"/>
      <c r="AL176" s="595"/>
      <c r="AM176" s="595"/>
      <c r="AN176" s="595"/>
      <c r="AO176" s="595"/>
      <c r="AP176" s="595"/>
      <c r="AQ176" s="595"/>
      <c r="AR176" s="595"/>
      <c r="AS176" s="595"/>
      <c r="AT176" s="595"/>
      <c r="AU176" s="595"/>
      <c r="AV176" s="595"/>
      <c r="AW176" s="595"/>
      <c r="AX176" s="595"/>
      <c r="AY176" s="595"/>
      <c r="AZ176" s="595"/>
      <c r="BA176" s="595"/>
      <c r="BB176" s="595"/>
      <c r="BC176" s="595"/>
      <c r="BD176" s="595"/>
      <c r="BE176" s="595"/>
      <c r="BF176" s="595"/>
      <c r="BG176" s="595"/>
      <c r="BH176" s="595"/>
      <c r="BI176" s="651"/>
      <c r="BJ176" s="651"/>
      <c r="BK176" s="651"/>
      <c r="BL176" s="651"/>
      <c r="BM176" s="651"/>
      <c r="BN176" s="651"/>
      <c r="BO176" s="651"/>
      <c r="BP176" s="651"/>
      <c r="BQ176" s="651"/>
      <c r="BR176" s="651"/>
      <c r="BS176" s="651"/>
      <c r="BT176" s="651"/>
    </row>
    <row r="177">
      <c r="A177" s="716" t="s">
        <v>491</v>
      </c>
      <c r="B177" s="154" t="s">
        <v>494</v>
      </c>
      <c r="C177" s="123" t="s">
        <v>495</v>
      </c>
      <c r="D177" s="148" t="s">
        <v>337</v>
      </c>
      <c r="E177" s="725"/>
      <c r="F177" s="699"/>
      <c r="G177" s="158"/>
      <c r="H177" s="700"/>
      <c r="I177" s="700"/>
      <c r="J177" s="126" t="s">
        <v>87</v>
      </c>
      <c r="K177" s="126" t="str">
        <f>IFERROR(
  IF(B177="", "", VLOOKUP(B177, Data!$B$2:$K$905, 7, FALSE)),
  ""
)</f>
        <v/>
      </c>
      <c r="L177" s="131">
        <v>6.0</v>
      </c>
      <c r="M177" s="150">
        <f t="shared" si="129"/>
        <v>6</v>
      </c>
      <c r="N177" s="151">
        <f>IFERROR(__xludf.DUMMYFUNCTION("IF(B177="""", """", IFERROR(1 / COS(RADIANS(REGEXEXTRACT(F177,""(\d+)""))), 1))"),1.0)</f>
        <v>1</v>
      </c>
      <c r="O177" s="759">
        <v>1.0</v>
      </c>
      <c r="P177" s="760">
        <f>P176</f>
        <v>1</v>
      </c>
      <c r="Q177" s="242">
        <f t="shared" si="131"/>
        <v>6</v>
      </c>
      <c r="R177" s="136" t="str">
        <f>IFERROR(
  IF(B177="", "", VLOOKUP(B177, Data!$B$2:$K$905, 9, FALSE)),
  ""
)</f>
        <v/>
      </c>
      <c r="S177" s="152">
        <f t="shared" si="132"/>
        <v>0</v>
      </c>
      <c r="T177" s="690"/>
      <c r="U177" s="136" t="str">
        <f>IFERROR(
  IF(B177="", "", VLOOKUP(B177, Data!$B$2:$K$905, 10, FALSE)),
  ""
)
</f>
        <v/>
      </c>
      <c r="V177" s="691"/>
      <c r="W177" s="140">
        <f t="shared" si="133"/>
        <v>0</v>
      </c>
      <c r="X177" s="692"/>
      <c r="Y177" s="595"/>
      <c r="Z177" s="595"/>
      <c r="AA177" s="595"/>
      <c r="AB177" s="354"/>
      <c r="AC177" s="181"/>
      <c r="AD177" s="625"/>
      <c r="AE177" s="626"/>
      <c r="AF177" s="696"/>
      <c r="AG177" s="628"/>
      <c r="AH177" s="629"/>
      <c r="AI177" s="187"/>
      <c r="AJ177" s="630"/>
      <c r="AK177" s="630"/>
      <c r="AL177" s="595"/>
      <c r="AM177" s="595"/>
      <c r="AN177" s="595"/>
      <c r="AO177" s="595"/>
      <c r="AP177" s="595"/>
      <c r="AQ177" s="595"/>
      <c r="AR177" s="595"/>
      <c r="AS177" s="595"/>
      <c r="AT177" s="595"/>
      <c r="AU177" s="595"/>
      <c r="AV177" s="595"/>
      <c r="AW177" s="595"/>
      <c r="AX177" s="595"/>
      <c r="AY177" s="595"/>
      <c r="AZ177" s="595"/>
      <c r="BA177" s="595"/>
      <c r="BB177" s="595"/>
      <c r="BC177" s="595"/>
      <c r="BD177" s="595"/>
      <c r="BE177" s="595"/>
      <c r="BF177" s="595"/>
      <c r="BG177" s="595"/>
      <c r="BH177" s="595"/>
      <c r="BI177" s="651"/>
      <c r="BJ177" s="651"/>
      <c r="BK177" s="651"/>
      <c r="BL177" s="651"/>
      <c r="BM177" s="651"/>
      <c r="BN177" s="651"/>
      <c r="BO177" s="651"/>
      <c r="BP177" s="651"/>
      <c r="BQ177" s="651"/>
      <c r="BR177" s="651"/>
      <c r="BS177" s="651"/>
      <c r="BT177" s="651"/>
    </row>
    <row r="178">
      <c r="A178" s="716" t="s">
        <v>491</v>
      </c>
      <c r="B178" s="122" t="s">
        <v>496</v>
      </c>
      <c r="C178" s="123" t="s">
        <v>497</v>
      </c>
      <c r="D178" s="148" t="s">
        <v>337</v>
      </c>
      <c r="E178" s="725"/>
      <c r="F178" s="699"/>
      <c r="G178" s="158"/>
      <c r="H178" s="700"/>
      <c r="I178" s="700"/>
      <c r="J178" s="126" t="s">
        <v>87</v>
      </c>
      <c r="K178" s="126" t="str">
        <f>IFERROR(
  IF(B178="", "", VLOOKUP(B178, Data!$B$2:$K$905, 7, FALSE)),
  ""
)</f>
        <v/>
      </c>
      <c r="L178" s="131"/>
      <c r="M178" s="730">
        <v>2.0</v>
      </c>
      <c r="N178" s="151">
        <f>IFERROR(__xludf.DUMMYFUNCTION("IF(B178="""", """", IFERROR(1 / COS(RADIANS(REGEXEXTRACT(F178,""(\d+)""))), 1))"),1.0)</f>
        <v>1</v>
      </c>
      <c r="O178" s="759">
        <v>1.0</v>
      </c>
      <c r="P178" s="156">
        <v>1.0</v>
      </c>
      <c r="Q178" s="242">
        <f t="shared" si="131"/>
        <v>2</v>
      </c>
      <c r="R178" s="136" t="str">
        <f>IFERROR(
  IF(B178="", "", VLOOKUP(B178, Data!$B$2:$K$905, 9, FALSE)),
  ""
)</f>
        <v/>
      </c>
      <c r="S178" s="152">
        <f t="shared" si="132"/>
        <v>0</v>
      </c>
      <c r="T178" s="690"/>
      <c r="U178" s="136" t="str">
        <f>IFERROR(
  IF(B178="", "", VLOOKUP(B178, Data!$B$2:$K$905, 10, FALSE)),
  ""
)
</f>
        <v/>
      </c>
      <c r="V178" s="691"/>
      <c r="W178" s="140">
        <f t="shared" si="133"/>
        <v>0</v>
      </c>
      <c r="X178" s="692"/>
      <c r="Y178" s="595"/>
      <c r="Z178" s="595"/>
      <c r="AA178" s="595"/>
      <c r="AB178" s="354"/>
      <c r="AC178" s="181"/>
      <c r="AD178" s="625"/>
      <c r="AE178" s="626"/>
      <c r="AF178" s="696"/>
      <c r="AG178" s="628"/>
      <c r="AH178" s="629"/>
      <c r="AI178" s="187"/>
      <c r="AJ178" s="630"/>
      <c r="AK178" s="630"/>
      <c r="AL178" s="595"/>
      <c r="AM178" s="595"/>
      <c r="AN178" s="595"/>
      <c r="AO178" s="595"/>
      <c r="AP178" s="595"/>
      <c r="AQ178" s="595"/>
      <c r="AR178" s="595"/>
      <c r="AS178" s="595"/>
      <c r="AT178" s="595"/>
      <c r="AU178" s="595"/>
      <c r="AV178" s="595"/>
      <c r="AW178" s="595"/>
      <c r="AX178" s="595"/>
      <c r="AY178" s="595"/>
      <c r="AZ178" s="595"/>
      <c r="BA178" s="595"/>
      <c r="BB178" s="595"/>
      <c r="BC178" s="595"/>
      <c r="BD178" s="595"/>
      <c r="BE178" s="595"/>
      <c r="BF178" s="595"/>
      <c r="BG178" s="595"/>
      <c r="BH178" s="595"/>
      <c r="BI178" s="651"/>
      <c r="BJ178" s="651"/>
      <c r="BK178" s="651"/>
      <c r="BL178" s="651"/>
      <c r="BM178" s="651"/>
      <c r="BN178" s="651"/>
      <c r="BO178" s="651"/>
      <c r="BP178" s="651"/>
      <c r="BQ178" s="651"/>
      <c r="BR178" s="651"/>
      <c r="BS178" s="651"/>
      <c r="BT178" s="651"/>
    </row>
    <row r="179">
      <c r="A179" s="631"/>
      <c r="B179" s="154" t="str">
        <f>IFERROR(__xludf.DUMMYFUNCTION("IFERROR(
  IF(C179="""","""",
    IF(OR(REGEXMATCH(D179,""(?i)-Flashing""), REGEXMATCH(D179,""(?i)-EavesGut""), REGEXMATCH(D179,""(?i)Valley"")),
        ""DR"" &amp;
        TEXT(
            ROUNDUP(
                MIN(
                    VALUE(MID(C179, "&amp;"FIND(""("",C179)+1, FIND(""/"",C179)-FIND(""("",C179)-1)),
                    1200
                ) / 50, 0
            ) * 50, ""0""
        ) &amp;
        MID(C179, FIND(""/"",C179)+1, FIND("")"",C179)-FIND(""/"",C179)-1) &amp;
        TEXT(H179*100,""0"") &amp;"&amp;"
        I179,
    IF(AND(D179=""Roof Sheet"", REGEXMATCH(C179,""(?i)KS\d{4}[A-Z]{2}"")),
       REGEXEXTRACT(C179,""(?i)KS\d{4}[A-Z]{2}""),
    IF(AND(REGEXMATCH(D179,""(?i)-DP""), REGEXMATCH(C179,""(?i)Downpipe"")),
       ""dp"" &amp; REGEXEXTRACT(C179,""("&amp;"\d+)"") &amp; ""mm"",
    IF(AND(REGEXMATCH(D179,""(?i)Bracket""), REGEXMATCH(C179,""(?i)Bracket"")),
       ""Brkt"" &amp; REGEXEXTRACT(C179,""(\d+)"") &amp; ""mm"",
    IF(AND(REGEXMATCH(D179,""(?i)-OP""), REGEXMATCH(C179,""(?i)pops"")),
       ""op"" &amp; REGEXEXTRAC"&amp;"T(C179,""(\d+)"") &amp; ""mm"",
    IF(OR(D179=""R-FFTop"", D179=""R-FFBottom"", D179=""R-FFSide""),
        IF(REGEXMATCH(C179,""(?i)Profiled.*Top|Top.*Profiled""),""pfft"",
        IF(REGEXMATCH(C179,""(?i)Profiled.*Bottom|Bottom.*Profiled""),""pffb"",
    "&amp;"    IF(REGEXMATCH(C179,""(?i)Square""),""sff"",""""))),
    IF(REGEXMATCH(D179,""(?i)-Rivets""),""Rvt"",
    IF(REGEXMATCH(D179,""(?i)Silicone|Seal""),""300ml"",
    IF(REGEXMATCH(D179,""(?i)R-Butyl""),""300ml"",
    IF(REGEXMATCH(D179,""(?i)Fix""),""GenF"&amp;"ix"",
    IF(AND(REGEXMATCH(C179,""(?i)Timber""), REGEXMATCH(D179,""(?i)Timber"")),""tp"",
    IF(AND(REGEXMATCH(C179,""(?i)Vent G1275""), REGEXMATCH(D179,""(?i)Comb FIller"")),""CFV1275"",
    IF(REGEXMATCH(C179,""(?i)DPC""),""dpc"",
    IF(REGEXMATCH(C1"&amp;"79,""(?i)Concealed Clips""),""ConClips"",
    IF(REGEXMATCH(D179,""(?i)-Takeoff ea""),""Takeoff ea"",
    IF(REGEXMATCH(D179,""(?i)-Takeoff LM""),""Takeoff LM"",
    IF(REGEXMATCH(D179,""(?i)-Takeoff m2""),""Takeoff m2"",
    IF(D179=""R-TU/TD"",""TU/TD"""&amp;","""")))))))))))))))))
  )))"),"")</f>
        <v/>
      </c>
      <c r="C179" s="701"/>
      <c r="D179" s="701"/>
      <c r="E179" s="722"/>
      <c r="F179" s="699"/>
      <c r="G179" s="158"/>
      <c r="H179" s="700"/>
      <c r="I179" s="700"/>
      <c r="J179" s="701"/>
      <c r="K179" s="126" t="str">
        <f>IFERROR(
  IF(B179="", "", VLOOKUP(B179, Data!$B$2:$K$905, 7, FALSE)),
  ""
)</f>
        <v/>
      </c>
      <c r="L179" s="704"/>
      <c r="M179" s="704" t="s">
        <v>42</v>
      </c>
      <c r="N179" s="711" t="str">
        <f>IFERROR(__xludf.DUMMYFUNCTION("IF(B179="""", """", IFERROR(1 / COS(RADIANS(REGEXEXTRACT(F179,""(\d+)""))), 1))"),"")</f>
        <v/>
      </c>
      <c r="O179" s="712"/>
      <c r="P179" s="760"/>
      <c r="Q179" s="242"/>
      <c r="R179" s="136" t="str">
        <f>IFERROR(
  IF(B179="", "", VLOOKUP(B179, Data!$B$2:$K$905, 9, FALSE)),
  ""
)</f>
        <v/>
      </c>
      <c r="S179" s="152"/>
      <c r="T179" s="690"/>
      <c r="U179" s="136" t="str">
        <f>IFERROR(
  IF(B179="", "", VLOOKUP(B179, Data!$B$2:$K$905, 10, FALSE)),
  ""
)
</f>
        <v/>
      </c>
      <c r="V179" s="691"/>
      <c r="W179" s="713"/>
      <c r="X179" s="692"/>
      <c r="Y179" s="595"/>
      <c r="Z179" s="595"/>
      <c r="AA179" s="595"/>
      <c r="AB179" s="354">
        <f t="shared" ref="AB179:AB182" si="135">W179+S179</f>
        <v>0</v>
      </c>
      <c r="AC179" s="181"/>
      <c r="AD179" s="625"/>
      <c r="AE179" s="626"/>
      <c r="AF179" s="696"/>
      <c r="AG179" s="628"/>
      <c r="AH179" s="629"/>
      <c r="AI179" s="187"/>
      <c r="AJ179" s="630"/>
      <c r="AK179" s="630"/>
      <c r="AL179" s="595"/>
      <c r="AM179" s="595"/>
      <c r="AN179" s="595"/>
      <c r="AO179" s="595"/>
      <c r="AP179" s="595"/>
      <c r="AQ179" s="595"/>
      <c r="AR179" s="595"/>
      <c r="AS179" s="595"/>
      <c r="AT179" s="595"/>
      <c r="AU179" s="595"/>
      <c r="AV179" s="595"/>
      <c r="AW179" s="595"/>
      <c r="AX179" s="595"/>
      <c r="AY179" s="595"/>
      <c r="AZ179" s="595"/>
      <c r="BA179" s="595"/>
      <c r="BB179" s="595"/>
      <c r="BC179" s="595"/>
      <c r="BD179" s="595"/>
      <c r="BE179" s="595"/>
      <c r="BF179" s="595"/>
      <c r="BG179" s="595"/>
      <c r="BH179" s="595"/>
      <c r="BI179" s="651"/>
      <c r="BJ179" s="651"/>
      <c r="BK179" s="651"/>
      <c r="BL179" s="651"/>
      <c r="BM179" s="651"/>
      <c r="BN179" s="651"/>
      <c r="BO179" s="651"/>
      <c r="BP179" s="651"/>
      <c r="BQ179" s="651"/>
      <c r="BR179" s="651"/>
      <c r="BS179" s="651"/>
      <c r="BT179" s="651"/>
    </row>
    <row r="180">
      <c r="A180" s="716" t="s">
        <v>491</v>
      </c>
      <c r="B180" s="154" t="str">
        <f>IFERROR(__xludf.DUMMYFUNCTION("IFERROR(
  IF(C180="""","""",
    IF(OR(REGEXMATCH(D180,""(?i)-Flashing""), REGEXMATCH(D180,""(?i)-EavesGut""), REGEXMATCH(D180,""(?i)Valley"")),
        ""DR"" &amp;
        TEXT(
            ROUNDUP(
                MIN(
                    VALUE(MID(C180, "&amp;"FIND(""("",C180)+1, FIND(""/"",C180)-FIND(""("",C180)-1)),
                    1200
                ) / 50, 0
            ) * 50, ""0""
        ) &amp;
        MID(C180, FIND(""/"",C180)+1, FIND("")"",C180)-FIND(""/"",C180)-1) &amp;
        TEXT(H180*100,""0"") &amp;"&amp;"
        I180,
    IF(AND(D180=""Roof Sheet"", REGEXMATCH(C180,""(?i)KS\d{4}[A-Z]{2}"")),
       REGEXEXTRACT(C180,""(?i)KS\d{4}[A-Z]{2}""),
    IF(AND(REGEXMATCH(D180,""(?i)-DP""), REGEXMATCH(C180,""(?i)Downpipe"")),
       ""dp"" &amp; REGEXEXTRACT(C180,""("&amp;"\d+)"") &amp; ""mm"",
    IF(AND(REGEXMATCH(D180,""(?i)Bracket""), REGEXMATCH(C180,""(?i)Bracket"")),
       ""Brkt"" &amp; REGEXEXTRACT(C180,""(\d+)"") &amp; ""mm"",
    IF(AND(REGEXMATCH(D180,""(?i)-OP""), REGEXMATCH(C180,""(?i)pops"")),
       ""op"" &amp; REGEXEXTRAC"&amp;"T(C180,""(\d+)"") &amp; ""mm"",
    IF(OR(D180=""R-FFTop"", D180=""R-FFBottom"", D180=""R-FFSide""),
        IF(REGEXMATCH(C180,""(?i)Profiled.*Top|Top.*Profiled""),""pfft"",
        IF(REGEXMATCH(C180,""(?i)Profiled.*Bottom|Bottom.*Profiled""),""pffb"",
    "&amp;"    IF(REGEXMATCH(C180,""(?i)Square""),""sff"",""""))),
    IF(REGEXMATCH(D180,""(?i)-Rivets""),""Rvt"",
    IF(REGEXMATCH(D180,""(?i)Silicone|Seal""),""300ml"",
    IF(REGEXMATCH(D180,""(?i)R-Butyl""),""300ml"",
    IF(REGEXMATCH(D180,""(?i)Fix""),""GenF"&amp;"ix"",
    IF(AND(REGEXMATCH(C180,""(?i)Timber""), REGEXMATCH(D180,""(?i)Timber"")),""tp"",
    IF(AND(REGEXMATCH(C180,""(?i)Vent G1275""), REGEXMATCH(D180,""(?i)Comb FIller"")),""CFV1275"",
    IF(REGEXMATCH(C180,""(?i)DPC""),""dpc"",
    IF(REGEXMATCH(C1"&amp;"80,""(?i)Concealed Clips""),""ConClips"",
    IF(REGEXMATCH(D180,""(?i)-Takeoff ea""),""Takeoff ea"",
    IF(REGEXMATCH(D180,""(?i)-Takeoff LM""),""Takeoff LM"",
    IF(REGEXMATCH(D180,""(?i)-Takeoff m2""),""Takeoff m2"",
    IF(D180=""R-TU/TD"",""TU/TD"""&amp;","""")))))))))))))))))
  )))"),"op150mm")</f>
        <v>op150mm</v>
      </c>
      <c r="C180" s="123" t="s">
        <v>142</v>
      </c>
      <c r="D180" s="124" t="s">
        <v>143</v>
      </c>
      <c r="E180" s="687">
        <f>IFERROR(__xludf.DUMMYFUNCTION("IF(REGEXMATCH(C180, ""\d+mmØ""), VALUE(REGEXEXTRACT(C180, ""(\d+)mmØ""))/1000, """")
"),0.15)</f>
        <v>0.15</v>
      </c>
      <c r="F180" s="699"/>
      <c r="G180" s="158"/>
      <c r="H180" s="700"/>
      <c r="I180" s="700"/>
      <c r="J180" s="126" t="s">
        <v>87</v>
      </c>
      <c r="K180" s="126" t="str">
        <f>IFERROR(
  IF(B180="", "", VLOOKUP(B180, Data!$B$2:$K$905, 7, FALSE)),
  ""
)</f>
        <v/>
      </c>
      <c r="L180" s="704"/>
      <c r="M180" s="150">
        <v>1.0</v>
      </c>
      <c r="N180" s="151">
        <f>IFERROR(__xludf.DUMMYFUNCTION("IF(B180="""", """", IFERROR(1 / COS(RADIANS(REGEXEXTRACT(F180,""(\d+)""))), 1))"),1.0)</f>
        <v>1</v>
      </c>
      <c r="O180" s="759">
        <f>L176</f>
        <v>2</v>
      </c>
      <c r="P180" s="156">
        <v>1.0</v>
      </c>
      <c r="Q180" s="242">
        <f t="shared" ref="Q180:Q182" si="137">M180*N180*O180*P180</f>
        <v>2</v>
      </c>
      <c r="R180" s="136" t="str">
        <f>IFERROR(
  IF(B180="", "", VLOOKUP(B180, Data!$B$2:$K$905, 9, FALSE)),
  ""
)</f>
        <v/>
      </c>
      <c r="S180" s="152">
        <f t="shared" ref="S180:S182" si="138">R180*Q180</f>
        <v>0</v>
      </c>
      <c r="T180" s="690"/>
      <c r="U180" s="136" t="str">
        <f>IFERROR(
  IF(B180="", "", VLOOKUP(B180, Data!$B$2:$K$905, 10, FALSE)),
  ""
)
</f>
        <v/>
      </c>
      <c r="V180" s="691"/>
      <c r="W180" s="140">
        <f t="shared" ref="W180:W182" si="139">U180*Q180</f>
        <v>0</v>
      </c>
      <c r="X180" s="692"/>
      <c r="Y180" s="595"/>
      <c r="Z180" s="595"/>
      <c r="AA180" s="595"/>
      <c r="AB180" s="354">
        <f t="shared" si="135"/>
        <v>0</v>
      </c>
      <c r="AC180" s="181"/>
      <c r="AD180" s="625"/>
      <c r="AE180" s="626"/>
      <c r="AF180" s="696"/>
      <c r="AG180" s="628"/>
      <c r="AH180" s="629"/>
      <c r="AI180" s="187"/>
      <c r="AJ180" s="630"/>
      <c r="AK180" s="630"/>
      <c r="AL180" s="595"/>
      <c r="AM180" s="595"/>
      <c r="AN180" s="595"/>
      <c r="AO180" s="595"/>
      <c r="AP180" s="595"/>
      <c r="AQ180" s="595"/>
      <c r="AR180" s="595"/>
      <c r="AS180" s="595"/>
      <c r="AT180" s="595"/>
      <c r="AU180" s="595"/>
      <c r="AV180" s="595"/>
      <c r="AW180" s="595"/>
      <c r="AX180" s="595"/>
      <c r="AY180" s="595"/>
      <c r="AZ180" s="595"/>
      <c r="BA180" s="595"/>
      <c r="BB180" s="595"/>
      <c r="BC180" s="595"/>
      <c r="BD180" s="595"/>
      <c r="BE180" s="595"/>
      <c r="BF180" s="595"/>
      <c r="BG180" s="595"/>
      <c r="BH180" s="595"/>
      <c r="BI180" s="651"/>
      <c r="BJ180" s="651"/>
      <c r="BK180" s="651"/>
      <c r="BL180" s="651"/>
      <c r="BM180" s="651"/>
      <c r="BN180" s="651"/>
      <c r="BO180" s="651"/>
      <c r="BP180" s="651"/>
      <c r="BQ180" s="651"/>
      <c r="BR180" s="651"/>
      <c r="BS180" s="651"/>
      <c r="BT180" s="651"/>
    </row>
    <row r="181">
      <c r="A181" s="631"/>
      <c r="B181" s="154" t="str">
        <f>IFERROR(__xludf.DUMMYFUNCTION("IFERROR(
  IF(C181="""","""",
    IF(OR(REGEXMATCH(D181,""(?i)-Flashing""), REGEXMATCH(D181,""(?i)-EavesGut""), REGEXMATCH(D181,""(?i)Valley"")),
        ""DR"" &amp;
        TEXT(
            ROUNDUP(
                MIN(
                    VALUE(MID(C181, "&amp;"FIND(""("",C181)+1, FIND(""/"",C181)-FIND(""("",C181)-1)),
                    1200
                ) / 50, 0
            ) * 50, ""0""
        ) &amp;
        MID(C181, FIND(""/"",C181)+1, FIND("")"",C181)-FIND(""/"",C181)-1) &amp;
        TEXT(H181*100,""0"") &amp;"&amp;"
        I181,
    IF(AND(D181=""Roof Sheet"", REGEXMATCH(C181,""(?i)KS\d{4}[A-Z]{2}"")),
       REGEXEXTRACT(C181,""(?i)KS\d{4}[A-Z]{2}""),
    IF(AND(REGEXMATCH(D181,""(?i)-DP""), REGEXMATCH(C181,""(?i)Downpipe"")),
       ""dp"" &amp; REGEXEXTRACT(C181,""("&amp;"\d+)"") &amp; ""mm"",
    IF(AND(REGEXMATCH(D181,""(?i)Bracket""), REGEXMATCH(C181,""(?i)Bracket"")),
       ""Brkt"" &amp; REGEXEXTRACT(C181,""(\d+)"") &amp; ""mm"",
    IF(AND(REGEXMATCH(D181,""(?i)-OP""), REGEXMATCH(C181,""(?i)pops"")),
       ""op"" &amp; REGEXEXTRAC"&amp;"T(C181,""(\d+)"") &amp; ""mm"",
    IF(OR(D181=""R-FFTop"", D181=""R-FFBottom"", D181=""R-FFSide""),
        IF(REGEXMATCH(C181,""(?i)Profiled.*Top|Top.*Profiled""),""pfft"",
        IF(REGEXMATCH(C181,""(?i)Profiled.*Bottom|Bottom.*Profiled""),""pffb"",
    "&amp;"    IF(REGEXMATCH(C181,""(?i)Square""),""sff"",""""))),
    IF(REGEXMATCH(D181,""(?i)-Rivets""),""Rvt"",
    IF(REGEXMATCH(D181,""(?i)Silicone|Seal""),""300ml"",
    IF(REGEXMATCH(D181,""(?i)R-Butyl""),""300ml"",
    IF(REGEXMATCH(D181,""(?i)Fix""),""GenF"&amp;"ix"",
    IF(AND(REGEXMATCH(C181,""(?i)Timber""), REGEXMATCH(D181,""(?i)Timber"")),""tp"",
    IF(AND(REGEXMATCH(C181,""(?i)Vent G1275""), REGEXMATCH(D181,""(?i)Comb FIller"")),""CFV1275"",
    IF(REGEXMATCH(C181,""(?i)DPC""),""dpc"",
    IF(REGEXMATCH(C1"&amp;"81,""(?i)Concealed Clips""),""ConClips"",
    IF(REGEXMATCH(D181,""(?i)-Takeoff ea""),""Takeoff ea"",
    IF(REGEXMATCH(D181,""(?i)-Takeoff LM""),""Takeoff LM"",
    IF(REGEXMATCH(D181,""(?i)-Takeoff m2""),""Takeoff m2"",
    IF(D181=""R-TU/TD"",""TU/TD"""&amp;","""")))))))))))))))))
  )))"),"300ml")</f>
        <v>300ml</v>
      </c>
      <c r="C181" s="225" t="s">
        <v>98</v>
      </c>
      <c r="D181" s="124" t="s">
        <v>388</v>
      </c>
      <c r="E181" s="687">
        <f>E180</f>
        <v>0.15</v>
      </c>
      <c r="F181" s="699"/>
      <c r="G181" s="158"/>
      <c r="H181" s="700"/>
      <c r="I181" s="700"/>
      <c r="J181" s="126" t="s">
        <v>87</v>
      </c>
      <c r="K181" s="126" t="str">
        <f>IFERROR(
  IF(B181="", "", VLOOKUP(B181, Data!$B$2:$K$905, 7, FALSE)),
  ""
)</f>
        <v/>
      </c>
      <c r="L181" s="704"/>
      <c r="M181" s="150">
        <f>ROUNDUP(3.14*E181,0)/8</f>
        <v>0.125</v>
      </c>
      <c r="N181" s="151">
        <f>IFERROR(__xludf.DUMMYFUNCTION("IF(B181="""", """", IFERROR(1 / COS(RADIANS(REGEXEXTRACT(F181,""(\d+)""))), 1))"),1.0)</f>
        <v>1</v>
      </c>
      <c r="O181" s="169">
        <f t="shared" ref="O181:P181" si="136">O180</f>
        <v>2</v>
      </c>
      <c r="P181" s="760">
        <f t="shared" si="136"/>
        <v>1</v>
      </c>
      <c r="Q181" s="242">
        <f t="shared" si="137"/>
        <v>0.25</v>
      </c>
      <c r="R181" s="136" t="str">
        <f>IFERROR(
  IF(B181="", "", VLOOKUP(B181, Data!$B$2:$K$905, 9, FALSE)),
  ""
)</f>
        <v/>
      </c>
      <c r="S181" s="152">
        <f t="shared" si="138"/>
        <v>0</v>
      </c>
      <c r="T181" s="690"/>
      <c r="U181" s="136" t="str">
        <f>IFERROR(
  IF(B181="", "", VLOOKUP(B181, Data!$B$2:$K$905, 10, FALSE)),
  ""
)
</f>
        <v/>
      </c>
      <c r="V181" s="691"/>
      <c r="W181" s="140">
        <f t="shared" si="139"/>
        <v>0</v>
      </c>
      <c r="X181" s="692"/>
      <c r="Y181" s="595"/>
      <c r="Z181" s="595"/>
      <c r="AA181" s="595"/>
      <c r="AB181" s="354">
        <f t="shared" si="135"/>
        <v>0</v>
      </c>
      <c r="AC181" s="181"/>
      <c r="AD181" s="625"/>
      <c r="AE181" s="626"/>
      <c r="AF181" s="696"/>
      <c r="AG181" s="628"/>
      <c r="AH181" s="629"/>
      <c r="AI181" s="187"/>
      <c r="AJ181" s="630"/>
      <c r="AK181" s="630"/>
      <c r="AL181" s="595"/>
      <c r="AM181" s="595"/>
      <c r="AN181" s="595"/>
      <c r="AO181" s="595"/>
      <c r="AP181" s="595"/>
      <c r="AQ181" s="595"/>
      <c r="AR181" s="595"/>
      <c r="AS181" s="595"/>
      <c r="AT181" s="595"/>
      <c r="AU181" s="595"/>
      <c r="AV181" s="595"/>
      <c r="AW181" s="595"/>
      <c r="AX181" s="595"/>
      <c r="AY181" s="595"/>
      <c r="AZ181" s="595"/>
      <c r="BA181" s="595"/>
      <c r="BB181" s="595"/>
      <c r="BC181" s="595"/>
      <c r="BD181" s="595"/>
      <c r="BE181" s="595"/>
      <c r="BF181" s="595"/>
      <c r="BG181" s="595"/>
      <c r="BH181" s="595"/>
      <c r="BI181" s="651"/>
      <c r="BJ181" s="651"/>
      <c r="BK181" s="651"/>
      <c r="BL181" s="651"/>
      <c r="BM181" s="651"/>
      <c r="BN181" s="651"/>
      <c r="BO181" s="651"/>
      <c r="BP181" s="651"/>
      <c r="BQ181" s="651"/>
      <c r="BR181" s="651"/>
      <c r="BS181" s="651"/>
      <c r="BT181" s="651"/>
    </row>
    <row r="182">
      <c r="A182" s="631"/>
      <c r="B182" s="154" t="str">
        <f>IFERROR(__xludf.DUMMYFUNCTION("IFERROR(
  IF(C182="""","""",
    IF(OR(REGEXMATCH(D182,""(?i)-Flashing""), REGEXMATCH(D182,""(?i)-EavesGut""), REGEXMATCH(D182,""(?i)Valley"")),
        ""DR"" &amp;
        TEXT(
            ROUNDUP(
                MIN(
                    VALUE(MID(C182, "&amp;"FIND(""("",C182)+1, FIND(""/"",C182)-FIND(""("",C182)-1)),
                    1200
                ) / 50, 0
            ) * 50, ""0""
        ) &amp;
        MID(C182, FIND(""/"",C182)+1, FIND("")"",C182)-FIND(""/"",C182)-1) &amp;
        TEXT(H182*100,""0"") &amp;"&amp;"
        I182,
    IF(AND(D182=""Roof Sheet"", REGEXMATCH(C182,""(?i)KS\d{4}[A-Z]{2}"")),
       REGEXEXTRACT(C182,""(?i)KS\d{4}[A-Z]{2}""),
    IF(AND(REGEXMATCH(D182,""(?i)-DP""), REGEXMATCH(C182,""(?i)Downpipe"")),
       ""dp"" &amp; REGEXEXTRACT(C182,""("&amp;"\d+)"") &amp; ""mm"",
    IF(AND(REGEXMATCH(D182,""(?i)Bracket""), REGEXMATCH(C182,""(?i)Bracket"")),
       ""Brkt"" &amp; REGEXEXTRACT(C182,""(\d+)"") &amp; ""mm"",
    IF(AND(REGEXMATCH(D182,""(?i)-OP""), REGEXMATCH(C182,""(?i)pops"")),
       ""op"" &amp; REGEXEXTRAC"&amp;"T(C182,""(\d+)"") &amp; ""mm"",
    IF(OR(D182=""R-FFTop"", D182=""R-FFBottom"", D182=""R-FFSide""),
        IF(REGEXMATCH(C182,""(?i)Profiled.*Top|Top.*Profiled""),""pfft"",
        IF(REGEXMATCH(C182,""(?i)Profiled.*Bottom|Bottom.*Profiled""),""pffb"",
    "&amp;"    IF(REGEXMATCH(C182,""(?i)Square""),""sff"",""""))),
    IF(REGEXMATCH(D182,""(?i)-Rivets""),""Rvt"",
    IF(REGEXMATCH(D182,""(?i)Silicone|Seal""),""300ml"",
    IF(REGEXMATCH(D182,""(?i)R-Butyl""),""300ml"",
    IF(REGEXMATCH(D182,""(?i)Fix""),""GenF"&amp;"ix"",
    IF(AND(REGEXMATCH(C182,""(?i)Timber""), REGEXMATCH(D182,""(?i)Timber"")),""tp"",
    IF(AND(REGEXMATCH(C182,""(?i)Vent G1275""), REGEXMATCH(D182,""(?i)Comb FIller"")),""CFV1275"",
    IF(REGEXMATCH(C182,""(?i)DPC""),""dpc"",
    IF(REGEXMATCH(C1"&amp;"82,""(?i)Concealed Clips""),""ConClips"",
    IF(REGEXMATCH(D182,""(?i)-Takeoff ea""),""Takeoff ea"",
    IF(REGEXMATCH(D182,""(?i)-Takeoff LM""),""Takeoff LM"",
    IF(REGEXMATCH(D182,""(?i)-Takeoff m2""),""Takeoff m2"",
    IF(D182=""R-TU/TD"",""TU/TD"""&amp;","""")))))))))))))))))
  )))"),"GenFix")</f>
        <v>GenFix</v>
      </c>
      <c r="C182" s="225" t="s">
        <v>102</v>
      </c>
      <c r="D182" s="124" t="s">
        <v>144</v>
      </c>
      <c r="E182" s="687">
        <f>E180</f>
        <v>0.15</v>
      </c>
      <c r="F182" s="699"/>
      <c r="G182" s="158"/>
      <c r="H182" s="700"/>
      <c r="I182" s="700"/>
      <c r="J182" s="126" t="s">
        <v>87</v>
      </c>
      <c r="K182" s="126" t="str">
        <f>IFERROR(
  IF(B182="", "", VLOOKUP(B182, Data!$B$2:$K$905, 7, FALSE)),
  ""
)</f>
        <v/>
      </c>
      <c r="L182" s="704"/>
      <c r="M182" s="150">
        <f>ROUNDUP(3.14*E182,0)/0.05</f>
        <v>20</v>
      </c>
      <c r="N182" s="151">
        <f>IFERROR(__xludf.DUMMYFUNCTION("IF(B182="""", """", IFERROR(1 / COS(RADIANS(REGEXEXTRACT(F182,""(\d+)""))), 1))"),1.0)</f>
        <v>1</v>
      </c>
      <c r="O182" s="169">
        <f>O180</f>
        <v>2</v>
      </c>
      <c r="P182" s="760">
        <f>P181</f>
        <v>1</v>
      </c>
      <c r="Q182" s="242">
        <f t="shared" si="137"/>
        <v>40</v>
      </c>
      <c r="R182" s="136" t="str">
        <f>IFERROR(
  IF(B182="", "", VLOOKUP(B182, Data!$B$2:$K$905, 9, FALSE)),
  ""
)</f>
        <v/>
      </c>
      <c r="S182" s="152">
        <f t="shared" si="138"/>
        <v>0</v>
      </c>
      <c r="T182" s="690"/>
      <c r="U182" s="136" t="str">
        <f>IFERROR(
  IF(B182="", "", VLOOKUP(B182, Data!$B$2:$K$905, 10, FALSE)),
  ""
)
</f>
        <v/>
      </c>
      <c r="V182" s="691"/>
      <c r="W182" s="140">
        <f t="shared" si="139"/>
        <v>0</v>
      </c>
      <c r="X182" s="692"/>
      <c r="Y182" s="595"/>
      <c r="Z182" s="595"/>
      <c r="AA182" s="595"/>
      <c r="AB182" s="354">
        <f t="shared" si="135"/>
        <v>0</v>
      </c>
      <c r="AC182" s="181"/>
      <c r="AD182" s="625"/>
      <c r="AE182" s="626"/>
      <c r="AF182" s="696"/>
      <c r="AG182" s="628"/>
      <c r="AH182" s="629"/>
      <c r="AI182" s="187"/>
      <c r="AJ182" s="630"/>
      <c r="AK182" s="630"/>
      <c r="AL182" s="595"/>
      <c r="AM182" s="595"/>
      <c r="AN182" s="595"/>
      <c r="AO182" s="595"/>
      <c r="AP182" s="595"/>
      <c r="AQ182" s="595"/>
      <c r="AR182" s="595"/>
      <c r="AS182" s="595"/>
      <c r="AT182" s="595"/>
      <c r="AU182" s="595"/>
      <c r="AV182" s="595"/>
      <c r="AW182" s="595"/>
      <c r="AX182" s="595"/>
      <c r="AY182" s="595"/>
      <c r="AZ182" s="595"/>
      <c r="BA182" s="595"/>
      <c r="BB182" s="595"/>
      <c r="BC182" s="595"/>
      <c r="BD182" s="595"/>
      <c r="BE182" s="595"/>
      <c r="BF182" s="595"/>
      <c r="BG182" s="595"/>
      <c r="BH182" s="595"/>
      <c r="BI182" s="651"/>
      <c r="BJ182" s="651"/>
      <c r="BK182" s="651"/>
      <c r="BL182" s="651"/>
      <c r="BM182" s="651"/>
      <c r="BN182" s="651"/>
      <c r="BO182" s="651"/>
      <c r="BP182" s="651"/>
      <c r="BQ182" s="651"/>
      <c r="BR182" s="651"/>
      <c r="BS182" s="651"/>
      <c r="BT182" s="651"/>
    </row>
    <row r="183">
      <c r="A183" s="631"/>
      <c r="B183" s="154"/>
      <c r="C183" s="700"/>
      <c r="D183" s="701"/>
      <c r="E183" s="722"/>
      <c r="F183" s="699"/>
      <c r="G183" s="158"/>
      <c r="H183" s="700"/>
      <c r="I183" s="700"/>
      <c r="J183" s="701"/>
      <c r="K183" s="126"/>
      <c r="L183" s="704"/>
      <c r="M183" s="704"/>
      <c r="N183" s="711"/>
      <c r="O183" s="712"/>
      <c r="P183" s="700"/>
      <c r="Q183" s="712"/>
      <c r="R183" s="136" t="str">
        <f>IFERROR(
  IF(B183="", "", VLOOKUP(B183, Data!$B$2:$K$905, 9, FALSE)),
  ""
)</f>
        <v/>
      </c>
      <c r="S183" s="152"/>
      <c r="T183" s="690"/>
      <c r="U183" s="136" t="str">
        <f>IFERROR(
  IF(B183="", "", VLOOKUP(B183, Data!$B$2:$K$905, 10, FALSE)),
  ""
)
</f>
        <v/>
      </c>
      <c r="V183" s="691"/>
      <c r="W183" s="713"/>
      <c r="X183" s="692"/>
      <c r="Y183" s="595"/>
      <c r="Z183" s="595"/>
      <c r="AA183" s="595"/>
      <c r="AB183" s="354"/>
      <c r="AC183" s="181"/>
      <c r="AD183" s="625"/>
      <c r="AE183" s="626"/>
      <c r="AF183" s="696"/>
      <c r="AG183" s="628"/>
      <c r="AH183" s="629"/>
      <c r="AI183" s="187"/>
      <c r="AJ183" s="630"/>
      <c r="AK183" s="630"/>
      <c r="AL183" s="595"/>
      <c r="AM183" s="595"/>
      <c r="AN183" s="595"/>
      <c r="AO183" s="595"/>
      <c r="AP183" s="595"/>
      <c r="AQ183" s="595"/>
      <c r="AR183" s="595"/>
      <c r="AS183" s="595"/>
      <c r="AT183" s="595"/>
      <c r="AU183" s="595"/>
      <c r="AV183" s="595"/>
      <c r="AW183" s="595"/>
      <c r="AX183" s="595"/>
      <c r="AY183" s="595"/>
      <c r="AZ183" s="595"/>
      <c r="BA183" s="595"/>
      <c r="BB183" s="595"/>
      <c r="BC183" s="595"/>
      <c r="BD183" s="595"/>
      <c r="BE183" s="595"/>
      <c r="BF183" s="595"/>
      <c r="BG183" s="595"/>
      <c r="BH183" s="595"/>
      <c r="BI183" s="651"/>
      <c r="BJ183" s="651"/>
      <c r="BK183" s="651"/>
      <c r="BL183" s="651"/>
      <c r="BM183" s="651"/>
      <c r="BN183" s="651"/>
      <c r="BO183" s="651"/>
      <c r="BP183" s="651"/>
      <c r="BQ183" s="651"/>
      <c r="BR183" s="651"/>
      <c r="BS183" s="651"/>
      <c r="BT183" s="651"/>
    </row>
    <row r="184">
      <c r="A184" s="631">
        <v>1.0</v>
      </c>
      <c r="B184" s="727"/>
      <c r="C184" s="103" t="s">
        <v>490</v>
      </c>
      <c r="D184" s="678"/>
      <c r="E184" s="676"/>
      <c r="F184" s="677"/>
      <c r="G184" s="157"/>
      <c r="H184" s="678"/>
      <c r="I184" s="678"/>
      <c r="J184" s="678"/>
      <c r="K184" s="728" t="s">
        <v>42</v>
      </c>
      <c r="L184" s="106">
        <f>Q184</f>
        <v>24</v>
      </c>
      <c r="M184" s="679" t="s">
        <v>42</v>
      </c>
      <c r="N184" s="680"/>
      <c r="O184" s="679"/>
      <c r="P184" s="678"/>
      <c r="Q184" s="106">
        <f>Q185</f>
        <v>24</v>
      </c>
      <c r="R184" s="136" t="str">
        <f>IFERROR(
  IF(B184="", "", VLOOKUP(B184, Data!$B$2:$K$905, 9, FALSE)),
  ""
)</f>
        <v/>
      </c>
      <c r="S184" s="682">
        <f>IFERROR(T184/Q184, 0)</f>
        <v>0</v>
      </c>
      <c r="T184" s="109">
        <f>SUM(S185:S192)</f>
        <v>0</v>
      </c>
      <c r="U184" s="136" t="str">
        <f>IFERROR(
  IF(B184="", "", VLOOKUP(B184, Data!$B$2:$K$905, 10, FALSE)),
  ""
)
</f>
        <v/>
      </c>
      <c r="V184" s="109">
        <f>W184/Q184</f>
        <v>0</v>
      </c>
      <c r="W184" s="110">
        <f>SUM(W185:W192)</f>
        <v>0</v>
      </c>
      <c r="X184" s="111" t="str">
        <f>W184/$AC$758/$W$765/$X$755</f>
        <v>#REF!</v>
      </c>
      <c r="Y184" s="112" t="b">
        <f>(T184+W184)=(SUM(AB185:AB192))</f>
        <v>1</v>
      </c>
      <c r="Z184" s="113">
        <f>(T184+W184)-(SUM(AB185:AB191))</f>
        <v>0</v>
      </c>
      <c r="AA184" s="595"/>
      <c r="AB184" s="354"/>
      <c r="AC184" s="181"/>
      <c r="AD184" s="114">
        <f>W184+T184</f>
        <v>0</v>
      </c>
      <c r="AE184" s="115">
        <f>AD184</f>
        <v>0</v>
      </c>
      <c r="AF184" s="116" t="str">
        <f>AE184/$AE$733</f>
        <v>#REF!</v>
      </c>
      <c r="AG184" s="683" t="str">
        <f>AF184*$AG$740</f>
        <v>#REF!</v>
      </c>
      <c r="AH184" s="118" t="str">
        <f>AF184*$AG$743</f>
        <v>#REF!</v>
      </c>
      <c r="AI184" s="187"/>
      <c r="AJ184" s="119" t="str">
        <f>ROUND(AK184/L184,2)</f>
        <v>#REF!</v>
      </c>
      <c r="AK184" s="119" t="str">
        <f>ROUND(AH184+AG184+AD184,2)</f>
        <v>#REF!</v>
      </c>
      <c r="AL184" s="595"/>
      <c r="AM184" s="595"/>
      <c r="AN184" s="595"/>
      <c r="AO184" s="595"/>
      <c r="AP184" s="595"/>
      <c r="AQ184" s="595"/>
      <c r="AR184" s="595"/>
      <c r="AS184" s="595"/>
      <c r="AT184" s="595"/>
      <c r="AU184" s="595"/>
      <c r="AV184" s="595"/>
      <c r="AW184" s="595"/>
      <c r="AX184" s="595"/>
      <c r="AY184" s="595"/>
      <c r="AZ184" s="595"/>
      <c r="BA184" s="595"/>
      <c r="BB184" s="595"/>
      <c r="BC184" s="595"/>
      <c r="BD184" s="595"/>
      <c r="BE184" s="595"/>
      <c r="BF184" s="595"/>
      <c r="BG184" s="595"/>
      <c r="BH184" s="595"/>
      <c r="BI184" s="651"/>
      <c r="BJ184" s="651"/>
      <c r="BK184" s="651"/>
      <c r="BL184" s="651"/>
      <c r="BM184" s="651"/>
      <c r="BN184" s="651"/>
      <c r="BO184" s="651"/>
      <c r="BP184" s="651"/>
      <c r="BQ184" s="651"/>
      <c r="BR184" s="651"/>
      <c r="BS184" s="651"/>
      <c r="BT184" s="651"/>
    </row>
    <row r="185">
      <c r="A185" s="716" t="s">
        <v>491</v>
      </c>
      <c r="B185" s="154" t="str">
        <f>IFERROR(__xludf.DUMMYFUNCTION("IFERROR(
  IF(C185="""","""",
    IF(OR(REGEXMATCH(D185,""(?i)-Flashing""), REGEXMATCH(D185,""(?i)-EavesGut""), REGEXMATCH(D185,""(?i)Valley"")),
        ""DR"" &amp;
        TEXT(
            ROUNDUP(
                MIN(
                    VALUE(MID(C185, "&amp;"FIND(""("",C185)+1, FIND(""/"",C185)-FIND(""("",C185)-1)),
                    1200
                ) / 50, 0
            ) * 50, ""0""
        ) &amp;
        MID(C185, FIND(""/"",C185)+1, FIND("")"",C185)-FIND(""/"",C185)-1) &amp;
        TEXT(H185*100,""0"") &amp;"&amp;"
        I185,
    IF(AND(D185=""Roof Sheet"", REGEXMATCH(C185,""(?i)KS\d{4}[A-Z]{2}"")),
       REGEXEXTRACT(C185,""(?i)KS\d{4}[A-Z]{2}""),
    IF(AND(REGEXMATCH(D185,""(?i)-DP""), REGEXMATCH(C185,""(?i)Downpipe"")),
       ""dp"" &amp; REGEXEXTRACT(C185,""("&amp;"\d+)"") &amp; ""mm"",
    IF(AND(REGEXMATCH(D185,""(?i)Bracket""), REGEXMATCH(C185,""(?i)Bracket"")),
       ""Brkt"" &amp; REGEXEXTRACT(C185,""(\d+)"") &amp; ""mm"",
    IF(AND(REGEXMATCH(D185,""(?i)-OP""), REGEXMATCH(C185,""(?i)pops"")),
       ""op"" &amp; REGEXEXTRAC"&amp;"T(C185,""(\d+)"") &amp; ""mm"",
    IF(OR(D185=""R-FFTop"", D185=""R-FFBottom"", D185=""R-FFSide""),
        IF(REGEXMATCH(C185,""(?i)Profiled.*Top|Top.*Profiled""),""pfft"",
        IF(REGEXMATCH(C185,""(?i)Profiled.*Bottom|Bottom.*Profiled""),""pffb"",
    "&amp;"    IF(REGEXMATCH(C185,""(?i)Square""),""sff"",""""))),
    IF(REGEXMATCH(D185,""(?i)-Rivets""),""Rvt"",
    IF(REGEXMATCH(D185,""(?i)Silicone|Seal""),""300ml"",
    IF(REGEXMATCH(D185,""(?i)R-Butyl""),""300ml"",
    IF(REGEXMATCH(D185,""(?i)Fix""),""GenF"&amp;"ix"",
    IF(AND(REGEXMATCH(C185,""(?i)Timber""), REGEXMATCH(D185,""(?i)Timber"")),""tp"",
    IF(AND(REGEXMATCH(C185,""(?i)Vent G1275""), REGEXMATCH(D185,""(?i)Comb FIller"")),""CFV1275"",
    IF(REGEXMATCH(C185,""(?i)DPC""),""dpc"",
    IF(REGEXMATCH(C1"&amp;"85,""(?i)Concealed Clips""),""ConClips"",
    IF(REGEXMATCH(D185,""(?i)-Takeoff ea""),""Takeoff ea"",
    IF(REGEXMATCH(D185,""(?i)-Takeoff LM""),""Takeoff LM"",
    IF(REGEXMATCH(D185,""(?i)-Takeoff m2""),""Takeoff m2"",
    IF(D185=""R-TU/TD"",""TU/TD"""&amp;","""")))))))))))))))))
  )))"),"dp150mm")</f>
        <v>dp150mm</v>
      </c>
      <c r="C185" s="123" t="s">
        <v>138</v>
      </c>
      <c r="D185" s="124" t="s">
        <v>139</v>
      </c>
      <c r="E185" s="725"/>
      <c r="F185" s="699"/>
      <c r="G185" s="689" t="s">
        <v>429</v>
      </c>
      <c r="H185" s="700"/>
      <c r="I185" s="700"/>
      <c r="J185" s="126" t="s">
        <v>14</v>
      </c>
      <c r="K185" s="126" t="str">
        <f>IFERROR(
  IF(B185="", "", VLOOKUP(B185, Data!$B$2:$K$905, 7, FALSE)),
  ""
)</f>
        <v/>
      </c>
      <c r="L185" s="131">
        <v>2.0</v>
      </c>
      <c r="M185" s="150">
        <f t="shared" ref="M185:M187" si="140">L185</f>
        <v>2</v>
      </c>
      <c r="N185" s="156">
        <v>2.4</v>
      </c>
      <c r="O185" s="759">
        <v>5.0</v>
      </c>
      <c r="P185" s="134">
        <v>1.0</v>
      </c>
      <c r="Q185" s="242">
        <f t="shared" ref="Q185:Q187" si="141">M185*N185*O185*P185</f>
        <v>24</v>
      </c>
      <c r="R185" s="136" t="str">
        <f>IFERROR(
  IF(B185="", "", VLOOKUP(B185, Data!$B$2:$K$905, 9, FALSE)),
  ""
)</f>
        <v/>
      </c>
      <c r="S185" s="152">
        <f t="shared" ref="S185:S187" si="142">R185*Q185</f>
        <v>0</v>
      </c>
      <c r="T185" s="690"/>
      <c r="U185" s="136" t="str">
        <f>IFERROR(
  IF(B185="", "", VLOOKUP(B185, Data!$B$2:$K$905, 10, FALSE)),
  ""
)
</f>
        <v/>
      </c>
      <c r="V185" s="691"/>
      <c r="W185" s="140">
        <f t="shared" ref="W185:W187" si="143">U185*Q185</f>
        <v>0</v>
      </c>
      <c r="X185" s="693"/>
      <c r="Y185" s="595"/>
      <c r="Z185" s="595"/>
      <c r="AA185" s="595"/>
      <c r="AB185" s="354">
        <f t="shared" ref="AB185:AB186" si="144">W185+S185</f>
        <v>0</v>
      </c>
      <c r="AC185" s="181"/>
      <c r="AD185" s="625"/>
      <c r="AE185" s="626"/>
      <c r="AF185" s="696"/>
      <c r="AG185" s="628"/>
      <c r="AH185" s="629"/>
      <c r="AI185" s="187"/>
      <c r="AJ185" s="630"/>
      <c r="AK185" s="630"/>
      <c r="AL185" s="595"/>
      <c r="AM185" s="595"/>
      <c r="AN185" s="595"/>
      <c r="AO185" s="595"/>
      <c r="AP185" s="595"/>
      <c r="AQ185" s="595"/>
      <c r="AR185" s="595"/>
      <c r="AS185" s="595"/>
      <c r="AT185" s="595"/>
      <c r="AU185" s="595"/>
      <c r="AV185" s="595"/>
      <c r="AW185" s="595"/>
      <c r="AX185" s="595"/>
      <c r="AY185" s="595"/>
      <c r="AZ185" s="595"/>
      <c r="BA185" s="595"/>
      <c r="BB185" s="595"/>
      <c r="BC185" s="595"/>
      <c r="BD185" s="595"/>
      <c r="BE185" s="595"/>
      <c r="BF185" s="595"/>
      <c r="BG185" s="595"/>
      <c r="BH185" s="595"/>
      <c r="BI185" s="651"/>
      <c r="BJ185" s="651"/>
      <c r="BK185" s="651"/>
      <c r="BL185" s="651"/>
      <c r="BM185" s="651"/>
      <c r="BN185" s="651"/>
      <c r="BO185" s="651"/>
      <c r="BP185" s="651"/>
      <c r="BQ185" s="651"/>
      <c r="BR185" s="651"/>
      <c r="BS185" s="651"/>
      <c r="BT185" s="651"/>
    </row>
    <row r="186">
      <c r="A186" s="716" t="s">
        <v>491</v>
      </c>
      <c r="B186" s="154" t="str">
        <f>IFERROR(__xludf.DUMMYFUNCTION("IFERROR(
  IF(C186="""","""",
    IF(OR(REGEXMATCH(D186,""(?i)-Flashing""), REGEXMATCH(D186,""(?i)-EavesGut""), REGEXMATCH(D186,""(?i)Valley"")),
        ""DR"" &amp;
        TEXT(
            ROUNDUP(
                MIN(
                    VALUE(MID(C186, "&amp;"FIND(""("",C186)+1, FIND(""/"",C186)-FIND(""("",C186)-1)),
                    1200
                ) / 50, 0
            ) * 50, ""0""
        ) &amp;
        MID(C186, FIND(""/"",C186)+1, FIND("")"",C186)-FIND(""/"",C186)-1) &amp;
        TEXT(H186*100,""0"") &amp;"&amp;"
        I186,
    IF(AND(D186=""Roof Sheet"", REGEXMATCH(C186,""(?i)KS\d{4}[A-Z]{2}"")),
       REGEXEXTRACT(C186,""(?i)KS\d{4}[A-Z]{2}""),
    IF(AND(REGEXMATCH(D186,""(?i)-DP""), REGEXMATCH(C186,""(?i)Downpipe"")),
       ""dp"" &amp; REGEXEXTRACT(C186,""("&amp;"\d+)"") &amp; ""mm"",
    IF(AND(REGEXMATCH(D186,""(?i)Bracket""), REGEXMATCH(C186,""(?i)Bracket"")),
       ""Brkt"" &amp; REGEXEXTRACT(C186,""(\d+)"") &amp; ""mm"",
    IF(AND(REGEXMATCH(D186,""(?i)-OP""), REGEXMATCH(C186,""(?i)pops"")),
       ""op"" &amp; REGEXEXTRAC"&amp;"T(C186,""(\d+)"") &amp; ""mm"",
    IF(OR(D186=""R-FFTop"", D186=""R-FFBottom"", D186=""R-FFSide""),
        IF(REGEXMATCH(C186,""(?i)Profiled.*Top|Top.*Profiled""),""pfft"",
        IF(REGEXMATCH(C186,""(?i)Profiled.*Bottom|Bottom.*Profiled""),""pffb"",
    "&amp;"    IF(REGEXMATCH(C186,""(?i)Square""),""sff"",""""))),
    IF(REGEXMATCH(D186,""(?i)-Rivets""),""Rvt"",
    IF(REGEXMATCH(D186,""(?i)Silicone|Seal""),""300ml"",
    IF(REGEXMATCH(D186,""(?i)R-Butyl""),""300ml"",
    IF(REGEXMATCH(D186,""(?i)Fix""),""GenF"&amp;"ix"",
    IF(AND(REGEXMATCH(C186,""(?i)Timber""), REGEXMATCH(D186,""(?i)Timber"")),""tp"",
    IF(AND(REGEXMATCH(C186,""(?i)Vent G1275""), REGEXMATCH(D186,""(?i)Comb FIller"")),""CFV1275"",
    IF(REGEXMATCH(C186,""(?i)DPC""),""dpc"",
    IF(REGEXMATCH(C1"&amp;"86,""(?i)Concealed Clips""),""ConClips"",
    IF(REGEXMATCH(D186,""(?i)-Takeoff ea""),""Takeoff ea"",
    IF(REGEXMATCH(D186,""(?i)-Takeoff LM""),""Takeoff LM"",
    IF(REGEXMATCH(D186,""(?i)-Takeoff m2""),""Takeoff m2"",
    IF(D186=""R-TU/TD"",""TU/TD"""&amp;","""")))))))))))))))))
  )))"),"Brkt150mm")</f>
        <v>Brkt150mm</v>
      </c>
      <c r="C186" s="123" t="s">
        <v>140</v>
      </c>
      <c r="D186" s="124" t="s">
        <v>141</v>
      </c>
      <c r="E186" s="725"/>
      <c r="F186" s="699"/>
      <c r="G186" s="158"/>
      <c r="H186" s="700"/>
      <c r="I186" s="700"/>
      <c r="J186" s="126" t="s">
        <v>87</v>
      </c>
      <c r="K186" s="126" t="str">
        <f>IFERROR(
  IF(B186="", "", VLOOKUP(B186, Data!$B$2:$K$905, 7, FALSE)),
  ""
)</f>
        <v/>
      </c>
      <c r="L186" s="135">
        <f>L185</f>
        <v>2</v>
      </c>
      <c r="M186" s="150">
        <f t="shared" si="140"/>
        <v>2</v>
      </c>
      <c r="N186" s="151">
        <v>1.0</v>
      </c>
      <c r="O186" s="169">
        <f>O185</f>
        <v>5</v>
      </c>
      <c r="P186" s="134">
        <v>1.0</v>
      </c>
      <c r="Q186" s="242">
        <f t="shared" si="141"/>
        <v>10</v>
      </c>
      <c r="R186" s="136" t="str">
        <f>IFERROR(
  IF(B186="", "", VLOOKUP(B186, Data!$B$2:$K$905, 9, FALSE)),
  ""
)</f>
        <v/>
      </c>
      <c r="S186" s="152">
        <f t="shared" si="142"/>
        <v>0</v>
      </c>
      <c r="T186" s="690"/>
      <c r="U186" s="136" t="str">
        <f>IFERROR(
  IF(B186="", "", VLOOKUP(B186, Data!$B$2:$K$905, 10, FALSE)),
  ""
)
</f>
        <v/>
      </c>
      <c r="V186" s="691"/>
      <c r="W186" s="140">
        <f t="shared" si="143"/>
        <v>0</v>
      </c>
      <c r="X186" s="692"/>
      <c r="Y186" s="595"/>
      <c r="Z186" s="595"/>
      <c r="AA186" s="595"/>
      <c r="AB186" s="354">
        <f t="shared" si="144"/>
        <v>0</v>
      </c>
      <c r="AC186" s="181"/>
      <c r="AD186" s="625"/>
      <c r="AE186" s="626"/>
      <c r="AF186" s="696"/>
      <c r="AG186" s="628"/>
      <c r="AH186" s="629"/>
      <c r="AI186" s="187"/>
      <c r="AJ186" s="630"/>
      <c r="AK186" s="630"/>
      <c r="AL186" s="595"/>
      <c r="AM186" s="595"/>
      <c r="AN186" s="595"/>
      <c r="AO186" s="595"/>
      <c r="AP186" s="595"/>
      <c r="AQ186" s="595"/>
      <c r="AR186" s="595"/>
      <c r="AS186" s="595"/>
      <c r="AT186" s="595"/>
      <c r="AU186" s="595"/>
      <c r="AV186" s="595"/>
      <c r="AW186" s="595"/>
      <c r="AX186" s="595"/>
      <c r="AY186" s="595"/>
      <c r="AZ186" s="595"/>
      <c r="BA186" s="595"/>
      <c r="BB186" s="595"/>
      <c r="BC186" s="595"/>
      <c r="BD186" s="595"/>
      <c r="BE186" s="595"/>
      <c r="BF186" s="595"/>
      <c r="BG186" s="595"/>
      <c r="BH186" s="595"/>
      <c r="BI186" s="651"/>
      <c r="BJ186" s="651"/>
      <c r="BK186" s="651"/>
      <c r="BL186" s="651"/>
      <c r="BM186" s="651"/>
      <c r="BN186" s="651"/>
      <c r="BO186" s="651"/>
      <c r="BP186" s="651"/>
      <c r="BQ186" s="651"/>
      <c r="BR186" s="651"/>
      <c r="BS186" s="651"/>
      <c r="BT186" s="651"/>
    </row>
    <row r="187">
      <c r="A187" s="716" t="s">
        <v>491</v>
      </c>
      <c r="B187" s="154" t="s">
        <v>494</v>
      </c>
      <c r="C187" s="698" t="s">
        <v>495</v>
      </c>
      <c r="D187" s="124" t="s">
        <v>337</v>
      </c>
      <c r="E187" s="725"/>
      <c r="F187" s="699"/>
      <c r="G187" s="701"/>
      <c r="H187" s="700"/>
      <c r="I187" s="700"/>
      <c r="J187" s="126" t="s">
        <v>87</v>
      </c>
      <c r="K187" s="126" t="str">
        <f>IFERROR(
  IF(B187="", "", VLOOKUP(B187, Data!$B$2:$K$905, 7, FALSE)),
  ""
)</f>
        <v/>
      </c>
      <c r="L187" s="131">
        <v>2.0</v>
      </c>
      <c r="M187" s="150">
        <f t="shared" si="140"/>
        <v>2</v>
      </c>
      <c r="N187" s="151">
        <f>IFERROR(__xludf.DUMMYFUNCTION("IF(B187="""", """", IFERROR(1 / COS(RADIANS(REGEXEXTRACT(F187,""(\d+)""))), 1))"),1.0)</f>
        <v>1</v>
      </c>
      <c r="O187" s="169">
        <v>1.0</v>
      </c>
      <c r="P187" s="134">
        <v>1.0</v>
      </c>
      <c r="Q187" s="242">
        <f t="shared" si="141"/>
        <v>2</v>
      </c>
      <c r="R187" s="681" t="str">
        <f>IFERROR(
  IF(B187="", "", VLOOKUP(B187, Data!$B$2:$K$905, 9, FALSE)),
  ""
)</f>
        <v/>
      </c>
      <c r="S187" s="152">
        <f t="shared" si="142"/>
        <v>0</v>
      </c>
      <c r="T187" s="690"/>
      <c r="U187" s="681" t="str">
        <f>IFERROR(
  IF(B187="", "", VLOOKUP(B187, Data!$B$2:$K$905, 10, FALSE)),
  ""
)
</f>
        <v/>
      </c>
      <c r="V187" s="691"/>
      <c r="W187" s="140">
        <f t="shared" si="143"/>
        <v>0</v>
      </c>
      <c r="X187" s="692"/>
      <c r="Y187" s="595"/>
      <c r="Z187" s="595"/>
      <c r="AA187" s="595"/>
      <c r="AB187" s="595"/>
      <c r="AC187" s="181"/>
      <c r="AD187" s="625"/>
      <c r="AE187" s="626"/>
      <c r="AF187" s="696"/>
      <c r="AG187" s="697"/>
      <c r="AH187" s="629"/>
      <c r="AI187" s="187"/>
      <c r="AJ187" s="630"/>
      <c r="AK187" s="630"/>
      <c r="AL187" s="595"/>
      <c r="AM187" s="595"/>
      <c r="AN187" s="595"/>
      <c r="AO187" s="595"/>
      <c r="AP187" s="595"/>
      <c r="AQ187" s="595"/>
      <c r="AR187" s="595"/>
      <c r="AS187" s="595"/>
      <c r="AT187" s="595"/>
      <c r="AU187" s="595"/>
      <c r="AV187" s="595"/>
      <c r="AW187" s="595"/>
      <c r="AX187" s="595"/>
      <c r="AY187" s="595"/>
      <c r="AZ187" s="595"/>
      <c r="BA187" s="595"/>
      <c r="BB187" s="595"/>
      <c r="BC187" s="595"/>
      <c r="BD187" s="595"/>
      <c r="BE187" s="595"/>
      <c r="BF187" s="595"/>
      <c r="BG187" s="595"/>
      <c r="BH187" s="595"/>
      <c r="BI187" s="651"/>
      <c r="BJ187" s="651"/>
      <c r="BK187" s="651"/>
      <c r="BL187" s="651"/>
      <c r="BM187" s="651"/>
      <c r="BN187" s="651"/>
      <c r="BO187" s="651"/>
      <c r="BP187" s="651"/>
      <c r="BQ187" s="651"/>
      <c r="BR187" s="651"/>
      <c r="BS187" s="651"/>
      <c r="BT187" s="651"/>
    </row>
    <row r="188">
      <c r="A188" s="631"/>
      <c r="B188" s="154" t="str">
        <f>IFERROR(__xludf.DUMMYFUNCTION("IFERROR(
  IF(C188="""","""",
    IF(OR(REGEXMATCH(D188,""(?i)-Flashing""), REGEXMATCH(D188,""(?i)-EavesGut""), REGEXMATCH(D188,""(?i)Valley"")),
        ""DR"" &amp;
        TEXT(
            ROUNDUP(
                MIN(
                    VALUE(MID(C188, "&amp;"FIND(""("",C188)+1, FIND(""/"",C188)-FIND(""("",C188)-1)),
                    1200
                ) / 50, 0
            ) * 50, ""0""
        ) &amp;
        MID(C188, FIND(""/"",C188)+1, FIND("")"",C188)-FIND(""/"",C188)-1) &amp;
        TEXT(H188*100,""0"") &amp;"&amp;"
        I188,
    IF(AND(D188=""Roof Sheet"", REGEXMATCH(C188,""(?i)KS\d{4}[A-Z]{2}"")),
       REGEXEXTRACT(C188,""(?i)KS\d{4}[A-Z]{2}""),
    IF(AND(REGEXMATCH(D188,""(?i)-DP""), REGEXMATCH(C188,""(?i)Downpipe"")),
       ""dp"" &amp; REGEXEXTRACT(C188,""("&amp;"\d+)"") &amp; ""mm"",
    IF(AND(REGEXMATCH(D188,""(?i)Bracket""), REGEXMATCH(C188,""(?i)Bracket"")),
       ""Brkt"" &amp; REGEXEXTRACT(C188,""(\d+)"") &amp; ""mm"",
    IF(AND(REGEXMATCH(D188,""(?i)-OP""), REGEXMATCH(C188,""(?i)pops"")),
       ""op"" &amp; REGEXEXTRAC"&amp;"T(C188,""(\d+)"") &amp; ""mm"",
    IF(OR(D188=""R-FFTop"", D188=""R-FFBottom"", D188=""R-FFSide""),
        IF(REGEXMATCH(C188,""(?i)Profiled.*Top|Top.*Profiled""),""pfft"",
        IF(REGEXMATCH(C188,""(?i)Profiled.*Bottom|Bottom.*Profiled""),""pffb"",
    "&amp;"    IF(REGEXMATCH(C188,""(?i)Square""),""sff"",""""))),
    IF(REGEXMATCH(D188,""(?i)-Rivets""),""Rvt"",
    IF(REGEXMATCH(D188,""(?i)Silicone|Seal""),""300ml"",
    IF(REGEXMATCH(D188,""(?i)R-Butyl""),""300ml"",
    IF(REGEXMATCH(D188,""(?i)Fix""),""GenF"&amp;"ix"",
    IF(AND(REGEXMATCH(C188,""(?i)Timber""), REGEXMATCH(D188,""(?i)Timber"")),""tp"",
    IF(AND(REGEXMATCH(C188,""(?i)Vent G1275""), REGEXMATCH(D188,""(?i)Comb FIller"")),""CFV1275"",
    IF(REGEXMATCH(C188,""(?i)DPC""),""dpc"",
    IF(REGEXMATCH(C1"&amp;"88,""(?i)Concealed Clips""),""ConClips"",
    IF(REGEXMATCH(D188,""(?i)-Takeoff ea""),""Takeoff ea"",
    IF(REGEXMATCH(D188,""(?i)-Takeoff LM""),""Takeoff LM"",
    IF(REGEXMATCH(D188,""(?i)-Takeoff m2""),""Takeoff m2"",
    IF(D188=""R-TU/TD"",""TU/TD"""&amp;","""")))))))))))))))))
  )))"),"")</f>
        <v/>
      </c>
      <c r="C188" s="701"/>
      <c r="D188" s="701"/>
      <c r="E188" s="722"/>
      <c r="F188" s="699"/>
      <c r="G188" s="158"/>
      <c r="H188" s="700"/>
      <c r="I188" s="700"/>
      <c r="J188" s="701"/>
      <c r="K188" s="126" t="str">
        <f>IFERROR(
  IF(B188="", "", VLOOKUP(B188, Data!$B$2:$K$905, 7, FALSE)),
  ""
)</f>
        <v/>
      </c>
      <c r="L188" s="704"/>
      <c r="M188" s="704" t="s">
        <v>42</v>
      </c>
      <c r="N188" s="711" t="str">
        <f>IFERROR(__xludf.DUMMYFUNCTION("IF(B188="""", """", IFERROR(1 / COS(RADIANS(REGEXEXTRACT(F188,""(\d+)""))), 1))"),"")</f>
        <v/>
      </c>
      <c r="O188" s="712"/>
      <c r="P188" s="700"/>
      <c r="Q188" s="242"/>
      <c r="R188" s="136" t="str">
        <f>IFERROR(
  IF(B188="", "", VLOOKUP(B188, Data!$B$2:$K$905, 9, FALSE)),
  ""
)</f>
        <v/>
      </c>
      <c r="S188" s="152"/>
      <c r="T188" s="690"/>
      <c r="U188" s="136" t="str">
        <f>IFERROR(
  IF(B188="", "", VLOOKUP(B188, Data!$B$2:$K$905, 10, FALSE)),
  ""
)
</f>
        <v/>
      </c>
      <c r="V188" s="691"/>
      <c r="W188" s="713"/>
      <c r="X188" s="692"/>
      <c r="Y188" s="595"/>
      <c r="Z188" s="595"/>
      <c r="AA188" s="595"/>
      <c r="AB188" s="354">
        <f t="shared" ref="AB188:AB191" si="145">W188+S188</f>
        <v>0</v>
      </c>
      <c r="AC188" s="181"/>
      <c r="AD188" s="625"/>
      <c r="AE188" s="626"/>
      <c r="AF188" s="696"/>
      <c r="AG188" s="628"/>
      <c r="AH188" s="629"/>
      <c r="AI188" s="187"/>
      <c r="AJ188" s="630"/>
      <c r="AK188" s="630"/>
      <c r="AL188" s="595"/>
      <c r="AM188" s="595"/>
      <c r="AN188" s="595"/>
      <c r="AO188" s="595"/>
      <c r="AP188" s="595"/>
      <c r="AQ188" s="595"/>
      <c r="AR188" s="595"/>
      <c r="AS188" s="595"/>
      <c r="AT188" s="595"/>
      <c r="AU188" s="595"/>
      <c r="AV188" s="595"/>
      <c r="AW188" s="595"/>
      <c r="AX188" s="595"/>
      <c r="AY188" s="595"/>
      <c r="AZ188" s="595"/>
      <c r="BA188" s="595"/>
      <c r="BB188" s="595"/>
      <c r="BC188" s="595"/>
      <c r="BD188" s="595"/>
      <c r="BE188" s="595"/>
      <c r="BF188" s="595"/>
      <c r="BG188" s="595"/>
      <c r="BH188" s="595"/>
      <c r="BI188" s="651"/>
      <c r="BJ188" s="651"/>
      <c r="BK188" s="651"/>
      <c r="BL188" s="651"/>
      <c r="BM188" s="651"/>
      <c r="BN188" s="651"/>
      <c r="BO188" s="651"/>
      <c r="BP188" s="651"/>
      <c r="BQ188" s="651"/>
      <c r="BR188" s="651"/>
      <c r="BS188" s="651"/>
      <c r="BT188" s="651"/>
    </row>
    <row r="189">
      <c r="A189" s="716" t="s">
        <v>491</v>
      </c>
      <c r="B189" s="154" t="str">
        <f>IFERROR(__xludf.DUMMYFUNCTION("IFERROR(
  IF(C189="""","""",
    IF(OR(REGEXMATCH(D189,""(?i)-Flashing""), REGEXMATCH(D189,""(?i)-EavesGut""), REGEXMATCH(D189,""(?i)Valley"")),
        ""DR"" &amp;
        TEXT(
            ROUNDUP(
                MIN(
                    VALUE(MID(C189, "&amp;"FIND(""("",C189)+1, FIND(""/"",C189)-FIND(""("",C189)-1)),
                    1200
                ) / 50, 0
            ) * 50, ""0""
        ) &amp;
        MID(C189, FIND(""/"",C189)+1, FIND("")"",C189)-FIND(""/"",C189)-1) &amp;
        TEXT(H189*100,""0"") &amp;"&amp;"
        I189,
    IF(AND(D189=""Roof Sheet"", REGEXMATCH(C189,""(?i)KS\d{4}[A-Z]{2}"")),
       REGEXEXTRACT(C189,""(?i)KS\d{4}[A-Z]{2}""),
    IF(AND(REGEXMATCH(D189,""(?i)-DP""), REGEXMATCH(C189,""(?i)Downpipe"")),
       ""dp"" &amp; REGEXEXTRACT(C189,""("&amp;"\d+)"") &amp; ""mm"",
    IF(AND(REGEXMATCH(D189,""(?i)Bracket""), REGEXMATCH(C189,""(?i)Bracket"")),
       ""Brkt"" &amp; REGEXEXTRACT(C189,""(\d+)"") &amp; ""mm"",
    IF(AND(REGEXMATCH(D189,""(?i)-OP""), REGEXMATCH(C189,""(?i)pops"")),
       ""op"" &amp; REGEXEXTRAC"&amp;"T(C189,""(\d+)"") &amp; ""mm"",
    IF(OR(D189=""R-FFTop"", D189=""R-FFBottom"", D189=""R-FFSide""),
        IF(REGEXMATCH(C189,""(?i)Profiled.*Top|Top.*Profiled""),""pfft"",
        IF(REGEXMATCH(C189,""(?i)Profiled.*Bottom|Bottom.*Profiled""),""pffb"",
    "&amp;"    IF(REGEXMATCH(C189,""(?i)Square""),""sff"",""""))),
    IF(REGEXMATCH(D189,""(?i)-Rivets""),""Rvt"",
    IF(REGEXMATCH(D189,""(?i)Silicone|Seal""),""300ml"",
    IF(REGEXMATCH(D189,""(?i)R-Butyl""),""300ml"",
    IF(REGEXMATCH(D189,""(?i)Fix""),""GenF"&amp;"ix"",
    IF(AND(REGEXMATCH(C189,""(?i)Timber""), REGEXMATCH(D189,""(?i)Timber"")),""tp"",
    IF(AND(REGEXMATCH(C189,""(?i)Vent G1275""), REGEXMATCH(D189,""(?i)Comb FIller"")),""CFV1275"",
    IF(REGEXMATCH(C189,""(?i)DPC""),""dpc"",
    IF(REGEXMATCH(C1"&amp;"89,""(?i)Concealed Clips""),""ConClips"",
    IF(REGEXMATCH(D189,""(?i)-Takeoff ea""),""Takeoff ea"",
    IF(REGEXMATCH(D189,""(?i)-Takeoff LM""),""Takeoff LM"",
    IF(REGEXMATCH(D189,""(?i)-Takeoff m2""),""Takeoff m2"",
    IF(D189=""R-TU/TD"",""TU/TD"""&amp;","""")))))))))))))))))
  )))"),"op150mm")</f>
        <v>op150mm</v>
      </c>
      <c r="C189" s="123" t="s">
        <v>142</v>
      </c>
      <c r="D189" s="124" t="s">
        <v>143</v>
      </c>
      <c r="E189" s="687">
        <f>IFERROR(__xludf.DUMMYFUNCTION("IF(REGEXMATCH(C189, ""\d+mmØ""), VALUE(REGEXEXTRACT(C189, ""(\d+)mmØ""))/1000, """")
"),0.15)</f>
        <v>0.15</v>
      </c>
      <c r="F189" s="699"/>
      <c r="G189" s="158"/>
      <c r="H189" s="700"/>
      <c r="I189" s="700"/>
      <c r="J189" s="126" t="s">
        <v>87</v>
      </c>
      <c r="K189" s="126" t="str">
        <f>IFERROR(
  IF(B189="", "", VLOOKUP(B189, Data!$B$2:$K$905, 7, FALSE)),
  ""
)</f>
        <v/>
      </c>
      <c r="L189" s="704"/>
      <c r="M189" s="150">
        <v>1.0</v>
      </c>
      <c r="N189" s="151">
        <f>IFERROR(__xludf.DUMMYFUNCTION("IF(B189="""", """", IFERROR(1 / COS(RADIANS(REGEXEXTRACT(F189,""(\d+)""))), 1))"),1.0)</f>
        <v>1</v>
      </c>
      <c r="O189" s="759">
        <f>L186</f>
        <v>2</v>
      </c>
      <c r="P189" s="134">
        <v>1.0</v>
      </c>
      <c r="Q189" s="242">
        <f t="shared" ref="Q189:Q191" si="146">M189*N189*O189*P189</f>
        <v>2</v>
      </c>
      <c r="R189" s="136" t="str">
        <f>IFERROR(
  IF(B189="", "", VLOOKUP(B189, Data!$B$2:$K$905, 9, FALSE)),
  ""
)</f>
        <v/>
      </c>
      <c r="S189" s="152">
        <f t="shared" ref="S189:S191" si="147">R189*Q189</f>
        <v>0</v>
      </c>
      <c r="T189" s="690"/>
      <c r="U189" s="136" t="str">
        <f>IFERROR(
  IF(B189="", "", VLOOKUP(B189, Data!$B$2:$K$905, 10, FALSE)),
  ""
)
</f>
        <v/>
      </c>
      <c r="V189" s="691"/>
      <c r="W189" s="140">
        <f t="shared" ref="W189:W191" si="148">U189*Q189</f>
        <v>0</v>
      </c>
      <c r="X189" s="692"/>
      <c r="Y189" s="595"/>
      <c r="Z189" s="595"/>
      <c r="AA189" s="595"/>
      <c r="AB189" s="354">
        <f t="shared" si="145"/>
        <v>0</v>
      </c>
      <c r="AC189" s="181"/>
      <c r="AD189" s="625"/>
      <c r="AE189" s="626"/>
      <c r="AF189" s="696"/>
      <c r="AG189" s="628"/>
      <c r="AH189" s="629"/>
      <c r="AI189" s="187"/>
      <c r="AJ189" s="630"/>
      <c r="AK189" s="630"/>
      <c r="AL189" s="595"/>
      <c r="AM189" s="595"/>
      <c r="AN189" s="595"/>
      <c r="AO189" s="595"/>
      <c r="AP189" s="595"/>
      <c r="AQ189" s="595"/>
      <c r="AR189" s="595"/>
      <c r="AS189" s="595"/>
      <c r="AT189" s="595"/>
      <c r="AU189" s="595"/>
      <c r="AV189" s="595"/>
      <c r="AW189" s="595"/>
      <c r="AX189" s="595"/>
      <c r="AY189" s="595"/>
      <c r="AZ189" s="595"/>
      <c r="BA189" s="595"/>
      <c r="BB189" s="595"/>
      <c r="BC189" s="595"/>
      <c r="BD189" s="595"/>
      <c r="BE189" s="595"/>
      <c r="BF189" s="595"/>
      <c r="BG189" s="595"/>
      <c r="BH189" s="595"/>
      <c r="BI189" s="651"/>
      <c r="BJ189" s="651"/>
      <c r="BK189" s="651"/>
      <c r="BL189" s="651"/>
      <c r="BM189" s="651"/>
      <c r="BN189" s="651"/>
      <c r="BO189" s="651"/>
      <c r="BP189" s="651"/>
      <c r="BQ189" s="651"/>
      <c r="BR189" s="651"/>
      <c r="BS189" s="651"/>
      <c r="BT189" s="651"/>
    </row>
    <row r="190">
      <c r="A190" s="631"/>
      <c r="B190" s="154" t="str">
        <f>IFERROR(__xludf.DUMMYFUNCTION("IFERROR(
  IF(C190="""","""",
    IF(OR(REGEXMATCH(D190,""(?i)-Flashing""), REGEXMATCH(D190,""(?i)-EavesGut""), REGEXMATCH(D190,""(?i)Valley"")),
        ""DR"" &amp;
        TEXT(
            ROUNDUP(
                MIN(
                    VALUE(MID(C190, "&amp;"FIND(""("",C190)+1, FIND(""/"",C190)-FIND(""("",C190)-1)),
                    1200
                ) / 50, 0
            ) * 50, ""0""
        ) &amp;
        MID(C190, FIND(""/"",C190)+1, FIND("")"",C190)-FIND(""/"",C190)-1) &amp;
        TEXT(H190*100,""0"") &amp;"&amp;"
        I190,
    IF(AND(D190=""Roof Sheet"", REGEXMATCH(C190,""(?i)KS\d{4}[A-Z]{2}"")),
       REGEXEXTRACT(C190,""(?i)KS\d{4}[A-Z]{2}""),
    IF(AND(REGEXMATCH(D190,""(?i)-DP""), REGEXMATCH(C190,""(?i)Downpipe"")),
       ""dp"" &amp; REGEXEXTRACT(C190,""("&amp;"\d+)"") &amp; ""mm"",
    IF(AND(REGEXMATCH(D190,""(?i)Bracket""), REGEXMATCH(C190,""(?i)Bracket"")),
       ""Brkt"" &amp; REGEXEXTRACT(C190,""(\d+)"") &amp; ""mm"",
    IF(AND(REGEXMATCH(D190,""(?i)-OP""), REGEXMATCH(C190,""(?i)pops"")),
       ""op"" &amp; REGEXEXTRAC"&amp;"T(C190,""(\d+)"") &amp; ""mm"",
    IF(OR(D190=""R-FFTop"", D190=""R-FFBottom"", D190=""R-FFSide""),
        IF(REGEXMATCH(C190,""(?i)Profiled.*Top|Top.*Profiled""),""pfft"",
        IF(REGEXMATCH(C190,""(?i)Profiled.*Bottom|Bottom.*Profiled""),""pffb"",
    "&amp;"    IF(REGEXMATCH(C190,""(?i)Square""),""sff"",""""))),
    IF(REGEXMATCH(D190,""(?i)-Rivets""),""Rvt"",
    IF(REGEXMATCH(D190,""(?i)Silicone|Seal""),""300ml"",
    IF(REGEXMATCH(D190,""(?i)R-Butyl""),""300ml"",
    IF(REGEXMATCH(D190,""(?i)Fix""),""GenF"&amp;"ix"",
    IF(AND(REGEXMATCH(C190,""(?i)Timber""), REGEXMATCH(D190,""(?i)Timber"")),""tp"",
    IF(AND(REGEXMATCH(C190,""(?i)Vent G1275""), REGEXMATCH(D190,""(?i)Comb FIller"")),""CFV1275"",
    IF(REGEXMATCH(C190,""(?i)DPC""),""dpc"",
    IF(REGEXMATCH(C1"&amp;"90,""(?i)Concealed Clips""),""ConClips"",
    IF(REGEXMATCH(D190,""(?i)-Takeoff ea""),""Takeoff ea"",
    IF(REGEXMATCH(D190,""(?i)-Takeoff LM""),""Takeoff LM"",
    IF(REGEXMATCH(D190,""(?i)-Takeoff m2""),""Takeoff m2"",
    IF(D190=""R-TU/TD"",""TU/TD"""&amp;","""")))))))))))))))))
  )))"),"300ml")</f>
        <v>300ml</v>
      </c>
      <c r="C190" s="225" t="s">
        <v>98</v>
      </c>
      <c r="D190" s="124" t="s">
        <v>388</v>
      </c>
      <c r="E190" s="687">
        <f>E189</f>
        <v>0.15</v>
      </c>
      <c r="F190" s="699"/>
      <c r="G190" s="158"/>
      <c r="H190" s="700"/>
      <c r="I190" s="700"/>
      <c r="J190" s="126" t="s">
        <v>87</v>
      </c>
      <c r="K190" s="126" t="str">
        <f>IFERROR(
  IF(B190="", "", VLOOKUP(B190, Data!$B$2:$K$905, 7, FALSE)),
  ""
)</f>
        <v/>
      </c>
      <c r="L190" s="704"/>
      <c r="M190" s="150">
        <f>ROUNDUP(3.14*E190,0)/8</f>
        <v>0.125</v>
      </c>
      <c r="N190" s="151">
        <f>IFERROR(__xludf.DUMMYFUNCTION("IF(B190="""", """", IFERROR(1 / COS(RADIANS(REGEXEXTRACT(F190,""(\d+)""))), 1))"),1.0)</f>
        <v>1</v>
      </c>
      <c r="O190" s="169">
        <f>O189</f>
        <v>2</v>
      </c>
      <c r="P190" s="134">
        <v>1.0</v>
      </c>
      <c r="Q190" s="242">
        <f t="shared" si="146"/>
        <v>0.25</v>
      </c>
      <c r="R190" s="136" t="str">
        <f>IFERROR(
  IF(B190="", "", VLOOKUP(B190, Data!$B$2:$K$905, 9, FALSE)),
  ""
)</f>
        <v/>
      </c>
      <c r="S190" s="152">
        <f t="shared" si="147"/>
        <v>0</v>
      </c>
      <c r="T190" s="690"/>
      <c r="U190" s="136" t="str">
        <f>IFERROR(
  IF(B190="", "", VLOOKUP(B190, Data!$B$2:$K$905, 10, FALSE)),
  ""
)
</f>
        <v/>
      </c>
      <c r="V190" s="691"/>
      <c r="W190" s="140">
        <f t="shared" si="148"/>
        <v>0</v>
      </c>
      <c r="X190" s="692"/>
      <c r="Y190" s="595"/>
      <c r="Z190" s="595"/>
      <c r="AA190" s="595"/>
      <c r="AB190" s="354">
        <f t="shared" si="145"/>
        <v>0</v>
      </c>
      <c r="AC190" s="181"/>
      <c r="AD190" s="625"/>
      <c r="AE190" s="626"/>
      <c r="AF190" s="696"/>
      <c r="AG190" s="628"/>
      <c r="AH190" s="629"/>
      <c r="AI190" s="187"/>
      <c r="AJ190" s="630"/>
      <c r="AK190" s="630"/>
      <c r="AL190" s="595"/>
      <c r="AM190" s="595"/>
      <c r="AN190" s="595"/>
      <c r="AO190" s="595"/>
      <c r="AP190" s="595"/>
      <c r="AQ190" s="595"/>
      <c r="AR190" s="595"/>
      <c r="AS190" s="595"/>
      <c r="AT190" s="595"/>
      <c r="AU190" s="595"/>
      <c r="AV190" s="595"/>
      <c r="AW190" s="595"/>
      <c r="AX190" s="595"/>
      <c r="AY190" s="595"/>
      <c r="AZ190" s="595"/>
      <c r="BA190" s="595"/>
      <c r="BB190" s="595"/>
      <c r="BC190" s="595"/>
      <c r="BD190" s="595"/>
      <c r="BE190" s="595"/>
      <c r="BF190" s="595"/>
      <c r="BG190" s="595"/>
      <c r="BH190" s="595"/>
      <c r="BI190" s="651"/>
      <c r="BJ190" s="651"/>
      <c r="BK190" s="651"/>
      <c r="BL190" s="651"/>
      <c r="BM190" s="651"/>
      <c r="BN190" s="651"/>
      <c r="BO190" s="651"/>
      <c r="BP190" s="651"/>
      <c r="BQ190" s="651"/>
      <c r="BR190" s="651"/>
      <c r="BS190" s="651"/>
      <c r="BT190" s="651"/>
    </row>
    <row r="191">
      <c r="A191" s="631"/>
      <c r="B191" s="154" t="str">
        <f>IFERROR(__xludf.DUMMYFUNCTION("IFERROR(
  IF(C191="""","""",
    IF(OR(REGEXMATCH(D191,""(?i)-Flashing""), REGEXMATCH(D191,""(?i)-EavesGut""), REGEXMATCH(D191,""(?i)Valley"")),
        ""DR"" &amp;
        TEXT(
            ROUNDUP(
                MIN(
                    VALUE(MID(C191, "&amp;"FIND(""("",C191)+1, FIND(""/"",C191)-FIND(""("",C191)-1)),
                    1200
                ) / 50, 0
            ) * 50, ""0""
        ) &amp;
        MID(C191, FIND(""/"",C191)+1, FIND("")"",C191)-FIND(""/"",C191)-1) &amp;
        TEXT(H191*100,""0"") &amp;"&amp;"
        I191,
    IF(AND(D191=""Roof Sheet"", REGEXMATCH(C191,""(?i)KS\d{4}[A-Z]{2}"")),
       REGEXEXTRACT(C191,""(?i)KS\d{4}[A-Z]{2}""),
    IF(AND(REGEXMATCH(D191,""(?i)-DP""), REGEXMATCH(C191,""(?i)Downpipe"")),
       ""dp"" &amp; REGEXEXTRACT(C191,""("&amp;"\d+)"") &amp; ""mm"",
    IF(AND(REGEXMATCH(D191,""(?i)Bracket""), REGEXMATCH(C191,""(?i)Bracket"")),
       ""Brkt"" &amp; REGEXEXTRACT(C191,""(\d+)"") &amp; ""mm"",
    IF(AND(REGEXMATCH(D191,""(?i)-OP""), REGEXMATCH(C191,""(?i)pops"")),
       ""op"" &amp; REGEXEXTRAC"&amp;"T(C191,""(\d+)"") &amp; ""mm"",
    IF(OR(D191=""R-FFTop"", D191=""R-FFBottom"", D191=""R-FFSide""),
        IF(REGEXMATCH(C191,""(?i)Profiled.*Top|Top.*Profiled""),""pfft"",
        IF(REGEXMATCH(C191,""(?i)Profiled.*Bottom|Bottom.*Profiled""),""pffb"",
    "&amp;"    IF(REGEXMATCH(C191,""(?i)Square""),""sff"",""""))),
    IF(REGEXMATCH(D191,""(?i)-Rivets""),""Rvt"",
    IF(REGEXMATCH(D191,""(?i)Silicone|Seal""),""300ml"",
    IF(REGEXMATCH(D191,""(?i)R-Butyl""),""300ml"",
    IF(REGEXMATCH(D191,""(?i)Fix""),""GenF"&amp;"ix"",
    IF(AND(REGEXMATCH(C191,""(?i)Timber""), REGEXMATCH(D191,""(?i)Timber"")),""tp"",
    IF(AND(REGEXMATCH(C191,""(?i)Vent G1275""), REGEXMATCH(D191,""(?i)Comb FIller"")),""CFV1275"",
    IF(REGEXMATCH(C191,""(?i)DPC""),""dpc"",
    IF(REGEXMATCH(C1"&amp;"91,""(?i)Concealed Clips""),""ConClips"",
    IF(REGEXMATCH(D191,""(?i)-Takeoff ea""),""Takeoff ea"",
    IF(REGEXMATCH(D191,""(?i)-Takeoff LM""),""Takeoff LM"",
    IF(REGEXMATCH(D191,""(?i)-Takeoff m2""),""Takeoff m2"",
    IF(D191=""R-TU/TD"",""TU/TD"""&amp;","""")))))))))))))))))
  )))"),"GenFix")</f>
        <v>GenFix</v>
      </c>
      <c r="C191" s="225" t="s">
        <v>102</v>
      </c>
      <c r="D191" s="124" t="s">
        <v>144</v>
      </c>
      <c r="E191" s="687">
        <f>E189</f>
        <v>0.15</v>
      </c>
      <c r="F191" s="699"/>
      <c r="G191" s="158"/>
      <c r="H191" s="700"/>
      <c r="I191" s="700"/>
      <c r="J191" s="126" t="s">
        <v>87</v>
      </c>
      <c r="K191" s="126" t="str">
        <f>IFERROR(
  IF(B191="", "", VLOOKUP(B191, Data!$B$2:$K$905, 7, FALSE)),
  ""
)</f>
        <v/>
      </c>
      <c r="L191" s="704"/>
      <c r="M191" s="150">
        <f>ROUNDUP(3.14*E191,0)/0.05</f>
        <v>20</v>
      </c>
      <c r="N191" s="151">
        <f>IFERROR(__xludf.DUMMYFUNCTION("IF(B191="""", """", IFERROR(1 / COS(RADIANS(REGEXEXTRACT(F191,""(\d+)""))), 1))"),1.0)</f>
        <v>1</v>
      </c>
      <c r="O191" s="169">
        <f>O189</f>
        <v>2</v>
      </c>
      <c r="P191" s="134">
        <v>1.0</v>
      </c>
      <c r="Q191" s="242">
        <f t="shared" si="146"/>
        <v>40</v>
      </c>
      <c r="R191" s="136" t="str">
        <f>IFERROR(
  IF(B191="", "", VLOOKUP(B191, Data!$B$2:$K$905, 9, FALSE)),
  ""
)</f>
        <v/>
      </c>
      <c r="S191" s="152">
        <f t="shared" si="147"/>
        <v>0</v>
      </c>
      <c r="T191" s="690"/>
      <c r="U191" s="136" t="str">
        <f>IFERROR(
  IF(B191="", "", VLOOKUP(B191, Data!$B$2:$K$905, 10, FALSE)),
  ""
)
</f>
        <v/>
      </c>
      <c r="V191" s="691"/>
      <c r="W191" s="140">
        <f t="shared" si="148"/>
        <v>0</v>
      </c>
      <c r="X191" s="692"/>
      <c r="Y191" s="595"/>
      <c r="Z191" s="595"/>
      <c r="AA191" s="595"/>
      <c r="AB191" s="354">
        <f t="shared" si="145"/>
        <v>0</v>
      </c>
      <c r="AC191" s="181"/>
      <c r="AD191" s="625"/>
      <c r="AE191" s="626"/>
      <c r="AF191" s="696"/>
      <c r="AG191" s="628"/>
      <c r="AH191" s="629"/>
      <c r="AI191" s="187"/>
      <c r="AJ191" s="630"/>
      <c r="AK191" s="630"/>
      <c r="AL191" s="595"/>
      <c r="AM191" s="595"/>
      <c r="AN191" s="595"/>
      <c r="AO191" s="595"/>
      <c r="AP191" s="595"/>
      <c r="AQ191" s="595"/>
      <c r="AR191" s="595"/>
      <c r="AS191" s="595"/>
      <c r="AT191" s="595"/>
      <c r="AU191" s="595"/>
      <c r="AV191" s="595"/>
      <c r="AW191" s="595"/>
      <c r="AX191" s="595"/>
      <c r="AY191" s="595"/>
      <c r="AZ191" s="595"/>
      <c r="BA191" s="595"/>
      <c r="BB191" s="595"/>
      <c r="BC191" s="595"/>
      <c r="BD191" s="595"/>
      <c r="BE191" s="595"/>
      <c r="BF191" s="595"/>
      <c r="BG191" s="595"/>
      <c r="BH191" s="595"/>
      <c r="BI191" s="651"/>
      <c r="BJ191" s="651"/>
      <c r="BK191" s="651"/>
      <c r="BL191" s="651"/>
      <c r="BM191" s="651"/>
      <c r="BN191" s="651"/>
      <c r="BO191" s="651"/>
      <c r="BP191" s="651"/>
      <c r="BQ191" s="651"/>
      <c r="BR191" s="651"/>
      <c r="BS191" s="651"/>
      <c r="BT191" s="651"/>
    </row>
    <row r="192">
      <c r="A192" s="631"/>
      <c r="B192" s="154"/>
      <c r="C192" s="700"/>
      <c r="D192" s="701"/>
      <c r="E192" s="722"/>
      <c r="F192" s="699"/>
      <c r="G192" s="158"/>
      <c r="H192" s="700"/>
      <c r="I192" s="700"/>
      <c r="J192" s="701"/>
      <c r="K192" s="126"/>
      <c r="L192" s="704"/>
      <c r="M192" s="704"/>
      <c r="N192" s="711"/>
      <c r="O192" s="712"/>
      <c r="P192" s="700"/>
      <c r="Q192" s="712"/>
      <c r="R192" s="136" t="str">
        <f>IFERROR(
  IF(B192="", "", VLOOKUP(B192, Data!$B$2:$K$905, 9, FALSE)),
  ""
)</f>
        <v/>
      </c>
      <c r="S192" s="152"/>
      <c r="T192" s="690"/>
      <c r="U192" s="136" t="str">
        <f>IFERROR(
  IF(B192="", "", VLOOKUP(B192, Data!$B$2:$K$905, 10, FALSE)),
  ""
)
</f>
        <v/>
      </c>
      <c r="V192" s="691"/>
      <c r="W192" s="713"/>
      <c r="X192" s="692"/>
      <c r="Y192" s="595"/>
      <c r="Z192" s="595"/>
      <c r="AA192" s="595"/>
      <c r="AB192" s="354"/>
      <c r="AC192" s="181"/>
      <c r="AD192" s="625"/>
      <c r="AE192" s="626"/>
      <c r="AF192" s="696"/>
      <c r="AG192" s="628"/>
      <c r="AH192" s="629"/>
      <c r="AI192" s="187"/>
      <c r="AJ192" s="630"/>
      <c r="AK192" s="630"/>
      <c r="AL192" s="595"/>
      <c r="AM192" s="595"/>
      <c r="AN192" s="595"/>
      <c r="AO192" s="595"/>
      <c r="AP192" s="595"/>
      <c r="AQ192" s="595"/>
      <c r="AR192" s="595"/>
      <c r="AS192" s="595"/>
      <c r="AT192" s="595"/>
      <c r="AU192" s="595"/>
      <c r="AV192" s="595"/>
      <c r="AW192" s="595"/>
      <c r="AX192" s="595"/>
      <c r="AY192" s="595"/>
      <c r="AZ192" s="595"/>
      <c r="BA192" s="595"/>
      <c r="BB192" s="595"/>
      <c r="BC192" s="595"/>
      <c r="BD192" s="595"/>
      <c r="BE192" s="595"/>
      <c r="BF192" s="595"/>
      <c r="BG192" s="595"/>
      <c r="BH192" s="595"/>
      <c r="BI192" s="651"/>
      <c r="BJ192" s="651"/>
      <c r="BK192" s="651"/>
      <c r="BL192" s="651"/>
      <c r="BM192" s="651"/>
      <c r="BN192" s="651"/>
      <c r="BO192" s="651"/>
      <c r="BP192" s="651"/>
      <c r="BQ192" s="651"/>
      <c r="BR192" s="651"/>
      <c r="BS192" s="651"/>
      <c r="BT192" s="651"/>
    </row>
    <row r="193">
      <c r="A193" s="631">
        <v>1.0</v>
      </c>
      <c r="B193" s="727"/>
      <c r="C193" s="103" t="s">
        <v>490</v>
      </c>
      <c r="D193" s="678"/>
      <c r="E193" s="676"/>
      <c r="F193" s="677"/>
      <c r="G193" s="157"/>
      <c r="H193" s="678"/>
      <c r="I193" s="678"/>
      <c r="J193" s="678"/>
      <c r="K193" s="728" t="s">
        <v>42</v>
      </c>
      <c r="L193" s="106">
        <f>Q193</f>
        <v>201.6</v>
      </c>
      <c r="M193" s="679" t="s">
        <v>42</v>
      </c>
      <c r="N193" s="680"/>
      <c r="O193" s="679"/>
      <c r="P193" s="678"/>
      <c r="Q193" s="106">
        <f>Q194</f>
        <v>201.6</v>
      </c>
      <c r="R193" s="136" t="str">
        <f>IFERROR(
  IF(B193="", "", VLOOKUP(B193, Data!$B$2:$K$905, 9, FALSE)),
  ""
)</f>
        <v/>
      </c>
      <c r="S193" s="682">
        <f>IFERROR(T193/Q193, 0)</f>
        <v>0</v>
      </c>
      <c r="T193" s="109">
        <f>SUM(S194:S200)</f>
        <v>0</v>
      </c>
      <c r="U193" s="136" t="str">
        <f>IFERROR(
  IF(B193="", "", VLOOKUP(B193, Data!$B$2:$K$905, 10, FALSE)),
  ""
)
</f>
        <v/>
      </c>
      <c r="V193" s="109">
        <f>W193/Q193</f>
        <v>0</v>
      </c>
      <c r="W193" s="110">
        <f>SUM(W194:W200)</f>
        <v>0</v>
      </c>
      <c r="X193" s="111" t="str">
        <f>W193/$AC$758/$W$765/$X$755</f>
        <v>#REF!</v>
      </c>
      <c r="Y193" s="112" t="b">
        <f>(T193+W193)=(SUM(AB194:AB200))</f>
        <v>1</v>
      </c>
      <c r="Z193" s="113">
        <f>(T193+W193)-(SUM(AB194:AB199))</f>
        <v>0</v>
      </c>
      <c r="AA193" s="595"/>
      <c r="AB193" s="354"/>
      <c r="AC193" s="181"/>
      <c r="AD193" s="114">
        <f>W193+T193</f>
        <v>0</v>
      </c>
      <c r="AE193" s="115">
        <f>AD193</f>
        <v>0</v>
      </c>
      <c r="AF193" s="116" t="str">
        <f>AE193/$AE$733</f>
        <v>#REF!</v>
      </c>
      <c r="AG193" s="683" t="str">
        <f>AF193*$AG$740</f>
        <v>#REF!</v>
      </c>
      <c r="AH193" s="118" t="str">
        <f>AF193*$AG$743</f>
        <v>#REF!</v>
      </c>
      <c r="AI193" s="187"/>
      <c r="AJ193" s="119" t="str">
        <f>ROUND(AK193/L193,2)</f>
        <v>#REF!</v>
      </c>
      <c r="AK193" s="119" t="str">
        <f>ROUND(AH193+AG193+AD193,2)</f>
        <v>#REF!</v>
      </c>
      <c r="AL193" s="595"/>
      <c r="AM193" s="595"/>
      <c r="AN193" s="595"/>
      <c r="AO193" s="595"/>
      <c r="AP193" s="595"/>
      <c r="AQ193" s="595"/>
      <c r="AR193" s="595"/>
      <c r="AS193" s="595"/>
      <c r="AT193" s="595"/>
      <c r="AU193" s="595"/>
      <c r="AV193" s="595"/>
      <c r="AW193" s="595"/>
      <c r="AX193" s="595"/>
      <c r="AY193" s="595"/>
      <c r="AZ193" s="595"/>
      <c r="BA193" s="595"/>
      <c r="BB193" s="595"/>
      <c r="BC193" s="595"/>
      <c r="BD193" s="595"/>
      <c r="BE193" s="595"/>
      <c r="BF193" s="595"/>
      <c r="BG193" s="595"/>
      <c r="BH193" s="595"/>
      <c r="BI193" s="651"/>
      <c r="BJ193" s="651"/>
      <c r="BK193" s="651"/>
      <c r="BL193" s="651"/>
      <c r="BM193" s="651"/>
      <c r="BN193" s="651"/>
      <c r="BO193" s="651"/>
      <c r="BP193" s="651"/>
      <c r="BQ193" s="651"/>
      <c r="BR193" s="651"/>
      <c r="BS193" s="651"/>
      <c r="BT193" s="651"/>
    </row>
    <row r="194">
      <c r="A194" s="716" t="s">
        <v>491</v>
      </c>
      <c r="B194" s="154" t="str">
        <f>IFERROR(__xludf.DUMMYFUNCTION("IFERROR(
  IF(C194="""","""",
    IF(OR(REGEXMATCH(D194,""(?i)-Flashing""), REGEXMATCH(D194,""(?i)-EavesGut""), REGEXMATCH(D194,""(?i)Valley"")),
        ""DR"" &amp;
        TEXT(
            ROUNDUP(
                MIN(
                    VALUE(MID(C194, "&amp;"FIND(""("",C194)+1, FIND(""/"",C194)-FIND(""("",C194)-1)),
                    1200
                ) / 50, 0
            ) * 50, ""0""
        ) &amp;
        MID(C194, FIND(""/"",C194)+1, FIND("")"",C194)-FIND(""/"",C194)-1) &amp;
        TEXT(H194*100,""0"") &amp;"&amp;"
        I194,
    IF(AND(D194=""Roof Sheet"", REGEXMATCH(C194,""(?i)KS\d{4}[A-Z]{2}"")),
       REGEXEXTRACT(C194,""(?i)KS\d{4}[A-Z]{2}""),
    IF(AND(REGEXMATCH(D194,""(?i)-DP""), REGEXMATCH(C194,""(?i)Downpipe"")),
       ""dp"" &amp; REGEXEXTRACT(C194,""("&amp;"\d+)"") &amp; ""mm"",
    IF(AND(REGEXMATCH(D194,""(?i)Bracket""), REGEXMATCH(C194,""(?i)Bracket"")),
       ""Brkt"" &amp; REGEXEXTRACT(C194,""(\d+)"") &amp; ""mm"",
    IF(AND(REGEXMATCH(D194,""(?i)-OP""), REGEXMATCH(C194,""(?i)pops"")),
       ""op"" &amp; REGEXEXTRAC"&amp;"T(C194,""(\d+)"") &amp; ""mm"",
    IF(OR(D194=""R-FFTop"", D194=""R-FFBottom"", D194=""R-FFSide""),
        IF(REGEXMATCH(C194,""(?i)Profiled.*Top|Top.*Profiled""),""pfft"",
        IF(REGEXMATCH(C194,""(?i)Profiled.*Bottom|Bottom.*Profiled""),""pffb"",
    "&amp;"    IF(REGEXMATCH(C194,""(?i)Square""),""sff"",""""))),
    IF(REGEXMATCH(D194,""(?i)-Rivets""),""Rvt"",
    IF(REGEXMATCH(D194,""(?i)Silicone|Seal""),""300ml"",
    IF(REGEXMATCH(D194,""(?i)R-Butyl""),""300ml"",
    IF(REGEXMATCH(D194,""(?i)Fix""),""GenF"&amp;"ix"",
    IF(AND(REGEXMATCH(C194,""(?i)Timber""), REGEXMATCH(D194,""(?i)Timber"")),""tp"",
    IF(AND(REGEXMATCH(C194,""(?i)Vent G1275""), REGEXMATCH(D194,""(?i)Comb FIller"")),""CFV1275"",
    IF(REGEXMATCH(C194,""(?i)DPC""),""dpc"",
    IF(REGEXMATCH(C1"&amp;"94,""(?i)Concealed Clips""),""ConClips"",
    IF(REGEXMATCH(D194,""(?i)-Takeoff ea""),""Takeoff ea"",
    IF(REGEXMATCH(D194,""(?i)-Takeoff LM""),""Takeoff LM"",
    IF(REGEXMATCH(D194,""(?i)-Takeoff m2""),""Takeoff m2"",
    IF(D194=""R-TU/TD"",""TU/TD"""&amp;","""")))))))))))))))))
  )))"),"dp150mm")</f>
        <v>dp150mm</v>
      </c>
      <c r="C194" s="123" t="s">
        <v>138</v>
      </c>
      <c r="D194" s="124" t="s">
        <v>139</v>
      </c>
      <c r="E194" s="725"/>
      <c r="F194" s="699"/>
      <c r="G194" s="689" t="s">
        <v>429</v>
      </c>
      <c r="H194" s="700"/>
      <c r="I194" s="700"/>
      <c r="J194" s="126" t="s">
        <v>14</v>
      </c>
      <c r="K194" s="126" t="str">
        <f>IFERROR(
  IF(B194="", "", VLOOKUP(B194, Data!$B$2:$K$905, 7, FALSE)),
  ""
)</f>
        <v/>
      </c>
      <c r="L194" s="131">
        <v>14.0</v>
      </c>
      <c r="M194" s="150">
        <f t="shared" ref="M194:M195" si="149">L194</f>
        <v>14</v>
      </c>
      <c r="N194" s="156">
        <v>2.4</v>
      </c>
      <c r="O194" s="759">
        <v>6.0</v>
      </c>
      <c r="P194" s="134">
        <v>1.0</v>
      </c>
      <c r="Q194" s="242">
        <f t="shared" ref="Q194:Q195" si="150">M194*N194*O194*P194</f>
        <v>201.6</v>
      </c>
      <c r="R194" s="136" t="str">
        <f>IFERROR(
  IF(B194="", "", VLOOKUP(B194, Data!$B$2:$K$905, 9, FALSE)),
  ""
)</f>
        <v/>
      </c>
      <c r="S194" s="152">
        <f t="shared" ref="S194:S195" si="151">R194*Q194</f>
        <v>0</v>
      </c>
      <c r="T194" s="690"/>
      <c r="U194" s="136" t="str">
        <f>IFERROR(
  IF(B194="", "", VLOOKUP(B194, Data!$B$2:$K$905, 10, FALSE)),
  ""
)
</f>
        <v/>
      </c>
      <c r="V194" s="691"/>
      <c r="W194" s="140">
        <f t="shared" ref="W194:W195" si="152">U194*Q194</f>
        <v>0</v>
      </c>
      <c r="X194" s="693"/>
      <c r="Y194" s="595"/>
      <c r="Z194" s="595"/>
      <c r="AA194" s="595"/>
      <c r="AB194" s="354">
        <f t="shared" ref="AB194:AB199" si="153">W194+S194</f>
        <v>0</v>
      </c>
      <c r="AC194" s="181"/>
      <c r="AD194" s="625"/>
      <c r="AE194" s="626"/>
      <c r="AF194" s="696"/>
      <c r="AG194" s="628"/>
      <c r="AH194" s="629"/>
      <c r="AI194" s="187"/>
      <c r="AJ194" s="630"/>
      <c r="AK194" s="630"/>
      <c r="AL194" s="595"/>
      <c r="AM194" s="595"/>
      <c r="AN194" s="595"/>
      <c r="AO194" s="595"/>
      <c r="AP194" s="595"/>
      <c r="AQ194" s="595"/>
      <c r="AR194" s="595"/>
      <c r="AS194" s="595"/>
      <c r="AT194" s="595"/>
      <c r="AU194" s="595"/>
      <c r="AV194" s="595"/>
      <c r="AW194" s="595"/>
      <c r="AX194" s="595"/>
      <c r="AY194" s="595"/>
      <c r="AZ194" s="595"/>
      <c r="BA194" s="595"/>
      <c r="BB194" s="595"/>
      <c r="BC194" s="595"/>
      <c r="BD194" s="595"/>
      <c r="BE194" s="595"/>
      <c r="BF194" s="595"/>
      <c r="BG194" s="595"/>
      <c r="BH194" s="595"/>
      <c r="BI194" s="651"/>
      <c r="BJ194" s="651"/>
      <c r="BK194" s="651"/>
      <c r="BL194" s="651"/>
      <c r="BM194" s="651"/>
      <c r="BN194" s="651"/>
      <c r="BO194" s="651"/>
      <c r="BP194" s="651"/>
      <c r="BQ194" s="651"/>
      <c r="BR194" s="651"/>
      <c r="BS194" s="651"/>
      <c r="BT194" s="651"/>
    </row>
    <row r="195">
      <c r="A195" s="716" t="s">
        <v>491</v>
      </c>
      <c r="B195" s="154" t="str">
        <f>IFERROR(__xludf.DUMMYFUNCTION("IFERROR(
  IF(C195="""","""",
    IF(OR(REGEXMATCH(D195,""(?i)-Flashing""), REGEXMATCH(D195,""(?i)-EavesGut""), REGEXMATCH(D195,""(?i)Valley"")),
        ""DR"" &amp;
        TEXT(
            ROUNDUP(
                MIN(
                    VALUE(MID(C195, "&amp;"FIND(""("",C195)+1, FIND(""/"",C195)-FIND(""("",C195)-1)),
                    1200
                ) / 50, 0
            ) * 50, ""0""
        ) &amp;
        MID(C195, FIND(""/"",C195)+1, FIND("")"",C195)-FIND(""/"",C195)-1) &amp;
        TEXT(H195*100,""0"") &amp;"&amp;"
        I195,
    IF(AND(D195=""Roof Sheet"", REGEXMATCH(C195,""(?i)KS\d{4}[A-Z]{2}"")),
       REGEXEXTRACT(C195,""(?i)KS\d{4}[A-Z]{2}""),
    IF(AND(REGEXMATCH(D195,""(?i)-DP""), REGEXMATCH(C195,""(?i)Downpipe"")),
       ""dp"" &amp; REGEXEXTRACT(C195,""("&amp;"\d+)"") &amp; ""mm"",
    IF(AND(REGEXMATCH(D195,""(?i)Bracket""), REGEXMATCH(C195,""(?i)Bracket"")),
       ""Brkt"" &amp; REGEXEXTRACT(C195,""(\d+)"") &amp; ""mm"",
    IF(AND(REGEXMATCH(D195,""(?i)-OP""), REGEXMATCH(C195,""(?i)pops"")),
       ""op"" &amp; REGEXEXTRAC"&amp;"T(C195,""(\d+)"") &amp; ""mm"",
    IF(OR(D195=""R-FFTop"", D195=""R-FFBottom"", D195=""R-FFSide""),
        IF(REGEXMATCH(C195,""(?i)Profiled.*Top|Top.*Profiled""),""pfft"",
        IF(REGEXMATCH(C195,""(?i)Profiled.*Bottom|Bottom.*Profiled""),""pffb"",
    "&amp;"    IF(REGEXMATCH(C195,""(?i)Square""),""sff"",""""))),
    IF(REGEXMATCH(D195,""(?i)-Rivets""),""Rvt"",
    IF(REGEXMATCH(D195,""(?i)Silicone|Seal""),""300ml"",
    IF(REGEXMATCH(D195,""(?i)R-Butyl""),""300ml"",
    IF(REGEXMATCH(D195,""(?i)Fix""),""GenF"&amp;"ix"",
    IF(AND(REGEXMATCH(C195,""(?i)Timber""), REGEXMATCH(D195,""(?i)Timber"")),""tp"",
    IF(AND(REGEXMATCH(C195,""(?i)Vent G1275""), REGEXMATCH(D195,""(?i)Comb FIller"")),""CFV1275"",
    IF(REGEXMATCH(C195,""(?i)DPC""),""dpc"",
    IF(REGEXMATCH(C1"&amp;"95,""(?i)Concealed Clips""),""ConClips"",
    IF(REGEXMATCH(D195,""(?i)-Takeoff ea""),""Takeoff ea"",
    IF(REGEXMATCH(D195,""(?i)-Takeoff LM""),""Takeoff LM"",
    IF(REGEXMATCH(D195,""(?i)-Takeoff m2""),""Takeoff m2"",
    IF(D195=""R-TU/TD"",""TU/TD"""&amp;","""")))))))))))))))))
  )))"),"Brkt150mm")</f>
        <v>Brkt150mm</v>
      </c>
      <c r="C195" s="123" t="s">
        <v>140</v>
      </c>
      <c r="D195" s="124" t="s">
        <v>141</v>
      </c>
      <c r="E195" s="725"/>
      <c r="F195" s="699"/>
      <c r="G195" s="158"/>
      <c r="H195" s="700"/>
      <c r="I195" s="700"/>
      <c r="J195" s="126" t="s">
        <v>87</v>
      </c>
      <c r="K195" s="126" t="str">
        <f>IFERROR(
  IF(B195="", "", VLOOKUP(B195, Data!$B$2:$K$905, 7, FALSE)),
  ""
)</f>
        <v/>
      </c>
      <c r="L195" s="135">
        <f>L194</f>
        <v>14</v>
      </c>
      <c r="M195" s="150">
        <f t="shared" si="149"/>
        <v>14</v>
      </c>
      <c r="N195" s="151">
        <v>1.0</v>
      </c>
      <c r="O195" s="169">
        <f>O194</f>
        <v>6</v>
      </c>
      <c r="P195" s="134">
        <v>1.0</v>
      </c>
      <c r="Q195" s="242">
        <f t="shared" si="150"/>
        <v>84</v>
      </c>
      <c r="R195" s="136" t="str">
        <f>IFERROR(
  IF(B195="", "", VLOOKUP(B195, Data!$B$2:$K$905, 9, FALSE)),
  ""
)</f>
        <v/>
      </c>
      <c r="S195" s="152">
        <f t="shared" si="151"/>
        <v>0</v>
      </c>
      <c r="T195" s="690"/>
      <c r="U195" s="136" t="str">
        <f>IFERROR(
  IF(B195="", "", VLOOKUP(B195, Data!$B$2:$K$905, 10, FALSE)),
  ""
)
</f>
        <v/>
      </c>
      <c r="V195" s="691"/>
      <c r="W195" s="140">
        <f t="shared" si="152"/>
        <v>0</v>
      </c>
      <c r="X195" s="692"/>
      <c r="Y195" s="595"/>
      <c r="Z195" s="595"/>
      <c r="AA195" s="595"/>
      <c r="AB195" s="354">
        <f t="shared" si="153"/>
        <v>0</v>
      </c>
      <c r="AC195" s="181"/>
      <c r="AD195" s="625"/>
      <c r="AE195" s="626"/>
      <c r="AF195" s="696"/>
      <c r="AG195" s="628"/>
      <c r="AH195" s="629"/>
      <c r="AI195" s="187"/>
      <c r="AJ195" s="630"/>
      <c r="AK195" s="630"/>
      <c r="AL195" s="595"/>
      <c r="AM195" s="595"/>
      <c r="AN195" s="595"/>
      <c r="AO195" s="595"/>
      <c r="AP195" s="595"/>
      <c r="AQ195" s="595"/>
      <c r="AR195" s="595"/>
      <c r="AS195" s="595"/>
      <c r="AT195" s="595"/>
      <c r="AU195" s="595"/>
      <c r="AV195" s="595"/>
      <c r="AW195" s="595"/>
      <c r="AX195" s="595"/>
      <c r="AY195" s="595"/>
      <c r="AZ195" s="595"/>
      <c r="BA195" s="595"/>
      <c r="BB195" s="595"/>
      <c r="BC195" s="595"/>
      <c r="BD195" s="595"/>
      <c r="BE195" s="595"/>
      <c r="BF195" s="595"/>
      <c r="BG195" s="595"/>
      <c r="BH195" s="595"/>
      <c r="BI195" s="651"/>
      <c r="BJ195" s="651"/>
      <c r="BK195" s="651"/>
      <c r="BL195" s="651"/>
      <c r="BM195" s="651"/>
      <c r="BN195" s="651"/>
      <c r="BO195" s="651"/>
      <c r="BP195" s="651"/>
      <c r="BQ195" s="651"/>
      <c r="BR195" s="651"/>
      <c r="BS195" s="651"/>
      <c r="BT195" s="651"/>
    </row>
    <row r="196">
      <c r="A196" s="631"/>
      <c r="B196" s="154" t="str">
        <f>IFERROR(__xludf.DUMMYFUNCTION("IFERROR(
  IF(C196="""","""",
    IF(OR(REGEXMATCH(D196,""(?i)-Flashing""), REGEXMATCH(D196,""(?i)-EavesGut""), REGEXMATCH(D196,""(?i)Valley"")),
        ""DR"" &amp;
        TEXT(
            ROUNDUP(
                MIN(
                    VALUE(MID(C196, "&amp;"FIND(""("",C196)+1, FIND(""/"",C196)-FIND(""("",C196)-1)),
                    1200
                ) / 50, 0
            ) * 50, ""0""
        ) &amp;
        MID(C196, FIND(""/"",C196)+1, FIND("")"",C196)-FIND(""/"",C196)-1) &amp;
        TEXT(H196*100,""0"") &amp;"&amp;"
        I196,
    IF(AND(D196=""Roof Sheet"", REGEXMATCH(C196,""(?i)KS\d{4}[A-Z]{2}"")),
       REGEXEXTRACT(C196,""(?i)KS\d{4}[A-Z]{2}""),
    IF(AND(REGEXMATCH(D196,""(?i)-DP""), REGEXMATCH(C196,""(?i)Downpipe"")),
       ""dp"" &amp; REGEXEXTRACT(C196,""("&amp;"\d+)"") &amp; ""mm"",
    IF(AND(REGEXMATCH(D196,""(?i)Bracket""), REGEXMATCH(C196,""(?i)Bracket"")),
       ""Brkt"" &amp; REGEXEXTRACT(C196,""(\d+)"") &amp; ""mm"",
    IF(AND(REGEXMATCH(D196,""(?i)-OP""), REGEXMATCH(C196,""(?i)pops"")),
       ""op"" &amp; REGEXEXTRAC"&amp;"T(C196,""(\d+)"") &amp; ""mm"",
    IF(OR(D196=""R-FFTop"", D196=""R-FFBottom"", D196=""R-FFSide""),
        IF(REGEXMATCH(C196,""(?i)Profiled.*Top|Top.*Profiled""),""pfft"",
        IF(REGEXMATCH(C196,""(?i)Profiled.*Bottom|Bottom.*Profiled""),""pffb"",
    "&amp;"    IF(REGEXMATCH(C196,""(?i)Square""),""sff"",""""))),
    IF(REGEXMATCH(D196,""(?i)-Rivets""),""Rvt"",
    IF(REGEXMATCH(D196,""(?i)Silicone|Seal""),""300ml"",
    IF(REGEXMATCH(D196,""(?i)R-Butyl""),""300ml"",
    IF(REGEXMATCH(D196,""(?i)Fix""),""GenF"&amp;"ix"",
    IF(AND(REGEXMATCH(C196,""(?i)Timber""), REGEXMATCH(D196,""(?i)Timber"")),""tp"",
    IF(AND(REGEXMATCH(C196,""(?i)Vent G1275""), REGEXMATCH(D196,""(?i)Comb FIller"")),""CFV1275"",
    IF(REGEXMATCH(C196,""(?i)DPC""),""dpc"",
    IF(REGEXMATCH(C1"&amp;"96,""(?i)Concealed Clips""),""ConClips"",
    IF(REGEXMATCH(D196,""(?i)-Takeoff ea""),""Takeoff ea"",
    IF(REGEXMATCH(D196,""(?i)-Takeoff LM""),""Takeoff LM"",
    IF(REGEXMATCH(D196,""(?i)-Takeoff m2""),""Takeoff m2"",
    IF(D196=""R-TU/TD"",""TU/TD"""&amp;","""")))))))))))))))))
  )))"),"")</f>
        <v/>
      </c>
      <c r="C196" s="701"/>
      <c r="D196" s="701"/>
      <c r="E196" s="722"/>
      <c r="F196" s="699"/>
      <c r="G196" s="158"/>
      <c r="H196" s="700"/>
      <c r="I196" s="700"/>
      <c r="J196" s="701"/>
      <c r="K196" s="126" t="str">
        <f>IFERROR(
  IF(B196="", "", VLOOKUP(B196, Data!$B$2:$K$905, 7, FALSE)),
  ""
)</f>
        <v/>
      </c>
      <c r="L196" s="704"/>
      <c r="M196" s="704" t="s">
        <v>42</v>
      </c>
      <c r="N196" s="711" t="str">
        <f>IFERROR(__xludf.DUMMYFUNCTION("IF(B196="""", """", IFERROR(1 / COS(RADIANS(REGEXEXTRACT(F196,""(\d+)""))), 1))"),"")</f>
        <v/>
      </c>
      <c r="O196" s="712"/>
      <c r="P196" s="700"/>
      <c r="Q196" s="242"/>
      <c r="R196" s="136" t="str">
        <f>IFERROR(
  IF(B196="", "", VLOOKUP(B196, Data!$B$2:$K$905, 9, FALSE)),
  ""
)</f>
        <v/>
      </c>
      <c r="S196" s="152"/>
      <c r="T196" s="690"/>
      <c r="U196" s="136" t="str">
        <f>IFERROR(
  IF(B196="", "", VLOOKUP(B196, Data!$B$2:$K$905, 10, FALSE)),
  ""
)
</f>
        <v/>
      </c>
      <c r="V196" s="691"/>
      <c r="W196" s="713"/>
      <c r="X196" s="692"/>
      <c r="Y196" s="595"/>
      <c r="Z196" s="595"/>
      <c r="AA196" s="595"/>
      <c r="AB196" s="354">
        <f t="shared" si="153"/>
        <v>0</v>
      </c>
      <c r="AC196" s="181"/>
      <c r="AD196" s="625"/>
      <c r="AE196" s="626"/>
      <c r="AF196" s="696"/>
      <c r="AG196" s="628"/>
      <c r="AH196" s="629"/>
      <c r="AI196" s="187"/>
      <c r="AJ196" s="630"/>
      <c r="AK196" s="630"/>
      <c r="AL196" s="595"/>
      <c r="AM196" s="595"/>
      <c r="AN196" s="595"/>
      <c r="AO196" s="595"/>
      <c r="AP196" s="595"/>
      <c r="AQ196" s="595"/>
      <c r="AR196" s="595"/>
      <c r="AS196" s="595"/>
      <c r="AT196" s="595"/>
      <c r="AU196" s="595"/>
      <c r="AV196" s="595"/>
      <c r="AW196" s="595"/>
      <c r="AX196" s="595"/>
      <c r="AY196" s="595"/>
      <c r="AZ196" s="595"/>
      <c r="BA196" s="595"/>
      <c r="BB196" s="595"/>
      <c r="BC196" s="595"/>
      <c r="BD196" s="595"/>
      <c r="BE196" s="595"/>
      <c r="BF196" s="595"/>
      <c r="BG196" s="595"/>
      <c r="BH196" s="595"/>
      <c r="BI196" s="651"/>
      <c r="BJ196" s="651"/>
      <c r="BK196" s="651"/>
      <c r="BL196" s="651"/>
      <c r="BM196" s="651"/>
      <c r="BN196" s="651"/>
      <c r="BO196" s="651"/>
      <c r="BP196" s="651"/>
      <c r="BQ196" s="651"/>
      <c r="BR196" s="651"/>
      <c r="BS196" s="651"/>
      <c r="BT196" s="651"/>
    </row>
    <row r="197">
      <c r="A197" s="716" t="s">
        <v>491</v>
      </c>
      <c r="B197" s="154" t="str">
        <f>IFERROR(__xludf.DUMMYFUNCTION("IFERROR(
  IF(C197="""","""",
    IF(OR(REGEXMATCH(D197,""(?i)-Flashing""), REGEXMATCH(D197,""(?i)-EavesGut""), REGEXMATCH(D197,""(?i)Valley"")),
        ""DR"" &amp;
        TEXT(
            ROUNDUP(
                MIN(
                    VALUE(MID(C197, "&amp;"FIND(""("",C197)+1, FIND(""/"",C197)-FIND(""("",C197)-1)),
                    1200
                ) / 50, 0
            ) * 50, ""0""
        ) &amp;
        MID(C197, FIND(""/"",C197)+1, FIND("")"",C197)-FIND(""/"",C197)-1) &amp;
        TEXT(H197*100,""0"") &amp;"&amp;"
        I197,
    IF(AND(D197=""Roof Sheet"", REGEXMATCH(C197,""(?i)KS\d{4}[A-Z]{2}"")),
       REGEXEXTRACT(C197,""(?i)KS\d{4}[A-Z]{2}""),
    IF(AND(REGEXMATCH(D197,""(?i)-DP""), REGEXMATCH(C197,""(?i)Downpipe"")),
       ""dp"" &amp; REGEXEXTRACT(C197,""("&amp;"\d+)"") &amp; ""mm"",
    IF(AND(REGEXMATCH(D197,""(?i)Bracket""), REGEXMATCH(C197,""(?i)Bracket"")),
       ""Brkt"" &amp; REGEXEXTRACT(C197,""(\d+)"") &amp; ""mm"",
    IF(AND(REGEXMATCH(D197,""(?i)-OP""), REGEXMATCH(C197,""(?i)pops"")),
       ""op"" &amp; REGEXEXTRAC"&amp;"T(C197,""(\d+)"") &amp; ""mm"",
    IF(OR(D197=""R-FFTop"", D197=""R-FFBottom"", D197=""R-FFSide""),
        IF(REGEXMATCH(C197,""(?i)Profiled.*Top|Top.*Profiled""),""pfft"",
        IF(REGEXMATCH(C197,""(?i)Profiled.*Bottom|Bottom.*Profiled""),""pffb"",
    "&amp;"    IF(REGEXMATCH(C197,""(?i)Square""),""sff"",""""))),
    IF(REGEXMATCH(D197,""(?i)-Rivets""),""Rvt"",
    IF(REGEXMATCH(D197,""(?i)Silicone|Seal""),""300ml"",
    IF(REGEXMATCH(D197,""(?i)R-Butyl""),""300ml"",
    IF(REGEXMATCH(D197,""(?i)Fix""),""GenF"&amp;"ix"",
    IF(AND(REGEXMATCH(C197,""(?i)Timber""), REGEXMATCH(D197,""(?i)Timber"")),""tp"",
    IF(AND(REGEXMATCH(C197,""(?i)Vent G1275""), REGEXMATCH(D197,""(?i)Comb FIller"")),""CFV1275"",
    IF(REGEXMATCH(C197,""(?i)DPC""),""dpc"",
    IF(REGEXMATCH(C1"&amp;"97,""(?i)Concealed Clips""),""ConClips"",
    IF(REGEXMATCH(D197,""(?i)-Takeoff ea""),""Takeoff ea"",
    IF(REGEXMATCH(D197,""(?i)-Takeoff LM""),""Takeoff LM"",
    IF(REGEXMATCH(D197,""(?i)-Takeoff m2""),""Takeoff m2"",
    IF(D197=""R-TU/TD"",""TU/TD"""&amp;","""")))))))))))))))))
  )))"),"op150mm")</f>
        <v>op150mm</v>
      </c>
      <c r="C197" s="123" t="s">
        <v>142</v>
      </c>
      <c r="D197" s="124" t="s">
        <v>143</v>
      </c>
      <c r="E197" s="687">
        <f>IFERROR(__xludf.DUMMYFUNCTION("IF(REGEXMATCH(C197, ""\d+mmØ""), VALUE(REGEXEXTRACT(C197, ""(\d+)mmØ""))/1000, """")
"),0.15)</f>
        <v>0.15</v>
      </c>
      <c r="F197" s="699"/>
      <c r="G197" s="158"/>
      <c r="H197" s="700"/>
      <c r="I197" s="700"/>
      <c r="J197" s="126" t="s">
        <v>87</v>
      </c>
      <c r="K197" s="126" t="str">
        <f>IFERROR(
  IF(B197="", "", VLOOKUP(B197, Data!$B$2:$K$905, 7, FALSE)),
  ""
)</f>
        <v/>
      </c>
      <c r="L197" s="704"/>
      <c r="M197" s="150">
        <v>1.0</v>
      </c>
      <c r="N197" s="151">
        <f>IFERROR(__xludf.DUMMYFUNCTION("IF(B197="""", """", IFERROR(1 / COS(RADIANS(REGEXEXTRACT(F197,""(\d+)""))), 1))"),1.0)</f>
        <v>1</v>
      </c>
      <c r="O197" s="759">
        <f>L195</f>
        <v>14</v>
      </c>
      <c r="P197" s="134">
        <v>1.0</v>
      </c>
      <c r="Q197" s="242">
        <f t="shared" ref="Q197:Q199" si="154">M197*N197*O197*P197</f>
        <v>14</v>
      </c>
      <c r="R197" s="136" t="str">
        <f>IFERROR(
  IF(B197="", "", VLOOKUP(B197, Data!$B$2:$K$905, 9, FALSE)),
  ""
)</f>
        <v/>
      </c>
      <c r="S197" s="152">
        <f t="shared" ref="S197:S199" si="155">R197*Q197</f>
        <v>0</v>
      </c>
      <c r="T197" s="690"/>
      <c r="U197" s="136" t="str">
        <f>IFERROR(
  IF(B197="", "", VLOOKUP(B197, Data!$B$2:$K$905, 10, FALSE)),
  ""
)
</f>
        <v/>
      </c>
      <c r="V197" s="691"/>
      <c r="W197" s="140">
        <f t="shared" ref="W197:W199" si="156">U197*Q197</f>
        <v>0</v>
      </c>
      <c r="X197" s="692"/>
      <c r="Y197" s="595"/>
      <c r="Z197" s="595"/>
      <c r="AA197" s="595"/>
      <c r="AB197" s="354">
        <f t="shared" si="153"/>
        <v>0</v>
      </c>
      <c r="AC197" s="181"/>
      <c r="AD197" s="625"/>
      <c r="AE197" s="626"/>
      <c r="AF197" s="696"/>
      <c r="AG197" s="628"/>
      <c r="AH197" s="629"/>
      <c r="AI197" s="187"/>
      <c r="AJ197" s="630"/>
      <c r="AK197" s="630"/>
      <c r="AL197" s="595"/>
      <c r="AM197" s="595"/>
      <c r="AN197" s="595"/>
      <c r="AO197" s="595"/>
      <c r="AP197" s="595"/>
      <c r="AQ197" s="595"/>
      <c r="AR197" s="595"/>
      <c r="AS197" s="595"/>
      <c r="AT197" s="595"/>
      <c r="AU197" s="595"/>
      <c r="AV197" s="595"/>
      <c r="AW197" s="595"/>
      <c r="AX197" s="595"/>
      <c r="AY197" s="595"/>
      <c r="AZ197" s="595"/>
      <c r="BA197" s="595"/>
      <c r="BB197" s="595"/>
      <c r="BC197" s="595"/>
      <c r="BD197" s="595"/>
      <c r="BE197" s="595"/>
      <c r="BF197" s="595"/>
      <c r="BG197" s="595"/>
      <c r="BH197" s="595"/>
      <c r="BI197" s="651"/>
      <c r="BJ197" s="651"/>
      <c r="BK197" s="651"/>
      <c r="BL197" s="651"/>
      <c r="BM197" s="651"/>
      <c r="BN197" s="651"/>
      <c r="BO197" s="651"/>
      <c r="BP197" s="651"/>
      <c r="BQ197" s="651"/>
      <c r="BR197" s="651"/>
      <c r="BS197" s="651"/>
      <c r="BT197" s="651"/>
    </row>
    <row r="198">
      <c r="A198" s="631"/>
      <c r="B198" s="154" t="str">
        <f>IFERROR(__xludf.DUMMYFUNCTION("IFERROR(
  IF(C198="""","""",
    IF(OR(REGEXMATCH(D198,""(?i)-Flashing""), REGEXMATCH(D198,""(?i)-EavesGut""), REGEXMATCH(D198,""(?i)Valley"")),
        ""DR"" &amp;
        TEXT(
            ROUNDUP(
                MIN(
                    VALUE(MID(C198, "&amp;"FIND(""("",C198)+1, FIND(""/"",C198)-FIND(""("",C198)-1)),
                    1200
                ) / 50, 0
            ) * 50, ""0""
        ) &amp;
        MID(C198, FIND(""/"",C198)+1, FIND("")"",C198)-FIND(""/"",C198)-1) &amp;
        TEXT(H198*100,""0"") &amp;"&amp;"
        I198,
    IF(AND(D198=""Roof Sheet"", REGEXMATCH(C198,""(?i)KS\d{4}[A-Z]{2}"")),
       REGEXEXTRACT(C198,""(?i)KS\d{4}[A-Z]{2}""),
    IF(AND(REGEXMATCH(D198,""(?i)-DP""), REGEXMATCH(C198,""(?i)Downpipe"")),
       ""dp"" &amp; REGEXEXTRACT(C198,""("&amp;"\d+)"") &amp; ""mm"",
    IF(AND(REGEXMATCH(D198,""(?i)Bracket""), REGEXMATCH(C198,""(?i)Bracket"")),
       ""Brkt"" &amp; REGEXEXTRACT(C198,""(\d+)"") &amp; ""mm"",
    IF(AND(REGEXMATCH(D198,""(?i)-OP""), REGEXMATCH(C198,""(?i)pops"")),
       ""op"" &amp; REGEXEXTRAC"&amp;"T(C198,""(\d+)"") &amp; ""mm"",
    IF(OR(D198=""R-FFTop"", D198=""R-FFBottom"", D198=""R-FFSide""),
        IF(REGEXMATCH(C198,""(?i)Profiled.*Top|Top.*Profiled""),""pfft"",
        IF(REGEXMATCH(C198,""(?i)Profiled.*Bottom|Bottom.*Profiled""),""pffb"",
    "&amp;"    IF(REGEXMATCH(C198,""(?i)Square""),""sff"",""""))),
    IF(REGEXMATCH(D198,""(?i)-Rivets""),""Rvt"",
    IF(REGEXMATCH(D198,""(?i)Silicone|Seal""),""300ml"",
    IF(REGEXMATCH(D198,""(?i)R-Butyl""),""300ml"",
    IF(REGEXMATCH(D198,""(?i)Fix""),""GenF"&amp;"ix"",
    IF(AND(REGEXMATCH(C198,""(?i)Timber""), REGEXMATCH(D198,""(?i)Timber"")),""tp"",
    IF(AND(REGEXMATCH(C198,""(?i)Vent G1275""), REGEXMATCH(D198,""(?i)Comb FIller"")),""CFV1275"",
    IF(REGEXMATCH(C198,""(?i)DPC""),""dpc"",
    IF(REGEXMATCH(C1"&amp;"98,""(?i)Concealed Clips""),""ConClips"",
    IF(REGEXMATCH(D198,""(?i)-Takeoff ea""),""Takeoff ea"",
    IF(REGEXMATCH(D198,""(?i)-Takeoff LM""),""Takeoff LM"",
    IF(REGEXMATCH(D198,""(?i)-Takeoff m2""),""Takeoff m2"",
    IF(D198=""R-TU/TD"",""TU/TD"""&amp;","""")))))))))))))))))
  )))"),"300ml")</f>
        <v>300ml</v>
      </c>
      <c r="C198" s="225" t="s">
        <v>98</v>
      </c>
      <c r="D198" s="124" t="s">
        <v>388</v>
      </c>
      <c r="E198" s="687">
        <f>E197</f>
        <v>0.15</v>
      </c>
      <c r="F198" s="699"/>
      <c r="G198" s="158"/>
      <c r="H198" s="700"/>
      <c r="I198" s="700"/>
      <c r="J198" s="126" t="s">
        <v>87</v>
      </c>
      <c r="K198" s="126" t="str">
        <f>IFERROR(
  IF(B198="", "", VLOOKUP(B198, Data!$B$2:$K$905, 7, FALSE)),
  ""
)</f>
        <v/>
      </c>
      <c r="L198" s="704"/>
      <c r="M198" s="150">
        <f>ROUNDUP(3.14*E198,0)/8</f>
        <v>0.125</v>
      </c>
      <c r="N198" s="151">
        <f>IFERROR(__xludf.DUMMYFUNCTION("IF(B198="""", """", IFERROR(1 / COS(RADIANS(REGEXEXTRACT(F198,""(\d+)""))), 1))"),1.0)</f>
        <v>1</v>
      </c>
      <c r="O198" s="169">
        <f>O197</f>
        <v>14</v>
      </c>
      <c r="P198" s="134">
        <v>1.0</v>
      </c>
      <c r="Q198" s="242">
        <f t="shared" si="154"/>
        <v>1.75</v>
      </c>
      <c r="R198" s="136" t="str">
        <f>IFERROR(
  IF(B198="", "", VLOOKUP(B198, Data!$B$2:$K$905, 9, FALSE)),
  ""
)</f>
        <v/>
      </c>
      <c r="S198" s="152">
        <f t="shared" si="155"/>
        <v>0</v>
      </c>
      <c r="T198" s="690"/>
      <c r="U198" s="136" t="str">
        <f>IFERROR(
  IF(B198="", "", VLOOKUP(B198, Data!$B$2:$K$905, 10, FALSE)),
  ""
)
</f>
        <v/>
      </c>
      <c r="V198" s="691"/>
      <c r="W198" s="140">
        <f t="shared" si="156"/>
        <v>0</v>
      </c>
      <c r="X198" s="692"/>
      <c r="Y198" s="595"/>
      <c r="Z198" s="595"/>
      <c r="AA198" s="595"/>
      <c r="AB198" s="354">
        <f t="shared" si="153"/>
        <v>0</v>
      </c>
      <c r="AC198" s="181"/>
      <c r="AD198" s="625"/>
      <c r="AE198" s="626"/>
      <c r="AF198" s="696"/>
      <c r="AG198" s="628"/>
      <c r="AH198" s="629"/>
      <c r="AI198" s="187"/>
      <c r="AJ198" s="630"/>
      <c r="AK198" s="630"/>
      <c r="AL198" s="595"/>
      <c r="AM198" s="595"/>
      <c r="AN198" s="595"/>
      <c r="AO198" s="595"/>
      <c r="AP198" s="595"/>
      <c r="AQ198" s="595"/>
      <c r="AR198" s="595"/>
      <c r="AS198" s="595"/>
      <c r="AT198" s="595"/>
      <c r="AU198" s="595"/>
      <c r="AV198" s="595"/>
      <c r="AW198" s="595"/>
      <c r="AX198" s="595"/>
      <c r="AY198" s="595"/>
      <c r="AZ198" s="595"/>
      <c r="BA198" s="595"/>
      <c r="BB198" s="595"/>
      <c r="BC198" s="595"/>
      <c r="BD198" s="595"/>
      <c r="BE198" s="595"/>
      <c r="BF198" s="595"/>
      <c r="BG198" s="595"/>
      <c r="BH198" s="595"/>
      <c r="BI198" s="651"/>
      <c r="BJ198" s="651"/>
      <c r="BK198" s="651"/>
      <c r="BL198" s="651"/>
      <c r="BM198" s="651"/>
      <c r="BN198" s="651"/>
      <c r="BO198" s="651"/>
      <c r="BP198" s="651"/>
      <c r="BQ198" s="651"/>
      <c r="BR198" s="651"/>
      <c r="BS198" s="651"/>
      <c r="BT198" s="651"/>
    </row>
    <row r="199">
      <c r="A199" s="631"/>
      <c r="B199" s="154" t="str">
        <f>IFERROR(__xludf.DUMMYFUNCTION("IFERROR(
  IF(C199="""","""",
    IF(OR(REGEXMATCH(D199,""(?i)-Flashing""), REGEXMATCH(D199,""(?i)-EavesGut""), REGEXMATCH(D199,""(?i)Valley"")),
        ""DR"" &amp;
        TEXT(
            ROUNDUP(
                MIN(
                    VALUE(MID(C199, "&amp;"FIND(""("",C199)+1, FIND(""/"",C199)-FIND(""("",C199)-1)),
                    1200
                ) / 50, 0
            ) * 50, ""0""
        ) &amp;
        MID(C199, FIND(""/"",C199)+1, FIND("")"",C199)-FIND(""/"",C199)-1) &amp;
        TEXT(H199*100,""0"") &amp;"&amp;"
        I199,
    IF(AND(D199=""Roof Sheet"", REGEXMATCH(C199,""(?i)KS\d{4}[A-Z]{2}"")),
       REGEXEXTRACT(C199,""(?i)KS\d{4}[A-Z]{2}""),
    IF(AND(REGEXMATCH(D199,""(?i)-DP""), REGEXMATCH(C199,""(?i)Downpipe"")),
       ""dp"" &amp; REGEXEXTRACT(C199,""("&amp;"\d+)"") &amp; ""mm"",
    IF(AND(REGEXMATCH(D199,""(?i)Bracket""), REGEXMATCH(C199,""(?i)Bracket"")),
       ""Brkt"" &amp; REGEXEXTRACT(C199,""(\d+)"") &amp; ""mm"",
    IF(AND(REGEXMATCH(D199,""(?i)-OP""), REGEXMATCH(C199,""(?i)pops"")),
       ""op"" &amp; REGEXEXTRAC"&amp;"T(C199,""(\d+)"") &amp; ""mm"",
    IF(OR(D199=""R-FFTop"", D199=""R-FFBottom"", D199=""R-FFSide""),
        IF(REGEXMATCH(C199,""(?i)Profiled.*Top|Top.*Profiled""),""pfft"",
        IF(REGEXMATCH(C199,""(?i)Profiled.*Bottom|Bottom.*Profiled""),""pffb"",
    "&amp;"    IF(REGEXMATCH(C199,""(?i)Square""),""sff"",""""))),
    IF(REGEXMATCH(D199,""(?i)-Rivets""),""Rvt"",
    IF(REGEXMATCH(D199,""(?i)Silicone|Seal""),""300ml"",
    IF(REGEXMATCH(D199,""(?i)R-Butyl""),""300ml"",
    IF(REGEXMATCH(D199,""(?i)Fix""),""GenF"&amp;"ix"",
    IF(AND(REGEXMATCH(C199,""(?i)Timber""), REGEXMATCH(D199,""(?i)Timber"")),""tp"",
    IF(AND(REGEXMATCH(C199,""(?i)Vent G1275""), REGEXMATCH(D199,""(?i)Comb FIller"")),""CFV1275"",
    IF(REGEXMATCH(C199,""(?i)DPC""),""dpc"",
    IF(REGEXMATCH(C1"&amp;"99,""(?i)Concealed Clips""),""ConClips"",
    IF(REGEXMATCH(D199,""(?i)-Takeoff ea""),""Takeoff ea"",
    IF(REGEXMATCH(D199,""(?i)-Takeoff LM""),""Takeoff LM"",
    IF(REGEXMATCH(D199,""(?i)-Takeoff m2""),""Takeoff m2"",
    IF(D199=""R-TU/TD"",""TU/TD"""&amp;","""")))))))))))))))))
  )))"),"GenFix")</f>
        <v>GenFix</v>
      </c>
      <c r="C199" s="225" t="s">
        <v>102</v>
      </c>
      <c r="D199" s="124" t="s">
        <v>144</v>
      </c>
      <c r="E199" s="687">
        <f>E197</f>
        <v>0.15</v>
      </c>
      <c r="F199" s="699"/>
      <c r="G199" s="158"/>
      <c r="H199" s="700"/>
      <c r="I199" s="700"/>
      <c r="J199" s="126" t="s">
        <v>87</v>
      </c>
      <c r="K199" s="126" t="str">
        <f>IFERROR(
  IF(B199="", "", VLOOKUP(B199, Data!$B$2:$K$905, 7, FALSE)),
  ""
)</f>
        <v/>
      </c>
      <c r="L199" s="704"/>
      <c r="M199" s="150">
        <f>ROUNDUP(3.14*E199,0)/0.05</f>
        <v>20</v>
      </c>
      <c r="N199" s="151">
        <f>IFERROR(__xludf.DUMMYFUNCTION("IF(B199="""", """", IFERROR(1 / COS(RADIANS(REGEXEXTRACT(F199,""(\d+)""))), 1))"),1.0)</f>
        <v>1</v>
      </c>
      <c r="O199" s="169">
        <f>O197</f>
        <v>14</v>
      </c>
      <c r="P199" s="134">
        <v>1.0</v>
      </c>
      <c r="Q199" s="242">
        <f t="shared" si="154"/>
        <v>280</v>
      </c>
      <c r="R199" s="136" t="str">
        <f>IFERROR(
  IF(B199="", "", VLOOKUP(B199, Data!$B$2:$K$905, 9, FALSE)),
  ""
)</f>
        <v/>
      </c>
      <c r="S199" s="152">
        <f t="shared" si="155"/>
        <v>0</v>
      </c>
      <c r="T199" s="690"/>
      <c r="U199" s="136" t="str">
        <f>IFERROR(
  IF(B199="", "", VLOOKUP(B199, Data!$B$2:$K$905, 10, FALSE)),
  ""
)
</f>
        <v/>
      </c>
      <c r="V199" s="691"/>
      <c r="W199" s="140">
        <f t="shared" si="156"/>
        <v>0</v>
      </c>
      <c r="X199" s="692"/>
      <c r="Y199" s="595"/>
      <c r="Z199" s="595"/>
      <c r="AA199" s="595"/>
      <c r="AB199" s="354">
        <f t="shared" si="153"/>
        <v>0</v>
      </c>
      <c r="AC199" s="181"/>
      <c r="AD199" s="625"/>
      <c r="AE199" s="626"/>
      <c r="AF199" s="696"/>
      <c r="AG199" s="628"/>
      <c r="AH199" s="629"/>
      <c r="AI199" s="187"/>
      <c r="AJ199" s="630"/>
      <c r="AK199" s="630"/>
      <c r="AL199" s="595"/>
      <c r="AM199" s="595"/>
      <c r="AN199" s="595"/>
      <c r="AO199" s="595"/>
      <c r="AP199" s="595"/>
      <c r="AQ199" s="595"/>
      <c r="AR199" s="595"/>
      <c r="AS199" s="595"/>
      <c r="AT199" s="595"/>
      <c r="AU199" s="595"/>
      <c r="AV199" s="595"/>
      <c r="AW199" s="595"/>
      <c r="AX199" s="595"/>
      <c r="AY199" s="595"/>
      <c r="AZ199" s="595"/>
      <c r="BA199" s="595"/>
      <c r="BB199" s="595"/>
      <c r="BC199" s="595"/>
      <c r="BD199" s="595"/>
      <c r="BE199" s="595"/>
      <c r="BF199" s="595"/>
      <c r="BG199" s="595"/>
      <c r="BH199" s="595"/>
      <c r="BI199" s="651"/>
      <c r="BJ199" s="651"/>
      <c r="BK199" s="651"/>
      <c r="BL199" s="651"/>
      <c r="BM199" s="651"/>
      <c r="BN199" s="651"/>
      <c r="BO199" s="651"/>
      <c r="BP199" s="651"/>
      <c r="BQ199" s="651"/>
      <c r="BR199" s="651"/>
      <c r="BS199" s="651"/>
      <c r="BT199" s="651"/>
    </row>
    <row r="200">
      <c r="A200" s="631"/>
      <c r="B200" s="154"/>
      <c r="C200" s="700"/>
      <c r="D200" s="701"/>
      <c r="E200" s="722"/>
      <c r="F200" s="699"/>
      <c r="G200" s="158"/>
      <c r="H200" s="700"/>
      <c r="I200" s="700"/>
      <c r="J200" s="701"/>
      <c r="K200" s="126"/>
      <c r="L200" s="704"/>
      <c r="M200" s="704"/>
      <c r="N200" s="711"/>
      <c r="O200" s="712"/>
      <c r="P200" s="700"/>
      <c r="Q200" s="712"/>
      <c r="R200" s="136" t="str">
        <f>IFERROR(
  IF(B200="", "", VLOOKUP(B200, Data!$B$2:$K$905, 9, FALSE)),
  ""
)</f>
        <v/>
      </c>
      <c r="S200" s="152"/>
      <c r="T200" s="690"/>
      <c r="U200" s="136" t="str">
        <f>IFERROR(
  IF(B200="", "", VLOOKUP(B200, Data!$B$2:$K$905, 10, FALSE)),
  ""
)
</f>
        <v/>
      </c>
      <c r="V200" s="691"/>
      <c r="W200" s="713"/>
      <c r="X200" s="692"/>
      <c r="Y200" s="595"/>
      <c r="Z200" s="595"/>
      <c r="AA200" s="595"/>
      <c r="AB200" s="354"/>
      <c r="AC200" s="181"/>
      <c r="AD200" s="625"/>
      <c r="AE200" s="626"/>
      <c r="AF200" s="696"/>
      <c r="AG200" s="628"/>
      <c r="AH200" s="629"/>
      <c r="AI200" s="187"/>
      <c r="AJ200" s="630"/>
      <c r="AK200" s="630"/>
      <c r="AL200" s="595"/>
      <c r="AM200" s="595"/>
      <c r="AN200" s="595"/>
      <c r="AO200" s="595"/>
      <c r="AP200" s="595"/>
      <c r="AQ200" s="595"/>
      <c r="AR200" s="595"/>
      <c r="AS200" s="595"/>
      <c r="AT200" s="595"/>
      <c r="AU200" s="595"/>
      <c r="AV200" s="595"/>
      <c r="AW200" s="595"/>
      <c r="AX200" s="595"/>
      <c r="AY200" s="595"/>
      <c r="AZ200" s="595"/>
      <c r="BA200" s="595"/>
      <c r="BB200" s="595"/>
      <c r="BC200" s="595"/>
      <c r="BD200" s="595"/>
      <c r="BE200" s="595"/>
      <c r="BF200" s="595"/>
      <c r="BG200" s="595"/>
      <c r="BH200" s="595"/>
      <c r="BI200" s="651"/>
      <c r="BJ200" s="651"/>
      <c r="BK200" s="651"/>
      <c r="BL200" s="651"/>
      <c r="BM200" s="651"/>
      <c r="BN200" s="651"/>
      <c r="BO200" s="651"/>
      <c r="BP200" s="651"/>
      <c r="BQ200" s="651"/>
      <c r="BR200" s="651"/>
      <c r="BS200" s="651"/>
      <c r="BT200" s="651"/>
    </row>
    <row r="201">
      <c r="A201" s="631">
        <v>1.0</v>
      </c>
      <c r="B201" s="761" t="s">
        <v>423</v>
      </c>
      <c r="C201" s="251" t="s">
        <v>498</v>
      </c>
      <c r="D201" s="633"/>
      <c r="E201" s="634"/>
      <c r="F201" s="635"/>
      <c r="G201" s="633"/>
      <c r="H201" s="633"/>
      <c r="I201" s="637"/>
      <c r="J201" s="633"/>
      <c r="K201" s="633"/>
      <c r="L201" s="637"/>
      <c r="M201" s="637"/>
      <c r="N201" s="639"/>
      <c r="O201" s="637"/>
      <c r="P201" s="633"/>
      <c r="Q201" s="640"/>
      <c r="R201" s="681" t="str">
        <f>IFERROR(
  IF(B201="", "", VLOOKUP(B201, Data!$B$2:$K$905, 9, FALSE)),
  ""
)</f>
        <v/>
      </c>
      <c r="S201" s="642"/>
      <c r="T201" s="640"/>
      <c r="U201" s="681" t="str">
        <f>IFERROR(
  IF(B201="", "", VLOOKUP(B201, Data!$B$2:$K$905, 10, FALSE)),
  ""
)
</f>
        <v/>
      </c>
      <c r="V201" s="642"/>
      <c r="W201" s="643"/>
      <c r="X201" s="762"/>
      <c r="Y201" s="649"/>
      <c r="Z201" s="649"/>
      <c r="AA201" s="649"/>
      <c r="AB201" s="649"/>
      <c r="AC201" s="602"/>
      <c r="AD201" s="644"/>
      <c r="AE201" s="645"/>
      <c r="AF201" s="646"/>
      <c r="AG201" s="763"/>
      <c r="AH201" s="648"/>
      <c r="AI201" s="649"/>
      <c r="AJ201" s="650"/>
      <c r="AK201" s="650"/>
      <c r="AL201" s="595"/>
      <c r="AM201" s="595"/>
      <c r="AN201" s="595"/>
      <c r="AO201" s="595"/>
      <c r="AP201" s="595"/>
      <c r="AQ201" s="595"/>
      <c r="AR201" s="595"/>
      <c r="AS201" s="595"/>
      <c r="AT201" s="595"/>
      <c r="AU201" s="595"/>
      <c r="AV201" s="595"/>
      <c r="AW201" s="595"/>
      <c r="AX201" s="595"/>
      <c r="AY201" s="595"/>
      <c r="AZ201" s="595"/>
      <c r="BA201" s="595"/>
      <c r="BB201" s="595"/>
      <c r="BC201" s="595"/>
      <c r="BD201" s="595"/>
      <c r="BE201" s="595"/>
      <c r="BF201" s="595"/>
      <c r="BG201" s="595"/>
      <c r="BH201" s="595"/>
      <c r="BI201" s="651"/>
      <c r="BJ201" s="651"/>
      <c r="BK201" s="651"/>
      <c r="BL201" s="651"/>
      <c r="BM201" s="651"/>
      <c r="BN201" s="651"/>
      <c r="BO201" s="651"/>
      <c r="BP201" s="651"/>
      <c r="BQ201" s="651"/>
      <c r="BR201" s="651"/>
      <c r="BS201" s="651"/>
      <c r="BT201" s="651"/>
    </row>
    <row r="202">
      <c r="A202" s="631">
        <v>1.0</v>
      </c>
      <c r="B202" s="764" t="s">
        <v>425</v>
      </c>
      <c r="C202" s="89" t="s">
        <v>36</v>
      </c>
      <c r="D202" s="656"/>
      <c r="E202" s="654"/>
      <c r="F202" s="655"/>
      <c r="G202" s="656"/>
      <c r="H202" s="656"/>
      <c r="I202" s="656"/>
      <c r="J202" s="656"/>
      <c r="K202" s="656"/>
      <c r="L202" s="658"/>
      <c r="M202" s="658"/>
      <c r="N202" s="659"/>
      <c r="O202" s="658"/>
      <c r="P202" s="656"/>
      <c r="Q202" s="658"/>
      <c r="R202" s="681" t="str">
        <f>IFERROR(
  IF(B202="", "", VLOOKUP(B202, Data!$B$2:$K$905, 9, FALSE)),
  ""
)</f>
        <v/>
      </c>
      <c r="S202" s="662"/>
      <c r="T202" s="661"/>
      <c r="U202" s="681" t="str">
        <f>IFERROR(
  IF(B202="", "", VLOOKUP(B202, Data!$B$2:$K$905, 10, FALSE)),
  ""
)
</f>
        <v/>
      </c>
      <c r="V202" s="662"/>
      <c r="W202" s="663"/>
      <c r="X202" s="664"/>
      <c r="Y202" s="665"/>
      <c r="Z202" s="665"/>
      <c r="AA202" s="665"/>
      <c r="AB202" s="665"/>
      <c r="AC202" s="667"/>
      <c r="AD202" s="668"/>
      <c r="AE202" s="669"/>
      <c r="AF202" s="670"/>
      <c r="AG202" s="715"/>
      <c r="AH202" s="672"/>
      <c r="AI202" s="665"/>
      <c r="AJ202" s="673"/>
      <c r="AK202" s="673"/>
      <c r="AL202" s="595"/>
      <c r="AM202" s="595"/>
      <c r="AN202" s="595"/>
      <c r="AO202" s="595"/>
      <c r="AP202" s="595"/>
      <c r="AQ202" s="595"/>
      <c r="AR202" s="595"/>
      <c r="AS202" s="595"/>
      <c r="AT202" s="595"/>
      <c r="AU202" s="595"/>
      <c r="AV202" s="595"/>
      <c r="AW202" s="595"/>
      <c r="AX202" s="595"/>
      <c r="AY202" s="595"/>
      <c r="AZ202" s="595"/>
      <c r="BA202" s="595"/>
      <c r="BB202" s="595"/>
      <c r="BC202" s="595"/>
      <c r="BD202" s="595"/>
      <c r="BE202" s="595"/>
      <c r="BF202" s="595"/>
      <c r="BG202" s="595"/>
      <c r="BH202" s="595"/>
      <c r="BI202" s="651"/>
      <c r="BJ202" s="651"/>
      <c r="BK202" s="651"/>
      <c r="BL202" s="651"/>
      <c r="BM202" s="651"/>
      <c r="BN202" s="651"/>
      <c r="BO202" s="651"/>
      <c r="BP202" s="651"/>
      <c r="BQ202" s="651"/>
      <c r="BR202" s="651"/>
      <c r="BS202" s="651"/>
      <c r="BT202" s="651"/>
    </row>
    <row r="203">
      <c r="A203" s="631">
        <v>1.0</v>
      </c>
      <c r="B203" s="727"/>
      <c r="C203" s="103" t="s">
        <v>499</v>
      </c>
      <c r="D203" s="675"/>
      <c r="E203" s="676"/>
      <c r="F203" s="677"/>
      <c r="G203" s="678"/>
      <c r="H203" s="678"/>
      <c r="I203" s="678"/>
      <c r="J203" s="678"/>
      <c r="K203" s="678"/>
      <c r="L203" s="106" t="str">
        <f>Q203</f>
        <v>#REF!</v>
      </c>
      <c r="M203" s="679"/>
      <c r="N203" s="680"/>
      <c r="O203" s="679"/>
      <c r="P203" s="678"/>
      <c r="Q203" s="106" t="str">
        <f>Q204+Q209+Q213</f>
        <v>#REF!</v>
      </c>
      <c r="R203" s="681" t="str">
        <f>IFERROR(
  IF(B203="", "", VLOOKUP(B203, Data!$B$2:$K$905, 9, FALSE)),
  ""
)</f>
        <v/>
      </c>
      <c r="S203" s="682">
        <f>IFERROR(T203/Q203, 0)</f>
        <v>0</v>
      </c>
      <c r="T203" s="109" t="str">
        <f>SUM(S204:S212)</f>
        <v>#REF!</v>
      </c>
      <c r="U203" s="681" t="str">
        <f>IFERROR(
  IF(B203="", "", VLOOKUP(B203, Data!$B$2:$K$905, 10, FALSE)),
  ""
)
</f>
        <v/>
      </c>
      <c r="V203" s="109" t="str">
        <f>iferror(W203/Q203,"")</f>
        <v/>
      </c>
      <c r="W203" s="110" t="str">
        <f>SUM(W204:W212)</f>
        <v>#REF!</v>
      </c>
      <c r="X203" s="111" t="str">
        <f>W203/$AC$758/$W$765/$X$755</f>
        <v>#REF!</v>
      </c>
      <c r="Y203" s="112" t="str">
        <f>(T203+W203)=(SUM(AB204:AB212))</f>
        <v>#REF!</v>
      </c>
      <c r="Z203" s="113" t="str">
        <f>(T203+W203)-(SUM(AB204:AB212))</f>
        <v>#REF!</v>
      </c>
      <c r="AA203" s="595"/>
      <c r="AB203" s="595"/>
      <c r="AC203" s="181"/>
      <c r="AD203" s="114" t="str">
        <f>W203+T203</f>
        <v>#REF!</v>
      </c>
      <c r="AE203" s="115" t="str">
        <f>AD203</f>
        <v>#REF!</v>
      </c>
      <c r="AF203" s="116" t="str">
        <f>AE203/$AE$733</f>
        <v>#REF!</v>
      </c>
      <c r="AG203" s="683" t="str">
        <f>AF203*$AG$740</f>
        <v>#REF!</v>
      </c>
      <c r="AH203" s="118" t="str">
        <f>AF203*$AG$743</f>
        <v>#REF!</v>
      </c>
      <c r="AI203" s="187"/>
      <c r="AJ203" s="119" t="str">
        <f>ROUND(AK203/L203,2)</f>
        <v>#REF!</v>
      </c>
      <c r="AK203" s="119" t="str">
        <f>ROUND(AH203+AG203+AD203,2)</f>
        <v>#REF!</v>
      </c>
      <c r="AL203" s="595"/>
      <c r="AM203" s="595"/>
      <c r="AN203" s="595"/>
      <c r="AO203" s="595"/>
      <c r="AP203" s="595"/>
      <c r="AQ203" s="595"/>
      <c r="AR203" s="595"/>
      <c r="AS203" s="595"/>
      <c r="AT203" s="595"/>
      <c r="AU203" s="595"/>
      <c r="AV203" s="595"/>
      <c r="AW203" s="595"/>
      <c r="AX203" s="595"/>
      <c r="AY203" s="595"/>
      <c r="AZ203" s="595"/>
      <c r="BA203" s="595"/>
      <c r="BB203" s="595"/>
      <c r="BC203" s="595"/>
      <c r="BD203" s="595"/>
      <c r="BE203" s="595"/>
      <c r="BF203" s="595"/>
      <c r="BG203" s="595"/>
      <c r="BH203" s="595"/>
      <c r="BI203" s="651"/>
      <c r="BJ203" s="651"/>
      <c r="BK203" s="651"/>
      <c r="BL203" s="651"/>
      <c r="BM203" s="651"/>
      <c r="BN203" s="651"/>
      <c r="BO203" s="651"/>
      <c r="BP203" s="651"/>
      <c r="BQ203" s="651"/>
      <c r="BR203" s="651"/>
      <c r="BS203" s="651"/>
      <c r="BT203" s="651"/>
    </row>
    <row r="204">
      <c r="A204" s="631"/>
      <c r="B204" s="765" t="s">
        <v>427</v>
      </c>
      <c r="C204" s="123" t="s">
        <v>500</v>
      </c>
      <c r="D204" s="686" t="s">
        <v>40</v>
      </c>
      <c r="E204" s="687" t="str">
        <f>IFERROR(__xludf.DUMMYFUNCTION("IF($B$15:$B1153="""","""",
  VLOOKUP(
    $B$15:$B1153,
    QUERY(
      IMPORTRANGE(""1Ag27m9YF5mMfJh2E6NipJDFvPLlDI1p-s_1XEnzMHcc"",""Merge!F2:R""),
      ""select Col1, Col11"",
      0
    ),
    2,
    FALSE
  )
)
"),"#REF!")</f>
        <v>#REF!</v>
      </c>
      <c r="F204" s="699"/>
      <c r="G204" s="689" t="s">
        <v>501</v>
      </c>
      <c r="H204" s="128" t="str">
        <f>IFERROR(__xludf.DUMMYFUNCTION("IFERROR(REGEXEXTRACT(C204, ""(\d*\.\d+)mm""), """")"),"0.55")</f>
        <v>0.55</v>
      </c>
      <c r="I204" s="701"/>
      <c r="J204" s="126" t="s">
        <v>14</v>
      </c>
      <c r="K204" s="126" t="str">
        <f>IFERROR(
  IF(B204="", "", VLOOKUP(B204, Data!$B$2:$K$905, 7, FALSE)),
  ""
)</f>
        <v/>
      </c>
      <c r="L204" s="131">
        <v>4255.98</v>
      </c>
      <c r="M204" s="135" t="str">
        <f>L204*E204</f>
        <v>#REF!</v>
      </c>
      <c r="N204" s="151">
        <f>IFERROR(__xludf.DUMMYFUNCTION("IF(B204="""", """", IFERROR(1 / COS(RADIANS(REGEXEXTRACT(F204,""(\d+)""))), 1))"),1.0)</f>
        <v>1</v>
      </c>
      <c r="O204" s="169">
        <v>1.0</v>
      </c>
      <c r="P204" s="134">
        <v>1.0</v>
      </c>
      <c r="Q204" s="135" t="str">
        <f t="shared" ref="Q204:Q207" si="157">M204*N204*O204*P204</f>
        <v>#REF!</v>
      </c>
      <c r="R204" s="681" t="str">
        <f>IFERROR(
  IF(B204="", "", VLOOKUP(B204, Data!$B$2:$K$905, 9, FALSE)),
  ""
)</f>
        <v/>
      </c>
      <c r="S204" s="152" t="str">
        <f t="shared" ref="S204:S207" si="158">R204*Q204</f>
        <v>#REF!</v>
      </c>
      <c r="T204" s="690"/>
      <c r="U204" s="681" t="str">
        <f>IFERROR(
  IF(B204="", "", VLOOKUP(B204, Data!$B$2:$K$905, 10, FALSE)),
  ""
)
</f>
        <v/>
      </c>
      <c r="V204" s="691"/>
      <c r="W204" s="140" t="str">
        <f t="shared" ref="W204:W207" si="159">U204*Q204</f>
        <v>#REF!</v>
      </c>
      <c r="X204" s="692"/>
      <c r="Y204" s="693"/>
      <c r="Z204" s="694"/>
      <c r="AA204" s="695"/>
      <c r="AB204" s="354" t="str">
        <f t="shared" ref="AB204:AB206" si="160">W204+S204</f>
        <v>#REF!</v>
      </c>
      <c r="AC204" s="181"/>
      <c r="AD204" s="625"/>
      <c r="AE204" s="626"/>
      <c r="AF204" s="696"/>
      <c r="AG204" s="697"/>
      <c r="AH204" s="629"/>
      <c r="AI204" s="187"/>
      <c r="AJ204" s="630"/>
      <c r="AK204" s="630"/>
      <c r="AL204" s="595"/>
      <c r="AM204" s="595"/>
      <c r="AN204" s="595"/>
      <c r="AO204" s="595"/>
      <c r="AP204" s="595"/>
      <c r="AQ204" s="595"/>
      <c r="AR204" s="595"/>
      <c r="AS204" s="595"/>
      <c r="AT204" s="595"/>
      <c r="AU204" s="595"/>
      <c r="AV204" s="595"/>
      <c r="AW204" s="595"/>
      <c r="AX204" s="595"/>
      <c r="AY204" s="595"/>
      <c r="AZ204" s="595"/>
      <c r="BA204" s="595"/>
      <c r="BB204" s="595"/>
      <c r="BC204" s="595"/>
      <c r="BD204" s="595"/>
      <c r="BE204" s="595"/>
      <c r="BF204" s="595"/>
      <c r="BG204" s="595"/>
      <c r="BH204" s="595"/>
      <c r="BI204" s="651"/>
      <c r="BJ204" s="651"/>
      <c r="BK204" s="651"/>
      <c r="BL204" s="651"/>
      <c r="BM204" s="651"/>
      <c r="BN204" s="651"/>
      <c r="BO204" s="651"/>
      <c r="BP204" s="651"/>
      <c r="BQ204" s="651"/>
      <c r="BR204" s="651"/>
      <c r="BS204" s="651"/>
      <c r="BT204" s="651"/>
    </row>
    <row r="205">
      <c r="A205" s="631"/>
      <c r="B205" s="765" t="s">
        <v>430</v>
      </c>
      <c r="C205" s="158" t="s">
        <v>431</v>
      </c>
      <c r="D205" s="148" t="s">
        <v>432</v>
      </c>
      <c r="E205" s="687">
        <v>2.4</v>
      </c>
      <c r="F205" s="699"/>
      <c r="G205" s="700"/>
      <c r="H205" s="700" t="str">
        <f>IFERROR(__xludf.DUMMYFUNCTION("IFERROR(REGEXEXTRACT(C205, ""(\d*\.\d+)mm""), """")"),"")</f>
        <v/>
      </c>
      <c r="I205" s="701"/>
      <c r="J205" s="126" t="s">
        <v>87</v>
      </c>
      <c r="K205" s="126" t="str">
        <f>IFERROR(
  IF(B205="", "", VLOOKUP(B205, Data!$B$2:$K$905, 7, FALSE)),
  ""
)</f>
        <v/>
      </c>
      <c r="L205" s="704"/>
      <c r="M205" s="150">
        <f>roundup(L204/E205,0)+1</f>
        <v>1775</v>
      </c>
      <c r="N205" s="151">
        <f t="shared" ref="N205:N207" si="161">N204</f>
        <v>1</v>
      </c>
      <c r="O205" s="169">
        <v>1.0</v>
      </c>
      <c r="P205" s="134">
        <v>1.0</v>
      </c>
      <c r="Q205" s="135">
        <f t="shared" si="157"/>
        <v>1775</v>
      </c>
      <c r="R205" s="681" t="str">
        <f>IFERROR(
  IF(B205="", "", VLOOKUP(B205, Data!$B$2:$K$905, 9, FALSE)),
  ""
)</f>
        <v/>
      </c>
      <c r="S205" s="152">
        <f t="shared" si="158"/>
        <v>0</v>
      </c>
      <c r="T205" s="690"/>
      <c r="U205" s="681" t="str">
        <f>IFERROR(
  IF(B205="", "", VLOOKUP(B205, Data!$B$2:$K$905, 10, FALSE)),
  ""
)
</f>
        <v/>
      </c>
      <c r="V205" s="691"/>
      <c r="W205" s="140">
        <f t="shared" si="159"/>
        <v>0</v>
      </c>
      <c r="X205" s="692"/>
      <c r="Y205" s="693"/>
      <c r="Z205" s="694"/>
      <c r="AA205" s="695"/>
      <c r="AB205" s="354">
        <f t="shared" si="160"/>
        <v>0</v>
      </c>
      <c r="AC205" s="181"/>
      <c r="AD205" s="625"/>
      <c r="AE205" s="626"/>
      <c r="AF205" s="696"/>
      <c r="AG205" s="697"/>
      <c r="AH205" s="629"/>
      <c r="AI205" s="187"/>
      <c r="AJ205" s="630"/>
      <c r="AK205" s="630"/>
      <c r="AL205" s="595"/>
      <c r="AM205" s="595"/>
      <c r="AN205" s="595"/>
      <c r="AO205" s="595"/>
      <c r="AP205" s="595"/>
      <c r="AQ205" s="595"/>
      <c r="AR205" s="595"/>
      <c r="AS205" s="595"/>
      <c r="AT205" s="595"/>
      <c r="AU205" s="595"/>
      <c r="AV205" s="595"/>
      <c r="AW205" s="595"/>
      <c r="AX205" s="595"/>
      <c r="AY205" s="595"/>
      <c r="AZ205" s="595"/>
      <c r="BA205" s="595"/>
      <c r="BB205" s="595"/>
      <c r="BC205" s="595"/>
      <c r="BD205" s="595"/>
      <c r="BE205" s="595"/>
      <c r="BF205" s="595"/>
      <c r="BG205" s="595"/>
      <c r="BH205" s="595"/>
      <c r="BI205" s="651"/>
      <c r="BJ205" s="651"/>
      <c r="BK205" s="651"/>
      <c r="BL205" s="651"/>
      <c r="BM205" s="651"/>
      <c r="BN205" s="651"/>
      <c r="BO205" s="651"/>
      <c r="BP205" s="651"/>
      <c r="BQ205" s="651"/>
      <c r="BR205" s="651"/>
      <c r="BS205" s="651"/>
      <c r="BT205" s="651"/>
    </row>
    <row r="206">
      <c r="A206" s="631"/>
      <c r="B206" s="765" t="s">
        <v>433</v>
      </c>
      <c r="C206" s="701" t="s">
        <v>434</v>
      </c>
      <c r="D206" s="686" t="s">
        <v>360</v>
      </c>
      <c r="E206" s="687"/>
      <c r="F206" s="699"/>
      <c r="G206" s="700"/>
      <c r="H206" s="700"/>
      <c r="I206" s="701"/>
      <c r="J206" s="126" t="s">
        <v>87</v>
      </c>
      <c r="K206" s="126" t="str">
        <f>IFERROR(
  IF(B206="", "", VLOOKUP(B206, Data!$B$2:$K$905, 7, FALSE)),
  ""
)</f>
        <v/>
      </c>
      <c r="L206" s="704"/>
      <c r="M206" s="150">
        <f>M205*2</f>
        <v>3550</v>
      </c>
      <c r="N206" s="151">
        <f t="shared" si="161"/>
        <v>1</v>
      </c>
      <c r="O206" s="169">
        <v>1.0</v>
      </c>
      <c r="P206" s="134">
        <v>1.0</v>
      </c>
      <c r="Q206" s="135">
        <f t="shared" si="157"/>
        <v>3550</v>
      </c>
      <c r="R206" s="681" t="str">
        <f>IFERROR(
  IF(B206="", "", VLOOKUP(B206, Data!$B$2:$K$905, 9, FALSE)),
  ""
)</f>
        <v/>
      </c>
      <c r="S206" s="152">
        <f t="shared" si="158"/>
        <v>0</v>
      </c>
      <c r="T206" s="690"/>
      <c r="U206" s="681" t="str">
        <f>IFERROR(
  IF(B206="", "", VLOOKUP(B206, Data!$B$2:$K$905, 10, FALSE)),
  ""
)
</f>
        <v/>
      </c>
      <c r="V206" s="691"/>
      <c r="W206" s="140">
        <f t="shared" si="159"/>
        <v>0</v>
      </c>
      <c r="X206" s="692"/>
      <c r="Y206" s="693"/>
      <c r="Z206" s="694"/>
      <c r="AA206" s="695"/>
      <c r="AB206" s="354">
        <f t="shared" si="160"/>
        <v>0</v>
      </c>
      <c r="AC206" s="181"/>
      <c r="AD206" s="625"/>
      <c r="AE206" s="626"/>
      <c r="AF206" s="696"/>
      <c r="AG206" s="697"/>
      <c r="AH206" s="629"/>
      <c r="AI206" s="187"/>
      <c r="AJ206" s="630"/>
      <c r="AK206" s="630"/>
      <c r="AL206" s="595"/>
      <c r="AM206" s="595"/>
      <c r="AN206" s="595"/>
      <c r="AO206" s="595"/>
      <c r="AP206" s="595"/>
      <c r="AQ206" s="595"/>
      <c r="AR206" s="595"/>
      <c r="AS206" s="595"/>
      <c r="AT206" s="595"/>
      <c r="AU206" s="595"/>
      <c r="AV206" s="595"/>
      <c r="AW206" s="595"/>
      <c r="AX206" s="595"/>
      <c r="AY206" s="595"/>
      <c r="AZ206" s="595"/>
      <c r="BA206" s="595"/>
      <c r="BB206" s="595"/>
      <c r="BC206" s="595"/>
      <c r="BD206" s="595"/>
      <c r="BE206" s="595"/>
      <c r="BF206" s="595"/>
      <c r="BG206" s="595"/>
      <c r="BH206" s="595"/>
      <c r="BI206" s="651"/>
      <c r="BJ206" s="651"/>
      <c r="BK206" s="651"/>
      <c r="BL206" s="651"/>
      <c r="BM206" s="651"/>
      <c r="BN206" s="651"/>
      <c r="BO206" s="651"/>
      <c r="BP206" s="651"/>
      <c r="BQ206" s="651"/>
      <c r="BR206" s="651"/>
      <c r="BS206" s="651"/>
      <c r="BT206" s="651"/>
    </row>
    <row r="207">
      <c r="A207" s="716" t="s">
        <v>435</v>
      </c>
      <c r="B207" s="766" t="s">
        <v>436</v>
      </c>
      <c r="C207" s="767" t="s">
        <v>437</v>
      </c>
      <c r="D207" s="148" t="s">
        <v>438</v>
      </c>
      <c r="E207" s="687"/>
      <c r="F207" s="699"/>
      <c r="G207" s="225"/>
      <c r="H207" s="700"/>
      <c r="I207" s="701"/>
      <c r="J207" s="126" t="s">
        <v>87</v>
      </c>
      <c r="K207" s="126" t="str">
        <f>IFERROR(
  IF(B207="", "", VLOOKUP(B207, Data!$B$2:$K$905, 7, FALSE)),
  ""
)</f>
        <v/>
      </c>
      <c r="L207" s="704"/>
      <c r="M207" s="730">
        <v>224.0</v>
      </c>
      <c r="N207" s="151">
        <f t="shared" si="161"/>
        <v>1</v>
      </c>
      <c r="O207" s="169">
        <v>1.0</v>
      </c>
      <c r="P207" s="134">
        <v>1.0</v>
      </c>
      <c r="Q207" s="135">
        <f t="shared" si="157"/>
        <v>224</v>
      </c>
      <c r="R207" s="136" t="str">
        <f>IFERROR(
  IF(B207="", "", VLOOKUP(B207, Data!$B$2:$K$905, 9, FALSE)),
  ""
)</f>
        <v/>
      </c>
      <c r="S207" s="152">
        <f t="shared" si="158"/>
        <v>0</v>
      </c>
      <c r="T207" s="690"/>
      <c r="U207" s="136" t="str">
        <f>IFERROR(
  IF(B207="", "", VLOOKUP(B207, Data!$B$2:$K$905, 10, FALSE)),
  ""
)
</f>
        <v/>
      </c>
      <c r="V207" s="691"/>
      <c r="W207" s="140">
        <f t="shared" si="159"/>
        <v>0</v>
      </c>
      <c r="X207" s="692"/>
      <c r="Y207" s="693"/>
      <c r="Z207" s="694"/>
      <c r="AA207" s="695"/>
      <c r="AB207" s="354"/>
      <c r="AC207" s="181"/>
      <c r="AD207" s="705"/>
      <c r="AE207" s="706"/>
      <c r="AF207" s="707"/>
      <c r="AG207" s="708"/>
      <c r="AH207" s="709"/>
      <c r="AI207" s="187"/>
      <c r="AJ207" s="710"/>
      <c r="AK207" s="710"/>
      <c r="AL207" s="595"/>
      <c r="AM207" s="595"/>
      <c r="AN207" s="595"/>
      <c r="AO207" s="595"/>
      <c r="AP207" s="595"/>
      <c r="AQ207" s="595"/>
      <c r="AR207" s="595"/>
      <c r="AS207" s="595"/>
      <c r="AT207" s="595"/>
      <c r="AU207" s="595"/>
      <c r="AV207" s="595"/>
      <c r="AW207" s="595"/>
      <c r="AX207" s="595"/>
      <c r="AY207" s="595"/>
      <c r="AZ207" s="595"/>
      <c r="BA207" s="595"/>
      <c r="BB207" s="595"/>
      <c r="BC207" s="595"/>
      <c r="BD207" s="595"/>
      <c r="BE207" s="595"/>
      <c r="BF207" s="595"/>
      <c r="BG207" s="595"/>
      <c r="BH207" s="595"/>
      <c r="BI207" s="651"/>
      <c r="BJ207" s="651"/>
      <c r="BK207" s="651"/>
      <c r="BL207" s="651"/>
      <c r="BM207" s="651"/>
      <c r="BN207" s="651"/>
      <c r="BO207" s="651"/>
      <c r="BP207" s="651"/>
      <c r="BQ207" s="651"/>
      <c r="BR207" s="651"/>
      <c r="BS207" s="651"/>
      <c r="BT207" s="651"/>
    </row>
    <row r="208">
      <c r="A208" s="631"/>
      <c r="B208" s="765"/>
      <c r="C208" s="701"/>
      <c r="D208" s="686"/>
      <c r="E208" s="687"/>
      <c r="F208" s="699"/>
      <c r="G208" s="700"/>
      <c r="H208" s="700"/>
      <c r="I208" s="701"/>
      <c r="J208" s="701"/>
      <c r="K208" s="701"/>
      <c r="L208" s="704"/>
      <c r="M208" s="704"/>
      <c r="N208" s="711"/>
      <c r="O208" s="712"/>
      <c r="P208" s="700"/>
      <c r="Q208" s="704"/>
      <c r="R208" s="681"/>
      <c r="S208" s="691"/>
      <c r="T208" s="690"/>
      <c r="U208" s="681"/>
      <c r="V208" s="691"/>
      <c r="W208" s="713"/>
      <c r="X208" s="692"/>
      <c r="Y208" s="693"/>
      <c r="Z208" s="694"/>
      <c r="AA208" s="695"/>
      <c r="AB208" s="354"/>
      <c r="AC208" s="181"/>
      <c r="AD208" s="705"/>
      <c r="AE208" s="706"/>
      <c r="AF208" s="707"/>
      <c r="AG208" s="708"/>
      <c r="AH208" s="709"/>
      <c r="AI208" s="187"/>
      <c r="AJ208" s="710"/>
      <c r="AK208" s="710"/>
      <c r="AL208" s="595"/>
      <c r="AM208" s="595"/>
      <c r="AN208" s="595"/>
      <c r="AO208" s="595"/>
      <c r="AP208" s="595"/>
      <c r="AQ208" s="595"/>
      <c r="AR208" s="595"/>
      <c r="AS208" s="595"/>
      <c r="AT208" s="595"/>
      <c r="AU208" s="595"/>
      <c r="AV208" s="595"/>
      <c r="AW208" s="595"/>
      <c r="AX208" s="595"/>
      <c r="AY208" s="595"/>
      <c r="AZ208" s="595"/>
      <c r="BA208" s="595"/>
      <c r="BB208" s="595"/>
      <c r="BC208" s="595"/>
      <c r="BD208" s="595"/>
      <c r="BE208" s="595"/>
      <c r="BF208" s="595"/>
      <c r="BG208" s="595"/>
      <c r="BH208" s="595"/>
      <c r="BI208" s="651"/>
      <c r="BJ208" s="651"/>
      <c r="BK208" s="651"/>
      <c r="BL208" s="651"/>
      <c r="BM208" s="651"/>
      <c r="BN208" s="651"/>
      <c r="BO208" s="651"/>
      <c r="BP208" s="651"/>
      <c r="BQ208" s="651"/>
      <c r="BR208" s="651"/>
      <c r="BS208" s="651"/>
      <c r="BT208" s="651"/>
    </row>
    <row r="209">
      <c r="A209" s="631"/>
      <c r="B209" s="685" t="s">
        <v>427</v>
      </c>
      <c r="C209" s="698" t="s">
        <v>500</v>
      </c>
      <c r="D209" s="686" t="s">
        <v>40</v>
      </c>
      <c r="E209" s="687" t="str">
        <f>IFERROR(__xludf.DUMMYFUNCTION("IF($B$15:$B1153="""","""",
  VLOOKUP(
    $B$15:$B1153,
    QUERY(
      IMPORTRANGE(""1Ag27m9YF5mMfJh2E6NipJDFvPLlDI1p-s_1XEnzMHcc"",""Merge!F2:R""),
      ""select Col1, Col11"",
      0
    ),
    2,
    FALSE
  )
)
"),"#REF!")</f>
        <v>#REF!</v>
      </c>
      <c r="F209" s="699"/>
      <c r="G209" s="689" t="s">
        <v>501</v>
      </c>
      <c r="H209" s="128" t="str">
        <f>IFERROR(__xludf.DUMMYFUNCTION("IFERROR(REGEXEXTRACT(C209, ""(\d*\.\d+)mm""), """")"),"0.55")</f>
        <v>0.55</v>
      </c>
      <c r="I209" s="701"/>
      <c r="J209" s="126" t="s">
        <v>14</v>
      </c>
      <c r="K209" s="126" t="str">
        <f>IFERROR(
  IF(B209="", "", VLOOKUP(B209, Data!$B$2:$K$905, 7, FALSE)),
  ""
)</f>
        <v/>
      </c>
      <c r="L209" s="131">
        <f>669.48+
1496.98+
430.38</f>
        <v>2596.84</v>
      </c>
      <c r="M209" s="135" t="str">
        <f>L209*E209</f>
        <v>#REF!</v>
      </c>
      <c r="N209" s="151">
        <f>IFERROR(__xludf.DUMMYFUNCTION("IF(B209="""", """", IFERROR(1 / COS(RADIANS(REGEXEXTRACT(F209,""(\d+)""))), 1))"),1.0)</f>
        <v>1</v>
      </c>
      <c r="O209" s="169">
        <v>1.0</v>
      </c>
      <c r="P209" s="134">
        <v>1.0</v>
      </c>
      <c r="Q209" s="135" t="str">
        <f t="shared" ref="Q209:Q211" si="162">M209*N209*O209*P209</f>
        <v>#REF!</v>
      </c>
      <c r="R209" s="681" t="str">
        <f>IFERROR(
  IF(B209="", "", VLOOKUP(B209, Data!$B$2:$K$905, 9, FALSE)),
  ""
)</f>
        <v/>
      </c>
      <c r="S209" s="152" t="str">
        <f t="shared" ref="S209:S211" si="163">R209*Q209</f>
        <v>#REF!</v>
      </c>
      <c r="T209" s="690"/>
      <c r="U209" s="681" t="str">
        <f>IFERROR(
  IF(B209="", "", VLOOKUP(B209, Data!$B$2:$K$905, 10, FALSE)),
  ""
)
</f>
        <v/>
      </c>
      <c r="V209" s="691"/>
      <c r="W209" s="140" t="str">
        <f t="shared" ref="W209:W211" si="164">U209*Q209</f>
        <v>#REF!</v>
      </c>
      <c r="X209" s="692"/>
      <c r="Y209" s="693"/>
      <c r="Z209" s="694"/>
      <c r="AA209" s="695"/>
      <c r="AB209" s="354" t="str">
        <f t="shared" ref="AB209:AB216" si="165">W209+S209</f>
        <v>#REF!</v>
      </c>
      <c r="AC209" s="181"/>
      <c r="AD209" s="625"/>
      <c r="AE209" s="626"/>
      <c r="AF209" s="696"/>
      <c r="AG209" s="697"/>
      <c r="AH209" s="629"/>
      <c r="AI209" s="187"/>
      <c r="AJ209" s="630"/>
      <c r="AK209" s="630"/>
      <c r="AL209" s="595"/>
      <c r="AM209" s="595"/>
      <c r="AN209" s="595"/>
      <c r="AO209" s="595"/>
      <c r="AP209" s="595"/>
      <c r="AQ209" s="595"/>
      <c r="AR209" s="595"/>
      <c r="AS209" s="595"/>
      <c r="AT209" s="595"/>
      <c r="AU209" s="595"/>
      <c r="AV209" s="595"/>
      <c r="AW209" s="595"/>
      <c r="AX209" s="595"/>
      <c r="AY209" s="595"/>
      <c r="AZ209" s="595"/>
      <c r="BA209" s="595"/>
      <c r="BB209" s="595"/>
      <c r="BC209" s="595"/>
      <c r="BD209" s="595"/>
      <c r="BE209" s="595"/>
      <c r="BF209" s="595"/>
      <c r="BG209" s="595"/>
      <c r="BH209" s="595"/>
      <c r="BI209" s="651"/>
      <c r="BJ209" s="651"/>
      <c r="BK209" s="651"/>
      <c r="BL209" s="651"/>
      <c r="BM209" s="651"/>
      <c r="BN209" s="651"/>
      <c r="BO209" s="651"/>
      <c r="BP209" s="651"/>
      <c r="BQ209" s="651"/>
      <c r="BR209" s="651"/>
      <c r="BS209" s="651"/>
      <c r="BT209" s="651"/>
    </row>
    <row r="210">
      <c r="A210" s="631"/>
      <c r="B210" s="685" t="s">
        <v>430</v>
      </c>
      <c r="C210" s="698" t="s">
        <v>431</v>
      </c>
      <c r="D210" s="686" t="s">
        <v>432</v>
      </c>
      <c r="E210" s="687">
        <v>1.2</v>
      </c>
      <c r="F210" s="699"/>
      <c r="G210" s="700"/>
      <c r="H210" s="700" t="str">
        <f>IFERROR(__xludf.DUMMYFUNCTION("IFERROR(REGEXEXTRACT(C210, ""(\d*\.\d+)mm""), """")"),"")</f>
        <v/>
      </c>
      <c r="I210" s="701"/>
      <c r="J210" s="126" t="s">
        <v>87</v>
      </c>
      <c r="K210" s="126" t="str">
        <f>IFERROR(
  IF(B210="", "", VLOOKUP(B210, Data!$B$2:$K$905, 7, FALSE)),
  ""
)</f>
        <v/>
      </c>
      <c r="L210" s="704"/>
      <c r="M210" s="150">
        <f>roundup(L209/E210,0)+1</f>
        <v>2166</v>
      </c>
      <c r="N210" s="151">
        <f t="shared" ref="N210:N211" si="166">N209</f>
        <v>1</v>
      </c>
      <c r="O210" s="169">
        <v>1.0</v>
      </c>
      <c r="P210" s="134">
        <v>1.0</v>
      </c>
      <c r="Q210" s="135">
        <f t="shared" si="162"/>
        <v>2166</v>
      </c>
      <c r="R210" s="681" t="str">
        <f>IFERROR(
  IF(B210="", "", VLOOKUP(B210, Data!$B$2:$K$905, 9, FALSE)),
  ""
)</f>
        <v/>
      </c>
      <c r="S210" s="152">
        <f t="shared" si="163"/>
        <v>0</v>
      </c>
      <c r="T210" s="690"/>
      <c r="U210" s="681" t="str">
        <f>IFERROR(
  IF(B210="", "", VLOOKUP(B210, Data!$B$2:$K$905, 10, FALSE)),
  ""
)
</f>
        <v/>
      </c>
      <c r="V210" s="691"/>
      <c r="W210" s="140">
        <f t="shared" si="164"/>
        <v>0</v>
      </c>
      <c r="X210" s="692"/>
      <c r="Y210" s="693"/>
      <c r="Z210" s="694"/>
      <c r="AA210" s="695"/>
      <c r="AB210" s="354">
        <f t="shared" si="165"/>
        <v>0</v>
      </c>
      <c r="AC210" s="181"/>
      <c r="AD210" s="625"/>
      <c r="AE210" s="626"/>
      <c r="AF210" s="696"/>
      <c r="AG210" s="697"/>
      <c r="AH210" s="629"/>
      <c r="AI210" s="187"/>
      <c r="AJ210" s="630"/>
      <c r="AK210" s="630"/>
      <c r="AL210" s="595"/>
      <c r="AM210" s="595"/>
      <c r="AN210" s="595"/>
      <c r="AO210" s="595"/>
      <c r="AP210" s="595"/>
      <c r="AQ210" s="595"/>
      <c r="AR210" s="595"/>
      <c r="AS210" s="595"/>
      <c r="AT210" s="595"/>
      <c r="AU210" s="595"/>
      <c r="AV210" s="595"/>
      <c r="AW210" s="595"/>
      <c r="AX210" s="595"/>
      <c r="AY210" s="595"/>
      <c r="AZ210" s="595"/>
      <c r="BA210" s="595"/>
      <c r="BB210" s="595"/>
      <c r="BC210" s="595"/>
      <c r="BD210" s="595"/>
      <c r="BE210" s="595"/>
      <c r="BF210" s="595"/>
      <c r="BG210" s="595"/>
      <c r="BH210" s="595"/>
      <c r="BI210" s="651"/>
      <c r="BJ210" s="651"/>
      <c r="BK210" s="651"/>
      <c r="BL210" s="651"/>
      <c r="BM210" s="651"/>
      <c r="BN210" s="651"/>
      <c r="BO210" s="651"/>
      <c r="BP210" s="651"/>
      <c r="BQ210" s="651"/>
      <c r="BR210" s="651"/>
      <c r="BS210" s="651"/>
      <c r="BT210" s="651"/>
    </row>
    <row r="211">
      <c r="A211" s="631"/>
      <c r="B211" s="685" t="s">
        <v>433</v>
      </c>
      <c r="C211" s="702" t="s">
        <v>434</v>
      </c>
      <c r="D211" s="686" t="s">
        <v>360</v>
      </c>
      <c r="E211" s="687"/>
      <c r="F211" s="699"/>
      <c r="G211" s="700"/>
      <c r="H211" s="700"/>
      <c r="I211" s="701"/>
      <c r="J211" s="126" t="s">
        <v>87</v>
      </c>
      <c r="K211" s="126" t="str">
        <f>IFERROR(
  IF(B211="", "", VLOOKUP(B211, Data!$B$2:$K$905, 7, FALSE)),
  ""
)</f>
        <v/>
      </c>
      <c r="L211" s="704"/>
      <c r="M211" s="150">
        <f>M210*2</f>
        <v>4332</v>
      </c>
      <c r="N211" s="151">
        <f t="shared" si="166"/>
        <v>1</v>
      </c>
      <c r="O211" s="169">
        <v>1.0</v>
      </c>
      <c r="P211" s="134">
        <v>1.0</v>
      </c>
      <c r="Q211" s="135">
        <f t="shared" si="162"/>
        <v>4332</v>
      </c>
      <c r="R211" s="681" t="str">
        <f>IFERROR(
  IF(B211="", "", VLOOKUP(B211, Data!$B$2:$K$905, 9, FALSE)),
  ""
)</f>
        <v/>
      </c>
      <c r="S211" s="152">
        <f t="shared" si="163"/>
        <v>0</v>
      </c>
      <c r="T211" s="690"/>
      <c r="U211" s="681" t="str">
        <f>IFERROR(
  IF(B211="", "", VLOOKUP(B211, Data!$B$2:$K$905, 10, FALSE)),
  ""
)
</f>
        <v/>
      </c>
      <c r="V211" s="691"/>
      <c r="W211" s="140">
        <f t="shared" si="164"/>
        <v>0</v>
      </c>
      <c r="X211" s="692"/>
      <c r="Y211" s="693"/>
      <c r="Z211" s="694"/>
      <c r="AA211" s="695"/>
      <c r="AB211" s="354">
        <f t="shared" si="165"/>
        <v>0</v>
      </c>
      <c r="AC211" s="181"/>
      <c r="AD211" s="625"/>
      <c r="AE211" s="626"/>
      <c r="AF211" s="696"/>
      <c r="AG211" s="697"/>
      <c r="AH211" s="629"/>
      <c r="AI211" s="187"/>
      <c r="AJ211" s="630"/>
      <c r="AK211" s="630"/>
      <c r="AL211" s="595"/>
      <c r="AM211" s="595"/>
      <c r="AN211" s="595"/>
      <c r="AO211" s="595"/>
      <c r="AP211" s="595"/>
      <c r="AQ211" s="595"/>
      <c r="AR211" s="595"/>
      <c r="AS211" s="595"/>
      <c r="AT211" s="595"/>
      <c r="AU211" s="595"/>
      <c r="AV211" s="595"/>
      <c r="AW211" s="595"/>
      <c r="AX211" s="595"/>
      <c r="AY211" s="595"/>
      <c r="AZ211" s="595"/>
      <c r="BA211" s="595"/>
      <c r="BB211" s="595"/>
      <c r="BC211" s="595"/>
      <c r="BD211" s="595"/>
      <c r="BE211" s="595"/>
      <c r="BF211" s="595"/>
      <c r="BG211" s="595"/>
      <c r="BH211" s="595"/>
      <c r="BI211" s="651"/>
      <c r="BJ211" s="651"/>
      <c r="BK211" s="651"/>
      <c r="BL211" s="651"/>
      <c r="BM211" s="651"/>
      <c r="BN211" s="651"/>
      <c r="BO211" s="651"/>
      <c r="BP211" s="651"/>
      <c r="BQ211" s="651"/>
      <c r="BR211" s="651"/>
      <c r="BS211" s="651"/>
      <c r="BT211" s="651"/>
    </row>
    <row r="212">
      <c r="A212" s="631"/>
      <c r="B212" s="765"/>
      <c r="C212" s="701"/>
      <c r="D212" s="686"/>
      <c r="E212" s="687"/>
      <c r="F212" s="699"/>
      <c r="G212" s="700"/>
      <c r="H212" s="700"/>
      <c r="I212" s="701"/>
      <c r="J212" s="701"/>
      <c r="K212" s="701"/>
      <c r="L212" s="704"/>
      <c r="M212" s="704"/>
      <c r="N212" s="711"/>
      <c r="O212" s="712"/>
      <c r="P212" s="700"/>
      <c r="Q212" s="704"/>
      <c r="R212" s="681" t="str">
        <f>IFERROR(
  IF(B212="", "", VLOOKUP(B212, Data!$B$2:$K$905, 9, FALSE)),
  ""
)</f>
        <v/>
      </c>
      <c r="S212" s="691"/>
      <c r="T212" s="690"/>
      <c r="U212" s="681" t="str">
        <f>IFERROR(
  IF(B212="", "", VLOOKUP(B212, Data!$B$2:$K$905, 10, FALSE)),
  ""
)
</f>
        <v/>
      </c>
      <c r="V212" s="691"/>
      <c r="W212" s="713"/>
      <c r="X212" s="692"/>
      <c r="Y212" s="693"/>
      <c r="Z212" s="694"/>
      <c r="AA212" s="695"/>
      <c r="AB212" s="354">
        <f t="shared" si="165"/>
        <v>0</v>
      </c>
      <c r="AC212" s="181"/>
      <c r="AD212" s="705"/>
      <c r="AE212" s="706"/>
      <c r="AF212" s="707"/>
      <c r="AG212" s="708"/>
      <c r="AH212" s="709"/>
      <c r="AI212" s="187"/>
      <c r="AJ212" s="710"/>
      <c r="AK212" s="710"/>
      <c r="AL212" s="595"/>
      <c r="AM212" s="595"/>
      <c r="AN212" s="595"/>
      <c r="AO212" s="595"/>
      <c r="AP212" s="595"/>
      <c r="AQ212" s="595"/>
      <c r="AR212" s="595"/>
      <c r="AS212" s="595"/>
      <c r="AT212" s="595"/>
      <c r="AU212" s="595"/>
      <c r="AV212" s="595"/>
      <c r="AW212" s="595"/>
      <c r="AX212" s="595"/>
      <c r="AY212" s="595"/>
      <c r="AZ212" s="595"/>
      <c r="BA212" s="595"/>
      <c r="BB212" s="595"/>
      <c r="BC212" s="595"/>
      <c r="BD212" s="595"/>
      <c r="BE212" s="595"/>
      <c r="BF212" s="595"/>
      <c r="BG212" s="595"/>
      <c r="BH212" s="595"/>
      <c r="BI212" s="651"/>
      <c r="BJ212" s="651"/>
      <c r="BK212" s="651"/>
      <c r="BL212" s="651"/>
      <c r="BM212" s="651"/>
      <c r="BN212" s="651"/>
      <c r="BO212" s="651"/>
      <c r="BP212" s="651"/>
      <c r="BQ212" s="651"/>
      <c r="BR212" s="651"/>
      <c r="BS212" s="651"/>
      <c r="BT212" s="651"/>
    </row>
    <row r="213">
      <c r="A213" s="684"/>
      <c r="B213" s="765" t="s">
        <v>427</v>
      </c>
      <c r="C213" s="158" t="s">
        <v>500</v>
      </c>
      <c r="D213" s="686" t="s">
        <v>40</v>
      </c>
      <c r="E213" s="687" t="str">
        <f>IFERROR(__xludf.DUMMYFUNCTION("IF($B$15:$B1153="""","""",
  VLOOKUP(
    $B$15:$B1153,
    QUERY(
      IMPORTRANGE(""1Ag27m9YF5mMfJh2E6NipJDFvPLlDI1p-s_1XEnzMHcc"",""Merge!F2:R""),
      ""select Col1, Col11"",
      0
    ),
    2,
    FALSE
  )
)
"),"#REF!")</f>
        <v>#REF!</v>
      </c>
      <c r="F213" s="699"/>
      <c r="G213" s="149" t="s">
        <v>501</v>
      </c>
      <c r="H213" s="128" t="str">
        <f>IFERROR(__xludf.DUMMYFUNCTION("IFERROR(REGEXEXTRACT(C213, ""(\d*\.\d+)mm""), """")"),"0.55")</f>
        <v>0.55</v>
      </c>
      <c r="I213" s="701"/>
      <c r="J213" s="126" t="s">
        <v>14</v>
      </c>
      <c r="K213" s="126" t="str">
        <f>IFERROR(
  IF(B213="", "", VLOOKUP(B213, Data!$B$2:$K$905, 7, FALSE)),
  ""
)</f>
        <v/>
      </c>
      <c r="L213" s="135">
        <f>235.48+
151.38</f>
        <v>386.86</v>
      </c>
      <c r="M213" s="135" t="str">
        <f>L213*E213</f>
        <v>#REF!</v>
      </c>
      <c r="N213" s="151">
        <f>IFERROR(__xludf.DUMMYFUNCTION("IF(B213="""", """", IFERROR(1 / COS(RADIANS(REGEXEXTRACT(F213,""(\d+)""))), 1))"),1.0)</f>
        <v>1</v>
      </c>
      <c r="O213" s="169">
        <v>1.0</v>
      </c>
      <c r="P213" s="134">
        <v>1.0</v>
      </c>
      <c r="Q213" s="135" t="str">
        <f t="shared" ref="Q213:Q215" si="167">M213*N213*O213*P213</f>
        <v>#REF!</v>
      </c>
      <c r="R213" s="681" t="str">
        <f>IFERROR(
  IF(B213="", "", VLOOKUP(B213, Data!$B$2:$K$905, 9, FALSE)),
  ""
)</f>
        <v/>
      </c>
      <c r="S213" s="152" t="str">
        <f t="shared" ref="S213:S215" si="168">R213*Q213</f>
        <v>#REF!</v>
      </c>
      <c r="T213" s="690"/>
      <c r="U213" s="681" t="str">
        <f>IFERROR(
  IF(B213="", "", VLOOKUP(B213, Data!$B$2:$K$905, 10, FALSE)),
  ""
)
</f>
        <v/>
      </c>
      <c r="V213" s="691"/>
      <c r="W213" s="140" t="str">
        <f t="shared" ref="W213:W215" si="169">U213*Q213</f>
        <v>#REF!</v>
      </c>
      <c r="X213" s="692"/>
      <c r="Y213" s="693"/>
      <c r="Z213" s="694"/>
      <c r="AA213" s="695"/>
      <c r="AB213" s="354" t="str">
        <f t="shared" si="165"/>
        <v>#REF!</v>
      </c>
      <c r="AC213" s="181"/>
      <c r="AD213" s="625"/>
      <c r="AE213" s="626"/>
      <c r="AF213" s="696"/>
      <c r="AG213" s="697"/>
      <c r="AH213" s="629"/>
      <c r="AI213" s="187"/>
      <c r="AJ213" s="630"/>
      <c r="AK213" s="630"/>
      <c r="AL213" s="595"/>
      <c r="AM213" s="595"/>
      <c r="AN213" s="595"/>
      <c r="AO213" s="595"/>
      <c r="AP213" s="595"/>
      <c r="AQ213" s="595"/>
      <c r="AR213" s="595"/>
      <c r="AS213" s="595"/>
      <c r="AT213" s="595"/>
      <c r="AU213" s="595"/>
      <c r="AV213" s="595"/>
      <c r="AW213" s="595"/>
      <c r="AX213" s="595"/>
      <c r="AY213" s="595"/>
      <c r="AZ213" s="595"/>
      <c r="BA213" s="595"/>
      <c r="BB213" s="595"/>
      <c r="BC213" s="595"/>
      <c r="BD213" s="595"/>
      <c r="BE213" s="595"/>
      <c r="BF213" s="595"/>
      <c r="BG213" s="595"/>
      <c r="BH213" s="595"/>
      <c r="BI213" s="651"/>
      <c r="BJ213" s="651"/>
      <c r="BK213" s="651"/>
      <c r="BL213" s="651"/>
      <c r="BM213" s="651"/>
      <c r="BN213" s="651"/>
      <c r="BO213" s="651"/>
      <c r="BP213" s="651"/>
      <c r="BQ213" s="651"/>
      <c r="BR213" s="651"/>
      <c r="BS213" s="651"/>
      <c r="BT213" s="651"/>
    </row>
    <row r="214">
      <c r="A214" s="684"/>
      <c r="B214" s="765" t="s">
        <v>430</v>
      </c>
      <c r="C214" s="158" t="s">
        <v>431</v>
      </c>
      <c r="D214" s="686" t="s">
        <v>432</v>
      </c>
      <c r="E214" s="755">
        <v>0.6</v>
      </c>
      <c r="F214" s="699"/>
      <c r="G214" s="700"/>
      <c r="H214" s="700" t="str">
        <f>IFERROR(__xludf.DUMMYFUNCTION("IFERROR(REGEXEXTRACT(C214, ""(\d*\.\d+)mm""), """")"),"")</f>
        <v/>
      </c>
      <c r="I214" s="701"/>
      <c r="J214" s="126" t="s">
        <v>87</v>
      </c>
      <c r="K214" s="126" t="str">
        <f>IFERROR(
  IF(B214="", "", VLOOKUP(B214, Data!$B$2:$K$905, 7, FALSE)),
  ""
)</f>
        <v/>
      </c>
      <c r="L214" s="704"/>
      <c r="M214" s="150">
        <f>roundup(L213/E214,0)+1</f>
        <v>646</v>
      </c>
      <c r="N214" s="151">
        <f t="shared" ref="N214:N215" si="170">N213</f>
        <v>1</v>
      </c>
      <c r="O214" s="169">
        <v>1.0</v>
      </c>
      <c r="P214" s="134">
        <v>1.0</v>
      </c>
      <c r="Q214" s="135">
        <f t="shared" si="167"/>
        <v>646</v>
      </c>
      <c r="R214" s="681" t="str">
        <f>IFERROR(
  IF(B214="", "", VLOOKUP(B214, Data!$B$2:$K$905, 9, FALSE)),
  ""
)</f>
        <v/>
      </c>
      <c r="S214" s="152">
        <f t="shared" si="168"/>
        <v>0</v>
      </c>
      <c r="T214" s="690"/>
      <c r="U214" s="681" t="str">
        <f>IFERROR(
  IF(B214="", "", VLOOKUP(B214, Data!$B$2:$K$905, 10, FALSE)),
  ""
)
</f>
        <v/>
      </c>
      <c r="V214" s="691"/>
      <c r="W214" s="140">
        <f t="shared" si="169"/>
        <v>0</v>
      </c>
      <c r="X214" s="692"/>
      <c r="Y214" s="693"/>
      <c r="Z214" s="694"/>
      <c r="AA214" s="695"/>
      <c r="AB214" s="354">
        <f t="shared" si="165"/>
        <v>0</v>
      </c>
      <c r="AC214" s="181"/>
      <c r="AD214" s="625"/>
      <c r="AE214" s="626"/>
      <c r="AF214" s="696"/>
      <c r="AG214" s="697"/>
      <c r="AH214" s="629"/>
      <c r="AI214" s="187"/>
      <c r="AJ214" s="630"/>
      <c r="AK214" s="630"/>
      <c r="AL214" s="595"/>
      <c r="AM214" s="595"/>
      <c r="AN214" s="595"/>
      <c r="AO214" s="595"/>
      <c r="AP214" s="595"/>
      <c r="AQ214" s="595"/>
      <c r="AR214" s="595"/>
      <c r="AS214" s="595"/>
      <c r="AT214" s="595"/>
      <c r="AU214" s="595"/>
      <c r="AV214" s="595"/>
      <c r="AW214" s="595"/>
      <c r="AX214" s="595"/>
      <c r="AY214" s="595"/>
      <c r="AZ214" s="595"/>
      <c r="BA214" s="595"/>
      <c r="BB214" s="595"/>
      <c r="BC214" s="595"/>
      <c r="BD214" s="595"/>
      <c r="BE214" s="595"/>
      <c r="BF214" s="595"/>
      <c r="BG214" s="595"/>
      <c r="BH214" s="595"/>
      <c r="BI214" s="651"/>
      <c r="BJ214" s="651"/>
      <c r="BK214" s="651"/>
      <c r="BL214" s="651"/>
      <c r="BM214" s="651"/>
      <c r="BN214" s="651"/>
      <c r="BO214" s="651"/>
      <c r="BP214" s="651"/>
      <c r="BQ214" s="651"/>
      <c r="BR214" s="651"/>
      <c r="BS214" s="651"/>
      <c r="BT214" s="651"/>
    </row>
    <row r="215">
      <c r="A215" s="684"/>
      <c r="B215" s="765" t="s">
        <v>433</v>
      </c>
      <c r="C215" s="701" t="s">
        <v>434</v>
      </c>
      <c r="D215" s="686" t="s">
        <v>360</v>
      </c>
      <c r="E215" s="722"/>
      <c r="F215" s="699"/>
      <c r="G215" s="700"/>
      <c r="H215" s="700"/>
      <c r="I215" s="701"/>
      <c r="J215" s="126" t="s">
        <v>87</v>
      </c>
      <c r="K215" s="126" t="str">
        <f>IFERROR(
  IF(B215="", "", VLOOKUP(B215, Data!$B$2:$K$905, 7, FALSE)),
  ""
)</f>
        <v/>
      </c>
      <c r="L215" s="704"/>
      <c r="M215" s="150">
        <f>M214*2</f>
        <v>1292</v>
      </c>
      <c r="N215" s="151">
        <f t="shared" si="170"/>
        <v>1</v>
      </c>
      <c r="O215" s="169">
        <v>1.0</v>
      </c>
      <c r="P215" s="134">
        <v>1.0</v>
      </c>
      <c r="Q215" s="135">
        <f t="shared" si="167"/>
        <v>1292</v>
      </c>
      <c r="R215" s="681" t="str">
        <f>IFERROR(
  IF(B215="", "", VLOOKUP(B215, Data!$B$2:$K$905, 9, FALSE)),
  ""
)</f>
        <v/>
      </c>
      <c r="S215" s="152">
        <f t="shared" si="168"/>
        <v>0</v>
      </c>
      <c r="T215" s="690"/>
      <c r="U215" s="681" t="str">
        <f>IFERROR(
  IF(B215="", "", VLOOKUP(B215, Data!$B$2:$K$905, 10, FALSE)),
  ""
)
</f>
        <v/>
      </c>
      <c r="V215" s="691"/>
      <c r="W215" s="140">
        <f t="shared" si="169"/>
        <v>0</v>
      </c>
      <c r="X215" s="692"/>
      <c r="Y215" s="693"/>
      <c r="Z215" s="694"/>
      <c r="AA215" s="695"/>
      <c r="AB215" s="354">
        <f t="shared" si="165"/>
        <v>0</v>
      </c>
      <c r="AC215" s="181"/>
      <c r="AD215" s="625"/>
      <c r="AE215" s="626"/>
      <c r="AF215" s="696"/>
      <c r="AG215" s="697"/>
      <c r="AH215" s="629"/>
      <c r="AI215" s="187"/>
      <c r="AJ215" s="630"/>
      <c r="AK215" s="630"/>
      <c r="AL215" s="595"/>
      <c r="AM215" s="595"/>
      <c r="AN215" s="595"/>
      <c r="AO215" s="595"/>
      <c r="AP215" s="595"/>
      <c r="AQ215" s="595"/>
      <c r="AR215" s="595"/>
      <c r="AS215" s="595"/>
      <c r="AT215" s="595"/>
      <c r="AU215" s="595"/>
      <c r="AV215" s="595"/>
      <c r="AW215" s="595"/>
      <c r="AX215" s="595"/>
      <c r="AY215" s="595"/>
      <c r="AZ215" s="595"/>
      <c r="BA215" s="595"/>
      <c r="BB215" s="595"/>
      <c r="BC215" s="595"/>
      <c r="BD215" s="595"/>
      <c r="BE215" s="595"/>
      <c r="BF215" s="595"/>
      <c r="BG215" s="595"/>
      <c r="BH215" s="595"/>
      <c r="BI215" s="651"/>
      <c r="BJ215" s="651"/>
      <c r="BK215" s="651"/>
      <c r="BL215" s="651"/>
      <c r="BM215" s="651"/>
      <c r="BN215" s="651"/>
      <c r="BO215" s="651"/>
      <c r="BP215" s="651"/>
      <c r="BQ215" s="651"/>
      <c r="BR215" s="651"/>
      <c r="BS215" s="651"/>
      <c r="BT215" s="651"/>
    </row>
    <row r="216">
      <c r="A216" s="684"/>
      <c r="B216" s="765"/>
      <c r="C216" s="701"/>
      <c r="D216" s="702"/>
      <c r="E216" s="722"/>
      <c r="F216" s="699"/>
      <c r="G216" s="700"/>
      <c r="H216" s="700"/>
      <c r="I216" s="701"/>
      <c r="J216" s="701"/>
      <c r="K216" s="701"/>
      <c r="L216" s="704"/>
      <c r="M216" s="704"/>
      <c r="N216" s="711"/>
      <c r="O216" s="712"/>
      <c r="P216" s="700"/>
      <c r="Q216" s="704"/>
      <c r="R216" s="681" t="str">
        <f>IFERROR(
  IF(B216="", "", VLOOKUP(B216, Data!$B$2:$K$905, 9, FALSE)),
  ""
)</f>
        <v/>
      </c>
      <c r="S216" s="691"/>
      <c r="T216" s="690"/>
      <c r="U216" s="681" t="str">
        <f>IFERROR(
  IF(B216="", "", VLOOKUP(B216, Data!$B$2:$K$905, 10, FALSE)),
  ""
)
</f>
        <v/>
      </c>
      <c r="V216" s="691"/>
      <c r="W216" s="713"/>
      <c r="X216" s="692"/>
      <c r="Y216" s="693"/>
      <c r="Z216" s="694"/>
      <c r="AA216" s="695"/>
      <c r="AB216" s="354">
        <f t="shared" si="165"/>
        <v>0</v>
      </c>
      <c r="AC216" s="181"/>
      <c r="AD216" s="705"/>
      <c r="AE216" s="706"/>
      <c r="AF216" s="707"/>
      <c r="AG216" s="708"/>
      <c r="AH216" s="709"/>
      <c r="AI216" s="187"/>
      <c r="AJ216" s="710"/>
      <c r="AK216" s="710"/>
      <c r="AL216" s="595"/>
      <c r="AM216" s="595"/>
      <c r="AN216" s="595"/>
      <c r="AO216" s="595"/>
      <c r="AP216" s="595"/>
      <c r="AQ216" s="595"/>
      <c r="AR216" s="595"/>
      <c r="AS216" s="595"/>
      <c r="AT216" s="595"/>
      <c r="AU216" s="595"/>
      <c r="AV216" s="595"/>
      <c r="AW216" s="595"/>
      <c r="AX216" s="595"/>
      <c r="AY216" s="595"/>
      <c r="AZ216" s="595"/>
      <c r="BA216" s="595"/>
      <c r="BB216" s="595"/>
      <c r="BC216" s="595"/>
      <c r="BD216" s="595"/>
      <c r="BE216" s="595"/>
      <c r="BF216" s="595"/>
      <c r="BG216" s="595"/>
      <c r="BH216" s="595"/>
      <c r="BI216" s="651"/>
      <c r="BJ216" s="651"/>
      <c r="BK216" s="651"/>
      <c r="BL216" s="651"/>
      <c r="BM216" s="651"/>
      <c r="BN216" s="651"/>
      <c r="BO216" s="651"/>
      <c r="BP216" s="651"/>
      <c r="BQ216" s="651"/>
      <c r="BR216" s="651"/>
      <c r="BS216" s="651"/>
      <c r="BT216" s="651"/>
    </row>
    <row r="217">
      <c r="A217" s="631">
        <v>1.0</v>
      </c>
      <c r="B217" s="764" t="s">
        <v>425</v>
      </c>
      <c r="C217" s="89" t="s">
        <v>78</v>
      </c>
      <c r="D217" s="656"/>
      <c r="E217" s="654"/>
      <c r="F217" s="655"/>
      <c r="G217" s="656"/>
      <c r="H217" s="656"/>
      <c r="I217" s="656"/>
      <c r="J217" s="656"/>
      <c r="K217" s="656" t="s">
        <v>42</v>
      </c>
      <c r="L217" s="658"/>
      <c r="M217" s="658"/>
      <c r="N217" s="659"/>
      <c r="O217" s="658"/>
      <c r="P217" s="656"/>
      <c r="Q217" s="658"/>
      <c r="R217" s="681" t="str">
        <f>IFERROR(
  IF(B217="", "", VLOOKUP(B217, Data!$B$2:$K$905, 9, FALSE)),
  ""
)</f>
        <v/>
      </c>
      <c r="S217" s="662"/>
      <c r="T217" s="661"/>
      <c r="U217" s="681" t="str">
        <f>IFERROR(
  IF(B217="", "", VLOOKUP(B217, Data!$B$2:$K$905, 10, FALSE)),
  ""
)
</f>
        <v/>
      </c>
      <c r="V217" s="662"/>
      <c r="W217" s="663"/>
      <c r="X217" s="664"/>
      <c r="Y217" s="595"/>
      <c r="Z217" s="595"/>
      <c r="AA217" s="595"/>
      <c r="AB217" s="595"/>
      <c r="AC217" s="181"/>
      <c r="AD217" s="668"/>
      <c r="AE217" s="669"/>
      <c r="AF217" s="670"/>
      <c r="AG217" s="715"/>
      <c r="AH217" s="672"/>
      <c r="AI217" s="187"/>
      <c r="AJ217" s="673"/>
      <c r="AK217" s="673"/>
      <c r="AL217" s="595"/>
      <c r="AM217" s="595"/>
      <c r="AN217" s="595"/>
      <c r="AO217" s="595"/>
      <c r="AP217" s="595"/>
      <c r="AQ217" s="595"/>
      <c r="AR217" s="595"/>
      <c r="AS217" s="595"/>
      <c r="AT217" s="595"/>
      <c r="AU217" s="595"/>
      <c r="AV217" s="595"/>
      <c r="AW217" s="595"/>
      <c r="AX217" s="595"/>
      <c r="AY217" s="595"/>
      <c r="AZ217" s="595"/>
      <c r="BA217" s="595"/>
      <c r="BB217" s="595"/>
      <c r="BC217" s="595"/>
      <c r="BD217" s="595"/>
      <c r="BE217" s="595"/>
      <c r="BF217" s="595"/>
      <c r="BG217" s="595"/>
      <c r="BH217" s="595"/>
      <c r="BI217" s="651"/>
      <c r="BJ217" s="651"/>
      <c r="BK217" s="651"/>
      <c r="BL217" s="651"/>
      <c r="BM217" s="651"/>
      <c r="BN217" s="651"/>
      <c r="BO217" s="651"/>
      <c r="BP217" s="651"/>
      <c r="BQ217" s="651"/>
      <c r="BR217" s="651"/>
      <c r="BS217" s="651"/>
      <c r="BT217" s="651"/>
    </row>
    <row r="218">
      <c r="A218" s="631">
        <v>1.0</v>
      </c>
      <c r="B218" s="727"/>
      <c r="C218" s="157" t="s">
        <v>79</v>
      </c>
      <c r="D218" s="678"/>
      <c r="E218" s="676"/>
      <c r="F218" s="677"/>
      <c r="G218" s="678"/>
      <c r="H218" s="678"/>
      <c r="I218" s="678"/>
      <c r="J218" s="678"/>
      <c r="K218" s="678" t="s">
        <v>42</v>
      </c>
      <c r="L218" s="106" t="str">
        <f>Q218</f>
        <v>#REF!</v>
      </c>
      <c r="M218" s="679"/>
      <c r="N218" s="680"/>
      <c r="O218" s="679"/>
      <c r="P218" s="678"/>
      <c r="Q218" s="106" t="str">
        <f>Q219</f>
        <v>#REF!</v>
      </c>
      <c r="R218" s="681" t="str">
        <f>IFERROR(
  IF(B218="", "", VLOOKUP(B218, Data!$B$2:$K$905, 9, FALSE)),
  ""
)</f>
        <v/>
      </c>
      <c r="S218" s="682">
        <f>IFERROR(T218/Q218, 0)</f>
        <v>0</v>
      </c>
      <c r="T218" s="109" t="str">
        <f>SUM(S219:S221)</f>
        <v>#REF!</v>
      </c>
      <c r="U218" s="681" t="str">
        <f>IFERROR(
  IF(B218="", "", VLOOKUP(B218, Data!$B$2:$K$905, 10, FALSE)),
  ""
)
</f>
        <v/>
      </c>
      <c r="V218" s="109" t="str">
        <f>iferror(W218/Q218,"")</f>
        <v/>
      </c>
      <c r="W218" s="110" t="str">
        <f>SUM(W219:W221)</f>
        <v>#REF!</v>
      </c>
      <c r="X218" s="111" t="str">
        <f>W218/$AC$758/$W$765/$X$755</f>
        <v>#REF!</v>
      </c>
      <c r="Y218" s="112" t="str">
        <f>(T218+W218)=(SUM(AB219:AB221))</f>
        <v>#REF!</v>
      </c>
      <c r="Z218" s="113" t="str">
        <f>(T218+W218)-(SUM(AB219:AB221))</f>
        <v>#REF!</v>
      </c>
      <c r="AA218" s="595"/>
      <c r="AB218" s="595"/>
      <c r="AC218" s="181"/>
      <c r="AD218" s="114" t="str">
        <f>W218+T218</f>
        <v>#REF!</v>
      </c>
      <c r="AE218" s="115" t="str">
        <f>AD218</f>
        <v>#REF!</v>
      </c>
      <c r="AF218" s="116" t="str">
        <f>AE218/$AE$733</f>
        <v>#REF!</v>
      </c>
      <c r="AG218" s="683" t="str">
        <f>AF218*$AG$740</f>
        <v>#REF!</v>
      </c>
      <c r="AH218" s="118" t="str">
        <f>AF218*$AG$743</f>
        <v>#REF!</v>
      </c>
      <c r="AI218" s="187"/>
      <c r="AJ218" s="119" t="str">
        <f>ROUND(AK218/L218,2)</f>
        <v>#REF!</v>
      </c>
      <c r="AK218" s="119" t="str">
        <f>ROUND(AH218+AG218+AD218,2)</f>
        <v>#REF!</v>
      </c>
      <c r="AL218" s="595"/>
      <c r="AM218" s="595"/>
      <c r="AN218" s="595"/>
      <c r="AO218" s="595"/>
      <c r="AP218" s="595"/>
      <c r="AQ218" s="595"/>
      <c r="AR218" s="595"/>
      <c r="AS218" s="595"/>
      <c r="AT218" s="595"/>
      <c r="AU218" s="595"/>
      <c r="AV218" s="595"/>
      <c r="AW218" s="595"/>
      <c r="AX218" s="595"/>
      <c r="AY218" s="595"/>
      <c r="AZ218" s="595"/>
      <c r="BA218" s="595"/>
      <c r="BB218" s="595"/>
      <c r="BC218" s="595"/>
      <c r="BD218" s="595"/>
      <c r="BE218" s="595"/>
      <c r="BF218" s="595"/>
      <c r="BG218" s="595"/>
      <c r="BH218" s="595"/>
      <c r="BI218" s="651"/>
      <c r="BJ218" s="651"/>
      <c r="BK218" s="651"/>
      <c r="BL218" s="651"/>
      <c r="BM218" s="651"/>
      <c r="BN218" s="651"/>
      <c r="BO218" s="651"/>
      <c r="BP218" s="651"/>
      <c r="BQ218" s="651"/>
      <c r="BR218" s="651"/>
      <c r="BS218" s="651"/>
      <c r="BT218" s="651"/>
    </row>
    <row r="219">
      <c r="A219" s="716" t="s">
        <v>435</v>
      </c>
      <c r="B219" s="154" t="s">
        <v>441</v>
      </c>
      <c r="C219" s="158" t="s">
        <v>442</v>
      </c>
      <c r="D219" s="124" t="s">
        <v>82</v>
      </c>
      <c r="E219" s="687" t="str">
        <f>IFERROR(__xludf.DUMMYFUNCTION("IF($B$15:$B927="""","""",
  VLOOKUP(
    $B$15:$B927,
    QUERY(
      IMPORTRANGE(""1Ag27m9YF5mMfJh2E6NipJDFvPLlDI1p-s_1XEnzMHcc"",""Merge!F2:R""),
      ""select Col1, Col11"",
      0
    ),
    2,
    FALSE
  )
)
"),"#REF!")</f>
        <v>#REF!</v>
      </c>
      <c r="F219" s="721"/>
      <c r="G219" s="689" t="s">
        <v>501</v>
      </c>
      <c r="H219" s="700" t="str">
        <f>IFERROR(__xludf.DUMMYFUNCTION("IFERROR(REGEXEXTRACT(C219, ""(\d*\.\d+)mm""), """")"),"")</f>
        <v/>
      </c>
      <c r="I219" s="700"/>
      <c r="J219" s="126" t="s">
        <v>14</v>
      </c>
      <c r="K219" s="126" t="str">
        <f>IFERROR(
  IF(B219="", "", VLOOKUP(B219, Data!$B$2:$K$905, 7, FALSE)),
  ""
)</f>
        <v/>
      </c>
      <c r="L219" s="135" t="str">
        <f>Q203</f>
        <v>#REF!</v>
      </c>
      <c r="M219" s="150" t="str">
        <f>((L219)/(E219-0.15))*0.15+(L219)</f>
        <v>#REF!</v>
      </c>
      <c r="N219" s="151">
        <f>IFERROR(__xludf.DUMMYFUNCTION("IF(B219="""", """", IFERROR(1 / COS(RADIANS(REGEXEXTRACT(F219,""(\d+)""))), 1))"),1.0)</f>
        <v>1</v>
      </c>
      <c r="O219" s="169">
        <v>1.0</v>
      </c>
      <c r="P219" s="134">
        <v>1.0</v>
      </c>
      <c r="Q219" s="135" t="str">
        <f t="shared" ref="Q219:Q220" si="171">M219*N219*O219*P219</f>
        <v>#REF!</v>
      </c>
      <c r="R219" s="136" t="str">
        <f>IFERROR(
  IF(B219="", "", VLOOKUP(B219, Data!$B$2:$K$905, 9, FALSE)),
  ""
)</f>
        <v/>
      </c>
      <c r="S219" s="152" t="str">
        <f t="shared" ref="S219:S220" si="172">R219*Q219</f>
        <v>#REF!</v>
      </c>
      <c r="T219" s="690"/>
      <c r="U219" s="136" t="str">
        <f>IFERROR(
  IF(B219="", "", VLOOKUP(B219, Data!$B$2:$K$905, 10, FALSE)),
  ""
)
</f>
        <v/>
      </c>
      <c r="V219" s="691"/>
      <c r="W219" s="140" t="str">
        <f t="shared" ref="W219:W220" si="173">U219*Q219</f>
        <v>#REF!</v>
      </c>
      <c r="X219" s="692"/>
      <c r="Y219" s="595"/>
      <c r="Z219" s="595"/>
      <c r="AA219" s="595"/>
      <c r="AB219" s="354" t="str">
        <f t="shared" ref="AB219:AB220" si="174">W219+S219</f>
        <v>#REF!</v>
      </c>
      <c r="AC219" s="181"/>
      <c r="AD219" s="625"/>
      <c r="AE219" s="626"/>
      <c r="AF219" s="696"/>
      <c r="AG219" s="697"/>
      <c r="AH219" s="629"/>
      <c r="AI219" s="187"/>
      <c r="AJ219" s="630"/>
      <c r="AK219" s="630"/>
      <c r="AL219" s="595"/>
      <c r="AM219" s="595"/>
      <c r="AN219" s="595"/>
      <c r="AO219" s="595"/>
      <c r="AP219" s="595"/>
      <c r="AQ219" s="595"/>
      <c r="AR219" s="595"/>
      <c r="AS219" s="595"/>
      <c r="AT219" s="595"/>
      <c r="AU219" s="595"/>
      <c r="AV219" s="595"/>
      <c r="AW219" s="595"/>
      <c r="AX219" s="595"/>
      <c r="AY219" s="595"/>
      <c r="AZ219" s="595"/>
      <c r="BA219" s="595"/>
      <c r="BB219" s="595"/>
      <c r="BC219" s="595"/>
      <c r="BD219" s="595"/>
      <c r="BE219" s="595"/>
      <c r="BF219" s="595"/>
      <c r="BG219" s="595"/>
      <c r="BH219" s="595"/>
      <c r="BI219" s="651"/>
      <c r="BJ219" s="651"/>
      <c r="BK219" s="651"/>
      <c r="BL219" s="651"/>
      <c r="BM219" s="651"/>
      <c r="BN219" s="651"/>
      <c r="BO219" s="651"/>
      <c r="BP219" s="651"/>
      <c r="BQ219" s="651"/>
      <c r="BR219" s="651"/>
      <c r="BS219" s="651"/>
      <c r="BT219" s="651"/>
    </row>
    <row r="220">
      <c r="A220" s="716" t="s">
        <v>435</v>
      </c>
      <c r="B220" s="768" t="s">
        <v>84</v>
      </c>
      <c r="C220" s="225" t="s">
        <v>85</v>
      </c>
      <c r="D220" s="124" t="s">
        <v>86</v>
      </c>
      <c r="E220" s="720" t="str">
        <f>E219</f>
        <v>#REF!</v>
      </c>
      <c r="F220" s="721"/>
      <c r="G220" s="700"/>
      <c r="H220" s="128" t="str">
        <f>IFERROR(__xludf.DUMMYFUNCTION("IF($B$15:$B927="""","""",
  VLOOKUP(
    $B$15:$B927,
    QUERY(
      IMPORTRANGE(""1Ag27m9YF5mMfJh2E6NipJDFvPLlDI1p-s_1XEnzMHcc"",""Merge!F2:R""),
      ""select Col1, Col11"",
      0
    ),
    2,
    FALSE
  )
)
"),"#REF!")</f>
        <v>#REF!</v>
      </c>
      <c r="I220" s="700"/>
      <c r="J220" s="126" t="s">
        <v>87</v>
      </c>
      <c r="K220" s="126" t="str">
        <f>IFERROR(
  IF(B220="", "", VLOOKUP(B220, Data!$B$2:$K$905, 7, FALSE)),
  ""
)</f>
        <v/>
      </c>
      <c r="L220" s="712"/>
      <c r="M220" s="169" t="str">
        <f>M219/E220/H220</f>
        <v>#REF!</v>
      </c>
      <c r="N220" s="151">
        <f>N219</f>
        <v>1</v>
      </c>
      <c r="O220" s="169">
        <v>1.0</v>
      </c>
      <c r="P220" s="134">
        <v>1.0</v>
      </c>
      <c r="Q220" s="135" t="str">
        <f t="shared" si="171"/>
        <v>#REF!</v>
      </c>
      <c r="R220" s="136" t="str">
        <f>IFERROR(
  IF(B220="", "", VLOOKUP(B220, Data!$B$2:$K$905, 9, FALSE)),
  ""
)</f>
        <v/>
      </c>
      <c r="S220" s="152" t="str">
        <f t="shared" si="172"/>
        <v>#REF!</v>
      </c>
      <c r="T220" s="690"/>
      <c r="U220" s="681" t="str">
        <f>IFERROR(
  IF(B220="", "", VLOOKUP(B220, Data!$B$2:$K$905, 10, FALSE)),
  ""
)
</f>
        <v/>
      </c>
      <c r="V220" s="691"/>
      <c r="W220" s="140" t="str">
        <f t="shared" si="173"/>
        <v>#REF!</v>
      </c>
      <c r="X220" s="692"/>
      <c r="Y220" s="693"/>
      <c r="Z220" s="694"/>
      <c r="AA220" s="595"/>
      <c r="AB220" s="354" t="str">
        <f t="shared" si="174"/>
        <v>#REF!</v>
      </c>
      <c r="AC220" s="181"/>
      <c r="AD220" s="625"/>
      <c r="AE220" s="626"/>
      <c r="AF220" s="696"/>
      <c r="AG220" s="697"/>
      <c r="AH220" s="629"/>
      <c r="AI220" s="187"/>
      <c r="AJ220" s="630"/>
      <c r="AK220" s="630"/>
      <c r="AL220" s="595"/>
      <c r="AM220" s="595"/>
      <c r="AN220" s="595"/>
      <c r="AO220" s="595"/>
      <c r="AP220" s="595"/>
      <c r="AQ220" s="595"/>
      <c r="AR220" s="595"/>
      <c r="AS220" s="595"/>
      <c r="AT220" s="595"/>
      <c r="AU220" s="595"/>
      <c r="AV220" s="595"/>
      <c r="AW220" s="595"/>
      <c r="AX220" s="595"/>
      <c r="AY220" s="595"/>
      <c r="AZ220" s="595"/>
      <c r="BA220" s="595"/>
      <c r="BB220" s="595"/>
      <c r="BC220" s="595"/>
      <c r="BD220" s="595"/>
      <c r="BE220" s="595"/>
      <c r="BF220" s="595"/>
      <c r="BG220" s="595"/>
      <c r="BH220" s="595"/>
      <c r="BI220" s="651"/>
      <c r="BJ220" s="651"/>
      <c r="BK220" s="651"/>
      <c r="BL220" s="651"/>
      <c r="BM220" s="651"/>
      <c r="BN220" s="651"/>
      <c r="BO220" s="651"/>
      <c r="BP220" s="651"/>
      <c r="BQ220" s="651"/>
      <c r="BR220" s="651"/>
      <c r="BS220" s="651"/>
      <c r="BT220" s="651"/>
    </row>
    <row r="221">
      <c r="A221" s="631"/>
      <c r="B221" s="154"/>
      <c r="C221" s="701"/>
      <c r="D221" s="701"/>
      <c r="E221" s="722"/>
      <c r="F221" s="699"/>
      <c r="G221" s="700"/>
      <c r="H221" s="700"/>
      <c r="I221" s="700"/>
      <c r="J221" s="701"/>
      <c r="K221" s="701" t="str">
        <f>IFERROR(
  IF(B221="", "", VLOOKUP(B221, Data!$B$2:$K$905, 7, FALSE)),
  ""
)</f>
        <v/>
      </c>
      <c r="L221" s="704"/>
      <c r="M221" s="704"/>
      <c r="N221" s="711" t="str">
        <f>IFERROR(__xludf.DUMMYFUNCTION("IF(B221="""", """", IFERROR(1 / COS(RADIANS(REGEXEXTRACT(F221,""(\d+)""))), 1))"),"")</f>
        <v/>
      </c>
      <c r="O221" s="712"/>
      <c r="P221" s="700"/>
      <c r="Q221" s="704"/>
      <c r="R221" s="681" t="str">
        <f>IFERROR(
  IF(B221="", "", VLOOKUP(B221, Data!$B$2:$K$905, 9, FALSE)),
  ""
)</f>
        <v/>
      </c>
      <c r="S221" s="691"/>
      <c r="T221" s="690"/>
      <c r="U221" s="681" t="str">
        <f>IFERROR(
  IF(B221="", "", VLOOKUP(B221, Data!$B$2:$K$905, 10, FALSE)),
  ""
)
</f>
        <v/>
      </c>
      <c r="V221" s="691"/>
      <c r="W221" s="713"/>
      <c r="X221" s="692"/>
      <c r="Y221" s="595"/>
      <c r="Z221" s="595"/>
      <c r="AA221" s="595"/>
      <c r="AB221" s="595"/>
      <c r="AC221" s="181"/>
      <c r="AD221" s="625"/>
      <c r="AE221" s="626"/>
      <c r="AF221" s="696"/>
      <c r="AG221" s="697"/>
      <c r="AH221" s="629"/>
      <c r="AI221" s="187"/>
      <c r="AJ221" s="630"/>
      <c r="AK221" s="630"/>
      <c r="AL221" s="595"/>
      <c r="AM221" s="595"/>
      <c r="AN221" s="595"/>
      <c r="AO221" s="595"/>
      <c r="AP221" s="595"/>
      <c r="AQ221" s="595"/>
      <c r="AR221" s="595"/>
      <c r="AS221" s="595"/>
      <c r="AT221" s="595"/>
      <c r="AU221" s="595"/>
      <c r="AV221" s="595"/>
      <c r="AW221" s="595"/>
      <c r="AX221" s="595"/>
      <c r="AY221" s="595"/>
      <c r="AZ221" s="595"/>
      <c r="BA221" s="595"/>
      <c r="BB221" s="595"/>
      <c r="BC221" s="595"/>
      <c r="BD221" s="595"/>
      <c r="BE221" s="595"/>
      <c r="BF221" s="595"/>
      <c r="BG221" s="595"/>
      <c r="BH221" s="595"/>
      <c r="BI221" s="651"/>
      <c r="BJ221" s="651"/>
      <c r="BK221" s="651"/>
      <c r="BL221" s="651"/>
      <c r="BM221" s="651"/>
      <c r="BN221" s="651"/>
      <c r="BO221" s="651"/>
      <c r="BP221" s="651"/>
      <c r="BQ221" s="651"/>
      <c r="BR221" s="651"/>
      <c r="BS221" s="651"/>
      <c r="BT221" s="651"/>
    </row>
    <row r="222">
      <c r="A222" s="631">
        <v>1.0</v>
      </c>
      <c r="B222" s="723"/>
      <c r="C222" s="89" t="s">
        <v>89</v>
      </c>
      <c r="D222" s="656"/>
      <c r="E222" s="658"/>
      <c r="F222" s="655"/>
      <c r="G222" s="656"/>
      <c r="H222" s="656"/>
      <c r="I222" s="656"/>
      <c r="J222" s="656"/>
      <c r="K222" s="656" t="s">
        <v>42</v>
      </c>
      <c r="L222" s="658"/>
      <c r="M222" s="658"/>
      <c r="N222" s="659"/>
      <c r="O222" s="658"/>
      <c r="P222" s="656"/>
      <c r="Q222" s="658"/>
      <c r="R222" s="681" t="str">
        <f>IFERROR(
  IF(B222="", "", VLOOKUP(B222, Data!$B$2:$K$905, 9, FALSE)),
  ""
)</f>
        <v/>
      </c>
      <c r="S222" s="662"/>
      <c r="T222" s="661"/>
      <c r="U222" s="681" t="str">
        <f>IFERROR(
  IF(B222="", "", VLOOKUP(B222, Data!$B$2:$K$905, 10, FALSE)),
  ""
)
</f>
        <v/>
      </c>
      <c r="V222" s="662"/>
      <c r="W222" s="663"/>
      <c r="X222" s="664"/>
      <c r="Y222" s="595"/>
      <c r="Z222" s="595"/>
      <c r="AA222" s="595"/>
      <c r="AB222" s="595"/>
      <c r="AC222" s="181"/>
      <c r="AD222" s="668"/>
      <c r="AE222" s="669"/>
      <c r="AF222" s="670"/>
      <c r="AG222" s="715"/>
      <c r="AH222" s="672"/>
      <c r="AI222" s="187"/>
      <c r="AJ222" s="673"/>
      <c r="AK222" s="673"/>
      <c r="AL222" s="595"/>
      <c r="AM222" s="595"/>
      <c r="AN222" s="595"/>
      <c r="AO222" s="595"/>
      <c r="AP222" s="595"/>
      <c r="AQ222" s="595"/>
      <c r="AR222" s="595"/>
      <c r="AS222" s="595"/>
      <c r="AT222" s="595"/>
      <c r="AU222" s="595"/>
      <c r="AV222" s="595"/>
      <c r="AW222" s="595"/>
      <c r="AX222" s="595"/>
      <c r="AY222" s="595"/>
      <c r="AZ222" s="595"/>
      <c r="BA222" s="595"/>
      <c r="BB222" s="595"/>
      <c r="BC222" s="595"/>
      <c r="BD222" s="595"/>
      <c r="BE222" s="595"/>
      <c r="BF222" s="595"/>
      <c r="BG222" s="595"/>
      <c r="BH222" s="595"/>
      <c r="BI222" s="651"/>
      <c r="BJ222" s="651"/>
      <c r="BK222" s="651"/>
      <c r="BL222" s="651"/>
      <c r="BM222" s="651"/>
      <c r="BN222" s="651"/>
      <c r="BO222" s="651"/>
      <c r="BP222" s="651"/>
      <c r="BQ222" s="651"/>
      <c r="BR222" s="651"/>
      <c r="BS222" s="651"/>
      <c r="BT222" s="651"/>
    </row>
    <row r="223">
      <c r="A223" s="631">
        <v>1.0</v>
      </c>
      <c r="B223" s="674"/>
      <c r="C223" s="157" t="s">
        <v>90</v>
      </c>
      <c r="D223" s="678"/>
      <c r="E223" s="679"/>
      <c r="F223" s="677"/>
      <c r="G223" s="678"/>
      <c r="H223" s="678"/>
      <c r="I223" s="678"/>
      <c r="J223" s="678"/>
      <c r="K223" s="678" t="s">
        <v>42</v>
      </c>
      <c r="L223" s="106" t="str">
        <f>Q223</f>
        <v>#REF!</v>
      </c>
      <c r="M223" s="679"/>
      <c r="N223" s="680"/>
      <c r="O223" s="679"/>
      <c r="P223" s="678"/>
      <c r="Q223" s="106" t="str">
        <f>Q224</f>
        <v>#REF!</v>
      </c>
      <c r="R223" s="681" t="str">
        <f>IFERROR(
  IF(B223="", "", VLOOKUP(B223, Data!$B$2:$K$905, 9, FALSE)),
  ""
)</f>
        <v/>
      </c>
      <c r="S223" s="724" t="str">
        <f>iferror(T223/Q223,"")</f>
        <v/>
      </c>
      <c r="T223" s="109" t="str">
        <f>SUM(S224:S225)</f>
        <v>#REF!</v>
      </c>
      <c r="U223" s="681" t="str">
        <f>IFERROR(
  IF(B223="", "", VLOOKUP(B223, Data!$B$2:$K$905, 10, FALSE)),
  ""
)
</f>
        <v/>
      </c>
      <c r="V223" s="724" t="str">
        <f>iferror(W223/Q223,"")</f>
        <v/>
      </c>
      <c r="W223" s="110" t="str">
        <f>SUM(W224:W225)</f>
        <v>#REF!</v>
      </c>
      <c r="X223" s="111" t="str">
        <f>W223/$AC$758/$W$765/$X$755</f>
        <v>#REF!</v>
      </c>
      <c r="Y223" s="112" t="str">
        <f>(T223+W223)=(SUM(AB224:AB225))</f>
        <v>#REF!</v>
      </c>
      <c r="Z223" s="113" t="str">
        <f>(T223+W223)-(SUM(AB224:AB225))</f>
        <v>#REF!</v>
      </c>
      <c r="AA223" s="595"/>
      <c r="AB223" s="595"/>
      <c r="AC223" s="181"/>
      <c r="AD223" s="114" t="str">
        <f>W223+T223</f>
        <v>#REF!</v>
      </c>
      <c r="AE223" s="115" t="str">
        <f>AD223</f>
        <v>#REF!</v>
      </c>
      <c r="AF223" s="116" t="str">
        <f>AE223/$AE$733</f>
        <v>#REF!</v>
      </c>
      <c r="AG223" s="683" t="str">
        <f>AF223*$AG$740</f>
        <v>#REF!</v>
      </c>
      <c r="AH223" s="118" t="str">
        <f>AF223*$AG$743</f>
        <v>#REF!</v>
      </c>
      <c r="AI223" s="187"/>
      <c r="AJ223" s="119" t="str">
        <f>ROUND(AK223/L223,2)</f>
        <v>#REF!</v>
      </c>
      <c r="AK223" s="119" t="str">
        <f>ROUND(AH223+AG223+AD223,2)</f>
        <v>#REF!</v>
      </c>
      <c r="AL223" s="595"/>
      <c r="AM223" s="595"/>
      <c r="AN223" s="595"/>
      <c r="AO223" s="595"/>
      <c r="AP223" s="595"/>
      <c r="AQ223" s="595"/>
      <c r="AR223" s="595"/>
      <c r="AS223" s="595"/>
      <c r="AT223" s="595"/>
      <c r="AU223" s="595"/>
      <c r="AV223" s="595"/>
      <c r="AW223" s="595"/>
      <c r="AX223" s="595"/>
      <c r="AY223" s="595"/>
      <c r="AZ223" s="595"/>
      <c r="BA223" s="595"/>
      <c r="BB223" s="595"/>
      <c r="BC223" s="595"/>
      <c r="BD223" s="595"/>
      <c r="BE223" s="595"/>
      <c r="BF223" s="595"/>
      <c r="BG223" s="595"/>
      <c r="BH223" s="595"/>
      <c r="BI223" s="651"/>
      <c r="BJ223" s="651"/>
      <c r="BK223" s="651"/>
      <c r="BL223" s="651"/>
      <c r="BM223" s="651"/>
      <c r="BN223" s="651"/>
      <c r="BO223" s="651"/>
      <c r="BP223" s="651"/>
      <c r="BQ223" s="651"/>
      <c r="BR223" s="651"/>
      <c r="BS223" s="651"/>
      <c r="BT223" s="651"/>
    </row>
    <row r="224">
      <c r="A224" s="716" t="s">
        <v>435</v>
      </c>
      <c r="B224" s="717" t="s">
        <v>91</v>
      </c>
      <c r="C224" s="158" t="s">
        <v>89</v>
      </c>
      <c r="D224" s="148" t="s">
        <v>92</v>
      </c>
      <c r="E224" s="725"/>
      <c r="F224" s="699"/>
      <c r="G224" s="689" t="s">
        <v>501</v>
      </c>
      <c r="H224" s="700" t="str">
        <f>IFERROR(__xludf.DUMMYFUNCTION("IFERROR(REGEXEXTRACT(C224, ""(\d*\.\d+)mm""), """")"),"")</f>
        <v/>
      </c>
      <c r="I224" s="700"/>
      <c r="J224" s="126" t="s">
        <v>87</v>
      </c>
      <c r="K224" s="128" t="s">
        <v>41</v>
      </c>
      <c r="L224" s="712"/>
      <c r="M224" s="169" t="str">
        <f>M219</f>
        <v>#REF!</v>
      </c>
      <c r="N224" s="151">
        <f>IFERROR(__xludf.DUMMYFUNCTION("IF(B224="""", """", IFERROR(1 / COS(RADIANS(REGEXEXTRACT(F224,""(\d+)""))), 1))"),1.0)</f>
        <v>1</v>
      </c>
      <c r="O224" s="169">
        <v>1.0</v>
      </c>
      <c r="P224" s="134">
        <v>1.0</v>
      </c>
      <c r="Q224" s="168" t="str">
        <f>M224*N224*O224*P224</f>
        <v>#REF!</v>
      </c>
      <c r="R224" s="136" t="str">
        <f>IFERROR(
  IF(B224="", "", VLOOKUP(B224, Data!$B$2:$K$905, 9, FALSE)),
  ""
)</f>
        <v/>
      </c>
      <c r="S224" s="137" t="str">
        <f>R224*Q224</f>
        <v>#REF!</v>
      </c>
      <c r="T224" s="690"/>
      <c r="U224" s="136" t="str">
        <f>IFERROR(
  IF(B224="", "", VLOOKUP(B224, Data!$B$2:$K$905, 10, FALSE)),
  ""
)
</f>
        <v/>
      </c>
      <c r="V224" s="691"/>
      <c r="W224" s="140" t="str">
        <f>U224*Q224</f>
        <v>#REF!</v>
      </c>
      <c r="X224" s="692"/>
      <c r="Y224" s="595"/>
      <c r="Z224" s="595"/>
      <c r="AA224" s="595"/>
      <c r="AB224" s="354" t="str">
        <f t="shared" ref="AB224:AB225" si="175">W224+S224</f>
        <v>#REF!</v>
      </c>
      <c r="AC224" s="181"/>
      <c r="AD224" s="625"/>
      <c r="AE224" s="626"/>
      <c r="AF224" s="696"/>
      <c r="AG224" s="697"/>
      <c r="AH224" s="629"/>
      <c r="AI224" s="187"/>
      <c r="AJ224" s="630"/>
      <c r="AK224" s="630"/>
      <c r="AL224" s="595"/>
      <c r="AM224" s="595"/>
      <c r="AN224" s="595"/>
      <c r="AO224" s="595"/>
      <c r="AP224" s="595"/>
      <c r="AQ224" s="595"/>
      <c r="AR224" s="595"/>
      <c r="AS224" s="595"/>
      <c r="AT224" s="595"/>
      <c r="AU224" s="595"/>
      <c r="AV224" s="595"/>
      <c r="AW224" s="595"/>
      <c r="AX224" s="595"/>
      <c r="AY224" s="595"/>
      <c r="AZ224" s="595"/>
      <c r="BA224" s="595"/>
      <c r="BB224" s="595"/>
      <c r="BC224" s="595"/>
      <c r="BD224" s="595"/>
      <c r="BE224" s="595"/>
      <c r="BF224" s="595"/>
      <c r="BG224" s="595"/>
      <c r="BH224" s="595"/>
      <c r="BI224" s="651"/>
      <c r="BJ224" s="651"/>
      <c r="BK224" s="651"/>
      <c r="BL224" s="651"/>
      <c r="BM224" s="651"/>
      <c r="BN224" s="651"/>
      <c r="BO224" s="651"/>
      <c r="BP224" s="651"/>
      <c r="BQ224" s="651"/>
      <c r="BR224" s="651"/>
      <c r="BS224" s="651"/>
      <c r="BT224" s="651"/>
    </row>
    <row r="225">
      <c r="A225" s="631"/>
      <c r="B225" s="717"/>
      <c r="C225" s="701"/>
      <c r="D225" s="701"/>
      <c r="E225" s="725"/>
      <c r="F225" s="699"/>
      <c r="G225" s="700"/>
      <c r="H225" s="700"/>
      <c r="I225" s="700"/>
      <c r="J225" s="701"/>
      <c r="K225" s="700" t="s">
        <v>42</v>
      </c>
      <c r="L225" s="712"/>
      <c r="M225" s="712" t="s">
        <v>42</v>
      </c>
      <c r="N225" s="711" t="str">
        <f>IFERROR(__xludf.DUMMYFUNCTION("IF(B225="""", """", IFERROR(1 / COS(RADIANS(REGEXEXTRACT(F225,""(\d+)""))), 1))"),"")</f>
        <v/>
      </c>
      <c r="O225" s="712"/>
      <c r="P225" s="700"/>
      <c r="Q225" s="704"/>
      <c r="R225" s="681" t="str">
        <f>IFERROR(
  IF(B225="", "", VLOOKUP(B225, Data!$B$2:$K$905, 9, FALSE)),
  ""
)</f>
        <v/>
      </c>
      <c r="S225" s="691"/>
      <c r="T225" s="690"/>
      <c r="U225" s="681" t="str">
        <f>IFERROR(
  IF(B225="", "", VLOOKUP(B225, Data!$B$2:$K$905, 10, FALSE)),
  ""
)
</f>
        <v/>
      </c>
      <c r="V225" s="691"/>
      <c r="W225" s="713"/>
      <c r="X225" s="692"/>
      <c r="Y225" s="693"/>
      <c r="Z225" s="694"/>
      <c r="AA225" s="595"/>
      <c r="AB225" s="354">
        <f t="shared" si="175"/>
        <v>0</v>
      </c>
      <c r="AC225" s="181"/>
      <c r="AD225" s="625"/>
      <c r="AE225" s="626"/>
      <c r="AF225" s="696"/>
      <c r="AG225" s="697"/>
      <c r="AH225" s="629"/>
      <c r="AI225" s="187"/>
      <c r="AJ225" s="630"/>
      <c r="AK225" s="630"/>
      <c r="AL225" s="595"/>
      <c r="AM225" s="595"/>
      <c r="AN225" s="595"/>
      <c r="AO225" s="595"/>
      <c r="AP225" s="595"/>
      <c r="AQ225" s="595"/>
      <c r="AR225" s="595"/>
      <c r="AS225" s="595"/>
      <c r="AT225" s="595"/>
      <c r="AU225" s="595"/>
      <c r="AV225" s="595"/>
      <c r="AW225" s="595"/>
      <c r="AX225" s="595"/>
      <c r="AY225" s="595"/>
      <c r="AZ225" s="595"/>
      <c r="BA225" s="595"/>
      <c r="BB225" s="595"/>
      <c r="BC225" s="595"/>
      <c r="BD225" s="595"/>
      <c r="BE225" s="595"/>
      <c r="BF225" s="595"/>
      <c r="BG225" s="595"/>
      <c r="BH225" s="595"/>
      <c r="BI225" s="651"/>
      <c r="BJ225" s="651"/>
      <c r="BK225" s="651"/>
      <c r="BL225" s="651"/>
      <c r="BM225" s="651"/>
      <c r="BN225" s="651"/>
      <c r="BO225" s="651"/>
      <c r="BP225" s="651"/>
      <c r="BQ225" s="651"/>
      <c r="BR225" s="651"/>
      <c r="BS225" s="651"/>
      <c r="BT225" s="651"/>
    </row>
    <row r="226">
      <c r="A226" s="631">
        <v>1.0</v>
      </c>
      <c r="B226" s="764" t="s">
        <v>425</v>
      </c>
      <c r="C226" s="89" t="s">
        <v>93</v>
      </c>
      <c r="D226" s="172"/>
      <c r="E226" s="654"/>
      <c r="F226" s="655"/>
      <c r="G226" s="656"/>
      <c r="H226" s="656"/>
      <c r="I226" s="656"/>
      <c r="J226" s="656"/>
      <c r="K226" s="656" t="s">
        <v>42</v>
      </c>
      <c r="L226" s="658"/>
      <c r="M226" s="658" t="s">
        <v>42</v>
      </c>
      <c r="N226" s="659"/>
      <c r="O226" s="658"/>
      <c r="P226" s="656"/>
      <c r="Q226" s="658"/>
      <c r="R226" s="681" t="str">
        <f>IFERROR(
  IF(B226="", "", VLOOKUP(B226, Data!$B$2:$K$905, 9, FALSE)),
  ""
)</f>
        <v/>
      </c>
      <c r="S226" s="662"/>
      <c r="T226" s="661"/>
      <c r="U226" s="681" t="str">
        <f>IFERROR(
  IF(B226="", "", VLOOKUP(B226, Data!$B$2:$K$905, 10, FALSE)),
  ""
)
</f>
        <v/>
      </c>
      <c r="V226" s="662"/>
      <c r="W226" s="663"/>
      <c r="X226" s="692"/>
      <c r="Y226" s="595"/>
      <c r="Z226" s="595"/>
      <c r="AA226" s="595"/>
      <c r="AB226" s="595"/>
      <c r="AC226" s="181"/>
      <c r="AD226" s="625"/>
      <c r="AE226" s="626"/>
      <c r="AF226" s="696"/>
      <c r="AG226" s="697"/>
      <c r="AH226" s="629"/>
      <c r="AI226" s="187"/>
      <c r="AJ226" s="630"/>
      <c r="AK226" s="630"/>
      <c r="AL226" s="595"/>
      <c r="AM226" s="595"/>
      <c r="AN226" s="595"/>
      <c r="AO226" s="595"/>
      <c r="AP226" s="595"/>
      <c r="AQ226" s="595"/>
      <c r="AR226" s="595"/>
      <c r="AS226" s="595"/>
      <c r="AT226" s="595"/>
      <c r="AU226" s="595"/>
      <c r="AV226" s="595"/>
      <c r="AW226" s="595"/>
      <c r="AX226" s="595"/>
      <c r="AY226" s="595"/>
      <c r="AZ226" s="595"/>
      <c r="BA226" s="595"/>
      <c r="BB226" s="595"/>
      <c r="BC226" s="595"/>
      <c r="BD226" s="595"/>
      <c r="BE226" s="595"/>
      <c r="BF226" s="595"/>
      <c r="BG226" s="595"/>
      <c r="BH226" s="595"/>
      <c r="BI226" s="651"/>
      <c r="BJ226" s="651"/>
      <c r="BK226" s="651"/>
      <c r="BL226" s="651"/>
      <c r="BM226" s="651"/>
      <c r="BN226" s="651"/>
      <c r="BO226" s="651"/>
      <c r="BP226" s="651"/>
      <c r="BQ226" s="651"/>
      <c r="BR226" s="651"/>
      <c r="BS226" s="651"/>
      <c r="BT226" s="651"/>
    </row>
    <row r="227">
      <c r="A227" s="631">
        <v>1.0</v>
      </c>
      <c r="B227" s="727"/>
      <c r="C227" s="157" t="s">
        <v>452</v>
      </c>
      <c r="D227" s="678"/>
      <c r="E227" s="676"/>
      <c r="F227" s="677"/>
      <c r="G227" s="678"/>
      <c r="H227" s="678"/>
      <c r="I227" s="678"/>
      <c r="J227" s="678"/>
      <c r="K227" s="678" t="s">
        <v>42</v>
      </c>
      <c r="L227" s="106">
        <f>Q227</f>
        <v>64.72870845</v>
      </c>
      <c r="M227" s="679" t="s">
        <v>42</v>
      </c>
      <c r="N227" s="680"/>
      <c r="O227" s="679"/>
      <c r="P227" s="678"/>
      <c r="Q227" s="106">
        <f>Q228</f>
        <v>64.72870845</v>
      </c>
      <c r="R227" s="681" t="str">
        <f>IFERROR(
  IF(B227="", "", VLOOKUP(B227, Data!$B$2:$K$905, 9, FALSE)),
  ""
)</f>
        <v/>
      </c>
      <c r="S227" s="682">
        <f>IFERROR(T227/Q227, 0)</f>
        <v>0</v>
      </c>
      <c r="T227" s="109">
        <f>SUM(S228:S236)</f>
        <v>0</v>
      </c>
      <c r="U227" s="681" t="str">
        <f>IFERROR(
  IF(B227="", "", VLOOKUP(B227, Data!$B$2:$K$905, 10, FALSE)),
  ""
)
</f>
        <v/>
      </c>
      <c r="V227" s="109">
        <f>W227/Q227</f>
        <v>0</v>
      </c>
      <c r="W227" s="110">
        <f>SUM(W228:W236)</f>
        <v>0</v>
      </c>
      <c r="X227" s="111" t="str">
        <f>W227/$AC$758/$W$765/$X$755</f>
        <v>#REF!</v>
      </c>
      <c r="Y227" s="112" t="b">
        <f>(T227+W227)=(SUM(AB228:AB236))</f>
        <v>1</v>
      </c>
      <c r="Z227" s="113">
        <f>(T227+W227)-(SUM(AB228:AB236))</f>
        <v>0</v>
      </c>
      <c r="AA227" s="595"/>
      <c r="AB227" s="595"/>
      <c r="AC227" s="181"/>
      <c r="AD227" s="114">
        <f>W227+T227</f>
        <v>0</v>
      </c>
      <c r="AE227" s="115">
        <f>AD227</f>
        <v>0</v>
      </c>
      <c r="AF227" s="116" t="str">
        <f>AE227/$AE$733</f>
        <v>#REF!</v>
      </c>
      <c r="AG227" s="683" t="str">
        <f>AF227*$AG$740</f>
        <v>#REF!</v>
      </c>
      <c r="AH227" s="118" t="str">
        <f>AF227*$AG$743</f>
        <v>#REF!</v>
      </c>
      <c r="AI227" s="187"/>
      <c r="AJ227" s="119" t="str">
        <f>ROUND(AK227/L227,2)</f>
        <v>#REF!</v>
      </c>
      <c r="AK227" s="119" t="str">
        <f>ROUND(AH227+AG227+AD227,2)</f>
        <v>#REF!</v>
      </c>
      <c r="AL227" s="595"/>
      <c r="AM227" s="595"/>
      <c r="AN227" s="595"/>
      <c r="AO227" s="595"/>
      <c r="AP227" s="595"/>
      <c r="AQ227" s="595"/>
      <c r="AR227" s="595"/>
      <c r="AS227" s="595"/>
      <c r="AT227" s="595"/>
      <c r="AU227" s="595"/>
      <c r="AV227" s="595"/>
      <c r="AW227" s="595"/>
      <c r="AX227" s="595"/>
      <c r="AY227" s="595"/>
      <c r="AZ227" s="595"/>
      <c r="BA227" s="595"/>
      <c r="BB227" s="595"/>
      <c r="BC227" s="595"/>
      <c r="BD227" s="595"/>
      <c r="BE227" s="595"/>
      <c r="BF227" s="595"/>
      <c r="BG227" s="595"/>
      <c r="BH227" s="595"/>
      <c r="BI227" s="651"/>
      <c r="BJ227" s="651"/>
      <c r="BK227" s="651"/>
      <c r="BL227" s="651"/>
      <c r="BM227" s="651"/>
      <c r="BN227" s="651"/>
      <c r="BO227" s="651"/>
      <c r="BP227" s="651"/>
      <c r="BQ227" s="651"/>
      <c r="BR227" s="651"/>
      <c r="BS227" s="651"/>
      <c r="BT227" s="651"/>
    </row>
    <row r="228">
      <c r="A228" s="703" t="s">
        <v>444</v>
      </c>
      <c r="B228" s="154" t="str">
        <f>IFERROR(__xludf.DUMMYFUNCTION("IFERROR(
  IF(C228="""","""",
    IF(OR(REGEXMATCH(D228,""(?i)-Flashing""), REGEXMATCH(D228,""(?i)-EavesGut""), REGEXMATCH(D228,""(?i)Valley"")),
        ""DR"" &amp;
        TEXT(
            ROUNDUP(
                VALUE(MID(C228, FIND(""("",C228)+1, FIND("&amp;"""/"",C228)-FIND(""("",C228)-1)) / 50,
            0) * 50, ""0""
        ) &amp;
        MID(C228, FIND(""/"",C228)+1, FIND("")"",C228)-FIND(""/"",C228)-1) &amp;
        TEXT(H228*100,""0"") &amp;
        I228,
    IF(AND(D228=""Roof Sheet"", REGEXMATCH(C228,""(?i)K"&amp;"S\d{4}[A-Z]{2}"")),
       REGEXEXTRACT(C228,""(?i)KS\d{4}[A-Z]{2}""),
    IF(AND(REGEXMATCH(D228,""(?i)-DP""), REGEXMATCH(C228,""(?i)Downpipe"")),
       ""dp"" &amp; REGEXEXTRACT(C228,""(\d+)"") &amp; ""mm"",
    IF(AND(REGEXMATCH(D228,""(?i)Bracket""), REGEXMA"&amp;"TCH(C228,""(?i)Bracket"")),
       ""Brkt"" &amp; REGEXEXTRACT(C228,""(\d+)"") &amp; ""mm"",
    IF(AND(REGEXMATCH(D228,""(?i)-OP""), REGEXMATCH(C228,""(?i)pops"")),
       ""op"" &amp; REGEXEXTRACT(C228,""(\d+)"") &amp; ""mm"",
    IF(OR(D228=""R-FFTop"", D228=""R-FFBot"&amp;"tom"", D228=""R-FFSide""),
        IF(REGEXMATCH(C228,""(?i)Profiled.*Top|Top.*Profiled""),""pfft"",
        IF(REGEXMATCH(C228,""(?i)Profiled.*Bottom|Bottom.*Profiled""),""pffb"",
        IF(REGEXMATCH(C228,""(?i)Square""),""sff"",""""))),
    IF(REGEXMA"&amp;"TCH(D228,""(?i)-Rivets""),""Rvt"",
    IF(REGEXMATCH(D228,""(?i)Silicone""),""300ml"",
    IF(REGEXMATCH(D228,""(?i)R-Butyl""),""300ml"",
    IF(REGEXMATCH(D228,""(?i)Fix""),""GenFix"",
    IF(AND(REGEXMATCH(C228,""(?i)Timber""), REGEXMATCH(D228,""(?i)Tim"&amp;"ber"")),""tp"",
    IF(AND(REGEXMATCH(C228,""(?i)Vent G1275""), REGEXMATCH(D228,""(?i)Comb FIller"")),""CFV1275"",
    IF(REGEXMATCH(C228,""(?i)DPC""),""dpc"",
    IF(REGEXMATCH(C228,""(?i)Concealed Clips""),""ConClips"",
    IF(REGEXMATCH(D228,""(?i)-Tak"&amp;"eoff ea""),""Takeoff ea"",
    IF(REGEXMATCH(D228,""(?i)-Takeoff LM""),""Takeoff LM"",
    IF(REGEXMATCH(D228,""(?i)-Takeoff m2""),""Takeoff m2"",
    IF(D228=""R-TU/TD"",""TU/TD"","""")))))))))))))))))
  )))"),"DR8003B55Mag")</f>
        <v>DR8003B55Mag</v>
      </c>
      <c r="C228" s="123" t="s">
        <v>502</v>
      </c>
      <c r="D228" s="124" t="s">
        <v>96</v>
      </c>
      <c r="E228" s="687">
        <f>VALUE(MID(C228, FIND("(", C228)+1, FIND("/", C228)-FIND("(", C228)-1)) / 1000</f>
        <v>0.78</v>
      </c>
      <c r="F228" s="688"/>
      <c r="G228" s="689" t="s">
        <v>501</v>
      </c>
      <c r="H228" s="128" t="str">
        <f>IFERROR(__xludf.DUMMYFUNCTION("IFERROR(REGEXEXTRACT(C228, ""(\d*\.\d+)mm""), """")"),"0.55")</f>
        <v>0.55</v>
      </c>
      <c r="I228" s="128" t="s">
        <v>97</v>
      </c>
      <c r="J228" s="126" t="s">
        <v>14</v>
      </c>
      <c r="K228" s="126" t="str">
        <f>IFERROR(
  IF(B228="", "", VLOOKUP(B228, Data!$B$2:$K$905, 7, FALSE)),
  ""
)</f>
        <v/>
      </c>
      <c r="L228" s="704"/>
      <c r="M228" s="730">
        <v>64.64</v>
      </c>
      <c r="N228" s="151">
        <f>IFERROR(__xludf.DUMMYFUNCTION("IF(
  AND(
    IFERROR(REGEXEXTRACT(C228,""@\s*(\d+(?:\.\d+)?)\s*deg""),"""")&lt;&gt;"""",
    F228&lt;&gt;""""
  ),
  ""Pls Confirm °"",
  IF(
    IFERROR(REGEXEXTRACT(C228,""@\s*(\d+(?:\.\d+)?)\s*deg""),"""")&lt;&gt;"""",
    1/COS(RADIANS(REGEXEXTRACT(C228,""@\s*(\d+(?:"&amp;"\.\d+)?)\s*deg""))),
    IF(
      F228&lt;&gt;"""",
      IF(
        ISNUMBER(SEARCH(""|"",F228)),
        1/COS(
          ATAN(
            TAN(RADIANS(VALUE(INDEX(SPLIT(F228,""|""),1)))) *
            TAN(RADIANS(VALUE(INDEX(SPLIT(F228,""|""),2))))
       "&amp;"     /
            SQRT(
              TAN(RADIANS(VALUE(INDEX(SPLIT(F228,""|""),1))))^2 +
              TAN(RADIANS(VALUE(INDEX(SPLIT(F228,""|""),2))))^2
            )
          )
        ),
        1/COS(RADIANS(VALUE(F228)))
      ),
      1
    )
  )
"&amp;")"),1.001372345997921)</f>
        <v>1.001372346</v>
      </c>
      <c r="O228" s="169">
        <v>1.0</v>
      </c>
      <c r="P228" s="134">
        <v>1.0</v>
      </c>
      <c r="Q228" s="168">
        <f t="shared" ref="Q228:Q232" si="176">M228*N228*O228*P228</f>
        <v>64.72870845</v>
      </c>
      <c r="R228" s="136" t="str">
        <f>IFERROR(
  IF(B228="", "", VLOOKUP(B228, Data!$B$2:$K$905, 9, FALSE)),
  ""
)</f>
        <v/>
      </c>
      <c r="S228" s="152">
        <f t="shared" ref="S228:S232" si="177">R228*Q228</f>
        <v>0</v>
      </c>
      <c r="T228" s="690"/>
      <c r="U228" s="136" t="str">
        <f>IFERROR(
  IF(B228="", "", VLOOKUP(B228, Data!$B$2:$K$905, 10, FALSE)),
  ""
)
</f>
        <v/>
      </c>
      <c r="V228" s="691"/>
      <c r="W228" s="140">
        <f t="shared" ref="W228:W232" si="178">U228*Q228</f>
        <v>0</v>
      </c>
      <c r="X228" s="692"/>
      <c r="Y228" s="693"/>
      <c r="Z228" s="731"/>
      <c r="AA228" s="595"/>
      <c r="AB228" s="354">
        <f t="shared" ref="AB228:AB232" si="179">W228+S228</f>
        <v>0</v>
      </c>
      <c r="AC228" s="181"/>
      <c r="AD228" s="625"/>
      <c r="AE228" s="626"/>
      <c r="AF228" s="696"/>
      <c r="AG228" s="697"/>
      <c r="AH228" s="629"/>
      <c r="AI228" s="187"/>
      <c r="AJ228" s="630"/>
      <c r="AK228" s="630"/>
      <c r="AL228" s="595"/>
      <c r="AM228" s="595"/>
      <c r="AN228" s="595"/>
      <c r="AO228" s="595"/>
      <c r="AP228" s="595"/>
      <c r="AQ228" s="595"/>
      <c r="AR228" s="595"/>
      <c r="AS228" s="595"/>
      <c r="AT228" s="595"/>
      <c r="AU228" s="595"/>
      <c r="AV228" s="595"/>
      <c r="AW228" s="595"/>
      <c r="AX228" s="595"/>
      <c r="AY228" s="595"/>
      <c r="AZ228" s="595"/>
      <c r="BA228" s="595"/>
      <c r="BB228" s="595"/>
      <c r="BC228" s="595"/>
      <c r="BD228" s="595"/>
      <c r="BE228" s="595"/>
      <c r="BF228" s="595"/>
      <c r="BG228" s="595"/>
      <c r="BH228" s="595"/>
      <c r="BI228" s="651"/>
      <c r="BJ228" s="651"/>
      <c r="BK228" s="651"/>
      <c r="BL228" s="651"/>
      <c r="BM228" s="651"/>
      <c r="BN228" s="651"/>
      <c r="BO228" s="651"/>
      <c r="BP228" s="651"/>
      <c r="BQ228" s="651"/>
      <c r="BR228" s="651"/>
      <c r="BS228" s="651"/>
      <c r="BT228" s="651"/>
    </row>
    <row r="229">
      <c r="A229" s="684"/>
      <c r="B229" s="154" t="str">
        <f>IFERROR(__xludf.DUMMYFUNCTION("IFERROR(
  IF(C229="""","""",
    IF(OR(REGEXMATCH(D229,""(?i)-Flashing""), REGEXMATCH(D229,""(?i)-EavesGut""), REGEXMATCH(D229,""(?i)Valley"")),
        ""DR"" &amp;
        TEXT(
            ROUNDUP(
                MIN(
                    VALUE(MID(C229, "&amp;"FIND(""("",C229)+1, FIND(""/"",C229)-FIND(""("",C229)-1)),
                    1200
                ) / 50, 0
            ) * 50, ""0""
        ) &amp;
        MID(C229, FIND(""/"",C229)+1, FIND("")"",C229)-FIND(""/"",C229)-1) &amp;
        TEXT(H229*100,""0"") &amp;"&amp;"
        I229,
    IF(AND(D229=""Roof Sheet"", REGEXMATCH(C229,""(?i)KS\d{4}[A-Z]{2}"")),
       REGEXEXTRACT(C229,""(?i)KS\d{4}[A-Z]{2}""),
    IF(AND(REGEXMATCH(D229,""(?i)-DP""), REGEXMATCH(C229,""(?i)Downpipe"")),
       ""dp"" &amp; REGEXEXTRACT(C229,""("&amp;"\d+)"") &amp; ""mm"",
    IF(AND(REGEXMATCH(D229,""(?i)Bracket""), REGEXMATCH(C229,""(?i)Bracket"")),
       ""Brkt"" &amp; REGEXEXTRACT(C229,""(\d+)"") &amp; ""mm"",
    IF(AND(REGEXMATCH(D229,""(?i)-OP""), REGEXMATCH(C229,""(?i)pops"")),
       ""op"" &amp; REGEXEXTRAC"&amp;"T(C229,""(\d+)"") &amp; ""mm"",
    IF(OR(D229=""R-FFTop"", D229=""R-FFBottom"", D229=""R-FFSide""),
        IF(REGEXMATCH(C229,""(?i)Profiled.*Top|Top.*Profiled""),""pfft"",
        IF(REGEXMATCH(C229,""(?i)Profiled.*Bottom|Bottom.*Profiled""),""pffb"",
    "&amp;"    IF(REGEXMATCH(C229,""(?i)Square""),""sff"",""""))),
    IF(REGEXMATCH(D229,""(?i)-Rivets""),""Rvt"",
    IF(REGEXMATCH(D229,""(?i)Silicone""),""300ml"",
    IF(REGEXMATCH(D229,""(?i)R-Butyl""),""300ml"",
    IF(REGEXMATCH(D229,""(?i)Fix""),""GenFix"","&amp;"
    IF(AND(REGEXMATCH(C229,""(?i)Timber""), REGEXMATCH(D229,""(?i)Timber"")),""tp"",
    IF(AND(REGEXMATCH(C229,""(?i)Vent G1275""), REGEXMATCH(D229,""(?i)Comb FIller"")),""CFV1275"",
    IF(REGEXMATCH(C229,""(?i)DPC""),""dpc"",
    IF(REGEXMATCH(C229,"""&amp;"(?i)Concealed Clips""),""ConClips"",
    IF(REGEXMATCH(D229,""(?i)-Takeoff ea""),""Takeoff ea"",
    IF(REGEXMATCH(D229,""(?i)-Takeoff LM""),""Takeoff LM"",
    IF(REGEXMATCH(D229,""(?i)-Takeoff m2""),""Takeoff m2"",
    IF(D229=""R-TU/TD"",""TU/TD"","""""&amp;")))))))))))))))))
  )))"),"300ml")</f>
        <v>300ml</v>
      </c>
      <c r="C229" s="225" t="s">
        <v>98</v>
      </c>
      <c r="D229" s="124" t="s">
        <v>99</v>
      </c>
      <c r="E229" s="687">
        <f>E228</f>
        <v>0.78</v>
      </c>
      <c r="F229" s="721"/>
      <c r="G229" s="700"/>
      <c r="H229" s="700" t="str">
        <f>IFERROR(__xludf.DUMMYFUNCTION("IFERROR(REGEXEXTRACT(C229, ""(\d*\.\d+)mm""), """")"),"")</f>
        <v/>
      </c>
      <c r="I229" s="700"/>
      <c r="J229" s="126" t="s">
        <v>87</v>
      </c>
      <c r="K229" s="126" t="str">
        <f>IFERROR(
  IF(B229="", "", VLOOKUP(B229, Data!$B$2:$K$905, 7, FALSE)),
  ""
)</f>
        <v/>
      </c>
      <c r="L229" s="704"/>
      <c r="M229" s="150">
        <f>(ROUNDDOWN((M228/5.7)+2,0)*E229)/8</f>
        <v>1.2675</v>
      </c>
      <c r="N229" s="151">
        <f t="shared" ref="N229:N232" si="180">N228</f>
        <v>1.001372346</v>
      </c>
      <c r="O229" s="169">
        <v>1.0</v>
      </c>
      <c r="P229" s="134">
        <v>1.0</v>
      </c>
      <c r="Q229" s="168">
        <f t="shared" si="176"/>
        <v>1.269239449</v>
      </c>
      <c r="R229" s="136" t="str">
        <f>IFERROR(
  IF(B229="", "", VLOOKUP(B229, Data!$B$2:$K$905, 9, FALSE)),
  ""
)</f>
        <v/>
      </c>
      <c r="S229" s="152">
        <f t="shared" si="177"/>
        <v>0</v>
      </c>
      <c r="T229" s="690"/>
      <c r="U229" s="681" t="str">
        <f>IFERROR(
  IF(B229="", "", VLOOKUP(B229, Data!$B$2:$K$905, 10, FALSE)),
  ""
)
</f>
        <v/>
      </c>
      <c r="V229" s="691"/>
      <c r="W229" s="140">
        <f t="shared" si="178"/>
        <v>0</v>
      </c>
      <c r="X229" s="692"/>
      <c r="Y229" s="595"/>
      <c r="Z229" s="595"/>
      <c r="AA229" s="595"/>
      <c r="AB229" s="354">
        <f t="shared" si="179"/>
        <v>0</v>
      </c>
      <c r="AC229" s="181"/>
      <c r="AD229" s="625"/>
      <c r="AE229" s="626"/>
      <c r="AF229" s="696"/>
      <c r="AG229" s="697"/>
      <c r="AH229" s="629"/>
      <c r="AI229" s="187"/>
      <c r="AJ229" s="630"/>
      <c r="AK229" s="630"/>
      <c r="AL229" s="595"/>
      <c r="AM229" s="595"/>
      <c r="AN229" s="595"/>
      <c r="AO229" s="595"/>
      <c r="AP229" s="595"/>
      <c r="AQ229" s="595"/>
      <c r="AR229" s="595"/>
      <c r="AS229" s="595"/>
      <c r="AT229" s="595"/>
      <c r="AU229" s="595"/>
      <c r="AV229" s="595"/>
      <c r="AW229" s="595"/>
      <c r="AX229" s="595"/>
      <c r="AY229" s="595"/>
      <c r="AZ229" s="595"/>
      <c r="BA229" s="595"/>
      <c r="BB229" s="595"/>
      <c r="BC229" s="595"/>
      <c r="BD229" s="595"/>
      <c r="BE229" s="595"/>
      <c r="BF229" s="595"/>
      <c r="BG229" s="595"/>
      <c r="BH229" s="595"/>
      <c r="BI229" s="651"/>
      <c r="BJ229" s="651"/>
      <c r="BK229" s="651"/>
      <c r="BL229" s="651"/>
      <c r="BM229" s="651"/>
      <c r="BN229" s="651"/>
      <c r="BO229" s="651"/>
      <c r="BP229" s="651"/>
      <c r="BQ229" s="651"/>
      <c r="BR229" s="651"/>
      <c r="BS229" s="651"/>
      <c r="BT229" s="651"/>
    </row>
    <row r="230">
      <c r="A230" s="684"/>
      <c r="B230" s="154" t="str">
        <f>IFERROR(__xludf.DUMMYFUNCTION("IFERROR(
  IF(C230="""","""",
    IF(OR(REGEXMATCH(D230,""(?i)-Flashing""), REGEXMATCH(D230,""(?i)-EavesGut""), REGEXMATCH(D230,""(?i)Valley"")),
        ""DR"" &amp;
        TEXT(
            ROUNDUP(
                MIN(
                    VALUE(MID(C230, "&amp;"FIND(""("",C230)+1, FIND(""/"",C230)-FIND(""("",C230)-1)),
                    1200
                ) / 50, 0
            ) * 50, ""0""
        ) &amp;
        MID(C230, FIND(""/"",C230)+1, FIND("")"",C230)-FIND(""/"",C230)-1) &amp;
        TEXT(H230*100,""0"") &amp;"&amp;"
        I230,
    IF(AND(D230=""Roof Sheet"", REGEXMATCH(C230,""(?i)KS\d{4}[A-Z]{2}"")),
       REGEXEXTRACT(C230,""(?i)KS\d{4}[A-Z]{2}""),
    IF(AND(REGEXMATCH(D230,""(?i)-DP""), REGEXMATCH(C230,""(?i)Downpipe"")),
       ""dp"" &amp; REGEXEXTRACT(C230,""("&amp;"\d+)"") &amp; ""mm"",
    IF(AND(REGEXMATCH(D230,""(?i)Bracket""), REGEXMATCH(C230,""(?i)Bracket"")),
       ""Brkt"" &amp; REGEXEXTRACT(C230,""(\d+)"") &amp; ""mm"",
    IF(AND(REGEXMATCH(D230,""(?i)-OP""), REGEXMATCH(C230,""(?i)pops"")),
       ""op"" &amp; REGEXEXTRAC"&amp;"T(C230,""(\d+)"") &amp; ""mm"",
    IF(OR(D230=""R-FFTop"", D230=""R-FFBottom"", D230=""R-FFSide""),
        IF(REGEXMATCH(C230,""(?i)Profiled.*Top|Top.*Profiled""),""pfft"",
        IF(REGEXMATCH(C230,""(?i)Profiled.*Bottom|Bottom.*Profiled""),""pffb"",
    "&amp;"    IF(REGEXMATCH(C230,""(?i)Square""),""sff"",""""))),
    IF(REGEXMATCH(D230,""(?i)-Rivets""),""Rvt"",
    IF(REGEXMATCH(D230,""(?i)Silicone""),""300ml"",
    IF(REGEXMATCH(D230,""(?i)R-Butyl""),""300ml"",
    IF(REGEXMATCH(D230,""(?i)Fix""),""GenFix"","&amp;"
    IF(AND(REGEXMATCH(C230,""(?i)Timber""), REGEXMATCH(D230,""(?i)Timber"")),""tp"",
    IF(AND(REGEXMATCH(C230,""(?i)Vent G1275""), REGEXMATCH(D230,""(?i)Comb FIller"")),""CFV1275"",
    IF(REGEXMATCH(C230,""(?i)DPC""),""dpc"",
    IF(REGEXMATCH(C230,"""&amp;"(?i)Concealed Clips""),""ConClips"",
    IF(REGEXMATCH(D230,""(?i)-Takeoff ea""),""Takeoff ea"",
    IF(REGEXMATCH(D230,""(?i)-Takeoff LM""),""Takeoff LM"",
    IF(REGEXMATCH(D230,""(?i)-Takeoff m2""),""Takeoff m2"",
    IF(D230=""R-TU/TD"",""TU/TD"","""""&amp;")))))))))))))))))
  )))"),"Rvt")</f>
        <v>Rvt</v>
      </c>
      <c r="C230" s="225" t="s">
        <v>100</v>
      </c>
      <c r="D230" s="124" t="s">
        <v>101</v>
      </c>
      <c r="E230" s="687">
        <f>E228</f>
        <v>0.78</v>
      </c>
      <c r="F230" s="721"/>
      <c r="G230" s="700"/>
      <c r="H230" s="700" t="str">
        <f>IFERROR(__xludf.DUMMYFUNCTION("IFERROR(REGEXEXTRACT(C230, ""(\d*\.\d+)mm""), """")"),"")</f>
        <v/>
      </c>
      <c r="I230" s="700"/>
      <c r="J230" s="126" t="s">
        <v>87</v>
      </c>
      <c r="K230" s="126" t="str">
        <f>IFERROR(
  IF(B230="", "", VLOOKUP(B230, Data!$B$2:$K$905, 7, FALSE)),
  ""
)</f>
        <v/>
      </c>
      <c r="L230" s="704"/>
      <c r="M230" s="150">
        <f>ROUNDUP(((M228/5.7)+1)*(E230/0.05),0)</f>
        <v>193</v>
      </c>
      <c r="N230" s="151">
        <f t="shared" si="180"/>
        <v>1.001372346</v>
      </c>
      <c r="O230" s="169">
        <v>1.0</v>
      </c>
      <c r="P230" s="134">
        <v>1.0</v>
      </c>
      <c r="Q230" s="168">
        <f t="shared" si="176"/>
        <v>193.2648628</v>
      </c>
      <c r="R230" s="136" t="str">
        <f>IFERROR(
  IF(B230="", "", VLOOKUP(B230, Data!$B$2:$K$905, 9, FALSE)),
  ""
)</f>
        <v/>
      </c>
      <c r="S230" s="152">
        <f t="shared" si="177"/>
        <v>0</v>
      </c>
      <c r="T230" s="690"/>
      <c r="U230" s="681" t="str">
        <f>IFERROR(
  IF(B230="", "", VLOOKUP(B230, Data!$B$2:$K$905, 10, FALSE)),
  ""
)
</f>
        <v/>
      </c>
      <c r="V230" s="691"/>
      <c r="W230" s="140">
        <f t="shared" si="178"/>
        <v>0</v>
      </c>
      <c r="X230" s="692"/>
      <c r="Y230" s="595"/>
      <c r="Z230" s="595"/>
      <c r="AA230" s="595"/>
      <c r="AB230" s="354">
        <f t="shared" si="179"/>
        <v>0</v>
      </c>
      <c r="AC230" s="181"/>
      <c r="AD230" s="625"/>
      <c r="AE230" s="626"/>
      <c r="AF230" s="696"/>
      <c r="AG230" s="697"/>
      <c r="AH230" s="629"/>
      <c r="AI230" s="187"/>
      <c r="AJ230" s="630"/>
      <c r="AK230" s="630"/>
      <c r="AL230" s="595"/>
      <c r="AM230" s="595"/>
      <c r="AN230" s="595"/>
      <c r="AO230" s="595"/>
      <c r="AP230" s="595"/>
      <c r="AQ230" s="595"/>
      <c r="AR230" s="595"/>
      <c r="AS230" s="595"/>
      <c r="AT230" s="595"/>
      <c r="AU230" s="595"/>
      <c r="AV230" s="595"/>
      <c r="AW230" s="595"/>
      <c r="AX230" s="595"/>
      <c r="AY230" s="595"/>
      <c r="AZ230" s="595"/>
      <c r="BA230" s="595"/>
      <c r="BB230" s="595"/>
      <c r="BC230" s="595"/>
      <c r="BD230" s="595"/>
      <c r="BE230" s="595"/>
      <c r="BF230" s="595"/>
      <c r="BG230" s="595"/>
      <c r="BH230" s="595"/>
      <c r="BI230" s="651"/>
      <c r="BJ230" s="651"/>
      <c r="BK230" s="651"/>
      <c r="BL230" s="651"/>
      <c r="BM230" s="651"/>
      <c r="BN230" s="651"/>
      <c r="BO230" s="651"/>
      <c r="BP230" s="651"/>
      <c r="BQ230" s="651"/>
      <c r="BR230" s="651"/>
      <c r="BS230" s="651"/>
      <c r="BT230" s="651"/>
    </row>
    <row r="231">
      <c r="A231" s="684"/>
      <c r="B231" s="154" t="str">
        <f>IFERROR(__xludf.DUMMYFUNCTION("IFERROR(
  IF(C231="""","""",
    IF(OR(REGEXMATCH(D231,""(?i)-Flashing""), REGEXMATCH(D231,""(?i)-EavesGut""), REGEXMATCH(D231,""(?i)Valley"")),
        ""DR"" &amp;
        TEXT(
            ROUNDUP(
                MIN(
                    VALUE(MID(C231, "&amp;"FIND(""("",C231)+1, FIND(""/"",C231)-FIND(""("",C231)-1)),
                    1200
                ) / 50, 0
            ) * 50, ""0""
        ) &amp;
        MID(C231, FIND(""/"",C231)+1, FIND("")"",C231)-FIND(""/"",C231)-1) &amp;
        TEXT(H231*100,""0"") &amp;"&amp;"
        I231,
    IF(AND(D231=""Roof Sheet"", REGEXMATCH(C231,""(?i)KS\d{4}[A-Z]{2}"")),
       REGEXEXTRACT(C231,""(?i)KS\d{4}[A-Z]{2}""),
    IF(AND(REGEXMATCH(D231,""(?i)-DP""), REGEXMATCH(C231,""(?i)Downpipe"")),
       ""dp"" &amp; REGEXEXTRACT(C231,""("&amp;"\d+)"") &amp; ""mm"",
    IF(AND(REGEXMATCH(D231,""(?i)Bracket""), REGEXMATCH(C231,""(?i)Bracket"")),
       ""Brkt"" &amp; REGEXEXTRACT(C231,""(\d+)"") &amp; ""mm"",
    IF(AND(REGEXMATCH(D231,""(?i)-OP""), REGEXMATCH(C231,""(?i)pops"")),
       ""op"" &amp; REGEXEXTRAC"&amp;"T(C231,""(\d+)"") &amp; ""mm"",
    IF(OR(D231=""R-FFTop"", D231=""R-FFBottom"", D231=""R-FFSide""),
        IF(REGEXMATCH(C231,""(?i)Profiled.*Top|Top.*Profiled""),""pfft"",
        IF(REGEXMATCH(C231,""(?i)Profiled.*Bottom|Bottom.*Profiled""),""pffb"",
    "&amp;"    IF(REGEXMATCH(C231,""(?i)Square""),""sff"",""""))),
    IF(REGEXMATCH(D231,""(?i)-Rivets""),""Rvt"",
    IF(REGEXMATCH(D231,""(?i)Silicone""),""300ml"",
    IF(REGEXMATCH(D231,""(?i)R-Butyl""),""300ml"",
    IF(REGEXMATCH(D231,""(?i)Fix""),""GenFix"","&amp;"
    IF(AND(REGEXMATCH(C231,""(?i)Timber""), REGEXMATCH(D231,""(?i)Timber"")),""tp"",
    IF(AND(REGEXMATCH(C231,""(?i)Vent G1275""), REGEXMATCH(D231,""(?i)Comb FIller"")),""CFV1275"",
    IF(REGEXMATCH(C231,""(?i)DPC""),""dpc"",
    IF(REGEXMATCH(C231,"""&amp;"(?i)Concealed Clips""),""ConClips"",
    IF(REGEXMATCH(D231,""(?i)-Takeoff ea""),""Takeoff ea"",
    IF(REGEXMATCH(D231,""(?i)-Takeoff LM""),""Takeoff LM"",
    IF(REGEXMATCH(D231,""(?i)-Takeoff m2""),""Takeoff m2"",
    IF(D231=""R-TU/TD"",""TU/TD"","""""&amp;")))))))))))))))))
  )))"),"GenFix")</f>
        <v>GenFix</v>
      </c>
      <c r="C231" s="158" t="s">
        <v>102</v>
      </c>
      <c r="D231" s="124" t="s">
        <v>103</v>
      </c>
      <c r="E231" s="722"/>
      <c r="F231" s="721"/>
      <c r="G231" s="701"/>
      <c r="H231" s="700"/>
      <c r="I231" s="700"/>
      <c r="J231" s="126" t="s">
        <v>87</v>
      </c>
      <c r="K231" s="126" t="str">
        <f>IFERROR(
  IF(B231="", "", VLOOKUP(B231, Data!$B$2:$K$905, 7, FALSE)),
  ""
)</f>
        <v/>
      </c>
      <c r="L231" s="712"/>
      <c r="M231" s="150">
        <f>ROUNDUP(M228/0.6,0)+1</f>
        <v>109</v>
      </c>
      <c r="N231" s="151">
        <f t="shared" si="180"/>
        <v>1.001372346</v>
      </c>
      <c r="O231" s="169">
        <v>1.0</v>
      </c>
      <c r="P231" s="134">
        <v>2.0</v>
      </c>
      <c r="Q231" s="168">
        <f t="shared" si="176"/>
        <v>218.2991714</v>
      </c>
      <c r="R231" s="136" t="str">
        <f>IFERROR(
  IF(B231="", "", VLOOKUP(B231, Data!$B$2:$K$905, 9, FALSE)),
  ""
)</f>
        <v/>
      </c>
      <c r="S231" s="152">
        <f t="shared" si="177"/>
        <v>0</v>
      </c>
      <c r="T231" s="690"/>
      <c r="U231" s="681" t="str">
        <f>IFERROR(
  IF(B231="", "", VLOOKUP(B231, Data!$B$2:$K$905, 10, FALSE)),
  ""
)
</f>
        <v/>
      </c>
      <c r="V231" s="691"/>
      <c r="W231" s="140">
        <f t="shared" si="178"/>
        <v>0</v>
      </c>
      <c r="X231" s="692"/>
      <c r="Y231" s="595"/>
      <c r="Z231" s="595"/>
      <c r="AA231" s="595"/>
      <c r="AB231" s="354">
        <f t="shared" si="179"/>
        <v>0</v>
      </c>
      <c r="AC231" s="181"/>
      <c r="AD231" s="625"/>
      <c r="AE231" s="626"/>
      <c r="AF231" s="696"/>
      <c r="AG231" s="697"/>
      <c r="AH231" s="629"/>
      <c r="AI231" s="187"/>
      <c r="AJ231" s="630"/>
      <c r="AK231" s="630"/>
      <c r="AL231" s="595"/>
      <c r="AM231" s="595"/>
      <c r="AN231" s="595"/>
      <c r="AO231" s="595"/>
      <c r="AP231" s="595"/>
      <c r="AQ231" s="595"/>
      <c r="AR231" s="595"/>
      <c r="AS231" s="595"/>
      <c r="AT231" s="595"/>
      <c r="AU231" s="595"/>
      <c r="AV231" s="595"/>
      <c r="AW231" s="595"/>
      <c r="AX231" s="595"/>
      <c r="AY231" s="595"/>
      <c r="AZ231" s="595"/>
      <c r="BA231" s="595"/>
      <c r="BB231" s="595"/>
      <c r="BC231" s="595"/>
      <c r="BD231" s="595"/>
      <c r="BE231" s="595"/>
      <c r="BF231" s="595"/>
      <c r="BG231" s="595"/>
      <c r="BH231" s="595"/>
      <c r="BI231" s="651"/>
      <c r="BJ231" s="651"/>
      <c r="BK231" s="651"/>
      <c r="BL231" s="651"/>
      <c r="BM231" s="651"/>
      <c r="BN231" s="651"/>
      <c r="BO231" s="651"/>
      <c r="BP231" s="651"/>
      <c r="BQ231" s="651"/>
      <c r="BR231" s="651"/>
      <c r="BS231" s="651"/>
      <c r="BT231" s="651"/>
    </row>
    <row r="232">
      <c r="A232" s="684"/>
      <c r="B232" s="154" t="str">
        <f>IFERROR(__xludf.DUMMYFUNCTION("IFERROR(
  IF(C232="""","""",
    IF(OR(REGEXMATCH(D232,""(?i)-Flashing""), REGEXMATCH(D232,""(?i)-EavesGut""), REGEXMATCH(D232,""(?i)Valley"")),
        ""DR"" &amp;
        TEXT(
            ROUNDUP(
                MIN(
                    VALUE(MID(C232, "&amp;"FIND(""("",C232)+1, FIND(""/"",C232)-FIND(""("",C232)-1)),
                    1200
                ) / 50, 0
            ) * 50, ""0""
        ) &amp;
        MID(C232, FIND(""/"",C232)+1, FIND("")"",C232)-FIND(""/"",C232)-1) &amp;
        TEXT(H232*100,""0"") &amp;"&amp;"
        I232,
    IF(AND(D232=""Roof Sheet"", REGEXMATCH(C232,""(?i)KS\d{4}[A-Z]{2}"")),
       REGEXEXTRACT(C232,""(?i)KS\d{4}[A-Z]{2}""),
    IF(AND(REGEXMATCH(D232,""(?i)-DP""), REGEXMATCH(C232,""(?i)Downpipe"")),
       ""dp"" &amp; REGEXEXTRACT(C232,""("&amp;"\d+)"") &amp; ""mm"",
    IF(AND(REGEXMATCH(D232,""(?i)Bracket""), REGEXMATCH(C232,""(?i)Bracket"")),
       ""Brkt"" &amp; REGEXEXTRACT(C232,""(\d+)"") &amp; ""mm"",
    IF(AND(REGEXMATCH(D232,""(?i)-OP""), REGEXMATCH(C232,""(?i)pops"")),
       ""op"" &amp; REGEXEXTRAC"&amp;"T(C232,""(\d+)"") &amp; ""mm"",
    IF(OR(D232=""R-FFTop"", D232=""R-FFBottom"", D232=""R-FFSide""),
        IF(REGEXMATCH(C232,""(?i)Profiled.*Top|Top.*Profiled""),""pfft"",
        IF(REGEXMATCH(C232,""(?i)Profiled.*Bottom|Bottom.*Profiled""),""pffb"",
    "&amp;"    IF(REGEXMATCH(C232,""(?i)Square""),""sff"",""""))),
    IF(REGEXMATCH(D232,""(?i)-Rivets""),""Rvt"",
    IF(REGEXMATCH(D232,""(?i)Silicone""),""300ml"",
    IF(REGEXMATCH(D232,""(?i)R-Butyl""),""300ml"",
    IF(REGEXMATCH(D232,""(?i)Fix""),""GenFix"","&amp;"
    IF(AND(REGEXMATCH(C232,""(?i)Timber""), REGEXMATCH(D232,""(?i)Timber"")),""tp"",
    IF(AND(REGEXMATCH(C232,""(?i)Vent G1275""), REGEXMATCH(D232,""(?i)Comb FIller"")),""CFV1275"",
    IF(REGEXMATCH(C232,""(?i)DPC""),""dpc"",
    IF(REGEXMATCH(C232,"""&amp;"(?i)Concealed Clips""),""ConClips"",
    IF(REGEXMATCH(D232,""(?i)-Takeoff ea""),""Takeoff ea"",
    IF(REGEXMATCH(D232,""(?i)-Takeoff LM""),""Takeoff LM"",
    IF(REGEXMATCH(D232,""(?i)-Takeoff m2""),""Takeoff m2"",
    IF(D232=""R-TU/TD"",""TU/TD"","""""&amp;")))))))))))))))))
  )))"),"sff")</f>
        <v>sff</v>
      </c>
      <c r="C232" s="225" t="s">
        <v>454</v>
      </c>
      <c r="D232" s="124" t="s">
        <v>105</v>
      </c>
      <c r="E232" s="722"/>
      <c r="F232" s="721"/>
      <c r="G232" s="701"/>
      <c r="H232" s="700"/>
      <c r="I232" s="700"/>
      <c r="J232" s="126" t="s">
        <v>87</v>
      </c>
      <c r="K232" s="126" t="str">
        <f>IFERROR(
  IF(B232="", "", VLOOKUP(B232, Data!$B$2:$K$905, 7, FALSE)),
  ""
)</f>
        <v/>
      </c>
      <c r="L232" s="712"/>
      <c r="M232" s="150">
        <f>M228</f>
        <v>64.64</v>
      </c>
      <c r="N232" s="151">
        <f t="shared" si="180"/>
        <v>1.001372346</v>
      </c>
      <c r="O232" s="169">
        <v>1.0</v>
      </c>
      <c r="P232" s="134">
        <v>1.0</v>
      </c>
      <c r="Q232" s="168">
        <f t="shared" si="176"/>
        <v>64.72870845</v>
      </c>
      <c r="R232" s="136" t="str">
        <f>IFERROR(
  IF(B232="", "", VLOOKUP(B232, Data!$B$2:$K$905, 9, FALSE)),
  ""
)</f>
        <v/>
      </c>
      <c r="S232" s="152">
        <f t="shared" si="177"/>
        <v>0</v>
      </c>
      <c r="T232" s="690"/>
      <c r="U232" s="136" t="str">
        <f>IFERROR(
  IF(B232="", "", VLOOKUP(B232, Data!$B$2:$K$905, 10, FALSE)),
  ""
)
</f>
        <v/>
      </c>
      <c r="V232" s="691"/>
      <c r="W232" s="140">
        <f t="shared" si="178"/>
        <v>0</v>
      </c>
      <c r="X232" s="692"/>
      <c r="Y232" s="595"/>
      <c r="Z232" s="595"/>
      <c r="AA232" s="595"/>
      <c r="AB232" s="354">
        <f t="shared" si="179"/>
        <v>0</v>
      </c>
      <c r="AC232" s="181"/>
      <c r="AD232" s="625"/>
      <c r="AE232" s="626"/>
      <c r="AF232" s="696"/>
      <c r="AG232" s="697"/>
      <c r="AH232" s="629"/>
      <c r="AI232" s="187"/>
      <c r="AJ232" s="630"/>
      <c r="AK232" s="630"/>
      <c r="AL232" s="595"/>
      <c r="AM232" s="595"/>
      <c r="AN232" s="595"/>
      <c r="AO232" s="595"/>
      <c r="AP232" s="595"/>
      <c r="AQ232" s="595"/>
      <c r="AR232" s="595"/>
      <c r="AS232" s="595"/>
      <c r="AT232" s="595"/>
      <c r="AU232" s="595"/>
      <c r="AV232" s="595"/>
      <c r="AW232" s="595"/>
      <c r="AX232" s="595"/>
      <c r="AY232" s="595"/>
      <c r="AZ232" s="595"/>
      <c r="BA232" s="595"/>
      <c r="BB232" s="595"/>
      <c r="BC232" s="595"/>
      <c r="BD232" s="595"/>
      <c r="BE232" s="595"/>
      <c r="BF232" s="595"/>
      <c r="BG232" s="595"/>
      <c r="BH232" s="595"/>
      <c r="BI232" s="651"/>
      <c r="BJ232" s="651"/>
      <c r="BK232" s="651"/>
      <c r="BL232" s="651"/>
      <c r="BM232" s="651"/>
      <c r="BN232" s="651"/>
      <c r="BO232" s="651"/>
      <c r="BP232" s="651"/>
      <c r="BQ232" s="651"/>
      <c r="BR232" s="651"/>
      <c r="BS232" s="651"/>
      <c r="BT232" s="651"/>
    </row>
    <row r="233">
      <c r="A233" s="684"/>
      <c r="B233" s="154"/>
      <c r="C233" s="700"/>
      <c r="D233" s="701"/>
      <c r="E233" s="722"/>
      <c r="F233" s="721"/>
      <c r="G233" s="701"/>
      <c r="H233" s="700"/>
      <c r="I233" s="700"/>
      <c r="J233" s="701"/>
      <c r="K233" s="701"/>
      <c r="L233" s="712"/>
      <c r="M233" s="704"/>
      <c r="N233" s="711"/>
      <c r="O233" s="712"/>
      <c r="P233" s="700"/>
      <c r="Q233" s="712"/>
      <c r="R233" s="681"/>
      <c r="S233" s="691"/>
      <c r="T233" s="690"/>
      <c r="U233" s="681"/>
      <c r="V233" s="691"/>
      <c r="W233" s="713"/>
      <c r="X233" s="692"/>
      <c r="Y233" s="595"/>
      <c r="Z233" s="595"/>
      <c r="AA233" s="595"/>
      <c r="AB233" s="595"/>
      <c r="AC233" s="181"/>
      <c r="AD233" s="625"/>
      <c r="AE233" s="626"/>
      <c r="AF233" s="696"/>
      <c r="AG233" s="697"/>
      <c r="AH233" s="629"/>
      <c r="AI233" s="187"/>
      <c r="AJ233" s="630"/>
      <c r="AK233" s="630"/>
      <c r="AL233" s="595"/>
      <c r="AM233" s="595"/>
      <c r="AN233" s="595"/>
      <c r="AO233" s="595"/>
      <c r="AP233" s="595"/>
      <c r="AQ233" s="595"/>
      <c r="AR233" s="595"/>
      <c r="AS233" s="595"/>
      <c r="AT233" s="595"/>
      <c r="AU233" s="595"/>
      <c r="AV233" s="595"/>
      <c r="AW233" s="595"/>
      <c r="AX233" s="595"/>
      <c r="AY233" s="595"/>
      <c r="AZ233" s="595"/>
      <c r="BA233" s="595"/>
      <c r="BB233" s="595"/>
      <c r="BC233" s="595"/>
      <c r="BD233" s="595"/>
      <c r="BE233" s="595"/>
      <c r="BF233" s="595"/>
      <c r="BG233" s="595"/>
      <c r="BH233" s="595"/>
      <c r="BI233" s="651"/>
      <c r="BJ233" s="651"/>
      <c r="BK233" s="651"/>
      <c r="BL233" s="651"/>
      <c r="BM233" s="651"/>
      <c r="BN233" s="651"/>
      <c r="BO233" s="651"/>
      <c r="BP233" s="651"/>
      <c r="BQ233" s="651"/>
      <c r="BR233" s="651"/>
      <c r="BS233" s="651"/>
      <c r="BT233" s="651"/>
    </row>
    <row r="234">
      <c r="A234" s="703" t="s">
        <v>444</v>
      </c>
      <c r="B234" s="154" t="s">
        <v>455</v>
      </c>
      <c r="C234" s="698" t="s">
        <v>456</v>
      </c>
      <c r="D234" s="686" t="s">
        <v>457</v>
      </c>
      <c r="E234" s="722"/>
      <c r="F234" s="721"/>
      <c r="G234" s="701"/>
      <c r="H234" s="700"/>
      <c r="I234" s="712"/>
      <c r="J234" s="701"/>
      <c r="K234" s="701"/>
      <c r="L234" s="712"/>
      <c r="M234" s="150">
        <f>ROUNDUP(M228/0.8,0)+1</f>
        <v>82</v>
      </c>
      <c r="N234" s="151">
        <f>N232</f>
        <v>1.001372346</v>
      </c>
      <c r="O234" s="169">
        <v>1.0</v>
      </c>
      <c r="P234" s="134">
        <v>1.0</v>
      </c>
      <c r="Q234" s="168">
        <f t="shared" ref="Q234:Q235" si="181">M234*N234*O234*P234</f>
        <v>82.11253237</v>
      </c>
      <c r="R234" s="681" t="str">
        <f>IFERROR(
  IF(B234="", "", VLOOKUP(B234, Data!$B$2:$K$905, 9, FALSE)),
  ""
)</f>
        <v/>
      </c>
      <c r="S234" s="152">
        <f t="shared" ref="S234:S235" si="182">R234*Q234</f>
        <v>0</v>
      </c>
      <c r="T234" s="690"/>
      <c r="U234" s="681" t="str">
        <f>IFERROR(
  IF(B234="", "", VLOOKUP(B234, Data!$B$2:$K$905, 10, FALSE)),
  ""
)
</f>
        <v/>
      </c>
      <c r="V234" s="691"/>
      <c r="W234" s="140">
        <f t="shared" ref="W234:W235" si="183">U234*Q234</f>
        <v>0</v>
      </c>
      <c r="X234" s="692"/>
      <c r="Y234" s="595"/>
      <c r="Z234" s="595"/>
      <c r="AA234" s="595"/>
      <c r="AB234" s="595"/>
      <c r="AC234" s="181"/>
      <c r="AD234" s="625"/>
      <c r="AE234" s="626"/>
      <c r="AF234" s="696"/>
      <c r="AG234" s="697"/>
      <c r="AH234" s="629"/>
      <c r="AI234" s="187"/>
      <c r="AJ234" s="630"/>
      <c r="AK234" s="630"/>
      <c r="AL234" s="595"/>
      <c r="AM234" s="595"/>
      <c r="AN234" s="595"/>
      <c r="AO234" s="595"/>
      <c r="AP234" s="595"/>
      <c r="AQ234" s="595"/>
      <c r="AR234" s="595"/>
      <c r="AS234" s="595"/>
      <c r="AT234" s="595"/>
      <c r="AU234" s="595"/>
      <c r="AV234" s="595"/>
      <c r="AW234" s="595"/>
      <c r="AX234" s="595"/>
      <c r="AY234" s="595"/>
      <c r="AZ234" s="595"/>
      <c r="BA234" s="595"/>
      <c r="BB234" s="595"/>
      <c r="BC234" s="595"/>
      <c r="BD234" s="595"/>
      <c r="BE234" s="595"/>
      <c r="BF234" s="595"/>
      <c r="BG234" s="595"/>
      <c r="BH234" s="595"/>
      <c r="BI234" s="651"/>
      <c r="BJ234" s="651"/>
      <c r="BK234" s="651"/>
      <c r="BL234" s="651"/>
      <c r="BM234" s="651"/>
      <c r="BN234" s="651"/>
      <c r="BO234" s="651"/>
      <c r="BP234" s="651"/>
      <c r="BQ234" s="651"/>
      <c r="BR234" s="651"/>
      <c r="BS234" s="651"/>
      <c r="BT234" s="651"/>
    </row>
    <row r="235">
      <c r="A235" s="684"/>
      <c r="B235" s="154" t="str">
        <f>IFERROR(__xludf.DUMMYFUNCTION("IFERROR(
  IF(C235="""","""",
    IF(OR(REGEXMATCH(D235,""(?i)-Flashing""), REGEXMATCH(D235,""(?i)-EavesGut""), REGEXMATCH(D235,""(?i)Valley"")),
        ""DR"" &amp;
        TEXT(
            ROUNDUP(
                MIN(
                    VALUE(MID(C235, "&amp;"FIND(""("",C235)+1, FIND(""/"",C235)-FIND(""("",C235)-1)),
                    1200
                ) / 50, 0
            ) * 50, ""0""
        ) &amp;
        MID(C235, FIND(""/"",C235)+1, FIND("")"",C235)-FIND(""/"",C235)-1) &amp;
        TEXT(H235*100,""0"") &amp;"&amp;"
        I235,
    IF(AND(D235=""Roof Sheet"", REGEXMATCH(C235,""(?i)KS\d{4}[A-Z]{2}"")),
       REGEXEXTRACT(C235,""(?i)KS\d{4}[A-Z]{2}""),
    IF(AND(REGEXMATCH(D235,""(?i)-DP""), REGEXMATCH(C235,""(?i)Downpipe"")),
       ""dp"" &amp; REGEXEXTRACT(C235,""("&amp;"\d+)"") &amp; ""mm"",
    IF(AND(REGEXMATCH(D235,""(?i)Bracket""), REGEXMATCH(C235,""(?i)Bracket"")),
       ""Brkt"" &amp; REGEXEXTRACT(C235,""(\d+)"") &amp; ""mm"",
    IF(AND(REGEXMATCH(D235,""(?i)-OP""), REGEXMATCH(C235,""(?i)pops"")),
       ""op"" &amp; REGEXEXTRAC"&amp;"T(C235,""(\d+)"") &amp; ""mm"",
    IF(OR(D235=""R-FFTop"", D235=""R-FFBottom"", D235=""R-FFSide""),
        IF(REGEXMATCH(C235,""(?i)Profiled.*Top|Top.*Profiled""),""pfft"",
        IF(REGEXMATCH(C235,""(?i)Profiled.*Bottom|Bottom.*Profiled""),""pffb"",
    "&amp;"    IF(REGEXMATCH(C235,""(?i)Square""),""sff"",""""))),
    IF(REGEXMATCH(D235,""(?i)-Rivets""),""Rvt"",
    IF(REGEXMATCH(D235,""(?i)Silicone""),""300ml"",
    IF(REGEXMATCH(D235,""(?i)R-Butyl""),""300ml"",
    IF(REGEXMATCH(D235,""(?i)Fix""),""GenFix"","&amp;"
    IF(AND(REGEXMATCH(C235,""(?i)Timber""), REGEXMATCH(D235,""(?i)Timber"")),""tp"",
    IF(AND(REGEXMATCH(C235,""(?i)Vent G1275""), REGEXMATCH(D235,""(?i)Comb FIller"")),""CFV1275"",
    IF(REGEXMATCH(C235,""(?i)DPC""),""dpc"",
    IF(REGEXMATCH(C235,"""&amp;"(?i)Concealed Clips""),""ConClips"",
    IF(REGEXMATCH(D235,""(?i)-Takeoff ea""),""Takeoff ea"",
    IF(REGEXMATCH(D235,""(?i)-Takeoff LM""),""Takeoff LM"",
    IF(REGEXMATCH(D235,""(?i)-Takeoff m2""),""Takeoff m2"",
    IF(D235=""R-TU/TD"",""TU/TD"","""""&amp;")))))))))))))))))
  )))"),"GenFix")</f>
        <v>GenFix</v>
      </c>
      <c r="C235" s="698" t="s">
        <v>102</v>
      </c>
      <c r="D235" s="686" t="s">
        <v>103</v>
      </c>
      <c r="E235" s="722"/>
      <c r="F235" s="721"/>
      <c r="G235" s="701"/>
      <c r="H235" s="700"/>
      <c r="I235" s="712"/>
      <c r="J235" s="126" t="s">
        <v>87</v>
      </c>
      <c r="K235" s="126" t="str">
        <f>IFERROR(
  IF(B235="", "", VLOOKUP(B235, Data!$B$2:$K$905, 7, FALSE)),
  ""
)</f>
        <v/>
      </c>
      <c r="L235" s="712"/>
      <c r="M235" s="150">
        <f>ROUNDUP(M234/0.6,0)+1</f>
        <v>138</v>
      </c>
      <c r="N235" s="151">
        <f>N234</f>
        <v>1.001372346</v>
      </c>
      <c r="O235" s="169">
        <v>1.0</v>
      </c>
      <c r="P235" s="134">
        <v>2.0</v>
      </c>
      <c r="Q235" s="168">
        <f t="shared" si="181"/>
        <v>276.3787675</v>
      </c>
      <c r="R235" s="136" t="str">
        <f>IFERROR(
  IF(B235="", "", VLOOKUP(B235, Data!$B$2:$K$905, 9, FALSE)),
  ""
)</f>
        <v/>
      </c>
      <c r="S235" s="152">
        <f t="shared" si="182"/>
        <v>0</v>
      </c>
      <c r="T235" s="690"/>
      <c r="U235" s="681" t="str">
        <f>IFERROR(
  IF(B235="", "", VLOOKUP(B235, Data!$B$2:$K$905, 10, FALSE)),
  ""
)
</f>
        <v/>
      </c>
      <c r="V235" s="691"/>
      <c r="W235" s="140">
        <f t="shared" si="183"/>
        <v>0</v>
      </c>
      <c r="X235" s="692"/>
      <c r="Y235" s="595"/>
      <c r="Z235" s="595"/>
      <c r="AA235" s="595"/>
      <c r="AB235" s="354">
        <f t="shared" ref="AB235:AB236" si="184">W235+S235</f>
        <v>0</v>
      </c>
      <c r="AC235" s="181"/>
      <c r="AD235" s="625"/>
      <c r="AE235" s="626"/>
      <c r="AF235" s="696"/>
      <c r="AG235" s="697"/>
      <c r="AH235" s="629"/>
      <c r="AI235" s="187"/>
      <c r="AJ235" s="630"/>
      <c r="AK235" s="630"/>
      <c r="AL235" s="595"/>
      <c r="AM235" s="595"/>
      <c r="AN235" s="595"/>
      <c r="AO235" s="595"/>
      <c r="AP235" s="595"/>
      <c r="AQ235" s="595"/>
      <c r="AR235" s="595"/>
      <c r="AS235" s="595"/>
      <c r="AT235" s="595"/>
      <c r="AU235" s="595"/>
      <c r="AV235" s="595"/>
      <c r="AW235" s="595"/>
      <c r="AX235" s="595"/>
      <c r="AY235" s="595"/>
      <c r="AZ235" s="595"/>
      <c r="BA235" s="595"/>
      <c r="BB235" s="595"/>
      <c r="BC235" s="595"/>
      <c r="BD235" s="595"/>
      <c r="BE235" s="595"/>
      <c r="BF235" s="595"/>
      <c r="BG235" s="595"/>
      <c r="BH235" s="595"/>
      <c r="BI235" s="651"/>
      <c r="BJ235" s="651"/>
      <c r="BK235" s="651"/>
      <c r="BL235" s="651"/>
      <c r="BM235" s="651"/>
      <c r="BN235" s="651"/>
      <c r="BO235" s="651"/>
      <c r="BP235" s="651"/>
      <c r="BQ235" s="651"/>
      <c r="BR235" s="651"/>
      <c r="BS235" s="651"/>
      <c r="BT235" s="651"/>
    </row>
    <row r="236">
      <c r="A236" s="684"/>
      <c r="B236" s="154"/>
      <c r="C236" s="701"/>
      <c r="D236" s="701"/>
      <c r="E236" s="722"/>
      <c r="F236" s="699"/>
      <c r="G236" s="700"/>
      <c r="H236" s="700"/>
      <c r="I236" s="700"/>
      <c r="J236" s="701"/>
      <c r="K236" s="701"/>
      <c r="L236" s="704"/>
      <c r="M236" s="704"/>
      <c r="N236" s="711"/>
      <c r="O236" s="712"/>
      <c r="P236" s="700"/>
      <c r="Q236" s="712"/>
      <c r="R236" s="681"/>
      <c r="S236" s="691"/>
      <c r="T236" s="690"/>
      <c r="U236" s="681"/>
      <c r="V236" s="691"/>
      <c r="W236" s="713"/>
      <c r="X236" s="692"/>
      <c r="Y236" s="693"/>
      <c r="Z236" s="731"/>
      <c r="AA236" s="595"/>
      <c r="AB236" s="354">
        <f t="shared" si="184"/>
        <v>0</v>
      </c>
      <c r="AC236" s="181"/>
      <c r="AD236" s="625"/>
      <c r="AE236" s="626"/>
      <c r="AF236" s="696"/>
      <c r="AG236" s="697"/>
      <c r="AH236" s="629"/>
      <c r="AI236" s="187"/>
      <c r="AJ236" s="630"/>
      <c r="AK236" s="630"/>
      <c r="AL236" s="595"/>
      <c r="AM236" s="595"/>
      <c r="AN236" s="595"/>
      <c r="AO236" s="595"/>
      <c r="AP236" s="595"/>
      <c r="AQ236" s="595"/>
      <c r="AR236" s="595"/>
      <c r="AS236" s="595"/>
      <c r="AT236" s="595"/>
      <c r="AU236" s="595"/>
      <c r="AV236" s="595"/>
      <c r="AW236" s="595"/>
      <c r="AX236" s="595"/>
      <c r="AY236" s="595"/>
      <c r="AZ236" s="595"/>
      <c r="BA236" s="595"/>
      <c r="BB236" s="595"/>
      <c r="BC236" s="595"/>
      <c r="BD236" s="595"/>
      <c r="BE236" s="595"/>
      <c r="BF236" s="595"/>
      <c r="BG236" s="595"/>
      <c r="BH236" s="595"/>
      <c r="BI236" s="651"/>
      <c r="BJ236" s="651"/>
      <c r="BK236" s="651"/>
      <c r="BL236" s="651"/>
      <c r="BM236" s="651"/>
      <c r="BN236" s="651"/>
      <c r="BO236" s="651"/>
      <c r="BP236" s="651"/>
      <c r="BQ236" s="651"/>
      <c r="BR236" s="651"/>
      <c r="BS236" s="651"/>
      <c r="BT236" s="651"/>
    </row>
    <row r="237">
      <c r="A237" s="631">
        <v>1.0</v>
      </c>
      <c r="B237" s="727"/>
      <c r="C237" s="103" t="s">
        <v>503</v>
      </c>
      <c r="D237" s="678"/>
      <c r="E237" s="676"/>
      <c r="F237" s="677"/>
      <c r="G237" s="678"/>
      <c r="H237" s="678"/>
      <c r="I237" s="678"/>
      <c r="J237" s="678"/>
      <c r="K237" s="678" t="s">
        <v>42</v>
      </c>
      <c r="L237" s="106">
        <f>Q237</f>
        <v>140.8</v>
      </c>
      <c r="M237" s="679" t="s">
        <v>42</v>
      </c>
      <c r="N237" s="680"/>
      <c r="O237" s="679"/>
      <c r="P237" s="678"/>
      <c r="Q237" s="106">
        <f>Q238</f>
        <v>140.8</v>
      </c>
      <c r="R237" s="681" t="str">
        <f>IFERROR(
  IF(B237="", "", VLOOKUP(B237, Data!$B$2:$K$905, 9, FALSE)),
  ""
)</f>
        <v/>
      </c>
      <c r="S237" s="682">
        <f>IFERROR(T237/Q237, 0)</f>
        <v>0</v>
      </c>
      <c r="T237" s="109">
        <f>SUM(S238:S244)</f>
        <v>0</v>
      </c>
      <c r="U237" s="681" t="str">
        <f>IFERROR(
  IF(B237="", "", VLOOKUP(B237, Data!$B$2:$K$905, 10, FALSE)),
  ""
)
</f>
        <v/>
      </c>
      <c r="V237" s="109">
        <f>W237/Q237</f>
        <v>0</v>
      </c>
      <c r="W237" s="110">
        <f>SUM(W238:W244)</f>
        <v>0</v>
      </c>
      <c r="X237" s="111" t="str">
        <f>W237/$AC$758/$W$765/$X$755</f>
        <v>#REF!</v>
      </c>
      <c r="Y237" s="112" t="b">
        <f>(T237+W237)=(SUM(AB238:AB244))</f>
        <v>1</v>
      </c>
      <c r="Z237" s="222">
        <f>(T237+W237)-(SUM(AB238:AB244))</f>
        <v>0</v>
      </c>
      <c r="AA237" s="595"/>
      <c r="AB237" s="595"/>
      <c r="AC237" s="181"/>
      <c r="AD237" s="114">
        <f>W237+T237</f>
        <v>0</v>
      </c>
      <c r="AE237" s="115">
        <f>AD237</f>
        <v>0</v>
      </c>
      <c r="AF237" s="116" t="str">
        <f>AE237/$AE$733</f>
        <v>#REF!</v>
      </c>
      <c r="AG237" s="683" t="str">
        <f>AF237*$AG$740</f>
        <v>#REF!</v>
      </c>
      <c r="AH237" s="118" t="str">
        <f>AF237*$AG$743</f>
        <v>#REF!</v>
      </c>
      <c r="AI237" s="187"/>
      <c r="AJ237" s="119" t="str">
        <f>ROUND(AK237/L237,2)</f>
        <v>#REF!</v>
      </c>
      <c r="AK237" s="119" t="str">
        <f>ROUND(AH237+AG237+AD237,2)</f>
        <v>#REF!</v>
      </c>
      <c r="AL237" s="595"/>
      <c r="AM237" s="595"/>
      <c r="AN237" s="595"/>
      <c r="AO237" s="595"/>
      <c r="AP237" s="595"/>
      <c r="AQ237" s="595"/>
      <c r="AR237" s="595"/>
      <c r="AS237" s="595"/>
      <c r="AT237" s="595"/>
      <c r="AU237" s="595"/>
      <c r="AV237" s="595"/>
      <c r="AW237" s="595"/>
      <c r="AX237" s="595"/>
      <c r="AY237" s="595"/>
      <c r="AZ237" s="595"/>
      <c r="BA237" s="595"/>
      <c r="BB237" s="595"/>
      <c r="BC237" s="595"/>
      <c r="BD237" s="595"/>
      <c r="BE237" s="595"/>
      <c r="BF237" s="595"/>
      <c r="BG237" s="595"/>
      <c r="BH237" s="595"/>
      <c r="BI237" s="651"/>
      <c r="BJ237" s="651"/>
      <c r="BK237" s="651"/>
      <c r="BL237" s="651"/>
      <c r="BM237" s="651"/>
      <c r="BN237" s="651"/>
      <c r="BO237" s="651"/>
      <c r="BP237" s="651"/>
      <c r="BQ237" s="651"/>
      <c r="BR237" s="651"/>
      <c r="BS237" s="651"/>
      <c r="BT237" s="651"/>
    </row>
    <row r="238">
      <c r="A238" s="716" t="s">
        <v>444</v>
      </c>
      <c r="B238" s="154" t="str">
        <f>IFERROR(__xludf.DUMMYFUNCTION("IFERROR(
  IF(C238="""","""",
    IF(OR(REGEXMATCH(D238,""(?i)-Flashing""), REGEXMATCH(D238,""(?i)-EavesGut""), REGEXMATCH(D238,""(?i)Valley"")),
        ""DR"" &amp;
        TEXT(
            ROUNDUP(
                VALUE(MID(C238, FIND(""("",C238)+1, FIND("&amp;"""/"",C238)-FIND(""("",C238)-1)) / 50,
            0) * 50, ""0""
        ) &amp;
        MID(C238, FIND(""/"",C238)+1, FIND("")"",C238)-FIND(""/"",C238)-1) &amp;
        TEXT(H238*100,""0"") &amp;
        I238,
    IF(AND(D238=""Roof Sheet"", REGEXMATCH(C238,""(?i)K"&amp;"S\d{4}[A-Z]{2}"")),
       REGEXEXTRACT(C238,""(?i)KS\d{4}[A-Z]{2}""),
    IF(AND(REGEXMATCH(D238,""(?i)-DP""), REGEXMATCH(C238,""(?i)Downpipe"")),
       ""dp"" &amp; REGEXEXTRACT(C238,""(\d+)"") &amp; ""mm"",
    IF(AND(REGEXMATCH(D238,""(?i)Bracket""), REGEXMA"&amp;"TCH(C238,""(?i)Bracket"")),
       ""Brkt"" &amp; REGEXEXTRACT(C238,""(\d+)"") &amp; ""mm"",
    IF(AND(REGEXMATCH(D238,""(?i)-OP""), REGEXMATCH(C238,""(?i)pops"")),
       ""op"" &amp; REGEXEXTRACT(C238,""(\d+)"") &amp; ""mm"",
    IF(OR(D238=""R-FFTop"", D238=""R-FFBot"&amp;"tom"", D238=""R-FFSide""),
        IF(REGEXMATCH(C238,""(?i)Profiled.*Top|Top.*Profiled""),""pfft"",
        IF(REGEXMATCH(C238,""(?i)Profiled.*Bottom|Bottom.*Profiled""),""pffb"",
        IF(REGEXMATCH(C238,""(?i)Square""),""sff"",""""))),
    IF(REGEXMA"&amp;"TCH(D238,""(?i)-Rivets""),""Rvt"",
    IF(REGEXMATCH(D238,""(?i)Silicone""),""300ml"",
    IF(REGEXMATCH(D238,""(?i)R-Butyl""),""300ml"",
    IF(REGEXMATCH(D238,""(?i)Fix""),""GenFix"",
    IF(AND(REGEXMATCH(C238,""(?i)Timber""), REGEXMATCH(D238,""(?i)Tim"&amp;"ber"")),""tp"",
    IF(AND(REGEXMATCH(C238,""(?i)Vent G1275""), REGEXMATCH(D238,""(?i)Comb FIller"")),""CFV1275"",
    IF(REGEXMATCH(C238,""(?i)DPC""),""dpc"",
    IF(REGEXMATCH(C238,""(?i)Concealed Clips""),""ConClips"",
    IF(REGEXMATCH(D238,""(?i)-Tak"&amp;"eoff ea""),""Takeoff ea"",
    IF(REGEXMATCH(D238,""(?i)-Takeoff LM""),""Takeoff LM"",
    IF(REGEXMATCH(D238,""(?i)-Takeoff m2""),""Takeoff m2"",
    IF(D238=""R-TU/TD"",""TU/TD"","""")))))))))))))))))
  )))"),"DR4004B55Mag")</f>
        <v>DR4004B55Mag</v>
      </c>
      <c r="C238" s="123" t="s">
        <v>504</v>
      </c>
      <c r="D238" s="124" t="s">
        <v>96</v>
      </c>
      <c r="E238" s="687">
        <f>VALUE(MID(C238, FIND("(", C238)+1, FIND("/", C238)-FIND("(", C238)-1)) / 1000</f>
        <v>0.37</v>
      </c>
      <c r="F238" s="688"/>
      <c r="G238" s="689" t="s">
        <v>501</v>
      </c>
      <c r="H238" s="128" t="str">
        <f>IFERROR(__xludf.DUMMYFUNCTION("IFERROR(REGEXEXTRACT(C238, ""(\d*\.\d+)mm""), """")"),"0.55")</f>
        <v>0.55</v>
      </c>
      <c r="I238" s="128" t="s">
        <v>97</v>
      </c>
      <c r="J238" s="126" t="s">
        <v>14</v>
      </c>
      <c r="K238" s="126" t="str">
        <f>IFERROR(
  IF(B238="", "", VLOOKUP(B238, Data!$B$2:$K$905, 7, FALSE)),
  ""
)</f>
        <v/>
      </c>
      <c r="L238" s="704"/>
      <c r="M238" s="730">
        <v>140.8</v>
      </c>
      <c r="N238" s="151">
        <f>IFERROR(__xludf.DUMMYFUNCTION("IF(
  AND(
    IFERROR(REGEXEXTRACT(C238,""@\s*(\d+(?:\.\d+)?)\s*deg""),"""")&lt;&gt;"""",
    F238&lt;&gt;""""
  ),
  ""Pls Confirm °"",
  IF(
    IFERROR(REGEXEXTRACT(C238,""@\s*(\d+(?:\.\d+)?)\s*deg""),"""")&lt;&gt;"""",
    1/COS(RADIANS(REGEXEXTRACT(C238,""@\s*(\d+(?:"&amp;"\.\d+)?)\s*deg""))),
    IF(
      F238&lt;&gt;"""",
      IF(
        ISNUMBER(SEARCH(""|"",F238)),
        1/COS(
          ATAN(
            TAN(RADIANS(VALUE(INDEX(SPLIT(F238,""|""),1)))) *
            TAN(RADIANS(VALUE(INDEX(SPLIT(F238,""|""),2))))
       "&amp;"     /
            SQRT(
              TAN(RADIANS(VALUE(INDEX(SPLIT(F238,""|""),1))))^2 +
              TAN(RADIANS(VALUE(INDEX(SPLIT(F238,""|""),2))))^2
            )
          )
        ),
        1/COS(RADIANS(VALUE(F238)))
      ),
      1
    )
  )
"&amp;")"),1.0)</f>
        <v>1</v>
      </c>
      <c r="O238" s="169">
        <v>1.0</v>
      </c>
      <c r="P238" s="134">
        <v>1.0</v>
      </c>
      <c r="Q238" s="168">
        <f t="shared" ref="Q238:Q243" si="185">M238*N238*O238*P238</f>
        <v>140.8</v>
      </c>
      <c r="R238" s="136" t="str">
        <f>IFERROR(
  IF(B238="", "", VLOOKUP(B238, Data!$B$2:$K$905, 9, FALSE)),
  ""
)</f>
        <v/>
      </c>
      <c r="S238" s="152">
        <f t="shared" ref="S238:S243" si="186">R238*Q238</f>
        <v>0</v>
      </c>
      <c r="T238" s="690"/>
      <c r="U238" s="136" t="str">
        <f>IFERROR(
  IF(B238="", "", VLOOKUP(B238, Data!$B$2:$K$905, 10, FALSE)),
  ""
)
</f>
        <v/>
      </c>
      <c r="V238" s="691"/>
      <c r="W238" s="140">
        <f t="shared" ref="W238:W243" si="187">U238*Q238</f>
        <v>0</v>
      </c>
      <c r="X238" s="692"/>
      <c r="Y238" s="693"/>
      <c r="Z238" s="731"/>
      <c r="AA238" s="595"/>
      <c r="AB238" s="354">
        <f t="shared" ref="AB238:AB244" si="188">W238+S238</f>
        <v>0</v>
      </c>
      <c r="AC238" s="181"/>
      <c r="AD238" s="625"/>
      <c r="AE238" s="626"/>
      <c r="AF238" s="696"/>
      <c r="AG238" s="697"/>
      <c r="AH238" s="629"/>
      <c r="AI238" s="187"/>
      <c r="AJ238" s="630"/>
      <c r="AK238" s="630"/>
      <c r="AL238" s="595"/>
      <c r="AM238" s="595"/>
      <c r="AN238" s="595"/>
      <c r="AO238" s="595"/>
      <c r="AP238" s="595"/>
      <c r="AQ238" s="595"/>
      <c r="AR238" s="595"/>
      <c r="AS238" s="595"/>
      <c r="AT238" s="595"/>
      <c r="AU238" s="595"/>
      <c r="AV238" s="595"/>
      <c r="AW238" s="595"/>
      <c r="AX238" s="595"/>
      <c r="AY238" s="595"/>
      <c r="AZ238" s="595"/>
      <c r="BA238" s="595"/>
      <c r="BB238" s="595"/>
      <c r="BC238" s="595"/>
      <c r="BD238" s="595"/>
      <c r="BE238" s="595"/>
      <c r="BF238" s="595"/>
      <c r="BG238" s="595"/>
      <c r="BH238" s="595"/>
      <c r="BI238" s="651"/>
      <c r="BJ238" s="651"/>
      <c r="BK238" s="651"/>
      <c r="BL238" s="651"/>
      <c r="BM238" s="651"/>
      <c r="BN238" s="651"/>
      <c r="BO238" s="651"/>
      <c r="BP238" s="651"/>
      <c r="BQ238" s="651"/>
      <c r="BR238" s="651"/>
      <c r="BS238" s="651"/>
      <c r="BT238" s="651"/>
    </row>
    <row r="239">
      <c r="A239" s="631"/>
      <c r="B239" s="154" t="str">
        <f>IFERROR(__xludf.DUMMYFUNCTION("IFERROR(
  IF(C239="""","""",
    IF(OR(REGEXMATCH(D239,""(?i)-Flashing""), REGEXMATCH(D239,""(?i)-EavesGut""), REGEXMATCH(D239,""(?i)Valley"")),
        ""DR"" &amp;
        TEXT(
            ROUNDUP(
                MIN(
                    VALUE(MID(C239, "&amp;"FIND(""("",C239)+1, FIND(""/"",C239)-FIND(""("",C239)-1)),
                    1200
                ) / 50, 0
            ) * 50, ""0""
        ) &amp;
        MID(C239, FIND(""/"",C239)+1, FIND("")"",C239)-FIND(""/"",C239)-1) &amp;
        TEXT(H239*100,""0"") &amp;"&amp;"
        I239,
    IF(AND(D239=""Roof Sheet"", REGEXMATCH(C239,""(?i)KS\d{4}[A-Z]{2}"")),
       REGEXEXTRACT(C239,""(?i)KS\d{4}[A-Z]{2}""),
    IF(AND(REGEXMATCH(D239,""(?i)-DP""), REGEXMATCH(C239,""(?i)Downpipe"")),
       ""dp"" &amp; REGEXEXTRACT(C239,""("&amp;"\d+)"") &amp; ""mm"",
    IF(AND(REGEXMATCH(D239,""(?i)Bracket""), REGEXMATCH(C239,""(?i)Bracket"")),
       ""Brkt"" &amp; REGEXEXTRACT(C239,""(\d+)"") &amp; ""mm"",
    IF(AND(REGEXMATCH(D239,""(?i)-OP""), REGEXMATCH(C239,""(?i)pops"")),
       ""op"" &amp; REGEXEXTRAC"&amp;"T(C239,""(\d+)"") &amp; ""mm"",
    IF(OR(D239=""R-FFTop"", D239=""R-FFBottom"", D239=""R-FFSide""),
        IF(REGEXMATCH(C239,""(?i)Profiled.*Top|Top.*Profiled""),""pfft"",
        IF(REGEXMATCH(C239,""(?i)Profiled.*Bottom|Bottom.*Profiled""),""pffb"",
    "&amp;"    IF(REGEXMATCH(C239,""(?i)Square""),""sff"",""""))),
    IF(REGEXMATCH(D239,""(?i)-Rivets""),""Rvt"",
    IF(REGEXMATCH(D239,""(?i)Silicone""),""300ml"",
    IF(REGEXMATCH(D239,""(?i)R-Butyl""),""300ml"",
    IF(REGEXMATCH(D239,""(?i)Fix""),""GenFix"","&amp;"
    IF(AND(REGEXMATCH(C239,""(?i)Timber""), REGEXMATCH(D239,""(?i)Timber"")),""tp"",
    IF(AND(REGEXMATCH(C239,""(?i)Vent G1275""), REGEXMATCH(D239,""(?i)Comb FIller"")),""CFV1275"",
    IF(REGEXMATCH(C239,""(?i)DPC""),""dpc"",
    IF(REGEXMATCH(C239,"""&amp;"(?i)Concealed Clips""),""ConClips"",
    IF(REGEXMATCH(D239,""(?i)-Takeoff ea""),""Takeoff ea"",
    IF(REGEXMATCH(D239,""(?i)-Takeoff LM""),""Takeoff LM"",
    IF(REGEXMATCH(D239,""(?i)-Takeoff m2""),""Takeoff m2"",
    IF(D239=""R-TU/TD"",""TU/TD"","""""&amp;")))))))))))))))))
  )))"),"300ml")</f>
        <v>300ml</v>
      </c>
      <c r="C239" s="225" t="s">
        <v>98</v>
      </c>
      <c r="D239" s="124" t="s">
        <v>99</v>
      </c>
      <c r="E239" s="687">
        <f>E238</f>
        <v>0.37</v>
      </c>
      <c r="F239" s="721"/>
      <c r="G239" s="700"/>
      <c r="H239" s="700" t="str">
        <f>IFERROR(__xludf.DUMMYFUNCTION("IFERROR(REGEXEXTRACT(C239, ""(\d*\.\d+)mm""), """")"),"")</f>
        <v/>
      </c>
      <c r="I239" s="700"/>
      <c r="J239" s="126" t="s">
        <v>87</v>
      </c>
      <c r="K239" s="126" t="str">
        <f>IFERROR(
  IF(B239="", "", VLOOKUP(B239, Data!$B$2:$K$905, 7, FALSE)),
  ""
)</f>
        <v/>
      </c>
      <c r="L239" s="704"/>
      <c r="M239" s="150">
        <f>(ROUNDDOWN((M238/5.7)+2,0)*E239)/8</f>
        <v>1.2025</v>
      </c>
      <c r="N239" s="151">
        <f t="shared" ref="N239:N243" si="189">N238</f>
        <v>1</v>
      </c>
      <c r="O239" s="169">
        <v>1.0</v>
      </c>
      <c r="P239" s="134">
        <v>1.0</v>
      </c>
      <c r="Q239" s="168">
        <f t="shared" si="185"/>
        <v>1.2025</v>
      </c>
      <c r="R239" s="136" t="str">
        <f>IFERROR(
  IF(B239="", "", VLOOKUP(B239, Data!$B$2:$K$905, 9, FALSE)),
  ""
)</f>
        <v/>
      </c>
      <c r="S239" s="152">
        <f t="shared" si="186"/>
        <v>0</v>
      </c>
      <c r="T239" s="690"/>
      <c r="U239" s="681" t="str">
        <f>IFERROR(
  IF(B239="", "", VLOOKUP(B239, Data!$B$2:$K$905, 10, FALSE)),
  ""
)
</f>
        <v/>
      </c>
      <c r="V239" s="691"/>
      <c r="W239" s="140">
        <f t="shared" si="187"/>
        <v>0</v>
      </c>
      <c r="X239" s="692"/>
      <c r="Y239" s="595"/>
      <c r="Z239" s="595"/>
      <c r="AA239" s="595"/>
      <c r="AB239" s="354">
        <f t="shared" si="188"/>
        <v>0</v>
      </c>
      <c r="AC239" s="181"/>
      <c r="AD239" s="625"/>
      <c r="AE239" s="626"/>
      <c r="AF239" s="696"/>
      <c r="AG239" s="697"/>
      <c r="AH239" s="629"/>
      <c r="AI239" s="187"/>
      <c r="AJ239" s="630"/>
      <c r="AK239" s="630"/>
      <c r="AL239" s="595"/>
      <c r="AM239" s="595"/>
      <c r="AN239" s="595"/>
      <c r="AO239" s="595"/>
      <c r="AP239" s="595"/>
      <c r="AQ239" s="595"/>
      <c r="AR239" s="595"/>
      <c r="AS239" s="595"/>
      <c r="AT239" s="595"/>
      <c r="AU239" s="595"/>
      <c r="AV239" s="595"/>
      <c r="AW239" s="595"/>
      <c r="AX239" s="595"/>
      <c r="AY239" s="595"/>
      <c r="AZ239" s="595"/>
      <c r="BA239" s="595"/>
      <c r="BB239" s="595"/>
      <c r="BC239" s="595"/>
      <c r="BD239" s="595"/>
      <c r="BE239" s="595"/>
      <c r="BF239" s="595"/>
      <c r="BG239" s="595"/>
      <c r="BH239" s="595"/>
      <c r="BI239" s="651"/>
      <c r="BJ239" s="651"/>
      <c r="BK239" s="651"/>
      <c r="BL239" s="651"/>
      <c r="BM239" s="651"/>
      <c r="BN239" s="651"/>
      <c r="BO239" s="651"/>
      <c r="BP239" s="651"/>
      <c r="BQ239" s="651"/>
      <c r="BR239" s="651"/>
      <c r="BS239" s="651"/>
      <c r="BT239" s="651"/>
    </row>
    <row r="240">
      <c r="A240" s="631"/>
      <c r="B240" s="154" t="str">
        <f>IFERROR(__xludf.DUMMYFUNCTION("IFERROR(
  IF(C240="""","""",
    IF(OR(REGEXMATCH(D240,""(?i)-Flashing""), REGEXMATCH(D240,""(?i)-EavesGut""), REGEXMATCH(D240,""(?i)Valley"")),
        ""DR"" &amp;
        TEXT(
            ROUNDUP(
                MIN(
                    VALUE(MID(C240, "&amp;"FIND(""("",C240)+1, FIND(""/"",C240)-FIND(""("",C240)-1)),
                    1200
                ) / 50, 0
            ) * 50, ""0""
        ) &amp;
        MID(C240, FIND(""/"",C240)+1, FIND("")"",C240)-FIND(""/"",C240)-1) &amp;
        TEXT(H240*100,""0"") &amp;"&amp;"
        I240,
    IF(AND(D240=""Roof Sheet"", REGEXMATCH(C240,""(?i)KS\d{4}[A-Z]{2}"")),
       REGEXEXTRACT(C240,""(?i)KS\d{4}[A-Z]{2}""),
    IF(AND(REGEXMATCH(D240,""(?i)-DP""), REGEXMATCH(C240,""(?i)Downpipe"")),
       ""dp"" &amp; REGEXEXTRACT(C240,""("&amp;"\d+)"") &amp; ""mm"",
    IF(AND(REGEXMATCH(D240,""(?i)Bracket""), REGEXMATCH(C240,""(?i)Bracket"")),
       ""Brkt"" &amp; REGEXEXTRACT(C240,""(\d+)"") &amp; ""mm"",
    IF(AND(REGEXMATCH(D240,""(?i)-OP""), REGEXMATCH(C240,""(?i)pops"")),
       ""op"" &amp; REGEXEXTRAC"&amp;"T(C240,""(\d+)"") &amp; ""mm"",
    IF(OR(D240=""R-FFTop"", D240=""R-FFBottom"", D240=""R-FFSide""),
        IF(REGEXMATCH(C240,""(?i)Profiled.*Top|Top.*Profiled""),""pfft"",
        IF(REGEXMATCH(C240,""(?i)Profiled.*Bottom|Bottom.*Profiled""),""pffb"",
    "&amp;"    IF(REGEXMATCH(C240,""(?i)Square""),""sff"",""""))),
    IF(REGEXMATCH(D240,""(?i)-Rivets""),""Rvt"",
    IF(REGEXMATCH(D240,""(?i)Silicone""),""300ml"",
    IF(REGEXMATCH(D240,""(?i)R-Butyl""),""300ml"",
    IF(REGEXMATCH(D240,""(?i)Fix""),""GenFix"","&amp;"
    IF(AND(REGEXMATCH(C240,""(?i)Timber""), REGEXMATCH(D240,""(?i)Timber"")),""tp"",
    IF(AND(REGEXMATCH(C240,""(?i)Vent G1275""), REGEXMATCH(D240,""(?i)Comb FIller"")),""CFV1275"",
    IF(REGEXMATCH(C240,""(?i)DPC""),""dpc"",
    IF(REGEXMATCH(C240,"""&amp;"(?i)Concealed Clips""),""ConClips"",
    IF(REGEXMATCH(D240,""(?i)-Takeoff ea""),""Takeoff ea"",
    IF(REGEXMATCH(D240,""(?i)-Takeoff LM""),""Takeoff LM"",
    IF(REGEXMATCH(D240,""(?i)-Takeoff m2""),""Takeoff m2"",
    IF(D240=""R-TU/TD"",""TU/TD"","""""&amp;")))))))))))))))))
  )))"),"Rvt")</f>
        <v>Rvt</v>
      </c>
      <c r="C240" s="225" t="s">
        <v>100</v>
      </c>
      <c r="D240" s="124" t="s">
        <v>101</v>
      </c>
      <c r="E240" s="687">
        <f>E238</f>
        <v>0.37</v>
      </c>
      <c r="F240" s="721"/>
      <c r="G240" s="700"/>
      <c r="H240" s="700" t="str">
        <f>IFERROR(__xludf.DUMMYFUNCTION("IFERROR(REGEXEXTRACT(C240, ""(\d*\.\d+)mm""), """")"),"")</f>
        <v/>
      </c>
      <c r="I240" s="700"/>
      <c r="J240" s="126" t="s">
        <v>87</v>
      </c>
      <c r="K240" s="126" t="str">
        <f>IFERROR(
  IF(B240="", "", VLOOKUP(B240, Data!$B$2:$K$905, 7, FALSE)),
  ""
)</f>
        <v/>
      </c>
      <c r="L240" s="704"/>
      <c r="M240" s="150">
        <f>ROUNDUP(((M238/5.7)+1)*(E240/0.05),0)</f>
        <v>191</v>
      </c>
      <c r="N240" s="151">
        <f t="shared" si="189"/>
        <v>1</v>
      </c>
      <c r="O240" s="169">
        <v>1.0</v>
      </c>
      <c r="P240" s="134">
        <v>1.0</v>
      </c>
      <c r="Q240" s="168">
        <f t="shared" si="185"/>
        <v>191</v>
      </c>
      <c r="R240" s="136" t="str">
        <f>IFERROR(
  IF(B240="", "", VLOOKUP(B240, Data!$B$2:$K$905, 9, FALSE)),
  ""
)</f>
        <v/>
      </c>
      <c r="S240" s="152">
        <f t="shared" si="186"/>
        <v>0</v>
      </c>
      <c r="T240" s="690"/>
      <c r="U240" s="681" t="str">
        <f>IFERROR(
  IF(B240="", "", VLOOKUP(B240, Data!$B$2:$K$905, 10, FALSE)),
  ""
)
</f>
        <v/>
      </c>
      <c r="V240" s="691"/>
      <c r="W240" s="140">
        <f t="shared" si="187"/>
        <v>0</v>
      </c>
      <c r="X240" s="692"/>
      <c r="Y240" s="595"/>
      <c r="Z240" s="595"/>
      <c r="AA240" s="595"/>
      <c r="AB240" s="354">
        <f t="shared" si="188"/>
        <v>0</v>
      </c>
      <c r="AC240" s="181"/>
      <c r="AD240" s="625"/>
      <c r="AE240" s="626"/>
      <c r="AF240" s="696"/>
      <c r="AG240" s="697"/>
      <c r="AH240" s="629"/>
      <c r="AI240" s="187"/>
      <c r="AJ240" s="630"/>
      <c r="AK240" s="630"/>
      <c r="AL240" s="595"/>
      <c r="AM240" s="595"/>
      <c r="AN240" s="595"/>
      <c r="AO240" s="595"/>
      <c r="AP240" s="595"/>
      <c r="AQ240" s="595"/>
      <c r="AR240" s="595"/>
      <c r="AS240" s="595"/>
      <c r="AT240" s="595"/>
      <c r="AU240" s="595"/>
      <c r="AV240" s="595"/>
      <c r="AW240" s="595"/>
      <c r="AX240" s="595"/>
      <c r="AY240" s="595"/>
      <c r="AZ240" s="595"/>
      <c r="BA240" s="595"/>
      <c r="BB240" s="595"/>
      <c r="BC240" s="595"/>
      <c r="BD240" s="595"/>
      <c r="BE240" s="595"/>
      <c r="BF240" s="595"/>
      <c r="BG240" s="595"/>
      <c r="BH240" s="595"/>
      <c r="BI240" s="651"/>
      <c r="BJ240" s="651"/>
      <c r="BK240" s="651"/>
      <c r="BL240" s="651"/>
      <c r="BM240" s="651"/>
      <c r="BN240" s="651"/>
      <c r="BO240" s="651"/>
      <c r="BP240" s="651"/>
      <c r="BQ240" s="651"/>
      <c r="BR240" s="651"/>
      <c r="BS240" s="651"/>
      <c r="BT240" s="651"/>
    </row>
    <row r="241">
      <c r="A241" s="631"/>
      <c r="B241" s="154" t="str">
        <f>IFERROR(__xludf.DUMMYFUNCTION("IFERROR(
  IF(C241="""","""",
    IF(OR(REGEXMATCH(D241,""(?i)-Flashing""), REGEXMATCH(D241,""(?i)-EavesGut""), REGEXMATCH(D241,""(?i)Valley"")),
        ""DR"" &amp;
        TEXT(
            ROUNDUP(
                MIN(
                    VALUE(MID(C241, "&amp;"FIND(""("",C241)+1, FIND(""/"",C241)-FIND(""("",C241)-1)),
                    1200
                ) / 50, 0
            ) * 50, ""0""
        ) &amp;
        MID(C241, FIND(""/"",C241)+1, FIND("")"",C241)-FIND(""/"",C241)-1) &amp;
        TEXT(H241*100,""0"") &amp;"&amp;"
        I241,
    IF(AND(D241=""Roof Sheet"", REGEXMATCH(C241,""(?i)KS\d{4}[A-Z]{2}"")),
       REGEXEXTRACT(C241,""(?i)KS\d{4}[A-Z]{2}""),
    IF(AND(REGEXMATCH(D241,""(?i)-DP""), REGEXMATCH(C241,""(?i)Downpipe"")),
       ""dp"" &amp; REGEXEXTRACT(C241,""("&amp;"\d+)"") &amp; ""mm"",
    IF(AND(REGEXMATCH(D241,""(?i)Bracket""), REGEXMATCH(C241,""(?i)Bracket"")),
       ""Brkt"" &amp; REGEXEXTRACT(C241,""(\d+)"") &amp; ""mm"",
    IF(AND(REGEXMATCH(D241,""(?i)-OP""), REGEXMATCH(C241,""(?i)pops"")),
       ""op"" &amp; REGEXEXTRAC"&amp;"T(C241,""(\d+)"") &amp; ""mm"",
    IF(OR(D241=""R-FFTop"", D241=""R-FFBottom"", D241=""R-FFSide""),
        IF(REGEXMATCH(C241,""(?i)Profiled.*Top|Top.*Profiled""),""pfft"",
        IF(REGEXMATCH(C241,""(?i)Profiled.*Bottom|Bottom.*Profiled""),""pffb"",
    "&amp;"    IF(REGEXMATCH(C241,""(?i)Square""),""sff"",""""))),
    IF(REGEXMATCH(D241,""(?i)-Rivets""),""Rvt"",
    IF(REGEXMATCH(D241,""(?i)Silicone""),""300ml"",
    IF(REGEXMATCH(D241,""(?i)R-Butyl""),""300ml"",
    IF(REGEXMATCH(D241,""(?i)Fix""),""GenFix"","&amp;"
    IF(AND(REGEXMATCH(C241,""(?i)Timber""), REGEXMATCH(D241,""(?i)Timber"")),""tp"",
    IF(AND(REGEXMATCH(C241,""(?i)Vent G1275""), REGEXMATCH(D241,""(?i)Comb FIller"")),""CFV1275"",
    IF(REGEXMATCH(C241,""(?i)DPC""),""dpc"",
    IF(REGEXMATCH(C241,"""&amp;"(?i)Concealed Clips""),""ConClips"",
    IF(REGEXMATCH(D241,""(?i)-Takeoff ea""),""Takeoff ea"",
    IF(REGEXMATCH(D241,""(?i)-Takeoff LM""),""Takeoff LM"",
    IF(REGEXMATCH(D241,""(?i)-Takeoff m2""),""Takeoff m2"",
    IF(D241=""R-TU/TD"",""TU/TD"","""""&amp;")))))))))))))))))
  )))"),"GenFix")</f>
        <v>GenFix</v>
      </c>
      <c r="C241" s="158" t="s">
        <v>102</v>
      </c>
      <c r="D241" s="124" t="s">
        <v>103</v>
      </c>
      <c r="E241" s="722"/>
      <c r="F241" s="721"/>
      <c r="G241" s="701"/>
      <c r="H241" s="700"/>
      <c r="I241" s="700"/>
      <c r="J241" s="126" t="s">
        <v>87</v>
      </c>
      <c r="K241" s="126" t="str">
        <f>IFERROR(
  IF(B241="", "", VLOOKUP(B241, Data!$B$2:$K$905, 7, FALSE)),
  ""
)</f>
        <v/>
      </c>
      <c r="L241" s="712"/>
      <c r="M241" s="150">
        <f>ROUNDUP(M238/0.6,0)+1</f>
        <v>236</v>
      </c>
      <c r="N241" s="151">
        <f t="shared" si="189"/>
        <v>1</v>
      </c>
      <c r="O241" s="169">
        <v>1.0</v>
      </c>
      <c r="P241" s="134">
        <v>2.0</v>
      </c>
      <c r="Q241" s="168">
        <f t="shared" si="185"/>
        <v>472</v>
      </c>
      <c r="R241" s="136" t="str">
        <f>IFERROR(
  IF(B241="", "", VLOOKUP(B241, Data!$B$2:$K$905, 9, FALSE)),
  ""
)</f>
        <v/>
      </c>
      <c r="S241" s="152">
        <f t="shared" si="186"/>
        <v>0</v>
      </c>
      <c r="T241" s="690"/>
      <c r="U241" s="681" t="str">
        <f>IFERROR(
  IF(B241="", "", VLOOKUP(B241, Data!$B$2:$K$905, 10, FALSE)),
  ""
)
</f>
        <v/>
      </c>
      <c r="V241" s="691"/>
      <c r="W241" s="140">
        <f t="shared" si="187"/>
        <v>0</v>
      </c>
      <c r="X241" s="692"/>
      <c r="Y241" s="595"/>
      <c r="Z241" s="595"/>
      <c r="AA241" s="595"/>
      <c r="AB241" s="354">
        <f t="shared" si="188"/>
        <v>0</v>
      </c>
      <c r="AC241" s="181"/>
      <c r="AD241" s="625"/>
      <c r="AE241" s="626"/>
      <c r="AF241" s="696"/>
      <c r="AG241" s="697"/>
      <c r="AH241" s="629"/>
      <c r="AI241" s="187"/>
      <c r="AJ241" s="630"/>
      <c r="AK241" s="630"/>
      <c r="AL241" s="595"/>
      <c r="AM241" s="595"/>
      <c r="AN241" s="595"/>
      <c r="AO241" s="595"/>
      <c r="AP241" s="595"/>
      <c r="AQ241" s="595"/>
      <c r="AR241" s="595"/>
      <c r="AS241" s="595"/>
      <c r="AT241" s="595"/>
      <c r="AU241" s="595"/>
      <c r="AV241" s="595"/>
      <c r="AW241" s="595"/>
      <c r="AX241" s="595"/>
      <c r="AY241" s="595"/>
      <c r="AZ241" s="595"/>
      <c r="BA241" s="595"/>
      <c r="BB241" s="595"/>
      <c r="BC241" s="595"/>
      <c r="BD241" s="595"/>
      <c r="BE241" s="595"/>
      <c r="BF241" s="595"/>
      <c r="BG241" s="595"/>
      <c r="BH241" s="595"/>
      <c r="BI241" s="651"/>
      <c r="BJ241" s="651"/>
      <c r="BK241" s="651"/>
      <c r="BL241" s="651"/>
      <c r="BM241" s="651"/>
      <c r="BN241" s="651"/>
      <c r="BO241" s="651"/>
      <c r="BP241" s="651"/>
      <c r="BQ241" s="651"/>
      <c r="BR241" s="651"/>
      <c r="BS241" s="651"/>
      <c r="BT241" s="651"/>
    </row>
    <row r="242">
      <c r="A242" s="631"/>
      <c r="B242" s="154" t="str">
        <f>IFERROR(__xludf.DUMMYFUNCTION("IFERROR(
  IF(C242="""","""",
    IF(OR(REGEXMATCH(D242,""(?i)-Flashing""), REGEXMATCH(D242,""(?i)-EavesGut""), REGEXMATCH(D242,""(?i)Valley"")),
        ""DR"" &amp;
        TEXT(
            ROUNDUP(
                MIN(
                    VALUE(MID(C242, "&amp;"FIND(""("",C242)+1, FIND(""/"",C242)-FIND(""("",C242)-1)),
                    1200
                ) / 50, 0
            ) * 50, ""0""
        ) &amp;
        MID(C242, FIND(""/"",C242)+1, FIND("")"",C242)-FIND(""/"",C242)-1) &amp;
        TEXT(H242*100,""0"") &amp;"&amp;"
        I242,
    IF(AND(D242=""Roof Sheet"", REGEXMATCH(C242,""(?i)KS\d{4}[A-Z]{2}"")),
       REGEXEXTRACT(C242,""(?i)KS\d{4}[A-Z]{2}""),
    IF(AND(REGEXMATCH(D242,""(?i)-DP""), REGEXMATCH(C242,""(?i)Downpipe"")),
       ""dp"" &amp; REGEXEXTRACT(C242,""("&amp;"\d+)"") &amp; ""mm"",
    IF(AND(REGEXMATCH(D242,""(?i)Bracket""), REGEXMATCH(C242,""(?i)Bracket"")),
       ""Brkt"" &amp; REGEXEXTRACT(C242,""(\d+)"") &amp; ""mm"",
    IF(AND(REGEXMATCH(D242,""(?i)-OP""), REGEXMATCH(C242,""(?i)pops"")),
       ""op"" &amp; REGEXEXTRAC"&amp;"T(C242,""(\d+)"") &amp; ""mm"",
    IF(OR(D242=""R-FFTop"", D242=""R-FFBottom"", D242=""R-FFSide""),
        IF(REGEXMATCH(C242,""(?i)Profiled.*Top|Top.*Profiled""),""pfft"",
        IF(REGEXMATCH(C242,""(?i)Profiled.*Bottom|Bottom.*Profiled""),""pffb"",
    "&amp;"    IF(REGEXMATCH(C242,""(?i)Square""),""sff"",""""))),
    IF(REGEXMATCH(D242,""(?i)-Rivets""),""Rvt"",
    IF(REGEXMATCH(D242,""(?i)Silicone""),""300ml"",
    IF(REGEXMATCH(D242,""(?i)R-Butyl""),""300ml"",
    IF(REGEXMATCH(D242,""(?i)Fix""),""GenFix"","&amp;"
    IF(AND(REGEXMATCH(C242,""(?i)Timber""), REGEXMATCH(D242,""(?i)Timber"")),""tp"",
    IF(AND(REGEXMATCH(C242,""(?i)Vent G1275""), REGEXMATCH(D242,""(?i)Comb FIller"")),""CFV1275"",
    IF(REGEXMATCH(C242,""(?i)DPC""),""dpc"",
    IF(REGEXMATCH(C242,"""&amp;"(?i)Concealed Clips""),""ConClips"",
    IF(REGEXMATCH(D242,""(?i)-Takeoff ea""),""Takeoff ea"",
    IF(REGEXMATCH(D242,""(?i)-Takeoff LM""),""Takeoff LM"",
    IF(REGEXMATCH(D242,""(?i)-Takeoff m2""),""Takeoff m2"",
    IF(D242=""R-TU/TD"",""TU/TD"","""""&amp;")))))))))))))))))
  )))"),"pfft")</f>
        <v>pfft</v>
      </c>
      <c r="C242" s="225" t="s">
        <v>104</v>
      </c>
      <c r="D242" s="202" t="s">
        <v>105</v>
      </c>
      <c r="E242" s="722"/>
      <c r="F242" s="721"/>
      <c r="G242" s="701"/>
      <c r="H242" s="700"/>
      <c r="I242" s="700"/>
      <c r="J242" s="126" t="s">
        <v>87</v>
      </c>
      <c r="K242" s="126" t="str">
        <f>IFERROR(
  IF(B242="", "", VLOOKUP(B242, Data!$B$2:$K$905, 7, FALSE)),
  ""
)</f>
        <v/>
      </c>
      <c r="L242" s="712"/>
      <c r="M242" s="150">
        <f>M238</f>
        <v>140.8</v>
      </c>
      <c r="N242" s="151">
        <f t="shared" si="189"/>
        <v>1</v>
      </c>
      <c r="O242" s="169">
        <v>1.0</v>
      </c>
      <c r="P242" s="134">
        <v>1.0</v>
      </c>
      <c r="Q242" s="168">
        <f t="shared" si="185"/>
        <v>140.8</v>
      </c>
      <c r="R242" s="136" t="str">
        <f>IFERROR(
  IF(B242="", "", VLOOKUP(B242, Data!$B$2:$K$905, 9, FALSE)),
  ""
)</f>
        <v/>
      </c>
      <c r="S242" s="152">
        <f t="shared" si="186"/>
        <v>0</v>
      </c>
      <c r="T242" s="690"/>
      <c r="U242" s="136" t="str">
        <f>IFERROR(
  IF(B242="", "", VLOOKUP(B242, Data!$B$2:$K$905, 10, FALSE)),
  ""
)
</f>
        <v/>
      </c>
      <c r="V242" s="691"/>
      <c r="W242" s="140">
        <f t="shared" si="187"/>
        <v>0</v>
      </c>
      <c r="X242" s="692"/>
      <c r="Y242" s="595"/>
      <c r="Z242" s="595"/>
      <c r="AA242" s="595"/>
      <c r="AB242" s="354">
        <f t="shared" si="188"/>
        <v>0</v>
      </c>
      <c r="AC242" s="181"/>
      <c r="AD242" s="625"/>
      <c r="AE242" s="626"/>
      <c r="AF242" s="696"/>
      <c r="AG242" s="697"/>
      <c r="AH242" s="629"/>
      <c r="AI242" s="187"/>
      <c r="AJ242" s="630"/>
      <c r="AK242" s="630"/>
      <c r="AL242" s="595"/>
      <c r="AM242" s="595"/>
      <c r="AN242" s="595"/>
      <c r="AO242" s="595"/>
      <c r="AP242" s="595"/>
      <c r="AQ242" s="595"/>
      <c r="AR242" s="595"/>
      <c r="AS242" s="595"/>
      <c r="AT242" s="595"/>
      <c r="AU242" s="595"/>
      <c r="AV242" s="595"/>
      <c r="AW242" s="595"/>
      <c r="AX242" s="595"/>
      <c r="AY242" s="595"/>
      <c r="AZ242" s="595"/>
      <c r="BA242" s="595"/>
      <c r="BB242" s="595"/>
      <c r="BC242" s="595"/>
      <c r="BD242" s="595"/>
      <c r="BE242" s="595"/>
      <c r="BF242" s="595"/>
      <c r="BG242" s="595"/>
      <c r="BH242" s="595"/>
      <c r="BI242" s="651"/>
      <c r="BJ242" s="651"/>
      <c r="BK242" s="651"/>
      <c r="BL242" s="651"/>
      <c r="BM242" s="651"/>
      <c r="BN242" s="651"/>
      <c r="BO242" s="651"/>
      <c r="BP242" s="651"/>
      <c r="BQ242" s="651"/>
      <c r="BR242" s="651"/>
      <c r="BS242" s="651"/>
      <c r="BT242" s="651"/>
    </row>
    <row r="243">
      <c r="A243" s="631"/>
      <c r="B243" s="154" t="str">
        <f>IFERROR(__xludf.DUMMYFUNCTION("IFERROR(
  IF(C243="""","""",
    IF(OR(REGEXMATCH(D243,""(?i)-Flashing""), REGEXMATCH(D243,""(?i)-EavesGut""), REGEXMATCH(D243,""(?i)Valley"")),
        ""DR"" &amp;
        TEXT(
            ROUNDUP(
                MIN(
                    VALUE(MID(C243, "&amp;"FIND(""("",C243)+1, FIND(""/"",C243)-FIND(""("",C243)-1)),
                    1200
                ) / 50, 0
            ) * 50, ""0""
        ) &amp;
        MID(C243, FIND(""/"",C243)+1, FIND("")"",C243)-FIND(""/"",C243)-1) &amp;
        TEXT(H243*100,""0"") &amp;"&amp;"
        I243,
    IF(AND(D243=""Roof Sheet"", REGEXMATCH(C243,""(?i)KS\d{4}[A-Z]{2}"")),
       REGEXEXTRACT(C243,""(?i)KS\d{4}[A-Z]{2}""),
    IF(AND(REGEXMATCH(D243,""(?i)-DP""), REGEXMATCH(C243,""(?i)Downpipe"")),
       ""dp"" &amp; REGEXEXTRACT(C243,""("&amp;"\d+)"") &amp; ""mm"",
    IF(AND(REGEXMATCH(D243,""(?i)Bracket""), REGEXMATCH(C243,""(?i)Bracket"")),
       ""Brkt"" &amp; REGEXEXTRACT(C243,""(\d+)"") &amp; ""mm"",
    IF(AND(REGEXMATCH(D243,""(?i)-OP""), REGEXMATCH(C243,""(?i)pops"")),
       ""op"" &amp; REGEXEXTRAC"&amp;"T(C243,""(\d+)"") &amp; ""mm"",
    IF(OR(D243=""R-FFTop"", D243=""R-FFBottom"", D243=""R-FFSide""),
        IF(REGEXMATCH(C243,""(?i)Profiled.*Top|Top.*Profiled""),""pfft"",
        IF(REGEXMATCH(C243,""(?i)Profiled.*Bottom|Bottom.*Profiled""),""pffb"",
    "&amp;"    IF(REGEXMATCH(C243,""(?i)Square""),""sff"",""""))),
    IF(REGEXMATCH(D243,""(?i)-Rivets""),""Rvt"",
    IF(REGEXMATCH(D243,""(?i)Silicone""),""300ml"",
    IF(REGEXMATCH(D243,""(?i)R-Butyl""),""300ml"",
    IF(REGEXMATCH(D243,""(?i)Fix""),""GenFix"","&amp;"
    IF(AND(REGEXMATCH(C243,""(?i)Timber""), REGEXMATCH(D243,""(?i)Timber"")),""tp"",
    IF(AND(REGEXMATCH(C243,""(?i)Vent G1275""), REGEXMATCH(D243,""(?i)Comb FIller"")),""CFV1275"",
    IF(REGEXMATCH(C243,""(?i)DPC""),""dpc"",
    IF(REGEXMATCH(C243,"""&amp;"(?i)Concealed Clips""),""ConClips"",
    IF(REGEXMATCH(D243,""(?i)-Takeoff ea""),""Takeoff ea"",
    IF(REGEXMATCH(D243,""(?i)-Takeoff LM""),""Takeoff LM"",
    IF(REGEXMATCH(D243,""(?i)-Takeoff m2""),""Takeoff m2"",
    IF(D243=""R-TU/TD"",""TU/TD"","""""&amp;")))))))))))))))))
  )))"),"TU/TD")</f>
        <v>TU/TD</v>
      </c>
      <c r="C243" s="158" t="s">
        <v>446</v>
      </c>
      <c r="D243" s="686" t="s">
        <v>107</v>
      </c>
      <c r="E243" s="722"/>
      <c r="F243" s="721"/>
      <c r="G243" s="701"/>
      <c r="H243" s="700"/>
      <c r="I243" s="700"/>
      <c r="J243" s="126" t="s">
        <v>87</v>
      </c>
      <c r="K243" s="126" t="str">
        <f>IFERROR(
  IF(B243="", "", VLOOKUP(B243, Data!$B$2:$K$905, 7, FALSE)),
  ""
)</f>
        <v/>
      </c>
      <c r="L243" s="704"/>
      <c r="M243" s="150">
        <f>M238</f>
        <v>140.8</v>
      </c>
      <c r="N243" s="151">
        <f t="shared" si="189"/>
        <v>1</v>
      </c>
      <c r="O243" s="169">
        <v>1.0</v>
      </c>
      <c r="P243" s="134">
        <v>1.0</v>
      </c>
      <c r="Q243" s="168">
        <f t="shared" si="185"/>
        <v>140.8</v>
      </c>
      <c r="R243" s="681" t="str">
        <f>IFERROR(
  IF(B243="", "", VLOOKUP(B243, Data!$B$2:$K$905, 9, FALSE)),
  ""
)</f>
        <v/>
      </c>
      <c r="S243" s="152">
        <f t="shared" si="186"/>
        <v>0</v>
      </c>
      <c r="T243" s="690"/>
      <c r="U243" s="136" t="str">
        <f>IFERROR(
  IF(B243="", "", VLOOKUP(B243, Data!$B$2:$K$905, 10, FALSE)),
  ""
)
</f>
        <v/>
      </c>
      <c r="V243" s="691"/>
      <c r="W243" s="140">
        <f t="shared" si="187"/>
        <v>0</v>
      </c>
      <c r="X243" s="692"/>
      <c r="Y243" s="595"/>
      <c r="Z243" s="595"/>
      <c r="AA243" s="595"/>
      <c r="AB243" s="354">
        <f t="shared" si="188"/>
        <v>0</v>
      </c>
      <c r="AC243" s="181"/>
      <c r="AD243" s="625"/>
      <c r="AE243" s="626"/>
      <c r="AF243" s="696"/>
      <c r="AG243" s="697"/>
      <c r="AH243" s="629"/>
      <c r="AI243" s="187"/>
      <c r="AJ243" s="630"/>
      <c r="AK243" s="630"/>
      <c r="AL243" s="595"/>
      <c r="AM243" s="595"/>
      <c r="AN243" s="595"/>
      <c r="AO243" s="595"/>
      <c r="AP243" s="595"/>
      <c r="AQ243" s="595"/>
      <c r="AR243" s="595"/>
      <c r="AS243" s="595"/>
      <c r="AT243" s="595"/>
      <c r="AU243" s="595"/>
      <c r="AV243" s="595"/>
      <c r="AW243" s="595"/>
      <c r="AX243" s="595"/>
      <c r="AY243" s="595"/>
      <c r="AZ243" s="595"/>
      <c r="BA243" s="595"/>
      <c r="BB243" s="595"/>
      <c r="BC243" s="595"/>
      <c r="BD243" s="595"/>
      <c r="BE243" s="595"/>
      <c r="BF243" s="595"/>
      <c r="BG243" s="595"/>
      <c r="BH243" s="595"/>
      <c r="BI243" s="651"/>
      <c r="BJ243" s="651"/>
      <c r="BK243" s="651"/>
      <c r="BL243" s="651"/>
      <c r="BM243" s="651"/>
      <c r="BN243" s="651"/>
      <c r="BO243" s="651"/>
      <c r="BP243" s="651"/>
      <c r="BQ243" s="651"/>
      <c r="BR243" s="651"/>
      <c r="BS243" s="651"/>
      <c r="BT243" s="651"/>
    </row>
    <row r="244">
      <c r="A244" s="631"/>
      <c r="B244" s="154"/>
      <c r="C244" s="700"/>
      <c r="D244" s="124"/>
      <c r="E244" s="722"/>
      <c r="F244" s="721"/>
      <c r="G244" s="701"/>
      <c r="H244" s="700"/>
      <c r="I244" s="700"/>
      <c r="J244" s="701"/>
      <c r="K244" s="701"/>
      <c r="L244" s="712"/>
      <c r="M244" s="704"/>
      <c r="N244" s="711"/>
      <c r="O244" s="712"/>
      <c r="P244" s="700"/>
      <c r="Q244" s="712"/>
      <c r="R244" s="681" t="str">
        <f>IFERROR(
  IF(B244="", "", VLOOKUP(B244, Data!$B$2:$K$905, 9, FALSE)),
  ""
)</f>
        <v/>
      </c>
      <c r="S244" s="691"/>
      <c r="T244" s="690"/>
      <c r="U244" s="681" t="str">
        <f>IFERROR(
  IF(B244="", "", VLOOKUP(B244, Data!$B$2:$K$905, 10, FALSE)),
  ""
)
</f>
        <v/>
      </c>
      <c r="V244" s="691"/>
      <c r="W244" s="713"/>
      <c r="X244" s="692"/>
      <c r="Y244" s="595"/>
      <c r="Z244" s="595"/>
      <c r="AA244" s="595"/>
      <c r="AB244" s="354">
        <f t="shared" si="188"/>
        <v>0</v>
      </c>
      <c r="AC244" s="181"/>
      <c r="AD244" s="625"/>
      <c r="AE244" s="626"/>
      <c r="AF244" s="696"/>
      <c r="AG244" s="697"/>
      <c r="AH244" s="629"/>
      <c r="AI244" s="187"/>
      <c r="AJ244" s="630"/>
      <c r="AK244" s="630"/>
      <c r="AL244" s="595"/>
      <c r="AM244" s="595"/>
      <c r="AN244" s="595"/>
      <c r="AO244" s="595"/>
      <c r="AP244" s="595"/>
      <c r="AQ244" s="595"/>
      <c r="AR244" s="595"/>
      <c r="AS244" s="595"/>
      <c r="AT244" s="595"/>
      <c r="AU244" s="595"/>
      <c r="AV244" s="595"/>
      <c r="AW244" s="595"/>
      <c r="AX244" s="595"/>
      <c r="AY244" s="595"/>
      <c r="AZ244" s="595"/>
      <c r="BA244" s="595"/>
      <c r="BB244" s="595"/>
      <c r="BC244" s="595"/>
      <c r="BD244" s="595"/>
      <c r="BE244" s="595"/>
      <c r="BF244" s="595"/>
      <c r="BG244" s="595"/>
      <c r="BH244" s="595"/>
      <c r="BI244" s="651"/>
      <c r="BJ244" s="651"/>
      <c r="BK244" s="651"/>
      <c r="BL244" s="651"/>
      <c r="BM244" s="651"/>
      <c r="BN244" s="651"/>
      <c r="BO244" s="651"/>
      <c r="BP244" s="651"/>
      <c r="BQ244" s="651"/>
      <c r="BR244" s="651"/>
      <c r="BS244" s="651"/>
      <c r="BT244" s="651"/>
    </row>
    <row r="245">
      <c r="A245" s="631">
        <v>1.0</v>
      </c>
      <c r="B245" s="727"/>
      <c r="C245" s="103" t="s">
        <v>505</v>
      </c>
      <c r="D245" s="192"/>
      <c r="E245" s="679"/>
      <c r="F245" s="677"/>
      <c r="G245" s="678"/>
      <c r="H245" s="678"/>
      <c r="I245" s="678"/>
      <c r="J245" s="678"/>
      <c r="K245" s="678" t="s">
        <v>42</v>
      </c>
      <c r="L245" s="106">
        <f>Q245</f>
        <v>76.75519032</v>
      </c>
      <c r="M245" s="679" t="s">
        <v>42</v>
      </c>
      <c r="N245" s="680" t="s">
        <v>42</v>
      </c>
      <c r="O245" s="679"/>
      <c r="P245" s="678"/>
      <c r="Q245" s="106">
        <f>Q246</f>
        <v>76.75519032</v>
      </c>
      <c r="R245" s="681" t="str">
        <f>IFERROR(
  IF(B245="", "", VLOOKUP(B245, Data!$B$2:$K$905, 9, FALSE)),
  ""
)</f>
        <v/>
      </c>
      <c r="S245" s="109">
        <f>T245/Q245</f>
        <v>0</v>
      </c>
      <c r="T245" s="109">
        <f>SUM(S246:S251)</f>
        <v>0</v>
      </c>
      <c r="U245" s="681" t="str">
        <f>IFERROR(
  IF(B245="", "", VLOOKUP(B245, Data!$B$2:$K$905, 10, FALSE)),
  ""
)
</f>
        <v/>
      </c>
      <c r="V245" s="109">
        <f>W245/Q245</f>
        <v>0</v>
      </c>
      <c r="W245" s="110">
        <f>SUM(W246:W251)</f>
        <v>0</v>
      </c>
      <c r="X245" s="111" t="str">
        <f>W245/$AC$758/$W$765/$X$755</f>
        <v>#REF!</v>
      </c>
      <c r="Y245" s="112" t="b">
        <f>(T245+W245)=(SUM(AB246:AB251))</f>
        <v>1</v>
      </c>
      <c r="Z245" s="222">
        <f>(T245+W245)-(SUM(AB246:AB251))</f>
        <v>0</v>
      </c>
      <c r="AA245" s="595"/>
      <c r="AB245" s="595"/>
      <c r="AC245" s="181"/>
      <c r="AD245" s="114">
        <f>W245+T245</f>
        <v>0</v>
      </c>
      <c r="AE245" s="115">
        <f>AD245</f>
        <v>0</v>
      </c>
      <c r="AF245" s="116" t="str">
        <f>AE245/$AE$733</f>
        <v>#REF!</v>
      </c>
      <c r="AG245" s="683" t="str">
        <f>AF245*$AG$740</f>
        <v>#REF!</v>
      </c>
      <c r="AH245" s="118" t="str">
        <f>AF245*$AG$743</f>
        <v>#REF!</v>
      </c>
      <c r="AI245" s="187"/>
      <c r="AJ245" s="119" t="str">
        <f>ROUND(AK245/L245,2)</f>
        <v>#REF!</v>
      </c>
      <c r="AK245" s="119" t="str">
        <f>ROUND(AH245+AG245+AD245,2)</f>
        <v>#REF!</v>
      </c>
      <c r="AL245" s="595"/>
      <c r="AM245" s="595"/>
      <c r="AN245" s="595"/>
      <c r="AO245" s="595"/>
      <c r="AP245" s="595"/>
      <c r="AQ245" s="595"/>
      <c r="AR245" s="595"/>
      <c r="AS245" s="595"/>
      <c r="AT245" s="595"/>
      <c r="AU245" s="595"/>
      <c r="AV245" s="595"/>
      <c r="AW245" s="595"/>
      <c r="AX245" s="595"/>
      <c r="AY245" s="595"/>
      <c r="AZ245" s="595"/>
      <c r="BA245" s="595"/>
      <c r="BB245" s="595"/>
      <c r="BC245" s="595"/>
      <c r="BD245" s="595"/>
      <c r="BE245" s="595"/>
      <c r="BF245" s="595"/>
      <c r="BG245" s="595"/>
      <c r="BH245" s="595"/>
      <c r="BI245" s="651"/>
      <c r="BJ245" s="651"/>
      <c r="BK245" s="651"/>
      <c r="BL245" s="651"/>
      <c r="BM245" s="651"/>
      <c r="BN245" s="651"/>
      <c r="BO245" s="651"/>
      <c r="BP245" s="651"/>
      <c r="BQ245" s="651"/>
      <c r="BR245" s="651"/>
      <c r="BS245" s="651"/>
      <c r="BT245" s="651"/>
    </row>
    <row r="246">
      <c r="A246" s="716" t="s">
        <v>444</v>
      </c>
      <c r="B246" s="154" t="str">
        <f>IFERROR(__xludf.DUMMYFUNCTION("IFERROR(
  IF(C246="""","""",
    IF(OR(REGEXMATCH(D246,""(?i)-Flashing""), REGEXMATCH(D246,""(?i)-EavesGut""), REGEXMATCH(D246,""(?i)Valley"")),
        ""DR"" &amp;
        TEXT(
            ROUNDUP(
                VALUE(MID(C246, FIND(""("",C246)+1, FIND("&amp;"""/"",C246)-FIND(""("",C246)-1)) / 50,
            0) * 50, ""0""
        ) &amp;
        MID(C246, FIND(""/"",C246)+1, FIND("")"",C246)-FIND(""/"",C246)-1) &amp;
        TEXT(H246*100,""0"") &amp;
        I246,
    IF(AND(D246=""Roof Sheet"", REGEXMATCH(C246,""(?i)K"&amp;"S\d{4}[A-Z]{2}"")),
       REGEXEXTRACT(C246,""(?i)KS\d{4}[A-Z]{2}""),
    IF(AND(REGEXMATCH(D246,""(?i)-DP""), REGEXMATCH(C246,""(?i)Downpipe"")),
       ""dp"" &amp; REGEXEXTRACT(C246,""(\d+)"") &amp; ""mm"",
    IF(AND(REGEXMATCH(D246,""(?i)Bracket""), REGEXMA"&amp;"TCH(C246,""(?i)Bracket"")),
       ""Brkt"" &amp; REGEXEXTRACT(C246,""(\d+)"") &amp; ""mm"",
    IF(AND(REGEXMATCH(D246,""(?i)-OP""), REGEXMATCH(C246,""(?i)pops"")),
       ""op"" &amp; REGEXEXTRACT(C246,""(\d+)"") &amp; ""mm"",
    IF(OR(D246=""R-FFTop"", D246=""R-FFBot"&amp;"tom"", D246=""R-FFSide""),
        IF(REGEXMATCH(C246,""(?i)Profiled.*Top|Top.*Profiled""),""pfft"",
        IF(REGEXMATCH(C246,""(?i)Profiled.*Bottom|Bottom.*Profiled""),""pffb"",
        IF(REGEXMATCH(C246,""(?i)Square""),""sff"",""""))),
    IF(REGEXMA"&amp;"TCH(D246,""(?i)-Rivets""),""Rvt"",
    IF(REGEXMATCH(D246,""(?i)Silicone""),""300ml"",
    IF(REGEXMATCH(D246,""(?i)R-Butyl""),""300ml"",
    IF(REGEXMATCH(D246,""(?i)Fix""),""GenFix"",
    IF(AND(REGEXMATCH(C246,""(?i)Timber""), REGEXMATCH(D246,""(?i)Tim"&amp;"ber"")),""tp"",
    IF(AND(REGEXMATCH(C246,""(?i)Vent G1275""), REGEXMATCH(D246,""(?i)Comb FIller"")),""CFV1275"",
    IF(REGEXMATCH(C246,""(?i)DPC""),""dpc"",
    IF(REGEXMATCH(C246,""(?i)Concealed Clips""),""ConClips"",
    IF(REGEXMATCH(D246,""(?i)-Tak"&amp;"eoff ea""),""Takeoff ea"",
    IF(REGEXMATCH(D246,""(?i)-Takeoff LM""),""Takeoff LM"",
    IF(REGEXMATCH(D246,""(?i)-Takeoff m2""),""Takeoff m2"",
    IF(D246=""R-TU/TD"",""TU/TD"","""")))))))))))))))))
  )))"),"DR26002B55Mag")</f>
        <v>DR26002B55Mag</v>
      </c>
      <c r="C246" s="123" t="s">
        <v>506</v>
      </c>
      <c r="D246" s="202" t="s">
        <v>96</v>
      </c>
      <c r="E246" s="168">
        <f>VALUE(MID(C246, FIND("(", C246)+1, FIND("/", C246)-FIND("(", C246)-1)) / 1000</f>
        <v>2.6</v>
      </c>
      <c r="F246" s="699"/>
      <c r="G246" s="689" t="s">
        <v>501</v>
      </c>
      <c r="H246" s="128" t="str">
        <f>IFERROR(__xludf.DUMMYFUNCTION("IFERROR(REGEXEXTRACT(C246, ""(\d*\.\d+)mm""), """")"),"0.55")</f>
        <v>0.55</v>
      </c>
      <c r="I246" s="128" t="s">
        <v>97</v>
      </c>
      <c r="J246" s="126" t="s">
        <v>14</v>
      </c>
      <c r="K246" s="126" t="str">
        <f>IFERROR(
  IF(B246="", "", VLOOKUP(B246, Data!$B$2:$K$905, 7, FALSE)),
  ""
)</f>
        <v/>
      </c>
      <c r="L246" s="704"/>
      <c r="M246" s="730">
        <v>25.55</v>
      </c>
      <c r="N246" s="151">
        <f>IFERROR(__xludf.DUMMYFUNCTION("IF(
  AND(
    IFERROR(REGEXEXTRACT(C246,""@\s*(\d+(?:\.\d+)?)\s*deg""),"""")&lt;&gt;"""",
    F246&lt;&gt;""""
  ),
  ""Pls Confirm °"",
  IF(
    IFERROR(REGEXEXTRACT(C246,""@\s*(\d+(?:\.\d+)?)\s*deg""),"""")&lt;&gt;"""",
    1/COS(RADIANS(REGEXEXTRACT(C246,""@\s*(\d+(?:"&amp;"\.\d+)?)\s*deg""))),
    IF(
      F246&lt;&gt;"""",
      IF(
        ISNUMBER(SEARCH(""|"",F246)),
        1/COS(
          ATAN(
            TAN(RADIANS(VALUE(INDEX(SPLIT(F246,""|""),1)))) *
            TAN(RADIANS(VALUE(INDEX(SPLIT(F246,""|""),2))))
       "&amp;"     /
            SQRT(
              TAN(RADIANS(VALUE(INDEX(SPLIT(F246,""|""),1))))^2 +
              TAN(RADIANS(VALUE(INDEX(SPLIT(F246,""|""),2))))^2
            )
          )
        ),
        1/COS(RADIANS(VALUE(F246)))
      ),
      1
    )
  )
"&amp;")"),1.001372345997921)</f>
        <v>1.001372346</v>
      </c>
      <c r="O246" s="169">
        <v>1.0</v>
      </c>
      <c r="P246" s="156">
        <v>3.0</v>
      </c>
      <c r="Q246" s="168">
        <f t="shared" ref="Q246:Q251" si="190">M246*N246*O246*P246</f>
        <v>76.75519032</v>
      </c>
      <c r="R246" s="136" t="str">
        <f>IFERROR(
  IF(B246="", "", VLOOKUP(B246, Data!$B$2:$K$905, 9, FALSE)),
  ""
)</f>
        <v/>
      </c>
      <c r="S246" s="137">
        <f t="shared" ref="S246:S251" si="191">R246*Q246</f>
        <v>0</v>
      </c>
      <c r="T246" s="690"/>
      <c r="U246" s="136" t="str">
        <f>IFERROR(
  IF(B246="", "", VLOOKUP(B246, Data!$B$2:$K$905, 10, FALSE)),
  ""
)
</f>
        <v/>
      </c>
      <c r="V246" s="691"/>
      <c r="W246" s="140">
        <f t="shared" ref="W246:W251" si="192">U246*Q246</f>
        <v>0</v>
      </c>
      <c r="X246" s="693"/>
      <c r="Y246" s="595"/>
      <c r="Z246" s="595"/>
      <c r="AA246" s="595"/>
      <c r="AB246" s="354">
        <f t="shared" ref="AB246:AB251" si="193">W246+S246</f>
        <v>0</v>
      </c>
      <c r="AC246" s="181"/>
      <c r="AD246" s="625"/>
      <c r="AE246" s="626"/>
      <c r="AF246" s="696"/>
      <c r="AG246" s="697"/>
      <c r="AH246" s="629"/>
      <c r="AI246" s="187"/>
      <c r="AJ246" s="630"/>
      <c r="AK246" s="630"/>
      <c r="AL246" s="595"/>
      <c r="AM246" s="595"/>
      <c r="AN246" s="595"/>
      <c r="AO246" s="595"/>
      <c r="AP246" s="595"/>
      <c r="AQ246" s="595"/>
      <c r="AR246" s="595"/>
      <c r="AS246" s="595"/>
      <c r="AT246" s="595"/>
      <c r="AU246" s="595"/>
      <c r="AV246" s="595"/>
      <c r="AW246" s="595"/>
      <c r="AX246" s="595"/>
      <c r="AY246" s="595"/>
      <c r="AZ246" s="595"/>
      <c r="BA246" s="595"/>
      <c r="BB246" s="595"/>
      <c r="BC246" s="595"/>
      <c r="BD246" s="595"/>
      <c r="BE246" s="595"/>
      <c r="BF246" s="595"/>
      <c r="BG246" s="595"/>
      <c r="BH246" s="595"/>
      <c r="BI246" s="651"/>
      <c r="BJ246" s="651"/>
      <c r="BK246" s="651"/>
      <c r="BL246" s="651"/>
      <c r="BM246" s="651"/>
      <c r="BN246" s="651"/>
      <c r="BO246" s="651"/>
      <c r="BP246" s="651"/>
      <c r="BQ246" s="651"/>
      <c r="BR246" s="651"/>
      <c r="BS246" s="651"/>
      <c r="BT246" s="651"/>
    </row>
    <row r="247">
      <c r="A247" s="631"/>
      <c r="B247" s="154" t="str">
        <f>IFERROR(__xludf.DUMMYFUNCTION("IFERROR(
  IF(C247="""","""",
    IF(OR(REGEXMATCH(D247,""(?i)-Flashing""), REGEXMATCH(D247,""(?i)-EavesGut""), REGEXMATCH(D247,""(?i)Valley"")),
        ""DR"" &amp;
        TEXT(
            ROUNDUP(
                MIN(
                    VALUE(MID(C247, "&amp;"FIND(""("",C247)+1, FIND(""/"",C247)-FIND(""("",C247)-1)),
                    1200
                ) / 50, 0
            ) * 50, ""0""
        ) &amp;
        MID(C247, FIND(""/"",C247)+1, FIND("")"",C247)-FIND(""/"",C247)-1) &amp;
        TEXT(H247*100,""0"") &amp;"&amp;"
        I247,
    IF(AND(D247=""Roof Sheet"", REGEXMATCH(C247,""(?i)KS\d{4}[A-Z]{2}"")),
       REGEXEXTRACT(C247,""(?i)KS\d{4}[A-Z]{2}""),
    IF(AND(REGEXMATCH(D247,""(?i)-DP""), REGEXMATCH(C247,""(?i)Downpipe"")),
       ""dp"" &amp; REGEXEXTRACT(C247,""("&amp;"\d+)"") &amp; ""mm"",
    IF(AND(REGEXMATCH(D247,""(?i)Bracket""), REGEXMATCH(C247,""(?i)Bracket"")),
       ""Brkt"" &amp; REGEXEXTRACT(C247,""(\d+)"") &amp; ""mm"",
    IF(AND(REGEXMATCH(D247,""(?i)-OP""), REGEXMATCH(C247,""(?i)pops"")),
       ""op"" &amp; REGEXEXTRAC"&amp;"T(C247,""(\d+)"") &amp; ""mm"",
    IF(OR(D247=""R-FFTop"", D247=""R-FFBottom"", D247=""R-FFSide""),
        IF(REGEXMATCH(C247,""(?i)Profiled.*Top|Top.*Profiled""),""pfft"",
        IF(REGEXMATCH(C247,""(?i)Profiled.*Bottom|Bottom.*Profiled""),""pffb"",
    "&amp;"    IF(REGEXMATCH(C247,""(?i)Square""),""sff"",""""))),
    IF(REGEXMATCH(D247,""(?i)-Rivets""),""Rvt"",
    IF(REGEXMATCH(D247,""(?i)Silicone""),""300ml"",
    IF(REGEXMATCH(D247,""(?i)R-Butyl""),""300ml"",
    IF(REGEXMATCH(D247,""(?i)Fix""),""GenFix"","&amp;"
    IF(AND(REGEXMATCH(C247,""(?i)Timber""), REGEXMATCH(D247,""(?i)Timber"")),""tp"",
    IF(AND(REGEXMATCH(C247,""(?i)Vent G1275""), REGEXMATCH(D247,""(?i)Comb FIller"")),""CFV1275"",
    IF(REGEXMATCH(C247,""(?i)DPC""),""dpc"",
    IF(REGEXMATCH(C247,"""&amp;"(?i)Concealed Clips""),""ConClips"",
    IF(REGEXMATCH(D247,""(?i)-Takeoff ea""),""Takeoff ea"",
    IF(REGEXMATCH(D247,""(?i)-Takeoff LM""),""Takeoff LM"",
    IF(REGEXMATCH(D247,""(?i)-Takeoff m2""),""Takeoff m2"",
    IF(D247=""R-TU/TD"",""TU/TD"","""""&amp;")))))))))))))))))
  )))"),"300ml")</f>
        <v>300ml</v>
      </c>
      <c r="C247" s="225" t="s">
        <v>98</v>
      </c>
      <c r="D247" s="202" t="s">
        <v>99</v>
      </c>
      <c r="E247" s="168">
        <f>E246</f>
        <v>2.6</v>
      </c>
      <c r="F247" s="699"/>
      <c r="G247" s="700"/>
      <c r="H247" s="700" t="str">
        <f>IFERROR(__xludf.DUMMYFUNCTION("IFERROR(REGEXEXTRACT(C247, ""(\d*\.\d+)mm""), """")"),"")</f>
        <v/>
      </c>
      <c r="I247" s="700"/>
      <c r="J247" s="126" t="s">
        <v>87</v>
      </c>
      <c r="K247" s="126" t="str">
        <f>IFERROR(
  IF(B247="", "", VLOOKUP(B247, Data!$B$2:$K$905, 7, FALSE)),
  ""
)</f>
        <v/>
      </c>
      <c r="L247" s="704"/>
      <c r="M247" s="150">
        <f>(ROUNDDOWN((M246/5.7)+2,0)*E247)/8</f>
        <v>1.95</v>
      </c>
      <c r="N247" s="151">
        <f t="shared" ref="N247:N250" si="194">N246</f>
        <v>1.001372346</v>
      </c>
      <c r="O247" s="169">
        <v>1.0</v>
      </c>
      <c r="P247" s="134">
        <f t="shared" ref="P247:P249" si="195">P246</f>
        <v>3</v>
      </c>
      <c r="Q247" s="168">
        <f t="shared" si="190"/>
        <v>5.858028224</v>
      </c>
      <c r="R247" s="136" t="str">
        <f>IFERROR(
  IF(B247="", "", VLOOKUP(B247, Data!$B$2:$K$905, 9, FALSE)),
  ""
)</f>
        <v/>
      </c>
      <c r="S247" s="137">
        <f t="shared" si="191"/>
        <v>0</v>
      </c>
      <c r="T247" s="690"/>
      <c r="U247" s="681" t="str">
        <f>IFERROR(
  IF(B247="", "", VLOOKUP(B247, Data!$B$2:$K$905, 10, FALSE)),
  ""
)
</f>
        <v/>
      </c>
      <c r="V247" s="691"/>
      <c r="W247" s="140">
        <f t="shared" si="192"/>
        <v>0</v>
      </c>
      <c r="X247" s="692"/>
      <c r="Y247" s="595"/>
      <c r="Z247" s="595"/>
      <c r="AA247" s="595"/>
      <c r="AB247" s="354">
        <f t="shared" si="193"/>
        <v>0</v>
      </c>
      <c r="AC247" s="181"/>
      <c r="AD247" s="625"/>
      <c r="AE247" s="626"/>
      <c r="AF247" s="696"/>
      <c r="AG247" s="697"/>
      <c r="AH247" s="629"/>
      <c r="AI247" s="187"/>
      <c r="AJ247" s="630"/>
      <c r="AK247" s="630"/>
      <c r="AL247" s="595"/>
      <c r="AM247" s="595"/>
      <c r="AN247" s="595"/>
      <c r="AO247" s="595"/>
      <c r="AP247" s="595"/>
      <c r="AQ247" s="595"/>
      <c r="AR247" s="595"/>
      <c r="AS247" s="595"/>
      <c r="AT247" s="595"/>
      <c r="AU247" s="595"/>
      <c r="AV247" s="595"/>
      <c r="AW247" s="595"/>
      <c r="AX247" s="595"/>
      <c r="AY247" s="595"/>
      <c r="AZ247" s="595"/>
      <c r="BA247" s="595"/>
      <c r="BB247" s="595"/>
      <c r="BC247" s="595"/>
      <c r="BD247" s="595"/>
      <c r="BE247" s="595"/>
      <c r="BF247" s="595"/>
      <c r="BG247" s="595"/>
      <c r="BH247" s="595"/>
      <c r="BI247" s="651"/>
      <c r="BJ247" s="651"/>
      <c r="BK247" s="651"/>
      <c r="BL247" s="651"/>
      <c r="BM247" s="651"/>
      <c r="BN247" s="651"/>
      <c r="BO247" s="651"/>
      <c r="BP247" s="651"/>
      <c r="BQ247" s="651"/>
      <c r="BR247" s="651"/>
      <c r="BS247" s="651"/>
      <c r="BT247" s="651"/>
    </row>
    <row r="248">
      <c r="A248" s="631"/>
      <c r="B248" s="154" t="str">
        <f>IFERROR(__xludf.DUMMYFUNCTION("IFERROR(
  IF(C248="""","""",
    IF(OR(REGEXMATCH(D248,""(?i)-Flashing""), REGEXMATCH(D248,""(?i)-EavesGut""), REGEXMATCH(D248,""(?i)Valley"")),
        ""DR"" &amp;
        TEXT(
            ROUNDUP(
                MIN(
                    VALUE(MID(C248, "&amp;"FIND(""("",C248)+1, FIND(""/"",C248)-FIND(""("",C248)-1)),
                    1200
                ) / 50, 0
            ) * 50, ""0""
        ) &amp;
        MID(C248, FIND(""/"",C248)+1, FIND("")"",C248)-FIND(""/"",C248)-1) &amp;
        TEXT(H248*100,""0"") &amp;"&amp;"
        I248,
    IF(AND(D248=""Roof Sheet"", REGEXMATCH(C248,""(?i)KS\d{4}[A-Z]{2}"")),
       REGEXEXTRACT(C248,""(?i)KS\d{4}[A-Z]{2}""),
    IF(AND(REGEXMATCH(D248,""(?i)-DP""), REGEXMATCH(C248,""(?i)Downpipe"")),
       ""dp"" &amp; REGEXEXTRACT(C248,""("&amp;"\d+)"") &amp; ""mm"",
    IF(AND(REGEXMATCH(D248,""(?i)Bracket""), REGEXMATCH(C248,""(?i)Bracket"")),
       ""Brkt"" &amp; REGEXEXTRACT(C248,""(\d+)"") &amp; ""mm"",
    IF(AND(REGEXMATCH(D248,""(?i)-OP""), REGEXMATCH(C248,""(?i)pops"")),
       ""op"" &amp; REGEXEXTRAC"&amp;"T(C248,""(\d+)"") &amp; ""mm"",
    IF(OR(D248=""R-FFTop"", D248=""R-FFBottom"", D248=""R-FFSide""),
        IF(REGEXMATCH(C248,""(?i)Profiled.*Top|Top.*Profiled""),""pfft"",
        IF(REGEXMATCH(C248,""(?i)Profiled.*Bottom|Bottom.*Profiled""),""pffb"",
    "&amp;"    IF(REGEXMATCH(C248,""(?i)Square""),""sff"",""""))),
    IF(REGEXMATCH(D248,""(?i)-Rivets""),""Rvt"",
    IF(REGEXMATCH(D248,""(?i)Silicone""),""300ml"",
    IF(REGEXMATCH(D248,""(?i)R-Butyl""),""300ml"",
    IF(REGEXMATCH(D248,""(?i)Fix""),""GenFix"","&amp;"
    IF(AND(REGEXMATCH(C248,""(?i)Timber""), REGEXMATCH(D248,""(?i)Timber"")),""tp"",
    IF(AND(REGEXMATCH(C248,""(?i)Vent G1275""), REGEXMATCH(D248,""(?i)Comb FIller"")),""CFV1275"",
    IF(REGEXMATCH(C248,""(?i)DPC""),""dpc"",
    IF(REGEXMATCH(C248,"""&amp;"(?i)Concealed Clips""),""ConClips"",
    IF(REGEXMATCH(D248,""(?i)-Takeoff ea""),""Takeoff ea"",
    IF(REGEXMATCH(D248,""(?i)-Takeoff LM""),""Takeoff LM"",
    IF(REGEXMATCH(D248,""(?i)-Takeoff m2""),""Takeoff m2"",
    IF(D248=""R-TU/TD"",""TU/TD"","""""&amp;")))))))))))))))))
  )))"),"Rvt")</f>
        <v>Rvt</v>
      </c>
      <c r="C248" s="225" t="s">
        <v>100</v>
      </c>
      <c r="D248" s="202" t="s">
        <v>101</v>
      </c>
      <c r="E248" s="168">
        <f t="shared" ref="E248:E249" si="196">E246</f>
        <v>2.6</v>
      </c>
      <c r="F248" s="699"/>
      <c r="G248" s="700"/>
      <c r="H248" s="700" t="str">
        <f>IFERROR(__xludf.DUMMYFUNCTION("IFERROR(REGEXEXTRACT(C248, ""(\d*\.\d+)mm""), """")"),"")</f>
        <v/>
      </c>
      <c r="I248" s="700"/>
      <c r="J248" s="126" t="s">
        <v>87</v>
      </c>
      <c r="K248" s="126" t="str">
        <f>IFERROR(
  IF(B248="", "", VLOOKUP(B248, Data!$B$2:$K$905, 7, FALSE)),
  ""
)</f>
        <v/>
      </c>
      <c r="L248" s="704"/>
      <c r="M248" s="150">
        <f>ROUNDUP(((M246/5.7)+1)*(E248/0.05),0)</f>
        <v>286</v>
      </c>
      <c r="N248" s="151">
        <f t="shared" si="194"/>
        <v>1.001372346</v>
      </c>
      <c r="O248" s="169">
        <v>1.0</v>
      </c>
      <c r="P248" s="134">
        <f t="shared" si="195"/>
        <v>3</v>
      </c>
      <c r="Q248" s="168">
        <f t="shared" si="190"/>
        <v>859.1774729</v>
      </c>
      <c r="R248" s="136" t="str">
        <f>IFERROR(
  IF(B248="", "", VLOOKUP(B248, Data!$B$2:$K$905, 9, FALSE)),
  ""
)</f>
        <v/>
      </c>
      <c r="S248" s="137">
        <f t="shared" si="191"/>
        <v>0</v>
      </c>
      <c r="T248" s="690"/>
      <c r="U248" s="681" t="str">
        <f>IFERROR(
  IF(B248="", "", VLOOKUP(B248, Data!$B$2:$K$905, 10, FALSE)),
  ""
)
</f>
        <v/>
      </c>
      <c r="V248" s="691"/>
      <c r="W248" s="140">
        <f t="shared" si="192"/>
        <v>0</v>
      </c>
      <c r="X248" s="692"/>
      <c r="Y248" s="595"/>
      <c r="Z248" s="595"/>
      <c r="AA248" s="595"/>
      <c r="AB248" s="354">
        <f t="shared" si="193"/>
        <v>0</v>
      </c>
      <c r="AC248" s="181"/>
      <c r="AD248" s="625"/>
      <c r="AE248" s="626"/>
      <c r="AF248" s="696"/>
      <c r="AG248" s="697"/>
      <c r="AH248" s="629"/>
      <c r="AI248" s="187"/>
      <c r="AJ248" s="630"/>
      <c r="AK248" s="630"/>
      <c r="AL248" s="595"/>
      <c r="AM248" s="595"/>
      <c r="AN248" s="595"/>
      <c r="AO248" s="595"/>
      <c r="AP248" s="595"/>
      <c r="AQ248" s="595"/>
      <c r="AR248" s="595"/>
      <c r="AS248" s="595"/>
      <c r="AT248" s="595"/>
      <c r="AU248" s="595"/>
      <c r="AV248" s="595"/>
      <c r="AW248" s="595"/>
      <c r="AX248" s="595"/>
      <c r="AY248" s="595"/>
      <c r="AZ248" s="595"/>
      <c r="BA248" s="595"/>
      <c r="BB248" s="595"/>
      <c r="BC248" s="595"/>
      <c r="BD248" s="595"/>
      <c r="BE248" s="595"/>
      <c r="BF248" s="595"/>
      <c r="BG248" s="595"/>
      <c r="BH248" s="595"/>
      <c r="BI248" s="651"/>
      <c r="BJ248" s="651"/>
      <c r="BK248" s="651"/>
      <c r="BL248" s="651"/>
      <c r="BM248" s="651"/>
      <c r="BN248" s="651"/>
      <c r="BO248" s="651"/>
      <c r="BP248" s="651"/>
      <c r="BQ248" s="651"/>
      <c r="BR248" s="651"/>
      <c r="BS248" s="651"/>
      <c r="BT248" s="651"/>
    </row>
    <row r="249">
      <c r="A249" s="631"/>
      <c r="B249" s="154" t="str">
        <f>IFERROR(__xludf.DUMMYFUNCTION("IFERROR(
  IF(C249="""","""",
    IF(OR(REGEXMATCH(D249,""(?i)-Flashing""), REGEXMATCH(D249,""(?i)-EavesGut""), REGEXMATCH(D249,""(?i)Valley"")),
        ""DR"" &amp;
        TEXT(
            ROUNDUP(
                MIN(
                    VALUE(MID(C249, "&amp;"FIND(""("",C249)+1, FIND(""/"",C249)-FIND(""("",C249)-1)),
                    1200
                ) / 50, 0
            ) * 50, ""0""
        ) &amp;
        MID(C249, FIND(""/"",C249)+1, FIND("")"",C249)-FIND(""/"",C249)-1) &amp;
        TEXT(H249*100,""0"") &amp;"&amp;"
        I249,
    IF(AND(D249=""Roof Sheet"", REGEXMATCH(C249,""(?i)KS\d{4}[A-Z]{2}"")),
       REGEXEXTRACT(C249,""(?i)KS\d{4}[A-Z]{2}""),
    IF(AND(REGEXMATCH(D249,""(?i)-DP""), REGEXMATCH(C249,""(?i)Downpipe"")),
       ""dp"" &amp; REGEXEXTRACT(C249,""("&amp;"\d+)"") &amp; ""mm"",
    IF(AND(REGEXMATCH(D249,""(?i)Bracket""), REGEXMATCH(C249,""(?i)Bracket"")),
       ""Brkt"" &amp; REGEXEXTRACT(C249,""(\d+)"") &amp; ""mm"",
    IF(AND(REGEXMATCH(D249,""(?i)-OP""), REGEXMATCH(C249,""(?i)pops"")),
       ""op"" &amp; REGEXEXTRAC"&amp;"T(C249,""(\d+)"") &amp; ""mm"",
    IF(OR(D249=""R-FFTop"", D249=""R-FFBottom"", D249=""R-FFSide""),
        IF(REGEXMATCH(C249,""(?i)Profiled.*Top|Top.*Profiled""),""pfft"",
        IF(REGEXMATCH(C249,""(?i)Profiled.*Bottom|Bottom.*Profiled""),""pffb"",
    "&amp;"    IF(REGEXMATCH(C249,""(?i)Square""),""sff"",""""))),
    IF(REGEXMATCH(D249,""(?i)-Rivets""),""Rvt"",
    IF(REGEXMATCH(D249,""(?i)Silicone""),""300ml"",
    IF(REGEXMATCH(D249,""(?i)R-Butyl""),""300ml"",
    IF(REGEXMATCH(D249,""(?i)Fix""),""GenFix"","&amp;"
    IF(AND(REGEXMATCH(C249,""(?i)Timber""), REGEXMATCH(D249,""(?i)Timber"")),""tp"",
    IF(AND(REGEXMATCH(C249,""(?i)Vent G1275""), REGEXMATCH(D249,""(?i)Comb FIller"")),""CFV1275"",
    IF(REGEXMATCH(C249,""(?i)DPC""),""dpc"",
    IF(REGEXMATCH(C249,"""&amp;"(?i)Concealed Clips""),""ConClips"",
    IF(REGEXMATCH(D249,""(?i)-Takeoff ea""),""Takeoff ea"",
    IF(REGEXMATCH(D249,""(?i)-Takeoff LM""),""Takeoff LM"",
    IF(REGEXMATCH(D249,""(?i)-Takeoff m2""),""Takeoff m2"",
    IF(D249=""R-TU/TD"",""TU/TD"","""""&amp;")))))))))))))))))
  )))"),"GenFix")</f>
        <v>GenFix</v>
      </c>
      <c r="C249" s="158" t="s">
        <v>102</v>
      </c>
      <c r="D249" s="124" t="s">
        <v>389</v>
      </c>
      <c r="E249" s="168">
        <f t="shared" si="196"/>
        <v>2.6</v>
      </c>
      <c r="F249" s="699"/>
      <c r="G249" s="701"/>
      <c r="H249" s="700" t="str">
        <f>IFERROR(__xludf.DUMMYFUNCTION("IFERROR(REGEXEXTRACT(C249, ""(\d*\.\d+)mm""), """")"),"")</f>
        <v/>
      </c>
      <c r="I249" s="700"/>
      <c r="J249" s="126" t="s">
        <v>87</v>
      </c>
      <c r="K249" s="126" t="str">
        <f>IFERROR(
  IF(B249="", "", VLOOKUP(B249, Data!$B$2:$K$905, 7, FALSE)),
  ""
)</f>
        <v/>
      </c>
      <c r="L249" s="704"/>
      <c r="M249" s="150">
        <f>ROUNDUP((M246*E249)*8,0)+1</f>
        <v>533</v>
      </c>
      <c r="N249" s="151">
        <f t="shared" si="194"/>
        <v>1.001372346</v>
      </c>
      <c r="O249" s="169">
        <v>1.0</v>
      </c>
      <c r="P249" s="134">
        <f t="shared" si="195"/>
        <v>3</v>
      </c>
      <c r="Q249" s="168">
        <f t="shared" si="190"/>
        <v>1601.194381</v>
      </c>
      <c r="R249" s="136" t="str">
        <f>IFERROR(
  IF(B249="", "", VLOOKUP(B249, Data!$B$2:$K$905, 9, FALSE)),
  ""
)</f>
        <v/>
      </c>
      <c r="S249" s="137">
        <f t="shared" si="191"/>
        <v>0</v>
      </c>
      <c r="T249" s="690"/>
      <c r="U249" s="681" t="str">
        <f>IFERROR(
  IF(B249="", "", VLOOKUP(B249, Data!$B$2:$K$905, 10, FALSE)),
  ""
)
</f>
        <v/>
      </c>
      <c r="V249" s="691"/>
      <c r="W249" s="140">
        <f t="shared" si="192"/>
        <v>0</v>
      </c>
      <c r="X249" s="692"/>
      <c r="Y249" s="595"/>
      <c r="Z249" s="595"/>
      <c r="AA249" s="595"/>
      <c r="AB249" s="354">
        <f t="shared" si="193"/>
        <v>0</v>
      </c>
      <c r="AC249" s="181"/>
      <c r="AD249" s="625"/>
      <c r="AE249" s="626"/>
      <c r="AF249" s="696"/>
      <c r="AG249" s="697"/>
      <c r="AH249" s="629"/>
      <c r="AI249" s="187"/>
      <c r="AJ249" s="630"/>
      <c r="AK249" s="630"/>
      <c r="AL249" s="595"/>
      <c r="AM249" s="595"/>
      <c r="AN249" s="595"/>
      <c r="AO249" s="595"/>
      <c r="AP249" s="595"/>
      <c r="AQ249" s="595"/>
      <c r="AR249" s="595"/>
      <c r="AS249" s="595"/>
      <c r="AT249" s="595"/>
      <c r="AU249" s="595"/>
      <c r="AV249" s="595"/>
      <c r="AW249" s="595"/>
      <c r="AX249" s="595"/>
      <c r="AY249" s="595"/>
      <c r="AZ249" s="595"/>
      <c r="BA249" s="595"/>
      <c r="BB249" s="595"/>
      <c r="BC249" s="595"/>
      <c r="BD249" s="595"/>
      <c r="BE249" s="595"/>
      <c r="BF249" s="595"/>
      <c r="BG249" s="595"/>
      <c r="BH249" s="595"/>
      <c r="BI249" s="651"/>
      <c r="BJ249" s="651"/>
      <c r="BK249" s="651"/>
      <c r="BL249" s="651"/>
      <c r="BM249" s="651"/>
      <c r="BN249" s="651"/>
      <c r="BO249" s="651"/>
      <c r="BP249" s="651"/>
      <c r="BQ249" s="651"/>
      <c r="BR249" s="651"/>
      <c r="BS249" s="651"/>
      <c r="BT249" s="651"/>
    </row>
    <row r="250">
      <c r="A250" s="631"/>
      <c r="B250" s="154" t="str">
        <f>IFERROR(__xludf.DUMMYFUNCTION("IFERROR(
  IF(C250="""","""",
    IF(OR(REGEXMATCH(D250,""(?i)-Flashing""), REGEXMATCH(D250,""(?i)-EavesGut""), REGEXMATCH(D250,""(?i)Valley"")),
        ""DR"" &amp;
        TEXT(
            ROUNDUP(
                MIN(
                    VALUE(MID(C250, "&amp;"FIND(""("",C250)+1, FIND(""/"",C250)-FIND(""("",C250)-1)),
                    1200
                ) / 50, 0
            ) * 50, ""0""
        ) &amp;
        MID(C250, FIND(""/"",C250)+1, FIND("")"",C250)-FIND(""/"",C250)-1) &amp;
        TEXT(H250*100,""0"") &amp;"&amp;"
        I250,
    IF(AND(D250=""Roof Sheet"", REGEXMATCH(C250,""(?i)KS\d{4}[A-Z]{2}"")),
       REGEXEXTRACT(C250,""(?i)KS\d{4}[A-Z]{2}""),
    IF(AND(REGEXMATCH(D250,""(?i)-DP""), REGEXMATCH(C250,""(?i)Downpipe"")),
       ""dp"" &amp; REGEXEXTRACT(C250,""("&amp;"\d+)"") &amp; ""mm"",
    IF(AND(REGEXMATCH(D250,""(?i)Bracket""), REGEXMATCH(C250,""(?i)Bracket"")),
       ""Brkt"" &amp; REGEXEXTRACT(C250,""(\d+)"") &amp; ""mm"",
    IF(AND(REGEXMATCH(D250,""(?i)-OP""), REGEXMATCH(C250,""(?i)pops"")),
       ""op"" &amp; REGEXEXTRAC"&amp;"T(C250,""(\d+)"") &amp; ""mm"",
    IF(OR(D250=""R-FFTop"", D250=""R-FFBottom"", D250=""R-FFSide""),
        IF(REGEXMATCH(C250,""(?i)Profiled.*Top|Top.*Profiled""),""pfft"",
        IF(REGEXMATCH(C250,""(?i)Profiled.*Bottom|Bottom.*Profiled""),""pffb"",
    "&amp;"    IF(REGEXMATCH(C250,""(?i)Square""),""sff"",""""))),
    IF(REGEXMATCH(D250,""(?i)-Rivets""),""Rvt"",
    IF(REGEXMATCH(D250,""(?i)Silicone""),""300ml"",
    IF(REGEXMATCH(D250,""(?i)R-Butyl""),""300ml"",
    IF(REGEXMATCH(D250,""(?i)Fix""),""GenFix"","&amp;"
    IF(AND(REGEXMATCH(C250,""(?i)Timber""), REGEXMATCH(D250,""(?i)Timber"")),""tp"",
    IF(AND(REGEXMATCH(C250,""(?i)Vent G1275""), REGEXMATCH(D250,""(?i)Comb FIller"")),""CFV1275"",
    IF(REGEXMATCH(C250,""(?i)DPC""),""dpc"",
    IF(REGEXMATCH(C250,"""&amp;"(?i)Concealed Clips""),""ConClips"",
    IF(REGEXMATCH(D250,""(?i)-Takeoff ea""),""Takeoff ea"",
    IF(REGEXMATCH(D250,""(?i)-Takeoff LM""),""Takeoff LM"",
    IF(REGEXMATCH(D250,""(?i)-Takeoff m2""),""Takeoff m2"",
    IF(D250=""R-TU/TD"",""TU/TD"","""""&amp;")))))))))))))))))
  )))"),"sff")</f>
        <v>sff</v>
      </c>
      <c r="C250" s="225" t="s">
        <v>110</v>
      </c>
      <c r="D250" s="124" t="s">
        <v>111</v>
      </c>
      <c r="E250" s="704"/>
      <c r="F250" s="699"/>
      <c r="G250" s="701"/>
      <c r="H250" s="700" t="str">
        <f>IFERROR(__xludf.DUMMYFUNCTION("IFERROR(REGEXEXTRACT(C250, ""(\d*\.\d+)mm""), """")"),"")</f>
        <v/>
      </c>
      <c r="I250" s="700"/>
      <c r="J250" s="126" t="s">
        <v>87</v>
      </c>
      <c r="K250" s="126" t="str">
        <f>IFERROR(
  IF(B250="", "", VLOOKUP(B250, Data!$B$2:$K$905, 7, FALSE)),
  ""
)</f>
        <v/>
      </c>
      <c r="L250" s="704"/>
      <c r="M250" s="150">
        <f>M246</f>
        <v>25.55</v>
      </c>
      <c r="N250" s="151">
        <f t="shared" si="194"/>
        <v>1.001372346</v>
      </c>
      <c r="O250" s="169">
        <v>1.0</v>
      </c>
      <c r="P250" s="134">
        <f>P249*2</f>
        <v>6</v>
      </c>
      <c r="Q250" s="168">
        <f t="shared" si="190"/>
        <v>153.5103806</v>
      </c>
      <c r="R250" s="136" t="str">
        <f>IFERROR(
  IF(B250="", "", VLOOKUP(B250, Data!$B$2:$K$905, 9, FALSE)),
  ""
)</f>
        <v/>
      </c>
      <c r="S250" s="137">
        <f t="shared" si="191"/>
        <v>0</v>
      </c>
      <c r="T250" s="690"/>
      <c r="U250" s="136" t="str">
        <f>IFERROR(
  IF(B250="", "", VLOOKUP(B250, Data!$B$2:$K$905, 10, FALSE)),
  ""
)
</f>
        <v/>
      </c>
      <c r="V250" s="691"/>
      <c r="W250" s="140">
        <f t="shared" si="192"/>
        <v>0</v>
      </c>
      <c r="X250" s="692"/>
      <c r="Y250" s="595"/>
      <c r="Z250" s="595"/>
      <c r="AA250" s="595"/>
      <c r="AB250" s="354">
        <f t="shared" si="193"/>
        <v>0</v>
      </c>
      <c r="AC250" s="181"/>
      <c r="AD250" s="625"/>
      <c r="AE250" s="626"/>
      <c r="AF250" s="696"/>
      <c r="AG250" s="697"/>
      <c r="AH250" s="629"/>
      <c r="AI250" s="187"/>
      <c r="AJ250" s="630"/>
      <c r="AK250" s="630"/>
      <c r="AL250" s="595"/>
      <c r="AM250" s="595"/>
      <c r="AN250" s="595"/>
      <c r="AO250" s="595"/>
      <c r="AP250" s="595"/>
      <c r="AQ250" s="595"/>
      <c r="AR250" s="595"/>
      <c r="AS250" s="595"/>
      <c r="AT250" s="595"/>
      <c r="AU250" s="595"/>
      <c r="AV250" s="595"/>
      <c r="AW250" s="595"/>
      <c r="AX250" s="595"/>
      <c r="AY250" s="595"/>
      <c r="AZ250" s="595"/>
      <c r="BA250" s="595"/>
      <c r="BB250" s="595"/>
      <c r="BC250" s="595"/>
      <c r="BD250" s="595"/>
      <c r="BE250" s="595"/>
      <c r="BF250" s="595"/>
      <c r="BG250" s="595"/>
      <c r="BH250" s="595"/>
      <c r="BI250" s="651"/>
      <c r="BJ250" s="651"/>
      <c r="BK250" s="651"/>
      <c r="BL250" s="651"/>
      <c r="BM250" s="651"/>
      <c r="BN250" s="651"/>
      <c r="BO250" s="651"/>
      <c r="BP250" s="651"/>
      <c r="BQ250" s="651"/>
      <c r="BR250" s="651"/>
      <c r="BS250" s="651"/>
      <c r="BT250" s="651"/>
    </row>
    <row r="251">
      <c r="A251" s="631"/>
      <c r="B251" s="154" t="str">
        <f>IFERROR(__xludf.DUMMYFUNCTION("IFERROR(
  IF(C251="""","""",
    IF(OR(REGEXMATCH(D251,""(?i)-Flashing""), REGEXMATCH(D251,""(?i)-EavesGut""), REGEXMATCH(D251,""(?i)Valley"")),
        ""DR"" &amp;
        TEXT(
            ROUNDUP(
                MIN(
                    VALUE(MID(C251, "&amp;"FIND(""("",C251)+1, FIND(""/"",C251)-FIND(""("",C251)-1)),
                    1200
                ) / 50, 0
            ) * 50, ""0""
        ) &amp;
        MID(C251, FIND(""/"",C251)+1, FIND("")"",C251)-FIND(""/"",C251)-1) &amp;
        TEXT(H251*100,""0"") &amp;"&amp;"
        I251,
    IF(AND(D251=""Roof Sheet"", REGEXMATCH(C251,""(?i)KS\d{4}[A-Z]{2}"")),
       REGEXEXTRACT(C251,""(?i)KS\d{4}[A-Z]{2}""),
    IF(AND(REGEXMATCH(D251,""(?i)-DP""), REGEXMATCH(C251,""(?i)Downpipe"")),
       ""dp"" &amp; REGEXEXTRACT(C251,""("&amp;"\d+)"") &amp; ""mm"",
    IF(AND(REGEXMATCH(D251,""(?i)Bracket""), REGEXMATCH(C251,""(?i)Bracket"")),
       ""Brkt"" &amp; REGEXEXTRACT(C251,""(\d+)"") &amp; ""mm"",
    IF(AND(REGEXMATCH(D251,""(?i)-OP""), REGEXMATCH(C251,""(?i)pops"")),
       ""op"" &amp; REGEXEXTRAC"&amp;"T(C251,""(\d+)"") &amp; ""mm"",
    IF(OR(D251=""R-FFTop"", D251=""R-FFBottom"", D251=""R-FFSide""),
        IF(REGEXMATCH(C251,""(?i)Profiled.*Top|Top.*Profiled""),""pfft"",
        IF(REGEXMATCH(C251,""(?i)Profiled.*Bottom|Bottom.*Profiled""),""pffb"",
    "&amp;"    IF(REGEXMATCH(C251,""(?i)Square""),""sff"",""""))),
    IF(REGEXMATCH(D251,""(?i)-Rivets""),""Rvt"",
    IF(REGEXMATCH(D251,""(?i)Silicone""),""300ml"",
    IF(REGEXMATCH(D251,""(?i)R-Butyl""),""300ml"",
    IF(REGEXMATCH(D251,""(?i)Fix""),""GenFix"","&amp;"
    IF(AND(REGEXMATCH(C251,""(?i)Timber""), REGEXMATCH(D251,""(?i)Timber"")),""tp"",
    IF(AND(REGEXMATCH(C251,""(?i)Vent G1275""), REGEXMATCH(D251,""(?i)Comb FIller"")),""CFV1275"",
    IF(REGEXMATCH(C251,""(?i)DPC""),""dpc"",
    IF(REGEXMATCH(C251,"""&amp;"(?i)Concealed Clips""),""ConClips"",
    IF(REGEXMATCH(D251,""(?i)-Takeoff ea""),""Takeoff ea"",
    IF(REGEXMATCH(D251,""(?i)-Takeoff LM""),""Takeoff LM"",
    IF(REGEXMATCH(D251,""(?i)-Takeoff m2""),""Takeoff m2"",
    IF(D251=""R-TU/TD"",""TU/TD"","""""&amp;")))))))))))))))))
  )))"),"pfft")</f>
        <v>pfft</v>
      </c>
      <c r="C251" s="225" t="s">
        <v>104</v>
      </c>
      <c r="D251" s="124" t="s">
        <v>105</v>
      </c>
      <c r="E251" s="712"/>
      <c r="F251" s="721"/>
      <c r="G251" s="701"/>
      <c r="H251" s="700"/>
      <c r="I251" s="700"/>
      <c r="J251" s="126" t="s">
        <v>87</v>
      </c>
      <c r="K251" s="126" t="str">
        <f>IFERROR(
  IF(B251="", "", VLOOKUP(B251, Data!$B$2:$K$905, 7, FALSE)),
  ""
)</f>
        <v/>
      </c>
      <c r="L251" s="712"/>
      <c r="M251" s="150">
        <f>E249</f>
        <v>2.6</v>
      </c>
      <c r="N251" s="151">
        <f>IFERROR(__xludf.DUMMYFUNCTION("IF(B251="""", """", IFERROR(1 / COS(RADIANS(REGEXEXTRACT(F251,""(\d+)""))), 1))"),1.0)</f>
        <v>1</v>
      </c>
      <c r="O251" s="169">
        <v>1.0</v>
      </c>
      <c r="P251" s="134">
        <f>P250</f>
        <v>6</v>
      </c>
      <c r="Q251" s="168">
        <f t="shared" si="190"/>
        <v>15.6</v>
      </c>
      <c r="R251" s="136" t="str">
        <f>IFERROR(
  IF(B251="", "", VLOOKUP(B251, Data!$B$2:$K$905, 9, FALSE)),
  ""
)</f>
        <v/>
      </c>
      <c r="S251" s="137">
        <f t="shared" si="191"/>
        <v>0</v>
      </c>
      <c r="T251" s="690"/>
      <c r="U251" s="136" t="str">
        <f>IFERROR(
  IF(B251="", "", VLOOKUP(B251, Data!$B$2:$K$905, 10, FALSE)),
  ""
)
</f>
        <v/>
      </c>
      <c r="V251" s="691"/>
      <c r="W251" s="140">
        <f t="shared" si="192"/>
        <v>0</v>
      </c>
      <c r="X251" s="692"/>
      <c r="Y251" s="595"/>
      <c r="Z251" s="595"/>
      <c r="AA251" s="595"/>
      <c r="AB251" s="354">
        <f t="shared" si="193"/>
        <v>0</v>
      </c>
      <c r="AC251" s="181"/>
      <c r="AD251" s="625"/>
      <c r="AE251" s="626"/>
      <c r="AF251" s="696"/>
      <c r="AG251" s="697"/>
      <c r="AH251" s="629"/>
      <c r="AI251" s="187"/>
      <c r="AJ251" s="630"/>
      <c r="AK251" s="630"/>
      <c r="AL251" s="595"/>
      <c r="AM251" s="595"/>
      <c r="AN251" s="595"/>
      <c r="AO251" s="595"/>
      <c r="AP251" s="595"/>
      <c r="AQ251" s="595"/>
      <c r="AR251" s="595"/>
      <c r="AS251" s="595"/>
      <c r="AT251" s="595"/>
      <c r="AU251" s="595"/>
      <c r="AV251" s="595"/>
      <c r="AW251" s="595"/>
      <c r="AX251" s="595"/>
      <c r="AY251" s="595"/>
      <c r="AZ251" s="595"/>
      <c r="BA251" s="595"/>
      <c r="BB251" s="595"/>
      <c r="BC251" s="595"/>
      <c r="BD251" s="595"/>
      <c r="BE251" s="595"/>
      <c r="BF251" s="595"/>
      <c r="BG251" s="595"/>
      <c r="BH251" s="595"/>
      <c r="BI251" s="651"/>
      <c r="BJ251" s="651"/>
      <c r="BK251" s="651"/>
      <c r="BL251" s="651"/>
      <c r="BM251" s="651"/>
      <c r="BN251" s="651"/>
      <c r="BO251" s="651"/>
      <c r="BP251" s="651"/>
      <c r="BQ251" s="651"/>
      <c r="BR251" s="651"/>
      <c r="BS251" s="651"/>
      <c r="BT251" s="651"/>
    </row>
    <row r="252">
      <c r="A252" s="631"/>
      <c r="B252" s="154"/>
      <c r="C252" s="736"/>
      <c r="D252" s="736"/>
      <c r="E252" s="737"/>
      <c r="F252" s="738"/>
      <c r="G252" s="736"/>
      <c r="H252" s="736"/>
      <c r="I252" s="737"/>
      <c r="J252" s="736"/>
      <c r="K252" s="736" t="s">
        <v>42</v>
      </c>
      <c r="L252" s="737"/>
      <c r="M252" s="737" t="s">
        <v>42</v>
      </c>
      <c r="N252" s="711" t="str">
        <f>IFERROR(__xludf.DUMMYFUNCTION("IF(B252="""", """", IFERROR(1 / COS(RADIANS(REGEXEXTRACT(F252,""(\d+)""))), 1))"),"")</f>
        <v/>
      </c>
      <c r="O252" s="737"/>
      <c r="P252" s="736"/>
      <c r="Q252" s="740"/>
      <c r="R252" s="681" t="str">
        <f>IFERROR(
  IF(B252="", "", VLOOKUP(B252, Data!$B$2:$K$905, 9, FALSE)),
  ""
)</f>
        <v/>
      </c>
      <c r="S252" s="741"/>
      <c r="T252" s="741"/>
      <c r="U252" s="681" t="str">
        <f>IFERROR(
  IF(B252="", "", VLOOKUP(B252, Data!$B$2:$K$905, 10, FALSE)),
  ""
)
</f>
        <v/>
      </c>
      <c r="V252" s="741"/>
      <c r="W252" s="742"/>
      <c r="X252" s="595"/>
      <c r="Y252" s="595"/>
      <c r="Z252" s="595"/>
      <c r="AA252" s="595"/>
      <c r="AB252" s="595"/>
      <c r="AC252" s="181"/>
      <c r="AD252" s="625"/>
      <c r="AE252" s="626"/>
      <c r="AF252" s="627"/>
      <c r="AG252" s="697"/>
      <c r="AH252" s="629"/>
      <c r="AI252" s="187"/>
      <c r="AJ252" s="630"/>
      <c r="AK252" s="630"/>
      <c r="AL252" s="595"/>
      <c r="AM252" s="595"/>
      <c r="AN252" s="595"/>
      <c r="AO252" s="595"/>
      <c r="AP252" s="595"/>
      <c r="AQ252" s="595"/>
      <c r="AR252" s="595"/>
      <c r="AS252" s="595"/>
      <c r="AT252" s="595"/>
      <c r="AU252" s="595"/>
      <c r="AV252" s="595"/>
      <c r="AW252" s="595"/>
      <c r="AX252" s="595"/>
      <c r="AY252" s="595"/>
      <c r="AZ252" s="595"/>
      <c r="BA252" s="595"/>
      <c r="BB252" s="595"/>
      <c r="BC252" s="595"/>
      <c r="BD252" s="595"/>
      <c r="BE252" s="595"/>
      <c r="BF252" s="595"/>
      <c r="BG252" s="595"/>
      <c r="BH252" s="595"/>
      <c r="BI252" s="651"/>
      <c r="BJ252" s="651"/>
      <c r="BK252" s="651"/>
      <c r="BL252" s="651"/>
      <c r="BM252" s="651"/>
      <c r="BN252" s="651"/>
      <c r="BO252" s="651"/>
      <c r="BP252" s="651"/>
      <c r="BQ252" s="651"/>
      <c r="BR252" s="651"/>
      <c r="BS252" s="651"/>
      <c r="BT252" s="651"/>
    </row>
    <row r="253">
      <c r="A253" s="631">
        <v>1.0</v>
      </c>
      <c r="B253" s="727"/>
      <c r="C253" s="103" t="s">
        <v>505</v>
      </c>
      <c r="D253" s="192"/>
      <c r="E253" s="679"/>
      <c r="F253" s="677"/>
      <c r="G253" s="678"/>
      <c r="H253" s="678"/>
      <c r="I253" s="678"/>
      <c r="J253" s="678"/>
      <c r="K253" s="678" t="s">
        <v>42</v>
      </c>
      <c r="L253" s="106">
        <f>Q253</f>
        <v>25.58506344</v>
      </c>
      <c r="M253" s="679" t="s">
        <v>42</v>
      </c>
      <c r="N253" s="680" t="s">
        <v>42</v>
      </c>
      <c r="O253" s="679"/>
      <c r="P253" s="678"/>
      <c r="Q253" s="106">
        <f>Q254</f>
        <v>25.58506344</v>
      </c>
      <c r="R253" s="681" t="str">
        <f>IFERROR(
  IF(B253="", "", VLOOKUP(B253, Data!$B$2:$K$905, 9, FALSE)),
  ""
)</f>
        <v/>
      </c>
      <c r="S253" s="109">
        <f>T253/Q253</f>
        <v>0</v>
      </c>
      <c r="T253" s="109">
        <f>SUM(S254:S259)</f>
        <v>0</v>
      </c>
      <c r="U253" s="681" t="str">
        <f>IFERROR(
  IF(B253="", "", VLOOKUP(B253, Data!$B$2:$K$905, 10, FALSE)),
  ""
)
</f>
        <v/>
      </c>
      <c r="V253" s="109">
        <f>W253/Q253</f>
        <v>0</v>
      </c>
      <c r="W253" s="110">
        <f>SUM(W254:W259)</f>
        <v>0</v>
      </c>
      <c r="X253" s="111" t="str">
        <f>W253/$AC$758/$W$765/$X$755</f>
        <v>#REF!</v>
      </c>
      <c r="Y253" s="112" t="b">
        <f>(T253+W253)=(SUM(AB254:AB259))</f>
        <v>1</v>
      </c>
      <c r="Z253" s="222">
        <f>(T253+W253)-(SUM(AB254:AB259))</f>
        <v>0</v>
      </c>
      <c r="AA253" s="595"/>
      <c r="AB253" s="595"/>
      <c r="AC253" s="181"/>
      <c r="AD253" s="114">
        <f>W253+T253</f>
        <v>0</v>
      </c>
      <c r="AE253" s="115">
        <f>AD253</f>
        <v>0</v>
      </c>
      <c r="AF253" s="116" t="str">
        <f>AE253/$AE$733</f>
        <v>#REF!</v>
      </c>
      <c r="AG253" s="683" t="str">
        <f>AF253*$AG$740</f>
        <v>#REF!</v>
      </c>
      <c r="AH253" s="118" t="str">
        <f>AF253*$AG$743</f>
        <v>#REF!</v>
      </c>
      <c r="AI253" s="187"/>
      <c r="AJ253" s="119" t="str">
        <f>ROUND(AK253/L253,2)</f>
        <v>#REF!</v>
      </c>
      <c r="AK253" s="119" t="str">
        <f>ROUND(AH253+AG253+AD253,2)</f>
        <v>#REF!</v>
      </c>
      <c r="AL253" s="595"/>
      <c r="AM253" s="595"/>
      <c r="AN253" s="595"/>
      <c r="AO253" s="595"/>
      <c r="AP253" s="595"/>
      <c r="AQ253" s="595"/>
      <c r="AR253" s="595"/>
      <c r="AS253" s="595"/>
      <c r="AT253" s="595"/>
      <c r="AU253" s="595"/>
      <c r="AV253" s="595"/>
      <c r="AW253" s="595"/>
      <c r="AX253" s="595"/>
      <c r="AY253" s="595"/>
      <c r="AZ253" s="595"/>
      <c r="BA253" s="595"/>
      <c r="BB253" s="595"/>
      <c r="BC253" s="595"/>
      <c r="BD253" s="595"/>
      <c r="BE253" s="595"/>
      <c r="BF253" s="595"/>
      <c r="BG253" s="595"/>
      <c r="BH253" s="595"/>
      <c r="BI253" s="651"/>
      <c r="BJ253" s="651"/>
      <c r="BK253" s="651"/>
      <c r="BL253" s="651"/>
      <c r="BM253" s="651"/>
      <c r="BN253" s="651"/>
      <c r="BO253" s="651"/>
      <c r="BP253" s="651"/>
      <c r="BQ253" s="651"/>
      <c r="BR253" s="651"/>
      <c r="BS253" s="651"/>
      <c r="BT253" s="651"/>
    </row>
    <row r="254">
      <c r="A254" s="716" t="s">
        <v>444</v>
      </c>
      <c r="B254" s="154" t="str">
        <f>IFERROR(__xludf.DUMMYFUNCTION("IFERROR(
  IF(C254="""","""",
    IF(OR(REGEXMATCH(D254,""(?i)-Flashing""), REGEXMATCH(D254,""(?i)-EavesGut""), REGEXMATCH(D254,""(?i)Valley"")),
        ""DR"" &amp;
        TEXT(
            ROUNDUP(
                VALUE(MID(C254, FIND(""("",C254)+1, FIND("&amp;"""/"",C254)-FIND(""("",C254)-1)) / 50,
            0) * 50, ""0""
        ) &amp;
        MID(C254, FIND(""/"",C254)+1, FIND("")"",C254)-FIND(""/"",C254)-1) &amp;
        TEXT(H254*100,""0"") &amp;
        I254,
    IF(AND(D254=""Roof Sheet"", REGEXMATCH(C254,""(?i)K"&amp;"S\d{4}[A-Z]{2}"")),
       REGEXEXTRACT(C254,""(?i)KS\d{4}[A-Z]{2}""),
    IF(AND(REGEXMATCH(D254,""(?i)-DP""), REGEXMATCH(C254,""(?i)Downpipe"")),
       ""dp"" &amp; REGEXEXTRACT(C254,""(\d+)"") &amp; ""mm"",
    IF(AND(REGEXMATCH(D254,""(?i)Bracket""), REGEXMA"&amp;"TCH(C254,""(?i)Bracket"")),
       ""Brkt"" &amp; REGEXEXTRACT(C254,""(\d+)"") &amp; ""mm"",
    IF(AND(REGEXMATCH(D254,""(?i)-OP""), REGEXMATCH(C254,""(?i)pops"")),
       ""op"" &amp; REGEXEXTRACT(C254,""(\d+)"") &amp; ""mm"",
    IF(OR(D254=""R-FFTop"", D254=""R-FFBot"&amp;"tom"", D254=""R-FFSide""),
        IF(REGEXMATCH(C254,""(?i)Profiled.*Top|Top.*Profiled""),""pfft"",
        IF(REGEXMATCH(C254,""(?i)Profiled.*Bottom|Bottom.*Profiled""),""pffb"",
        IF(REGEXMATCH(C254,""(?i)Square""),""sff"",""""))),
    IF(REGEXMA"&amp;"TCH(D254,""(?i)-Rivets""),""Rvt"",
    IF(REGEXMATCH(D254,""(?i)Silicone""),""300ml"",
    IF(REGEXMATCH(D254,""(?i)R-Butyl""),""300ml"",
    IF(REGEXMATCH(D254,""(?i)Fix""),""GenFix"",
    IF(AND(REGEXMATCH(C254,""(?i)Timber""), REGEXMATCH(D254,""(?i)Tim"&amp;"ber"")),""tp"",
    IF(AND(REGEXMATCH(C254,""(?i)Vent G1275""), REGEXMATCH(D254,""(?i)Comb FIller"")),""CFV1275"",
    IF(REGEXMATCH(C254,""(?i)DPC""),""dpc"",
    IF(REGEXMATCH(C254,""(?i)Concealed Clips""),""ConClips"",
    IF(REGEXMATCH(D254,""(?i)-Tak"&amp;"eoff ea""),""Takeoff ea"",
    IF(REGEXMATCH(D254,""(?i)-Takeoff LM""),""Takeoff LM"",
    IF(REGEXMATCH(D254,""(?i)-Takeoff m2""),""Takeoff m2"",
    IF(D254=""R-TU/TD"",""TU/TD"","""")))))))))))))))))
  )))"),"DR20002B55Mag")</f>
        <v>DR20002B55Mag</v>
      </c>
      <c r="C254" s="123" t="s">
        <v>507</v>
      </c>
      <c r="D254" s="202" t="s">
        <v>96</v>
      </c>
      <c r="E254" s="168">
        <f>VALUE(MID(C254, FIND("(", C254)+1, FIND("/", C254)-FIND("(", C254)-1)) / 1000</f>
        <v>2</v>
      </c>
      <c r="F254" s="699"/>
      <c r="G254" s="689" t="s">
        <v>501</v>
      </c>
      <c r="H254" s="128" t="str">
        <f>IFERROR(__xludf.DUMMYFUNCTION("IFERROR(REGEXEXTRACT(C254, ""(\d*\.\d+)mm""), """")"),"0.55")</f>
        <v>0.55</v>
      </c>
      <c r="I254" s="128" t="s">
        <v>97</v>
      </c>
      <c r="J254" s="126" t="s">
        <v>14</v>
      </c>
      <c r="K254" s="126" t="s">
        <v>55</v>
      </c>
      <c r="L254" s="704"/>
      <c r="M254" s="730">
        <v>25.55</v>
      </c>
      <c r="N254" s="151">
        <f>IFERROR(__xludf.DUMMYFUNCTION("IF(
  AND(
    IFERROR(REGEXEXTRACT(C254,""@\s*(\d+(?:\.\d+)?)\s*deg""),"""")&lt;&gt;"""",
    F254&lt;&gt;""""
  ),
  ""Pls Confirm °"",
  IF(
    IFERROR(REGEXEXTRACT(C254,""@\s*(\d+(?:\.\d+)?)\s*deg""),"""")&lt;&gt;"""",
    1/COS(RADIANS(REGEXEXTRACT(C254,""@\s*(\d+(?:"&amp;"\.\d+)?)\s*deg""))),
    IF(
      F254&lt;&gt;"""",
      IF(
        ISNUMBER(SEARCH(""|"",F254)),
        1/COS(
          ATAN(
            TAN(RADIANS(VALUE(INDEX(SPLIT(F254,""|""),1)))) *
            TAN(RADIANS(VALUE(INDEX(SPLIT(F254,""|""),2))))
       "&amp;"     /
            SQRT(
              TAN(RADIANS(VALUE(INDEX(SPLIT(F254,""|""),1))))^2 +
              TAN(RADIANS(VALUE(INDEX(SPLIT(F254,""|""),2))))^2
            )
          )
        ),
        1/COS(RADIANS(VALUE(F254)))
      ),
      1
    )
  )
"&amp;")"),1.001372345997921)</f>
        <v>1.001372346</v>
      </c>
      <c r="O254" s="169">
        <v>1.0</v>
      </c>
      <c r="P254" s="134">
        <v>1.0</v>
      </c>
      <c r="Q254" s="168">
        <f t="shared" ref="Q254:Q259" si="197">M254*N254*O254*P254</f>
        <v>25.58506344</v>
      </c>
      <c r="R254" s="136" t="str">
        <f>IFERROR(
  IF(B254="", "", VLOOKUP(B254, Data!$B$2:$K$905, 9, FALSE)),
  ""
)</f>
        <v/>
      </c>
      <c r="S254" s="137">
        <f t="shared" ref="S254:S259" si="198">R254*Q254</f>
        <v>0</v>
      </c>
      <c r="T254" s="690"/>
      <c r="U254" s="136" t="str">
        <f>IFERROR(
  IF(B254="", "", VLOOKUP(B254, Data!$B$2:$K$905, 10, FALSE)),
  ""
)
</f>
        <v/>
      </c>
      <c r="V254" s="691"/>
      <c r="W254" s="140">
        <f t="shared" ref="W254:W259" si="199">U254*Q254</f>
        <v>0</v>
      </c>
      <c r="X254" s="693"/>
      <c r="Y254" s="595"/>
      <c r="Z254" s="595"/>
      <c r="AA254" s="595"/>
      <c r="AB254" s="354">
        <f t="shared" ref="AB254:AB259" si="200">W254+S254</f>
        <v>0</v>
      </c>
      <c r="AC254" s="181"/>
      <c r="AD254" s="625"/>
      <c r="AE254" s="626"/>
      <c r="AF254" s="696"/>
      <c r="AG254" s="697"/>
      <c r="AH254" s="629"/>
      <c r="AI254" s="187"/>
      <c r="AJ254" s="630"/>
      <c r="AK254" s="630"/>
      <c r="AL254" s="595"/>
      <c r="AM254" s="595"/>
      <c r="AN254" s="595"/>
      <c r="AO254" s="595"/>
      <c r="AP254" s="595"/>
      <c r="AQ254" s="595"/>
      <c r="AR254" s="595"/>
      <c r="AS254" s="595"/>
      <c r="AT254" s="595"/>
      <c r="AU254" s="595"/>
      <c r="AV254" s="595"/>
      <c r="AW254" s="595"/>
      <c r="AX254" s="595"/>
      <c r="AY254" s="595"/>
      <c r="AZ254" s="595"/>
      <c r="BA254" s="595"/>
      <c r="BB254" s="595"/>
      <c r="BC254" s="595"/>
      <c r="BD254" s="595"/>
      <c r="BE254" s="595"/>
      <c r="BF254" s="595"/>
      <c r="BG254" s="595"/>
      <c r="BH254" s="595"/>
      <c r="BI254" s="651"/>
      <c r="BJ254" s="651"/>
      <c r="BK254" s="651"/>
      <c r="BL254" s="651"/>
      <c r="BM254" s="651"/>
      <c r="BN254" s="651"/>
      <c r="BO254" s="651"/>
      <c r="BP254" s="651"/>
      <c r="BQ254" s="651"/>
      <c r="BR254" s="651"/>
      <c r="BS254" s="651"/>
      <c r="BT254" s="651"/>
    </row>
    <row r="255">
      <c r="A255" s="631"/>
      <c r="B255" s="154" t="str">
        <f>IFERROR(__xludf.DUMMYFUNCTION("IFERROR(
  IF(C255="""","""",
    IF(OR(REGEXMATCH(D255,""(?i)-Flashing""), REGEXMATCH(D255,""(?i)-EavesGut""), REGEXMATCH(D255,""(?i)Valley"")),
        ""DR"" &amp;
        TEXT(
            ROUNDUP(
                MIN(
                    VALUE(MID(C255, "&amp;"FIND(""("",C255)+1, FIND(""/"",C255)-FIND(""("",C255)-1)),
                    1200
                ) / 50, 0
            ) * 50, ""0""
        ) &amp;
        MID(C255, FIND(""/"",C255)+1, FIND("")"",C255)-FIND(""/"",C255)-1) &amp;
        TEXT(H255*100,""0"") &amp;"&amp;"
        I255,
    IF(AND(D255=""Roof Sheet"", REGEXMATCH(C255,""(?i)KS\d{4}[A-Z]{2}"")),
       REGEXEXTRACT(C255,""(?i)KS\d{4}[A-Z]{2}""),
    IF(AND(REGEXMATCH(D255,""(?i)-DP""), REGEXMATCH(C255,""(?i)Downpipe"")),
       ""dp"" &amp; REGEXEXTRACT(C255,""("&amp;"\d+)"") &amp; ""mm"",
    IF(AND(REGEXMATCH(D255,""(?i)Bracket""), REGEXMATCH(C255,""(?i)Bracket"")),
       ""Brkt"" &amp; REGEXEXTRACT(C255,""(\d+)"") &amp; ""mm"",
    IF(AND(REGEXMATCH(D255,""(?i)-OP""), REGEXMATCH(C255,""(?i)pops"")),
       ""op"" &amp; REGEXEXTRAC"&amp;"T(C255,""(\d+)"") &amp; ""mm"",
    IF(OR(D255=""R-FFTop"", D255=""R-FFBottom"", D255=""R-FFSide""),
        IF(REGEXMATCH(C255,""(?i)Profiled.*Top|Top.*Profiled""),""pfft"",
        IF(REGEXMATCH(C255,""(?i)Profiled.*Bottom|Bottom.*Profiled""),""pffb"",
    "&amp;"    IF(REGEXMATCH(C255,""(?i)Square""),""sff"",""""))),
    IF(REGEXMATCH(D255,""(?i)-Rivets""),""Rvt"",
    IF(REGEXMATCH(D255,""(?i)Silicone""),""300ml"",
    IF(REGEXMATCH(D255,""(?i)R-Butyl""),""300ml"",
    IF(REGEXMATCH(D255,""(?i)Fix""),""GenFix"","&amp;"
    IF(AND(REGEXMATCH(C255,""(?i)Timber""), REGEXMATCH(D255,""(?i)Timber"")),""tp"",
    IF(AND(REGEXMATCH(C255,""(?i)Vent G1275""), REGEXMATCH(D255,""(?i)Comb FIller"")),""CFV1275"",
    IF(REGEXMATCH(C255,""(?i)DPC""),""dpc"",
    IF(REGEXMATCH(C255,"""&amp;"(?i)Concealed Clips""),""ConClips"",
    IF(REGEXMATCH(D255,""(?i)-Takeoff ea""),""Takeoff ea"",
    IF(REGEXMATCH(D255,""(?i)-Takeoff LM""),""Takeoff LM"",
    IF(REGEXMATCH(D255,""(?i)-Takeoff m2""),""Takeoff m2"",
    IF(D255=""R-TU/TD"",""TU/TD"","""""&amp;")))))))))))))))))
  )))"),"300ml")</f>
        <v>300ml</v>
      </c>
      <c r="C255" s="225" t="s">
        <v>98</v>
      </c>
      <c r="D255" s="202" t="s">
        <v>99</v>
      </c>
      <c r="E255" s="168">
        <f>E254</f>
        <v>2</v>
      </c>
      <c r="F255" s="699"/>
      <c r="G255" s="700"/>
      <c r="H255" s="700" t="str">
        <f>IFERROR(__xludf.DUMMYFUNCTION("IFERROR(REGEXEXTRACT(C255, ""(\d*\.\d+)mm""), """")"),"")</f>
        <v/>
      </c>
      <c r="I255" s="700"/>
      <c r="J255" s="126" t="s">
        <v>87</v>
      </c>
      <c r="K255" s="128" t="s">
        <v>52</v>
      </c>
      <c r="L255" s="704"/>
      <c r="M255" s="150">
        <f>(ROUNDDOWN((M254/5.7)+2,0)*E255)/8</f>
        <v>1.5</v>
      </c>
      <c r="N255" s="151">
        <f t="shared" ref="N255:N258" si="201">N254</f>
        <v>1.001372346</v>
      </c>
      <c r="O255" s="169">
        <v>1.0</v>
      </c>
      <c r="P255" s="134">
        <f t="shared" ref="P255:P257" si="202">P254</f>
        <v>1</v>
      </c>
      <c r="Q255" s="168">
        <f t="shared" si="197"/>
        <v>1.502058519</v>
      </c>
      <c r="R255" s="136" t="str">
        <f>IFERROR(
  IF(B255="", "", VLOOKUP(B255, Data!$B$2:$K$905, 9, FALSE)),
  ""
)</f>
        <v/>
      </c>
      <c r="S255" s="137">
        <f t="shared" si="198"/>
        <v>0</v>
      </c>
      <c r="T255" s="690"/>
      <c r="U255" s="681" t="str">
        <f>IFERROR(
  IF(B255="", "", VLOOKUP(B255, Data!$B$2:$K$905, 10, FALSE)),
  ""
)
</f>
        <v/>
      </c>
      <c r="V255" s="691"/>
      <c r="W255" s="140">
        <f t="shared" si="199"/>
        <v>0</v>
      </c>
      <c r="X255" s="692"/>
      <c r="Y255" s="595"/>
      <c r="Z255" s="595"/>
      <c r="AA255" s="595"/>
      <c r="AB255" s="354">
        <f t="shared" si="200"/>
        <v>0</v>
      </c>
      <c r="AC255" s="181"/>
      <c r="AD255" s="625"/>
      <c r="AE255" s="626"/>
      <c r="AF255" s="696"/>
      <c r="AG255" s="697"/>
      <c r="AH255" s="629"/>
      <c r="AI255" s="187"/>
      <c r="AJ255" s="630"/>
      <c r="AK255" s="630"/>
      <c r="AL255" s="595"/>
      <c r="AM255" s="595"/>
      <c r="AN255" s="595"/>
      <c r="AO255" s="595"/>
      <c r="AP255" s="595"/>
      <c r="AQ255" s="595"/>
      <c r="AR255" s="595"/>
      <c r="AS255" s="595"/>
      <c r="AT255" s="595"/>
      <c r="AU255" s="595"/>
      <c r="AV255" s="595"/>
      <c r="AW255" s="595"/>
      <c r="AX255" s="595"/>
      <c r="AY255" s="595"/>
      <c r="AZ255" s="595"/>
      <c r="BA255" s="595"/>
      <c r="BB255" s="595"/>
      <c r="BC255" s="595"/>
      <c r="BD255" s="595"/>
      <c r="BE255" s="595"/>
      <c r="BF255" s="595"/>
      <c r="BG255" s="595"/>
      <c r="BH255" s="595"/>
      <c r="BI255" s="651"/>
      <c r="BJ255" s="651"/>
      <c r="BK255" s="651"/>
      <c r="BL255" s="651"/>
      <c r="BM255" s="651"/>
      <c r="BN255" s="651"/>
      <c r="BO255" s="651"/>
      <c r="BP255" s="651"/>
      <c r="BQ255" s="651"/>
      <c r="BR255" s="651"/>
      <c r="BS255" s="651"/>
      <c r="BT255" s="651"/>
    </row>
    <row r="256">
      <c r="A256" s="631"/>
      <c r="B256" s="154" t="str">
        <f>IFERROR(__xludf.DUMMYFUNCTION("IFERROR(
  IF(C256="""","""",
    IF(OR(REGEXMATCH(D256,""(?i)-Flashing""), REGEXMATCH(D256,""(?i)-EavesGut""), REGEXMATCH(D256,""(?i)Valley"")),
        ""DR"" &amp;
        TEXT(
            ROUNDUP(
                MIN(
                    VALUE(MID(C256, "&amp;"FIND(""("",C256)+1, FIND(""/"",C256)-FIND(""("",C256)-1)),
                    1200
                ) / 50, 0
            ) * 50, ""0""
        ) &amp;
        MID(C256, FIND(""/"",C256)+1, FIND("")"",C256)-FIND(""/"",C256)-1) &amp;
        TEXT(H256*100,""0"") &amp;"&amp;"
        I256,
    IF(AND(D256=""Roof Sheet"", REGEXMATCH(C256,""(?i)KS\d{4}[A-Z]{2}"")),
       REGEXEXTRACT(C256,""(?i)KS\d{4}[A-Z]{2}""),
    IF(AND(REGEXMATCH(D256,""(?i)-DP""), REGEXMATCH(C256,""(?i)Downpipe"")),
       ""dp"" &amp; REGEXEXTRACT(C256,""("&amp;"\d+)"") &amp; ""mm"",
    IF(AND(REGEXMATCH(D256,""(?i)Bracket""), REGEXMATCH(C256,""(?i)Bracket"")),
       ""Brkt"" &amp; REGEXEXTRACT(C256,""(\d+)"") &amp; ""mm"",
    IF(AND(REGEXMATCH(D256,""(?i)-OP""), REGEXMATCH(C256,""(?i)pops"")),
       ""op"" &amp; REGEXEXTRAC"&amp;"T(C256,""(\d+)"") &amp; ""mm"",
    IF(OR(D256=""R-FFTop"", D256=""R-FFBottom"", D256=""R-FFSide""),
        IF(REGEXMATCH(C256,""(?i)Profiled.*Top|Top.*Profiled""),""pfft"",
        IF(REGEXMATCH(C256,""(?i)Profiled.*Bottom|Bottom.*Profiled""),""pffb"",
    "&amp;"    IF(REGEXMATCH(C256,""(?i)Square""),""sff"",""""))),
    IF(REGEXMATCH(D256,""(?i)-Rivets""),""Rvt"",
    IF(REGEXMATCH(D256,""(?i)Silicone""),""300ml"",
    IF(REGEXMATCH(D256,""(?i)R-Butyl""),""300ml"",
    IF(REGEXMATCH(D256,""(?i)Fix""),""GenFix"","&amp;"
    IF(AND(REGEXMATCH(C256,""(?i)Timber""), REGEXMATCH(D256,""(?i)Timber"")),""tp"",
    IF(AND(REGEXMATCH(C256,""(?i)Vent G1275""), REGEXMATCH(D256,""(?i)Comb FIller"")),""CFV1275"",
    IF(REGEXMATCH(C256,""(?i)DPC""),""dpc"",
    IF(REGEXMATCH(C256,"""&amp;"(?i)Concealed Clips""),""ConClips"",
    IF(REGEXMATCH(D256,""(?i)-Takeoff ea""),""Takeoff ea"",
    IF(REGEXMATCH(D256,""(?i)-Takeoff LM""),""Takeoff LM"",
    IF(REGEXMATCH(D256,""(?i)-Takeoff m2""),""Takeoff m2"",
    IF(D256=""R-TU/TD"",""TU/TD"","""""&amp;")))))))))))))))))
  )))"),"Rvt")</f>
        <v>Rvt</v>
      </c>
      <c r="C256" s="225" t="s">
        <v>100</v>
      </c>
      <c r="D256" s="202" t="s">
        <v>101</v>
      </c>
      <c r="E256" s="168">
        <f t="shared" ref="E256:E257" si="203">E254</f>
        <v>2</v>
      </c>
      <c r="F256" s="699"/>
      <c r="G256" s="700"/>
      <c r="H256" s="700" t="str">
        <f>IFERROR(__xludf.DUMMYFUNCTION("IFERROR(REGEXEXTRACT(C256, ""(\d*\.\d+)mm""), """")"),"")</f>
        <v/>
      </c>
      <c r="I256" s="700"/>
      <c r="J256" s="126" t="s">
        <v>87</v>
      </c>
      <c r="K256" s="128" t="s">
        <v>52</v>
      </c>
      <c r="L256" s="704"/>
      <c r="M256" s="150">
        <f>ROUNDUP(((M254/5.7)+1)*(E256/0.05),0)</f>
        <v>220</v>
      </c>
      <c r="N256" s="151">
        <f t="shared" si="201"/>
        <v>1.001372346</v>
      </c>
      <c r="O256" s="169">
        <v>1.0</v>
      </c>
      <c r="P256" s="134">
        <f t="shared" si="202"/>
        <v>1</v>
      </c>
      <c r="Q256" s="168">
        <f t="shared" si="197"/>
        <v>220.3019161</v>
      </c>
      <c r="R256" s="136" t="str">
        <f>IFERROR(
  IF(B256="", "", VLOOKUP(B256, Data!$B$2:$K$905, 9, FALSE)),
  ""
)</f>
        <v/>
      </c>
      <c r="S256" s="137">
        <f t="shared" si="198"/>
        <v>0</v>
      </c>
      <c r="T256" s="690"/>
      <c r="U256" s="681" t="str">
        <f>IFERROR(
  IF(B256="", "", VLOOKUP(B256, Data!$B$2:$K$905, 10, FALSE)),
  ""
)
</f>
        <v/>
      </c>
      <c r="V256" s="691"/>
      <c r="W256" s="140">
        <f t="shared" si="199"/>
        <v>0</v>
      </c>
      <c r="X256" s="692"/>
      <c r="Y256" s="595"/>
      <c r="Z256" s="595"/>
      <c r="AA256" s="595"/>
      <c r="AB256" s="354">
        <f t="shared" si="200"/>
        <v>0</v>
      </c>
      <c r="AC256" s="181"/>
      <c r="AD256" s="625"/>
      <c r="AE256" s="626"/>
      <c r="AF256" s="696"/>
      <c r="AG256" s="697"/>
      <c r="AH256" s="629"/>
      <c r="AI256" s="187"/>
      <c r="AJ256" s="630"/>
      <c r="AK256" s="630"/>
      <c r="AL256" s="595"/>
      <c r="AM256" s="595"/>
      <c r="AN256" s="595"/>
      <c r="AO256" s="595"/>
      <c r="AP256" s="595"/>
      <c r="AQ256" s="595"/>
      <c r="AR256" s="595"/>
      <c r="AS256" s="595"/>
      <c r="AT256" s="595"/>
      <c r="AU256" s="595"/>
      <c r="AV256" s="595"/>
      <c r="AW256" s="595"/>
      <c r="AX256" s="595"/>
      <c r="AY256" s="595"/>
      <c r="AZ256" s="595"/>
      <c r="BA256" s="595"/>
      <c r="BB256" s="595"/>
      <c r="BC256" s="595"/>
      <c r="BD256" s="595"/>
      <c r="BE256" s="595"/>
      <c r="BF256" s="595"/>
      <c r="BG256" s="595"/>
      <c r="BH256" s="595"/>
      <c r="BI256" s="651"/>
      <c r="BJ256" s="651"/>
      <c r="BK256" s="651"/>
      <c r="BL256" s="651"/>
      <c r="BM256" s="651"/>
      <c r="BN256" s="651"/>
      <c r="BO256" s="651"/>
      <c r="BP256" s="651"/>
      <c r="BQ256" s="651"/>
      <c r="BR256" s="651"/>
      <c r="BS256" s="651"/>
      <c r="BT256" s="651"/>
    </row>
    <row r="257">
      <c r="A257" s="631"/>
      <c r="B257" s="154" t="str">
        <f>IFERROR(__xludf.DUMMYFUNCTION("IFERROR(
  IF(C257="""","""",
    IF(OR(REGEXMATCH(D257,""(?i)-Flashing""), REGEXMATCH(D257,""(?i)-EavesGut""), REGEXMATCH(D257,""(?i)Valley"")),
        ""DR"" &amp;
        TEXT(
            ROUNDUP(
                MIN(
                    VALUE(MID(C257, "&amp;"FIND(""("",C257)+1, FIND(""/"",C257)-FIND(""("",C257)-1)),
                    1200
                ) / 50, 0
            ) * 50, ""0""
        ) &amp;
        MID(C257, FIND(""/"",C257)+1, FIND("")"",C257)-FIND(""/"",C257)-1) &amp;
        TEXT(H257*100,""0"") &amp;"&amp;"
        I257,
    IF(AND(D257=""Roof Sheet"", REGEXMATCH(C257,""(?i)KS\d{4}[A-Z]{2}"")),
       REGEXEXTRACT(C257,""(?i)KS\d{4}[A-Z]{2}""),
    IF(AND(REGEXMATCH(D257,""(?i)-DP""), REGEXMATCH(C257,""(?i)Downpipe"")),
       ""dp"" &amp; REGEXEXTRACT(C257,""("&amp;"\d+)"") &amp; ""mm"",
    IF(AND(REGEXMATCH(D257,""(?i)Bracket""), REGEXMATCH(C257,""(?i)Bracket"")),
       ""Brkt"" &amp; REGEXEXTRACT(C257,""(\d+)"") &amp; ""mm"",
    IF(AND(REGEXMATCH(D257,""(?i)-OP""), REGEXMATCH(C257,""(?i)pops"")),
       ""op"" &amp; REGEXEXTRAC"&amp;"T(C257,""(\d+)"") &amp; ""mm"",
    IF(OR(D257=""R-FFTop"", D257=""R-FFBottom"", D257=""R-FFSide""),
        IF(REGEXMATCH(C257,""(?i)Profiled.*Top|Top.*Profiled""),""pfft"",
        IF(REGEXMATCH(C257,""(?i)Profiled.*Bottom|Bottom.*Profiled""),""pffb"",
    "&amp;"    IF(REGEXMATCH(C257,""(?i)Square""),""sff"",""""))),
    IF(REGEXMATCH(D257,""(?i)-Rivets""),""Rvt"",
    IF(REGEXMATCH(D257,""(?i)Silicone""),""300ml"",
    IF(REGEXMATCH(D257,""(?i)R-Butyl""),""300ml"",
    IF(REGEXMATCH(D257,""(?i)Fix""),""GenFix"","&amp;"
    IF(AND(REGEXMATCH(C257,""(?i)Timber""), REGEXMATCH(D257,""(?i)Timber"")),""tp"",
    IF(AND(REGEXMATCH(C257,""(?i)Vent G1275""), REGEXMATCH(D257,""(?i)Comb FIller"")),""CFV1275"",
    IF(REGEXMATCH(C257,""(?i)DPC""),""dpc"",
    IF(REGEXMATCH(C257,"""&amp;"(?i)Concealed Clips""),""ConClips"",
    IF(REGEXMATCH(D257,""(?i)-Takeoff ea""),""Takeoff ea"",
    IF(REGEXMATCH(D257,""(?i)-Takeoff LM""),""Takeoff LM"",
    IF(REGEXMATCH(D257,""(?i)-Takeoff m2""),""Takeoff m2"",
    IF(D257=""R-TU/TD"",""TU/TD"","""""&amp;")))))))))))))))))
  )))"),"GenFix")</f>
        <v>GenFix</v>
      </c>
      <c r="C257" s="158" t="s">
        <v>102</v>
      </c>
      <c r="D257" s="124" t="s">
        <v>389</v>
      </c>
      <c r="E257" s="168">
        <f t="shared" si="203"/>
        <v>2</v>
      </c>
      <c r="F257" s="699"/>
      <c r="G257" s="701"/>
      <c r="H257" s="700" t="str">
        <f>IFERROR(__xludf.DUMMYFUNCTION("IFERROR(REGEXEXTRACT(C257, ""(\d*\.\d+)mm""), """")"),"")</f>
        <v/>
      </c>
      <c r="I257" s="700"/>
      <c r="J257" s="126" t="s">
        <v>87</v>
      </c>
      <c r="K257" s="126" t="s">
        <v>52</v>
      </c>
      <c r="L257" s="704"/>
      <c r="M257" s="150">
        <f>ROUNDUP((M254*E257)*8,0)+1</f>
        <v>410</v>
      </c>
      <c r="N257" s="151">
        <f t="shared" si="201"/>
        <v>1.001372346</v>
      </c>
      <c r="O257" s="169">
        <v>1.0</v>
      </c>
      <c r="P257" s="134">
        <f t="shared" si="202"/>
        <v>1</v>
      </c>
      <c r="Q257" s="168">
        <f t="shared" si="197"/>
        <v>410.5626619</v>
      </c>
      <c r="R257" s="136" t="str">
        <f>IFERROR(
  IF(B257="", "", VLOOKUP(B257, Data!$B$2:$K$905, 9, FALSE)),
  ""
)</f>
        <v/>
      </c>
      <c r="S257" s="137">
        <f t="shared" si="198"/>
        <v>0</v>
      </c>
      <c r="T257" s="690"/>
      <c r="U257" s="681" t="str">
        <f>IFERROR(
  IF(B257="", "", VLOOKUP(B257, Data!$B$2:$K$905, 10, FALSE)),
  ""
)
</f>
        <v/>
      </c>
      <c r="V257" s="691"/>
      <c r="W257" s="140">
        <f t="shared" si="199"/>
        <v>0</v>
      </c>
      <c r="X257" s="692"/>
      <c r="Y257" s="595"/>
      <c r="Z257" s="595"/>
      <c r="AA257" s="595"/>
      <c r="AB257" s="354">
        <f t="shared" si="200"/>
        <v>0</v>
      </c>
      <c r="AC257" s="181"/>
      <c r="AD257" s="625"/>
      <c r="AE257" s="626"/>
      <c r="AF257" s="696"/>
      <c r="AG257" s="697"/>
      <c r="AH257" s="629"/>
      <c r="AI257" s="187"/>
      <c r="AJ257" s="630"/>
      <c r="AK257" s="630"/>
      <c r="AL257" s="595"/>
      <c r="AM257" s="595"/>
      <c r="AN257" s="595"/>
      <c r="AO257" s="595"/>
      <c r="AP257" s="595"/>
      <c r="AQ257" s="595"/>
      <c r="AR257" s="595"/>
      <c r="AS257" s="595"/>
      <c r="AT257" s="595"/>
      <c r="AU257" s="595"/>
      <c r="AV257" s="595"/>
      <c r="AW257" s="595"/>
      <c r="AX257" s="595"/>
      <c r="AY257" s="595"/>
      <c r="AZ257" s="595"/>
      <c r="BA257" s="595"/>
      <c r="BB257" s="595"/>
      <c r="BC257" s="595"/>
      <c r="BD257" s="595"/>
      <c r="BE257" s="595"/>
      <c r="BF257" s="595"/>
      <c r="BG257" s="595"/>
      <c r="BH257" s="595"/>
      <c r="BI257" s="651"/>
      <c r="BJ257" s="651"/>
      <c r="BK257" s="651"/>
      <c r="BL257" s="651"/>
      <c r="BM257" s="651"/>
      <c r="BN257" s="651"/>
      <c r="BO257" s="651"/>
      <c r="BP257" s="651"/>
      <c r="BQ257" s="651"/>
      <c r="BR257" s="651"/>
      <c r="BS257" s="651"/>
      <c r="BT257" s="651"/>
    </row>
    <row r="258">
      <c r="A258" s="631"/>
      <c r="B258" s="154" t="str">
        <f>IFERROR(__xludf.DUMMYFUNCTION("IFERROR(
  IF(C258="""","""",
    IF(OR(REGEXMATCH(D258,""(?i)-Flashing""), REGEXMATCH(D258,""(?i)-EavesGut""), REGEXMATCH(D258,""(?i)Valley"")),
        ""DR"" &amp;
        TEXT(
            ROUNDUP(
                MIN(
                    VALUE(MID(C258, "&amp;"FIND(""("",C258)+1, FIND(""/"",C258)-FIND(""("",C258)-1)),
                    1200
                ) / 50, 0
            ) * 50, ""0""
        ) &amp;
        MID(C258, FIND(""/"",C258)+1, FIND("")"",C258)-FIND(""/"",C258)-1) &amp;
        TEXT(H258*100,""0"") &amp;"&amp;"
        I258,
    IF(AND(D258=""Roof Sheet"", REGEXMATCH(C258,""(?i)KS\d{4}[A-Z]{2}"")),
       REGEXEXTRACT(C258,""(?i)KS\d{4}[A-Z]{2}""),
    IF(AND(REGEXMATCH(D258,""(?i)-DP""), REGEXMATCH(C258,""(?i)Downpipe"")),
       ""dp"" &amp; REGEXEXTRACT(C258,""("&amp;"\d+)"") &amp; ""mm"",
    IF(AND(REGEXMATCH(D258,""(?i)Bracket""), REGEXMATCH(C258,""(?i)Bracket"")),
       ""Brkt"" &amp; REGEXEXTRACT(C258,""(\d+)"") &amp; ""mm"",
    IF(AND(REGEXMATCH(D258,""(?i)-OP""), REGEXMATCH(C258,""(?i)pops"")),
       ""op"" &amp; REGEXEXTRAC"&amp;"T(C258,""(\d+)"") &amp; ""mm"",
    IF(OR(D258=""R-FFTop"", D258=""R-FFBottom"", D258=""R-FFSide""),
        IF(REGEXMATCH(C258,""(?i)Profiled.*Top|Top.*Profiled""),""pfft"",
        IF(REGEXMATCH(C258,""(?i)Profiled.*Bottom|Bottom.*Profiled""),""pffb"",
    "&amp;"    IF(REGEXMATCH(C258,""(?i)Square""),""sff"",""""))),
    IF(REGEXMATCH(D258,""(?i)-Rivets""),""Rvt"",
    IF(REGEXMATCH(D258,""(?i)Silicone""),""300ml"",
    IF(REGEXMATCH(D258,""(?i)R-Butyl""),""300ml"",
    IF(REGEXMATCH(D258,""(?i)Fix""),""GenFix"","&amp;"
    IF(AND(REGEXMATCH(C258,""(?i)Timber""), REGEXMATCH(D258,""(?i)Timber"")),""tp"",
    IF(AND(REGEXMATCH(C258,""(?i)Vent G1275""), REGEXMATCH(D258,""(?i)Comb FIller"")),""CFV1275"",
    IF(REGEXMATCH(C258,""(?i)DPC""),""dpc"",
    IF(REGEXMATCH(C258,"""&amp;"(?i)Concealed Clips""),""ConClips"",
    IF(REGEXMATCH(D258,""(?i)-Takeoff ea""),""Takeoff ea"",
    IF(REGEXMATCH(D258,""(?i)-Takeoff LM""),""Takeoff LM"",
    IF(REGEXMATCH(D258,""(?i)-Takeoff m2""),""Takeoff m2"",
    IF(D258=""R-TU/TD"",""TU/TD"","""""&amp;")))))))))))))))))
  )))"),"sff")</f>
        <v>sff</v>
      </c>
      <c r="C258" s="225" t="s">
        <v>110</v>
      </c>
      <c r="D258" s="124" t="s">
        <v>111</v>
      </c>
      <c r="E258" s="704"/>
      <c r="F258" s="699"/>
      <c r="G258" s="701"/>
      <c r="H258" s="700" t="str">
        <f>IFERROR(__xludf.DUMMYFUNCTION("IFERROR(REGEXEXTRACT(C258, ""(\d*\.\d+)mm""), """")"),"")</f>
        <v/>
      </c>
      <c r="I258" s="700"/>
      <c r="J258" s="126" t="s">
        <v>87</v>
      </c>
      <c r="K258" s="126" t="s">
        <v>55</v>
      </c>
      <c r="L258" s="704"/>
      <c r="M258" s="150">
        <f>M254</f>
        <v>25.55</v>
      </c>
      <c r="N258" s="151">
        <f t="shared" si="201"/>
        <v>1.001372346</v>
      </c>
      <c r="O258" s="169">
        <v>1.0</v>
      </c>
      <c r="P258" s="134">
        <f>P257*2</f>
        <v>2</v>
      </c>
      <c r="Q258" s="168">
        <f t="shared" si="197"/>
        <v>51.17012688</v>
      </c>
      <c r="R258" s="136" t="str">
        <f>IFERROR(
  IF(B258="", "", VLOOKUP(B258, Data!$B$2:$K$905, 9, FALSE)),
  ""
)</f>
        <v/>
      </c>
      <c r="S258" s="137">
        <f t="shared" si="198"/>
        <v>0</v>
      </c>
      <c r="T258" s="690"/>
      <c r="U258" s="136" t="str">
        <f>IFERROR(
  IF(B258="", "", VLOOKUP(B258, Data!$B$2:$K$905, 10, FALSE)),
  ""
)
</f>
        <v/>
      </c>
      <c r="V258" s="691"/>
      <c r="W258" s="140">
        <f t="shared" si="199"/>
        <v>0</v>
      </c>
      <c r="X258" s="692"/>
      <c r="Y258" s="595"/>
      <c r="Z258" s="595"/>
      <c r="AA258" s="595"/>
      <c r="AB258" s="354">
        <f t="shared" si="200"/>
        <v>0</v>
      </c>
      <c r="AC258" s="181"/>
      <c r="AD258" s="625"/>
      <c r="AE258" s="626"/>
      <c r="AF258" s="696"/>
      <c r="AG258" s="697"/>
      <c r="AH258" s="629"/>
      <c r="AI258" s="187"/>
      <c r="AJ258" s="630"/>
      <c r="AK258" s="630"/>
      <c r="AL258" s="595"/>
      <c r="AM258" s="595"/>
      <c r="AN258" s="595"/>
      <c r="AO258" s="595"/>
      <c r="AP258" s="595"/>
      <c r="AQ258" s="595"/>
      <c r="AR258" s="595"/>
      <c r="AS258" s="595"/>
      <c r="AT258" s="595"/>
      <c r="AU258" s="595"/>
      <c r="AV258" s="595"/>
      <c r="AW258" s="595"/>
      <c r="AX258" s="595"/>
      <c r="AY258" s="595"/>
      <c r="AZ258" s="595"/>
      <c r="BA258" s="595"/>
      <c r="BB258" s="595"/>
      <c r="BC258" s="595"/>
      <c r="BD258" s="595"/>
      <c r="BE258" s="595"/>
      <c r="BF258" s="595"/>
      <c r="BG258" s="595"/>
      <c r="BH258" s="595"/>
      <c r="BI258" s="651"/>
      <c r="BJ258" s="651"/>
      <c r="BK258" s="651"/>
      <c r="BL258" s="651"/>
      <c r="BM258" s="651"/>
      <c r="BN258" s="651"/>
      <c r="BO258" s="651"/>
      <c r="BP258" s="651"/>
      <c r="BQ258" s="651"/>
      <c r="BR258" s="651"/>
      <c r="BS258" s="651"/>
      <c r="BT258" s="651"/>
    </row>
    <row r="259">
      <c r="A259" s="631"/>
      <c r="B259" s="154" t="str">
        <f>IFERROR(__xludf.DUMMYFUNCTION("IFERROR(
  IF(C259="""","""",
    IF(OR(REGEXMATCH(D259,""(?i)-Flashing""), REGEXMATCH(D259,""(?i)-EavesGut""), REGEXMATCH(D259,""(?i)Valley"")),
        ""DR"" &amp;
        TEXT(
            ROUNDUP(
                MIN(
                    VALUE(MID(C259, "&amp;"FIND(""("",C259)+1, FIND(""/"",C259)-FIND(""("",C259)-1)),
                    1200
                ) / 50, 0
            ) * 50, ""0""
        ) &amp;
        MID(C259, FIND(""/"",C259)+1, FIND("")"",C259)-FIND(""/"",C259)-1) &amp;
        TEXT(H259*100,""0"") &amp;"&amp;"
        I259,
    IF(AND(D259=""Roof Sheet"", REGEXMATCH(C259,""(?i)KS\d{4}[A-Z]{2}"")),
       REGEXEXTRACT(C259,""(?i)KS\d{4}[A-Z]{2}""),
    IF(AND(REGEXMATCH(D259,""(?i)-DP""), REGEXMATCH(C259,""(?i)Downpipe"")),
       ""dp"" &amp; REGEXEXTRACT(C259,""("&amp;"\d+)"") &amp; ""mm"",
    IF(AND(REGEXMATCH(D259,""(?i)Bracket""), REGEXMATCH(C259,""(?i)Bracket"")),
       ""Brkt"" &amp; REGEXEXTRACT(C259,""(\d+)"") &amp; ""mm"",
    IF(AND(REGEXMATCH(D259,""(?i)-OP""), REGEXMATCH(C259,""(?i)pops"")),
       ""op"" &amp; REGEXEXTRAC"&amp;"T(C259,""(\d+)"") &amp; ""mm"",
    IF(OR(D259=""R-FFTop"", D259=""R-FFBottom"", D259=""R-FFSide""),
        IF(REGEXMATCH(C259,""(?i)Profiled.*Top|Top.*Profiled""),""pfft"",
        IF(REGEXMATCH(C259,""(?i)Profiled.*Bottom|Bottom.*Profiled""),""pffb"",
    "&amp;"    IF(REGEXMATCH(C259,""(?i)Square""),""sff"",""""))),
    IF(REGEXMATCH(D259,""(?i)-Rivets""),""Rvt"",
    IF(REGEXMATCH(D259,""(?i)Silicone""),""300ml"",
    IF(REGEXMATCH(D259,""(?i)R-Butyl""),""300ml"",
    IF(REGEXMATCH(D259,""(?i)Fix""),""GenFix"","&amp;"
    IF(AND(REGEXMATCH(C259,""(?i)Timber""), REGEXMATCH(D259,""(?i)Timber"")),""tp"",
    IF(AND(REGEXMATCH(C259,""(?i)Vent G1275""), REGEXMATCH(D259,""(?i)Comb FIller"")),""CFV1275"",
    IF(REGEXMATCH(C259,""(?i)DPC""),""dpc"",
    IF(REGEXMATCH(C259,"""&amp;"(?i)Concealed Clips""),""ConClips"",
    IF(REGEXMATCH(D259,""(?i)-Takeoff ea""),""Takeoff ea"",
    IF(REGEXMATCH(D259,""(?i)-Takeoff LM""),""Takeoff LM"",
    IF(REGEXMATCH(D259,""(?i)-Takeoff m2""),""Takeoff m2"",
    IF(D259=""R-TU/TD"",""TU/TD"","""""&amp;")))))))))))))))))
  )))"),"pfft")</f>
        <v>pfft</v>
      </c>
      <c r="C259" s="225" t="s">
        <v>104</v>
      </c>
      <c r="D259" s="124" t="s">
        <v>105</v>
      </c>
      <c r="E259" s="712"/>
      <c r="F259" s="721"/>
      <c r="G259" s="701"/>
      <c r="H259" s="700"/>
      <c r="I259" s="700"/>
      <c r="J259" s="126" t="s">
        <v>87</v>
      </c>
      <c r="K259" s="126" t="s">
        <v>55</v>
      </c>
      <c r="L259" s="712"/>
      <c r="M259" s="150">
        <f>E257</f>
        <v>2</v>
      </c>
      <c r="N259" s="151">
        <f>IFERROR(__xludf.DUMMYFUNCTION("IF(B259="""", """", IFERROR(1 / COS(RADIANS(REGEXEXTRACT(F259,""(\d+)""))), 1))"),1.0)</f>
        <v>1</v>
      </c>
      <c r="O259" s="169">
        <v>1.0</v>
      </c>
      <c r="P259" s="134">
        <f>P258</f>
        <v>2</v>
      </c>
      <c r="Q259" s="168">
        <f t="shared" si="197"/>
        <v>4</v>
      </c>
      <c r="R259" s="136" t="str">
        <f>IFERROR(
  IF(B259="", "", VLOOKUP(B259, Data!$B$2:$K$905, 9, FALSE)),
  ""
)</f>
        <v/>
      </c>
      <c r="S259" s="137">
        <f t="shared" si="198"/>
        <v>0</v>
      </c>
      <c r="T259" s="690"/>
      <c r="U259" s="136" t="str">
        <f>IFERROR(
  IF(B259="", "", VLOOKUP(B259, Data!$B$2:$K$905, 10, FALSE)),
  ""
)
</f>
        <v/>
      </c>
      <c r="V259" s="691"/>
      <c r="W259" s="140">
        <f t="shared" si="199"/>
        <v>0</v>
      </c>
      <c r="X259" s="692"/>
      <c r="Y259" s="595"/>
      <c r="Z259" s="595"/>
      <c r="AA259" s="595"/>
      <c r="AB259" s="354">
        <f t="shared" si="200"/>
        <v>0</v>
      </c>
      <c r="AC259" s="181"/>
      <c r="AD259" s="625"/>
      <c r="AE259" s="626"/>
      <c r="AF259" s="696"/>
      <c r="AG259" s="697"/>
      <c r="AH259" s="629"/>
      <c r="AI259" s="187"/>
      <c r="AJ259" s="630"/>
      <c r="AK259" s="630"/>
      <c r="AL259" s="595"/>
      <c r="AM259" s="595"/>
      <c r="AN259" s="595"/>
      <c r="AO259" s="595"/>
      <c r="AP259" s="595"/>
      <c r="AQ259" s="595"/>
      <c r="AR259" s="595"/>
      <c r="AS259" s="595"/>
      <c r="AT259" s="595"/>
      <c r="AU259" s="595"/>
      <c r="AV259" s="595"/>
      <c r="AW259" s="595"/>
      <c r="AX259" s="595"/>
      <c r="AY259" s="595"/>
      <c r="AZ259" s="595"/>
      <c r="BA259" s="595"/>
      <c r="BB259" s="595"/>
      <c r="BC259" s="595"/>
      <c r="BD259" s="595"/>
      <c r="BE259" s="595"/>
      <c r="BF259" s="595"/>
      <c r="BG259" s="595"/>
      <c r="BH259" s="595"/>
      <c r="BI259" s="651"/>
      <c r="BJ259" s="651"/>
      <c r="BK259" s="651"/>
      <c r="BL259" s="651"/>
      <c r="BM259" s="651"/>
      <c r="BN259" s="651"/>
      <c r="BO259" s="651"/>
      <c r="BP259" s="651"/>
      <c r="BQ259" s="651"/>
      <c r="BR259" s="651"/>
      <c r="BS259" s="651"/>
      <c r="BT259" s="651"/>
    </row>
    <row r="260">
      <c r="A260" s="631"/>
      <c r="B260" s="154"/>
      <c r="C260" s="736"/>
      <c r="D260" s="736"/>
      <c r="E260" s="737"/>
      <c r="F260" s="738"/>
      <c r="G260" s="736"/>
      <c r="H260" s="736"/>
      <c r="I260" s="737"/>
      <c r="J260" s="736"/>
      <c r="K260" s="736" t="s">
        <v>42</v>
      </c>
      <c r="L260" s="737"/>
      <c r="M260" s="737" t="s">
        <v>42</v>
      </c>
      <c r="N260" s="711" t="str">
        <f>IFERROR(__xludf.DUMMYFUNCTION("IF(B260="""", """", IFERROR(1 / COS(RADIANS(REGEXEXTRACT(F260,""(\d+)""))), 1))"),"")</f>
        <v/>
      </c>
      <c r="O260" s="737"/>
      <c r="P260" s="736"/>
      <c r="Q260" s="740"/>
      <c r="R260" s="681" t="str">
        <f>IFERROR(
  IF(B260="", "", VLOOKUP(B260, Data!$B$2:$K$905, 9, FALSE)),
  ""
)</f>
        <v/>
      </c>
      <c r="S260" s="741"/>
      <c r="T260" s="741"/>
      <c r="U260" s="681" t="str">
        <f>IFERROR(
  IF(B260="", "", VLOOKUP(B260, Data!$B$2:$K$905, 10, FALSE)),
  ""
)
</f>
        <v/>
      </c>
      <c r="V260" s="741"/>
      <c r="W260" s="742"/>
      <c r="X260" s="595"/>
      <c r="Y260" s="595"/>
      <c r="Z260" s="595"/>
      <c r="AA260" s="595"/>
      <c r="AB260" s="595"/>
      <c r="AC260" s="181"/>
      <c r="AD260" s="625"/>
      <c r="AE260" s="626"/>
      <c r="AF260" s="627"/>
      <c r="AG260" s="697"/>
      <c r="AH260" s="629"/>
      <c r="AI260" s="187"/>
      <c r="AJ260" s="630"/>
      <c r="AK260" s="630"/>
      <c r="AL260" s="595"/>
      <c r="AM260" s="595"/>
      <c r="AN260" s="595"/>
      <c r="AO260" s="595"/>
      <c r="AP260" s="595"/>
      <c r="AQ260" s="595"/>
      <c r="AR260" s="595"/>
      <c r="AS260" s="595"/>
      <c r="AT260" s="595"/>
      <c r="AU260" s="595"/>
      <c r="AV260" s="595"/>
      <c r="AW260" s="595"/>
      <c r="AX260" s="595"/>
      <c r="AY260" s="595"/>
      <c r="AZ260" s="595"/>
      <c r="BA260" s="595"/>
      <c r="BB260" s="595"/>
      <c r="BC260" s="595"/>
      <c r="BD260" s="595"/>
      <c r="BE260" s="595"/>
      <c r="BF260" s="595"/>
      <c r="BG260" s="595"/>
      <c r="BH260" s="595"/>
      <c r="BI260" s="651"/>
      <c r="BJ260" s="651"/>
      <c r="BK260" s="651"/>
      <c r="BL260" s="651"/>
      <c r="BM260" s="651"/>
      <c r="BN260" s="651"/>
      <c r="BO260" s="651"/>
      <c r="BP260" s="651"/>
      <c r="BQ260" s="651"/>
      <c r="BR260" s="651"/>
      <c r="BS260" s="651"/>
      <c r="BT260" s="651"/>
    </row>
    <row r="261">
      <c r="A261" s="631">
        <v>1.0</v>
      </c>
      <c r="B261" s="727"/>
      <c r="C261" s="103" t="s">
        <v>505</v>
      </c>
      <c r="D261" s="192"/>
      <c r="E261" s="679"/>
      <c r="F261" s="677"/>
      <c r="G261" s="678"/>
      <c r="H261" s="678"/>
      <c r="I261" s="678"/>
      <c r="J261" s="678"/>
      <c r="K261" s="678" t="s">
        <v>42</v>
      </c>
      <c r="L261" s="106">
        <f>Q261</f>
        <v>13.17806007</v>
      </c>
      <c r="M261" s="679" t="s">
        <v>42</v>
      </c>
      <c r="N261" s="680" t="s">
        <v>42</v>
      </c>
      <c r="O261" s="679"/>
      <c r="P261" s="678"/>
      <c r="Q261" s="106">
        <f>Q262</f>
        <v>13.17806007</v>
      </c>
      <c r="R261" s="681" t="str">
        <f>IFERROR(
  IF(B261="", "", VLOOKUP(B261, Data!$B$2:$K$905, 9, FALSE)),
  ""
)</f>
        <v/>
      </c>
      <c r="S261" s="109">
        <f>T261/Q261</f>
        <v>0</v>
      </c>
      <c r="T261" s="109">
        <f>SUM(S262:S267)</f>
        <v>0</v>
      </c>
      <c r="U261" s="681" t="str">
        <f>IFERROR(
  IF(B261="", "", VLOOKUP(B261, Data!$B$2:$K$905, 10, FALSE)),
  ""
)
</f>
        <v/>
      </c>
      <c r="V261" s="109">
        <f>W261/Q261</f>
        <v>0</v>
      </c>
      <c r="W261" s="110">
        <f>SUM(W262:W267)</f>
        <v>0</v>
      </c>
      <c r="X261" s="111" t="str">
        <f>W261/$AC$758/$W$765/$X$755</f>
        <v>#REF!</v>
      </c>
      <c r="Y261" s="112" t="b">
        <f>(T261+W261)=(SUM(AB262:AB267))</f>
        <v>1</v>
      </c>
      <c r="Z261" s="222">
        <f>(T261+W261)-(SUM(AB262:AB267))</f>
        <v>0</v>
      </c>
      <c r="AA261" s="595"/>
      <c r="AB261" s="595"/>
      <c r="AC261" s="181"/>
      <c r="AD261" s="114">
        <f>W261+T261</f>
        <v>0</v>
      </c>
      <c r="AE261" s="115">
        <f>AD261</f>
        <v>0</v>
      </c>
      <c r="AF261" s="116" t="str">
        <f>AE261/$AE$733</f>
        <v>#REF!</v>
      </c>
      <c r="AG261" s="683" t="str">
        <f>AF261*$AG$740</f>
        <v>#REF!</v>
      </c>
      <c r="AH261" s="118" t="str">
        <f>AF261*$AG$743</f>
        <v>#REF!</v>
      </c>
      <c r="AI261" s="187"/>
      <c r="AJ261" s="119" t="str">
        <f>ROUND(AK261/L261,2)</f>
        <v>#REF!</v>
      </c>
      <c r="AK261" s="119" t="str">
        <f>ROUND(AH261+AG261+AD261,2)</f>
        <v>#REF!</v>
      </c>
      <c r="AL261" s="595"/>
      <c r="AM261" s="595"/>
      <c r="AN261" s="595"/>
      <c r="AO261" s="595"/>
      <c r="AP261" s="595"/>
      <c r="AQ261" s="595"/>
      <c r="AR261" s="595"/>
      <c r="AS261" s="595"/>
      <c r="AT261" s="595"/>
      <c r="AU261" s="595"/>
      <c r="AV261" s="595"/>
      <c r="AW261" s="595"/>
      <c r="AX261" s="595"/>
      <c r="AY261" s="595"/>
      <c r="AZ261" s="595"/>
      <c r="BA261" s="595"/>
      <c r="BB261" s="595"/>
      <c r="BC261" s="595"/>
      <c r="BD261" s="595"/>
      <c r="BE261" s="595"/>
      <c r="BF261" s="595"/>
      <c r="BG261" s="595"/>
      <c r="BH261" s="595"/>
      <c r="BI261" s="651"/>
      <c r="BJ261" s="651"/>
      <c r="BK261" s="651"/>
      <c r="BL261" s="651"/>
      <c r="BM261" s="651"/>
      <c r="BN261" s="651"/>
      <c r="BO261" s="651"/>
      <c r="BP261" s="651"/>
      <c r="BQ261" s="651"/>
      <c r="BR261" s="651"/>
      <c r="BS261" s="651"/>
      <c r="BT261" s="651"/>
    </row>
    <row r="262">
      <c r="A262" s="716" t="s">
        <v>444</v>
      </c>
      <c r="B262" s="154" t="str">
        <f>IFERROR(__xludf.DUMMYFUNCTION("IFERROR(
  IF(C262="""","""",
    IF(OR(REGEXMATCH(D262,""(?i)-Flashing""), REGEXMATCH(D262,""(?i)-EavesGut""), REGEXMATCH(D262,""(?i)Valley"")),
        ""DR"" &amp;
        TEXT(
            ROUNDUP(
                VALUE(MID(C262, FIND(""("",C262)+1, FIND("&amp;"""/"",C262)-FIND(""("",C262)-1)) / 50,
            0) * 50, ""0""
        ) &amp;
        MID(C262, FIND(""/"",C262)+1, FIND("")"",C262)-FIND(""/"",C262)-1) &amp;
        TEXT(H262*100,""0"") &amp;
        I262,
    IF(AND(D262=""Roof Sheet"", REGEXMATCH(C262,""(?i)K"&amp;"S\d{4}[A-Z]{2}"")),
       REGEXEXTRACT(C262,""(?i)KS\d{4}[A-Z]{2}""),
    IF(AND(REGEXMATCH(D262,""(?i)-DP""), REGEXMATCH(C262,""(?i)Downpipe"")),
       ""dp"" &amp; REGEXEXTRACT(C262,""(\d+)"") &amp; ""mm"",
    IF(AND(REGEXMATCH(D262,""(?i)Bracket""), REGEXMA"&amp;"TCH(C262,""(?i)Bracket"")),
       ""Brkt"" &amp; REGEXEXTRACT(C262,""(\d+)"") &amp; ""mm"",
    IF(AND(REGEXMATCH(D262,""(?i)-OP""), REGEXMATCH(C262,""(?i)pops"")),
       ""op"" &amp; REGEXEXTRACT(C262,""(\d+)"") &amp; ""mm"",
    IF(OR(D262=""R-FFTop"", D262=""R-FFBot"&amp;"tom"", D262=""R-FFSide""),
        IF(REGEXMATCH(C262,""(?i)Profiled.*Top|Top.*Profiled""),""pfft"",
        IF(REGEXMATCH(C262,""(?i)Profiled.*Bottom|Bottom.*Profiled""),""pffb"",
        IF(REGEXMATCH(C262,""(?i)Square""),""sff"",""""))),
    IF(REGEXMA"&amp;"TCH(D262,""(?i)-Rivets""),""Rvt"",
    IF(REGEXMATCH(D262,""(?i)Silicone""),""300ml"",
    IF(REGEXMATCH(D262,""(?i)R-Butyl""),""300ml"",
    IF(REGEXMATCH(D262,""(?i)Fix""),""GenFix"",
    IF(AND(REGEXMATCH(C262,""(?i)Timber""), REGEXMATCH(D262,""(?i)Tim"&amp;"ber"")),""tp"",
    IF(AND(REGEXMATCH(C262,""(?i)Vent G1275""), REGEXMATCH(D262,""(?i)Comb FIller"")),""CFV1275"",
    IF(REGEXMATCH(C262,""(?i)DPC""),""dpc"",
    IF(REGEXMATCH(C262,""(?i)Concealed Clips""),""ConClips"",
    IF(REGEXMATCH(D262,""(?i)-Tak"&amp;"eoff ea""),""Takeoff ea"",
    IF(REGEXMATCH(D262,""(?i)-Takeoff LM""),""Takeoff LM"",
    IF(REGEXMATCH(D262,""(?i)-Takeoff m2""),""Takeoff m2"",
    IF(D262=""R-TU/TD"",""TU/TD"","""")))))))))))))))))
  )))"),"DR20002B55Mag")</f>
        <v>DR20002B55Mag</v>
      </c>
      <c r="C262" s="123" t="s">
        <v>507</v>
      </c>
      <c r="D262" s="202" t="s">
        <v>96</v>
      </c>
      <c r="E262" s="168">
        <f>VALUE(MID(C262, FIND("(", C262)+1, FIND("/", C262)-FIND("(", C262)-1)) / 1000</f>
        <v>2</v>
      </c>
      <c r="F262" s="699"/>
      <c r="G262" s="689" t="s">
        <v>501</v>
      </c>
      <c r="H262" s="128" t="str">
        <f>IFERROR(__xludf.DUMMYFUNCTION("IFERROR(REGEXEXTRACT(C262, ""(\d*\.\d+)mm""), """")"),"0.55")</f>
        <v>0.55</v>
      </c>
      <c r="I262" s="128" t="s">
        <v>97</v>
      </c>
      <c r="J262" s="126" t="s">
        <v>14</v>
      </c>
      <c r="K262" s="126" t="s">
        <v>55</v>
      </c>
      <c r="L262" s="704"/>
      <c r="M262" s="730">
        <v>13.16</v>
      </c>
      <c r="N262" s="151">
        <f>IFERROR(__xludf.DUMMYFUNCTION("IF(
  AND(
    IFERROR(REGEXEXTRACT(C262,""@\s*(\d+(?:\.\d+)?)\s*deg""),"""")&lt;&gt;"""",
    F262&lt;&gt;""""
  ),
  ""Pls Confirm °"",
  IF(
    IFERROR(REGEXEXTRACT(C262,""@\s*(\d+(?:\.\d+)?)\s*deg""),"""")&lt;&gt;"""",
    1/COS(RADIANS(REGEXEXTRACT(C262,""@\s*(\d+(?:"&amp;"\.\d+)?)\s*deg""))),
    IF(
      F262&lt;&gt;"""",
      IF(
        ISNUMBER(SEARCH(""|"",F262)),
        1/COS(
          ATAN(
            TAN(RADIANS(VALUE(INDEX(SPLIT(F262,""|""),1)))) *
            TAN(RADIANS(VALUE(INDEX(SPLIT(F262,""|""),2))))
       "&amp;"     /
            SQRT(
              TAN(RADIANS(VALUE(INDEX(SPLIT(F262,""|""),1))))^2 +
              TAN(RADIANS(VALUE(INDEX(SPLIT(F262,""|""),2))))^2
            )
          )
        ),
        1/COS(RADIANS(VALUE(F262)))
      ),
      1
    )
  )
"&amp;")"),1.001372345997921)</f>
        <v>1.001372346</v>
      </c>
      <c r="O262" s="169">
        <v>1.0</v>
      </c>
      <c r="P262" s="134">
        <v>1.0</v>
      </c>
      <c r="Q262" s="168">
        <f t="shared" ref="Q262:Q267" si="204">M262*N262*O262*P262</f>
        <v>13.17806007</v>
      </c>
      <c r="R262" s="136" t="str">
        <f>IFERROR(
  IF(B262="", "", VLOOKUP(B262, Data!$B$2:$K$905, 9, FALSE)),
  ""
)</f>
        <v/>
      </c>
      <c r="S262" s="137">
        <f t="shared" ref="S262:S267" si="205">R262*Q262</f>
        <v>0</v>
      </c>
      <c r="T262" s="690"/>
      <c r="U262" s="136" t="str">
        <f>IFERROR(
  IF(B262="", "", VLOOKUP(B262, Data!$B$2:$K$905, 10, FALSE)),
  ""
)
</f>
        <v/>
      </c>
      <c r="V262" s="691"/>
      <c r="W262" s="140">
        <f t="shared" ref="W262:W267" si="206">U262*Q262</f>
        <v>0</v>
      </c>
      <c r="X262" s="693"/>
      <c r="Y262" s="595"/>
      <c r="Z262" s="595"/>
      <c r="AA262" s="595"/>
      <c r="AB262" s="354">
        <f t="shared" ref="AB262:AB267" si="207">W262+S262</f>
        <v>0</v>
      </c>
      <c r="AC262" s="181"/>
      <c r="AD262" s="625"/>
      <c r="AE262" s="626"/>
      <c r="AF262" s="696"/>
      <c r="AG262" s="697"/>
      <c r="AH262" s="629"/>
      <c r="AI262" s="187"/>
      <c r="AJ262" s="630"/>
      <c r="AK262" s="630"/>
      <c r="AL262" s="595"/>
      <c r="AM262" s="595"/>
      <c r="AN262" s="595"/>
      <c r="AO262" s="595"/>
      <c r="AP262" s="595"/>
      <c r="AQ262" s="595"/>
      <c r="AR262" s="595"/>
      <c r="AS262" s="595"/>
      <c r="AT262" s="595"/>
      <c r="AU262" s="595"/>
      <c r="AV262" s="595"/>
      <c r="AW262" s="595"/>
      <c r="AX262" s="595"/>
      <c r="AY262" s="595"/>
      <c r="AZ262" s="595"/>
      <c r="BA262" s="595"/>
      <c r="BB262" s="595"/>
      <c r="BC262" s="595"/>
      <c r="BD262" s="595"/>
      <c r="BE262" s="595"/>
      <c r="BF262" s="595"/>
      <c r="BG262" s="595"/>
      <c r="BH262" s="595"/>
      <c r="BI262" s="651"/>
      <c r="BJ262" s="651"/>
      <c r="BK262" s="651"/>
      <c r="BL262" s="651"/>
      <c r="BM262" s="651"/>
      <c r="BN262" s="651"/>
      <c r="BO262" s="651"/>
      <c r="BP262" s="651"/>
      <c r="BQ262" s="651"/>
      <c r="BR262" s="651"/>
      <c r="BS262" s="651"/>
      <c r="BT262" s="651"/>
    </row>
    <row r="263">
      <c r="A263" s="631"/>
      <c r="B263" s="154" t="str">
        <f>IFERROR(__xludf.DUMMYFUNCTION("IFERROR(
  IF(C263="""","""",
    IF(OR(REGEXMATCH(D263,""(?i)-Flashing""), REGEXMATCH(D263,""(?i)-EavesGut""), REGEXMATCH(D263,""(?i)Valley"")),
        ""DR"" &amp;
        TEXT(
            ROUNDUP(
                MIN(
                    VALUE(MID(C263, "&amp;"FIND(""("",C263)+1, FIND(""/"",C263)-FIND(""("",C263)-1)),
                    1200
                ) / 50, 0
            ) * 50, ""0""
        ) &amp;
        MID(C263, FIND(""/"",C263)+1, FIND("")"",C263)-FIND(""/"",C263)-1) &amp;
        TEXT(H263*100,""0"") &amp;"&amp;"
        I263,
    IF(AND(D263=""Roof Sheet"", REGEXMATCH(C263,""(?i)KS\d{4}[A-Z]{2}"")),
       REGEXEXTRACT(C263,""(?i)KS\d{4}[A-Z]{2}""),
    IF(AND(REGEXMATCH(D263,""(?i)-DP""), REGEXMATCH(C263,""(?i)Downpipe"")),
       ""dp"" &amp; REGEXEXTRACT(C263,""("&amp;"\d+)"") &amp; ""mm"",
    IF(AND(REGEXMATCH(D263,""(?i)Bracket""), REGEXMATCH(C263,""(?i)Bracket"")),
       ""Brkt"" &amp; REGEXEXTRACT(C263,""(\d+)"") &amp; ""mm"",
    IF(AND(REGEXMATCH(D263,""(?i)-OP""), REGEXMATCH(C263,""(?i)pops"")),
       ""op"" &amp; REGEXEXTRAC"&amp;"T(C263,""(\d+)"") &amp; ""mm"",
    IF(OR(D263=""R-FFTop"", D263=""R-FFBottom"", D263=""R-FFSide""),
        IF(REGEXMATCH(C263,""(?i)Profiled.*Top|Top.*Profiled""),""pfft"",
        IF(REGEXMATCH(C263,""(?i)Profiled.*Bottom|Bottom.*Profiled""),""pffb"",
    "&amp;"    IF(REGEXMATCH(C263,""(?i)Square""),""sff"",""""))),
    IF(REGEXMATCH(D263,""(?i)-Rivets""),""Rvt"",
    IF(REGEXMATCH(D263,""(?i)Silicone""),""300ml"",
    IF(REGEXMATCH(D263,""(?i)R-Butyl""),""300ml"",
    IF(REGEXMATCH(D263,""(?i)Fix""),""GenFix"","&amp;"
    IF(AND(REGEXMATCH(C263,""(?i)Timber""), REGEXMATCH(D263,""(?i)Timber"")),""tp"",
    IF(AND(REGEXMATCH(C263,""(?i)Vent G1275""), REGEXMATCH(D263,""(?i)Comb FIller"")),""CFV1275"",
    IF(REGEXMATCH(C263,""(?i)DPC""),""dpc"",
    IF(REGEXMATCH(C263,"""&amp;"(?i)Concealed Clips""),""ConClips"",
    IF(REGEXMATCH(D263,""(?i)-Takeoff ea""),""Takeoff ea"",
    IF(REGEXMATCH(D263,""(?i)-Takeoff LM""),""Takeoff LM"",
    IF(REGEXMATCH(D263,""(?i)-Takeoff m2""),""Takeoff m2"",
    IF(D263=""R-TU/TD"",""TU/TD"","""""&amp;")))))))))))))))))
  )))"),"300ml")</f>
        <v>300ml</v>
      </c>
      <c r="C263" s="225" t="s">
        <v>98</v>
      </c>
      <c r="D263" s="202" t="s">
        <v>99</v>
      </c>
      <c r="E263" s="168">
        <f>E262</f>
        <v>2</v>
      </c>
      <c r="F263" s="699"/>
      <c r="G263" s="700"/>
      <c r="H263" s="700" t="str">
        <f>IFERROR(__xludf.DUMMYFUNCTION("IFERROR(REGEXEXTRACT(C263, ""(\d*\.\d+)mm""), """")"),"")</f>
        <v/>
      </c>
      <c r="I263" s="700"/>
      <c r="J263" s="126" t="s">
        <v>87</v>
      </c>
      <c r="K263" s="128" t="s">
        <v>52</v>
      </c>
      <c r="L263" s="704"/>
      <c r="M263" s="150">
        <f>(ROUNDDOWN((M262/5.7)+2,0)*E263)/8</f>
        <v>1</v>
      </c>
      <c r="N263" s="151">
        <f t="shared" ref="N263:N266" si="208">N262</f>
        <v>1.001372346</v>
      </c>
      <c r="O263" s="169">
        <v>1.0</v>
      </c>
      <c r="P263" s="134">
        <f t="shared" ref="P263:P265" si="209">P262</f>
        <v>1</v>
      </c>
      <c r="Q263" s="168">
        <f t="shared" si="204"/>
        <v>1.001372346</v>
      </c>
      <c r="R263" s="136" t="str">
        <f>IFERROR(
  IF(B263="", "", VLOOKUP(B263, Data!$B$2:$K$905, 9, FALSE)),
  ""
)</f>
        <v/>
      </c>
      <c r="S263" s="137">
        <f t="shared" si="205"/>
        <v>0</v>
      </c>
      <c r="T263" s="690"/>
      <c r="U263" s="681" t="str">
        <f>IFERROR(
  IF(B263="", "", VLOOKUP(B263, Data!$B$2:$K$905, 10, FALSE)),
  ""
)
</f>
        <v/>
      </c>
      <c r="V263" s="691"/>
      <c r="W263" s="140">
        <f t="shared" si="206"/>
        <v>0</v>
      </c>
      <c r="X263" s="692"/>
      <c r="Y263" s="595"/>
      <c r="Z263" s="595"/>
      <c r="AA263" s="595"/>
      <c r="AB263" s="354">
        <f t="shared" si="207"/>
        <v>0</v>
      </c>
      <c r="AC263" s="181"/>
      <c r="AD263" s="625"/>
      <c r="AE263" s="626"/>
      <c r="AF263" s="696"/>
      <c r="AG263" s="697"/>
      <c r="AH263" s="629"/>
      <c r="AI263" s="187"/>
      <c r="AJ263" s="630"/>
      <c r="AK263" s="630"/>
      <c r="AL263" s="595"/>
      <c r="AM263" s="595"/>
      <c r="AN263" s="595"/>
      <c r="AO263" s="595"/>
      <c r="AP263" s="595"/>
      <c r="AQ263" s="595"/>
      <c r="AR263" s="595"/>
      <c r="AS263" s="595"/>
      <c r="AT263" s="595"/>
      <c r="AU263" s="595"/>
      <c r="AV263" s="595"/>
      <c r="AW263" s="595"/>
      <c r="AX263" s="595"/>
      <c r="AY263" s="595"/>
      <c r="AZ263" s="595"/>
      <c r="BA263" s="595"/>
      <c r="BB263" s="595"/>
      <c r="BC263" s="595"/>
      <c r="BD263" s="595"/>
      <c r="BE263" s="595"/>
      <c r="BF263" s="595"/>
      <c r="BG263" s="595"/>
      <c r="BH263" s="595"/>
      <c r="BI263" s="651"/>
      <c r="BJ263" s="651"/>
      <c r="BK263" s="651"/>
      <c r="BL263" s="651"/>
      <c r="BM263" s="651"/>
      <c r="BN263" s="651"/>
      <c r="BO263" s="651"/>
      <c r="BP263" s="651"/>
      <c r="BQ263" s="651"/>
      <c r="BR263" s="651"/>
      <c r="BS263" s="651"/>
      <c r="BT263" s="651"/>
    </row>
    <row r="264">
      <c r="A264" s="631"/>
      <c r="B264" s="154" t="str">
        <f>IFERROR(__xludf.DUMMYFUNCTION("IFERROR(
  IF(C264="""","""",
    IF(OR(REGEXMATCH(D264,""(?i)-Flashing""), REGEXMATCH(D264,""(?i)-EavesGut""), REGEXMATCH(D264,""(?i)Valley"")),
        ""DR"" &amp;
        TEXT(
            ROUNDUP(
                MIN(
                    VALUE(MID(C264, "&amp;"FIND(""("",C264)+1, FIND(""/"",C264)-FIND(""("",C264)-1)),
                    1200
                ) / 50, 0
            ) * 50, ""0""
        ) &amp;
        MID(C264, FIND(""/"",C264)+1, FIND("")"",C264)-FIND(""/"",C264)-1) &amp;
        TEXT(H264*100,""0"") &amp;"&amp;"
        I264,
    IF(AND(D264=""Roof Sheet"", REGEXMATCH(C264,""(?i)KS\d{4}[A-Z]{2}"")),
       REGEXEXTRACT(C264,""(?i)KS\d{4}[A-Z]{2}""),
    IF(AND(REGEXMATCH(D264,""(?i)-DP""), REGEXMATCH(C264,""(?i)Downpipe"")),
       ""dp"" &amp; REGEXEXTRACT(C264,""("&amp;"\d+)"") &amp; ""mm"",
    IF(AND(REGEXMATCH(D264,""(?i)Bracket""), REGEXMATCH(C264,""(?i)Bracket"")),
       ""Brkt"" &amp; REGEXEXTRACT(C264,""(\d+)"") &amp; ""mm"",
    IF(AND(REGEXMATCH(D264,""(?i)-OP""), REGEXMATCH(C264,""(?i)pops"")),
       ""op"" &amp; REGEXEXTRAC"&amp;"T(C264,""(\d+)"") &amp; ""mm"",
    IF(OR(D264=""R-FFTop"", D264=""R-FFBottom"", D264=""R-FFSide""),
        IF(REGEXMATCH(C264,""(?i)Profiled.*Top|Top.*Profiled""),""pfft"",
        IF(REGEXMATCH(C264,""(?i)Profiled.*Bottom|Bottom.*Profiled""),""pffb"",
    "&amp;"    IF(REGEXMATCH(C264,""(?i)Square""),""sff"",""""))),
    IF(REGEXMATCH(D264,""(?i)-Rivets""),""Rvt"",
    IF(REGEXMATCH(D264,""(?i)Silicone""),""300ml"",
    IF(REGEXMATCH(D264,""(?i)R-Butyl""),""300ml"",
    IF(REGEXMATCH(D264,""(?i)Fix""),""GenFix"","&amp;"
    IF(AND(REGEXMATCH(C264,""(?i)Timber""), REGEXMATCH(D264,""(?i)Timber"")),""tp"",
    IF(AND(REGEXMATCH(C264,""(?i)Vent G1275""), REGEXMATCH(D264,""(?i)Comb FIller"")),""CFV1275"",
    IF(REGEXMATCH(C264,""(?i)DPC""),""dpc"",
    IF(REGEXMATCH(C264,"""&amp;"(?i)Concealed Clips""),""ConClips"",
    IF(REGEXMATCH(D264,""(?i)-Takeoff ea""),""Takeoff ea"",
    IF(REGEXMATCH(D264,""(?i)-Takeoff LM""),""Takeoff LM"",
    IF(REGEXMATCH(D264,""(?i)-Takeoff m2""),""Takeoff m2"",
    IF(D264=""R-TU/TD"",""TU/TD"","""""&amp;")))))))))))))))))
  )))"),"Rvt")</f>
        <v>Rvt</v>
      </c>
      <c r="C264" s="225" t="s">
        <v>100</v>
      </c>
      <c r="D264" s="202" t="s">
        <v>101</v>
      </c>
      <c r="E264" s="168">
        <f t="shared" ref="E264:E265" si="210">E262</f>
        <v>2</v>
      </c>
      <c r="F264" s="699"/>
      <c r="G264" s="700"/>
      <c r="H264" s="700" t="str">
        <f>IFERROR(__xludf.DUMMYFUNCTION("IFERROR(REGEXEXTRACT(C264, ""(\d*\.\d+)mm""), """")"),"")</f>
        <v/>
      </c>
      <c r="I264" s="700"/>
      <c r="J264" s="126" t="s">
        <v>87</v>
      </c>
      <c r="K264" s="128" t="s">
        <v>52</v>
      </c>
      <c r="L264" s="704"/>
      <c r="M264" s="150">
        <f>ROUNDUP(((M262/5.7)+1)*(E264/0.05),0)</f>
        <v>133</v>
      </c>
      <c r="N264" s="151">
        <f t="shared" si="208"/>
        <v>1.001372346</v>
      </c>
      <c r="O264" s="169">
        <v>1.0</v>
      </c>
      <c r="P264" s="134">
        <f t="shared" si="209"/>
        <v>1</v>
      </c>
      <c r="Q264" s="168">
        <f t="shared" si="204"/>
        <v>133.182522</v>
      </c>
      <c r="R264" s="136" t="str">
        <f>IFERROR(
  IF(B264="", "", VLOOKUP(B264, Data!$B$2:$K$905, 9, FALSE)),
  ""
)</f>
        <v/>
      </c>
      <c r="S264" s="137">
        <f t="shared" si="205"/>
        <v>0</v>
      </c>
      <c r="T264" s="690"/>
      <c r="U264" s="681" t="str">
        <f>IFERROR(
  IF(B264="", "", VLOOKUP(B264, Data!$B$2:$K$905, 10, FALSE)),
  ""
)
</f>
        <v/>
      </c>
      <c r="V264" s="691"/>
      <c r="W264" s="140">
        <f t="shared" si="206"/>
        <v>0</v>
      </c>
      <c r="X264" s="692"/>
      <c r="Y264" s="595"/>
      <c r="Z264" s="595"/>
      <c r="AA264" s="595"/>
      <c r="AB264" s="354">
        <f t="shared" si="207"/>
        <v>0</v>
      </c>
      <c r="AC264" s="181"/>
      <c r="AD264" s="625"/>
      <c r="AE264" s="626"/>
      <c r="AF264" s="696"/>
      <c r="AG264" s="697"/>
      <c r="AH264" s="629"/>
      <c r="AI264" s="187"/>
      <c r="AJ264" s="630"/>
      <c r="AK264" s="630"/>
      <c r="AL264" s="595"/>
      <c r="AM264" s="595"/>
      <c r="AN264" s="595"/>
      <c r="AO264" s="595"/>
      <c r="AP264" s="595"/>
      <c r="AQ264" s="595"/>
      <c r="AR264" s="595"/>
      <c r="AS264" s="595"/>
      <c r="AT264" s="595"/>
      <c r="AU264" s="595"/>
      <c r="AV264" s="595"/>
      <c r="AW264" s="595"/>
      <c r="AX264" s="595"/>
      <c r="AY264" s="595"/>
      <c r="AZ264" s="595"/>
      <c r="BA264" s="595"/>
      <c r="BB264" s="595"/>
      <c r="BC264" s="595"/>
      <c r="BD264" s="595"/>
      <c r="BE264" s="595"/>
      <c r="BF264" s="595"/>
      <c r="BG264" s="595"/>
      <c r="BH264" s="595"/>
      <c r="BI264" s="651"/>
      <c r="BJ264" s="651"/>
      <c r="BK264" s="651"/>
      <c r="BL264" s="651"/>
      <c r="BM264" s="651"/>
      <c r="BN264" s="651"/>
      <c r="BO264" s="651"/>
      <c r="BP264" s="651"/>
      <c r="BQ264" s="651"/>
      <c r="BR264" s="651"/>
      <c r="BS264" s="651"/>
      <c r="BT264" s="651"/>
    </row>
    <row r="265">
      <c r="A265" s="631"/>
      <c r="B265" s="154" t="str">
        <f>IFERROR(__xludf.DUMMYFUNCTION("IFERROR(
  IF(C265="""","""",
    IF(OR(REGEXMATCH(D265,""(?i)-Flashing""), REGEXMATCH(D265,""(?i)-EavesGut""), REGEXMATCH(D265,""(?i)Valley"")),
        ""DR"" &amp;
        TEXT(
            ROUNDUP(
                MIN(
                    VALUE(MID(C265, "&amp;"FIND(""("",C265)+1, FIND(""/"",C265)-FIND(""("",C265)-1)),
                    1200
                ) / 50, 0
            ) * 50, ""0""
        ) &amp;
        MID(C265, FIND(""/"",C265)+1, FIND("")"",C265)-FIND(""/"",C265)-1) &amp;
        TEXT(H265*100,""0"") &amp;"&amp;"
        I265,
    IF(AND(D265=""Roof Sheet"", REGEXMATCH(C265,""(?i)KS\d{4}[A-Z]{2}"")),
       REGEXEXTRACT(C265,""(?i)KS\d{4}[A-Z]{2}""),
    IF(AND(REGEXMATCH(D265,""(?i)-DP""), REGEXMATCH(C265,""(?i)Downpipe"")),
       ""dp"" &amp; REGEXEXTRACT(C265,""("&amp;"\d+)"") &amp; ""mm"",
    IF(AND(REGEXMATCH(D265,""(?i)Bracket""), REGEXMATCH(C265,""(?i)Bracket"")),
       ""Brkt"" &amp; REGEXEXTRACT(C265,""(\d+)"") &amp; ""mm"",
    IF(AND(REGEXMATCH(D265,""(?i)-OP""), REGEXMATCH(C265,""(?i)pops"")),
       ""op"" &amp; REGEXEXTRAC"&amp;"T(C265,""(\d+)"") &amp; ""mm"",
    IF(OR(D265=""R-FFTop"", D265=""R-FFBottom"", D265=""R-FFSide""),
        IF(REGEXMATCH(C265,""(?i)Profiled.*Top|Top.*Profiled""),""pfft"",
        IF(REGEXMATCH(C265,""(?i)Profiled.*Bottom|Bottom.*Profiled""),""pffb"",
    "&amp;"    IF(REGEXMATCH(C265,""(?i)Square""),""sff"",""""))),
    IF(REGEXMATCH(D265,""(?i)-Rivets""),""Rvt"",
    IF(REGEXMATCH(D265,""(?i)Silicone""),""300ml"",
    IF(REGEXMATCH(D265,""(?i)R-Butyl""),""300ml"",
    IF(REGEXMATCH(D265,""(?i)Fix""),""GenFix"","&amp;"
    IF(AND(REGEXMATCH(C265,""(?i)Timber""), REGEXMATCH(D265,""(?i)Timber"")),""tp"",
    IF(AND(REGEXMATCH(C265,""(?i)Vent G1275""), REGEXMATCH(D265,""(?i)Comb FIller"")),""CFV1275"",
    IF(REGEXMATCH(C265,""(?i)DPC""),""dpc"",
    IF(REGEXMATCH(C265,"""&amp;"(?i)Concealed Clips""),""ConClips"",
    IF(REGEXMATCH(D265,""(?i)-Takeoff ea""),""Takeoff ea"",
    IF(REGEXMATCH(D265,""(?i)-Takeoff LM""),""Takeoff LM"",
    IF(REGEXMATCH(D265,""(?i)-Takeoff m2""),""Takeoff m2"",
    IF(D265=""R-TU/TD"",""TU/TD"","""""&amp;")))))))))))))))))
  )))"),"GenFix")</f>
        <v>GenFix</v>
      </c>
      <c r="C265" s="158" t="s">
        <v>102</v>
      </c>
      <c r="D265" s="124" t="s">
        <v>389</v>
      </c>
      <c r="E265" s="168">
        <f t="shared" si="210"/>
        <v>2</v>
      </c>
      <c r="F265" s="699"/>
      <c r="G265" s="701"/>
      <c r="H265" s="700" t="str">
        <f>IFERROR(__xludf.DUMMYFUNCTION("IFERROR(REGEXEXTRACT(C265, ""(\d*\.\d+)mm""), """")"),"")</f>
        <v/>
      </c>
      <c r="I265" s="700"/>
      <c r="J265" s="126" t="s">
        <v>87</v>
      </c>
      <c r="K265" s="126" t="s">
        <v>52</v>
      </c>
      <c r="L265" s="704"/>
      <c r="M265" s="150">
        <f>ROUNDUP((M262*E265)*8,0)+1</f>
        <v>212</v>
      </c>
      <c r="N265" s="151">
        <f t="shared" si="208"/>
        <v>1.001372346</v>
      </c>
      <c r="O265" s="169">
        <v>1.0</v>
      </c>
      <c r="P265" s="134">
        <f t="shared" si="209"/>
        <v>1</v>
      </c>
      <c r="Q265" s="168">
        <f t="shared" si="204"/>
        <v>212.2909374</v>
      </c>
      <c r="R265" s="136" t="str">
        <f>IFERROR(
  IF(B265="", "", VLOOKUP(B265, Data!$B$2:$K$905, 9, FALSE)),
  ""
)</f>
        <v/>
      </c>
      <c r="S265" s="137">
        <f t="shared" si="205"/>
        <v>0</v>
      </c>
      <c r="T265" s="690"/>
      <c r="U265" s="681" t="str">
        <f>IFERROR(
  IF(B265="", "", VLOOKUP(B265, Data!$B$2:$K$905, 10, FALSE)),
  ""
)
</f>
        <v/>
      </c>
      <c r="V265" s="691"/>
      <c r="W265" s="140">
        <f t="shared" si="206"/>
        <v>0</v>
      </c>
      <c r="X265" s="692"/>
      <c r="Y265" s="595"/>
      <c r="Z265" s="595"/>
      <c r="AA265" s="595"/>
      <c r="AB265" s="354">
        <f t="shared" si="207"/>
        <v>0</v>
      </c>
      <c r="AC265" s="181"/>
      <c r="AD265" s="625"/>
      <c r="AE265" s="626"/>
      <c r="AF265" s="696"/>
      <c r="AG265" s="697"/>
      <c r="AH265" s="629"/>
      <c r="AI265" s="187"/>
      <c r="AJ265" s="630"/>
      <c r="AK265" s="630"/>
      <c r="AL265" s="595"/>
      <c r="AM265" s="595"/>
      <c r="AN265" s="595"/>
      <c r="AO265" s="595"/>
      <c r="AP265" s="595"/>
      <c r="AQ265" s="595"/>
      <c r="AR265" s="595"/>
      <c r="AS265" s="595"/>
      <c r="AT265" s="595"/>
      <c r="AU265" s="595"/>
      <c r="AV265" s="595"/>
      <c r="AW265" s="595"/>
      <c r="AX265" s="595"/>
      <c r="AY265" s="595"/>
      <c r="AZ265" s="595"/>
      <c r="BA265" s="595"/>
      <c r="BB265" s="595"/>
      <c r="BC265" s="595"/>
      <c r="BD265" s="595"/>
      <c r="BE265" s="595"/>
      <c r="BF265" s="595"/>
      <c r="BG265" s="595"/>
      <c r="BH265" s="595"/>
      <c r="BI265" s="651"/>
      <c r="BJ265" s="651"/>
      <c r="BK265" s="651"/>
      <c r="BL265" s="651"/>
      <c r="BM265" s="651"/>
      <c r="BN265" s="651"/>
      <c r="BO265" s="651"/>
      <c r="BP265" s="651"/>
      <c r="BQ265" s="651"/>
      <c r="BR265" s="651"/>
      <c r="BS265" s="651"/>
      <c r="BT265" s="651"/>
    </row>
    <row r="266">
      <c r="A266" s="631"/>
      <c r="B266" s="154" t="str">
        <f>IFERROR(__xludf.DUMMYFUNCTION("IFERROR(
  IF(C266="""","""",
    IF(OR(REGEXMATCH(D266,""(?i)-Flashing""), REGEXMATCH(D266,""(?i)-EavesGut""), REGEXMATCH(D266,""(?i)Valley"")),
        ""DR"" &amp;
        TEXT(
            ROUNDUP(
                MIN(
                    VALUE(MID(C266, "&amp;"FIND(""("",C266)+1, FIND(""/"",C266)-FIND(""("",C266)-1)),
                    1200
                ) / 50, 0
            ) * 50, ""0""
        ) &amp;
        MID(C266, FIND(""/"",C266)+1, FIND("")"",C266)-FIND(""/"",C266)-1) &amp;
        TEXT(H266*100,""0"") &amp;"&amp;"
        I266,
    IF(AND(D266=""Roof Sheet"", REGEXMATCH(C266,""(?i)KS\d{4}[A-Z]{2}"")),
       REGEXEXTRACT(C266,""(?i)KS\d{4}[A-Z]{2}""),
    IF(AND(REGEXMATCH(D266,""(?i)-DP""), REGEXMATCH(C266,""(?i)Downpipe"")),
       ""dp"" &amp; REGEXEXTRACT(C266,""("&amp;"\d+)"") &amp; ""mm"",
    IF(AND(REGEXMATCH(D266,""(?i)Bracket""), REGEXMATCH(C266,""(?i)Bracket"")),
       ""Brkt"" &amp; REGEXEXTRACT(C266,""(\d+)"") &amp; ""mm"",
    IF(AND(REGEXMATCH(D266,""(?i)-OP""), REGEXMATCH(C266,""(?i)pops"")),
       ""op"" &amp; REGEXEXTRAC"&amp;"T(C266,""(\d+)"") &amp; ""mm"",
    IF(OR(D266=""R-FFTop"", D266=""R-FFBottom"", D266=""R-FFSide""),
        IF(REGEXMATCH(C266,""(?i)Profiled.*Top|Top.*Profiled""),""pfft"",
        IF(REGEXMATCH(C266,""(?i)Profiled.*Bottom|Bottom.*Profiled""),""pffb"",
    "&amp;"    IF(REGEXMATCH(C266,""(?i)Square""),""sff"",""""))),
    IF(REGEXMATCH(D266,""(?i)-Rivets""),""Rvt"",
    IF(REGEXMATCH(D266,""(?i)Silicone""),""300ml"",
    IF(REGEXMATCH(D266,""(?i)R-Butyl""),""300ml"",
    IF(REGEXMATCH(D266,""(?i)Fix""),""GenFix"","&amp;"
    IF(AND(REGEXMATCH(C266,""(?i)Timber""), REGEXMATCH(D266,""(?i)Timber"")),""tp"",
    IF(AND(REGEXMATCH(C266,""(?i)Vent G1275""), REGEXMATCH(D266,""(?i)Comb FIller"")),""CFV1275"",
    IF(REGEXMATCH(C266,""(?i)DPC""),""dpc"",
    IF(REGEXMATCH(C266,"""&amp;"(?i)Concealed Clips""),""ConClips"",
    IF(REGEXMATCH(D266,""(?i)-Takeoff ea""),""Takeoff ea"",
    IF(REGEXMATCH(D266,""(?i)-Takeoff LM""),""Takeoff LM"",
    IF(REGEXMATCH(D266,""(?i)-Takeoff m2""),""Takeoff m2"",
    IF(D266=""R-TU/TD"",""TU/TD"","""""&amp;")))))))))))))))))
  )))"),"sff")</f>
        <v>sff</v>
      </c>
      <c r="C266" s="225" t="s">
        <v>110</v>
      </c>
      <c r="D266" s="124" t="s">
        <v>111</v>
      </c>
      <c r="E266" s="704"/>
      <c r="F266" s="699"/>
      <c r="G266" s="701"/>
      <c r="H266" s="700" t="str">
        <f>IFERROR(__xludf.DUMMYFUNCTION("IFERROR(REGEXEXTRACT(C266, ""(\d*\.\d+)mm""), """")"),"")</f>
        <v/>
      </c>
      <c r="I266" s="700"/>
      <c r="J266" s="126" t="s">
        <v>87</v>
      </c>
      <c r="K266" s="126" t="s">
        <v>55</v>
      </c>
      <c r="L266" s="704"/>
      <c r="M266" s="150">
        <f>M262</f>
        <v>13.16</v>
      </c>
      <c r="N266" s="151">
        <f t="shared" si="208"/>
        <v>1.001372346</v>
      </c>
      <c r="O266" s="169">
        <v>1.0</v>
      </c>
      <c r="P266" s="134">
        <f>P265*2</f>
        <v>2</v>
      </c>
      <c r="Q266" s="168">
        <f t="shared" si="204"/>
        <v>26.35612015</v>
      </c>
      <c r="R266" s="136" t="str">
        <f>IFERROR(
  IF(B266="", "", VLOOKUP(B266, Data!$B$2:$K$905, 9, FALSE)),
  ""
)</f>
        <v/>
      </c>
      <c r="S266" s="137">
        <f t="shared" si="205"/>
        <v>0</v>
      </c>
      <c r="T266" s="690"/>
      <c r="U266" s="136" t="str">
        <f>IFERROR(
  IF(B266="", "", VLOOKUP(B266, Data!$B$2:$K$905, 10, FALSE)),
  ""
)
</f>
        <v/>
      </c>
      <c r="V266" s="691"/>
      <c r="W266" s="140">
        <f t="shared" si="206"/>
        <v>0</v>
      </c>
      <c r="X266" s="692"/>
      <c r="Y266" s="595"/>
      <c r="Z266" s="595"/>
      <c r="AA266" s="595"/>
      <c r="AB266" s="354">
        <f t="shared" si="207"/>
        <v>0</v>
      </c>
      <c r="AC266" s="181"/>
      <c r="AD266" s="625"/>
      <c r="AE266" s="626"/>
      <c r="AF266" s="696"/>
      <c r="AG266" s="697"/>
      <c r="AH266" s="629"/>
      <c r="AI266" s="187"/>
      <c r="AJ266" s="630"/>
      <c r="AK266" s="630"/>
      <c r="AL266" s="595"/>
      <c r="AM266" s="595"/>
      <c r="AN266" s="595"/>
      <c r="AO266" s="595"/>
      <c r="AP266" s="595"/>
      <c r="AQ266" s="595"/>
      <c r="AR266" s="595"/>
      <c r="AS266" s="595"/>
      <c r="AT266" s="595"/>
      <c r="AU266" s="595"/>
      <c r="AV266" s="595"/>
      <c r="AW266" s="595"/>
      <c r="AX266" s="595"/>
      <c r="AY266" s="595"/>
      <c r="AZ266" s="595"/>
      <c r="BA266" s="595"/>
      <c r="BB266" s="595"/>
      <c r="BC266" s="595"/>
      <c r="BD266" s="595"/>
      <c r="BE266" s="595"/>
      <c r="BF266" s="595"/>
      <c r="BG266" s="595"/>
      <c r="BH266" s="595"/>
      <c r="BI266" s="651"/>
      <c r="BJ266" s="651"/>
      <c r="BK266" s="651"/>
      <c r="BL266" s="651"/>
      <c r="BM266" s="651"/>
      <c r="BN266" s="651"/>
      <c r="BO266" s="651"/>
      <c r="BP266" s="651"/>
      <c r="BQ266" s="651"/>
      <c r="BR266" s="651"/>
      <c r="BS266" s="651"/>
      <c r="BT266" s="651"/>
    </row>
    <row r="267">
      <c r="A267" s="631"/>
      <c r="B267" s="154" t="str">
        <f>IFERROR(__xludf.DUMMYFUNCTION("IFERROR(
  IF(C267="""","""",
    IF(OR(REGEXMATCH(D267,""(?i)-Flashing""), REGEXMATCH(D267,""(?i)-EavesGut""), REGEXMATCH(D267,""(?i)Valley"")),
        ""DR"" &amp;
        TEXT(
            ROUNDUP(
                MIN(
                    VALUE(MID(C267, "&amp;"FIND(""("",C267)+1, FIND(""/"",C267)-FIND(""("",C267)-1)),
                    1200
                ) / 50, 0
            ) * 50, ""0""
        ) &amp;
        MID(C267, FIND(""/"",C267)+1, FIND("")"",C267)-FIND(""/"",C267)-1) &amp;
        TEXT(H267*100,""0"") &amp;"&amp;"
        I267,
    IF(AND(D267=""Roof Sheet"", REGEXMATCH(C267,""(?i)KS\d{4}[A-Z]{2}"")),
       REGEXEXTRACT(C267,""(?i)KS\d{4}[A-Z]{2}""),
    IF(AND(REGEXMATCH(D267,""(?i)-DP""), REGEXMATCH(C267,""(?i)Downpipe"")),
       ""dp"" &amp; REGEXEXTRACT(C267,""("&amp;"\d+)"") &amp; ""mm"",
    IF(AND(REGEXMATCH(D267,""(?i)Bracket""), REGEXMATCH(C267,""(?i)Bracket"")),
       ""Brkt"" &amp; REGEXEXTRACT(C267,""(\d+)"") &amp; ""mm"",
    IF(AND(REGEXMATCH(D267,""(?i)-OP""), REGEXMATCH(C267,""(?i)pops"")),
       ""op"" &amp; REGEXEXTRAC"&amp;"T(C267,""(\d+)"") &amp; ""mm"",
    IF(OR(D267=""R-FFTop"", D267=""R-FFBottom"", D267=""R-FFSide""),
        IF(REGEXMATCH(C267,""(?i)Profiled.*Top|Top.*Profiled""),""pfft"",
        IF(REGEXMATCH(C267,""(?i)Profiled.*Bottom|Bottom.*Profiled""),""pffb"",
    "&amp;"    IF(REGEXMATCH(C267,""(?i)Square""),""sff"",""""))),
    IF(REGEXMATCH(D267,""(?i)-Rivets""),""Rvt"",
    IF(REGEXMATCH(D267,""(?i)Silicone""),""300ml"",
    IF(REGEXMATCH(D267,""(?i)R-Butyl""),""300ml"",
    IF(REGEXMATCH(D267,""(?i)Fix""),""GenFix"","&amp;"
    IF(AND(REGEXMATCH(C267,""(?i)Timber""), REGEXMATCH(D267,""(?i)Timber"")),""tp"",
    IF(AND(REGEXMATCH(C267,""(?i)Vent G1275""), REGEXMATCH(D267,""(?i)Comb FIller"")),""CFV1275"",
    IF(REGEXMATCH(C267,""(?i)DPC""),""dpc"",
    IF(REGEXMATCH(C267,"""&amp;"(?i)Concealed Clips""),""ConClips"",
    IF(REGEXMATCH(D267,""(?i)-Takeoff ea""),""Takeoff ea"",
    IF(REGEXMATCH(D267,""(?i)-Takeoff LM""),""Takeoff LM"",
    IF(REGEXMATCH(D267,""(?i)-Takeoff m2""),""Takeoff m2"",
    IF(D267=""R-TU/TD"",""TU/TD"","""""&amp;")))))))))))))))))
  )))"),"pfft")</f>
        <v>pfft</v>
      </c>
      <c r="C267" s="225" t="s">
        <v>104</v>
      </c>
      <c r="D267" s="124" t="s">
        <v>105</v>
      </c>
      <c r="E267" s="712"/>
      <c r="F267" s="721"/>
      <c r="G267" s="701"/>
      <c r="H267" s="700"/>
      <c r="I267" s="700"/>
      <c r="J267" s="126" t="s">
        <v>87</v>
      </c>
      <c r="K267" s="126" t="s">
        <v>55</v>
      </c>
      <c r="L267" s="712"/>
      <c r="M267" s="150">
        <f>E265</f>
        <v>2</v>
      </c>
      <c r="N267" s="151">
        <f>IFERROR(__xludf.DUMMYFUNCTION("IF(B267="""", """", IFERROR(1 / COS(RADIANS(REGEXEXTRACT(F267,""(\d+)""))), 1))"),1.0)</f>
        <v>1</v>
      </c>
      <c r="O267" s="169">
        <v>1.0</v>
      </c>
      <c r="P267" s="134">
        <f>P266</f>
        <v>2</v>
      </c>
      <c r="Q267" s="168">
        <f t="shared" si="204"/>
        <v>4</v>
      </c>
      <c r="R267" s="136" t="str">
        <f>IFERROR(
  IF(B267="", "", VLOOKUP(B267, Data!$B$2:$K$905, 9, FALSE)),
  ""
)</f>
        <v/>
      </c>
      <c r="S267" s="137">
        <f t="shared" si="205"/>
        <v>0</v>
      </c>
      <c r="T267" s="690"/>
      <c r="U267" s="136" t="str">
        <f>IFERROR(
  IF(B267="", "", VLOOKUP(B267, Data!$B$2:$K$905, 10, FALSE)),
  ""
)
</f>
        <v/>
      </c>
      <c r="V267" s="691"/>
      <c r="W267" s="140">
        <f t="shared" si="206"/>
        <v>0</v>
      </c>
      <c r="X267" s="692"/>
      <c r="Y267" s="595"/>
      <c r="Z267" s="595"/>
      <c r="AA267" s="595"/>
      <c r="AB267" s="354">
        <f t="shared" si="207"/>
        <v>0</v>
      </c>
      <c r="AC267" s="181"/>
      <c r="AD267" s="625"/>
      <c r="AE267" s="626"/>
      <c r="AF267" s="696"/>
      <c r="AG267" s="697"/>
      <c r="AH267" s="629"/>
      <c r="AI267" s="187"/>
      <c r="AJ267" s="630"/>
      <c r="AK267" s="630"/>
      <c r="AL267" s="595"/>
      <c r="AM267" s="595"/>
      <c r="AN267" s="595"/>
      <c r="AO267" s="595"/>
      <c r="AP267" s="595"/>
      <c r="AQ267" s="595"/>
      <c r="AR267" s="595"/>
      <c r="AS267" s="595"/>
      <c r="AT267" s="595"/>
      <c r="AU267" s="595"/>
      <c r="AV267" s="595"/>
      <c r="AW267" s="595"/>
      <c r="AX267" s="595"/>
      <c r="AY267" s="595"/>
      <c r="AZ267" s="595"/>
      <c r="BA267" s="595"/>
      <c r="BB267" s="595"/>
      <c r="BC267" s="595"/>
      <c r="BD267" s="595"/>
      <c r="BE267" s="595"/>
      <c r="BF267" s="595"/>
      <c r="BG267" s="595"/>
      <c r="BH267" s="595"/>
      <c r="BI267" s="651"/>
      <c r="BJ267" s="651"/>
      <c r="BK267" s="651"/>
      <c r="BL267" s="651"/>
      <c r="BM267" s="651"/>
      <c r="BN267" s="651"/>
      <c r="BO267" s="651"/>
      <c r="BP267" s="651"/>
      <c r="BQ267" s="651"/>
      <c r="BR267" s="651"/>
      <c r="BS267" s="651"/>
      <c r="BT267" s="651"/>
    </row>
    <row r="268">
      <c r="A268" s="631"/>
      <c r="B268" s="154"/>
      <c r="C268" s="736"/>
      <c r="D268" s="736"/>
      <c r="E268" s="737"/>
      <c r="F268" s="738"/>
      <c r="G268" s="736"/>
      <c r="H268" s="736"/>
      <c r="I268" s="737"/>
      <c r="J268" s="736"/>
      <c r="K268" s="736" t="s">
        <v>42</v>
      </c>
      <c r="L268" s="737"/>
      <c r="M268" s="737" t="s">
        <v>42</v>
      </c>
      <c r="N268" s="711" t="str">
        <f>IFERROR(__xludf.DUMMYFUNCTION("IF(B268="""", """", IFERROR(1 / COS(RADIANS(REGEXEXTRACT(F268,""(\d+)""))), 1))"),"")</f>
        <v/>
      </c>
      <c r="O268" s="737"/>
      <c r="P268" s="736"/>
      <c r="Q268" s="740"/>
      <c r="R268" s="681" t="str">
        <f>IFERROR(
  IF(B268="", "", VLOOKUP(B268, Data!$B$2:$K$905, 9, FALSE)),
  ""
)</f>
        <v/>
      </c>
      <c r="S268" s="741"/>
      <c r="T268" s="741"/>
      <c r="U268" s="681" t="str">
        <f>IFERROR(
  IF(B268="", "", VLOOKUP(B268, Data!$B$2:$K$905, 10, FALSE)),
  ""
)
</f>
        <v/>
      </c>
      <c r="V268" s="741"/>
      <c r="W268" s="742"/>
      <c r="X268" s="595"/>
      <c r="Y268" s="595"/>
      <c r="Z268" s="595"/>
      <c r="AA268" s="595"/>
      <c r="AB268" s="595"/>
      <c r="AC268" s="181"/>
      <c r="AD268" s="625"/>
      <c r="AE268" s="626"/>
      <c r="AF268" s="627"/>
      <c r="AG268" s="697"/>
      <c r="AH268" s="629"/>
      <c r="AI268" s="187"/>
      <c r="AJ268" s="630"/>
      <c r="AK268" s="630"/>
      <c r="AL268" s="595"/>
      <c r="AM268" s="595"/>
      <c r="AN268" s="595"/>
      <c r="AO268" s="595"/>
      <c r="AP268" s="595"/>
      <c r="AQ268" s="595"/>
      <c r="AR268" s="595"/>
      <c r="AS268" s="595"/>
      <c r="AT268" s="595"/>
      <c r="AU268" s="595"/>
      <c r="AV268" s="595"/>
      <c r="AW268" s="595"/>
      <c r="AX268" s="595"/>
      <c r="AY268" s="595"/>
      <c r="AZ268" s="595"/>
      <c r="BA268" s="595"/>
      <c r="BB268" s="595"/>
      <c r="BC268" s="595"/>
      <c r="BD268" s="595"/>
      <c r="BE268" s="595"/>
      <c r="BF268" s="595"/>
      <c r="BG268" s="595"/>
      <c r="BH268" s="595"/>
      <c r="BI268" s="651"/>
      <c r="BJ268" s="651"/>
      <c r="BK268" s="651"/>
      <c r="BL268" s="651"/>
      <c r="BM268" s="651"/>
      <c r="BN268" s="651"/>
      <c r="BO268" s="651"/>
      <c r="BP268" s="651"/>
      <c r="BQ268" s="651"/>
      <c r="BR268" s="651"/>
      <c r="BS268" s="651"/>
      <c r="BT268" s="651"/>
    </row>
    <row r="269">
      <c r="A269" s="631">
        <v>1.0</v>
      </c>
      <c r="B269" s="727"/>
      <c r="C269" s="769" t="s">
        <v>465</v>
      </c>
      <c r="D269" s="678"/>
      <c r="E269" s="676"/>
      <c r="F269" s="677"/>
      <c r="G269" s="678"/>
      <c r="H269" s="678"/>
      <c r="I269" s="678"/>
      <c r="J269" s="678"/>
      <c r="K269" s="678" t="s">
        <v>42</v>
      </c>
      <c r="L269" s="106">
        <f>Q269</f>
        <v>140.8</v>
      </c>
      <c r="M269" s="679" t="s">
        <v>42</v>
      </c>
      <c r="N269" s="680"/>
      <c r="O269" s="679"/>
      <c r="P269" s="678"/>
      <c r="Q269" s="106">
        <f>Q270</f>
        <v>140.8</v>
      </c>
      <c r="R269" s="681" t="str">
        <f>IFERROR(
  IF(B269="", "", VLOOKUP(B269, Data!$B$2:$K$905, 9, FALSE)),
  ""
)</f>
        <v/>
      </c>
      <c r="S269" s="682">
        <f>IFERROR(T269/Q269, 0)</f>
        <v>0</v>
      </c>
      <c r="T269" s="109">
        <f>SUM(S270:S276)</f>
        <v>0</v>
      </c>
      <c r="U269" s="681" t="str">
        <f>IFERROR(
  IF(B269="", "", VLOOKUP(B269, Data!$B$2:$K$905, 10, FALSE)),
  ""
)
</f>
        <v/>
      </c>
      <c r="V269" s="109">
        <f>W269/Q269</f>
        <v>0</v>
      </c>
      <c r="W269" s="110">
        <f>SUM(W270:W276)</f>
        <v>0</v>
      </c>
      <c r="X269" s="111" t="str">
        <f>W269/$AC$758/$W$765/$X$755</f>
        <v>#REF!</v>
      </c>
      <c r="Y269" s="112" t="b">
        <f>(T269+W269)=(SUM(AB270:AB276))</f>
        <v>1</v>
      </c>
      <c r="Z269" s="113">
        <f>(T269+W269)-(SUM(AB270:AB276))</f>
        <v>0</v>
      </c>
      <c r="AA269" s="595"/>
      <c r="AB269" s="595"/>
      <c r="AC269" s="181"/>
      <c r="AD269" s="114">
        <f>W269+T269</f>
        <v>0</v>
      </c>
      <c r="AE269" s="115">
        <f>AD269</f>
        <v>0</v>
      </c>
      <c r="AF269" s="116" t="str">
        <f>AE269/$AE$733</f>
        <v>#REF!</v>
      </c>
      <c r="AG269" s="683" t="str">
        <f>AF269*$AG$740</f>
        <v>#REF!</v>
      </c>
      <c r="AH269" s="118" t="str">
        <f>AF269*$AG$743</f>
        <v>#REF!</v>
      </c>
      <c r="AI269" s="187"/>
      <c r="AJ269" s="119" t="str">
        <f>ROUND(AK269/L269,2)</f>
        <v>#REF!</v>
      </c>
      <c r="AK269" s="119" t="str">
        <f>ROUND(AH269+AG269+AD269,2)</f>
        <v>#REF!</v>
      </c>
      <c r="AL269" s="595"/>
      <c r="AM269" s="595"/>
      <c r="AN269" s="595"/>
      <c r="AO269" s="595"/>
      <c r="AP269" s="595"/>
      <c r="AQ269" s="595"/>
      <c r="AR269" s="595"/>
      <c r="AS269" s="595"/>
      <c r="AT269" s="595"/>
      <c r="AU269" s="595"/>
      <c r="AV269" s="595"/>
      <c r="AW269" s="595"/>
      <c r="AX269" s="595"/>
      <c r="AY269" s="595"/>
      <c r="AZ269" s="595"/>
      <c r="BA269" s="595"/>
      <c r="BB269" s="595"/>
      <c r="BC269" s="595"/>
      <c r="BD269" s="595"/>
      <c r="BE269" s="595"/>
      <c r="BF269" s="595"/>
      <c r="BG269" s="595"/>
      <c r="BH269" s="595"/>
      <c r="BI269" s="651"/>
      <c r="BJ269" s="651"/>
      <c r="BK269" s="651"/>
      <c r="BL269" s="651"/>
      <c r="BM269" s="651"/>
      <c r="BN269" s="651"/>
      <c r="BO269" s="651"/>
      <c r="BP269" s="651"/>
      <c r="BQ269" s="651"/>
      <c r="BR269" s="651"/>
      <c r="BS269" s="651"/>
      <c r="BT269" s="651"/>
    </row>
    <row r="270">
      <c r="A270" s="703" t="s">
        <v>444</v>
      </c>
      <c r="B270" s="154" t="str">
        <f>IFERROR(__xludf.DUMMYFUNCTION("IFERROR(
  IF(C270="""","""",
    IF(OR(REGEXMATCH(D270,""(?i)-Flashing""), REGEXMATCH(D270,""(?i)-EavesGut""), REGEXMATCH(D270,""(?i)Valley"")),
        ""DR"" &amp;
        TEXT(
            ROUNDUP(
                VALUE(MID(C270, FIND(""("",C270)+1, FIND("&amp;"""/"",C270)-FIND(""("",C270)-1)) / 50,
            0) * 50, ""0""
        ) &amp;
        MID(C270, FIND(""/"",C270)+1, FIND("")"",C270)-FIND(""/"",C270)-1) &amp;
        TEXT(H270*100,""0"") &amp;
        I270,
    IF(AND(D270=""Roof Sheet"", REGEXMATCH(C270,""(?i)K"&amp;"S\d{4}[A-Z]{2}"")),
       REGEXEXTRACT(C270,""(?i)KS\d{4}[A-Z]{2}""),
    IF(AND(REGEXMATCH(D270,""(?i)-DP""), REGEXMATCH(C270,""(?i)Downpipe"")),
       ""dp"" &amp; REGEXEXTRACT(C270,""(\d+)"") &amp; ""mm"",
    IF(AND(REGEXMATCH(D270,""(?i)Bracket""), REGEXMA"&amp;"TCH(C270,""(?i)Bracket"")),
       ""Brkt"" &amp; REGEXEXTRACT(C270,""(\d+)"") &amp; ""mm"",
    IF(AND(REGEXMATCH(D270,""(?i)-OP""), REGEXMATCH(C270,""(?i)pops"")),
       ""op"" &amp; REGEXEXTRACT(C270,""(\d+)"") &amp; ""mm"",
    IF(OR(D270=""R-FFTop"", D270=""R-FFBot"&amp;"tom"", D270=""R-FFSide""),
        IF(REGEXMATCH(C270,""(?i)Profiled.*Top|Top.*Profiled""),""pfft"",
        IF(REGEXMATCH(C270,""(?i)Profiled.*Bottom|Bottom.*Profiled""),""pffb"",
        IF(REGEXMATCH(C270,""(?i)Square""),""sff"",""""))),
    IF(REGEXMA"&amp;"TCH(D270,""(?i)-Rivets""),""Rvt"",
    IF(REGEXMATCH(D270,""(?i)Silicone""),""300ml"",
    IF(REGEXMATCH(D270,""(?i)R-Butyl""),""300ml"",
    IF(REGEXMATCH(D270,""(?i)Fix""),""GenFix"",
    IF(AND(REGEXMATCH(C270,""(?i)Timber""), REGEXMATCH(D270,""(?i)Tim"&amp;"ber"")),""tp"",
    IF(AND(REGEXMATCH(C270,""(?i)Vent G1275""), REGEXMATCH(D270,""(?i)Comb FIller"")),""CFV1275"",
    IF(REGEXMATCH(C270,""(?i)DPC""),""dpc"",
    IF(REGEXMATCH(C270,""(?i)Concealed Clips""),""ConClips"",
    IF(REGEXMATCH(D270,""(?i)-Tak"&amp;"eoff ea""),""Takeoff ea"",
    IF(REGEXMATCH(D270,""(?i)-Takeoff LM""),""Takeoff LM"",
    IF(REGEXMATCH(D270,""(?i)-Takeoff m2""),""Takeoff m2"",
    IF(D270=""R-TU/TD"",""TU/TD"","""")))))))))))))))))
  )))"),"DR3503B55Mag")</f>
        <v>DR3503B55Mag</v>
      </c>
      <c r="C270" s="698" t="s">
        <v>463</v>
      </c>
      <c r="D270" s="124" t="s">
        <v>96</v>
      </c>
      <c r="E270" s="687">
        <f>VALUE(MID(C270, FIND("(", C270)+1, FIND("/", C270)-FIND("(", C270)-1)) / 1000</f>
        <v>0.31</v>
      </c>
      <c r="F270" s="688"/>
      <c r="G270" s="689" t="s">
        <v>501</v>
      </c>
      <c r="H270" s="128" t="str">
        <f>IFERROR(__xludf.DUMMYFUNCTION("IFERROR(REGEXEXTRACT(C270, ""(\d*\.\d+)mm""), """")"),"0.55")</f>
        <v>0.55</v>
      </c>
      <c r="I270" s="128" t="s">
        <v>97</v>
      </c>
      <c r="J270" s="126" t="s">
        <v>14</v>
      </c>
      <c r="K270" s="126" t="str">
        <f>IFERROR(
  IF(B270="", "", VLOOKUP(B270, Data!$B$2:$K$905, 7, FALSE)),
  ""
)</f>
        <v/>
      </c>
      <c r="L270" s="704"/>
      <c r="M270" s="150">
        <f>M279</f>
        <v>140.8</v>
      </c>
      <c r="N270" s="151">
        <f>IFERROR(__xludf.DUMMYFUNCTION("IF(
  AND(
    IFERROR(REGEXEXTRACT(C270,""@\s*(\d+(?:\.\d+)?)\s*deg""),"""")&lt;&gt;"""",
    F270&lt;&gt;""""
  ),
  ""Pls Confirm °"",
  IF(
    IFERROR(REGEXEXTRACT(C270,""@\s*(\d+(?:\.\d+)?)\s*deg""),"""")&lt;&gt;"""",
    1/COS(RADIANS(REGEXEXTRACT(C270,""@\s*(\d+(?:"&amp;"\.\d+)?)\s*deg""))),
    IF(
      F270&lt;&gt;"""",
      IF(
        ISNUMBER(SEARCH(""|"",F270)),
        1/COS(
          ATAN(
            TAN(RADIANS(VALUE(INDEX(SPLIT(F270,""|""),1)))) *
            TAN(RADIANS(VALUE(INDEX(SPLIT(F270,""|""),2))))
       "&amp;"     /
            SQRT(
              TAN(RADIANS(VALUE(INDEX(SPLIT(F270,""|""),1))))^2 +
              TAN(RADIANS(VALUE(INDEX(SPLIT(F270,""|""),2))))^2
            )
          )
        ),
        1/COS(RADIANS(VALUE(F270)))
      ),
      1
    )
  )
"&amp;")"),1.0)</f>
        <v>1</v>
      </c>
      <c r="O270" s="169">
        <v>1.0</v>
      </c>
      <c r="P270" s="134">
        <v>1.0</v>
      </c>
      <c r="Q270" s="168">
        <f t="shared" ref="Q270:Q273" si="211">M270*N270*O270*P270</f>
        <v>140.8</v>
      </c>
      <c r="R270" s="136" t="str">
        <f>IFERROR(
  IF(B270="", "", VLOOKUP(B270, Data!$B$2:$K$905, 9, FALSE)),
  ""
)</f>
        <v/>
      </c>
      <c r="S270" s="152">
        <f t="shared" ref="S270:S273" si="212">R270*Q270</f>
        <v>0</v>
      </c>
      <c r="T270" s="690"/>
      <c r="U270" s="136" t="str">
        <f>IFERROR(
  IF(B270="", "", VLOOKUP(B270, Data!$B$2:$K$905, 10, FALSE)),
  ""
)
</f>
        <v/>
      </c>
      <c r="V270" s="691"/>
      <c r="W270" s="140">
        <f t="shared" ref="W270:W273" si="213">U270*Q270</f>
        <v>0</v>
      </c>
      <c r="X270" s="692"/>
      <c r="Y270" s="693"/>
      <c r="Z270" s="731"/>
      <c r="AA270" s="595"/>
      <c r="AB270" s="354">
        <f t="shared" ref="AB270:AB276" si="214">W270+S270</f>
        <v>0</v>
      </c>
      <c r="AC270" s="181"/>
      <c r="AD270" s="625"/>
      <c r="AE270" s="626"/>
      <c r="AF270" s="696"/>
      <c r="AG270" s="697"/>
      <c r="AH270" s="629"/>
      <c r="AI270" s="187"/>
      <c r="AJ270" s="630"/>
      <c r="AK270" s="630"/>
      <c r="AL270" s="595"/>
      <c r="AM270" s="595"/>
      <c r="AN270" s="595"/>
      <c r="AO270" s="595"/>
      <c r="AP270" s="595"/>
      <c r="AQ270" s="595"/>
      <c r="AR270" s="595"/>
      <c r="AS270" s="595"/>
      <c r="AT270" s="595"/>
      <c r="AU270" s="595"/>
      <c r="AV270" s="595"/>
      <c r="AW270" s="595"/>
      <c r="AX270" s="595"/>
      <c r="AY270" s="595"/>
      <c r="AZ270" s="595"/>
      <c r="BA270" s="595"/>
      <c r="BB270" s="595"/>
      <c r="BC270" s="595"/>
      <c r="BD270" s="595"/>
      <c r="BE270" s="595"/>
      <c r="BF270" s="595"/>
      <c r="BG270" s="595"/>
      <c r="BH270" s="595"/>
      <c r="BI270" s="651"/>
      <c r="BJ270" s="651"/>
      <c r="BK270" s="651"/>
      <c r="BL270" s="651"/>
      <c r="BM270" s="651"/>
      <c r="BN270" s="651"/>
      <c r="BO270" s="651"/>
      <c r="BP270" s="651"/>
      <c r="BQ270" s="651"/>
      <c r="BR270" s="651"/>
      <c r="BS270" s="651"/>
      <c r="BT270" s="651"/>
    </row>
    <row r="271">
      <c r="A271" s="684"/>
      <c r="B271" s="154" t="str">
        <f>IFERROR(__xludf.DUMMYFUNCTION("IFERROR(
  IF(C271="""","""",
    IF(OR(REGEXMATCH(D271,""(?i)-Flashing""), REGEXMATCH(D271,""(?i)-EavesGut""), REGEXMATCH(D271,""(?i)Valley"")),
        ""DR"" &amp;
        TEXT(
            ROUNDUP(
                MIN(
                    VALUE(MID(C271, "&amp;"FIND(""("",C271)+1, FIND(""/"",C271)-FIND(""("",C271)-1)),
                    1200
                ) / 50, 0
            ) * 50, ""0""
        ) &amp;
        MID(C271, FIND(""/"",C271)+1, FIND("")"",C271)-FIND(""/"",C271)-1) &amp;
        TEXT(H271*100,""0"") &amp;"&amp;"
        I271,
    IF(AND(D271=""Roof Sheet"", REGEXMATCH(C271,""(?i)KS\d{4}[A-Z]{2}"")),
       REGEXEXTRACT(C271,""(?i)KS\d{4}[A-Z]{2}""),
    IF(AND(REGEXMATCH(D271,""(?i)-DP""), REGEXMATCH(C271,""(?i)Downpipe"")),
       ""dp"" &amp; REGEXEXTRACT(C271,""("&amp;"\d+)"") &amp; ""mm"",
    IF(AND(REGEXMATCH(D271,""(?i)Bracket""), REGEXMATCH(C271,""(?i)Bracket"")),
       ""Brkt"" &amp; REGEXEXTRACT(C271,""(\d+)"") &amp; ""mm"",
    IF(AND(REGEXMATCH(D271,""(?i)-OP""), REGEXMATCH(C271,""(?i)pops"")),
       ""op"" &amp; REGEXEXTRAC"&amp;"T(C271,""(\d+)"") &amp; ""mm"",
    IF(OR(D271=""R-FFTop"", D271=""R-FFBottom"", D271=""R-FFSide""),
        IF(REGEXMATCH(C271,""(?i)Profiled.*Top|Top.*Profiled""),""pfft"",
        IF(REGEXMATCH(C271,""(?i)Profiled.*Bottom|Bottom.*Profiled""),""pffb"",
    "&amp;"    IF(REGEXMATCH(C271,""(?i)Square""),""sff"",""""))),
    IF(REGEXMATCH(D271,""(?i)-Rivets""),""Rvt"",
    IF(REGEXMATCH(D271,""(?i)Silicone""),""300ml"",
    IF(REGEXMATCH(D271,""(?i)R-Butyl""),""300ml"",
    IF(REGEXMATCH(D271,""(?i)Fix""),""GenFix"","&amp;"
    IF(AND(REGEXMATCH(C271,""(?i)Timber""), REGEXMATCH(D271,""(?i)Timber"")),""tp"",
    IF(AND(REGEXMATCH(C271,""(?i)Vent G1275""), REGEXMATCH(D271,""(?i)Comb FIller"")),""CFV1275"",
    IF(REGEXMATCH(C271,""(?i)DPC""),""dpc"",
    IF(REGEXMATCH(C271,"""&amp;"(?i)Concealed Clips""),""ConClips"",
    IF(REGEXMATCH(D271,""(?i)-Takeoff ea""),""Takeoff ea"",
    IF(REGEXMATCH(D271,""(?i)-Takeoff LM""),""Takeoff LM"",
    IF(REGEXMATCH(D271,""(?i)-Takeoff m2""),""Takeoff m2"",
    IF(D271=""R-TU/TD"",""TU/TD"","""""&amp;")))))))))))))))))
  )))"),"300ml")</f>
        <v>300ml</v>
      </c>
      <c r="C271" s="225" t="s">
        <v>98</v>
      </c>
      <c r="D271" s="124" t="s">
        <v>99</v>
      </c>
      <c r="E271" s="687">
        <f>E270</f>
        <v>0.31</v>
      </c>
      <c r="F271" s="721"/>
      <c r="G271" s="700"/>
      <c r="H271" s="700" t="str">
        <f>IFERROR(__xludf.DUMMYFUNCTION("IFERROR(REGEXEXTRACT(C271, ""(\d*\.\d+)mm""), """")"),"")</f>
        <v/>
      </c>
      <c r="I271" s="700"/>
      <c r="J271" s="126" t="s">
        <v>87</v>
      </c>
      <c r="K271" s="126" t="str">
        <f>IFERROR(
  IF(B271="", "", VLOOKUP(B271, Data!$B$2:$K$905, 7, FALSE)),
  ""
)</f>
        <v/>
      </c>
      <c r="L271" s="704"/>
      <c r="M271" s="150">
        <f>(ROUNDDOWN((M270/5.7)+2,0)*E271)/8</f>
        <v>1.0075</v>
      </c>
      <c r="N271" s="151">
        <f t="shared" ref="N271:N275" si="215">N270</f>
        <v>1</v>
      </c>
      <c r="O271" s="169">
        <v>1.0</v>
      </c>
      <c r="P271" s="134">
        <v>1.0</v>
      </c>
      <c r="Q271" s="168">
        <f t="shared" si="211"/>
        <v>1.0075</v>
      </c>
      <c r="R271" s="136" t="str">
        <f>IFERROR(
  IF(B271="", "", VLOOKUP(B271, Data!$B$2:$K$905, 9, FALSE)),
  ""
)</f>
        <v/>
      </c>
      <c r="S271" s="152">
        <f t="shared" si="212"/>
        <v>0</v>
      </c>
      <c r="T271" s="690"/>
      <c r="U271" s="681" t="str">
        <f>IFERROR(
  IF(B271="", "", VLOOKUP(B271, Data!$B$2:$K$905, 10, FALSE)),
  ""
)
</f>
        <v/>
      </c>
      <c r="V271" s="691"/>
      <c r="W271" s="140">
        <f t="shared" si="213"/>
        <v>0</v>
      </c>
      <c r="X271" s="692"/>
      <c r="Y271" s="595"/>
      <c r="Z271" s="595"/>
      <c r="AA271" s="595"/>
      <c r="AB271" s="354">
        <f t="shared" si="214"/>
        <v>0</v>
      </c>
      <c r="AC271" s="181"/>
      <c r="AD271" s="625"/>
      <c r="AE271" s="626"/>
      <c r="AF271" s="696"/>
      <c r="AG271" s="697"/>
      <c r="AH271" s="629"/>
      <c r="AI271" s="187"/>
      <c r="AJ271" s="630"/>
      <c r="AK271" s="630"/>
      <c r="AL271" s="595"/>
      <c r="AM271" s="595"/>
      <c r="AN271" s="595"/>
      <c r="AO271" s="595"/>
      <c r="AP271" s="595"/>
      <c r="AQ271" s="595"/>
      <c r="AR271" s="595"/>
      <c r="AS271" s="595"/>
      <c r="AT271" s="595"/>
      <c r="AU271" s="595"/>
      <c r="AV271" s="595"/>
      <c r="AW271" s="595"/>
      <c r="AX271" s="595"/>
      <c r="AY271" s="595"/>
      <c r="AZ271" s="595"/>
      <c r="BA271" s="595"/>
      <c r="BB271" s="595"/>
      <c r="BC271" s="595"/>
      <c r="BD271" s="595"/>
      <c r="BE271" s="595"/>
      <c r="BF271" s="595"/>
      <c r="BG271" s="595"/>
      <c r="BH271" s="595"/>
      <c r="BI271" s="651"/>
      <c r="BJ271" s="651"/>
      <c r="BK271" s="651"/>
      <c r="BL271" s="651"/>
      <c r="BM271" s="651"/>
      <c r="BN271" s="651"/>
      <c r="BO271" s="651"/>
      <c r="BP271" s="651"/>
      <c r="BQ271" s="651"/>
      <c r="BR271" s="651"/>
      <c r="BS271" s="651"/>
      <c r="BT271" s="651"/>
    </row>
    <row r="272">
      <c r="A272" s="684"/>
      <c r="B272" s="154" t="str">
        <f>IFERROR(__xludf.DUMMYFUNCTION("IFERROR(
  IF(C272="""","""",
    IF(OR(REGEXMATCH(D272,""(?i)-Flashing""), REGEXMATCH(D272,""(?i)-EavesGut""), REGEXMATCH(D272,""(?i)Valley"")),
        ""DR"" &amp;
        TEXT(
            ROUNDUP(
                MIN(
                    VALUE(MID(C272, "&amp;"FIND(""("",C272)+1, FIND(""/"",C272)-FIND(""("",C272)-1)),
                    1200
                ) / 50, 0
            ) * 50, ""0""
        ) &amp;
        MID(C272, FIND(""/"",C272)+1, FIND("")"",C272)-FIND(""/"",C272)-1) &amp;
        TEXT(H272*100,""0"") &amp;"&amp;"
        I272,
    IF(AND(D272=""Roof Sheet"", REGEXMATCH(C272,""(?i)KS\d{4}[A-Z]{2}"")),
       REGEXEXTRACT(C272,""(?i)KS\d{4}[A-Z]{2}""),
    IF(AND(REGEXMATCH(D272,""(?i)-DP""), REGEXMATCH(C272,""(?i)Downpipe"")),
       ""dp"" &amp; REGEXEXTRACT(C272,""("&amp;"\d+)"") &amp; ""mm"",
    IF(AND(REGEXMATCH(D272,""(?i)Bracket""), REGEXMATCH(C272,""(?i)Bracket"")),
       ""Brkt"" &amp; REGEXEXTRACT(C272,""(\d+)"") &amp; ""mm"",
    IF(AND(REGEXMATCH(D272,""(?i)-OP""), REGEXMATCH(C272,""(?i)pops"")),
       ""op"" &amp; REGEXEXTRAC"&amp;"T(C272,""(\d+)"") &amp; ""mm"",
    IF(OR(D272=""R-FFTop"", D272=""R-FFBottom"", D272=""R-FFSide""),
        IF(REGEXMATCH(C272,""(?i)Profiled.*Top|Top.*Profiled""),""pfft"",
        IF(REGEXMATCH(C272,""(?i)Profiled.*Bottom|Bottom.*Profiled""),""pffb"",
    "&amp;"    IF(REGEXMATCH(C272,""(?i)Square""),""sff"",""""))),
    IF(REGEXMATCH(D272,""(?i)-Rivets""),""Rvt"",
    IF(REGEXMATCH(D272,""(?i)Silicone""),""300ml"",
    IF(REGEXMATCH(D272,""(?i)R-Butyl""),""300ml"",
    IF(REGEXMATCH(D272,""(?i)Fix""),""GenFix"","&amp;"
    IF(AND(REGEXMATCH(C272,""(?i)Timber""), REGEXMATCH(D272,""(?i)Timber"")),""tp"",
    IF(AND(REGEXMATCH(C272,""(?i)Vent G1275""), REGEXMATCH(D272,""(?i)Comb FIller"")),""CFV1275"",
    IF(REGEXMATCH(C272,""(?i)DPC""),""dpc"",
    IF(REGEXMATCH(C272,"""&amp;"(?i)Concealed Clips""),""ConClips"",
    IF(REGEXMATCH(D272,""(?i)-Takeoff ea""),""Takeoff ea"",
    IF(REGEXMATCH(D272,""(?i)-Takeoff LM""),""Takeoff LM"",
    IF(REGEXMATCH(D272,""(?i)-Takeoff m2""),""Takeoff m2"",
    IF(D272=""R-TU/TD"",""TU/TD"","""""&amp;")))))))))))))))))
  )))"),"Rvt")</f>
        <v>Rvt</v>
      </c>
      <c r="C272" s="225" t="s">
        <v>100</v>
      </c>
      <c r="D272" s="124" t="s">
        <v>101</v>
      </c>
      <c r="E272" s="687">
        <f>E270</f>
        <v>0.31</v>
      </c>
      <c r="F272" s="721"/>
      <c r="G272" s="700"/>
      <c r="H272" s="700" t="str">
        <f>IFERROR(__xludf.DUMMYFUNCTION("IFERROR(REGEXEXTRACT(C272, ""(\d*\.\d+)mm""), """")"),"")</f>
        <v/>
      </c>
      <c r="I272" s="700"/>
      <c r="J272" s="126" t="s">
        <v>87</v>
      </c>
      <c r="K272" s="126" t="str">
        <f>IFERROR(
  IF(B272="", "", VLOOKUP(B272, Data!$B$2:$K$905, 7, FALSE)),
  ""
)</f>
        <v/>
      </c>
      <c r="L272" s="704"/>
      <c r="M272" s="150">
        <f>ROUNDUP(((M270/5.7)+1)*(E272/0.05),0)</f>
        <v>160</v>
      </c>
      <c r="N272" s="151">
        <f t="shared" si="215"/>
        <v>1</v>
      </c>
      <c r="O272" s="169">
        <v>1.0</v>
      </c>
      <c r="P272" s="134">
        <v>1.0</v>
      </c>
      <c r="Q272" s="168">
        <f t="shared" si="211"/>
        <v>160</v>
      </c>
      <c r="R272" s="136" t="str">
        <f>IFERROR(
  IF(B272="", "", VLOOKUP(B272, Data!$B$2:$K$905, 9, FALSE)),
  ""
)</f>
        <v/>
      </c>
      <c r="S272" s="152">
        <f t="shared" si="212"/>
        <v>0</v>
      </c>
      <c r="T272" s="690"/>
      <c r="U272" s="681" t="str">
        <f>IFERROR(
  IF(B272="", "", VLOOKUP(B272, Data!$B$2:$K$905, 10, FALSE)),
  ""
)
</f>
        <v/>
      </c>
      <c r="V272" s="691"/>
      <c r="W272" s="140">
        <f t="shared" si="213"/>
        <v>0</v>
      </c>
      <c r="X272" s="692"/>
      <c r="Y272" s="595"/>
      <c r="Z272" s="595"/>
      <c r="AA272" s="595"/>
      <c r="AB272" s="354">
        <f t="shared" si="214"/>
        <v>0</v>
      </c>
      <c r="AC272" s="181"/>
      <c r="AD272" s="625"/>
      <c r="AE272" s="626"/>
      <c r="AF272" s="696"/>
      <c r="AG272" s="697"/>
      <c r="AH272" s="629"/>
      <c r="AI272" s="187"/>
      <c r="AJ272" s="630"/>
      <c r="AK272" s="630"/>
      <c r="AL272" s="595"/>
      <c r="AM272" s="595"/>
      <c r="AN272" s="595"/>
      <c r="AO272" s="595"/>
      <c r="AP272" s="595"/>
      <c r="AQ272" s="595"/>
      <c r="AR272" s="595"/>
      <c r="AS272" s="595"/>
      <c r="AT272" s="595"/>
      <c r="AU272" s="595"/>
      <c r="AV272" s="595"/>
      <c r="AW272" s="595"/>
      <c r="AX272" s="595"/>
      <c r="AY272" s="595"/>
      <c r="AZ272" s="595"/>
      <c r="BA272" s="595"/>
      <c r="BB272" s="595"/>
      <c r="BC272" s="595"/>
      <c r="BD272" s="595"/>
      <c r="BE272" s="595"/>
      <c r="BF272" s="595"/>
      <c r="BG272" s="595"/>
      <c r="BH272" s="595"/>
      <c r="BI272" s="651"/>
      <c r="BJ272" s="651"/>
      <c r="BK272" s="651"/>
      <c r="BL272" s="651"/>
      <c r="BM272" s="651"/>
      <c r="BN272" s="651"/>
      <c r="BO272" s="651"/>
      <c r="BP272" s="651"/>
      <c r="BQ272" s="651"/>
      <c r="BR272" s="651"/>
      <c r="BS272" s="651"/>
      <c r="BT272" s="651"/>
    </row>
    <row r="273">
      <c r="A273" s="684"/>
      <c r="B273" s="154" t="str">
        <f>IFERROR(__xludf.DUMMYFUNCTION("IFERROR(
  IF(C273="""","""",
    IF(OR(REGEXMATCH(D273,""(?i)-Flashing""), REGEXMATCH(D273,""(?i)-EavesGut""), REGEXMATCH(D273,""(?i)Valley"")),
        ""DR"" &amp;
        TEXT(
            ROUNDUP(
                MIN(
                    VALUE(MID(C273, "&amp;"FIND(""("",C273)+1, FIND(""/"",C273)-FIND(""("",C273)-1)),
                    1200
                ) / 50, 0
            ) * 50, ""0""
        ) &amp;
        MID(C273, FIND(""/"",C273)+1, FIND("")"",C273)-FIND(""/"",C273)-1) &amp;
        TEXT(H273*100,""0"") &amp;"&amp;"
        I273,
    IF(AND(D273=""Roof Sheet"", REGEXMATCH(C273,""(?i)KS\d{4}[A-Z]{2}"")),
       REGEXEXTRACT(C273,""(?i)KS\d{4}[A-Z]{2}""),
    IF(AND(REGEXMATCH(D273,""(?i)-DP""), REGEXMATCH(C273,""(?i)Downpipe"")),
       ""dp"" &amp; REGEXEXTRACT(C273,""("&amp;"\d+)"") &amp; ""mm"",
    IF(AND(REGEXMATCH(D273,""(?i)Bracket""), REGEXMATCH(C273,""(?i)Bracket"")),
       ""Brkt"" &amp; REGEXEXTRACT(C273,""(\d+)"") &amp; ""mm"",
    IF(AND(REGEXMATCH(D273,""(?i)-OP""), REGEXMATCH(C273,""(?i)pops"")),
       ""op"" &amp; REGEXEXTRAC"&amp;"T(C273,""(\d+)"") &amp; ""mm"",
    IF(OR(D273=""R-FFTop"", D273=""R-FFBottom"", D273=""R-FFSide""),
        IF(REGEXMATCH(C273,""(?i)Profiled.*Top|Top.*Profiled""),""pfft"",
        IF(REGEXMATCH(C273,""(?i)Profiled.*Bottom|Bottom.*Profiled""),""pffb"",
    "&amp;"    IF(REGEXMATCH(C273,""(?i)Square""),""sff"",""""))),
    IF(REGEXMATCH(D273,""(?i)-Rivets""),""Rvt"",
    IF(REGEXMATCH(D273,""(?i)Silicone""),""300ml"",
    IF(REGEXMATCH(D273,""(?i)R-Butyl""),""300ml"",
    IF(REGEXMATCH(D273,""(?i)Fix""),""GenFix"","&amp;"
    IF(AND(REGEXMATCH(C273,""(?i)Timber""), REGEXMATCH(D273,""(?i)Timber"")),""tp"",
    IF(AND(REGEXMATCH(C273,""(?i)Vent G1275""), REGEXMATCH(D273,""(?i)Comb FIller"")),""CFV1275"",
    IF(REGEXMATCH(C273,""(?i)DPC""),""dpc"",
    IF(REGEXMATCH(C273,"""&amp;"(?i)Concealed Clips""),""ConClips"",
    IF(REGEXMATCH(D273,""(?i)-Takeoff ea""),""Takeoff ea"",
    IF(REGEXMATCH(D273,""(?i)-Takeoff LM""),""Takeoff LM"",
    IF(REGEXMATCH(D273,""(?i)-Takeoff m2""),""Takeoff m2"",
    IF(D273=""R-TU/TD"",""TU/TD"","""""&amp;")))))))))))))))))
  )))"),"GenFix")</f>
        <v>GenFix</v>
      </c>
      <c r="C273" s="158" t="s">
        <v>102</v>
      </c>
      <c r="D273" s="124" t="s">
        <v>103</v>
      </c>
      <c r="E273" s="722"/>
      <c r="F273" s="721"/>
      <c r="G273" s="701"/>
      <c r="H273" s="700"/>
      <c r="I273" s="700"/>
      <c r="J273" s="126" t="s">
        <v>87</v>
      </c>
      <c r="K273" s="126" t="str">
        <f>IFERROR(
  IF(B273="", "", VLOOKUP(B273, Data!$B$2:$K$905, 7, FALSE)),
  ""
)</f>
        <v/>
      </c>
      <c r="L273" s="712"/>
      <c r="M273" s="150">
        <f>ROUNDUP(M270/0.6,0)+1</f>
        <v>236</v>
      </c>
      <c r="N273" s="151">
        <f t="shared" si="215"/>
        <v>1</v>
      </c>
      <c r="O273" s="169">
        <v>1.0</v>
      </c>
      <c r="P273" s="134">
        <v>2.0</v>
      </c>
      <c r="Q273" s="168">
        <f t="shared" si="211"/>
        <v>472</v>
      </c>
      <c r="R273" s="136" t="str">
        <f>IFERROR(
  IF(B273="", "", VLOOKUP(B273, Data!$B$2:$K$905, 9, FALSE)),
  ""
)</f>
        <v/>
      </c>
      <c r="S273" s="152">
        <f t="shared" si="212"/>
        <v>0</v>
      </c>
      <c r="T273" s="690"/>
      <c r="U273" s="681" t="str">
        <f>IFERROR(
  IF(B273="", "", VLOOKUP(B273, Data!$B$2:$K$905, 10, FALSE)),
  ""
)
</f>
        <v/>
      </c>
      <c r="V273" s="691"/>
      <c r="W273" s="140">
        <f t="shared" si="213"/>
        <v>0</v>
      </c>
      <c r="X273" s="692"/>
      <c r="Y273" s="595"/>
      <c r="Z273" s="595"/>
      <c r="AA273" s="595"/>
      <c r="AB273" s="354">
        <f t="shared" si="214"/>
        <v>0</v>
      </c>
      <c r="AC273" s="181"/>
      <c r="AD273" s="625"/>
      <c r="AE273" s="626"/>
      <c r="AF273" s="696"/>
      <c r="AG273" s="697"/>
      <c r="AH273" s="629"/>
      <c r="AI273" s="187"/>
      <c r="AJ273" s="630"/>
      <c r="AK273" s="630"/>
      <c r="AL273" s="595"/>
      <c r="AM273" s="595"/>
      <c r="AN273" s="595"/>
      <c r="AO273" s="595"/>
      <c r="AP273" s="595"/>
      <c r="AQ273" s="595"/>
      <c r="AR273" s="595"/>
      <c r="AS273" s="595"/>
      <c r="AT273" s="595"/>
      <c r="AU273" s="595"/>
      <c r="AV273" s="595"/>
      <c r="AW273" s="595"/>
      <c r="AX273" s="595"/>
      <c r="AY273" s="595"/>
      <c r="AZ273" s="595"/>
      <c r="BA273" s="595"/>
      <c r="BB273" s="595"/>
      <c r="BC273" s="595"/>
      <c r="BD273" s="595"/>
      <c r="BE273" s="595"/>
      <c r="BF273" s="595"/>
      <c r="BG273" s="595"/>
      <c r="BH273" s="595"/>
      <c r="BI273" s="651"/>
      <c r="BJ273" s="651"/>
      <c r="BK273" s="651"/>
      <c r="BL273" s="651"/>
      <c r="BM273" s="651"/>
      <c r="BN273" s="651"/>
      <c r="BO273" s="651"/>
      <c r="BP273" s="651"/>
      <c r="BQ273" s="651"/>
      <c r="BR273" s="651"/>
      <c r="BS273" s="651"/>
      <c r="BT273" s="651"/>
    </row>
    <row r="274">
      <c r="A274" s="684"/>
      <c r="B274" s="154"/>
      <c r="C274" s="701"/>
      <c r="D274" s="701"/>
      <c r="E274" s="722"/>
      <c r="F274" s="721"/>
      <c r="G274" s="701"/>
      <c r="H274" s="700"/>
      <c r="I274" s="700"/>
      <c r="J274" s="701"/>
      <c r="K274" s="701"/>
      <c r="L274" s="712"/>
      <c r="M274" s="704"/>
      <c r="N274" s="151">
        <f t="shared" si="215"/>
        <v>1</v>
      </c>
      <c r="O274" s="712"/>
      <c r="P274" s="700"/>
      <c r="Q274" s="712"/>
      <c r="R274" s="681"/>
      <c r="S274" s="691"/>
      <c r="T274" s="690"/>
      <c r="U274" s="681"/>
      <c r="V274" s="691"/>
      <c r="W274" s="713"/>
      <c r="X274" s="692"/>
      <c r="Y274" s="595"/>
      <c r="Z274" s="595"/>
      <c r="AA274" s="595"/>
      <c r="AB274" s="354">
        <f t="shared" si="214"/>
        <v>0</v>
      </c>
      <c r="AC274" s="181"/>
      <c r="AD274" s="625"/>
      <c r="AE274" s="626"/>
      <c r="AF274" s="696"/>
      <c r="AG274" s="697"/>
      <c r="AH274" s="629"/>
      <c r="AI274" s="187"/>
      <c r="AJ274" s="630"/>
      <c r="AK274" s="630"/>
      <c r="AL274" s="595"/>
      <c r="AM274" s="595"/>
      <c r="AN274" s="595"/>
      <c r="AO274" s="595"/>
      <c r="AP274" s="595"/>
      <c r="AQ274" s="595"/>
      <c r="AR274" s="595"/>
      <c r="AS274" s="595"/>
      <c r="AT274" s="595"/>
      <c r="AU274" s="595"/>
      <c r="AV274" s="595"/>
      <c r="AW274" s="595"/>
      <c r="AX274" s="595"/>
      <c r="AY274" s="595"/>
      <c r="AZ274" s="595"/>
      <c r="BA274" s="595"/>
      <c r="BB274" s="595"/>
      <c r="BC274" s="595"/>
      <c r="BD274" s="595"/>
      <c r="BE274" s="595"/>
      <c r="BF274" s="595"/>
      <c r="BG274" s="595"/>
      <c r="BH274" s="595"/>
      <c r="BI274" s="651"/>
      <c r="BJ274" s="651"/>
      <c r="BK274" s="651"/>
      <c r="BL274" s="651"/>
      <c r="BM274" s="651"/>
      <c r="BN274" s="651"/>
      <c r="BO274" s="651"/>
      <c r="BP274" s="651"/>
      <c r="BQ274" s="651"/>
      <c r="BR274" s="651"/>
      <c r="BS274" s="651"/>
      <c r="BT274" s="651"/>
    </row>
    <row r="275">
      <c r="A275" s="684"/>
      <c r="B275" s="770" t="s">
        <v>128</v>
      </c>
      <c r="C275" s="771" t="s">
        <v>464</v>
      </c>
      <c r="D275" s="772" t="s">
        <v>130</v>
      </c>
      <c r="E275" s="722"/>
      <c r="F275" s="721"/>
      <c r="G275" s="701"/>
      <c r="H275" s="700"/>
      <c r="I275" s="700"/>
      <c r="J275" s="773" t="s">
        <v>87</v>
      </c>
      <c r="K275" s="773" t="str">
        <f>IFERROR(
  IF(B275="", "", VLOOKUP(B275, Data!$B$2:$K$905, 7, FALSE)),
  ""
)</f>
        <v/>
      </c>
      <c r="L275" s="712"/>
      <c r="M275" s="774">
        <f>M270</f>
        <v>140.8</v>
      </c>
      <c r="N275" s="151">
        <f t="shared" si="215"/>
        <v>1</v>
      </c>
      <c r="O275" s="775">
        <v>1.0</v>
      </c>
      <c r="P275" s="776">
        <v>0.0</v>
      </c>
      <c r="Q275" s="775">
        <f>M275*N275*O275*P275</f>
        <v>0</v>
      </c>
      <c r="R275" s="777" t="str">
        <f>IFERROR(
  IF(B275="", "", VLOOKUP(B275, Data!$B$2:$K$905, 9, FALSE)),
  ""
)</f>
        <v/>
      </c>
      <c r="S275" s="778">
        <f>R275*Q275</f>
        <v>0</v>
      </c>
      <c r="T275" s="690"/>
      <c r="U275" s="777" t="str">
        <f>IFERROR(
  IF(B275="", "", VLOOKUP(B275, Data!$B$2:$K$905, 10, FALSE)),
  ""
)
</f>
        <v/>
      </c>
      <c r="V275" s="691"/>
      <c r="W275" s="779">
        <f>U275*Q275</f>
        <v>0</v>
      </c>
      <c r="X275" s="692"/>
      <c r="Y275" s="595"/>
      <c r="Z275" s="595"/>
      <c r="AA275" s="595"/>
      <c r="AB275" s="354">
        <f t="shared" si="214"/>
        <v>0</v>
      </c>
      <c r="AC275" s="181"/>
      <c r="AD275" s="625"/>
      <c r="AE275" s="626"/>
      <c r="AF275" s="696"/>
      <c r="AG275" s="697"/>
      <c r="AH275" s="629"/>
      <c r="AI275" s="187"/>
      <c r="AJ275" s="630"/>
      <c r="AK275" s="630"/>
      <c r="AL275" s="595"/>
      <c r="AM275" s="595"/>
      <c r="AN275" s="595"/>
      <c r="AO275" s="595"/>
      <c r="AP275" s="595"/>
      <c r="AQ275" s="595"/>
      <c r="AR275" s="595"/>
      <c r="AS275" s="595"/>
      <c r="AT275" s="595"/>
      <c r="AU275" s="595"/>
      <c r="AV275" s="595"/>
      <c r="AW275" s="595"/>
      <c r="AX275" s="595"/>
      <c r="AY275" s="595"/>
      <c r="AZ275" s="595"/>
      <c r="BA275" s="595"/>
      <c r="BB275" s="595"/>
      <c r="BC275" s="595"/>
      <c r="BD275" s="595"/>
      <c r="BE275" s="595"/>
      <c r="BF275" s="595"/>
      <c r="BG275" s="595"/>
      <c r="BH275" s="595"/>
      <c r="BI275" s="651"/>
      <c r="BJ275" s="651"/>
      <c r="BK275" s="651"/>
      <c r="BL275" s="651"/>
      <c r="BM275" s="651"/>
      <c r="BN275" s="651"/>
      <c r="BO275" s="651"/>
      <c r="BP275" s="651"/>
      <c r="BQ275" s="651"/>
      <c r="BR275" s="651"/>
      <c r="BS275" s="651"/>
      <c r="BT275" s="651"/>
    </row>
    <row r="276">
      <c r="A276" s="684"/>
      <c r="B276" s="154"/>
      <c r="C276" s="700"/>
      <c r="D276" s="701"/>
      <c r="E276" s="722"/>
      <c r="F276" s="721"/>
      <c r="G276" s="701"/>
      <c r="H276" s="700"/>
      <c r="I276" s="700"/>
      <c r="J276" s="701"/>
      <c r="K276" s="701"/>
      <c r="L276" s="712"/>
      <c r="M276" s="704"/>
      <c r="N276" s="711"/>
      <c r="O276" s="712"/>
      <c r="P276" s="700"/>
      <c r="Q276" s="712"/>
      <c r="R276" s="681" t="str">
        <f>IFERROR(
  IF(B276="", "", VLOOKUP(B276, Data!$B$2:$K$905, 9, FALSE)),
  ""
)</f>
        <v/>
      </c>
      <c r="S276" s="691"/>
      <c r="T276" s="690"/>
      <c r="U276" s="681" t="str">
        <f>IFERROR(
  IF(B276="", "", VLOOKUP(B276, Data!$B$2:$K$905, 10, FALSE)),
  ""
)
</f>
        <v/>
      </c>
      <c r="V276" s="691"/>
      <c r="W276" s="713"/>
      <c r="X276" s="692"/>
      <c r="Y276" s="595"/>
      <c r="Z276" s="595"/>
      <c r="AA276" s="595"/>
      <c r="AB276" s="354">
        <f t="shared" si="214"/>
        <v>0</v>
      </c>
      <c r="AC276" s="181"/>
      <c r="AD276" s="625"/>
      <c r="AE276" s="626"/>
      <c r="AF276" s="696"/>
      <c r="AG276" s="697"/>
      <c r="AH276" s="629"/>
      <c r="AI276" s="187"/>
      <c r="AJ276" s="630"/>
      <c r="AK276" s="630"/>
      <c r="AL276" s="595"/>
      <c r="AM276" s="595"/>
      <c r="AN276" s="595"/>
      <c r="AO276" s="595"/>
      <c r="AP276" s="595"/>
      <c r="AQ276" s="595"/>
      <c r="AR276" s="595"/>
      <c r="AS276" s="595"/>
      <c r="AT276" s="595"/>
      <c r="AU276" s="595"/>
      <c r="AV276" s="595"/>
      <c r="AW276" s="595"/>
      <c r="AX276" s="595"/>
      <c r="AY276" s="595"/>
      <c r="AZ276" s="595"/>
      <c r="BA276" s="595"/>
      <c r="BB276" s="595"/>
      <c r="BC276" s="595"/>
      <c r="BD276" s="595"/>
      <c r="BE276" s="595"/>
      <c r="BF276" s="595"/>
      <c r="BG276" s="595"/>
      <c r="BH276" s="595"/>
      <c r="BI276" s="651"/>
      <c r="BJ276" s="651"/>
      <c r="BK276" s="651"/>
      <c r="BL276" s="651"/>
      <c r="BM276" s="651"/>
      <c r="BN276" s="651"/>
      <c r="BO276" s="651"/>
      <c r="BP276" s="651"/>
      <c r="BQ276" s="651"/>
      <c r="BR276" s="651"/>
      <c r="BS276" s="651"/>
      <c r="BT276" s="651"/>
    </row>
    <row r="277">
      <c r="A277" s="631">
        <v>1.0</v>
      </c>
      <c r="B277" s="764" t="s">
        <v>425</v>
      </c>
      <c r="C277" s="89" t="s">
        <v>477</v>
      </c>
      <c r="D277" s="656"/>
      <c r="E277" s="654"/>
      <c r="F277" s="655"/>
      <c r="G277" s="656"/>
      <c r="H277" s="656"/>
      <c r="I277" s="656"/>
      <c r="J277" s="656"/>
      <c r="K277" s="656" t="s">
        <v>42</v>
      </c>
      <c r="L277" s="658"/>
      <c r="M277" s="658" t="s">
        <v>42</v>
      </c>
      <c r="N277" s="659"/>
      <c r="O277" s="658"/>
      <c r="P277" s="656"/>
      <c r="Q277" s="658"/>
      <c r="R277" s="681" t="str">
        <f>IFERROR(
  IF(B277="", "", VLOOKUP(B277, Data!$B$2:$K$905, 9, FALSE)),
  ""
)</f>
        <v/>
      </c>
      <c r="S277" s="662"/>
      <c r="T277" s="661"/>
      <c r="U277" s="681" t="str">
        <f>IFERROR(
  IF(B277="", "", VLOOKUP(B277, Data!$B$2:$K$905, 10, FALSE)),
  ""
)
</f>
        <v/>
      </c>
      <c r="V277" s="662"/>
      <c r="W277" s="663"/>
      <c r="X277" s="692"/>
      <c r="Y277" s="595"/>
      <c r="Z277" s="595"/>
      <c r="AA277" s="595"/>
      <c r="AB277" s="595"/>
      <c r="AC277" s="181"/>
      <c r="AD277" s="625"/>
      <c r="AE277" s="626"/>
      <c r="AF277" s="696"/>
      <c r="AG277" s="697"/>
      <c r="AH277" s="629"/>
      <c r="AI277" s="187"/>
      <c r="AJ277" s="630"/>
      <c r="AK277" s="630"/>
      <c r="AL277" s="595"/>
      <c r="AM277" s="595"/>
      <c r="AN277" s="595"/>
      <c r="AO277" s="595"/>
      <c r="AP277" s="595"/>
      <c r="AQ277" s="595"/>
      <c r="AR277" s="595"/>
      <c r="AS277" s="595"/>
      <c r="AT277" s="595"/>
      <c r="AU277" s="595"/>
      <c r="AV277" s="595"/>
      <c r="AW277" s="595"/>
      <c r="AX277" s="595"/>
      <c r="AY277" s="595"/>
      <c r="AZ277" s="595"/>
      <c r="BA277" s="595"/>
      <c r="BB277" s="595"/>
      <c r="BC277" s="595"/>
      <c r="BD277" s="595"/>
      <c r="BE277" s="595"/>
      <c r="BF277" s="595"/>
      <c r="BG277" s="595"/>
      <c r="BH277" s="595"/>
      <c r="BI277" s="651"/>
      <c r="BJ277" s="651"/>
      <c r="BK277" s="651"/>
      <c r="BL277" s="651"/>
      <c r="BM277" s="651"/>
      <c r="BN277" s="651"/>
      <c r="BO277" s="651"/>
      <c r="BP277" s="651"/>
      <c r="BQ277" s="651"/>
      <c r="BR277" s="651"/>
      <c r="BS277" s="651"/>
      <c r="BT277" s="651"/>
    </row>
    <row r="278">
      <c r="A278" s="631">
        <v>1.0</v>
      </c>
      <c r="B278" s="727"/>
      <c r="C278" s="103" t="s">
        <v>508</v>
      </c>
      <c r="D278" s="678"/>
      <c r="E278" s="676"/>
      <c r="F278" s="677"/>
      <c r="G278" s="157"/>
      <c r="H278" s="678"/>
      <c r="I278" s="678"/>
      <c r="J278" s="678"/>
      <c r="K278" s="678" t="s">
        <v>42</v>
      </c>
      <c r="L278" s="106">
        <f>Q278</f>
        <v>140.8</v>
      </c>
      <c r="M278" s="679" t="s">
        <v>42</v>
      </c>
      <c r="N278" s="680"/>
      <c r="O278" s="679"/>
      <c r="P278" s="678"/>
      <c r="Q278" s="106">
        <f>Q279</f>
        <v>140.8</v>
      </c>
      <c r="R278" s="136" t="str">
        <f>IFERROR(
  IF(B278="", "", VLOOKUP(B278, Data!$B$2:$K$905, 9, FALSE)),
  ""
)</f>
        <v/>
      </c>
      <c r="S278" s="682">
        <f>IFERROR(T278/Q278, 0)</f>
        <v>0</v>
      </c>
      <c r="T278" s="109">
        <f>SUM(S279:S289)</f>
        <v>0</v>
      </c>
      <c r="U278" s="136" t="str">
        <f>IFERROR(
  IF(B278="", "", VLOOKUP(B278, Data!$B$2:$K$905, 10, FALSE)),
  ""
)
</f>
        <v/>
      </c>
      <c r="V278" s="109">
        <f>W278/Q278</f>
        <v>0</v>
      </c>
      <c r="W278" s="110">
        <f>SUM(W279:W289)</f>
        <v>0</v>
      </c>
      <c r="X278" s="111" t="str">
        <f>W278/$AC$758/$W$765/$X$755</f>
        <v>#REF!</v>
      </c>
      <c r="Y278" s="112" t="b">
        <f>(T278+W278)=(SUM(AB279:AB289))</f>
        <v>1</v>
      </c>
      <c r="Z278" s="113">
        <f>(T278+W278)-(SUM(AB279:AB289))</f>
        <v>0</v>
      </c>
      <c r="AA278" s="595"/>
      <c r="AB278" s="595"/>
      <c r="AC278" s="181"/>
      <c r="AD278" s="114">
        <f>W278+T278</f>
        <v>0</v>
      </c>
      <c r="AE278" s="115">
        <f>AD278</f>
        <v>0</v>
      </c>
      <c r="AF278" s="116" t="str">
        <f>AE278/$AE$733</f>
        <v>#REF!</v>
      </c>
      <c r="AG278" s="683" t="str">
        <f>AF278*$AG$740</f>
        <v>#REF!</v>
      </c>
      <c r="AH278" s="118" t="str">
        <f>AF278*$AG$743</f>
        <v>#REF!</v>
      </c>
      <c r="AI278" s="187"/>
      <c r="AJ278" s="119" t="str">
        <f>ROUND(AK278/L278,2)</f>
        <v>#REF!</v>
      </c>
      <c r="AK278" s="119" t="str">
        <f>ROUND(AH278+AG278+AD278,2)</f>
        <v>#REF!</v>
      </c>
      <c r="AL278" s="595"/>
      <c r="AM278" s="595"/>
      <c r="AN278" s="595"/>
      <c r="AO278" s="595"/>
      <c r="AP278" s="595"/>
      <c r="AQ278" s="595"/>
      <c r="AR278" s="595"/>
      <c r="AS278" s="595"/>
      <c r="AT278" s="595"/>
      <c r="AU278" s="595"/>
      <c r="AV278" s="595"/>
      <c r="AW278" s="595"/>
      <c r="AX278" s="595"/>
      <c r="AY278" s="595"/>
      <c r="AZ278" s="595"/>
      <c r="BA278" s="595"/>
      <c r="BB278" s="595"/>
      <c r="BC278" s="595"/>
      <c r="BD278" s="595"/>
      <c r="BE278" s="595"/>
      <c r="BF278" s="595"/>
      <c r="BG278" s="595"/>
      <c r="BH278" s="595"/>
      <c r="BI278" s="651"/>
      <c r="BJ278" s="651"/>
      <c r="BK278" s="651"/>
      <c r="BL278" s="651"/>
      <c r="BM278" s="651"/>
      <c r="BN278" s="651"/>
      <c r="BO278" s="651"/>
      <c r="BP278" s="651"/>
      <c r="BQ278" s="651"/>
      <c r="BR278" s="651"/>
      <c r="BS278" s="651"/>
      <c r="BT278" s="651"/>
    </row>
    <row r="279">
      <c r="A279" s="716" t="s">
        <v>479</v>
      </c>
      <c r="B279" s="122" t="s">
        <v>486</v>
      </c>
      <c r="C279" s="223" t="s">
        <v>487</v>
      </c>
      <c r="D279" s="124" t="s">
        <v>120</v>
      </c>
      <c r="E279" s="687">
        <f>VALUE(MID(C279, FIND("(", C279)+1, FIND("/", C279)-FIND("(", C279)-1)) / 1000</f>
        <v>0.98</v>
      </c>
      <c r="F279" s="721"/>
      <c r="G279" s="689" t="s">
        <v>501</v>
      </c>
      <c r="H279" s="700" t="str">
        <f>IFERROR(__xludf.DUMMYFUNCTION("IFERROR(REGEXEXTRACT(C279, ""(\d*\.\d+)mm""), """")"),"")</f>
        <v/>
      </c>
      <c r="I279" s="128" t="s">
        <v>97</v>
      </c>
      <c r="J279" s="126" t="s">
        <v>14</v>
      </c>
      <c r="K279" s="126" t="str">
        <f>IFERROR(
  IF(B279="", "", VLOOKUP(B279, Data!$B$2:$K$905, 7, FALSE)),
  ""
)</f>
        <v/>
      </c>
      <c r="L279" s="712"/>
      <c r="M279" s="730">
        <v>140.8</v>
      </c>
      <c r="N279" s="151">
        <f>IFERROR(__xludf.DUMMYFUNCTION("IF(B279="""", """", IFERROR(1 / COS(RADIANS(REGEXEXTRACT(F279,""(\d+)""))), 1))"),1.0)</f>
        <v>1</v>
      </c>
      <c r="O279" s="169">
        <v>1.0</v>
      </c>
      <c r="P279" s="134">
        <v>1.0</v>
      </c>
      <c r="Q279" s="168">
        <f t="shared" ref="Q279:Q285" si="216">M279*N279*O279*P279</f>
        <v>140.8</v>
      </c>
      <c r="R279" s="136" t="str">
        <f>IFERROR(
  IF(B279="", "", VLOOKUP(B279, Data!$B$2:$K$905, 9, FALSE)),
  ""
)</f>
        <v/>
      </c>
      <c r="S279" s="152">
        <f t="shared" ref="S279:S285" si="217">R279*Q279</f>
        <v>0</v>
      </c>
      <c r="T279" s="690"/>
      <c r="U279" s="136" t="str">
        <f>IFERROR(
  IF(B279="", "", VLOOKUP(B279, Data!$B$2:$K$905, 10, FALSE)),
  ""
)
</f>
        <v/>
      </c>
      <c r="V279" s="691"/>
      <c r="W279" s="140">
        <f t="shared" ref="W279:W285" si="218">U279*Q279</f>
        <v>0</v>
      </c>
      <c r="X279" s="692"/>
      <c r="Y279" s="595"/>
      <c r="Z279" s="595"/>
      <c r="AA279" s="595"/>
      <c r="AB279" s="354">
        <f t="shared" ref="AB279:AB285" si="219">W279+S279</f>
        <v>0</v>
      </c>
      <c r="AC279" s="181"/>
      <c r="AD279" s="705"/>
      <c r="AE279" s="706"/>
      <c r="AF279" s="707"/>
      <c r="AG279" s="708"/>
      <c r="AH279" s="709"/>
      <c r="AI279" s="187"/>
      <c r="AJ279" s="710"/>
      <c r="AK279" s="710"/>
      <c r="AL279" s="595"/>
      <c r="AM279" s="595"/>
      <c r="AN279" s="595"/>
      <c r="AO279" s="595"/>
      <c r="AP279" s="595"/>
      <c r="AQ279" s="595"/>
      <c r="AR279" s="595"/>
      <c r="AS279" s="595"/>
      <c r="AT279" s="595"/>
      <c r="AU279" s="595"/>
      <c r="AV279" s="595"/>
      <c r="AW279" s="595"/>
      <c r="AX279" s="595"/>
      <c r="AY279" s="595"/>
      <c r="AZ279" s="595"/>
      <c r="BA279" s="595"/>
      <c r="BB279" s="595"/>
      <c r="BC279" s="595"/>
      <c r="BD279" s="595"/>
      <c r="BE279" s="595"/>
      <c r="BF279" s="595"/>
      <c r="BG279" s="595"/>
      <c r="BH279" s="595"/>
      <c r="BI279" s="651"/>
      <c r="BJ279" s="651"/>
      <c r="BK279" s="651"/>
      <c r="BL279" s="651"/>
      <c r="BM279" s="651"/>
      <c r="BN279" s="651"/>
      <c r="BO279" s="651"/>
      <c r="BP279" s="651"/>
      <c r="BQ279" s="651"/>
      <c r="BR279" s="651"/>
      <c r="BS279" s="651"/>
      <c r="BT279" s="651"/>
    </row>
    <row r="280">
      <c r="A280" s="631"/>
      <c r="B280" s="154" t="str">
        <f>IFERROR(__xludf.DUMMYFUNCTION("IFERROR(
  IF(C280="""","""",
    IF(OR(REGEXMATCH(D280,""(?i)-Flashing""), REGEXMATCH(D280,""(?i)-EavesGut""), REGEXMATCH(D280,""(?i)Valley"")),
        ""DR"" &amp;
        TEXT(
            ROUNDUP(
                MIN(
                    VALUE(MID(C280, "&amp;"FIND(""("",C280)+1, FIND(""/"",C280)-FIND(""("",C280)-1)),
                    1200
                ) / 50, 0
            ) * 50, ""0""
        ) &amp;
        MID(C280, FIND(""/"",C280)+1, FIND("")"",C280)-FIND(""/"",C280)-1) &amp;
        TEXT(H280*100,""0"") &amp;"&amp;"
        I280,
    IF(AND(D280=""Roof Sheet"", REGEXMATCH(C280,""(?i)KS\d{4}[A-Z]{2}"")),
       REGEXEXTRACT(C280,""(?i)KS\d{4}[A-Z]{2}""),
    IF(AND(REGEXMATCH(D280,""(?i)-DP""), REGEXMATCH(C280,""(?i)Downpipe"")),
       ""dp"" &amp; REGEXEXTRACT(C280,""("&amp;"\d+)"") &amp; ""mm"",
    IF(AND(REGEXMATCH(D280,""(?i)Bracket""), REGEXMATCH(C280,""(?i)Bracket"")),
       ""Brkt"" &amp; REGEXEXTRACT(C280,""(\d+)"") &amp; ""mm"",
    IF(AND(REGEXMATCH(D280,""(?i)-OP""), REGEXMATCH(C280,""(?i)pops"")),
       ""op"" &amp; REGEXEXTRAC"&amp;"T(C280,""(\d+)"") &amp; ""mm"",
    IF(OR(D280=""R-FFTop"", D280=""R-FFBottom"", D280=""R-FFSide""),
        IF(REGEXMATCH(C280,""(?i)Profiled.*Top|Top.*Profiled""),""pfft"",
        IF(REGEXMATCH(C280,""(?i)Profiled.*Bottom|Bottom.*Profiled""),""pffb"",
    "&amp;"    IF(REGEXMATCH(C280,""(?i)Square""),""sff"",""""))),
    IF(REGEXMATCH(D280,""(?i)-Rivets""),""Rvt"",
    IF(REGEXMATCH(D280,""(?i)Silicone""),""300ml"",
    IF(REGEXMATCH(D280,""(?i)R-Butyl""),""300ml"",
    IF(REGEXMATCH(D280,""(?i)Fix""),""GenFix"","&amp;"
    IF(AND(REGEXMATCH(C280,""(?i)Timber""), REGEXMATCH(D280,""(?i)Timber"")),""tp"",
    IF(AND(REGEXMATCH(C280,""(?i)Vent G1275""), REGEXMATCH(D280,""(?i)Comb FIller"")),""CFV1275"",
    IF(REGEXMATCH(C280,""(?i)DPC""),""dpc"",
    IF(REGEXMATCH(C280,"""&amp;"(?i)Concealed Clips""),""ConClips"",
    IF(REGEXMATCH(D280,""(?i)-Takeoff ea""),""Takeoff ea"",
    IF(REGEXMATCH(D280,""(?i)-Takeoff LM""),""Takeoff LM"",
    IF(REGEXMATCH(D280,""(?i)-Takeoff m2""),""Takeoff m2"",
    IF(D280=""R-TU/TD"",""TU/TD"","""""&amp;")))))))))))))))))
  )))"),"300ml")</f>
        <v>300ml</v>
      </c>
      <c r="C280" s="734" t="s">
        <v>98</v>
      </c>
      <c r="D280" s="124" t="s">
        <v>99</v>
      </c>
      <c r="E280" s="687">
        <f>E279</f>
        <v>0.98</v>
      </c>
      <c r="F280" s="721"/>
      <c r="G280" s="158"/>
      <c r="H280" s="700"/>
      <c r="I280" s="700"/>
      <c r="J280" s="126" t="s">
        <v>87</v>
      </c>
      <c r="K280" s="126" t="str">
        <f>IFERROR(
  IF(B280="", "", VLOOKUP(B280, Data!$B$2:$K$905, 7, FALSE)),
  ""
)</f>
        <v/>
      </c>
      <c r="L280" s="712"/>
      <c r="M280" s="150">
        <f>(ROUNDDOWN((M279/5.7)+2,0)*E280)/8</f>
        <v>3.185</v>
      </c>
      <c r="N280" s="151">
        <f>IFERROR(__xludf.DUMMYFUNCTION("IF(B280="""", """", IFERROR(1 / COS(RADIANS(REGEXEXTRACT(F280,""(\d+)""))), 1))"),1.0)</f>
        <v>1</v>
      </c>
      <c r="O280" s="169">
        <v>1.0</v>
      </c>
      <c r="P280" s="134">
        <v>1.0</v>
      </c>
      <c r="Q280" s="168">
        <f t="shared" si="216"/>
        <v>3.185</v>
      </c>
      <c r="R280" s="136" t="str">
        <f>IFERROR(
  IF(B280="", "", VLOOKUP(B280, Data!$B$2:$K$905, 9, FALSE)),
  ""
)</f>
        <v/>
      </c>
      <c r="S280" s="152">
        <f t="shared" si="217"/>
        <v>0</v>
      </c>
      <c r="T280" s="690"/>
      <c r="U280" s="136" t="str">
        <f>IFERROR(
  IF(B280="", "", VLOOKUP(B280, Data!$B$2:$K$905, 10, FALSE)),
  ""
)
</f>
        <v/>
      </c>
      <c r="V280" s="691"/>
      <c r="W280" s="140">
        <f t="shared" si="218"/>
        <v>0</v>
      </c>
      <c r="X280" s="692"/>
      <c r="Y280" s="595"/>
      <c r="Z280" s="595"/>
      <c r="AA280" s="595"/>
      <c r="AB280" s="354">
        <f t="shared" si="219"/>
        <v>0</v>
      </c>
      <c r="AC280" s="181"/>
      <c r="AD280" s="625"/>
      <c r="AE280" s="626"/>
      <c r="AF280" s="696"/>
      <c r="AG280" s="697"/>
      <c r="AH280" s="629"/>
      <c r="AI280" s="187"/>
      <c r="AJ280" s="630"/>
      <c r="AK280" s="630"/>
      <c r="AL280" s="595"/>
      <c r="AM280" s="595"/>
      <c r="AN280" s="595"/>
      <c r="AO280" s="595"/>
      <c r="AP280" s="595"/>
      <c r="AQ280" s="595"/>
      <c r="AR280" s="595"/>
      <c r="AS280" s="595"/>
      <c r="AT280" s="595"/>
      <c r="AU280" s="595"/>
      <c r="AV280" s="595"/>
      <c r="AW280" s="595"/>
      <c r="AX280" s="595"/>
      <c r="AY280" s="595"/>
      <c r="AZ280" s="595"/>
      <c r="BA280" s="595"/>
      <c r="BB280" s="595"/>
      <c r="BC280" s="595"/>
      <c r="BD280" s="595"/>
      <c r="BE280" s="595"/>
      <c r="BF280" s="595"/>
      <c r="BG280" s="595"/>
      <c r="BH280" s="595"/>
      <c r="BI280" s="651"/>
      <c r="BJ280" s="651"/>
      <c r="BK280" s="651"/>
      <c r="BL280" s="651"/>
      <c r="BM280" s="651"/>
      <c r="BN280" s="651"/>
      <c r="BO280" s="651"/>
      <c r="BP280" s="651"/>
      <c r="BQ280" s="651"/>
      <c r="BR280" s="651"/>
      <c r="BS280" s="651"/>
      <c r="BT280" s="651"/>
    </row>
    <row r="281">
      <c r="A281" s="631"/>
      <c r="B281" s="154" t="str">
        <f>IFERROR(__xludf.DUMMYFUNCTION("IFERROR(
  IF(C281="""","""",
    IF(OR(REGEXMATCH(D281,""(?i)-Flashing""), REGEXMATCH(D281,""(?i)-EavesGut""), REGEXMATCH(D281,""(?i)Valley"")),
        ""DR"" &amp;
        TEXT(
            ROUNDUP(
                MIN(
                    VALUE(MID(C281, "&amp;"FIND(""("",C281)+1, FIND(""/"",C281)-FIND(""("",C281)-1)),
                    1200
                ) / 50, 0
            ) * 50, ""0""
        ) &amp;
        MID(C281, FIND(""/"",C281)+1, FIND("")"",C281)-FIND(""/"",C281)-1) &amp;
        TEXT(H281*100,""0"") &amp;"&amp;"
        I281,
    IF(AND(D281=""Roof Sheet"", REGEXMATCH(C281,""(?i)KS\d{4}[A-Z]{2}"")),
       REGEXEXTRACT(C281,""(?i)KS\d{4}[A-Z]{2}""),
    IF(AND(REGEXMATCH(D281,""(?i)-DP""), REGEXMATCH(C281,""(?i)Downpipe"")),
       ""dp"" &amp; REGEXEXTRACT(C281,""("&amp;"\d+)"") &amp; ""mm"",
    IF(AND(REGEXMATCH(D281,""(?i)Bracket""), REGEXMATCH(C281,""(?i)Bracket"")),
       ""Brkt"" &amp; REGEXEXTRACT(C281,""(\d+)"") &amp; ""mm"",
    IF(AND(REGEXMATCH(D281,""(?i)-OP""), REGEXMATCH(C281,""(?i)pops"")),
       ""op"" &amp; REGEXEXTRAC"&amp;"T(C281,""(\d+)"") &amp; ""mm"",
    IF(OR(D281=""R-FFTop"", D281=""R-FFBottom"", D281=""R-FFSide""),
        IF(REGEXMATCH(C281,""(?i)Profiled.*Top|Top.*Profiled""),""pfft"",
        IF(REGEXMATCH(C281,""(?i)Profiled.*Bottom|Bottom.*Profiled""),""pffb"",
    "&amp;"    IF(REGEXMATCH(C281,""(?i)Square""),""sff"",""""))),
    IF(REGEXMATCH(D281,""(?i)-Rivets""),""Rvt"",
    IF(REGEXMATCH(D281,""(?i)Silicone""),""300ml"",
    IF(REGEXMATCH(D281,""(?i)R-Butyl""),""300ml"",
    IF(REGEXMATCH(D281,""(?i)Fix""),""GenFix"","&amp;"
    IF(AND(REGEXMATCH(C281,""(?i)Timber""), REGEXMATCH(D281,""(?i)Timber"")),""tp"",
    IF(AND(REGEXMATCH(C281,""(?i)Vent G1275""), REGEXMATCH(D281,""(?i)Comb FIller"")),""CFV1275"",
    IF(REGEXMATCH(C281,""(?i)DPC""),""dpc"",
    IF(REGEXMATCH(C281,"""&amp;"(?i)Concealed Clips""),""ConClips"",
    IF(REGEXMATCH(D281,""(?i)-Takeoff ea""),""Takeoff ea"",
    IF(REGEXMATCH(D281,""(?i)-Takeoff LM""),""Takeoff LM"",
    IF(REGEXMATCH(D281,""(?i)-Takeoff m2""),""Takeoff m2"",
    IF(D281=""R-TU/TD"",""TU/TD"","""""&amp;")))))))))))))))))
  )))"),"Rvt")</f>
        <v>Rvt</v>
      </c>
      <c r="C281" s="734" t="s">
        <v>100</v>
      </c>
      <c r="D281" s="124" t="s">
        <v>101</v>
      </c>
      <c r="E281" s="687">
        <f>E279</f>
        <v>0.98</v>
      </c>
      <c r="F281" s="721"/>
      <c r="G281" s="158"/>
      <c r="H281" s="700"/>
      <c r="I281" s="700"/>
      <c r="J281" s="126" t="s">
        <v>87</v>
      </c>
      <c r="K281" s="126" t="str">
        <f>IFERROR(
  IF(B281="", "", VLOOKUP(B281, Data!$B$2:$K$905, 7, FALSE)),
  ""
)</f>
        <v/>
      </c>
      <c r="L281" s="712"/>
      <c r="M281" s="150">
        <f>ROUNDUP(((M279/5.7)+1)*(E281/0.05),0)</f>
        <v>504</v>
      </c>
      <c r="N281" s="151">
        <f>IFERROR(__xludf.DUMMYFUNCTION("IF(B281="""", """", IFERROR(1 / COS(RADIANS(REGEXEXTRACT(F281,""(\d+)""))), 1))"),1.0)</f>
        <v>1</v>
      </c>
      <c r="O281" s="169">
        <v>1.0</v>
      </c>
      <c r="P281" s="134">
        <v>1.0</v>
      </c>
      <c r="Q281" s="168">
        <f t="shared" si="216"/>
        <v>504</v>
      </c>
      <c r="R281" s="136" t="str">
        <f>IFERROR(
  IF(B281="", "", VLOOKUP(B281, Data!$B$2:$K$905, 9, FALSE)),
  ""
)</f>
        <v/>
      </c>
      <c r="S281" s="152">
        <f t="shared" si="217"/>
        <v>0</v>
      </c>
      <c r="T281" s="690"/>
      <c r="U281" s="136" t="str">
        <f>IFERROR(
  IF(B281="", "", VLOOKUP(B281, Data!$B$2:$K$905, 10, FALSE)),
  ""
)
</f>
        <v/>
      </c>
      <c r="V281" s="691"/>
      <c r="W281" s="140">
        <f t="shared" si="218"/>
        <v>0</v>
      </c>
      <c r="X281" s="692"/>
      <c r="Y281" s="595"/>
      <c r="Z281" s="595"/>
      <c r="AA281" s="595"/>
      <c r="AB281" s="354">
        <f t="shared" si="219"/>
        <v>0</v>
      </c>
      <c r="AC281" s="181"/>
      <c r="AD281" s="625"/>
      <c r="AE281" s="626"/>
      <c r="AF281" s="696"/>
      <c r="AG281" s="697"/>
      <c r="AH281" s="629"/>
      <c r="AI281" s="187"/>
      <c r="AJ281" s="630"/>
      <c r="AK281" s="630"/>
      <c r="AL281" s="595"/>
      <c r="AM281" s="595"/>
      <c r="AN281" s="595"/>
      <c r="AO281" s="595"/>
      <c r="AP281" s="595"/>
      <c r="AQ281" s="595"/>
      <c r="AR281" s="595"/>
      <c r="AS281" s="595"/>
      <c r="AT281" s="595"/>
      <c r="AU281" s="595"/>
      <c r="AV281" s="595"/>
      <c r="AW281" s="595"/>
      <c r="AX281" s="595"/>
      <c r="AY281" s="595"/>
      <c r="AZ281" s="595"/>
      <c r="BA281" s="595"/>
      <c r="BB281" s="595"/>
      <c r="BC281" s="595"/>
      <c r="BD281" s="595"/>
      <c r="BE281" s="595"/>
      <c r="BF281" s="595"/>
      <c r="BG281" s="595"/>
      <c r="BH281" s="595"/>
      <c r="BI281" s="651"/>
      <c r="BJ281" s="651"/>
      <c r="BK281" s="651"/>
      <c r="BL281" s="651"/>
      <c r="BM281" s="651"/>
      <c r="BN281" s="651"/>
      <c r="BO281" s="651"/>
      <c r="BP281" s="651"/>
      <c r="BQ281" s="651"/>
      <c r="BR281" s="651"/>
      <c r="BS281" s="651"/>
      <c r="BT281" s="651"/>
    </row>
    <row r="282">
      <c r="A282" s="716" t="s">
        <v>479</v>
      </c>
      <c r="B282" s="122" t="s">
        <v>488</v>
      </c>
      <c r="C282" s="123" t="s">
        <v>489</v>
      </c>
      <c r="D282" s="124" t="s">
        <v>122</v>
      </c>
      <c r="E282" s="687">
        <f>IFERROR(__xludf.DUMMYFUNCTION("IFERROR(REGEXEXTRACT(C282,""@\s*(\d+(?:\.\d+)?)\s*mm"")/1000,"""")"),0.6)</f>
        <v>0.6</v>
      </c>
      <c r="F282" s="699"/>
      <c r="G282" s="158"/>
      <c r="H282" s="700"/>
      <c r="I282" s="700"/>
      <c r="J282" s="126" t="s">
        <v>87</v>
      </c>
      <c r="K282" s="126" t="str">
        <f>IFERROR(
  IF(B282="", "", VLOOKUP(B282, Data!$B$2:$K$905, 7, FALSE)),
  ""
)</f>
        <v/>
      </c>
      <c r="L282" s="704"/>
      <c r="M282" s="150">
        <f>ROUNDUP(M279/E282,0)+1</f>
        <v>236</v>
      </c>
      <c r="N282" s="151">
        <f>IFERROR(__xludf.DUMMYFUNCTION("IF(B282="""", """", IFERROR(1 / COS(RADIANS(REGEXEXTRACT(F282,""(\d+)""))), 1))"),1.0)</f>
        <v>1</v>
      </c>
      <c r="O282" s="169">
        <v>1.0</v>
      </c>
      <c r="P282" s="134">
        <v>1.0</v>
      </c>
      <c r="Q282" s="168">
        <f t="shared" si="216"/>
        <v>236</v>
      </c>
      <c r="R282" s="136" t="str">
        <f>IFERROR(
  IF(B282="", "", VLOOKUP(B282, Data!$B$2:$K$905, 9, FALSE)),
  ""
)</f>
        <v/>
      </c>
      <c r="S282" s="152">
        <f t="shared" si="217"/>
        <v>0</v>
      </c>
      <c r="T282" s="690"/>
      <c r="U282" s="136" t="str">
        <f>IFERROR(
  IF(B282="", "", VLOOKUP(B282, Data!$B$2:$K$905, 10, FALSE)),
  ""
)
</f>
        <v/>
      </c>
      <c r="V282" s="691"/>
      <c r="W282" s="140">
        <f t="shared" si="218"/>
        <v>0</v>
      </c>
      <c r="X282" s="692"/>
      <c r="Y282" s="595"/>
      <c r="Z282" s="595"/>
      <c r="AA282" s="595"/>
      <c r="AB282" s="354">
        <f t="shared" si="219"/>
        <v>0</v>
      </c>
      <c r="AC282" s="181"/>
      <c r="AD282" s="625"/>
      <c r="AE282" s="626"/>
      <c r="AF282" s="696"/>
      <c r="AG282" s="697"/>
      <c r="AH282" s="629"/>
      <c r="AI282" s="187"/>
      <c r="AJ282" s="630"/>
      <c r="AK282" s="630"/>
      <c r="AL282" s="595"/>
      <c r="AM282" s="595"/>
      <c r="AN282" s="595"/>
      <c r="AO282" s="595"/>
      <c r="AP282" s="595"/>
      <c r="AQ282" s="595"/>
      <c r="AR282" s="595"/>
      <c r="AS282" s="595"/>
      <c r="AT282" s="595"/>
      <c r="AU282" s="595"/>
      <c r="AV282" s="595"/>
      <c r="AW282" s="595"/>
      <c r="AX282" s="595"/>
      <c r="AY282" s="595"/>
      <c r="AZ282" s="595"/>
      <c r="BA282" s="595"/>
      <c r="BB282" s="595"/>
      <c r="BC282" s="595"/>
      <c r="BD282" s="595"/>
      <c r="BE282" s="595"/>
      <c r="BF282" s="595"/>
      <c r="BG282" s="595"/>
      <c r="BH282" s="595"/>
      <c r="BI282" s="651"/>
      <c r="BJ282" s="651"/>
      <c r="BK282" s="651"/>
      <c r="BL282" s="651"/>
      <c r="BM282" s="651"/>
      <c r="BN282" s="651"/>
      <c r="BO282" s="651"/>
      <c r="BP282" s="651"/>
      <c r="BQ282" s="651"/>
      <c r="BR282" s="651"/>
      <c r="BS282" s="651"/>
      <c r="BT282" s="651"/>
    </row>
    <row r="283">
      <c r="A283" s="631"/>
      <c r="B283" s="154" t="str">
        <f>IFERROR(__xludf.DUMMYFUNCTION("IFERROR(
  IF(C283="""","""",
    IF(OR(REGEXMATCH(D283,""(?i)-Flashing""), REGEXMATCH(D283,""(?i)-EavesGut""), REGEXMATCH(D283,""(?i)Valley"")),
        ""DR"" &amp;
        TEXT(
            ROUNDUP(
                MIN(
                    VALUE(MID(C283, "&amp;"FIND(""("",C283)+1, FIND(""/"",C283)-FIND(""("",C283)-1)),
                    1200
                ) / 50, 0
            ) * 50, ""0""
        ) &amp;
        MID(C283, FIND(""/"",C283)+1, FIND("")"",C283)-FIND(""/"",C283)-1) &amp;
        TEXT(H283*100,""0"") &amp;"&amp;"
        I283,
    IF(AND(D283=""Roof Sheet"", REGEXMATCH(C283,""(?i)KS\d{4}[A-Z]{2}"")),
       REGEXEXTRACT(C283,""(?i)KS\d{4}[A-Z]{2}""),
    IF(AND(REGEXMATCH(D283,""(?i)-DP""), REGEXMATCH(C283,""(?i)Downpipe"")),
       ""dp"" &amp; REGEXEXTRACT(C283,""("&amp;"\d+)"") &amp; ""mm"",
    IF(AND(REGEXMATCH(D283,""(?i)Bracket""), REGEXMATCH(C283,""(?i)Bracket"")),
       ""Brkt"" &amp; REGEXEXTRACT(C283,""(\d+)"") &amp; ""mm"",
    IF(AND(REGEXMATCH(D283,""(?i)-OP""), REGEXMATCH(C283,""(?i)pops"")),
       ""op"" &amp; REGEXEXTRAC"&amp;"T(C283,""(\d+)"") &amp; ""mm"",
    IF(OR(D283=""R-FFTop"", D283=""R-FFBottom"", D283=""R-FFSide""),
        IF(REGEXMATCH(C283,""(?i)Profiled.*Top|Top.*Profiled""),""pfft"",
        IF(REGEXMATCH(C283,""(?i)Profiled.*Bottom|Bottom.*Profiled""),""pffb"",
    "&amp;"    IF(REGEXMATCH(C283,""(?i)Square""),""sff"",""""))),
    IF(REGEXMATCH(D283,""(?i)-Rivets""),""Rvt"",
    IF(REGEXMATCH(D283,""(?i)Silicone""),""300ml"",
    IF(REGEXMATCH(D283,""(?i)R-Butyl""),""300ml"",
    IF(REGEXMATCH(D283,""(?i)Fix""),""GenFix"","&amp;"
    IF(AND(REGEXMATCH(C283,""(?i)Timber""), REGEXMATCH(D283,""(?i)Timber"")),""tp"",
    IF(AND(REGEXMATCH(C283,""(?i)Vent G1275""), REGEXMATCH(D283,""(?i)Comb FIller"")),""CFV1275"",
    IF(REGEXMATCH(C283,""(?i)DPC""),""dpc"",
    IF(REGEXMATCH(C283,"""&amp;"(?i)Concealed Clips""),""ConClips"",
    IF(REGEXMATCH(D283,""(?i)-Takeoff ea""),""Takeoff ea"",
    IF(REGEXMATCH(D283,""(?i)-Takeoff LM""),""Takeoff LM"",
    IF(REGEXMATCH(D283,""(?i)-Takeoff m2""),""Takeoff m2"",
    IF(D283=""R-TU/TD"",""TU/TD"","""""&amp;")))))))))))))))))
  )))"),"GenFix")</f>
        <v>GenFix</v>
      </c>
      <c r="C283" s="698" t="s">
        <v>102</v>
      </c>
      <c r="D283" s="124" t="s">
        <v>123</v>
      </c>
      <c r="E283" s="687">
        <v>2.0</v>
      </c>
      <c r="F283" s="699"/>
      <c r="G283" s="158"/>
      <c r="H283" s="700"/>
      <c r="I283" s="700"/>
      <c r="J283" s="126" t="s">
        <v>87</v>
      </c>
      <c r="K283" s="126" t="str">
        <f>IFERROR(
  IF(B283="", "", VLOOKUP(B283, Data!$B$2:$K$905, 7, FALSE)),
  ""
)</f>
        <v/>
      </c>
      <c r="L283" s="704"/>
      <c r="M283" s="150">
        <f>ROUNDUP(M282*E283,0)+1</f>
        <v>473</v>
      </c>
      <c r="N283" s="151">
        <f>IFERROR(__xludf.DUMMYFUNCTION("IF(B283="""", """", IFERROR(1 / COS(RADIANS(REGEXEXTRACT(F283,""(\d+)""))), 1))"),1.0)</f>
        <v>1</v>
      </c>
      <c r="O283" s="169">
        <v>1.0</v>
      </c>
      <c r="P283" s="134">
        <v>1.0</v>
      </c>
      <c r="Q283" s="168">
        <f t="shared" si="216"/>
        <v>473</v>
      </c>
      <c r="R283" s="136" t="str">
        <f>IFERROR(
  IF(B283="", "", VLOOKUP(B283, Data!$B$2:$K$905, 9, FALSE)),
  ""
)</f>
        <v/>
      </c>
      <c r="S283" s="152">
        <f t="shared" si="217"/>
        <v>0</v>
      </c>
      <c r="T283" s="690"/>
      <c r="U283" s="136" t="str">
        <f>IFERROR(
  IF(B283="", "", VLOOKUP(B283, Data!$B$2:$K$905, 10, FALSE)),
  ""
)
</f>
        <v/>
      </c>
      <c r="V283" s="691"/>
      <c r="W283" s="140">
        <f t="shared" si="218"/>
        <v>0</v>
      </c>
      <c r="X283" s="692"/>
      <c r="Y283" s="595"/>
      <c r="Z283" s="595"/>
      <c r="AA283" s="595"/>
      <c r="AB283" s="354">
        <f t="shared" si="219"/>
        <v>0</v>
      </c>
      <c r="AC283" s="181"/>
      <c r="AD283" s="625"/>
      <c r="AE283" s="626"/>
      <c r="AF283" s="696"/>
      <c r="AG283" s="697"/>
      <c r="AH283" s="629"/>
      <c r="AI283" s="187"/>
      <c r="AJ283" s="630"/>
      <c r="AK283" s="630"/>
      <c r="AL283" s="595"/>
      <c r="AM283" s="595"/>
      <c r="AN283" s="595"/>
      <c r="AO283" s="595"/>
      <c r="AP283" s="595"/>
      <c r="AQ283" s="595"/>
      <c r="AR283" s="595"/>
      <c r="AS283" s="595"/>
      <c r="AT283" s="595"/>
      <c r="AU283" s="595"/>
      <c r="AV283" s="595"/>
      <c r="AW283" s="595"/>
      <c r="AX283" s="595"/>
      <c r="AY283" s="595"/>
      <c r="AZ283" s="595"/>
      <c r="BA283" s="595"/>
      <c r="BB283" s="595"/>
      <c r="BC283" s="595"/>
      <c r="BD283" s="595"/>
      <c r="BE283" s="595"/>
      <c r="BF283" s="595"/>
      <c r="BG283" s="595"/>
      <c r="BH283" s="595"/>
      <c r="BI283" s="651"/>
      <c r="BJ283" s="651"/>
      <c r="BK283" s="651"/>
      <c r="BL283" s="651"/>
      <c r="BM283" s="651"/>
      <c r="BN283" s="651"/>
      <c r="BO283" s="651"/>
      <c r="BP283" s="651"/>
      <c r="BQ283" s="651"/>
      <c r="BR283" s="651"/>
      <c r="BS283" s="651"/>
      <c r="BT283" s="651"/>
    </row>
    <row r="284">
      <c r="A284" s="631"/>
      <c r="B284" s="154" t="str">
        <f>IFERROR(__xludf.DUMMYFUNCTION("IFERROR(
  IF(C284="""","""",
    IF(OR(REGEXMATCH(D284,""(?i)-Flashing""), REGEXMATCH(D284,""(?i)-EavesGut""), REGEXMATCH(D284,""(?i)Valley"")),
        ""DR"" &amp;
        TEXT(
            ROUNDUP(
                MIN(
                    VALUE(MID(C284, "&amp;"FIND(""("",C284)+1, FIND(""/"",C284)-FIND(""("",C284)-1)),
                    1200
                ) / 50, 0
            ) * 50, ""0""
        ) &amp;
        MID(C284, FIND(""/"",C284)+1, FIND("")"",C284)-FIND(""/"",C284)-1) &amp;
        TEXT(H284*100,""0"") &amp;"&amp;"
        I284,
    IF(AND(D284=""Roof Sheet"", REGEXMATCH(C284,""(?i)KS\d{4}[A-Z]{2}"")),
       REGEXEXTRACT(C284,""(?i)KS\d{4}[A-Z]{2}""),
    IF(AND(REGEXMATCH(D284,""(?i)-DP""), REGEXMATCH(C284,""(?i)Downpipe"")),
       ""dp"" &amp; REGEXEXTRACT(C284,""("&amp;"\d+)"") &amp; ""mm"",
    IF(AND(REGEXMATCH(D284,""(?i)Bracket""), REGEXMATCH(C284,""(?i)Bracket"")),
       ""Brkt"" &amp; REGEXEXTRACT(C284,""(\d+)"") &amp; ""mm"",
    IF(AND(REGEXMATCH(D284,""(?i)-OP""), REGEXMATCH(C284,""(?i)pops"")),
       ""op"" &amp; REGEXEXTRAC"&amp;"T(C284,""(\d+)"") &amp; ""mm"",
    IF(OR(D284=""R-FFTop"", D284=""R-FFBottom"", D284=""R-FFSide""),
        IF(REGEXMATCH(C284,""(?i)Profiled.*Top|Top.*Profiled""),""pfft"",
        IF(REGEXMATCH(C284,""(?i)Profiled.*Bottom|Bottom.*Profiled""),""pffb"",
    "&amp;"    IF(REGEXMATCH(C284,""(?i)Square""),""sff"",""""))),
    IF(REGEXMATCH(D284,""(?i)-Rivets""),""Rvt"",
    IF(REGEXMATCH(D284,""(?i)Silicone""),""300ml"",
    IF(REGEXMATCH(D284,""(?i)R-Butyl""),""300ml"",
    IF(REGEXMATCH(D284,""(?i)Fix""),""GenFix"","&amp;"
    IF(AND(REGEXMATCH(C284,""(?i)Timber""), REGEXMATCH(D284,""(?i)Timber"")),""tp"",
    IF(AND(REGEXMATCH(C284,""(?i)Vent G1275""), REGEXMATCH(D284,""(?i)Comb FIller"")),""CFV1275"",
    IF(REGEXMATCH(C284,""(?i)DPC""),""dpc"",
    IF(REGEXMATCH(C284,"""&amp;"(?i)Concealed Clips""),""ConClips"",
    IF(REGEXMATCH(D284,""(?i)-Takeoff ea""),""Takeoff ea"",
    IF(REGEXMATCH(D284,""(?i)-Takeoff LM""),""Takeoff LM"",
    IF(REGEXMATCH(D284,""(?i)-Takeoff m2""),""Takeoff m2"",
    IF(D284=""R-TU/TD"",""TU/TD"","""""&amp;")))))))))))))))))
  )))"),"pffb")</f>
        <v>pffb</v>
      </c>
      <c r="C284" s="698" t="s">
        <v>125</v>
      </c>
      <c r="D284" s="124" t="s">
        <v>126</v>
      </c>
      <c r="E284" s="722"/>
      <c r="F284" s="699"/>
      <c r="G284" s="158"/>
      <c r="H284" s="700"/>
      <c r="I284" s="700"/>
      <c r="J284" s="126" t="s">
        <v>87</v>
      </c>
      <c r="K284" s="126" t="str">
        <f>IFERROR(
  IF(B284="", "", VLOOKUP(B284, Data!$B$2:$K$905, 7, FALSE)),
  ""
)</f>
        <v/>
      </c>
      <c r="L284" s="704"/>
      <c r="M284" s="150">
        <f>M279</f>
        <v>140.8</v>
      </c>
      <c r="N284" s="151">
        <f>IFERROR(__xludf.DUMMYFUNCTION("IF(B284="""", """", IFERROR(1 / COS(RADIANS(REGEXEXTRACT(F284,""(\d+)""))), 1))"),1.0)</f>
        <v>1</v>
      </c>
      <c r="O284" s="169">
        <v>1.0</v>
      </c>
      <c r="P284" s="134">
        <v>1.0</v>
      </c>
      <c r="Q284" s="168">
        <f t="shared" si="216"/>
        <v>140.8</v>
      </c>
      <c r="R284" s="136" t="str">
        <f>IFERROR(
  IF(B284="", "", VLOOKUP(B284, Data!$B$2:$K$905, 9, FALSE)),
  ""
)</f>
        <v/>
      </c>
      <c r="S284" s="152">
        <f t="shared" si="217"/>
        <v>0</v>
      </c>
      <c r="T284" s="690"/>
      <c r="U284" s="136" t="str">
        <f>IFERROR(
  IF(B284="", "", VLOOKUP(B284, Data!$B$2:$K$905, 10, FALSE)),
  ""
)
</f>
        <v/>
      </c>
      <c r="V284" s="691"/>
      <c r="W284" s="140">
        <f t="shared" si="218"/>
        <v>0</v>
      </c>
      <c r="X284" s="692"/>
      <c r="Y284" s="595"/>
      <c r="Z284" s="595"/>
      <c r="AA284" s="595"/>
      <c r="AB284" s="354">
        <f t="shared" si="219"/>
        <v>0</v>
      </c>
      <c r="AC284" s="181"/>
      <c r="AD284" s="625"/>
      <c r="AE284" s="626"/>
      <c r="AF284" s="696"/>
      <c r="AG284" s="697"/>
      <c r="AH284" s="629"/>
      <c r="AI284" s="187"/>
      <c r="AJ284" s="630"/>
      <c r="AK284" s="630"/>
      <c r="AL284" s="595"/>
      <c r="AM284" s="595"/>
      <c r="AN284" s="595"/>
      <c r="AO284" s="595"/>
      <c r="AP284" s="595"/>
      <c r="AQ284" s="595"/>
      <c r="AR284" s="595"/>
      <c r="AS284" s="595"/>
      <c r="AT284" s="595"/>
      <c r="AU284" s="595"/>
      <c r="AV284" s="595"/>
      <c r="AW284" s="595"/>
      <c r="AX284" s="595"/>
      <c r="AY284" s="595"/>
      <c r="AZ284" s="595"/>
      <c r="BA284" s="595"/>
      <c r="BB284" s="595"/>
      <c r="BC284" s="595"/>
      <c r="BD284" s="595"/>
      <c r="BE284" s="595"/>
      <c r="BF284" s="595"/>
      <c r="BG284" s="595"/>
      <c r="BH284" s="595"/>
      <c r="BI284" s="651"/>
      <c r="BJ284" s="651"/>
      <c r="BK284" s="651"/>
      <c r="BL284" s="651"/>
      <c r="BM284" s="651"/>
      <c r="BN284" s="651"/>
      <c r="BO284" s="651"/>
      <c r="BP284" s="651"/>
      <c r="BQ284" s="651"/>
      <c r="BR284" s="651"/>
      <c r="BS284" s="651"/>
      <c r="BT284" s="651"/>
    </row>
    <row r="285">
      <c r="A285" s="631"/>
      <c r="B285" s="154" t="str">
        <f>IFERROR(__xludf.DUMMYFUNCTION("IFERROR(
  IF(C285="""","""",
    IF(OR(REGEXMATCH(D285,""(?i)-Flashing""), REGEXMATCH(D285,""(?i)-EavesGut""), REGEXMATCH(D285,""(?i)Valley"")),
        ""DR"" &amp;
        TEXT(
            ROUNDUP(
                MIN(
                    VALUE(MID(C285, "&amp;"FIND(""("",C285)+1, FIND(""/"",C285)-FIND(""("",C285)-1)),
                    1200
                ) / 50, 0
            ) * 50, ""0""
        ) &amp;
        MID(C285, FIND(""/"",C285)+1, FIND("")"",C285)-FIND(""/"",C285)-1) &amp;
        TEXT(H285*100,""0"") &amp;"&amp;"
        I285,
    IF(AND(D285=""Roof Sheet"", REGEXMATCH(C285,""(?i)KS\d{4}[A-Z]{2}"")),
       REGEXEXTRACT(C285,""(?i)KS\d{4}[A-Z]{2}""),
    IF(AND(REGEXMATCH(D285,""(?i)-DP""), REGEXMATCH(C285,""(?i)Downpipe"")),
       ""dp"" &amp; REGEXEXTRACT(C285,""("&amp;"\d+)"") &amp; ""mm"",
    IF(AND(REGEXMATCH(D285,""(?i)Bracket""), REGEXMATCH(C285,""(?i)Bracket"")),
       ""Brkt"" &amp; REGEXEXTRACT(C285,""(\d+)"") &amp; ""mm"",
    IF(AND(REGEXMATCH(D285,""(?i)-OP""), REGEXMATCH(C285,""(?i)pops"")),
       ""op"" &amp; REGEXEXTRAC"&amp;"T(C285,""(\d+)"") &amp; ""mm"",
    IF(OR(D285=""R-FFTop"", D285=""R-FFBottom"", D285=""R-FFSide""),
        IF(REGEXMATCH(C285,""(?i)Profiled.*Top|Top.*Profiled""),""pfft"",
        IF(REGEXMATCH(C285,""(?i)Profiled.*Bottom|Bottom.*Profiled""),""pffb"",
    "&amp;"    IF(REGEXMATCH(C285,""(?i)Square""),""sff"",""""))),
    IF(REGEXMATCH(D285,""(?i)-Rivets""),""Rvt"",
    IF(REGEXMATCH(D285,""(?i)Silicone""),""300ml"",
    IF(REGEXMATCH(D285,""(?i)R-Butyl""),""300ml"",
    IF(REGEXMATCH(D285,""(?i)Fix""),""GenFix"","&amp;"
    IF(AND(REGEXMATCH(C285,""(?i)Timber""), REGEXMATCH(D285,""(?i)Timber"")),""tp"",
    IF(AND(REGEXMATCH(C285,""(?i)Vent G1275""), REGEXMATCH(D285,""(?i)Comb FIller"")),""CFV1275"",
    IF(REGEXMATCH(C285,""(?i)DPC""),""dpc"",
    IF(REGEXMATCH(C285,"""&amp;"(?i)Concealed Clips""),""ConClips"",
    IF(REGEXMATCH(D285,""(?i)-Takeoff ea""),""Takeoff ea"",
    IF(REGEXMATCH(D285,""(?i)-Takeoff LM""),""Takeoff LM"",
    IF(REGEXMATCH(D285,""(?i)-Takeoff m2""),""Takeoff m2"",
    IF(D285=""R-TU/TD"",""TU/TD"","""""&amp;")))))))))))))))))
  )))"),"TU/TD")</f>
        <v>TU/TD</v>
      </c>
      <c r="C285" s="698" t="s">
        <v>446</v>
      </c>
      <c r="D285" s="124" t="s">
        <v>107</v>
      </c>
      <c r="E285" s="722"/>
      <c r="F285" s="699"/>
      <c r="G285" s="158"/>
      <c r="H285" s="700"/>
      <c r="I285" s="700"/>
      <c r="J285" s="126" t="s">
        <v>87</v>
      </c>
      <c r="K285" s="126" t="str">
        <f>IFERROR(
  IF(B285="", "", VLOOKUP(B285, Data!$B$2:$K$905, 7, FALSE)),
  ""
)</f>
        <v/>
      </c>
      <c r="L285" s="704"/>
      <c r="M285" s="150">
        <f>M279</f>
        <v>140.8</v>
      </c>
      <c r="N285" s="151">
        <f>IFERROR(__xludf.DUMMYFUNCTION("IF(B285="""", """", IFERROR(1 / COS(RADIANS(REGEXEXTRACT(F285,""(\d+)""))), 1))"),1.0)</f>
        <v>1</v>
      </c>
      <c r="O285" s="169">
        <v>1.0</v>
      </c>
      <c r="P285" s="134">
        <v>1.0</v>
      </c>
      <c r="Q285" s="168">
        <f t="shared" si="216"/>
        <v>140.8</v>
      </c>
      <c r="R285" s="136" t="str">
        <f>IFERROR(
  IF(B285="", "", VLOOKUP(B285, Data!$B$2:$K$905, 9, FALSE)),
  ""
)</f>
        <v/>
      </c>
      <c r="S285" s="152">
        <f t="shared" si="217"/>
        <v>0</v>
      </c>
      <c r="T285" s="690"/>
      <c r="U285" s="136" t="str">
        <f>IFERROR(
  IF(B285="", "", VLOOKUP(B285, Data!$B$2:$K$905, 10, FALSE)),
  ""
)
</f>
        <v/>
      </c>
      <c r="V285" s="691"/>
      <c r="W285" s="140">
        <f t="shared" si="218"/>
        <v>0</v>
      </c>
      <c r="X285" s="692"/>
      <c r="Y285" s="595"/>
      <c r="Z285" s="595"/>
      <c r="AA285" s="595"/>
      <c r="AB285" s="354">
        <f t="shared" si="219"/>
        <v>0</v>
      </c>
      <c r="AC285" s="181"/>
      <c r="AD285" s="625"/>
      <c r="AE285" s="626"/>
      <c r="AF285" s="696"/>
      <c r="AG285" s="697"/>
      <c r="AH285" s="629"/>
      <c r="AI285" s="187"/>
      <c r="AJ285" s="630"/>
      <c r="AK285" s="630"/>
      <c r="AL285" s="595"/>
      <c r="AM285" s="595"/>
      <c r="AN285" s="595"/>
      <c r="AO285" s="595"/>
      <c r="AP285" s="595"/>
      <c r="AQ285" s="595"/>
      <c r="AR285" s="595"/>
      <c r="AS285" s="595"/>
      <c r="AT285" s="595"/>
      <c r="AU285" s="595"/>
      <c r="AV285" s="595"/>
      <c r="AW285" s="595"/>
      <c r="AX285" s="595"/>
      <c r="AY285" s="595"/>
      <c r="AZ285" s="595"/>
      <c r="BA285" s="595"/>
      <c r="BB285" s="595"/>
      <c r="BC285" s="595"/>
      <c r="BD285" s="595"/>
      <c r="BE285" s="595"/>
      <c r="BF285" s="595"/>
      <c r="BG285" s="595"/>
      <c r="BH285" s="595"/>
      <c r="BI285" s="651"/>
      <c r="BJ285" s="651"/>
      <c r="BK285" s="651"/>
      <c r="BL285" s="651"/>
      <c r="BM285" s="651"/>
      <c r="BN285" s="651"/>
      <c r="BO285" s="651"/>
      <c r="BP285" s="651"/>
      <c r="BQ285" s="651"/>
      <c r="BR285" s="651"/>
      <c r="BS285" s="651"/>
      <c r="BT285" s="651"/>
    </row>
    <row r="286">
      <c r="A286" s="631"/>
      <c r="B286" s="154"/>
      <c r="C286" s="702"/>
      <c r="D286" s="701"/>
      <c r="E286" s="722"/>
      <c r="F286" s="699"/>
      <c r="G286" s="158"/>
      <c r="H286" s="700"/>
      <c r="I286" s="700"/>
      <c r="J286" s="701"/>
      <c r="K286" s="701"/>
      <c r="L286" s="704"/>
      <c r="M286" s="704"/>
      <c r="N286" s="711"/>
      <c r="O286" s="712"/>
      <c r="P286" s="700"/>
      <c r="Q286" s="712"/>
      <c r="R286" s="136" t="str">
        <f>IFERROR(
  IF(B286="", "", VLOOKUP(B286, Data!$B$2:$K$905, 9, FALSE)),
  ""
)</f>
        <v/>
      </c>
      <c r="S286" s="691"/>
      <c r="T286" s="690"/>
      <c r="U286" s="136" t="str">
        <f>IFERROR(
  IF(B286="", "", VLOOKUP(B286, Data!$B$2:$K$905, 10, FALSE)),
  ""
)
</f>
        <v/>
      </c>
      <c r="V286" s="691"/>
      <c r="W286" s="713"/>
      <c r="X286" s="692"/>
      <c r="Y286" s="595"/>
      <c r="Z286" s="595"/>
      <c r="AA286" s="595"/>
      <c r="AB286" s="595"/>
      <c r="AC286" s="181"/>
      <c r="AD286" s="625"/>
      <c r="AE286" s="626"/>
      <c r="AF286" s="696"/>
      <c r="AG286" s="697"/>
      <c r="AH286" s="629"/>
      <c r="AI286" s="187"/>
      <c r="AJ286" s="630"/>
      <c r="AK286" s="630"/>
      <c r="AL286" s="595"/>
      <c r="AM286" s="595"/>
      <c r="AN286" s="595"/>
      <c r="AO286" s="595"/>
      <c r="AP286" s="595"/>
      <c r="AQ286" s="595"/>
      <c r="AR286" s="595"/>
      <c r="AS286" s="595"/>
      <c r="AT286" s="595"/>
      <c r="AU286" s="595"/>
      <c r="AV286" s="595"/>
      <c r="AW286" s="595"/>
      <c r="AX286" s="595"/>
      <c r="AY286" s="595"/>
      <c r="AZ286" s="595"/>
      <c r="BA286" s="595"/>
      <c r="BB286" s="595"/>
      <c r="BC286" s="595"/>
      <c r="BD286" s="595"/>
      <c r="BE286" s="595"/>
      <c r="BF286" s="595"/>
      <c r="BG286" s="595"/>
      <c r="BH286" s="595"/>
      <c r="BI286" s="651"/>
      <c r="BJ286" s="651"/>
      <c r="BK286" s="651"/>
      <c r="BL286" s="651"/>
      <c r="BM286" s="651"/>
      <c r="BN286" s="651"/>
      <c r="BO286" s="651"/>
      <c r="BP286" s="651"/>
      <c r="BQ286" s="651"/>
      <c r="BR286" s="651"/>
      <c r="BS286" s="651"/>
      <c r="BT286" s="651"/>
    </row>
    <row r="287">
      <c r="A287" s="631"/>
      <c r="B287" s="154" t="s">
        <v>131</v>
      </c>
      <c r="C287" s="734" t="s">
        <v>132</v>
      </c>
      <c r="D287" s="124" t="s">
        <v>484</v>
      </c>
      <c r="E287" s="722"/>
      <c r="F287" s="721"/>
      <c r="G287" s="158"/>
      <c r="H287" s="700"/>
      <c r="I287" s="700"/>
      <c r="J287" s="126" t="s">
        <v>87</v>
      </c>
      <c r="K287" s="126" t="str">
        <f>IFERROR(
  IF(B287="", "", VLOOKUP(B287, Data!$B$2:$K$905, 7, FALSE)),
  ""
)</f>
        <v/>
      </c>
      <c r="L287" s="712"/>
      <c r="M287" s="730">
        <v>1.0</v>
      </c>
      <c r="N287" s="151">
        <f>IFERROR(__xludf.DUMMYFUNCTION("IF(B287="""", """", IFERROR(1 / COS(RADIANS(REGEXEXTRACT(F287,""(\d+)""))), 1))"),1.0)</f>
        <v>1</v>
      </c>
      <c r="O287" s="169">
        <v>1.0</v>
      </c>
      <c r="P287" s="134">
        <v>1.0</v>
      </c>
      <c r="Q287" s="168">
        <f t="shared" ref="Q287:Q288" si="220">M287*N287*O287*P287</f>
        <v>1</v>
      </c>
      <c r="R287" s="136" t="str">
        <f>IFERROR(
  IF(B287="", "", VLOOKUP(B287, Data!$B$2:$K$905, 9, FALSE)),
  ""
)</f>
        <v/>
      </c>
      <c r="S287" s="152">
        <f t="shared" ref="S287:S288" si="221">R287*Q287</f>
        <v>0</v>
      </c>
      <c r="T287" s="690"/>
      <c r="U287" s="136" t="str">
        <f>IFERROR(
  IF(B287="", "", VLOOKUP(B287, Data!$B$2:$K$905, 10, FALSE)),
  ""
)
</f>
        <v/>
      </c>
      <c r="V287" s="691"/>
      <c r="W287" s="140">
        <f t="shared" ref="W287:W288" si="222">U287*Q287</f>
        <v>0</v>
      </c>
      <c r="X287" s="692"/>
      <c r="Y287" s="595"/>
      <c r="Z287" s="595"/>
      <c r="AA287" s="595"/>
      <c r="AB287" s="354">
        <f t="shared" ref="AB287:AB288" si="223">W287+S287</f>
        <v>0</v>
      </c>
      <c r="AC287" s="181"/>
      <c r="AD287" s="625"/>
      <c r="AE287" s="626"/>
      <c r="AF287" s="696"/>
      <c r="AG287" s="697"/>
      <c r="AH287" s="629"/>
      <c r="AI287" s="187"/>
      <c r="AJ287" s="630"/>
      <c r="AK287" s="630"/>
      <c r="AL287" s="595"/>
      <c r="AM287" s="595"/>
      <c r="AN287" s="595"/>
      <c r="AO287" s="595"/>
      <c r="AP287" s="595"/>
      <c r="AQ287" s="595"/>
      <c r="AR287" s="595"/>
      <c r="AS287" s="595"/>
      <c r="AT287" s="595"/>
      <c r="AU287" s="595"/>
      <c r="AV287" s="595"/>
      <c r="AW287" s="595"/>
      <c r="AX287" s="595"/>
      <c r="AY287" s="595"/>
      <c r="AZ287" s="595"/>
      <c r="BA287" s="595"/>
      <c r="BB287" s="595"/>
      <c r="BC287" s="595"/>
      <c r="BD287" s="595"/>
      <c r="BE287" s="595"/>
      <c r="BF287" s="595"/>
      <c r="BG287" s="595"/>
      <c r="BH287" s="595"/>
      <c r="BI287" s="651"/>
      <c r="BJ287" s="651"/>
      <c r="BK287" s="651"/>
      <c r="BL287" s="651"/>
      <c r="BM287" s="651"/>
      <c r="BN287" s="651"/>
      <c r="BO287" s="651"/>
      <c r="BP287" s="651"/>
      <c r="BQ287" s="651"/>
      <c r="BR287" s="651"/>
      <c r="BS287" s="651"/>
      <c r="BT287" s="651"/>
    </row>
    <row r="288">
      <c r="A288" s="631"/>
      <c r="B288" s="154" t="s">
        <v>134</v>
      </c>
      <c r="C288" s="734" t="s">
        <v>135</v>
      </c>
      <c r="D288" s="124" t="s">
        <v>484</v>
      </c>
      <c r="E288" s="722"/>
      <c r="F288" s="721"/>
      <c r="G288" s="158"/>
      <c r="H288" s="700"/>
      <c r="I288" s="700"/>
      <c r="J288" s="126" t="s">
        <v>87</v>
      </c>
      <c r="K288" s="126" t="str">
        <f>IFERROR(
  IF(B288="", "", VLOOKUP(B288, Data!$B$2:$K$905, 7, FALSE)),
  ""
)</f>
        <v/>
      </c>
      <c r="L288" s="712"/>
      <c r="M288" s="730">
        <v>1.0</v>
      </c>
      <c r="N288" s="151">
        <f>IFERROR(__xludf.DUMMYFUNCTION("IF(B288="""", """", IFERROR(1 / COS(RADIANS(REGEXEXTRACT(F288,""(\d+)""))), 1))"),1.0)</f>
        <v>1</v>
      </c>
      <c r="O288" s="169">
        <v>1.0</v>
      </c>
      <c r="P288" s="134">
        <v>1.0</v>
      </c>
      <c r="Q288" s="168">
        <f t="shared" si="220"/>
        <v>1</v>
      </c>
      <c r="R288" s="136" t="str">
        <f>IFERROR(
  IF(B288="", "", VLOOKUP(B288, Data!$B$2:$K$905, 9, FALSE)),
  ""
)</f>
        <v/>
      </c>
      <c r="S288" s="152">
        <f t="shared" si="221"/>
        <v>0</v>
      </c>
      <c r="T288" s="690"/>
      <c r="U288" s="136" t="str">
        <f>IFERROR(
  IF(B288="", "", VLOOKUP(B288, Data!$B$2:$K$905, 10, FALSE)),
  ""
)
</f>
        <v/>
      </c>
      <c r="V288" s="691"/>
      <c r="W288" s="140">
        <f t="shared" si="222"/>
        <v>0</v>
      </c>
      <c r="X288" s="692"/>
      <c r="Y288" s="595"/>
      <c r="Z288" s="595"/>
      <c r="AA288" s="595"/>
      <c r="AB288" s="354">
        <f t="shared" si="223"/>
        <v>0</v>
      </c>
      <c r="AC288" s="181"/>
      <c r="AD288" s="625"/>
      <c r="AE288" s="626"/>
      <c r="AF288" s="696"/>
      <c r="AG288" s="697"/>
      <c r="AH288" s="629"/>
      <c r="AI288" s="187"/>
      <c r="AJ288" s="630"/>
      <c r="AK288" s="630"/>
      <c r="AL288" s="595"/>
      <c r="AM288" s="595"/>
      <c r="AN288" s="595"/>
      <c r="AO288" s="595"/>
      <c r="AP288" s="595"/>
      <c r="AQ288" s="595"/>
      <c r="AR288" s="595"/>
      <c r="AS288" s="595"/>
      <c r="AT288" s="595"/>
      <c r="AU288" s="595"/>
      <c r="AV288" s="595"/>
      <c r="AW288" s="595"/>
      <c r="AX288" s="595"/>
      <c r="AY288" s="595"/>
      <c r="AZ288" s="595"/>
      <c r="BA288" s="595"/>
      <c r="BB288" s="595"/>
      <c r="BC288" s="595"/>
      <c r="BD288" s="595"/>
      <c r="BE288" s="595"/>
      <c r="BF288" s="595"/>
      <c r="BG288" s="595"/>
      <c r="BH288" s="595"/>
      <c r="BI288" s="651"/>
      <c r="BJ288" s="651"/>
      <c r="BK288" s="651"/>
      <c r="BL288" s="651"/>
      <c r="BM288" s="651"/>
      <c r="BN288" s="651"/>
      <c r="BO288" s="651"/>
      <c r="BP288" s="651"/>
      <c r="BQ288" s="651"/>
      <c r="BR288" s="651"/>
      <c r="BS288" s="651"/>
      <c r="BT288" s="651"/>
    </row>
    <row r="289">
      <c r="A289" s="631"/>
      <c r="B289" s="154"/>
      <c r="C289" s="758"/>
      <c r="D289" s="700"/>
      <c r="E289" s="722"/>
      <c r="F289" s="721"/>
      <c r="G289" s="158"/>
      <c r="H289" s="700"/>
      <c r="I289" s="700"/>
      <c r="J289" s="701"/>
      <c r="K289" s="701" t="str">
        <f>IFERROR(
  IF(B289="", "", VLOOKUP(B289, Data!$B$2:$K$905, 7, FALSE)),
  ""
)</f>
        <v/>
      </c>
      <c r="L289" s="712"/>
      <c r="M289" s="704" t="s">
        <v>42</v>
      </c>
      <c r="N289" s="711" t="str">
        <f>IFERROR(__xludf.DUMMYFUNCTION("IF(B289="""", """", IFERROR(1 / COS(RADIANS(REGEXEXTRACT(F289,""(\d+)""))), 1))"),"")</f>
        <v/>
      </c>
      <c r="O289" s="712"/>
      <c r="P289" s="700"/>
      <c r="Q289" s="712"/>
      <c r="R289" s="136" t="str">
        <f>IFERROR(
  IF(B289="", "", VLOOKUP(B289, Data!$B$2:$K$905, 9, FALSE)),
  ""
)</f>
        <v/>
      </c>
      <c r="S289" s="691"/>
      <c r="T289" s="690"/>
      <c r="U289" s="136" t="str">
        <f>IFERROR(
  IF(B289="", "", VLOOKUP(B289, Data!$B$2:$K$905, 10, FALSE)),
  ""
)
</f>
        <v/>
      </c>
      <c r="V289" s="691"/>
      <c r="W289" s="713"/>
      <c r="X289" s="692"/>
      <c r="Y289" s="595"/>
      <c r="Z289" s="595"/>
      <c r="AA289" s="595"/>
      <c r="AB289" s="595"/>
      <c r="AC289" s="181"/>
      <c r="AD289" s="625"/>
      <c r="AE289" s="626"/>
      <c r="AF289" s="696"/>
      <c r="AG289" s="697"/>
      <c r="AH289" s="629"/>
      <c r="AI289" s="187"/>
      <c r="AJ289" s="630"/>
      <c r="AK289" s="630"/>
      <c r="AL289" s="595"/>
      <c r="AM289" s="595"/>
      <c r="AN289" s="595"/>
      <c r="AO289" s="595"/>
      <c r="AP289" s="595"/>
      <c r="AQ289" s="595"/>
      <c r="AR289" s="595"/>
      <c r="AS289" s="595"/>
      <c r="AT289" s="595"/>
      <c r="AU289" s="595"/>
      <c r="AV289" s="595"/>
      <c r="AW289" s="595"/>
      <c r="AX289" s="595"/>
      <c r="AY289" s="595"/>
      <c r="AZ289" s="595"/>
      <c r="BA289" s="595"/>
      <c r="BB289" s="595"/>
      <c r="BC289" s="595"/>
      <c r="BD289" s="595"/>
      <c r="BE289" s="595"/>
      <c r="BF289" s="595"/>
      <c r="BG289" s="595"/>
      <c r="BH289" s="595"/>
      <c r="BI289" s="651"/>
      <c r="BJ289" s="651"/>
      <c r="BK289" s="651"/>
      <c r="BL289" s="651"/>
      <c r="BM289" s="651"/>
      <c r="BN289" s="651"/>
      <c r="BO289" s="651"/>
      <c r="BP289" s="651"/>
      <c r="BQ289" s="651"/>
      <c r="BR289" s="651"/>
      <c r="BS289" s="651"/>
      <c r="BT289" s="651"/>
    </row>
    <row r="290">
      <c r="A290" s="631">
        <v>1.0</v>
      </c>
      <c r="B290" s="764" t="s">
        <v>425</v>
      </c>
      <c r="C290" s="89" t="s">
        <v>136</v>
      </c>
      <c r="D290" s="172"/>
      <c r="E290" s="654"/>
      <c r="F290" s="655"/>
      <c r="G290" s="656"/>
      <c r="H290" s="656"/>
      <c r="I290" s="656"/>
      <c r="J290" s="656"/>
      <c r="K290" s="656" t="s">
        <v>42</v>
      </c>
      <c r="L290" s="658"/>
      <c r="M290" s="658" t="s">
        <v>42</v>
      </c>
      <c r="N290" s="659"/>
      <c r="O290" s="658"/>
      <c r="P290" s="656"/>
      <c r="Q290" s="658"/>
      <c r="R290" s="681" t="str">
        <f>IFERROR(
  IF(B290="", "", VLOOKUP(B290, Data!$B$2:$K$905, 9, FALSE)),
  ""
)</f>
        <v/>
      </c>
      <c r="S290" s="662"/>
      <c r="T290" s="661"/>
      <c r="U290" s="136" t="str">
        <f>IFERROR(
  IF(B290="", "", VLOOKUP(B290, Data!$B$2:$K$905, 10, FALSE)),
  ""
)
</f>
        <v/>
      </c>
      <c r="V290" s="662"/>
      <c r="W290" s="663"/>
      <c r="X290" s="692"/>
      <c r="Y290" s="595"/>
      <c r="Z290" s="595"/>
      <c r="AA290" s="595"/>
      <c r="AB290" s="595"/>
      <c r="AC290" s="181"/>
      <c r="AD290" s="625"/>
      <c r="AE290" s="626"/>
      <c r="AF290" s="696"/>
      <c r="AG290" s="697"/>
      <c r="AH290" s="629"/>
      <c r="AI290" s="187"/>
      <c r="AJ290" s="630"/>
      <c r="AK290" s="630"/>
      <c r="AL290" s="595"/>
      <c r="AM290" s="595"/>
      <c r="AN290" s="595"/>
      <c r="AO290" s="595"/>
      <c r="AP290" s="595"/>
      <c r="AQ290" s="595"/>
      <c r="AR290" s="595"/>
      <c r="AS290" s="595"/>
      <c r="AT290" s="595"/>
      <c r="AU290" s="595"/>
      <c r="AV290" s="595"/>
      <c r="AW290" s="595"/>
      <c r="AX290" s="595"/>
      <c r="AY290" s="595"/>
      <c r="AZ290" s="595"/>
      <c r="BA290" s="595"/>
      <c r="BB290" s="595"/>
      <c r="BC290" s="595"/>
      <c r="BD290" s="595"/>
      <c r="BE290" s="595"/>
      <c r="BF290" s="595"/>
      <c r="BG290" s="595"/>
      <c r="BH290" s="595"/>
      <c r="BI290" s="651"/>
      <c r="BJ290" s="651"/>
      <c r="BK290" s="651"/>
      <c r="BL290" s="651"/>
      <c r="BM290" s="651"/>
      <c r="BN290" s="651"/>
      <c r="BO290" s="651"/>
      <c r="BP290" s="651"/>
      <c r="BQ290" s="651"/>
      <c r="BR290" s="651"/>
      <c r="BS290" s="651"/>
      <c r="BT290" s="651"/>
    </row>
    <row r="291">
      <c r="A291" s="631">
        <v>1.0</v>
      </c>
      <c r="B291" s="727"/>
      <c r="C291" s="103" t="s">
        <v>509</v>
      </c>
      <c r="D291" s="678"/>
      <c r="E291" s="676"/>
      <c r="F291" s="677"/>
      <c r="G291" s="678"/>
      <c r="H291" s="678"/>
      <c r="I291" s="678"/>
      <c r="J291" s="678"/>
      <c r="K291" s="678" t="s">
        <v>42</v>
      </c>
      <c r="L291" s="106">
        <f>Q291</f>
        <v>67.2</v>
      </c>
      <c r="M291" s="679" t="s">
        <v>42</v>
      </c>
      <c r="N291" s="680"/>
      <c r="O291" s="679"/>
      <c r="P291" s="678"/>
      <c r="Q291" s="106">
        <f>Q292</f>
        <v>67.2</v>
      </c>
      <c r="R291" s="681" t="str">
        <f>IFERROR(
  IF(B291="", "", VLOOKUP(B291, Data!$B$2:$K$905, 9, FALSE)),
  ""
)</f>
        <v/>
      </c>
      <c r="S291" s="682">
        <f>IFERROR(T291/Q291, 0)</f>
        <v>0</v>
      </c>
      <c r="T291" s="109">
        <f>SUM(S292:S299)</f>
        <v>0</v>
      </c>
      <c r="U291" s="136" t="str">
        <f>IFERROR(
  IF(B291="", "", VLOOKUP(B291, Data!$B$2:$K$905, 10, FALSE)),
  ""
)
</f>
        <v/>
      </c>
      <c r="V291" s="109">
        <f>W291/Q291</f>
        <v>0</v>
      </c>
      <c r="W291" s="110">
        <f>SUM(W292:W299)</f>
        <v>0</v>
      </c>
      <c r="X291" s="111" t="str">
        <f>W291/$AC$758/$W$765/$X$755</f>
        <v>#REF!</v>
      </c>
      <c r="Y291" s="112" t="b">
        <f>(T291+W291)=(SUM(AB292:AB299))</f>
        <v>1</v>
      </c>
      <c r="Z291" s="113">
        <f>(T291+W291)-(SUM(AB292:AB298))</f>
        <v>0</v>
      </c>
      <c r="AA291" s="595"/>
      <c r="AB291" s="595"/>
      <c r="AC291" s="181"/>
      <c r="AD291" s="114">
        <f>W291+T291</f>
        <v>0</v>
      </c>
      <c r="AE291" s="115">
        <f>AD291</f>
        <v>0</v>
      </c>
      <c r="AF291" s="116" t="str">
        <f>AE291/$AE$733</f>
        <v>#REF!</v>
      </c>
      <c r="AG291" s="683" t="str">
        <f>AF291*$AG$740</f>
        <v>#REF!</v>
      </c>
      <c r="AH291" s="118" t="str">
        <f>AF291*$AG$743</f>
        <v>#REF!</v>
      </c>
      <c r="AI291" s="187"/>
      <c r="AJ291" s="119" t="str">
        <f>ROUND(AK291/L291,2)</f>
        <v>#REF!</v>
      </c>
      <c r="AK291" s="119" t="str">
        <f>ROUND(AH291+AG291+AD291,2)</f>
        <v>#REF!</v>
      </c>
      <c r="AL291" s="595"/>
      <c r="AM291" s="595"/>
      <c r="AN291" s="595"/>
      <c r="AO291" s="595"/>
      <c r="AP291" s="595"/>
      <c r="AQ291" s="595"/>
      <c r="AR291" s="595"/>
      <c r="AS291" s="595"/>
      <c r="AT291" s="595"/>
      <c r="AU291" s="595"/>
      <c r="AV291" s="595"/>
      <c r="AW291" s="595"/>
      <c r="AX291" s="595"/>
      <c r="AY291" s="595"/>
      <c r="AZ291" s="595"/>
      <c r="BA291" s="595"/>
      <c r="BB291" s="595"/>
      <c r="BC291" s="595"/>
      <c r="BD291" s="595"/>
      <c r="BE291" s="595"/>
      <c r="BF291" s="595"/>
      <c r="BG291" s="595"/>
      <c r="BH291" s="595"/>
      <c r="BI291" s="651"/>
      <c r="BJ291" s="651"/>
      <c r="BK291" s="651"/>
      <c r="BL291" s="651"/>
      <c r="BM291" s="651"/>
      <c r="BN291" s="651"/>
      <c r="BO291" s="651"/>
      <c r="BP291" s="651"/>
      <c r="BQ291" s="651"/>
      <c r="BR291" s="651"/>
      <c r="BS291" s="651"/>
      <c r="BT291" s="651"/>
    </row>
    <row r="292">
      <c r="A292" s="716" t="s">
        <v>491</v>
      </c>
      <c r="B292" s="154" t="str">
        <f>IFERROR(__xludf.DUMMYFUNCTION("IFERROR(
  IF(C292="""","""",
    IF(OR(REGEXMATCH(D292,""(?i)-Flashing""), REGEXMATCH(D292,""(?i)-EavesGut""), REGEXMATCH(D292,""(?i)Valley"")),
        ""DR"" &amp;
        TEXT(
            ROUNDUP(
                MIN(
                    VALUE(MID(C292, "&amp;"FIND(""("",C292)+1, FIND(""/"",C292)-FIND(""("",C292)-1)),
                    1200
                ) / 50, 0
            ) * 50, ""0""
        ) &amp;
        MID(C292, FIND(""/"",C292)+1, FIND("")"",C292)-FIND(""/"",C292)-1) &amp;
        TEXT(H292*100,""0"") &amp;"&amp;"
        I292,
    IF(AND(D292=""Roof Sheet"", REGEXMATCH(C292,""(?i)KS\d{4}[A-Z]{2}"")),
       REGEXEXTRACT(C292,""(?i)KS\d{4}[A-Z]{2}""),
    IF(AND(REGEXMATCH(D292,""(?i)-DP""), REGEXMATCH(C292,""(?i)Downpipe"")),
       ""dp"" &amp; REGEXEXTRACT(C292,""("&amp;"\d+)"") &amp; ""mm"",
    IF(AND(REGEXMATCH(D292,""(?i)Bracket""), REGEXMATCH(C292,""(?i)Bracket"")),
       ""Brkt"" &amp; REGEXEXTRACT(C292,""(\d+)"") &amp; ""mm"",
    IF(AND(REGEXMATCH(D292,""(?i)-OP""), REGEXMATCH(C292,""(?i)pops"")),
       ""op"" &amp; REGEXEXTRAC"&amp;"T(C292,""(\d+)"") &amp; ""mm"",
    IF(OR(D292=""R-FFTop"", D292=""R-FFBottom"", D292=""R-FFSide""),
        IF(REGEXMATCH(C292,""(?i)Profiled.*Top|Top.*Profiled""),""pfft"",
        IF(REGEXMATCH(C292,""(?i)Profiled.*Bottom|Bottom.*Profiled""),""pffb"",
    "&amp;"    IF(REGEXMATCH(C292,""(?i)Square""),""sff"",""""))),
    IF(REGEXMATCH(D292,""(?i)-Rivets""),""Rvt"",
    IF(REGEXMATCH(D292,""(?i)Silicone|Seal""),""300ml"",
    IF(REGEXMATCH(D292,""(?i)R-Butyl""),""300ml"",
    IF(REGEXMATCH(D292,""(?i)Fix""),""GenF"&amp;"ix"",
    IF(AND(REGEXMATCH(C292,""(?i)Timber""), REGEXMATCH(D292,""(?i)Timber"")),""tp"",
    IF(AND(REGEXMATCH(C292,""(?i)Vent G1275""), REGEXMATCH(D292,""(?i)Comb FIller"")),""CFV1275"",
    IF(REGEXMATCH(C292,""(?i)DPC""),""dpc"",
    IF(REGEXMATCH(C2"&amp;"92,""(?i)Concealed Clips""),""ConClips"",
    IF(REGEXMATCH(D292,""(?i)-Takeoff ea""),""Takeoff ea"",
    IF(REGEXMATCH(D292,""(?i)-Takeoff LM""),""Takeoff LM"",
    IF(REGEXMATCH(D292,""(?i)-Takeoff m2""),""Takeoff m2"",
    IF(D292=""R-TU/TD"",""TU/TD"""&amp;","""")))))))))))))))))
  )))"),"dp150mm")</f>
        <v>dp150mm</v>
      </c>
      <c r="C292" s="123" t="s">
        <v>138</v>
      </c>
      <c r="D292" s="124" t="s">
        <v>139</v>
      </c>
      <c r="E292" s="725"/>
      <c r="F292" s="699"/>
      <c r="G292" s="689" t="s">
        <v>501</v>
      </c>
      <c r="H292" s="700"/>
      <c r="I292" s="700"/>
      <c r="J292" s="126" t="s">
        <v>14</v>
      </c>
      <c r="K292" s="126" t="str">
        <f>IFERROR(
  IF(B292="", "", VLOOKUP(B292, Data!$B$2:$K$905, 7, FALSE)),
  ""
)</f>
        <v/>
      </c>
      <c r="L292" s="131">
        <v>7.0</v>
      </c>
      <c r="M292" s="150">
        <f t="shared" ref="M292:M294" si="224">L292</f>
        <v>7</v>
      </c>
      <c r="N292" s="156">
        <v>2.4</v>
      </c>
      <c r="O292" s="759">
        <v>4.0</v>
      </c>
      <c r="P292" s="156">
        <v>1.0</v>
      </c>
      <c r="Q292" s="242">
        <f t="shared" ref="Q292:Q294" si="225">M292*N292*O292*P292</f>
        <v>67.2</v>
      </c>
      <c r="R292" s="136" t="str">
        <f>IFERROR(
  IF(B292="", "", VLOOKUP(B292, Data!$B$2:$K$905, 9, FALSE)),
  ""
)</f>
        <v/>
      </c>
      <c r="S292" s="152">
        <f t="shared" ref="S292:S294" si="226">R292*Q292</f>
        <v>0</v>
      </c>
      <c r="T292" s="690"/>
      <c r="U292" s="136" t="str">
        <f>IFERROR(
  IF(B292="", "", VLOOKUP(B292, Data!$B$2:$K$905, 10, FALSE)),
  ""
)
</f>
        <v/>
      </c>
      <c r="V292" s="691"/>
      <c r="W292" s="140">
        <f t="shared" ref="W292:W294" si="227">U292*Q292</f>
        <v>0</v>
      </c>
      <c r="X292" s="693"/>
      <c r="Y292" s="595"/>
      <c r="Z292" s="595"/>
      <c r="AA292" s="595"/>
      <c r="AB292" s="354">
        <f t="shared" ref="AB292:AB293" si="228">W292+S292</f>
        <v>0</v>
      </c>
      <c r="AC292" s="181"/>
      <c r="AD292" s="625"/>
      <c r="AE292" s="626"/>
      <c r="AF292" s="696"/>
      <c r="AG292" s="697"/>
      <c r="AH292" s="629"/>
      <c r="AI292" s="187"/>
      <c r="AJ292" s="630"/>
      <c r="AK292" s="630"/>
      <c r="AL292" s="595"/>
      <c r="AM292" s="595"/>
      <c r="AN292" s="595"/>
      <c r="AO292" s="595"/>
      <c r="AP292" s="595"/>
      <c r="AQ292" s="595"/>
      <c r="AR292" s="595"/>
      <c r="AS292" s="595"/>
      <c r="AT292" s="595"/>
      <c r="AU292" s="595"/>
      <c r="AV292" s="595"/>
      <c r="AW292" s="595"/>
      <c r="AX292" s="595"/>
      <c r="AY292" s="595"/>
      <c r="AZ292" s="595"/>
      <c r="BA292" s="595"/>
      <c r="BB292" s="595"/>
      <c r="BC292" s="595"/>
      <c r="BD292" s="595"/>
      <c r="BE292" s="595"/>
      <c r="BF292" s="595"/>
      <c r="BG292" s="595"/>
      <c r="BH292" s="595"/>
      <c r="BI292" s="651"/>
      <c r="BJ292" s="651"/>
      <c r="BK292" s="651"/>
      <c r="BL292" s="651"/>
      <c r="BM292" s="651"/>
      <c r="BN292" s="651"/>
      <c r="BO292" s="651"/>
      <c r="BP292" s="651"/>
      <c r="BQ292" s="651"/>
      <c r="BR292" s="651"/>
      <c r="BS292" s="651"/>
      <c r="BT292" s="651"/>
    </row>
    <row r="293">
      <c r="A293" s="716" t="s">
        <v>491</v>
      </c>
      <c r="B293" s="154" t="str">
        <f>IFERROR(__xludf.DUMMYFUNCTION("IFERROR(
  IF(C293="""","""",
    IF(OR(REGEXMATCH(D293,""(?i)-Flashing""), REGEXMATCH(D293,""(?i)-EavesGut""), REGEXMATCH(D293,""(?i)Valley"")),
        ""DR"" &amp;
        TEXT(
            ROUNDUP(
                MIN(
                    VALUE(MID(C293, "&amp;"FIND(""("",C293)+1, FIND(""/"",C293)-FIND(""("",C293)-1)),
                    1200
                ) / 50, 0
            ) * 50, ""0""
        ) &amp;
        MID(C293, FIND(""/"",C293)+1, FIND("")"",C293)-FIND(""/"",C293)-1) &amp;
        TEXT(H293*100,""0"") &amp;"&amp;"
        I293,
    IF(AND(D293=""Roof Sheet"", REGEXMATCH(C293,""(?i)KS\d{4}[A-Z]{2}"")),
       REGEXEXTRACT(C293,""(?i)KS\d{4}[A-Z]{2}""),
    IF(AND(REGEXMATCH(D293,""(?i)-DP""), REGEXMATCH(C293,""(?i)Downpipe"")),
       ""dp"" &amp; REGEXEXTRACT(C293,""("&amp;"\d+)"") &amp; ""mm"",
    IF(AND(REGEXMATCH(D293,""(?i)Bracket""), REGEXMATCH(C293,""(?i)Bracket"")),
       ""Brkt"" &amp; REGEXEXTRACT(C293,""(\d+)"") &amp; ""mm"",
    IF(AND(REGEXMATCH(D293,""(?i)-OP""), REGEXMATCH(C293,""(?i)pops"")),
       ""op"" &amp; REGEXEXTRAC"&amp;"T(C293,""(\d+)"") &amp; ""mm"",
    IF(OR(D293=""R-FFTop"", D293=""R-FFBottom"", D293=""R-FFSide""),
        IF(REGEXMATCH(C293,""(?i)Profiled.*Top|Top.*Profiled""),""pfft"",
        IF(REGEXMATCH(C293,""(?i)Profiled.*Bottom|Bottom.*Profiled""),""pffb"",
    "&amp;"    IF(REGEXMATCH(C293,""(?i)Square""),""sff"",""""))),
    IF(REGEXMATCH(D293,""(?i)-Rivets""),""Rvt"",
    IF(REGEXMATCH(D293,""(?i)Silicone|Seal""),""300ml"",
    IF(REGEXMATCH(D293,""(?i)R-Butyl""),""300ml"",
    IF(REGEXMATCH(D293,""(?i)Fix""),""GenF"&amp;"ix"",
    IF(AND(REGEXMATCH(C293,""(?i)Timber""), REGEXMATCH(D293,""(?i)Timber"")),""tp"",
    IF(AND(REGEXMATCH(C293,""(?i)Vent G1275""), REGEXMATCH(D293,""(?i)Comb FIller"")),""CFV1275"",
    IF(REGEXMATCH(C293,""(?i)DPC""),""dpc"",
    IF(REGEXMATCH(C2"&amp;"93,""(?i)Concealed Clips""),""ConClips"",
    IF(REGEXMATCH(D293,""(?i)-Takeoff ea""),""Takeoff ea"",
    IF(REGEXMATCH(D293,""(?i)-Takeoff LM""),""Takeoff LM"",
    IF(REGEXMATCH(D293,""(?i)-Takeoff m2""),""Takeoff m2"",
    IF(D293=""R-TU/TD"",""TU/TD"""&amp;","""")))))))))))))))))
  )))"),"Brkt150mm")</f>
        <v>Brkt150mm</v>
      </c>
      <c r="C293" s="123" t="s">
        <v>140</v>
      </c>
      <c r="D293" s="124" t="s">
        <v>141</v>
      </c>
      <c r="E293" s="725"/>
      <c r="F293" s="699"/>
      <c r="G293" s="701"/>
      <c r="H293" s="700"/>
      <c r="I293" s="700"/>
      <c r="J293" s="126" t="s">
        <v>87</v>
      </c>
      <c r="K293" s="126" t="str">
        <f>IFERROR(
  IF(B293="", "", VLOOKUP(B293, Data!$B$2:$K$905, 7, FALSE)),
  ""
)</f>
        <v/>
      </c>
      <c r="L293" s="135">
        <f>L292</f>
        <v>7</v>
      </c>
      <c r="M293" s="150">
        <f t="shared" si="224"/>
        <v>7</v>
      </c>
      <c r="N293" s="151">
        <v>1.0</v>
      </c>
      <c r="O293" s="169">
        <f>O292</f>
        <v>4</v>
      </c>
      <c r="P293" s="134">
        <v>1.0</v>
      </c>
      <c r="Q293" s="242">
        <f t="shared" si="225"/>
        <v>28</v>
      </c>
      <c r="R293" s="136" t="str">
        <f>IFERROR(
  IF(B293="", "", VLOOKUP(B293, Data!$B$2:$K$905, 9, FALSE)),
  ""
)</f>
        <v/>
      </c>
      <c r="S293" s="152">
        <f t="shared" si="226"/>
        <v>0</v>
      </c>
      <c r="T293" s="690"/>
      <c r="U293" s="136" t="str">
        <f>IFERROR(
  IF(B293="", "", VLOOKUP(B293, Data!$B$2:$K$905, 10, FALSE)),
  ""
)
</f>
        <v/>
      </c>
      <c r="V293" s="691"/>
      <c r="W293" s="140">
        <f t="shared" si="227"/>
        <v>0</v>
      </c>
      <c r="X293" s="692"/>
      <c r="Y293" s="595"/>
      <c r="Z293" s="595"/>
      <c r="AA293" s="595"/>
      <c r="AB293" s="354">
        <f t="shared" si="228"/>
        <v>0</v>
      </c>
      <c r="AC293" s="181"/>
      <c r="AD293" s="625"/>
      <c r="AE293" s="626"/>
      <c r="AF293" s="696"/>
      <c r="AG293" s="697"/>
      <c r="AH293" s="629"/>
      <c r="AI293" s="187"/>
      <c r="AJ293" s="630"/>
      <c r="AK293" s="630"/>
      <c r="AL293" s="595"/>
      <c r="AM293" s="595"/>
      <c r="AN293" s="595"/>
      <c r="AO293" s="595"/>
      <c r="AP293" s="595"/>
      <c r="AQ293" s="595"/>
      <c r="AR293" s="595"/>
      <c r="AS293" s="595"/>
      <c r="AT293" s="595"/>
      <c r="AU293" s="595"/>
      <c r="AV293" s="595"/>
      <c r="AW293" s="595"/>
      <c r="AX293" s="595"/>
      <c r="AY293" s="595"/>
      <c r="AZ293" s="595"/>
      <c r="BA293" s="595"/>
      <c r="BB293" s="595"/>
      <c r="BC293" s="595"/>
      <c r="BD293" s="595"/>
      <c r="BE293" s="595"/>
      <c r="BF293" s="595"/>
      <c r="BG293" s="595"/>
      <c r="BH293" s="595"/>
      <c r="BI293" s="651"/>
      <c r="BJ293" s="651"/>
      <c r="BK293" s="651"/>
      <c r="BL293" s="651"/>
      <c r="BM293" s="651"/>
      <c r="BN293" s="651"/>
      <c r="BO293" s="651"/>
      <c r="BP293" s="651"/>
      <c r="BQ293" s="651"/>
      <c r="BR293" s="651"/>
      <c r="BS293" s="651"/>
      <c r="BT293" s="651"/>
    </row>
    <row r="294">
      <c r="A294" s="631"/>
      <c r="B294" s="154" t="s">
        <v>494</v>
      </c>
      <c r="C294" s="123" t="s">
        <v>495</v>
      </c>
      <c r="D294" s="148" t="s">
        <v>337</v>
      </c>
      <c r="E294" s="725"/>
      <c r="F294" s="699"/>
      <c r="G294" s="158"/>
      <c r="H294" s="700"/>
      <c r="I294" s="700"/>
      <c r="J294" s="126" t="s">
        <v>87</v>
      </c>
      <c r="K294" s="126" t="str">
        <f>IFERROR(
  IF(B294="", "", VLOOKUP(B294, Data!$B$2:$K$905, 7, FALSE)),
  ""
)</f>
        <v/>
      </c>
      <c r="L294" s="131">
        <v>2.0</v>
      </c>
      <c r="M294" s="150">
        <f t="shared" si="224"/>
        <v>2</v>
      </c>
      <c r="N294" s="151">
        <f>IFERROR(__xludf.DUMMYFUNCTION("IF(B294="""", """", IFERROR(1 / COS(RADIANS(REGEXEXTRACT(F294,""(\d+)""))), 1))"),1.0)</f>
        <v>1</v>
      </c>
      <c r="O294" s="759">
        <v>1.0</v>
      </c>
      <c r="P294" s="156">
        <v>0.0</v>
      </c>
      <c r="Q294" s="242">
        <f t="shared" si="225"/>
        <v>0</v>
      </c>
      <c r="R294" s="136" t="str">
        <f>IFERROR(
  IF(B294="", "", VLOOKUP(B294, Data!$B$2:$K$905, 9, FALSE)),
  ""
)</f>
        <v/>
      </c>
      <c r="S294" s="152">
        <f t="shared" si="226"/>
        <v>0</v>
      </c>
      <c r="T294" s="690"/>
      <c r="U294" s="136" t="str">
        <f>IFERROR(
  IF(B294="", "", VLOOKUP(B294, Data!$B$2:$K$905, 10, FALSE)),
  ""
)
</f>
        <v/>
      </c>
      <c r="V294" s="691"/>
      <c r="W294" s="140">
        <f t="shared" si="227"/>
        <v>0</v>
      </c>
      <c r="X294" s="692"/>
      <c r="Y294" s="595"/>
      <c r="Z294" s="595"/>
      <c r="AA294" s="595"/>
      <c r="AB294" s="354"/>
      <c r="AC294" s="181"/>
      <c r="AD294" s="625"/>
      <c r="AE294" s="626"/>
      <c r="AF294" s="696"/>
      <c r="AG294" s="628"/>
      <c r="AH294" s="629"/>
      <c r="AI294" s="187"/>
      <c r="AJ294" s="630"/>
      <c r="AK294" s="630"/>
      <c r="AL294" s="595"/>
      <c r="AM294" s="595"/>
      <c r="AN294" s="595"/>
      <c r="AO294" s="595"/>
      <c r="AP294" s="595"/>
      <c r="AQ294" s="595"/>
      <c r="AR294" s="595"/>
      <c r="AS294" s="595"/>
      <c r="AT294" s="595"/>
      <c r="AU294" s="595"/>
      <c r="AV294" s="595"/>
      <c r="AW294" s="595"/>
      <c r="AX294" s="595"/>
      <c r="AY294" s="595"/>
      <c r="AZ294" s="595"/>
      <c r="BA294" s="595"/>
      <c r="BB294" s="595"/>
      <c r="BC294" s="595"/>
      <c r="BD294" s="595"/>
      <c r="BE294" s="595"/>
      <c r="BF294" s="595"/>
      <c r="BG294" s="595"/>
      <c r="BH294" s="595"/>
      <c r="BI294" s="651"/>
      <c r="BJ294" s="651"/>
      <c r="BK294" s="651"/>
      <c r="BL294" s="651"/>
      <c r="BM294" s="651"/>
      <c r="BN294" s="651"/>
      <c r="BO294" s="651"/>
      <c r="BP294" s="651"/>
      <c r="BQ294" s="651"/>
      <c r="BR294" s="651"/>
      <c r="BS294" s="651"/>
      <c r="BT294" s="651"/>
    </row>
    <row r="295">
      <c r="A295" s="631"/>
      <c r="B295" s="154" t="str">
        <f>IFERROR(__xludf.DUMMYFUNCTION("IFERROR(
  IF(C295="""","""",
    IF(OR(REGEXMATCH(D295,""(?i)-Flashing""), REGEXMATCH(D295,""(?i)-EavesGut""), REGEXMATCH(D295,""(?i)Valley"")),
        ""DR"" &amp;
        TEXT(
            ROUNDUP(
                MIN(
                    VALUE(MID(C295, "&amp;"FIND(""("",C295)+1, FIND(""/"",C295)-FIND(""("",C295)-1)),
                    1200
                ) / 50, 0
            ) * 50, ""0""
        ) &amp;
        MID(C295, FIND(""/"",C295)+1, FIND("")"",C295)-FIND(""/"",C295)-1) &amp;
        TEXT(H295*100,""0"") &amp;"&amp;"
        I295,
    IF(AND(D295=""Roof Sheet"", REGEXMATCH(C295,""(?i)KS\d{4}[A-Z]{2}"")),
       REGEXEXTRACT(C295,""(?i)KS\d{4}[A-Z]{2}""),
    IF(AND(REGEXMATCH(D295,""(?i)-DP""), REGEXMATCH(C295,""(?i)Downpipe"")),
       ""dp"" &amp; REGEXEXTRACT(C295,""("&amp;"\d+)"") &amp; ""mm"",
    IF(AND(REGEXMATCH(D295,""(?i)Bracket""), REGEXMATCH(C295,""(?i)Bracket"")),
       ""Brkt"" &amp; REGEXEXTRACT(C295,""(\d+)"") &amp; ""mm"",
    IF(AND(REGEXMATCH(D295,""(?i)-OP""), REGEXMATCH(C295,""(?i)pops"")),
       ""op"" &amp; REGEXEXTRAC"&amp;"T(C295,""(\d+)"") &amp; ""mm"",
    IF(OR(D295=""R-FFTop"", D295=""R-FFBottom"", D295=""R-FFSide""),
        IF(REGEXMATCH(C295,""(?i)Profiled.*Top|Top.*Profiled""),""pfft"",
        IF(REGEXMATCH(C295,""(?i)Profiled.*Bottom|Bottom.*Profiled""),""pffb"",
    "&amp;"    IF(REGEXMATCH(C295,""(?i)Square""),""sff"",""""))),
    IF(REGEXMATCH(D295,""(?i)-Rivets""),""Rvt"",
    IF(REGEXMATCH(D295,""(?i)Silicone|Seal""),""300ml"",
    IF(REGEXMATCH(D295,""(?i)R-Butyl""),""300ml"",
    IF(REGEXMATCH(D295,""(?i)Fix""),""GenF"&amp;"ix"",
    IF(AND(REGEXMATCH(C295,""(?i)Timber""), REGEXMATCH(D295,""(?i)Timber"")),""tp"",
    IF(AND(REGEXMATCH(C295,""(?i)Vent G1275""), REGEXMATCH(D295,""(?i)Comb FIller"")),""CFV1275"",
    IF(REGEXMATCH(C295,""(?i)DPC""),""dpc"",
    IF(REGEXMATCH(C2"&amp;"95,""(?i)Concealed Clips""),""ConClips"",
    IF(REGEXMATCH(D295,""(?i)-Takeoff ea""),""Takeoff ea"",
    IF(REGEXMATCH(D295,""(?i)-Takeoff LM""),""Takeoff LM"",
    IF(REGEXMATCH(D295,""(?i)-Takeoff m2""),""Takeoff m2"",
    IF(D295=""R-TU/TD"",""TU/TD"""&amp;","""")))))))))))))))))
  )))"),"")</f>
        <v/>
      </c>
      <c r="C295" s="701"/>
      <c r="D295" s="701"/>
      <c r="E295" s="722"/>
      <c r="F295" s="699"/>
      <c r="G295" s="701"/>
      <c r="H295" s="700"/>
      <c r="I295" s="700"/>
      <c r="J295" s="701"/>
      <c r="K295" s="701" t="str">
        <f>IFERROR(
  IF(B295="", "", VLOOKUP(B295, Data!$B$2:$K$905, 7, FALSE)),
  ""
)</f>
        <v/>
      </c>
      <c r="L295" s="704"/>
      <c r="M295" s="704" t="s">
        <v>42</v>
      </c>
      <c r="N295" s="711" t="str">
        <f>IFERROR(__xludf.DUMMYFUNCTION("IF(B295="""", """", IFERROR(1 / COS(RADIANS(REGEXEXTRACT(F295,""(\d+)""))), 1))"),"")</f>
        <v/>
      </c>
      <c r="O295" s="712"/>
      <c r="P295" s="700"/>
      <c r="Q295" s="712"/>
      <c r="R295" s="681" t="str">
        <f>IFERROR(
  IF(B295="", "", VLOOKUP(B295, Data!$B$2:$K$905, 9, FALSE)),
  ""
)</f>
        <v/>
      </c>
      <c r="S295" s="691"/>
      <c r="T295" s="690"/>
      <c r="U295" s="136" t="str">
        <f>IFERROR(
  IF(B295="", "", VLOOKUP(B295, Data!$B$2:$K$905, 10, FALSE)),
  ""
)
</f>
        <v/>
      </c>
      <c r="V295" s="691"/>
      <c r="W295" s="713"/>
      <c r="X295" s="692"/>
      <c r="Y295" s="595"/>
      <c r="Z295" s="595"/>
      <c r="AA295" s="595"/>
      <c r="AB295" s="354">
        <f t="shared" ref="AB295:AB298" si="229">W295+S295</f>
        <v>0</v>
      </c>
      <c r="AC295" s="181"/>
      <c r="AD295" s="625"/>
      <c r="AE295" s="626"/>
      <c r="AF295" s="696"/>
      <c r="AG295" s="697"/>
      <c r="AH295" s="629"/>
      <c r="AI295" s="187"/>
      <c r="AJ295" s="630"/>
      <c r="AK295" s="630"/>
      <c r="AL295" s="595"/>
      <c r="AM295" s="595"/>
      <c r="AN295" s="595"/>
      <c r="AO295" s="595"/>
      <c r="AP295" s="595"/>
      <c r="AQ295" s="595"/>
      <c r="AR295" s="595"/>
      <c r="AS295" s="595"/>
      <c r="AT295" s="595"/>
      <c r="AU295" s="595"/>
      <c r="AV295" s="595"/>
      <c r="AW295" s="595"/>
      <c r="AX295" s="595"/>
      <c r="AY295" s="595"/>
      <c r="AZ295" s="595"/>
      <c r="BA295" s="595"/>
      <c r="BB295" s="595"/>
      <c r="BC295" s="595"/>
      <c r="BD295" s="595"/>
      <c r="BE295" s="595"/>
      <c r="BF295" s="595"/>
      <c r="BG295" s="595"/>
      <c r="BH295" s="595"/>
      <c r="BI295" s="651"/>
      <c r="BJ295" s="651"/>
      <c r="BK295" s="651"/>
      <c r="BL295" s="651"/>
      <c r="BM295" s="651"/>
      <c r="BN295" s="651"/>
      <c r="BO295" s="651"/>
      <c r="BP295" s="651"/>
      <c r="BQ295" s="651"/>
      <c r="BR295" s="651"/>
      <c r="BS295" s="651"/>
      <c r="BT295" s="651"/>
    </row>
    <row r="296">
      <c r="A296" s="716" t="s">
        <v>491</v>
      </c>
      <c r="B296" s="154" t="str">
        <f>IFERROR(__xludf.DUMMYFUNCTION("IFERROR(
  IF(C296="""","""",
    IF(OR(REGEXMATCH(D296,""(?i)-Flashing""), REGEXMATCH(D296,""(?i)-EavesGut""), REGEXMATCH(D296,""(?i)Valley"")),
        ""DR"" &amp;
        TEXT(
            ROUNDUP(
                MIN(
                    VALUE(MID(C296, "&amp;"FIND(""("",C296)+1, FIND(""/"",C296)-FIND(""("",C296)-1)),
                    1200
                ) / 50, 0
            ) * 50, ""0""
        ) &amp;
        MID(C296, FIND(""/"",C296)+1, FIND("")"",C296)-FIND(""/"",C296)-1) &amp;
        TEXT(H296*100,""0"") &amp;"&amp;"
        I296,
    IF(AND(D296=""Roof Sheet"", REGEXMATCH(C296,""(?i)KS\d{4}[A-Z]{2}"")),
       REGEXEXTRACT(C296,""(?i)KS\d{4}[A-Z]{2}""),
    IF(AND(REGEXMATCH(D296,""(?i)-DP""), REGEXMATCH(C296,""(?i)Downpipe"")),
       ""dp"" &amp; REGEXEXTRACT(C296,""("&amp;"\d+)"") &amp; ""mm"",
    IF(AND(REGEXMATCH(D296,""(?i)Bracket""), REGEXMATCH(C296,""(?i)Bracket"")),
       ""Brkt"" &amp; REGEXEXTRACT(C296,""(\d+)"") &amp; ""mm"",
    IF(AND(REGEXMATCH(D296,""(?i)-OP""), REGEXMATCH(C296,""(?i)pops"")),
       ""op"" &amp; REGEXEXTRAC"&amp;"T(C296,""(\d+)"") &amp; ""mm"",
    IF(OR(D296=""R-FFTop"", D296=""R-FFBottom"", D296=""R-FFSide""),
        IF(REGEXMATCH(C296,""(?i)Profiled.*Top|Top.*Profiled""),""pfft"",
        IF(REGEXMATCH(C296,""(?i)Profiled.*Bottom|Bottom.*Profiled""),""pffb"",
    "&amp;"    IF(REGEXMATCH(C296,""(?i)Square""),""sff"",""""))),
    IF(REGEXMATCH(D296,""(?i)-Rivets""),""Rvt"",
    IF(REGEXMATCH(D296,""(?i)Silicone|Seal""),""300ml"",
    IF(REGEXMATCH(D296,""(?i)R-Butyl""),""300ml"",
    IF(REGEXMATCH(D296,""(?i)Fix""),""GenF"&amp;"ix"",
    IF(AND(REGEXMATCH(C296,""(?i)Timber""), REGEXMATCH(D296,""(?i)Timber"")),""tp"",
    IF(AND(REGEXMATCH(C296,""(?i)Vent G1275""), REGEXMATCH(D296,""(?i)Comb FIller"")),""CFV1275"",
    IF(REGEXMATCH(C296,""(?i)DPC""),""dpc"",
    IF(REGEXMATCH(C2"&amp;"96,""(?i)Concealed Clips""),""ConClips"",
    IF(REGEXMATCH(D296,""(?i)-Takeoff ea""),""Takeoff ea"",
    IF(REGEXMATCH(D296,""(?i)-Takeoff LM""),""Takeoff LM"",
    IF(REGEXMATCH(D296,""(?i)-Takeoff m2""),""Takeoff m2"",
    IF(D296=""R-TU/TD"",""TU/TD"""&amp;","""")))))))))))))))))
  )))"),"op150mm")</f>
        <v>op150mm</v>
      </c>
      <c r="C296" s="123" t="s">
        <v>142</v>
      </c>
      <c r="D296" s="124" t="s">
        <v>143</v>
      </c>
      <c r="E296" s="687">
        <f>IFERROR(__xludf.DUMMYFUNCTION("IF(REGEXMATCH(C296, ""\d+mmØ""), VALUE(REGEXEXTRACT(C296, ""(\d+)mmØ""))/1000, """")
"),0.15)</f>
        <v>0.15</v>
      </c>
      <c r="F296" s="699"/>
      <c r="G296" s="701"/>
      <c r="H296" s="700"/>
      <c r="I296" s="700"/>
      <c r="J296" s="126" t="s">
        <v>87</v>
      </c>
      <c r="K296" s="126" t="str">
        <f>IFERROR(
  IF(B296="", "", VLOOKUP(B296, Data!$B$2:$K$905, 7, FALSE)),
  ""
)</f>
        <v/>
      </c>
      <c r="L296" s="704"/>
      <c r="M296" s="150">
        <v>1.0</v>
      </c>
      <c r="N296" s="151">
        <f>IFERROR(__xludf.DUMMYFUNCTION("IF(B296="""", """", IFERROR(1 / COS(RADIANS(REGEXEXTRACT(F296,""(\d+)""))), 1))"),1.0)</f>
        <v>1</v>
      </c>
      <c r="O296" s="169">
        <f>L293</f>
        <v>7</v>
      </c>
      <c r="P296" s="134">
        <v>1.0</v>
      </c>
      <c r="Q296" s="242">
        <f t="shared" ref="Q296:Q298" si="230">M296*N296*O296*P296</f>
        <v>7</v>
      </c>
      <c r="R296" s="136" t="str">
        <f>IFERROR(
  IF(B296="", "", VLOOKUP(B296, Data!$B$2:$K$905, 9, FALSE)),
  ""
)</f>
        <v/>
      </c>
      <c r="S296" s="152">
        <f t="shared" ref="S296:S298" si="231">R296*Q296</f>
        <v>0</v>
      </c>
      <c r="T296" s="690"/>
      <c r="U296" s="136" t="str">
        <f>IFERROR(
  IF(B296="", "", VLOOKUP(B296, Data!$B$2:$K$905, 10, FALSE)),
  ""
)
</f>
        <v/>
      </c>
      <c r="V296" s="691"/>
      <c r="W296" s="140">
        <f t="shared" ref="W296:W298" si="232">U296*Q296</f>
        <v>0</v>
      </c>
      <c r="X296" s="692"/>
      <c r="Y296" s="595"/>
      <c r="Z296" s="595"/>
      <c r="AA296" s="595"/>
      <c r="AB296" s="354">
        <f t="shared" si="229"/>
        <v>0</v>
      </c>
      <c r="AC296" s="181"/>
      <c r="AD296" s="625"/>
      <c r="AE296" s="626"/>
      <c r="AF296" s="696"/>
      <c r="AG296" s="697"/>
      <c r="AH296" s="629"/>
      <c r="AI296" s="187"/>
      <c r="AJ296" s="630"/>
      <c r="AK296" s="630"/>
      <c r="AL296" s="595"/>
      <c r="AM296" s="595"/>
      <c r="AN296" s="595"/>
      <c r="AO296" s="595"/>
      <c r="AP296" s="595"/>
      <c r="AQ296" s="595"/>
      <c r="AR296" s="595"/>
      <c r="AS296" s="595"/>
      <c r="AT296" s="595"/>
      <c r="AU296" s="595"/>
      <c r="AV296" s="595"/>
      <c r="AW296" s="595"/>
      <c r="AX296" s="595"/>
      <c r="AY296" s="595"/>
      <c r="AZ296" s="595"/>
      <c r="BA296" s="595"/>
      <c r="BB296" s="595"/>
      <c r="BC296" s="595"/>
      <c r="BD296" s="595"/>
      <c r="BE296" s="595"/>
      <c r="BF296" s="595"/>
      <c r="BG296" s="595"/>
      <c r="BH296" s="595"/>
      <c r="BI296" s="651"/>
      <c r="BJ296" s="651"/>
      <c r="BK296" s="651"/>
      <c r="BL296" s="651"/>
      <c r="BM296" s="651"/>
      <c r="BN296" s="651"/>
      <c r="BO296" s="651"/>
      <c r="BP296" s="651"/>
      <c r="BQ296" s="651"/>
      <c r="BR296" s="651"/>
      <c r="BS296" s="651"/>
      <c r="BT296" s="651"/>
    </row>
    <row r="297">
      <c r="A297" s="631"/>
      <c r="B297" s="154" t="str">
        <f>IFERROR(__xludf.DUMMYFUNCTION("IFERROR(
  IF(C297="""","""",
    IF(OR(REGEXMATCH(D297,""(?i)-Flashing""), REGEXMATCH(D297,""(?i)-EavesGut""), REGEXMATCH(D297,""(?i)Valley"")),
        ""DR"" &amp;
        TEXT(
            ROUNDUP(
                MIN(
                    VALUE(MID(C297, "&amp;"FIND(""("",C297)+1, FIND(""/"",C297)-FIND(""("",C297)-1)),
                    1200
                ) / 50, 0
            ) * 50, ""0""
        ) &amp;
        MID(C297, FIND(""/"",C297)+1, FIND("")"",C297)-FIND(""/"",C297)-1) &amp;
        TEXT(H297*100,""0"") &amp;"&amp;"
        I297,
    IF(AND(D297=""Roof Sheet"", REGEXMATCH(C297,""(?i)KS\d{4}[A-Z]{2}"")),
       REGEXEXTRACT(C297,""(?i)KS\d{4}[A-Z]{2}""),
    IF(AND(REGEXMATCH(D297,""(?i)-DP""), REGEXMATCH(C297,""(?i)Downpipe"")),
       ""dp"" &amp; REGEXEXTRACT(C297,""("&amp;"\d+)"") &amp; ""mm"",
    IF(AND(REGEXMATCH(D297,""(?i)Bracket""), REGEXMATCH(C297,""(?i)Bracket"")),
       ""Brkt"" &amp; REGEXEXTRACT(C297,""(\d+)"") &amp; ""mm"",
    IF(AND(REGEXMATCH(D297,""(?i)-OP""), REGEXMATCH(C297,""(?i)pops"")),
       ""op"" &amp; REGEXEXTRAC"&amp;"T(C297,""(\d+)"") &amp; ""mm"",
    IF(OR(D297=""R-FFTop"", D297=""R-FFBottom"", D297=""R-FFSide""),
        IF(REGEXMATCH(C297,""(?i)Profiled.*Top|Top.*Profiled""),""pfft"",
        IF(REGEXMATCH(C297,""(?i)Profiled.*Bottom|Bottom.*Profiled""),""pffb"",
    "&amp;"    IF(REGEXMATCH(C297,""(?i)Square""),""sff"",""""))),
    IF(REGEXMATCH(D297,""(?i)-Rivets""),""Rvt"",
    IF(REGEXMATCH(D297,""(?i)Silicone|Seal""),""300ml"",
    IF(REGEXMATCH(D297,""(?i)R-Butyl""),""300ml"",
    IF(REGEXMATCH(D297,""(?i)Fix""),""GenF"&amp;"ix"",
    IF(AND(REGEXMATCH(C297,""(?i)Timber""), REGEXMATCH(D297,""(?i)Timber"")),""tp"",
    IF(AND(REGEXMATCH(C297,""(?i)Vent G1275""), REGEXMATCH(D297,""(?i)Comb FIller"")),""CFV1275"",
    IF(REGEXMATCH(C297,""(?i)DPC""),""dpc"",
    IF(REGEXMATCH(C2"&amp;"97,""(?i)Concealed Clips""),""ConClips"",
    IF(REGEXMATCH(D297,""(?i)-Takeoff ea""),""Takeoff ea"",
    IF(REGEXMATCH(D297,""(?i)-Takeoff LM""),""Takeoff LM"",
    IF(REGEXMATCH(D297,""(?i)-Takeoff m2""),""Takeoff m2"",
    IF(D297=""R-TU/TD"",""TU/TD"""&amp;","""")))))))))))))))))
  )))"),"300ml")</f>
        <v>300ml</v>
      </c>
      <c r="C297" s="225" t="s">
        <v>98</v>
      </c>
      <c r="D297" s="124" t="s">
        <v>388</v>
      </c>
      <c r="E297" s="687">
        <f>E296</f>
        <v>0.15</v>
      </c>
      <c r="F297" s="699"/>
      <c r="G297" s="701"/>
      <c r="H297" s="700"/>
      <c r="I297" s="700"/>
      <c r="J297" s="126" t="s">
        <v>87</v>
      </c>
      <c r="K297" s="126" t="str">
        <f>IFERROR(
  IF(B297="", "", VLOOKUP(B297, Data!$B$2:$K$905, 7, FALSE)),
  ""
)</f>
        <v/>
      </c>
      <c r="L297" s="704"/>
      <c r="M297" s="150">
        <f>ROUNDUP(3.14*E297,0)/8</f>
        <v>0.125</v>
      </c>
      <c r="N297" s="151">
        <f>IFERROR(__xludf.DUMMYFUNCTION("IF(B297="""", """", IFERROR(1 / COS(RADIANS(REGEXEXTRACT(F297,""(\d+)""))), 1))"),1.0)</f>
        <v>1</v>
      </c>
      <c r="O297" s="169">
        <f>O296</f>
        <v>7</v>
      </c>
      <c r="P297" s="134">
        <v>1.0</v>
      </c>
      <c r="Q297" s="242">
        <f t="shared" si="230"/>
        <v>0.875</v>
      </c>
      <c r="R297" s="136" t="str">
        <f>IFERROR(
  IF(B297="", "", VLOOKUP(B297, Data!$B$2:$K$905, 9, FALSE)),
  ""
)</f>
        <v/>
      </c>
      <c r="S297" s="152">
        <f t="shared" si="231"/>
        <v>0</v>
      </c>
      <c r="T297" s="690"/>
      <c r="U297" s="136" t="str">
        <f>IFERROR(
  IF(B297="", "", VLOOKUP(B297, Data!$B$2:$K$905, 10, FALSE)),
  ""
)
</f>
        <v/>
      </c>
      <c r="V297" s="691"/>
      <c r="W297" s="140">
        <f t="shared" si="232"/>
        <v>0</v>
      </c>
      <c r="X297" s="692"/>
      <c r="Y297" s="595"/>
      <c r="Z297" s="595"/>
      <c r="AA297" s="595"/>
      <c r="AB297" s="354">
        <f t="shared" si="229"/>
        <v>0</v>
      </c>
      <c r="AC297" s="181"/>
      <c r="AD297" s="625"/>
      <c r="AE297" s="626"/>
      <c r="AF297" s="696"/>
      <c r="AG297" s="697"/>
      <c r="AH297" s="629"/>
      <c r="AI297" s="187"/>
      <c r="AJ297" s="630"/>
      <c r="AK297" s="630"/>
      <c r="AL297" s="595"/>
      <c r="AM297" s="595"/>
      <c r="AN297" s="595"/>
      <c r="AO297" s="595"/>
      <c r="AP297" s="595"/>
      <c r="AQ297" s="595"/>
      <c r="AR297" s="595"/>
      <c r="AS297" s="595"/>
      <c r="AT297" s="595"/>
      <c r="AU297" s="595"/>
      <c r="AV297" s="595"/>
      <c r="AW297" s="595"/>
      <c r="AX297" s="595"/>
      <c r="AY297" s="595"/>
      <c r="AZ297" s="595"/>
      <c r="BA297" s="595"/>
      <c r="BB297" s="595"/>
      <c r="BC297" s="595"/>
      <c r="BD297" s="595"/>
      <c r="BE297" s="595"/>
      <c r="BF297" s="595"/>
      <c r="BG297" s="595"/>
      <c r="BH297" s="595"/>
      <c r="BI297" s="651"/>
      <c r="BJ297" s="651"/>
      <c r="BK297" s="651"/>
      <c r="BL297" s="651"/>
      <c r="BM297" s="651"/>
      <c r="BN297" s="651"/>
      <c r="BO297" s="651"/>
      <c r="BP297" s="651"/>
      <c r="BQ297" s="651"/>
      <c r="BR297" s="651"/>
      <c r="BS297" s="651"/>
      <c r="BT297" s="651"/>
    </row>
    <row r="298">
      <c r="A298" s="631"/>
      <c r="B298" s="154" t="str">
        <f>IFERROR(__xludf.DUMMYFUNCTION("IFERROR(
  IF(C298="""","""",
    IF(OR(REGEXMATCH(D298,""(?i)-Flashing""), REGEXMATCH(D298,""(?i)-EavesGut""), REGEXMATCH(D298,""(?i)Valley"")),
        ""DR"" &amp;
        TEXT(
            ROUNDUP(
                MIN(
                    VALUE(MID(C298, "&amp;"FIND(""("",C298)+1, FIND(""/"",C298)-FIND(""("",C298)-1)),
                    1200
                ) / 50, 0
            ) * 50, ""0""
        ) &amp;
        MID(C298, FIND(""/"",C298)+1, FIND("")"",C298)-FIND(""/"",C298)-1) &amp;
        TEXT(H298*100,""0"") &amp;"&amp;"
        I298,
    IF(AND(D298=""Roof Sheet"", REGEXMATCH(C298,""(?i)KS\d{4}[A-Z]{2}"")),
       REGEXEXTRACT(C298,""(?i)KS\d{4}[A-Z]{2}""),
    IF(AND(REGEXMATCH(D298,""(?i)-DP""), REGEXMATCH(C298,""(?i)Downpipe"")),
       ""dp"" &amp; REGEXEXTRACT(C298,""("&amp;"\d+)"") &amp; ""mm"",
    IF(AND(REGEXMATCH(D298,""(?i)Bracket""), REGEXMATCH(C298,""(?i)Bracket"")),
       ""Brkt"" &amp; REGEXEXTRACT(C298,""(\d+)"") &amp; ""mm"",
    IF(AND(REGEXMATCH(D298,""(?i)-OP""), REGEXMATCH(C298,""(?i)pops"")),
       ""op"" &amp; REGEXEXTRAC"&amp;"T(C298,""(\d+)"") &amp; ""mm"",
    IF(OR(D298=""R-FFTop"", D298=""R-FFBottom"", D298=""R-FFSide""),
        IF(REGEXMATCH(C298,""(?i)Profiled.*Top|Top.*Profiled""),""pfft"",
        IF(REGEXMATCH(C298,""(?i)Profiled.*Bottom|Bottom.*Profiled""),""pffb"",
    "&amp;"    IF(REGEXMATCH(C298,""(?i)Square""),""sff"",""""))),
    IF(REGEXMATCH(D298,""(?i)-Rivets""),""Rvt"",
    IF(REGEXMATCH(D298,""(?i)Silicone|Seal""),""300ml"",
    IF(REGEXMATCH(D298,""(?i)R-Butyl""),""300ml"",
    IF(REGEXMATCH(D298,""(?i)Fix""),""GenF"&amp;"ix"",
    IF(AND(REGEXMATCH(C298,""(?i)Timber""), REGEXMATCH(D298,""(?i)Timber"")),""tp"",
    IF(AND(REGEXMATCH(C298,""(?i)Vent G1275""), REGEXMATCH(D298,""(?i)Comb FIller"")),""CFV1275"",
    IF(REGEXMATCH(C298,""(?i)DPC""),""dpc"",
    IF(REGEXMATCH(C2"&amp;"98,""(?i)Concealed Clips""),""ConClips"",
    IF(REGEXMATCH(D298,""(?i)-Takeoff ea""),""Takeoff ea"",
    IF(REGEXMATCH(D298,""(?i)-Takeoff LM""),""Takeoff LM"",
    IF(REGEXMATCH(D298,""(?i)-Takeoff m2""),""Takeoff m2"",
    IF(D298=""R-TU/TD"",""TU/TD"""&amp;","""")))))))))))))))))
  )))"),"GenFix")</f>
        <v>GenFix</v>
      </c>
      <c r="C298" s="225" t="s">
        <v>102</v>
      </c>
      <c r="D298" s="124" t="s">
        <v>144</v>
      </c>
      <c r="E298" s="687">
        <f>E296</f>
        <v>0.15</v>
      </c>
      <c r="F298" s="699"/>
      <c r="G298" s="701"/>
      <c r="H298" s="700"/>
      <c r="I298" s="700"/>
      <c r="J298" s="126" t="s">
        <v>87</v>
      </c>
      <c r="K298" s="126" t="str">
        <f>IFERROR(
  IF(B298="", "", VLOOKUP(B298, Data!$B$2:$K$905, 7, FALSE)),
  ""
)</f>
        <v/>
      </c>
      <c r="L298" s="704"/>
      <c r="M298" s="150">
        <f>ROUNDUP(3.14*E298,0)/0.05</f>
        <v>20</v>
      </c>
      <c r="N298" s="151">
        <f>IFERROR(__xludf.DUMMYFUNCTION("IF(B298="""", """", IFERROR(1 / COS(RADIANS(REGEXEXTRACT(F298,""(\d+)""))), 1))"),1.0)</f>
        <v>1</v>
      </c>
      <c r="O298" s="169">
        <f>O296</f>
        <v>7</v>
      </c>
      <c r="P298" s="134">
        <v>1.0</v>
      </c>
      <c r="Q298" s="242">
        <f t="shared" si="230"/>
        <v>140</v>
      </c>
      <c r="R298" s="136" t="str">
        <f>IFERROR(
  IF(B298="", "", VLOOKUP(B298, Data!$B$2:$K$905, 9, FALSE)),
  ""
)</f>
        <v/>
      </c>
      <c r="S298" s="152">
        <f t="shared" si="231"/>
        <v>0</v>
      </c>
      <c r="T298" s="690"/>
      <c r="U298" s="136" t="str">
        <f>IFERROR(
  IF(B298="", "", VLOOKUP(B298, Data!$B$2:$K$905, 10, FALSE)),
  ""
)
</f>
        <v/>
      </c>
      <c r="V298" s="691"/>
      <c r="W298" s="140">
        <f t="shared" si="232"/>
        <v>0</v>
      </c>
      <c r="X298" s="692"/>
      <c r="Y298" s="595"/>
      <c r="Z298" s="595"/>
      <c r="AA298" s="595"/>
      <c r="AB298" s="354">
        <f t="shared" si="229"/>
        <v>0</v>
      </c>
      <c r="AC298" s="181"/>
      <c r="AD298" s="625"/>
      <c r="AE298" s="626"/>
      <c r="AF298" s="696"/>
      <c r="AG298" s="697"/>
      <c r="AH298" s="629"/>
      <c r="AI298" s="187"/>
      <c r="AJ298" s="630"/>
      <c r="AK298" s="630"/>
      <c r="AL298" s="595"/>
      <c r="AM298" s="595"/>
      <c r="AN298" s="595"/>
      <c r="AO298" s="595"/>
      <c r="AP298" s="595"/>
      <c r="AQ298" s="595"/>
      <c r="AR298" s="595"/>
      <c r="AS298" s="595"/>
      <c r="AT298" s="595"/>
      <c r="AU298" s="595"/>
      <c r="AV298" s="595"/>
      <c r="AW298" s="595"/>
      <c r="AX298" s="595"/>
      <c r="AY298" s="595"/>
      <c r="AZ298" s="595"/>
      <c r="BA298" s="595"/>
      <c r="BB298" s="595"/>
      <c r="BC298" s="595"/>
      <c r="BD298" s="595"/>
      <c r="BE298" s="595"/>
      <c r="BF298" s="595"/>
      <c r="BG298" s="595"/>
      <c r="BH298" s="595"/>
      <c r="BI298" s="651"/>
      <c r="BJ298" s="651"/>
      <c r="BK298" s="651"/>
      <c r="BL298" s="651"/>
      <c r="BM298" s="651"/>
      <c r="BN298" s="651"/>
      <c r="BO298" s="651"/>
      <c r="BP298" s="651"/>
      <c r="BQ298" s="651"/>
      <c r="BR298" s="651"/>
      <c r="BS298" s="651"/>
      <c r="BT298" s="651"/>
    </row>
    <row r="299">
      <c r="A299" s="631"/>
      <c r="B299" s="154"/>
      <c r="C299" s="700"/>
      <c r="D299" s="701"/>
      <c r="E299" s="722"/>
      <c r="F299" s="699"/>
      <c r="G299" s="701"/>
      <c r="H299" s="700"/>
      <c r="I299" s="700"/>
      <c r="J299" s="701"/>
      <c r="K299" s="701"/>
      <c r="L299" s="704"/>
      <c r="M299" s="704"/>
      <c r="N299" s="711"/>
      <c r="O299" s="712"/>
      <c r="P299" s="700"/>
      <c r="Q299" s="712"/>
      <c r="R299" s="681" t="str">
        <f>IFERROR(
  IF(B299="", "", VLOOKUP(B299, Data!$B$2:$K$905, 9, FALSE)),
  ""
)</f>
        <v/>
      </c>
      <c r="S299" s="691"/>
      <c r="T299" s="690"/>
      <c r="U299" s="136" t="str">
        <f>IFERROR(
  IF(B299="", "", VLOOKUP(B299, Data!$B$2:$K$905, 10, FALSE)),
  ""
)
</f>
        <v/>
      </c>
      <c r="V299" s="691"/>
      <c r="W299" s="713"/>
      <c r="X299" s="692"/>
      <c r="Y299" s="595"/>
      <c r="Z299" s="595"/>
      <c r="AA299" s="595"/>
      <c r="AB299" s="595"/>
      <c r="AC299" s="181"/>
      <c r="AD299" s="625"/>
      <c r="AE299" s="626"/>
      <c r="AF299" s="696"/>
      <c r="AG299" s="697"/>
      <c r="AH299" s="629"/>
      <c r="AI299" s="187"/>
      <c r="AJ299" s="630"/>
      <c r="AK299" s="630"/>
      <c r="AL299" s="595"/>
      <c r="AM299" s="595"/>
      <c r="AN299" s="595"/>
      <c r="AO299" s="595"/>
      <c r="AP299" s="595"/>
      <c r="AQ299" s="595"/>
      <c r="AR299" s="595"/>
      <c r="AS299" s="595"/>
      <c r="AT299" s="595"/>
      <c r="AU299" s="595"/>
      <c r="AV299" s="595"/>
      <c r="AW299" s="595"/>
      <c r="AX299" s="595"/>
      <c r="AY299" s="595"/>
      <c r="AZ299" s="595"/>
      <c r="BA299" s="595"/>
      <c r="BB299" s="595"/>
      <c r="BC299" s="595"/>
      <c r="BD299" s="595"/>
      <c r="BE299" s="595"/>
      <c r="BF299" s="595"/>
      <c r="BG299" s="595"/>
      <c r="BH299" s="595"/>
      <c r="BI299" s="651"/>
      <c r="BJ299" s="651"/>
      <c r="BK299" s="651"/>
      <c r="BL299" s="651"/>
      <c r="BM299" s="651"/>
      <c r="BN299" s="651"/>
      <c r="BO299" s="651"/>
      <c r="BP299" s="651"/>
      <c r="BQ299" s="651"/>
      <c r="BR299" s="651"/>
      <c r="BS299" s="651"/>
      <c r="BT299" s="651"/>
    </row>
    <row r="300">
      <c r="A300" s="631">
        <v>1.0</v>
      </c>
      <c r="B300" s="761" t="s">
        <v>423</v>
      </c>
      <c r="C300" s="251" t="s">
        <v>510</v>
      </c>
      <c r="D300" s="633"/>
      <c r="E300" s="634"/>
      <c r="F300" s="635"/>
      <c r="G300" s="633"/>
      <c r="H300" s="633"/>
      <c r="I300" s="637"/>
      <c r="J300" s="633"/>
      <c r="K300" s="633"/>
      <c r="L300" s="637"/>
      <c r="M300" s="637"/>
      <c r="N300" s="639"/>
      <c r="O300" s="637"/>
      <c r="P300" s="633"/>
      <c r="Q300" s="640"/>
      <c r="R300" s="681" t="str">
        <f>IFERROR(
  IF(B300="", "", VLOOKUP(B300, Data!$B$2:$K$905, 9, FALSE)),
  ""
)</f>
        <v/>
      </c>
      <c r="S300" s="642"/>
      <c r="T300" s="640"/>
      <c r="U300" s="136" t="str">
        <f>IFERROR(
  IF(B300="", "", VLOOKUP(B300, Data!$B$2:$K$905, 10, FALSE)),
  ""
)
</f>
        <v/>
      </c>
      <c r="V300" s="642"/>
      <c r="W300" s="643"/>
      <c r="X300" s="762"/>
      <c r="Y300" s="649"/>
      <c r="Z300" s="649"/>
      <c r="AA300" s="649"/>
      <c r="AB300" s="649"/>
      <c r="AC300" s="602"/>
      <c r="AD300" s="644"/>
      <c r="AE300" s="645"/>
      <c r="AF300" s="646"/>
      <c r="AG300" s="763"/>
      <c r="AH300" s="648"/>
      <c r="AI300" s="649"/>
      <c r="AJ300" s="650"/>
      <c r="AK300" s="650"/>
      <c r="AL300" s="595"/>
      <c r="AM300" s="595"/>
      <c r="AN300" s="595"/>
      <c r="AO300" s="595"/>
      <c r="AP300" s="595"/>
      <c r="AQ300" s="595"/>
      <c r="AR300" s="595"/>
      <c r="AS300" s="595"/>
      <c r="AT300" s="595"/>
      <c r="AU300" s="595"/>
      <c r="AV300" s="595"/>
      <c r="AW300" s="595"/>
      <c r="AX300" s="595"/>
      <c r="AY300" s="595"/>
      <c r="AZ300" s="595"/>
      <c r="BA300" s="595"/>
      <c r="BB300" s="595"/>
      <c r="BC300" s="595"/>
      <c r="BD300" s="595"/>
      <c r="BE300" s="595"/>
      <c r="BF300" s="595"/>
      <c r="BG300" s="595"/>
      <c r="BH300" s="595"/>
      <c r="BI300" s="651"/>
      <c r="BJ300" s="651"/>
      <c r="BK300" s="651"/>
      <c r="BL300" s="651"/>
      <c r="BM300" s="651"/>
      <c r="BN300" s="651"/>
      <c r="BO300" s="651"/>
      <c r="BP300" s="651"/>
      <c r="BQ300" s="651"/>
      <c r="BR300" s="651"/>
      <c r="BS300" s="651"/>
      <c r="BT300" s="651"/>
    </row>
    <row r="301">
      <c r="A301" s="631">
        <v>1.0</v>
      </c>
      <c r="B301" s="764" t="s">
        <v>425</v>
      </c>
      <c r="C301" s="89" t="s">
        <v>36</v>
      </c>
      <c r="D301" s="656"/>
      <c r="E301" s="654"/>
      <c r="F301" s="655"/>
      <c r="G301" s="656"/>
      <c r="H301" s="656"/>
      <c r="I301" s="656"/>
      <c r="J301" s="656"/>
      <c r="K301" s="656"/>
      <c r="L301" s="658"/>
      <c r="M301" s="658"/>
      <c r="N301" s="659"/>
      <c r="O301" s="658"/>
      <c r="P301" s="656"/>
      <c r="Q301" s="658"/>
      <c r="R301" s="681" t="str">
        <f>IFERROR(
  IF(B301="", "", VLOOKUP(B301, Data!$B$2:$K$905, 9, FALSE)),
  ""
)</f>
        <v/>
      </c>
      <c r="S301" s="662"/>
      <c r="T301" s="661"/>
      <c r="U301" s="136" t="str">
        <f>IFERROR(
  IF(B301="", "", VLOOKUP(B301, Data!$B$2:$K$905, 10, FALSE)),
  ""
)
</f>
        <v/>
      </c>
      <c r="V301" s="662"/>
      <c r="W301" s="663"/>
      <c r="X301" s="664"/>
      <c r="Y301" s="665"/>
      <c r="Z301" s="665"/>
      <c r="AA301" s="665"/>
      <c r="AB301" s="665"/>
      <c r="AC301" s="667"/>
      <c r="AD301" s="668"/>
      <c r="AE301" s="669"/>
      <c r="AF301" s="670"/>
      <c r="AG301" s="715"/>
      <c r="AH301" s="672"/>
      <c r="AI301" s="665"/>
      <c r="AJ301" s="673"/>
      <c r="AK301" s="673"/>
      <c r="AL301" s="595"/>
      <c r="AM301" s="595"/>
      <c r="AN301" s="595"/>
      <c r="AO301" s="595"/>
      <c r="AP301" s="595"/>
      <c r="AQ301" s="595"/>
      <c r="AR301" s="595"/>
      <c r="AS301" s="595"/>
      <c r="AT301" s="595"/>
      <c r="AU301" s="595"/>
      <c r="AV301" s="595"/>
      <c r="AW301" s="595"/>
      <c r="AX301" s="595"/>
      <c r="AY301" s="595"/>
      <c r="AZ301" s="595"/>
      <c r="BA301" s="595"/>
      <c r="BB301" s="595"/>
      <c r="BC301" s="595"/>
      <c r="BD301" s="595"/>
      <c r="BE301" s="595"/>
      <c r="BF301" s="595"/>
      <c r="BG301" s="595"/>
      <c r="BH301" s="595"/>
      <c r="BI301" s="651"/>
      <c r="BJ301" s="651"/>
      <c r="BK301" s="651"/>
      <c r="BL301" s="651"/>
      <c r="BM301" s="651"/>
      <c r="BN301" s="651"/>
      <c r="BO301" s="651"/>
      <c r="BP301" s="651"/>
      <c r="BQ301" s="651"/>
      <c r="BR301" s="651"/>
      <c r="BS301" s="651"/>
      <c r="BT301" s="651"/>
    </row>
    <row r="302">
      <c r="A302" s="631">
        <v>1.0</v>
      </c>
      <c r="B302" s="727"/>
      <c r="C302" s="103" t="s">
        <v>511</v>
      </c>
      <c r="D302" s="675"/>
      <c r="E302" s="676"/>
      <c r="F302" s="677"/>
      <c r="G302" s="678"/>
      <c r="H302" s="678"/>
      <c r="I302" s="678"/>
      <c r="J302" s="678"/>
      <c r="K302" s="678"/>
      <c r="L302" s="106" t="str">
        <f>Q302</f>
        <v>#REF!</v>
      </c>
      <c r="M302" s="679"/>
      <c r="N302" s="680"/>
      <c r="O302" s="679"/>
      <c r="P302" s="678"/>
      <c r="Q302" s="106" t="str">
        <f>Q303+Q308+Q312</f>
        <v>#REF!</v>
      </c>
      <c r="R302" s="681" t="str">
        <f>IFERROR(
  IF(B302="", "", VLOOKUP(B302, Data!$B$2:$K$905, 9, FALSE)),
  ""
)</f>
        <v/>
      </c>
      <c r="S302" s="682">
        <f>IFERROR(T302/Q302, 0)</f>
        <v>0</v>
      </c>
      <c r="T302" s="109" t="str">
        <f>SUM(S303:S315)</f>
        <v>#REF!</v>
      </c>
      <c r="U302" s="136" t="str">
        <f>IFERROR(
  IF(B302="", "", VLOOKUP(B302, Data!$B$2:$K$905, 10, FALSE)),
  ""
)
</f>
        <v/>
      </c>
      <c r="V302" s="109" t="str">
        <f>iferror(W302/Q302,"")</f>
        <v/>
      </c>
      <c r="W302" s="110" t="str">
        <f>SUM(W303:W315)</f>
        <v>#REF!</v>
      </c>
      <c r="X302" s="111" t="str">
        <f>W302/$AC$758/$W$765/$X$755</f>
        <v>#REF!</v>
      </c>
      <c r="Y302" s="112" t="str">
        <f>(T302+W302)=(SUM(AB303:AB315))</f>
        <v>#REF!</v>
      </c>
      <c r="Z302" s="113" t="str">
        <f>(T302+W302)-(SUM(AB303:AB315))</f>
        <v>#REF!</v>
      </c>
      <c r="AA302" s="595"/>
      <c r="AB302" s="595"/>
      <c r="AC302" s="181"/>
      <c r="AD302" s="114" t="str">
        <f>W302+T302</f>
        <v>#REF!</v>
      </c>
      <c r="AE302" s="115" t="str">
        <f>AD302</f>
        <v>#REF!</v>
      </c>
      <c r="AF302" s="116" t="str">
        <f>AE302/$AE$733</f>
        <v>#REF!</v>
      </c>
      <c r="AG302" s="683" t="str">
        <f>AF302*$AG$740</f>
        <v>#REF!</v>
      </c>
      <c r="AH302" s="118" t="str">
        <f>AF302*$AG$743</f>
        <v>#REF!</v>
      </c>
      <c r="AI302" s="187"/>
      <c r="AJ302" s="119" t="str">
        <f>ROUND(AK302/L302,2)</f>
        <v>#REF!</v>
      </c>
      <c r="AK302" s="119" t="str">
        <f>ROUND(AH302+AG302+AD302,2)</f>
        <v>#REF!</v>
      </c>
      <c r="AL302" s="595"/>
      <c r="AM302" s="595"/>
      <c r="AN302" s="595"/>
      <c r="AO302" s="595"/>
      <c r="AP302" s="595"/>
      <c r="AQ302" s="595"/>
      <c r="AR302" s="595"/>
      <c r="AS302" s="595"/>
      <c r="AT302" s="595"/>
      <c r="AU302" s="595"/>
      <c r="AV302" s="595"/>
      <c r="AW302" s="595"/>
      <c r="AX302" s="595"/>
      <c r="AY302" s="595"/>
      <c r="AZ302" s="595"/>
      <c r="BA302" s="595"/>
      <c r="BB302" s="595"/>
      <c r="BC302" s="595"/>
      <c r="BD302" s="595"/>
      <c r="BE302" s="595"/>
      <c r="BF302" s="595"/>
      <c r="BG302" s="595"/>
      <c r="BH302" s="595"/>
      <c r="BI302" s="651"/>
      <c r="BJ302" s="651"/>
      <c r="BK302" s="651"/>
      <c r="BL302" s="651"/>
      <c r="BM302" s="651"/>
      <c r="BN302" s="651"/>
      <c r="BO302" s="651"/>
      <c r="BP302" s="651"/>
      <c r="BQ302" s="651"/>
      <c r="BR302" s="651"/>
      <c r="BS302" s="651"/>
      <c r="BT302" s="651"/>
    </row>
    <row r="303">
      <c r="A303" s="631"/>
      <c r="B303" s="765" t="s">
        <v>427</v>
      </c>
      <c r="C303" s="123" t="s">
        <v>500</v>
      </c>
      <c r="D303" s="686" t="s">
        <v>40</v>
      </c>
      <c r="E303" s="687" t="str">
        <f>IFERROR(__xludf.DUMMYFUNCTION("IF($B$15:$B1153="""","""",
  VLOOKUP(
    $B$15:$B1153,
    QUERY(
      IMPORTRANGE(""1Ag27m9YF5mMfJh2E6NipJDFvPLlDI1p-s_1XEnzMHcc"",""Merge!F2:R""),
      ""select Col1, Col11"",
      0
    ),
    2,
    FALSE
  )
)
"),"#REF!")</f>
        <v>#REF!</v>
      </c>
      <c r="F303" s="699"/>
      <c r="G303" s="689" t="s">
        <v>512</v>
      </c>
      <c r="H303" s="128" t="str">
        <f>IFERROR(__xludf.DUMMYFUNCTION("IFERROR(REGEXEXTRACT(C303, ""(\d*\.\d+)mm""), """")"),"0.55")</f>
        <v>0.55</v>
      </c>
      <c r="I303" s="701"/>
      <c r="J303" s="126" t="s">
        <v>14</v>
      </c>
      <c r="K303" s="126" t="str">
        <f>IFERROR(
  IF(B303="", "", VLOOKUP(B303, Data!$B$2:$K$905, 7, FALSE)),
  ""
)</f>
        <v/>
      </c>
      <c r="L303" s="131">
        <v>1427.56</v>
      </c>
      <c r="M303" s="135" t="str">
        <f>L303*E303</f>
        <v>#REF!</v>
      </c>
      <c r="N303" s="151">
        <f>IFERROR(__xludf.DUMMYFUNCTION("IF(B303="""", """", IFERROR(1 / COS(RADIANS(REGEXEXTRACT(F303,""(\d+)""))), 1))"),1.0)</f>
        <v>1</v>
      </c>
      <c r="O303" s="169">
        <v>1.0</v>
      </c>
      <c r="P303" s="134">
        <v>1.0</v>
      </c>
      <c r="Q303" s="135" t="str">
        <f t="shared" ref="Q303:Q306" si="233">M303*N303*O303*P303</f>
        <v>#REF!</v>
      </c>
      <c r="R303" s="681" t="str">
        <f>IFERROR(
  IF(B303="", "", VLOOKUP(B303, Data!$B$2:$K$905, 9, FALSE)),
  ""
)</f>
        <v/>
      </c>
      <c r="S303" s="152" t="str">
        <f t="shared" ref="S303:S306" si="234">R303*Q303</f>
        <v>#REF!</v>
      </c>
      <c r="T303" s="690"/>
      <c r="U303" s="681" t="str">
        <f>IFERROR(
  IF(B303="", "", VLOOKUP(B303, Data!$B$2:$K$905, 10, FALSE)),
  ""
)
</f>
        <v/>
      </c>
      <c r="V303" s="691"/>
      <c r="W303" s="140" t="str">
        <f t="shared" ref="W303:W306" si="235">U303*Q303</f>
        <v>#REF!</v>
      </c>
      <c r="X303" s="692"/>
      <c r="Y303" s="693"/>
      <c r="Z303" s="694"/>
      <c r="AA303" s="695"/>
      <c r="AB303" s="354" t="str">
        <f t="shared" ref="AB303:AB305" si="236">W303+S303</f>
        <v>#REF!</v>
      </c>
      <c r="AC303" s="181"/>
      <c r="AD303" s="625"/>
      <c r="AE303" s="626"/>
      <c r="AF303" s="696"/>
      <c r="AG303" s="697"/>
      <c r="AH303" s="629"/>
      <c r="AI303" s="187"/>
      <c r="AJ303" s="630"/>
      <c r="AK303" s="630"/>
      <c r="AL303" s="595"/>
      <c r="AM303" s="595"/>
      <c r="AN303" s="595"/>
      <c r="AO303" s="595"/>
      <c r="AP303" s="595"/>
      <c r="AQ303" s="595"/>
      <c r="AR303" s="595"/>
      <c r="AS303" s="595"/>
      <c r="AT303" s="595"/>
      <c r="AU303" s="595"/>
      <c r="AV303" s="595"/>
      <c r="AW303" s="595"/>
      <c r="AX303" s="595"/>
      <c r="AY303" s="595"/>
      <c r="AZ303" s="595"/>
      <c r="BA303" s="595"/>
      <c r="BB303" s="595"/>
      <c r="BC303" s="595"/>
      <c r="BD303" s="595"/>
      <c r="BE303" s="595"/>
      <c r="BF303" s="595"/>
      <c r="BG303" s="595"/>
      <c r="BH303" s="595"/>
      <c r="BI303" s="651"/>
      <c r="BJ303" s="651"/>
      <c r="BK303" s="651"/>
      <c r="BL303" s="651"/>
      <c r="BM303" s="651"/>
      <c r="BN303" s="651"/>
      <c r="BO303" s="651"/>
      <c r="BP303" s="651"/>
      <c r="BQ303" s="651"/>
      <c r="BR303" s="651"/>
      <c r="BS303" s="651"/>
      <c r="BT303" s="651"/>
    </row>
    <row r="304">
      <c r="A304" s="631"/>
      <c r="B304" s="765" t="s">
        <v>430</v>
      </c>
      <c r="C304" s="158" t="s">
        <v>431</v>
      </c>
      <c r="D304" s="148" t="s">
        <v>432</v>
      </c>
      <c r="E304" s="755">
        <v>2.4</v>
      </c>
      <c r="F304" s="699"/>
      <c r="G304" s="700"/>
      <c r="H304" s="700" t="str">
        <f>IFERROR(__xludf.DUMMYFUNCTION("IFERROR(REGEXEXTRACT(C304, ""(\d*\.\d+)mm""), """")"),"")</f>
        <v/>
      </c>
      <c r="I304" s="701"/>
      <c r="J304" s="126" t="s">
        <v>87</v>
      </c>
      <c r="K304" s="126" t="str">
        <f>IFERROR(
  IF(B304="", "", VLOOKUP(B304, Data!$B$2:$K$905, 7, FALSE)),
  ""
)</f>
        <v/>
      </c>
      <c r="L304" s="704"/>
      <c r="M304" s="150">
        <f>roundup(L303/E304,0)+1</f>
        <v>596</v>
      </c>
      <c r="N304" s="151">
        <f t="shared" ref="N304:N306" si="237">N303</f>
        <v>1</v>
      </c>
      <c r="O304" s="169">
        <v>1.0</v>
      </c>
      <c r="P304" s="134">
        <v>1.0</v>
      </c>
      <c r="Q304" s="135">
        <f t="shared" si="233"/>
        <v>596</v>
      </c>
      <c r="R304" s="681" t="str">
        <f>IFERROR(
  IF(B304="", "", VLOOKUP(B304, Data!$B$2:$K$905, 9, FALSE)),
  ""
)</f>
        <v/>
      </c>
      <c r="S304" s="152">
        <f t="shared" si="234"/>
        <v>0</v>
      </c>
      <c r="T304" s="690"/>
      <c r="U304" s="681" t="str">
        <f>IFERROR(
  IF(B304="", "", VLOOKUP(B304, Data!$B$2:$K$905, 10, FALSE)),
  ""
)
</f>
        <v/>
      </c>
      <c r="V304" s="691"/>
      <c r="W304" s="140">
        <f t="shared" si="235"/>
        <v>0</v>
      </c>
      <c r="X304" s="692"/>
      <c r="Y304" s="693"/>
      <c r="Z304" s="694"/>
      <c r="AA304" s="695"/>
      <c r="AB304" s="354">
        <f t="shared" si="236"/>
        <v>0</v>
      </c>
      <c r="AC304" s="181"/>
      <c r="AD304" s="625"/>
      <c r="AE304" s="626"/>
      <c r="AF304" s="696"/>
      <c r="AG304" s="697"/>
      <c r="AH304" s="629"/>
      <c r="AI304" s="187"/>
      <c r="AJ304" s="630"/>
      <c r="AK304" s="630"/>
      <c r="AL304" s="595"/>
      <c r="AM304" s="595"/>
      <c r="AN304" s="595"/>
      <c r="AO304" s="595"/>
      <c r="AP304" s="595"/>
      <c r="AQ304" s="595"/>
      <c r="AR304" s="595"/>
      <c r="AS304" s="595"/>
      <c r="AT304" s="595"/>
      <c r="AU304" s="595"/>
      <c r="AV304" s="595"/>
      <c r="AW304" s="595"/>
      <c r="AX304" s="595"/>
      <c r="AY304" s="595"/>
      <c r="AZ304" s="595"/>
      <c r="BA304" s="595"/>
      <c r="BB304" s="595"/>
      <c r="BC304" s="595"/>
      <c r="BD304" s="595"/>
      <c r="BE304" s="595"/>
      <c r="BF304" s="595"/>
      <c r="BG304" s="595"/>
      <c r="BH304" s="595"/>
      <c r="BI304" s="651"/>
      <c r="BJ304" s="651"/>
      <c r="BK304" s="651"/>
      <c r="BL304" s="651"/>
      <c r="BM304" s="651"/>
      <c r="BN304" s="651"/>
      <c r="BO304" s="651"/>
      <c r="BP304" s="651"/>
      <c r="BQ304" s="651"/>
      <c r="BR304" s="651"/>
      <c r="BS304" s="651"/>
      <c r="BT304" s="651"/>
    </row>
    <row r="305">
      <c r="A305" s="631"/>
      <c r="B305" s="765" t="s">
        <v>433</v>
      </c>
      <c r="C305" s="701" t="s">
        <v>434</v>
      </c>
      <c r="D305" s="686" t="s">
        <v>360</v>
      </c>
      <c r="E305" s="687"/>
      <c r="F305" s="699"/>
      <c r="G305" s="700"/>
      <c r="H305" s="700"/>
      <c r="I305" s="701"/>
      <c r="J305" s="126" t="s">
        <v>87</v>
      </c>
      <c r="K305" s="126" t="str">
        <f>IFERROR(
  IF(B305="", "", VLOOKUP(B305, Data!$B$2:$K$905, 7, FALSE)),
  ""
)</f>
        <v/>
      </c>
      <c r="L305" s="704"/>
      <c r="M305" s="150">
        <f>M304*2</f>
        <v>1192</v>
      </c>
      <c r="N305" s="151">
        <f t="shared" si="237"/>
        <v>1</v>
      </c>
      <c r="O305" s="169">
        <v>1.0</v>
      </c>
      <c r="P305" s="134">
        <v>1.0</v>
      </c>
      <c r="Q305" s="135">
        <f t="shared" si="233"/>
        <v>1192</v>
      </c>
      <c r="R305" s="681" t="str">
        <f>IFERROR(
  IF(B305="", "", VLOOKUP(B305, Data!$B$2:$K$905, 9, FALSE)),
  ""
)</f>
        <v/>
      </c>
      <c r="S305" s="152">
        <f t="shared" si="234"/>
        <v>0</v>
      </c>
      <c r="T305" s="690"/>
      <c r="U305" s="681" t="str">
        <f>IFERROR(
  IF(B305="", "", VLOOKUP(B305, Data!$B$2:$K$905, 10, FALSE)),
  ""
)
</f>
        <v/>
      </c>
      <c r="V305" s="691"/>
      <c r="W305" s="140">
        <f t="shared" si="235"/>
        <v>0</v>
      </c>
      <c r="X305" s="692"/>
      <c r="Y305" s="693"/>
      <c r="Z305" s="694"/>
      <c r="AA305" s="695"/>
      <c r="AB305" s="354">
        <f t="shared" si="236"/>
        <v>0</v>
      </c>
      <c r="AC305" s="181"/>
      <c r="AD305" s="625"/>
      <c r="AE305" s="626"/>
      <c r="AF305" s="696"/>
      <c r="AG305" s="697"/>
      <c r="AH305" s="629"/>
      <c r="AI305" s="187"/>
      <c r="AJ305" s="630"/>
      <c r="AK305" s="630"/>
      <c r="AL305" s="595"/>
      <c r="AM305" s="595"/>
      <c r="AN305" s="595"/>
      <c r="AO305" s="595"/>
      <c r="AP305" s="595"/>
      <c r="AQ305" s="595"/>
      <c r="AR305" s="595"/>
      <c r="AS305" s="595"/>
      <c r="AT305" s="595"/>
      <c r="AU305" s="595"/>
      <c r="AV305" s="595"/>
      <c r="AW305" s="595"/>
      <c r="AX305" s="595"/>
      <c r="AY305" s="595"/>
      <c r="AZ305" s="595"/>
      <c r="BA305" s="595"/>
      <c r="BB305" s="595"/>
      <c r="BC305" s="595"/>
      <c r="BD305" s="595"/>
      <c r="BE305" s="595"/>
      <c r="BF305" s="595"/>
      <c r="BG305" s="595"/>
      <c r="BH305" s="595"/>
      <c r="BI305" s="651"/>
      <c r="BJ305" s="651"/>
      <c r="BK305" s="651"/>
      <c r="BL305" s="651"/>
      <c r="BM305" s="651"/>
      <c r="BN305" s="651"/>
      <c r="BO305" s="651"/>
      <c r="BP305" s="651"/>
      <c r="BQ305" s="651"/>
      <c r="BR305" s="651"/>
      <c r="BS305" s="651"/>
      <c r="BT305" s="651"/>
    </row>
    <row r="306">
      <c r="A306" s="716" t="s">
        <v>435</v>
      </c>
      <c r="B306" s="766" t="s">
        <v>436</v>
      </c>
      <c r="C306" s="767" t="s">
        <v>437</v>
      </c>
      <c r="D306" s="148" t="s">
        <v>438</v>
      </c>
      <c r="E306" s="687"/>
      <c r="F306" s="699"/>
      <c r="G306" s="225"/>
      <c r="H306" s="700"/>
      <c r="I306" s="701"/>
      <c r="J306" s="126" t="s">
        <v>87</v>
      </c>
      <c r="K306" s="126" t="str">
        <f>IFERROR(
  IF(B306="", "", VLOOKUP(B306, Data!$B$2:$K$905, 7, FALSE)),
  ""
)</f>
        <v/>
      </c>
      <c r="L306" s="704"/>
      <c r="M306" s="730">
        <v>213.0</v>
      </c>
      <c r="N306" s="151">
        <f t="shared" si="237"/>
        <v>1</v>
      </c>
      <c r="O306" s="169">
        <v>1.0</v>
      </c>
      <c r="P306" s="134">
        <v>1.0</v>
      </c>
      <c r="Q306" s="135">
        <f t="shared" si="233"/>
        <v>213</v>
      </c>
      <c r="R306" s="136" t="str">
        <f>IFERROR(
  IF(B306="", "", VLOOKUP(B306, Data!$B$2:$K$905, 9, FALSE)),
  ""
)</f>
        <v/>
      </c>
      <c r="S306" s="152">
        <f t="shared" si="234"/>
        <v>0</v>
      </c>
      <c r="T306" s="690"/>
      <c r="U306" s="136" t="str">
        <f>IFERROR(
  IF(B306="", "", VLOOKUP(B306, Data!$B$2:$K$905, 10, FALSE)),
  ""
)
</f>
        <v/>
      </c>
      <c r="V306" s="691"/>
      <c r="W306" s="140">
        <f t="shared" si="235"/>
        <v>0</v>
      </c>
      <c r="X306" s="692"/>
      <c r="Y306" s="693"/>
      <c r="Z306" s="694"/>
      <c r="AA306" s="695"/>
      <c r="AB306" s="354"/>
      <c r="AC306" s="181"/>
      <c r="AD306" s="705"/>
      <c r="AE306" s="706"/>
      <c r="AF306" s="707"/>
      <c r="AG306" s="708"/>
      <c r="AH306" s="709"/>
      <c r="AI306" s="187"/>
      <c r="AJ306" s="710"/>
      <c r="AK306" s="710"/>
      <c r="AL306" s="595"/>
      <c r="AM306" s="595"/>
      <c r="AN306" s="595"/>
      <c r="AO306" s="595"/>
      <c r="AP306" s="595"/>
      <c r="AQ306" s="595"/>
      <c r="AR306" s="595"/>
      <c r="AS306" s="595"/>
      <c r="AT306" s="595"/>
      <c r="AU306" s="595"/>
      <c r="AV306" s="595"/>
      <c r="AW306" s="595"/>
      <c r="AX306" s="595"/>
      <c r="AY306" s="595"/>
      <c r="AZ306" s="595"/>
      <c r="BA306" s="595"/>
      <c r="BB306" s="595"/>
      <c r="BC306" s="595"/>
      <c r="BD306" s="595"/>
      <c r="BE306" s="595"/>
      <c r="BF306" s="595"/>
      <c r="BG306" s="595"/>
      <c r="BH306" s="595"/>
      <c r="BI306" s="651"/>
      <c r="BJ306" s="651"/>
      <c r="BK306" s="651"/>
      <c r="BL306" s="651"/>
      <c r="BM306" s="651"/>
      <c r="BN306" s="651"/>
      <c r="BO306" s="651"/>
      <c r="BP306" s="651"/>
      <c r="BQ306" s="651"/>
      <c r="BR306" s="651"/>
      <c r="BS306" s="651"/>
      <c r="BT306" s="651"/>
    </row>
    <row r="307">
      <c r="A307" s="631"/>
      <c r="B307" s="765"/>
      <c r="C307" s="701"/>
      <c r="D307" s="686"/>
      <c r="E307" s="722"/>
      <c r="F307" s="699"/>
      <c r="G307" s="700"/>
      <c r="H307" s="700"/>
      <c r="I307" s="701"/>
      <c r="J307" s="701"/>
      <c r="K307" s="701"/>
      <c r="L307" s="704"/>
      <c r="M307" s="704"/>
      <c r="N307" s="711"/>
      <c r="O307" s="712"/>
      <c r="P307" s="700"/>
      <c r="Q307" s="704"/>
      <c r="R307" s="681" t="str">
        <f>IFERROR(
  IF(B307="", "", VLOOKUP(B307, Data!$B$2:$K$905, 9, FALSE)),
  ""
)</f>
        <v/>
      </c>
      <c r="S307" s="691"/>
      <c r="T307" s="690"/>
      <c r="U307" s="681" t="str">
        <f>IFERROR(
  IF(B307="", "", VLOOKUP(B307, Data!$B$2:$K$905, 10, FALSE)),
  ""
)
</f>
        <v/>
      </c>
      <c r="V307" s="691"/>
      <c r="W307" s="713"/>
      <c r="X307" s="692"/>
      <c r="Y307" s="693"/>
      <c r="Z307" s="694"/>
      <c r="AA307" s="695"/>
      <c r="AB307" s="354">
        <f t="shared" ref="AB307:AB315" si="238">W307+S307</f>
        <v>0</v>
      </c>
      <c r="AC307" s="181"/>
      <c r="AD307" s="705"/>
      <c r="AE307" s="706"/>
      <c r="AF307" s="707"/>
      <c r="AG307" s="708"/>
      <c r="AH307" s="709"/>
      <c r="AI307" s="187"/>
      <c r="AJ307" s="710"/>
      <c r="AK307" s="710"/>
      <c r="AL307" s="595"/>
      <c r="AM307" s="595"/>
      <c r="AN307" s="595"/>
      <c r="AO307" s="595"/>
      <c r="AP307" s="595"/>
      <c r="AQ307" s="595"/>
      <c r="AR307" s="595"/>
      <c r="AS307" s="595"/>
      <c r="AT307" s="595"/>
      <c r="AU307" s="595"/>
      <c r="AV307" s="595"/>
      <c r="AW307" s="595"/>
      <c r="AX307" s="595"/>
      <c r="AY307" s="595"/>
      <c r="AZ307" s="595"/>
      <c r="BA307" s="595"/>
      <c r="BB307" s="595"/>
      <c r="BC307" s="595"/>
      <c r="BD307" s="595"/>
      <c r="BE307" s="595"/>
      <c r="BF307" s="595"/>
      <c r="BG307" s="595"/>
      <c r="BH307" s="595"/>
      <c r="BI307" s="651"/>
      <c r="BJ307" s="651"/>
      <c r="BK307" s="651"/>
      <c r="BL307" s="651"/>
      <c r="BM307" s="651"/>
      <c r="BN307" s="651"/>
      <c r="BO307" s="651"/>
      <c r="BP307" s="651"/>
      <c r="BQ307" s="651"/>
      <c r="BR307" s="651"/>
      <c r="BS307" s="651"/>
      <c r="BT307" s="651"/>
    </row>
    <row r="308">
      <c r="A308" s="684"/>
      <c r="B308" s="685" t="s">
        <v>427</v>
      </c>
      <c r="C308" s="698" t="s">
        <v>500</v>
      </c>
      <c r="D308" s="686" t="s">
        <v>40</v>
      </c>
      <c r="E308" s="687" t="str">
        <f>IFERROR(__xludf.DUMMYFUNCTION("IF($B$15:$B1153="""","""",
  VLOOKUP(
    $B$15:$B1153,
    QUERY(
      IMPORTRANGE(""1Ag27m9YF5mMfJh2E6NipJDFvPLlDI1p-s_1XEnzMHcc"",""Merge!F2:R""),
      ""select Col1, Col11"",
      0
    ),
    2,
    FALSE
  )
)
"),"#REF!")</f>
        <v>#REF!</v>
      </c>
      <c r="F308" s="699"/>
      <c r="G308" s="149" t="s">
        <v>512</v>
      </c>
      <c r="H308" s="128" t="str">
        <f>IFERROR(__xludf.DUMMYFUNCTION("IFERROR(REGEXEXTRACT(C308, ""(\d*\.\d+)mm""), """")"),"0.55")</f>
        <v>0.55</v>
      </c>
      <c r="I308" s="701"/>
      <c r="J308" s="126" t="s">
        <v>14</v>
      </c>
      <c r="K308" s="126" t="str">
        <f>IFERROR(
  IF(B308="", "", VLOOKUP(B308, Data!$B$2:$K$905, 7, FALSE)),
  ""
)</f>
        <v/>
      </c>
      <c r="L308" s="135">
        <f>2176.35</f>
        <v>2176.35</v>
      </c>
      <c r="M308" s="135" t="str">
        <f>L308*E308</f>
        <v>#REF!</v>
      </c>
      <c r="N308" s="151">
        <f>IFERROR(__xludf.DUMMYFUNCTION("IF(B308="""", """", IFERROR(1 / COS(RADIANS(REGEXEXTRACT(F308,""(\d+)""))), 1))"),1.0)</f>
        <v>1</v>
      </c>
      <c r="O308" s="169">
        <v>1.0</v>
      </c>
      <c r="P308" s="134">
        <v>1.0</v>
      </c>
      <c r="Q308" s="135" t="str">
        <f t="shared" ref="Q308:Q310" si="239">M308*N308*O308*P308</f>
        <v>#REF!</v>
      </c>
      <c r="R308" s="681" t="str">
        <f>IFERROR(
  IF(B308="", "", VLOOKUP(B308, Data!$B$2:$K$905, 9, FALSE)),
  ""
)</f>
        <v/>
      </c>
      <c r="S308" s="152" t="str">
        <f t="shared" ref="S308:S310" si="240">R308*Q308</f>
        <v>#REF!</v>
      </c>
      <c r="T308" s="690"/>
      <c r="U308" s="681" t="str">
        <f>IFERROR(
  IF(B308="", "", VLOOKUP(B308, Data!$B$2:$K$905, 10, FALSE)),
  ""
)
</f>
        <v/>
      </c>
      <c r="V308" s="691"/>
      <c r="W308" s="140" t="str">
        <f t="shared" ref="W308:W310" si="241">U308*Q308</f>
        <v>#REF!</v>
      </c>
      <c r="X308" s="692"/>
      <c r="Y308" s="693"/>
      <c r="Z308" s="694"/>
      <c r="AA308" s="695"/>
      <c r="AB308" s="354" t="str">
        <f t="shared" si="238"/>
        <v>#REF!</v>
      </c>
      <c r="AC308" s="181"/>
      <c r="AD308" s="625"/>
      <c r="AE308" s="626"/>
      <c r="AF308" s="696"/>
      <c r="AG308" s="697"/>
      <c r="AH308" s="629"/>
      <c r="AI308" s="187"/>
      <c r="AJ308" s="630"/>
      <c r="AK308" s="630"/>
      <c r="AL308" s="595"/>
      <c r="AM308" s="595"/>
      <c r="AN308" s="595"/>
      <c r="AO308" s="595"/>
      <c r="AP308" s="595"/>
      <c r="AQ308" s="595"/>
      <c r="AR308" s="595"/>
      <c r="AS308" s="595"/>
      <c r="AT308" s="595"/>
      <c r="AU308" s="595"/>
      <c r="AV308" s="595"/>
      <c r="AW308" s="595"/>
      <c r="AX308" s="595"/>
      <c r="AY308" s="595"/>
      <c r="AZ308" s="595"/>
      <c r="BA308" s="595"/>
      <c r="BB308" s="595"/>
      <c r="BC308" s="595"/>
      <c r="BD308" s="595"/>
      <c r="BE308" s="595"/>
      <c r="BF308" s="595"/>
      <c r="BG308" s="595"/>
      <c r="BH308" s="595"/>
      <c r="BI308" s="651"/>
      <c r="BJ308" s="651"/>
      <c r="BK308" s="651"/>
      <c r="BL308" s="651"/>
      <c r="BM308" s="651"/>
      <c r="BN308" s="651"/>
      <c r="BO308" s="651"/>
      <c r="BP308" s="651"/>
      <c r="BQ308" s="651"/>
      <c r="BR308" s="651"/>
      <c r="BS308" s="651"/>
      <c r="BT308" s="651"/>
    </row>
    <row r="309">
      <c r="A309" s="684"/>
      <c r="B309" s="685" t="s">
        <v>430</v>
      </c>
      <c r="C309" s="698" t="s">
        <v>431</v>
      </c>
      <c r="D309" s="686" t="s">
        <v>432</v>
      </c>
      <c r="E309" s="687">
        <v>1.2</v>
      </c>
      <c r="F309" s="699"/>
      <c r="G309" s="700"/>
      <c r="H309" s="700" t="str">
        <f>IFERROR(__xludf.DUMMYFUNCTION("IFERROR(REGEXEXTRACT(C309, ""(\d*\.\d+)mm""), """")"),"")</f>
        <v/>
      </c>
      <c r="I309" s="701"/>
      <c r="J309" s="126" t="s">
        <v>87</v>
      </c>
      <c r="K309" s="126" t="str">
        <f>IFERROR(
  IF(B309="", "", VLOOKUP(B309, Data!$B$2:$K$905, 7, FALSE)),
  ""
)</f>
        <v/>
      </c>
      <c r="L309" s="704"/>
      <c r="M309" s="150">
        <f>roundup(L308/E309,0)+1</f>
        <v>1815</v>
      </c>
      <c r="N309" s="151">
        <f t="shared" ref="N309:N310" si="242">N308</f>
        <v>1</v>
      </c>
      <c r="O309" s="169">
        <v>1.0</v>
      </c>
      <c r="P309" s="134">
        <v>1.0</v>
      </c>
      <c r="Q309" s="135">
        <f t="shared" si="239"/>
        <v>1815</v>
      </c>
      <c r="R309" s="681" t="str">
        <f>IFERROR(
  IF(B309="", "", VLOOKUP(B309, Data!$B$2:$K$905, 9, FALSE)),
  ""
)</f>
        <v/>
      </c>
      <c r="S309" s="152">
        <f t="shared" si="240"/>
        <v>0</v>
      </c>
      <c r="T309" s="690"/>
      <c r="U309" s="681" t="str">
        <f>IFERROR(
  IF(B309="", "", VLOOKUP(B309, Data!$B$2:$K$905, 10, FALSE)),
  ""
)
</f>
        <v/>
      </c>
      <c r="V309" s="691"/>
      <c r="W309" s="140">
        <f t="shared" si="241"/>
        <v>0</v>
      </c>
      <c r="X309" s="692"/>
      <c r="Y309" s="693"/>
      <c r="Z309" s="694"/>
      <c r="AA309" s="695"/>
      <c r="AB309" s="354">
        <f t="shared" si="238"/>
        <v>0</v>
      </c>
      <c r="AC309" s="181"/>
      <c r="AD309" s="625"/>
      <c r="AE309" s="626"/>
      <c r="AF309" s="696"/>
      <c r="AG309" s="697"/>
      <c r="AH309" s="629"/>
      <c r="AI309" s="187"/>
      <c r="AJ309" s="630"/>
      <c r="AK309" s="630"/>
      <c r="AL309" s="595"/>
      <c r="AM309" s="595"/>
      <c r="AN309" s="595"/>
      <c r="AO309" s="595"/>
      <c r="AP309" s="595"/>
      <c r="AQ309" s="595"/>
      <c r="AR309" s="595"/>
      <c r="AS309" s="595"/>
      <c r="AT309" s="595"/>
      <c r="AU309" s="595"/>
      <c r="AV309" s="595"/>
      <c r="AW309" s="595"/>
      <c r="AX309" s="595"/>
      <c r="AY309" s="595"/>
      <c r="AZ309" s="595"/>
      <c r="BA309" s="595"/>
      <c r="BB309" s="595"/>
      <c r="BC309" s="595"/>
      <c r="BD309" s="595"/>
      <c r="BE309" s="595"/>
      <c r="BF309" s="595"/>
      <c r="BG309" s="595"/>
      <c r="BH309" s="595"/>
      <c r="BI309" s="651"/>
      <c r="BJ309" s="651"/>
      <c r="BK309" s="651"/>
      <c r="BL309" s="651"/>
      <c r="BM309" s="651"/>
      <c r="BN309" s="651"/>
      <c r="BO309" s="651"/>
      <c r="BP309" s="651"/>
      <c r="BQ309" s="651"/>
      <c r="BR309" s="651"/>
      <c r="BS309" s="651"/>
      <c r="BT309" s="651"/>
    </row>
    <row r="310">
      <c r="A310" s="684"/>
      <c r="B310" s="685" t="s">
        <v>433</v>
      </c>
      <c r="C310" s="702" t="s">
        <v>434</v>
      </c>
      <c r="D310" s="686" t="s">
        <v>360</v>
      </c>
      <c r="E310" s="722"/>
      <c r="F310" s="699"/>
      <c r="G310" s="700"/>
      <c r="H310" s="700"/>
      <c r="I310" s="701"/>
      <c r="J310" s="126" t="s">
        <v>87</v>
      </c>
      <c r="K310" s="126" t="str">
        <f>IFERROR(
  IF(B310="", "", VLOOKUP(B310, Data!$B$2:$K$905, 7, FALSE)),
  ""
)</f>
        <v/>
      </c>
      <c r="L310" s="704"/>
      <c r="M310" s="150">
        <f>M309*2</f>
        <v>3630</v>
      </c>
      <c r="N310" s="151">
        <f t="shared" si="242"/>
        <v>1</v>
      </c>
      <c r="O310" s="169">
        <v>1.0</v>
      </c>
      <c r="P310" s="134">
        <v>1.0</v>
      </c>
      <c r="Q310" s="135">
        <f t="shared" si="239"/>
        <v>3630</v>
      </c>
      <c r="R310" s="681" t="str">
        <f>IFERROR(
  IF(B310="", "", VLOOKUP(B310, Data!$B$2:$K$905, 9, FALSE)),
  ""
)</f>
        <v/>
      </c>
      <c r="S310" s="152">
        <f t="shared" si="240"/>
        <v>0</v>
      </c>
      <c r="T310" s="690"/>
      <c r="U310" s="681" t="str">
        <f>IFERROR(
  IF(B310="", "", VLOOKUP(B310, Data!$B$2:$K$905, 10, FALSE)),
  ""
)
</f>
        <v/>
      </c>
      <c r="V310" s="691"/>
      <c r="W310" s="140">
        <f t="shared" si="241"/>
        <v>0</v>
      </c>
      <c r="X310" s="692"/>
      <c r="Y310" s="693"/>
      <c r="Z310" s="694"/>
      <c r="AA310" s="695"/>
      <c r="AB310" s="354">
        <f t="shared" si="238"/>
        <v>0</v>
      </c>
      <c r="AC310" s="181"/>
      <c r="AD310" s="625"/>
      <c r="AE310" s="626"/>
      <c r="AF310" s="696"/>
      <c r="AG310" s="697"/>
      <c r="AH310" s="629"/>
      <c r="AI310" s="187"/>
      <c r="AJ310" s="630"/>
      <c r="AK310" s="630"/>
      <c r="AL310" s="595"/>
      <c r="AM310" s="595"/>
      <c r="AN310" s="595"/>
      <c r="AO310" s="595"/>
      <c r="AP310" s="595"/>
      <c r="AQ310" s="595"/>
      <c r="AR310" s="595"/>
      <c r="AS310" s="595"/>
      <c r="AT310" s="595"/>
      <c r="AU310" s="595"/>
      <c r="AV310" s="595"/>
      <c r="AW310" s="595"/>
      <c r="AX310" s="595"/>
      <c r="AY310" s="595"/>
      <c r="AZ310" s="595"/>
      <c r="BA310" s="595"/>
      <c r="BB310" s="595"/>
      <c r="BC310" s="595"/>
      <c r="BD310" s="595"/>
      <c r="BE310" s="595"/>
      <c r="BF310" s="595"/>
      <c r="BG310" s="595"/>
      <c r="BH310" s="595"/>
      <c r="BI310" s="651"/>
      <c r="BJ310" s="651"/>
      <c r="BK310" s="651"/>
      <c r="BL310" s="651"/>
      <c r="BM310" s="651"/>
      <c r="BN310" s="651"/>
      <c r="BO310" s="651"/>
      <c r="BP310" s="651"/>
      <c r="BQ310" s="651"/>
      <c r="BR310" s="651"/>
      <c r="BS310" s="651"/>
      <c r="BT310" s="651"/>
    </row>
    <row r="311">
      <c r="A311" s="631"/>
      <c r="B311" s="765"/>
      <c r="C311" s="701"/>
      <c r="D311" s="686"/>
      <c r="E311" s="722"/>
      <c r="F311" s="699"/>
      <c r="G311" s="700"/>
      <c r="H311" s="700"/>
      <c r="I311" s="701"/>
      <c r="J311" s="701"/>
      <c r="K311" s="701"/>
      <c r="L311" s="704"/>
      <c r="M311" s="704"/>
      <c r="N311" s="711"/>
      <c r="O311" s="712"/>
      <c r="P311" s="700"/>
      <c r="Q311" s="704"/>
      <c r="R311" s="681" t="str">
        <f>IFERROR(
  IF(B311="", "", VLOOKUP(B311, Data!$B$2:$K$905, 9, FALSE)),
  ""
)</f>
        <v/>
      </c>
      <c r="S311" s="691"/>
      <c r="T311" s="690"/>
      <c r="U311" s="681" t="str">
        <f>IFERROR(
  IF(B311="", "", VLOOKUP(B311, Data!$B$2:$K$905, 10, FALSE)),
  ""
)
</f>
        <v/>
      </c>
      <c r="V311" s="691"/>
      <c r="W311" s="713"/>
      <c r="X311" s="692"/>
      <c r="Y311" s="693"/>
      <c r="Z311" s="694"/>
      <c r="AA311" s="695"/>
      <c r="AB311" s="354">
        <f t="shared" si="238"/>
        <v>0</v>
      </c>
      <c r="AC311" s="181"/>
      <c r="AD311" s="705"/>
      <c r="AE311" s="706"/>
      <c r="AF311" s="707"/>
      <c r="AG311" s="708"/>
      <c r="AH311" s="709"/>
      <c r="AI311" s="187"/>
      <c r="AJ311" s="710"/>
      <c r="AK311" s="710"/>
      <c r="AL311" s="595"/>
      <c r="AM311" s="595"/>
      <c r="AN311" s="595"/>
      <c r="AO311" s="595"/>
      <c r="AP311" s="595"/>
      <c r="AQ311" s="595"/>
      <c r="AR311" s="595"/>
      <c r="AS311" s="595"/>
      <c r="AT311" s="595"/>
      <c r="AU311" s="595"/>
      <c r="AV311" s="595"/>
      <c r="AW311" s="595"/>
      <c r="AX311" s="595"/>
      <c r="AY311" s="595"/>
      <c r="AZ311" s="595"/>
      <c r="BA311" s="595"/>
      <c r="BB311" s="595"/>
      <c r="BC311" s="595"/>
      <c r="BD311" s="595"/>
      <c r="BE311" s="595"/>
      <c r="BF311" s="595"/>
      <c r="BG311" s="595"/>
      <c r="BH311" s="595"/>
      <c r="BI311" s="651"/>
      <c r="BJ311" s="651"/>
      <c r="BK311" s="651"/>
      <c r="BL311" s="651"/>
      <c r="BM311" s="651"/>
      <c r="BN311" s="651"/>
      <c r="BO311" s="651"/>
      <c r="BP311" s="651"/>
      <c r="BQ311" s="651"/>
      <c r="BR311" s="651"/>
      <c r="BS311" s="651"/>
      <c r="BT311" s="651"/>
    </row>
    <row r="312">
      <c r="A312" s="684"/>
      <c r="B312" s="685" t="s">
        <v>427</v>
      </c>
      <c r="C312" s="698" t="s">
        <v>500</v>
      </c>
      <c r="D312" s="686" t="s">
        <v>40</v>
      </c>
      <c r="E312" s="687" t="str">
        <f>IFERROR(__xludf.DUMMYFUNCTION("IF($B$15:$B1153="""","""",
  VLOOKUP(
    $B$15:$B1153,
    QUERY(
      IMPORTRANGE(""1Ag27m9YF5mMfJh2E6NipJDFvPLlDI1p-s_1XEnzMHcc"",""Merge!F2:R""),
      ""select Col1, Col11"",
      0
    ),
    2,
    FALSE
  )
)
"),"#REF!")</f>
        <v>#REF!</v>
      </c>
      <c r="F312" s="699"/>
      <c r="G312" s="149" t="s">
        <v>512</v>
      </c>
      <c r="H312" s="128" t="str">
        <f>IFERROR(__xludf.DUMMYFUNCTION("IFERROR(REGEXEXTRACT(C312, ""(\d*\.\d+)mm""), """")"),"0.55")</f>
        <v>0.55</v>
      </c>
      <c r="I312" s="701"/>
      <c r="J312" s="126" t="s">
        <v>14</v>
      </c>
      <c r="K312" s="126" t="str">
        <f>IFERROR(
  IF(B312="", "", VLOOKUP(B312, Data!$B$2:$K$905, 7, FALSE)),
  ""
)</f>
        <v/>
      </c>
      <c r="L312" s="135">
        <f>155.21+
164.34</f>
        <v>319.55</v>
      </c>
      <c r="M312" s="135" t="str">
        <f>L312*E312</f>
        <v>#REF!</v>
      </c>
      <c r="N312" s="151">
        <f>IFERROR(__xludf.DUMMYFUNCTION("IF(B312="""", """", IFERROR(1 / COS(RADIANS(REGEXEXTRACT(F312,""(\d+)""))), 1))"),1.0)</f>
        <v>1</v>
      </c>
      <c r="O312" s="169">
        <v>1.0</v>
      </c>
      <c r="P312" s="134">
        <v>1.0</v>
      </c>
      <c r="Q312" s="135" t="str">
        <f t="shared" ref="Q312:Q314" si="243">M312*N312*O312*P312</f>
        <v>#REF!</v>
      </c>
      <c r="R312" s="681" t="str">
        <f>IFERROR(
  IF(B312="", "", VLOOKUP(B312, Data!$B$2:$K$905, 9, FALSE)),
  ""
)</f>
        <v/>
      </c>
      <c r="S312" s="152" t="str">
        <f t="shared" ref="S312:S314" si="244">R312*Q312</f>
        <v>#REF!</v>
      </c>
      <c r="T312" s="690"/>
      <c r="U312" s="681" t="str">
        <f>IFERROR(
  IF(B312="", "", VLOOKUP(B312, Data!$B$2:$K$905, 10, FALSE)),
  ""
)
</f>
        <v/>
      </c>
      <c r="V312" s="691"/>
      <c r="W312" s="140" t="str">
        <f t="shared" ref="W312:W314" si="245">U312*Q312</f>
        <v>#REF!</v>
      </c>
      <c r="X312" s="692"/>
      <c r="Y312" s="693"/>
      <c r="Z312" s="694"/>
      <c r="AA312" s="695"/>
      <c r="AB312" s="354" t="str">
        <f t="shared" si="238"/>
        <v>#REF!</v>
      </c>
      <c r="AC312" s="181"/>
      <c r="AD312" s="625"/>
      <c r="AE312" s="626"/>
      <c r="AF312" s="696"/>
      <c r="AG312" s="697"/>
      <c r="AH312" s="629"/>
      <c r="AI312" s="187"/>
      <c r="AJ312" s="630"/>
      <c r="AK312" s="630"/>
      <c r="AL312" s="595"/>
      <c r="AM312" s="595"/>
      <c r="AN312" s="595"/>
      <c r="AO312" s="595"/>
      <c r="AP312" s="595"/>
      <c r="AQ312" s="595"/>
      <c r="AR312" s="595"/>
      <c r="AS312" s="595"/>
      <c r="AT312" s="595"/>
      <c r="AU312" s="595"/>
      <c r="AV312" s="595"/>
      <c r="AW312" s="595"/>
      <c r="AX312" s="595"/>
      <c r="AY312" s="595"/>
      <c r="AZ312" s="595"/>
      <c r="BA312" s="595"/>
      <c r="BB312" s="595"/>
      <c r="BC312" s="595"/>
      <c r="BD312" s="595"/>
      <c r="BE312" s="595"/>
      <c r="BF312" s="595"/>
      <c r="BG312" s="595"/>
      <c r="BH312" s="595"/>
      <c r="BI312" s="651"/>
      <c r="BJ312" s="651"/>
      <c r="BK312" s="651"/>
      <c r="BL312" s="651"/>
      <c r="BM312" s="651"/>
      <c r="BN312" s="651"/>
      <c r="BO312" s="651"/>
      <c r="BP312" s="651"/>
      <c r="BQ312" s="651"/>
      <c r="BR312" s="651"/>
      <c r="BS312" s="651"/>
      <c r="BT312" s="651"/>
    </row>
    <row r="313">
      <c r="A313" s="684"/>
      <c r="B313" s="685" t="s">
        <v>430</v>
      </c>
      <c r="C313" s="698" t="s">
        <v>431</v>
      </c>
      <c r="D313" s="686" t="s">
        <v>432</v>
      </c>
      <c r="E313" s="755">
        <v>0.6</v>
      </c>
      <c r="F313" s="699"/>
      <c r="G313" s="700"/>
      <c r="H313" s="700" t="str">
        <f>IFERROR(__xludf.DUMMYFUNCTION("IFERROR(REGEXEXTRACT(C313, ""(\d*\.\d+)mm""), """")"),"")</f>
        <v/>
      </c>
      <c r="I313" s="701"/>
      <c r="J313" s="126" t="s">
        <v>87</v>
      </c>
      <c r="K313" s="126" t="str">
        <f>IFERROR(
  IF(B313="", "", VLOOKUP(B313, Data!$B$2:$K$905, 7, FALSE)),
  ""
)</f>
        <v/>
      </c>
      <c r="L313" s="704"/>
      <c r="M313" s="150">
        <f>roundup(L312/E313,0)+1</f>
        <v>534</v>
      </c>
      <c r="N313" s="151">
        <f t="shared" ref="N313:N314" si="246">N312</f>
        <v>1</v>
      </c>
      <c r="O313" s="169">
        <v>1.0</v>
      </c>
      <c r="P313" s="134">
        <v>1.0</v>
      </c>
      <c r="Q313" s="135">
        <f t="shared" si="243"/>
        <v>534</v>
      </c>
      <c r="R313" s="681" t="str">
        <f>IFERROR(
  IF(B313="", "", VLOOKUP(B313, Data!$B$2:$K$905, 9, FALSE)),
  ""
)</f>
        <v/>
      </c>
      <c r="S313" s="152">
        <f t="shared" si="244"/>
        <v>0</v>
      </c>
      <c r="T313" s="690"/>
      <c r="U313" s="681" t="str">
        <f>IFERROR(
  IF(B313="", "", VLOOKUP(B313, Data!$B$2:$K$905, 10, FALSE)),
  ""
)
</f>
        <v/>
      </c>
      <c r="V313" s="691"/>
      <c r="W313" s="140">
        <f t="shared" si="245"/>
        <v>0</v>
      </c>
      <c r="X313" s="692"/>
      <c r="Y313" s="693"/>
      <c r="Z313" s="694"/>
      <c r="AA313" s="695"/>
      <c r="AB313" s="354">
        <f t="shared" si="238"/>
        <v>0</v>
      </c>
      <c r="AC313" s="181"/>
      <c r="AD313" s="625"/>
      <c r="AE313" s="626"/>
      <c r="AF313" s="696"/>
      <c r="AG313" s="697"/>
      <c r="AH313" s="629"/>
      <c r="AI313" s="187"/>
      <c r="AJ313" s="630"/>
      <c r="AK313" s="630"/>
      <c r="AL313" s="595"/>
      <c r="AM313" s="595"/>
      <c r="AN313" s="595"/>
      <c r="AO313" s="595"/>
      <c r="AP313" s="595"/>
      <c r="AQ313" s="595"/>
      <c r="AR313" s="595"/>
      <c r="AS313" s="595"/>
      <c r="AT313" s="595"/>
      <c r="AU313" s="595"/>
      <c r="AV313" s="595"/>
      <c r="AW313" s="595"/>
      <c r="AX313" s="595"/>
      <c r="AY313" s="595"/>
      <c r="AZ313" s="595"/>
      <c r="BA313" s="595"/>
      <c r="BB313" s="595"/>
      <c r="BC313" s="595"/>
      <c r="BD313" s="595"/>
      <c r="BE313" s="595"/>
      <c r="BF313" s="595"/>
      <c r="BG313" s="595"/>
      <c r="BH313" s="595"/>
      <c r="BI313" s="651"/>
      <c r="BJ313" s="651"/>
      <c r="BK313" s="651"/>
      <c r="BL313" s="651"/>
      <c r="BM313" s="651"/>
      <c r="BN313" s="651"/>
      <c r="BO313" s="651"/>
      <c r="BP313" s="651"/>
      <c r="BQ313" s="651"/>
      <c r="BR313" s="651"/>
      <c r="BS313" s="651"/>
      <c r="BT313" s="651"/>
    </row>
    <row r="314">
      <c r="A314" s="684"/>
      <c r="B314" s="685" t="s">
        <v>433</v>
      </c>
      <c r="C314" s="702" t="s">
        <v>434</v>
      </c>
      <c r="D314" s="686" t="s">
        <v>360</v>
      </c>
      <c r="E314" s="722"/>
      <c r="F314" s="699"/>
      <c r="G314" s="700"/>
      <c r="H314" s="700"/>
      <c r="I314" s="701"/>
      <c r="J314" s="126" t="s">
        <v>87</v>
      </c>
      <c r="K314" s="126" t="str">
        <f>IFERROR(
  IF(B314="", "", VLOOKUP(B314, Data!$B$2:$K$905, 7, FALSE)),
  ""
)</f>
        <v/>
      </c>
      <c r="L314" s="704"/>
      <c r="M314" s="150">
        <f>M313*2</f>
        <v>1068</v>
      </c>
      <c r="N314" s="151">
        <f t="shared" si="246"/>
        <v>1</v>
      </c>
      <c r="O314" s="169">
        <v>1.0</v>
      </c>
      <c r="P314" s="134">
        <v>1.0</v>
      </c>
      <c r="Q314" s="135">
        <f t="shared" si="243"/>
        <v>1068</v>
      </c>
      <c r="R314" s="681" t="str">
        <f>IFERROR(
  IF(B314="", "", VLOOKUP(B314, Data!$B$2:$K$905, 9, FALSE)),
  ""
)</f>
        <v/>
      </c>
      <c r="S314" s="152">
        <f t="shared" si="244"/>
        <v>0</v>
      </c>
      <c r="T314" s="690"/>
      <c r="U314" s="681" t="str">
        <f>IFERROR(
  IF(B314="", "", VLOOKUP(B314, Data!$B$2:$K$905, 10, FALSE)),
  ""
)
</f>
        <v/>
      </c>
      <c r="V314" s="691"/>
      <c r="W314" s="140">
        <f t="shared" si="245"/>
        <v>0</v>
      </c>
      <c r="X314" s="692"/>
      <c r="Y314" s="693"/>
      <c r="Z314" s="694"/>
      <c r="AA314" s="695"/>
      <c r="AB314" s="354">
        <f t="shared" si="238"/>
        <v>0</v>
      </c>
      <c r="AC314" s="181"/>
      <c r="AD314" s="625"/>
      <c r="AE314" s="626"/>
      <c r="AF314" s="696"/>
      <c r="AG314" s="697"/>
      <c r="AH314" s="629"/>
      <c r="AI314" s="187"/>
      <c r="AJ314" s="630"/>
      <c r="AK314" s="630"/>
      <c r="AL314" s="595"/>
      <c r="AM314" s="595"/>
      <c r="AN314" s="595"/>
      <c r="AO314" s="595"/>
      <c r="AP314" s="595"/>
      <c r="AQ314" s="595"/>
      <c r="AR314" s="595"/>
      <c r="AS314" s="595"/>
      <c r="AT314" s="595"/>
      <c r="AU314" s="595"/>
      <c r="AV314" s="595"/>
      <c r="AW314" s="595"/>
      <c r="AX314" s="595"/>
      <c r="AY314" s="595"/>
      <c r="AZ314" s="595"/>
      <c r="BA314" s="595"/>
      <c r="BB314" s="595"/>
      <c r="BC314" s="595"/>
      <c r="BD314" s="595"/>
      <c r="BE314" s="595"/>
      <c r="BF314" s="595"/>
      <c r="BG314" s="595"/>
      <c r="BH314" s="595"/>
      <c r="BI314" s="651"/>
      <c r="BJ314" s="651"/>
      <c r="BK314" s="651"/>
      <c r="BL314" s="651"/>
      <c r="BM314" s="651"/>
      <c r="BN314" s="651"/>
      <c r="BO314" s="651"/>
      <c r="BP314" s="651"/>
      <c r="BQ314" s="651"/>
      <c r="BR314" s="651"/>
      <c r="BS314" s="651"/>
      <c r="BT314" s="651"/>
    </row>
    <row r="315">
      <c r="A315" s="631"/>
      <c r="B315" s="765"/>
      <c r="C315" s="701"/>
      <c r="D315" s="686"/>
      <c r="E315" s="722"/>
      <c r="F315" s="699"/>
      <c r="G315" s="700"/>
      <c r="H315" s="700"/>
      <c r="I315" s="701"/>
      <c r="J315" s="701"/>
      <c r="K315" s="701"/>
      <c r="L315" s="704"/>
      <c r="M315" s="704"/>
      <c r="N315" s="711"/>
      <c r="O315" s="712"/>
      <c r="P315" s="700"/>
      <c r="Q315" s="704"/>
      <c r="R315" s="681" t="str">
        <f>IFERROR(
  IF(B315="", "", VLOOKUP(B315, Data!$B$2:$K$905, 9, FALSE)),
  ""
)</f>
        <v/>
      </c>
      <c r="S315" s="691"/>
      <c r="T315" s="690"/>
      <c r="U315" s="681" t="str">
        <f>IFERROR(
  IF(B315="", "", VLOOKUP(B315, Data!$B$2:$K$905, 10, FALSE)),
  ""
)
</f>
        <v/>
      </c>
      <c r="V315" s="691"/>
      <c r="W315" s="713"/>
      <c r="X315" s="692"/>
      <c r="Y315" s="693"/>
      <c r="Z315" s="694"/>
      <c r="AA315" s="695"/>
      <c r="AB315" s="354">
        <f t="shared" si="238"/>
        <v>0</v>
      </c>
      <c r="AC315" s="181"/>
      <c r="AD315" s="705"/>
      <c r="AE315" s="706"/>
      <c r="AF315" s="707"/>
      <c r="AG315" s="708"/>
      <c r="AH315" s="709"/>
      <c r="AI315" s="187"/>
      <c r="AJ315" s="710"/>
      <c r="AK315" s="710"/>
      <c r="AL315" s="595"/>
      <c r="AM315" s="595"/>
      <c r="AN315" s="595"/>
      <c r="AO315" s="595"/>
      <c r="AP315" s="595"/>
      <c r="AQ315" s="595"/>
      <c r="AR315" s="595"/>
      <c r="AS315" s="595"/>
      <c r="AT315" s="595"/>
      <c r="AU315" s="595"/>
      <c r="AV315" s="595"/>
      <c r="AW315" s="595"/>
      <c r="AX315" s="595"/>
      <c r="AY315" s="595"/>
      <c r="AZ315" s="595"/>
      <c r="BA315" s="595"/>
      <c r="BB315" s="595"/>
      <c r="BC315" s="595"/>
      <c r="BD315" s="595"/>
      <c r="BE315" s="595"/>
      <c r="BF315" s="595"/>
      <c r="BG315" s="595"/>
      <c r="BH315" s="595"/>
      <c r="BI315" s="651"/>
      <c r="BJ315" s="651"/>
      <c r="BK315" s="651"/>
      <c r="BL315" s="651"/>
      <c r="BM315" s="651"/>
      <c r="BN315" s="651"/>
      <c r="BO315" s="651"/>
      <c r="BP315" s="651"/>
      <c r="BQ315" s="651"/>
      <c r="BR315" s="651"/>
      <c r="BS315" s="651"/>
      <c r="BT315" s="651"/>
    </row>
    <row r="316">
      <c r="A316" s="631">
        <v>1.0</v>
      </c>
      <c r="B316" s="764" t="s">
        <v>425</v>
      </c>
      <c r="C316" s="89" t="s">
        <v>78</v>
      </c>
      <c r="D316" s="656"/>
      <c r="E316" s="654"/>
      <c r="F316" s="655"/>
      <c r="G316" s="656"/>
      <c r="H316" s="656"/>
      <c r="I316" s="656"/>
      <c r="J316" s="656"/>
      <c r="K316" s="656" t="s">
        <v>42</v>
      </c>
      <c r="L316" s="658"/>
      <c r="M316" s="658"/>
      <c r="N316" s="659"/>
      <c r="O316" s="658"/>
      <c r="P316" s="656"/>
      <c r="Q316" s="658"/>
      <c r="R316" s="681" t="str">
        <f>IFERROR(
  IF(B316="", "", VLOOKUP(B316, Data!$B$2:$K$905, 9, FALSE)),
  ""
)</f>
        <v/>
      </c>
      <c r="S316" s="662"/>
      <c r="T316" s="661"/>
      <c r="U316" s="681" t="str">
        <f>IFERROR(
  IF(B316="", "", VLOOKUP(B316, Data!$B$2:$K$905, 10, FALSE)),
  ""
)
</f>
        <v/>
      </c>
      <c r="V316" s="662"/>
      <c r="W316" s="663"/>
      <c r="X316" s="664"/>
      <c r="Y316" s="595"/>
      <c r="Z316" s="595"/>
      <c r="AA316" s="595"/>
      <c r="AB316" s="595"/>
      <c r="AC316" s="181"/>
      <c r="AD316" s="668"/>
      <c r="AE316" s="669"/>
      <c r="AF316" s="670"/>
      <c r="AG316" s="715"/>
      <c r="AH316" s="672"/>
      <c r="AI316" s="187"/>
      <c r="AJ316" s="673"/>
      <c r="AK316" s="673"/>
      <c r="AL316" s="595"/>
      <c r="AM316" s="595"/>
      <c r="AN316" s="595"/>
      <c r="AO316" s="595"/>
      <c r="AP316" s="595"/>
      <c r="AQ316" s="595"/>
      <c r="AR316" s="595"/>
      <c r="AS316" s="595"/>
      <c r="AT316" s="595"/>
      <c r="AU316" s="595"/>
      <c r="AV316" s="595"/>
      <c r="AW316" s="595"/>
      <c r="AX316" s="595"/>
      <c r="AY316" s="595"/>
      <c r="AZ316" s="595"/>
      <c r="BA316" s="595"/>
      <c r="BB316" s="595"/>
      <c r="BC316" s="595"/>
      <c r="BD316" s="595"/>
      <c r="BE316" s="595"/>
      <c r="BF316" s="595"/>
      <c r="BG316" s="595"/>
      <c r="BH316" s="595"/>
      <c r="BI316" s="651"/>
      <c r="BJ316" s="651"/>
      <c r="BK316" s="651"/>
      <c r="BL316" s="651"/>
      <c r="BM316" s="651"/>
      <c r="BN316" s="651"/>
      <c r="BO316" s="651"/>
      <c r="BP316" s="651"/>
      <c r="BQ316" s="651"/>
      <c r="BR316" s="651"/>
      <c r="BS316" s="651"/>
      <c r="BT316" s="651"/>
    </row>
    <row r="317">
      <c r="A317" s="631">
        <v>1.0</v>
      </c>
      <c r="B317" s="727"/>
      <c r="C317" s="157" t="s">
        <v>79</v>
      </c>
      <c r="D317" s="678"/>
      <c r="E317" s="676"/>
      <c r="F317" s="677"/>
      <c r="G317" s="678"/>
      <c r="H317" s="678"/>
      <c r="I317" s="678"/>
      <c r="J317" s="678"/>
      <c r="K317" s="678" t="s">
        <v>42</v>
      </c>
      <c r="L317" s="106" t="str">
        <f>Q317</f>
        <v>#REF!</v>
      </c>
      <c r="M317" s="679"/>
      <c r="N317" s="680"/>
      <c r="O317" s="679"/>
      <c r="P317" s="678"/>
      <c r="Q317" s="106" t="str">
        <f>Q318</f>
        <v>#REF!</v>
      </c>
      <c r="R317" s="681" t="str">
        <f>IFERROR(
  IF(B317="", "", VLOOKUP(B317, Data!$B$2:$K$905, 9, FALSE)),
  ""
)</f>
        <v/>
      </c>
      <c r="S317" s="682">
        <f>IFERROR(T317/Q317, 0)</f>
        <v>0</v>
      </c>
      <c r="T317" s="109" t="str">
        <f>SUM(S318:S320)</f>
        <v>#REF!</v>
      </c>
      <c r="U317" s="681" t="str">
        <f>IFERROR(
  IF(B317="", "", VLOOKUP(B317, Data!$B$2:$K$905, 10, FALSE)),
  ""
)
</f>
        <v/>
      </c>
      <c r="V317" s="109" t="str">
        <f>iferror(W317/Q317,"")</f>
        <v/>
      </c>
      <c r="W317" s="110" t="str">
        <f>SUM(W318:W320)</f>
        <v>#REF!</v>
      </c>
      <c r="X317" s="111" t="str">
        <f>W317/$AC$758/$W$765/$X$755</f>
        <v>#REF!</v>
      </c>
      <c r="Y317" s="112" t="str">
        <f>(T317+W317)=(SUM(AB318:AB320))</f>
        <v>#REF!</v>
      </c>
      <c r="Z317" s="113" t="str">
        <f>(T317+W317)-(SUM(AB318:AB320))</f>
        <v>#REF!</v>
      </c>
      <c r="AA317" s="595"/>
      <c r="AB317" s="595"/>
      <c r="AC317" s="181"/>
      <c r="AD317" s="114" t="str">
        <f>W317+T317</f>
        <v>#REF!</v>
      </c>
      <c r="AE317" s="115" t="str">
        <f>AD317</f>
        <v>#REF!</v>
      </c>
      <c r="AF317" s="116" t="str">
        <f>AE317/$AE$733</f>
        <v>#REF!</v>
      </c>
      <c r="AG317" s="683" t="str">
        <f>AF317*$AG$740</f>
        <v>#REF!</v>
      </c>
      <c r="AH317" s="118" t="str">
        <f>AF317*$AG$743</f>
        <v>#REF!</v>
      </c>
      <c r="AI317" s="187"/>
      <c r="AJ317" s="119" t="str">
        <f>ROUND(AK317/L317,2)</f>
        <v>#REF!</v>
      </c>
      <c r="AK317" s="119" t="str">
        <f>ROUND(AH317+AG317+AD317,2)</f>
        <v>#REF!</v>
      </c>
      <c r="AL317" s="595"/>
      <c r="AM317" s="595"/>
      <c r="AN317" s="595"/>
      <c r="AO317" s="595"/>
      <c r="AP317" s="595"/>
      <c r="AQ317" s="595"/>
      <c r="AR317" s="595"/>
      <c r="AS317" s="595"/>
      <c r="AT317" s="595"/>
      <c r="AU317" s="595"/>
      <c r="AV317" s="595"/>
      <c r="AW317" s="595"/>
      <c r="AX317" s="595"/>
      <c r="AY317" s="595"/>
      <c r="AZ317" s="595"/>
      <c r="BA317" s="595"/>
      <c r="BB317" s="595"/>
      <c r="BC317" s="595"/>
      <c r="BD317" s="595"/>
      <c r="BE317" s="595"/>
      <c r="BF317" s="595"/>
      <c r="BG317" s="595"/>
      <c r="BH317" s="595"/>
      <c r="BI317" s="651"/>
      <c r="BJ317" s="651"/>
      <c r="BK317" s="651"/>
      <c r="BL317" s="651"/>
      <c r="BM317" s="651"/>
      <c r="BN317" s="651"/>
      <c r="BO317" s="651"/>
      <c r="BP317" s="651"/>
      <c r="BQ317" s="651"/>
      <c r="BR317" s="651"/>
      <c r="BS317" s="651"/>
      <c r="BT317" s="651"/>
    </row>
    <row r="318">
      <c r="A318" s="716" t="s">
        <v>435</v>
      </c>
      <c r="B318" s="154" t="s">
        <v>441</v>
      </c>
      <c r="C318" s="158" t="s">
        <v>442</v>
      </c>
      <c r="D318" s="124" t="s">
        <v>82</v>
      </c>
      <c r="E318" s="687" t="str">
        <f>IFERROR(__xludf.DUMMYFUNCTION("IF($B$15:$B927="""","""",
  VLOOKUP(
    $B$15:$B927,
    QUERY(
      IMPORTRANGE(""1Ag27m9YF5mMfJh2E6NipJDFvPLlDI1p-s_1XEnzMHcc"",""Merge!F2:R""),
      ""select Col1, Col11"",
      0
    ),
    2,
    FALSE
  )
)
"),"#REF!")</f>
        <v>#REF!</v>
      </c>
      <c r="F318" s="721"/>
      <c r="G318" s="689" t="s">
        <v>512</v>
      </c>
      <c r="H318" s="700" t="str">
        <f>IFERROR(__xludf.DUMMYFUNCTION("IFERROR(REGEXEXTRACT(C318, ""(\d*\.\d+)mm""), """")"),"")</f>
        <v/>
      </c>
      <c r="I318" s="700"/>
      <c r="J318" s="126" t="s">
        <v>14</v>
      </c>
      <c r="K318" s="126" t="str">
        <f>IFERROR(
  IF(B318="", "", VLOOKUP(B318, Data!$B$2:$K$905, 7, FALSE)),
  ""
)</f>
        <v/>
      </c>
      <c r="L318" s="135" t="str">
        <f>Q302</f>
        <v>#REF!</v>
      </c>
      <c r="M318" s="150" t="str">
        <f>((L318)/(E318-0.15))*0.15+(L318)</f>
        <v>#REF!</v>
      </c>
      <c r="N318" s="151">
        <f>IFERROR(__xludf.DUMMYFUNCTION("IF(B318="""", """", IFERROR(1 / COS(RADIANS(REGEXEXTRACT(F318,""(\d+)""))), 1))"),1.0)</f>
        <v>1</v>
      </c>
      <c r="O318" s="169">
        <v>1.0</v>
      </c>
      <c r="P318" s="134">
        <v>1.0</v>
      </c>
      <c r="Q318" s="135" t="str">
        <f t="shared" ref="Q318:Q319" si="247">M318*N318*O318*P318</f>
        <v>#REF!</v>
      </c>
      <c r="R318" s="136" t="str">
        <f>IFERROR(
  IF(B318="", "", VLOOKUP(B318, Data!$B$2:$K$905, 9, FALSE)),
  ""
)</f>
        <v/>
      </c>
      <c r="S318" s="152" t="str">
        <f t="shared" ref="S318:S319" si="248">R318*Q318</f>
        <v>#REF!</v>
      </c>
      <c r="T318" s="690"/>
      <c r="U318" s="136" t="str">
        <f>IFERROR(
  IF(B318="", "", VLOOKUP(B318, Data!$B$2:$K$905, 10, FALSE)),
  ""
)
</f>
        <v/>
      </c>
      <c r="V318" s="691"/>
      <c r="W318" s="140" t="str">
        <f t="shared" ref="W318:W319" si="249">U318*Q318</f>
        <v>#REF!</v>
      </c>
      <c r="X318" s="692"/>
      <c r="Y318" s="595"/>
      <c r="Z318" s="595"/>
      <c r="AA318" s="595"/>
      <c r="AB318" s="354" t="str">
        <f t="shared" ref="AB318:AB319" si="250">W318+S318</f>
        <v>#REF!</v>
      </c>
      <c r="AC318" s="181"/>
      <c r="AD318" s="625"/>
      <c r="AE318" s="626"/>
      <c r="AF318" s="696"/>
      <c r="AG318" s="697"/>
      <c r="AH318" s="629"/>
      <c r="AI318" s="187"/>
      <c r="AJ318" s="630"/>
      <c r="AK318" s="630"/>
      <c r="AL318" s="595"/>
      <c r="AM318" s="595"/>
      <c r="AN318" s="595"/>
      <c r="AO318" s="595"/>
      <c r="AP318" s="595"/>
      <c r="AQ318" s="595"/>
      <c r="AR318" s="595"/>
      <c r="AS318" s="595"/>
      <c r="AT318" s="595"/>
      <c r="AU318" s="595"/>
      <c r="AV318" s="595"/>
      <c r="AW318" s="595"/>
      <c r="AX318" s="595"/>
      <c r="AY318" s="595"/>
      <c r="AZ318" s="595"/>
      <c r="BA318" s="595"/>
      <c r="BB318" s="595"/>
      <c r="BC318" s="595"/>
      <c r="BD318" s="595"/>
      <c r="BE318" s="595"/>
      <c r="BF318" s="595"/>
      <c r="BG318" s="595"/>
      <c r="BH318" s="595"/>
      <c r="BI318" s="651"/>
      <c r="BJ318" s="651"/>
      <c r="BK318" s="651"/>
      <c r="BL318" s="651"/>
      <c r="BM318" s="651"/>
      <c r="BN318" s="651"/>
      <c r="BO318" s="651"/>
      <c r="BP318" s="651"/>
      <c r="BQ318" s="651"/>
      <c r="BR318" s="651"/>
      <c r="BS318" s="651"/>
      <c r="BT318" s="651"/>
    </row>
    <row r="319">
      <c r="A319" s="716" t="s">
        <v>435</v>
      </c>
      <c r="B319" s="768" t="s">
        <v>84</v>
      </c>
      <c r="C319" s="225" t="s">
        <v>85</v>
      </c>
      <c r="D319" s="124" t="s">
        <v>86</v>
      </c>
      <c r="E319" s="720" t="str">
        <f>E318</f>
        <v>#REF!</v>
      </c>
      <c r="F319" s="721"/>
      <c r="G319" s="700"/>
      <c r="H319" s="128" t="str">
        <f>IFERROR(__xludf.DUMMYFUNCTION("IF($B$15:$B927="""","""",
  VLOOKUP(
    $B$15:$B927,
    QUERY(
      IMPORTRANGE(""1Ag27m9YF5mMfJh2E6NipJDFvPLlDI1p-s_1XEnzMHcc"",""Merge!F2:R""),
      ""select Col1, Col11"",
      0
    ),
    2,
    FALSE
  )
)
"),"#REF!")</f>
        <v>#REF!</v>
      </c>
      <c r="I319" s="700"/>
      <c r="J319" s="126" t="s">
        <v>87</v>
      </c>
      <c r="K319" s="126" t="str">
        <f>IFERROR(
  IF(B319="", "", VLOOKUP(B319, Data!$B$2:$K$905, 7, FALSE)),
  ""
)</f>
        <v/>
      </c>
      <c r="L319" s="712"/>
      <c r="M319" s="169" t="str">
        <f>M318/E319/H319</f>
        <v>#REF!</v>
      </c>
      <c r="N319" s="151">
        <f>N318</f>
        <v>1</v>
      </c>
      <c r="O319" s="169">
        <v>1.0</v>
      </c>
      <c r="P319" s="134">
        <v>1.0</v>
      </c>
      <c r="Q319" s="135" t="str">
        <f t="shared" si="247"/>
        <v>#REF!</v>
      </c>
      <c r="R319" s="136" t="str">
        <f>IFERROR(
  IF(B319="", "", VLOOKUP(B319, Data!$B$2:$K$905, 9, FALSE)),
  ""
)</f>
        <v/>
      </c>
      <c r="S319" s="152" t="str">
        <f t="shared" si="248"/>
        <v>#REF!</v>
      </c>
      <c r="T319" s="690"/>
      <c r="U319" s="681" t="str">
        <f>IFERROR(
  IF(B319="", "", VLOOKUP(B319, Data!$B$2:$K$905, 10, FALSE)),
  ""
)
</f>
        <v/>
      </c>
      <c r="V319" s="691"/>
      <c r="W319" s="140" t="str">
        <f t="shared" si="249"/>
        <v>#REF!</v>
      </c>
      <c r="X319" s="692"/>
      <c r="Y319" s="693"/>
      <c r="Z319" s="694"/>
      <c r="AA319" s="595"/>
      <c r="AB319" s="354" t="str">
        <f t="shared" si="250"/>
        <v>#REF!</v>
      </c>
      <c r="AC319" s="181"/>
      <c r="AD319" s="625"/>
      <c r="AE319" s="626"/>
      <c r="AF319" s="696"/>
      <c r="AG319" s="697"/>
      <c r="AH319" s="629"/>
      <c r="AI319" s="187"/>
      <c r="AJ319" s="630"/>
      <c r="AK319" s="630"/>
      <c r="AL319" s="595"/>
      <c r="AM319" s="595"/>
      <c r="AN319" s="595"/>
      <c r="AO319" s="595"/>
      <c r="AP319" s="595"/>
      <c r="AQ319" s="595"/>
      <c r="AR319" s="595"/>
      <c r="AS319" s="595"/>
      <c r="AT319" s="595"/>
      <c r="AU319" s="595"/>
      <c r="AV319" s="595"/>
      <c r="AW319" s="595"/>
      <c r="AX319" s="595"/>
      <c r="AY319" s="595"/>
      <c r="AZ319" s="595"/>
      <c r="BA319" s="595"/>
      <c r="BB319" s="595"/>
      <c r="BC319" s="595"/>
      <c r="BD319" s="595"/>
      <c r="BE319" s="595"/>
      <c r="BF319" s="595"/>
      <c r="BG319" s="595"/>
      <c r="BH319" s="595"/>
      <c r="BI319" s="651"/>
      <c r="BJ319" s="651"/>
      <c r="BK319" s="651"/>
      <c r="BL319" s="651"/>
      <c r="BM319" s="651"/>
      <c r="BN319" s="651"/>
      <c r="BO319" s="651"/>
      <c r="BP319" s="651"/>
      <c r="BQ319" s="651"/>
      <c r="BR319" s="651"/>
      <c r="BS319" s="651"/>
      <c r="BT319" s="651"/>
    </row>
    <row r="320">
      <c r="A320" s="631"/>
      <c r="B320" s="154"/>
      <c r="C320" s="701"/>
      <c r="D320" s="701"/>
      <c r="E320" s="722"/>
      <c r="F320" s="699"/>
      <c r="G320" s="700"/>
      <c r="H320" s="700"/>
      <c r="I320" s="700"/>
      <c r="J320" s="701"/>
      <c r="K320" s="701" t="str">
        <f>IFERROR(
  IF(B320="", "", VLOOKUP(B320, Data!$B$2:$K$905, 7, FALSE)),
  ""
)</f>
        <v/>
      </c>
      <c r="L320" s="704"/>
      <c r="M320" s="704"/>
      <c r="N320" s="711" t="str">
        <f>IFERROR(__xludf.DUMMYFUNCTION("IF(B320="""", """", IFERROR(1 / COS(RADIANS(REGEXEXTRACT(F320,""(\d+)""))), 1))"),"")</f>
        <v/>
      </c>
      <c r="O320" s="712"/>
      <c r="P320" s="700"/>
      <c r="Q320" s="704"/>
      <c r="R320" s="681" t="str">
        <f>IFERROR(
  IF(B320="", "", VLOOKUP(B320, Data!$B$2:$K$905, 9, FALSE)),
  ""
)</f>
        <v/>
      </c>
      <c r="S320" s="691"/>
      <c r="T320" s="690"/>
      <c r="U320" s="681" t="str">
        <f>IFERROR(
  IF(B320="", "", VLOOKUP(B320, Data!$B$2:$K$905, 10, FALSE)),
  ""
)
</f>
        <v/>
      </c>
      <c r="V320" s="691"/>
      <c r="W320" s="713"/>
      <c r="X320" s="692"/>
      <c r="Y320" s="595"/>
      <c r="Z320" s="595"/>
      <c r="AA320" s="595"/>
      <c r="AB320" s="595"/>
      <c r="AC320" s="181"/>
      <c r="AD320" s="625"/>
      <c r="AE320" s="626"/>
      <c r="AF320" s="696"/>
      <c r="AG320" s="697"/>
      <c r="AH320" s="629"/>
      <c r="AI320" s="187"/>
      <c r="AJ320" s="630"/>
      <c r="AK320" s="630"/>
      <c r="AL320" s="595"/>
      <c r="AM320" s="595"/>
      <c r="AN320" s="595"/>
      <c r="AO320" s="595"/>
      <c r="AP320" s="595"/>
      <c r="AQ320" s="595"/>
      <c r="AR320" s="595"/>
      <c r="AS320" s="595"/>
      <c r="AT320" s="595"/>
      <c r="AU320" s="595"/>
      <c r="AV320" s="595"/>
      <c r="AW320" s="595"/>
      <c r="AX320" s="595"/>
      <c r="AY320" s="595"/>
      <c r="AZ320" s="595"/>
      <c r="BA320" s="595"/>
      <c r="BB320" s="595"/>
      <c r="BC320" s="595"/>
      <c r="BD320" s="595"/>
      <c r="BE320" s="595"/>
      <c r="BF320" s="595"/>
      <c r="BG320" s="595"/>
      <c r="BH320" s="595"/>
      <c r="BI320" s="651"/>
      <c r="BJ320" s="651"/>
      <c r="BK320" s="651"/>
      <c r="BL320" s="651"/>
      <c r="BM320" s="651"/>
      <c r="BN320" s="651"/>
      <c r="BO320" s="651"/>
      <c r="BP320" s="651"/>
      <c r="BQ320" s="651"/>
      <c r="BR320" s="651"/>
      <c r="BS320" s="651"/>
      <c r="BT320" s="651"/>
    </row>
    <row r="321">
      <c r="A321" s="631">
        <v>1.0</v>
      </c>
      <c r="B321" s="723"/>
      <c r="C321" s="89" t="s">
        <v>89</v>
      </c>
      <c r="D321" s="656"/>
      <c r="E321" s="658"/>
      <c r="F321" s="655"/>
      <c r="G321" s="656"/>
      <c r="H321" s="656"/>
      <c r="I321" s="656"/>
      <c r="J321" s="656"/>
      <c r="K321" s="656" t="s">
        <v>42</v>
      </c>
      <c r="L321" s="658"/>
      <c r="M321" s="658"/>
      <c r="N321" s="659"/>
      <c r="O321" s="658"/>
      <c r="P321" s="656"/>
      <c r="Q321" s="658"/>
      <c r="R321" s="681" t="str">
        <f>IFERROR(
  IF(B321="", "", VLOOKUP(B321, Data!$B$2:$K$905, 9, FALSE)),
  ""
)</f>
        <v/>
      </c>
      <c r="S321" s="662"/>
      <c r="T321" s="661"/>
      <c r="U321" s="681" t="str">
        <f>IFERROR(
  IF(B321="", "", VLOOKUP(B321, Data!$B$2:$K$905, 10, FALSE)),
  ""
)
</f>
        <v/>
      </c>
      <c r="V321" s="662"/>
      <c r="W321" s="663"/>
      <c r="X321" s="664"/>
      <c r="Y321" s="595"/>
      <c r="Z321" s="595"/>
      <c r="AA321" s="595"/>
      <c r="AB321" s="595"/>
      <c r="AC321" s="181"/>
      <c r="AD321" s="668"/>
      <c r="AE321" s="669"/>
      <c r="AF321" s="670"/>
      <c r="AG321" s="715"/>
      <c r="AH321" s="672"/>
      <c r="AI321" s="187"/>
      <c r="AJ321" s="673"/>
      <c r="AK321" s="673"/>
      <c r="AL321" s="595"/>
      <c r="AM321" s="595"/>
      <c r="AN321" s="595"/>
      <c r="AO321" s="595"/>
      <c r="AP321" s="595"/>
      <c r="AQ321" s="595"/>
      <c r="AR321" s="595"/>
      <c r="AS321" s="595"/>
      <c r="AT321" s="595"/>
      <c r="AU321" s="595"/>
      <c r="AV321" s="595"/>
      <c r="AW321" s="595"/>
      <c r="AX321" s="595"/>
      <c r="AY321" s="595"/>
      <c r="AZ321" s="595"/>
      <c r="BA321" s="595"/>
      <c r="BB321" s="595"/>
      <c r="BC321" s="595"/>
      <c r="BD321" s="595"/>
      <c r="BE321" s="595"/>
      <c r="BF321" s="595"/>
      <c r="BG321" s="595"/>
      <c r="BH321" s="595"/>
      <c r="BI321" s="651"/>
      <c r="BJ321" s="651"/>
      <c r="BK321" s="651"/>
      <c r="BL321" s="651"/>
      <c r="BM321" s="651"/>
      <c r="BN321" s="651"/>
      <c r="BO321" s="651"/>
      <c r="BP321" s="651"/>
      <c r="BQ321" s="651"/>
      <c r="BR321" s="651"/>
      <c r="BS321" s="651"/>
      <c r="BT321" s="651"/>
    </row>
    <row r="322">
      <c r="A322" s="631">
        <v>1.0</v>
      </c>
      <c r="B322" s="674"/>
      <c r="C322" s="157" t="s">
        <v>90</v>
      </c>
      <c r="D322" s="678"/>
      <c r="E322" s="679"/>
      <c r="F322" s="677"/>
      <c r="G322" s="678"/>
      <c r="H322" s="678"/>
      <c r="I322" s="678"/>
      <c r="J322" s="678"/>
      <c r="K322" s="678" t="s">
        <v>42</v>
      </c>
      <c r="L322" s="106" t="str">
        <f>Q322</f>
        <v>#REF!</v>
      </c>
      <c r="M322" s="679"/>
      <c r="N322" s="680"/>
      <c r="O322" s="679"/>
      <c r="P322" s="678"/>
      <c r="Q322" s="106" t="str">
        <f>Q323</f>
        <v>#REF!</v>
      </c>
      <c r="R322" s="681" t="str">
        <f>IFERROR(
  IF(B322="", "", VLOOKUP(B322, Data!$B$2:$K$905, 9, FALSE)),
  ""
)</f>
        <v/>
      </c>
      <c r="S322" s="724" t="str">
        <f>iferror(T322/Q322,"")</f>
        <v/>
      </c>
      <c r="T322" s="109" t="str">
        <f>SUM(S323:S324)</f>
        <v>#REF!</v>
      </c>
      <c r="U322" s="681" t="str">
        <f>IFERROR(
  IF(B322="", "", VLOOKUP(B322, Data!$B$2:$K$905, 10, FALSE)),
  ""
)
</f>
        <v/>
      </c>
      <c r="V322" s="724" t="str">
        <f>iferror(W322/Q322,"")</f>
        <v/>
      </c>
      <c r="W322" s="110" t="str">
        <f>SUM(W323:W324)</f>
        <v>#REF!</v>
      </c>
      <c r="X322" s="111" t="str">
        <f>W322/$AC$758/$W$765/$X$755</f>
        <v>#REF!</v>
      </c>
      <c r="Y322" s="112" t="str">
        <f>(T322+W322)=(SUM(AB323:AB324))</f>
        <v>#REF!</v>
      </c>
      <c r="Z322" s="113" t="str">
        <f>(T322+W322)-(SUM(AB323:AB324))</f>
        <v>#REF!</v>
      </c>
      <c r="AA322" s="595"/>
      <c r="AB322" s="595"/>
      <c r="AC322" s="181"/>
      <c r="AD322" s="114" t="str">
        <f>W322+T322</f>
        <v>#REF!</v>
      </c>
      <c r="AE322" s="115" t="str">
        <f>AD322</f>
        <v>#REF!</v>
      </c>
      <c r="AF322" s="116" t="str">
        <f>AE322/$AE$733</f>
        <v>#REF!</v>
      </c>
      <c r="AG322" s="683" t="str">
        <f>AF322*$AG$740</f>
        <v>#REF!</v>
      </c>
      <c r="AH322" s="118" t="str">
        <f>AF322*$AG$743</f>
        <v>#REF!</v>
      </c>
      <c r="AI322" s="187"/>
      <c r="AJ322" s="119" t="str">
        <f>ROUND(AK322/L322,2)</f>
        <v>#REF!</v>
      </c>
      <c r="AK322" s="119" t="str">
        <f>ROUND(AH322+AG322+AD322,2)</f>
        <v>#REF!</v>
      </c>
      <c r="AL322" s="595"/>
      <c r="AM322" s="595"/>
      <c r="AN322" s="595"/>
      <c r="AO322" s="595"/>
      <c r="AP322" s="595"/>
      <c r="AQ322" s="595"/>
      <c r="AR322" s="595"/>
      <c r="AS322" s="595"/>
      <c r="AT322" s="595"/>
      <c r="AU322" s="595"/>
      <c r="AV322" s="595"/>
      <c r="AW322" s="595"/>
      <c r="AX322" s="595"/>
      <c r="AY322" s="595"/>
      <c r="AZ322" s="595"/>
      <c r="BA322" s="595"/>
      <c r="BB322" s="595"/>
      <c r="BC322" s="595"/>
      <c r="BD322" s="595"/>
      <c r="BE322" s="595"/>
      <c r="BF322" s="595"/>
      <c r="BG322" s="595"/>
      <c r="BH322" s="595"/>
      <c r="BI322" s="651"/>
      <c r="BJ322" s="651"/>
      <c r="BK322" s="651"/>
      <c r="BL322" s="651"/>
      <c r="BM322" s="651"/>
      <c r="BN322" s="651"/>
      <c r="BO322" s="651"/>
      <c r="BP322" s="651"/>
      <c r="BQ322" s="651"/>
      <c r="BR322" s="651"/>
      <c r="BS322" s="651"/>
      <c r="BT322" s="651"/>
    </row>
    <row r="323">
      <c r="A323" s="703" t="s">
        <v>435</v>
      </c>
      <c r="B323" s="717" t="s">
        <v>91</v>
      </c>
      <c r="C323" s="158" t="s">
        <v>89</v>
      </c>
      <c r="D323" s="148" t="s">
        <v>92</v>
      </c>
      <c r="E323" s="725"/>
      <c r="F323" s="699"/>
      <c r="G323" s="689" t="s">
        <v>512</v>
      </c>
      <c r="H323" s="700" t="str">
        <f>IFERROR(__xludf.DUMMYFUNCTION("IFERROR(REGEXEXTRACT(C323, ""(\d*\.\d+)mm""), """")"),"")</f>
        <v/>
      </c>
      <c r="I323" s="700"/>
      <c r="J323" s="126" t="s">
        <v>87</v>
      </c>
      <c r="K323" s="128" t="s">
        <v>41</v>
      </c>
      <c r="L323" s="712"/>
      <c r="M323" s="169" t="str">
        <f>M318</f>
        <v>#REF!</v>
      </c>
      <c r="N323" s="151">
        <f>IFERROR(__xludf.DUMMYFUNCTION("IF(B323="""", """", IFERROR(1 / COS(RADIANS(REGEXEXTRACT(F323,""(\d+)""))), 1))"),1.0)</f>
        <v>1</v>
      </c>
      <c r="O323" s="169">
        <v>1.0</v>
      </c>
      <c r="P323" s="134">
        <v>1.0</v>
      </c>
      <c r="Q323" s="168" t="str">
        <f>M323*N323*O323*P323</f>
        <v>#REF!</v>
      </c>
      <c r="R323" s="136" t="str">
        <f>IFERROR(
  IF(B323="", "", VLOOKUP(B323, Data!$B$2:$K$905, 9, FALSE)),
  ""
)</f>
        <v/>
      </c>
      <c r="S323" s="137" t="str">
        <f>R323*Q323</f>
        <v>#REF!</v>
      </c>
      <c r="T323" s="690"/>
      <c r="U323" s="136" t="str">
        <f>IFERROR(
  IF(B323="", "", VLOOKUP(B323, Data!$B$2:$K$905, 10, FALSE)),
  ""
)
</f>
        <v/>
      </c>
      <c r="V323" s="691"/>
      <c r="W323" s="140" t="str">
        <f>U323*Q323</f>
        <v>#REF!</v>
      </c>
      <c r="X323" s="692"/>
      <c r="Y323" s="595"/>
      <c r="Z323" s="595"/>
      <c r="AA323" s="595"/>
      <c r="AB323" s="354" t="str">
        <f t="shared" ref="AB323:AB324" si="251">W323+S323</f>
        <v>#REF!</v>
      </c>
      <c r="AC323" s="181"/>
      <c r="AD323" s="625"/>
      <c r="AE323" s="626"/>
      <c r="AF323" s="696"/>
      <c r="AG323" s="697"/>
      <c r="AH323" s="629"/>
      <c r="AI323" s="187"/>
      <c r="AJ323" s="630"/>
      <c r="AK323" s="630"/>
      <c r="AL323" s="595"/>
      <c r="AM323" s="595"/>
      <c r="AN323" s="595"/>
      <c r="AO323" s="595"/>
      <c r="AP323" s="595"/>
      <c r="AQ323" s="595"/>
      <c r="AR323" s="595"/>
      <c r="AS323" s="595"/>
      <c r="AT323" s="595"/>
      <c r="AU323" s="595"/>
      <c r="AV323" s="595"/>
      <c r="AW323" s="595"/>
      <c r="AX323" s="595"/>
      <c r="AY323" s="595"/>
      <c r="AZ323" s="595"/>
      <c r="BA323" s="595"/>
      <c r="BB323" s="595"/>
      <c r="BC323" s="595"/>
      <c r="BD323" s="595"/>
      <c r="BE323" s="595"/>
      <c r="BF323" s="595"/>
      <c r="BG323" s="595"/>
      <c r="BH323" s="595"/>
      <c r="BI323" s="651"/>
      <c r="BJ323" s="651"/>
      <c r="BK323" s="651"/>
      <c r="BL323" s="651"/>
      <c r="BM323" s="651"/>
      <c r="BN323" s="651"/>
      <c r="BO323" s="651"/>
      <c r="BP323" s="651"/>
      <c r="BQ323" s="651"/>
      <c r="BR323" s="651"/>
      <c r="BS323" s="651"/>
      <c r="BT323" s="651"/>
    </row>
    <row r="324">
      <c r="A324" s="684"/>
      <c r="B324" s="717"/>
      <c r="C324" s="701"/>
      <c r="D324" s="701"/>
      <c r="E324" s="725"/>
      <c r="F324" s="699"/>
      <c r="G324" s="700"/>
      <c r="H324" s="700"/>
      <c r="I324" s="700"/>
      <c r="J324" s="701"/>
      <c r="K324" s="700" t="s">
        <v>42</v>
      </c>
      <c r="L324" s="712"/>
      <c r="M324" s="712" t="s">
        <v>42</v>
      </c>
      <c r="N324" s="711" t="str">
        <f>IFERROR(__xludf.DUMMYFUNCTION("IF(B324="""", """", IFERROR(1 / COS(RADIANS(REGEXEXTRACT(F324,""(\d+)""))), 1))"),"")</f>
        <v/>
      </c>
      <c r="O324" s="712"/>
      <c r="P324" s="700"/>
      <c r="Q324" s="704"/>
      <c r="R324" s="681" t="str">
        <f>IFERROR(
  IF(B324="", "", VLOOKUP(B324, Data!$B$2:$K$905, 9, FALSE)),
  ""
)</f>
        <v/>
      </c>
      <c r="S324" s="691"/>
      <c r="T324" s="690"/>
      <c r="U324" s="681" t="str">
        <f>IFERROR(
  IF(B324="", "", VLOOKUP(B324, Data!$B$2:$K$905, 10, FALSE)),
  ""
)
</f>
        <v/>
      </c>
      <c r="V324" s="691"/>
      <c r="W324" s="713"/>
      <c r="X324" s="692"/>
      <c r="Y324" s="693"/>
      <c r="Z324" s="694"/>
      <c r="AA324" s="595"/>
      <c r="AB324" s="354">
        <f t="shared" si="251"/>
        <v>0</v>
      </c>
      <c r="AC324" s="181"/>
      <c r="AD324" s="625"/>
      <c r="AE324" s="626"/>
      <c r="AF324" s="696"/>
      <c r="AG324" s="697"/>
      <c r="AH324" s="629"/>
      <c r="AI324" s="187"/>
      <c r="AJ324" s="630"/>
      <c r="AK324" s="630"/>
      <c r="AL324" s="595"/>
      <c r="AM324" s="595"/>
      <c r="AN324" s="595"/>
      <c r="AO324" s="595"/>
      <c r="AP324" s="595"/>
      <c r="AQ324" s="595"/>
      <c r="AR324" s="595"/>
      <c r="AS324" s="595"/>
      <c r="AT324" s="595"/>
      <c r="AU324" s="595"/>
      <c r="AV324" s="595"/>
      <c r="AW324" s="595"/>
      <c r="AX324" s="595"/>
      <c r="AY324" s="595"/>
      <c r="AZ324" s="595"/>
      <c r="BA324" s="595"/>
      <c r="BB324" s="595"/>
      <c r="BC324" s="595"/>
      <c r="BD324" s="595"/>
      <c r="BE324" s="595"/>
      <c r="BF324" s="595"/>
      <c r="BG324" s="595"/>
      <c r="BH324" s="595"/>
      <c r="BI324" s="651"/>
      <c r="BJ324" s="651"/>
      <c r="BK324" s="651"/>
      <c r="BL324" s="651"/>
      <c r="BM324" s="651"/>
      <c r="BN324" s="651"/>
      <c r="BO324" s="651"/>
      <c r="BP324" s="651"/>
      <c r="BQ324" s="651"/>
      <c r="BR324" s="651"/>
      <c r="BS324" s="651"/>
      <c r="BT324" s="651"/>
    </row>
    <row r="325">
      <c r="A325" s="631">
        <v>1.0</v>
      </c>
      <c r="B325" s="764" t="s">
        <v>425</v>
      </c>
      <c r="C325" s="89" t="s">
        <v>93</v>
      </c>
      <c r="D325" s="172"/>
      <c r="E325" s="654"/>
      <c r="F325" s="655"/>
      <c r="G325" s="656"/>
      <c r="H325" s="656"/>
      <c r="I325" s="656"/>
      <c r="J325" s="656"/>
      <c r="K325" s="656" t="s">
        <v>42</v>
      </c>
      <c r="L325" s="658"/>
      <c r="M325" s="658" t="s">
        <v>42</v>
      </c>
      <c r="N325" s="659"/>
      <c r="O325" s="658"/>
      <c r="P325" s="656"/>
      <c r="Q325" s="658"/>
      <c r="R325" s="681" t="str">
        <f>IFERROR(
  IF(B325="", "", VLOOKUP(B325, Data!$B$2:$K$905, 9, FALSE)),
  ""
)</f>
        <v/>
      </c>
      <c r="S325" s="662"/>
      <c r="T325" s="661"/>
      <c r="U325" s="681" t="str">
        <f>IFERROR(
  IF(B325="", "", VLOOKUP(B325, Data!$B$2:$K$905, 10, FALSE)),
  ""
)
</f>
        <v/>
      </c>
      <c r="V325" s="662"/>
      <c r="W325" s="663"/>
      <c r="X325" s="692"/>
      <c r="Y325" s="595"/>
      <c r="Z325" s="595"/>
      <c r="AA325" s="595"/>
      <c r="AB325" s="595"/>
      <c r="AC325" s="181"/>
      <c r="AD325" s="625"/>
      <c r="AE325" s="626"/>
      <c r="AF325" s="696"/>
      <c r="AG325" s="697"/>
      <c r="AH325" s="629"/>
      <c r="AI325" s="187"/>
      <c r="AJ325" s="630"/>
      <c r="AK325" s="630"/>
      <c r="AL325" s="595"/>
      <c r="AM325" s="595"/>
      <c r="AN325" s="595"/>
      <c r="AO325" s="595"/>
      <c r="AP325" s="595"/>
      <c r="AQ325" s="595"/>
      <c r="AR325" s="595"/>
      <c r="AS325" s="595"/>
      <c r="AT325" s="595"/>
      <c r="AU325" s="595"/>
      <c r="AV325" s="595"/>
      <c r="AW325" s="595"/>
      <c r="AX325" s="595"/>
      <c r="AY325" s="595"/>
      <c r="AZ325" s="595"/>
      <c r="BA325" s="595"/>
      <c r="BB325" s="595"/>
      <c r="BC325" s="595"/>
      <c r="BD325" s="595"/>
      <c r="BE325" s="595"/>
      <c r="BF325" s="595"/>
      <c r="BG325" s="595"/>
      <c r="BH325" s="595"/>
      <c r="BI325" s="651"/>
      <c r="BJ325" s="651"/>
      <c r="BK325" s="651"/>
      <c r="BL325" s="651"/>
      <c r="BM325" s="651"/>
      <c r="BN325" s="651"/>
      <c r="BO325" s="651"/>
      <c r="BP325" s="651"/>
      <c r="BQ325" s="651"/>
      <c r="BR325" s="651"/>
      <c r="BS325" s="651"/>
      <c r="BT325" s="651"/>
    </row>
    <row r="326">
      <c r="A326" s="631">
        <v>1.0</v>
      </c>
      <c r="B326" s="727"/>
      <c r="C326" s="157" t="s">
        <v>452</v>
      </c>
      <c r="D326" s="678"/>
      <c r="E326" s="676"/>
      <c r="F326" s="677"/>
      <c r="G326" s="678"/>
      <c r="H326" s="678"/>
      <c r="I326" s="678"/>
      <c r="J326" s="678"/>
      <c r="K326" s="678" t="s">
        <v>42</v>
      </c>
      <c r="L326" s="106">
        <f>Q326</f>
        <v>36.89055723</v>
      </c>
      <c r="M326" s="679" t="s">
        <v>42</v>
      </c>
      <c r="N326" s="680"/>
      <c r="O326" s="679"/>
      <c r="P326" s="678"/>
      <c r="Q326" s="106">
        <f>Q327</f>
        <v>36.89055723</v>
      </c>
      <c r="R326" s="681" t="str">
        <f>IFERROR(
  IF(B326="", "", VLOOKUP(B326, Data!$B$2:$K$905, 9, FALSE)),
  ""
)</f>
        <v/>
      </c>
      <c r="S326" s="682">
        <f>IFERROR(T326/Q326, 0)</f>
        <v>0</v>
      </c>
      <c r="T326" s="109">
        <f>SUM(S327:S335)</f>
        <v>0</v>
      </c>
      <c r="U326" s="681" t="str">
        <f>IFERROR(
  IF(B326="", "", VLOOKUP(B326, Data!$B$2:$K$905, 10, FALSE)),
  ""
)
</f>
        <v/>
      </c>
      <c r="V326" s="109">
        <f>W326/Q326</f>
        <v>0</v>
      </c>
      <c r="W326" s="110">
        <f>SUM(W327:W335)</f>
        <v>0</v>
      </c>
      <c r="X326" s="111" t="str">
        <f>W326/$AC$758/$W$765/$X$755</f>
        <v>#REF!</v>
      </c>
      <c r="Y326" s="112" t="b">
        <f>(T326+W326)=(SUM(AB327:AB335))</f>
        <v>1</v>
      </c>
      <c r="Z326" s="113">
        <f>(T326+W326)-(SUM(AB327:AB335))</f>
        <v>0</v>
      </c>
      <c r="AA326" s="595"/>
      <c r="AB326" s="595"/>
      <c r="AC326" s="181"/>
      <c r="AD326" s="114">
        <f>W326+T326</f>
        <v>0</v>
      </c>
      <c r="AE326" s="115">
        <f>AD326</f>
        <v>0</v>
      </c>
      <c r="AF326" s="116" t="str">
        <f>AE326/$AE$733</f>
        <v>#REF!</v>
      </c>
      <c r="AG326" s="683" t="str">
        <f>AF326*$AG$740</f>
        <v>#REF!</v>
      </c>
      <c r="AH326" s="118" t="str">
        <f>AF326*$AG$743</f>
        <v>#REF!</v>
      </c>
      <c r="AI326" s="187"/>
      <c r="AJ326" s="119" t="str">
        <f>ROUND(AK326/L326,2)</f>
        <v>#REF!</v>
      </c>
      <c r="AK326" s="119" t="str">
        <f>ROUND(AH326+AG326+AD326,2)</f>
        <v>#REF!</v>
      </c>
      <c r="AL326" s="595"/>
      <c r="AM326" s="595"/>
      <c r="AN326" s="595"/>
      <c r="AO326" s="595"/>
      <c r="AP326" s="595"/>
      <c r="AQ326" s="595"/>
      <c r="AR326" s="595"/>
      <c r="AS326" s="595"/>
      <c r="AT326" s="595"/>
      <c r="AU326" s="595"/>
      <c r="AV326" s="595"/>
      <c r="AW326" s="595"/>
      <c r="AX326" s="595"/>
      <c r="AY326" s="595"/>
      <c r="AZ326" s="595"/>
      <c r="BA326" s="595"/>
      <c r="BB326" s="595"/>
      <c r="BC326" s="595"/>
      <c r="BD326" s="595"/>
      <c r="BE326" s="595"/>
      <c r="BF326" s="595"/>
      <c r="BG326" s="595"/>
      <c r="BH326" s="595"/>
      <c r="BI326" s="651"/>
      <c r="BJ326" s="651"/>
      <c r="BK326" s="651"/>
      <c r="BL326" s="651"/>
      <c r="BM326" s="651"/>
      <c r="BN326" s="651"/>
      <c r="BO326" s="651"/>
      <c r="BP326" s="651"/>
      <c r="BQ326" s="651"/>
      <c r="BR326" s="651"/>
      <c r="BS326" s="651"/>
      <c r="BT326" s="651"/>
    </row>
    <row r="327">
      <c r="A327" s="703" t="s">
        <v>444</v>
      </c>
      <c r="B327" s="154" t="str">
        <f>IFERROR(__xludf.DUMMYFUNCTION("IFERROR(
  IF(C327="""","""",
    IF(OR(REGEXMATCH(D327,""(?i)-Flashing""), REGEXMATCH(D327,""(?i)-EavesGut""), REGEXMATCH(D327,""(?i)Valley"")),
        ""DR"" &amp;
        TEXT(
            ROUNDUP(
                VALUE(MID(C327, FIND(""("",C327)+1, FIND("&amp;"""/"",C327)-FIND(""("",C327)-1)) / 50,
            0) * 50, ""0""
        ) &amp;
        MID(C327, FIND(""/"",C327)+1, FIND("")"",C327)-FIND(""/"",C327)-1) &amp;
        TEXT(H327*100,""0"") &amp;
        I327,
    IF(AND(D327=""Roof Sheet"", REGEXMATCH(C327,""(?i)K"&amp;"S\d{4}[A-Z]{2}"")),
       REGEXEXTRACT(C327,""(?i)KS\d{4}[A-Z]{2}""),
    IF(AND(REGEXMATCH(D327,""(?i)-DP""), REGEXMATCH(C327,""(?i)Downpipe"")),
       ""dp"" &amp; REGEXEXTRACT(C327,""(\d+)"") &amp; ""mm"",
    IF(AND(REGEXMATCH(D327,""(?i)Bracket""), REGEXMA"&amp;"TCH(C327,""(?i)Bracket"")),
       ""Brkt"" &amp; REGEXEXTRACT(C327,""(\d+)"") &amp; ""mm"",
    IF(AND(REGEXMATCH(D327,""(?i)-OP""), REGEXMATCH(C327,""(?i)pops"")),
       ""op"" &amp; REGEXEXTRACT(C327,""(\d+)"") &amp; ""mm"",
    IF(OR(D327=""R-FFTop"", D327=""R-FFBot"&amp;"tom"", D327=""R-FFSide""),
        IF(REGEXMATCH(C327,""(?i)Profiled.*Top|Top.*Profiled""),""pfft"",
        IF(REGEXMATCH(C327,""(?i)Profiled.*Bottom|Bottom.*Profiled""),""pffb"",
        IF(REGEXMATCH(C327,""(?i)Square""),""sff"",""""))),
    IF(REGEXMA"&amp;"TCH(D327,""(?i)-Rivets""),""Rvt"",
    IF(REGEXMATCH(D327,""(?i)Silicone""),""300ml"",
    IF(REGEXMATCH(D327,""(?i)R-Butyl""),""300ml"",
    IF(REGEXMATCH(D327,""(?i)Fix""),""GenFix"",
    IF(AND(REGEXMATCH(C327,""(?i)Timber""), REGEXMATCH(D327,""(?i)Tim"&amp;"ber"")),""tp"",
    IF(AND(REGEXMATCH(C327,""(?i)Vent G1275""), REGEXMATCH(D327,""(?i)Comb FIller"")),""CFV1275"",
    IF(REGEXMATCH(C327,""(?i)DPC""),""dpc"",
    IF(REGEXMATCH(C327,""(?i)Concealed Clips""),""ConClips"",
    IF(REGEXMATCH(D327,""(?i)-Tak"&amp;"eoff ea""),""Takeoff ea"",
    IF(REGEXMATCH(D327,""(?i)-Takeoff LM""),""Takeoff LM"",
    IF(REGEXMATCH(D327,""(?i)-Takeoff m2""),""Takeoff m2"",
    IF(D327=""R-TU/TD"",""TU/TD"","""")))))))))))))))))
  )))"),"DR8003B55Mag")</f>
        <v>DR8003B55Mag</v>
      </c>
      <c r="C327" s="158" t="s">
        <v>502</v>
      </c>
      <c r="D327" s="124" t="s">
        <v>96</v>
      </c>
      <c r="E327" s="687">
        <f>VALUE(MID(C327, FIND("(", C327)+1, FIND("/", C327)-FIND("(", C327)-1)) / 1000</f>
        <v>0.78</v>
      </c>
      <c r="F327" s="699"/>
      <c r="G327" s="689" t="s">
        <v>512</v>
      </c>
      <c r="H327" s="128" t="str">
        <f>IFERROR(__xludf.DUMMYFUNCTION("IFERROR(REGEXEXTRACT(C327, ""(\d*\.\d+)mm""), """")"),"0.55")</f>
        <v>0.55</v>
      </c>
      <c r="I327" s="128" t="s">
        <v>97</v>
      </c>
      <c r="J327" s="126" t="s">
        <v>14</v>
      </c>
      <c r="K327" s="126" t="str">
        <f>IFERROR(
  IF(B327="", "", VLOOKUP(B327, Data!$B$2:$K$905, 7, FALSE)),
  ""
)</f>
        <v/>
      </c>
      <c r="L327" s="704"/>
      <c r="M327" s="730">
        <v>36.84</v>
      </c>
      <c r="N327" s="151">
        <f>IFERROR(__xludf.DUMMYFUNCTION("IF(
  AND(
    IFERROR(REGEXEXTRACT(C327,""@\s*(\d+(?:\.\d+)?)\s*deg""),"""")&lt;&gt;"""",
    F327&lt;&gt;""""
  ),
  ""Pls Confirm °"",
  IF(
    IFERROR(REGEXEXTRACT(C327,""@\s*(\d+(?:\.\d+)?)\s*deg""),"""")&lt;&gt;"""",
    1/COS(RADIANS(REGEXEXTRACT(C327,""@\s*(\d+(?:"&amp;"\.\d+)?)\s*deg""))),
    IF(
      F327&lt;&gt;"""",
      IF(
        ISNUMBER(SEARCH(""|"",F327)),
        1/COS(
          ATAN(
            TAN(RADIANS(VALUE(INDEX(SPLIT(F327,""|""),1)))) *
            TAN(RADIANS(VALUE(INDEX(SPLIT(F327,""|""),2))))
       "&amp;"     /
            SQRT(
              TAN(RADIANS(VALUE(INDEX(SPLIT(F327,""|""),1))))^2 +
              TAN(RADIANS(VALUE(INDEX(SPLIT(F327,""|""),2))))^2
            )
          )
        ),
        1/COS(RADIANS(VALUE(F327)))
      ),
      1
    )
  )
"&amp;")"),1.001372345997921)</f>
        <v>1.001372346</v>
      </c>
      <c r="O327" s="169">
        <v>1.0</v>
      </c>
      <c r="P327" s="134">
        <v>1.0</v>
      </c>
      <c r="Q327" s="168">
        <f t="shared" ref="Q327:Q331" si="252">M327*N327*O327*P327</f>
        <v>36.89055723</v>
      </c>
      <c r="R327" s="136" t="str">
        <f>IFERROR(
  IF(B327="", "", VLOOKUP(B327, Data!$B$2:$K$905, 9, FALSE)),
  ""
)</f>
        <v/>
      </c>
      <c r="S327" s="152">
        <f t="shared" ref="S327:S331" si="253">R327*Q327</f>
        <v>0</v>
      </c>
      <c r="T327" s="690"/>
      <c r="U327" s="136" t="str">
        <f>IFERROR(
  IF(B327="", "", VLOOKUP(B327, Data!$B$2:$K$905, 10, FALSE)),
  ""
)
</f>
        <v/>
      </c>
      <c r="V327" s="691"/>
      <c r="W327" s="140">
        <f t="shared" ref="W327:W331" si="254">U327*Q327</f>
        <v>0</v>
      </c>
      <c r="X327" s="692"/>
      <c r="Y327" s="693"/>
      <c r="Z327" s="731"/>
      <c r="AA327" s="595"/>
      <c r="AB327" s="354">
        <f t="shared" ref="AB327:AB331" si="255">W327+S327</f>
        <v>0</v>
      </c>
      <c r="AC327" s="181"/>
      <c r="AD327" s="625"/>
      <c r="AE327" s="626"/>
      <c r="AF327" s="696"/>
      <c r="AG327" s="697"/>
      <c r="AH327" s="629"/>
      <c r="AI327" s="187"/>
      <c r="AJ327" s="630"/>
      <c r="AK327" s="630"/>
      <c r="AL327" s="595"/>
      <c r="AM327" s="595"/>
      <c r="AN327" s="595"/>
      <c r="AO327" s="595"/>
      <c r="AP327" s="595"/>
      <c r="AQ327" s="595"/>
      <c r="AR327" s="595"/>
      <c r="AS327" s="595"/>
      <c r="AT327" s="595"/>
      <c r="AU327" s="595"/>
      <c r="AV327" s="595"/>
      <c r="AW327" s="595"/>
      <c r="AX327" s="595"/>
      <c r="AY327" s="595"/>
      <c r="AZ327" s="595"/>
      <c r="BA327" s="595"/>
      <c r="BB327" s="595"/>
      <c r="BC327" s="595"/>
      <c r="BD327" s="595"/>
      <c r="BE327" s="595"/>
      <c r="BF327" s="595"/>
      <c r="BG327" s="595"/>
      <c r="BH327" s="595"/>
      <c r="BI327" s="651"/>
      <c r="BJ327" s="651"/>
      <c r="BK327" s="651"/>
      <c r="BL327" s="651"/>
      <c r="BM327" s="651"/>
      <c r="BN327" s="651"/>
      <c r="BO327" s="651"/>
      <c r="BP327" s="651"/>
      <c r="BQ327" s="651"/>
      <c r="BR327" s="651"/>
      <c r="BS327" s="651"/>
      <c r="BT327" s="651"/>
    </row>
    <row r="328">
      <c r="A328" s="684"/>
      <c r="B328" s="154" t="str">
        <f>IFERROR(__xludf.DUMMYFUNCTION("IFERROR(
  IF(C328="""","""",
    IF(OR(REGEXMATCH(D328,""(?i)-Flashing""), REGEXMATCH(D328,""(?i)-EavesGut""), REGEXMATCH(D328,""(?i)Valley"")),
        ""DR"" &amp;
        TEXT(
            ROUNDUP(
                MIN(
                    VALUE(MID(C328, "&amp;"FIND(""("",C328)+1, FIND(""/"",C328)-FIND(""("",C328)-1)),
                    1200
                ) / 50, 0
            ) * 50, ""0""
        ) &amp;
        MID(C328, FIND(""/"",C328)+1, FIND("")"",C328)-FIND(""/"",C328)-1) &amp;
        TEXT(H328*100,""0"") &amp;"&amp;"
        I328,
    IF(AND(D328=""Roof Sheet"", REGEXMATCH(C328,""(?i)KS\d{4}[A-Z]{2}"")),
       REGEXEXTRACT(C328,""(?i)KS\d{4}[A-Z]{2}""),
    IF(AND(REGEXMATCH(D328,""(?i)-DP""), REGEXMATCH(C328,""(?i)Downpipe"")),
       ""dp"" &amp; REGEXEXTRACT(C328,""("&amp;"\d+)"") &amp; ""mm"",
    IF(AND(REGEXMATCH(D328,""(?i)Bracket""), REGEXMATCH(C328,""(?i)Bracket"")),
       ""Brkt"" &amp; REGEXEXTRACT(C328,""(\d+)"") &amp; ""mm"",
    IF(AND(REGEXMATCH(D328,""(?i)-OP""), REGEXMATCH(C328,""(?i)pops"")),
       ""op"" &amp; REGEXEXTRAC"&amp;"T(C328,""(\d+)"") &amp; ""mm"",
    IF(OR(D328=""R-FFTop"", D328=""R-FFBottom"", D328=""R-FFSide""),
        IF(REGEXMATCH(C328,""(?i)Profiled.*Top|Top.*Profiled""),""pfft"",
        IF(REGEXMATCH(C328,""(?i)Profiled.*Bottom|Bottom.*Profiled""),""pffb"",
    "&amp;"    IF(REGEXMATCH(C328,""(?i)Square""),""sff"",""""))),
    IF(REGEXMATCH(D328,""(?i)-Rivets""),""Rvt"",
    IF(REGEXMATCH(D328,""(?i)Silicone""),""300ml"",
    IF(REGEXMATCH(D328,""(?i)R-Butyl""),""300ml"",
    IF(REGEXMATCH(D328,""(?i)Fix""),""GenFix"","&amp;"
    IF(AND(REGEXMATCH(C328,""(?i)Timber""), REGEXMATCH(D328,""(?i)Timber"")),""tp"",
    IF(AND(REGEXMATCH(C328,""(?i)Vent G1275""), REGEXMATCH(D328,""(?i)Comb FIller"")),""CFV1275"",
    IF(REGEXMATCH(C328,""(?i)DPC""),""dpc"",
    IF(REGEXMATCH(C328,"""&amp;"(?i)Concealed Clips""),""ConClips"",
    IF(REGEXMATCH(D328,""(?i)-Takeoff ea""),""Takeoff ea"",
    IF(REGEXMATCH(D328,""(?i)-Takeoff LM""),""Takeoff LM"",
    IF(REGEXMATCH(D328,""(?i)-Takeoff m2""),""Takeoff m2"",
    IF(D328=""R-TU/TD"",""TU/TD"","""""&amp;")))))))))))))))))
  )))"),"300ml")</f>
        <v>300ml</v>
      </c>
      <c r="C328" s="225" t="s">
        <v>98</v>
      </c>
      <c r="D328" s="124" t="s">
        <v>99</v>
      </c>
      <c r="E328" s="687">
        <f>E327</f>
        <v>0.78</v>
      </c>
      <c r="F328" s="721"/>
      <c r="G328" s="700"/>
      <c r="H328" s="700" t="str">
        <f>IFERROR(__xludf.DUMMYFUNCTION("IFERROR(REGEXEXTRACT(C328, ""(\d*\.\d+)mm""), """")"),"")</f>
        <v/>
      </c>
      <c r="I328" s="700"/>
      <c r="J328" s="126" t="s">
        <v>87</v>
      </c>
      <c r="K328" s="126" t="str">
        <f>IFERROR(
  IF(B328="", "", VLOOKUP(B328, Data!$B$2:$K$905, 7, FALSE)),
  ""
)</f>
        <v/>
      </c>
      <c r="L328" s="704"/>
      <c r="M328" s="150">
        <f>(ROUNDDOWN((M327/5.7)+2,0)*E328)/8</f>
        <v>0.78</v>
      </c>
      <c r="N328" s="151">
        <f t="shared" ref="N328:N335" si="256">if(B328="","",(if(N327="",N326,N327)))</f>
        <v>1.001372346</v>
      </c>
      <c r="O328" s="169">
        <v>1.0</v>
      </c>
      <c r="P328" s="134">
        <v>1.0</v>
      </c>
      <c r="Q328" s="168">
        <f t="shared" si="252"/>
        <v>0.7810704299</v>
      </c>
      <c r="R328" s="136" t="str">
        <f>IFERROR(
  IF(B328="", "", VLOOKUP(B328, Data!$B$2:$K$905, 9, FALSE)),
  ""
)</f>
        <v/>
      </c>
      <c r="S328" s="152">
        <f t="shared" si="253"/>
        <v>0</v>
      </c>
      <c r="T328" s="690"/>
      <c r="U328" s="681" t="str">
        <f>IFERROR(
  IF(B328="", "", VLOOKUP(B328, Data!$B$2:$K$905, 10, FALSE)),
  ""
)
</f>
        <v/>
      </c>
      <c r="V328" s="691"/>
      <c r="W328" s="140">
        <f t="shared" si="254"/>
        <v>0</v>
      </c>
      <c r="X328" s="692"/>
      <c r="Y328" s="595"/>
      <c r="Z328" s="595"/>
      <c r="AA328" s="595"/>
      <c r="AB328" s="354">
        <f t="shared" si="255"/>
        <v>0</v>
      </c>
      <c r="AC328" s="181"/>
      <c r="AD328" s="625"/>
      <c r="AE328" s="626"/>
      <c r="AF328" s="696"/>
      <c r="AG328" s="697"/>
      <c r="AH328" s="629"/>
      <c r="AI328" s="187"/>
      <c r="AJ328" s="630"/>
      <c r="AK328" s="630"/>
      <c r="AL328" s="595"/>
      <c r="AM328" s="595"/>
      <c r="AN328" s="595"/>
      <c r="AO328" s="595"/>
      <c r="AP328" s="595"/>
      <c r="AQ328" s="595"/>
      <c r="AR328" s="595"/>
      <c r="AS328" s="595"/>
      <c r="AT328" s="595"/>
      <c r="AU328" s="595"/>
      <c r="AV328" s="595"/>
      <c r="AW328" s="595"/>
      <c r="AX328" s="595"/>
      <c r="AY328" s="595"/>
      <c r="AZ328" s="595"/>
      <c r="BA328" s="595"/>
      <c r="BB328" s="595"/>
      <c r="BC328" s="595"/>
      <c r="BD328" s="595"/>
      <c r="BE328" s="595"/>
      <c r="BF328" s="595"/>
      <c r="BG328" s="595"/>
      <c r="BH328" s="595"/>
      <c r="BI328" s="651"/>
      <c r="BJ328" s="651"/>
      <c r="BK328" s="651"/>
      <c r="BL328" s="651"/>
      <c r="BM328" s="651"/>
      <c r="BN328" s="651"/>
      <c r="BO328" s="651"/>
      <c r="BP328" s="651"/>
      <c r="BQ328" s="651"/>
      <c r="BR328" s="651"/>
      <c r="BS328" s="651"/>
      <c r="BT328" s="651"/>
    </row>
    <row r="329">
      <c r="A329" s="684"/>
      <c r="B329" s="154" t="str">
        <f>IFERROR(__xludf.DUMMYFUNCTION("IFERROR(
  IF(C329="""","""",
    IF(OR(REGEXMATCH(D329,""(?i)-Flashing""), REGEXMATCH(D329,""(?i)-EavesGut""), REGEXMATCH(D329,""(?i)Valley"")),
        ""DR"" &amp;
        TEXT(
            ROUNDUP(
                MIN(
                    VALUE(MID(C329, "&amp;"FIND(""("",C329)+1, FIND(""/"",C329)-FIND(""("",C329)-1)),
                    1200
                ) / 50, 0
            ) * 50, ""0""
        ) &amp;
        MID(C329, FIND(""/"",C329)+1, FIND("")"",C329)-FIND(""/"",C329)-1) &amp;
        TEXT(H329*100,""0"") &amp;"&amp;"
        I329,
    IF(AND(D329=""Roof Sheet"", REGEXMATCH(C329,""(?i)KS\d{4}[A-Z]{2}"")),
       REGEXEXTRACT(C329,""(?i)KS\d{4}[A-Z]{2}""),
    IF(AND(REGEXMATCH(D329,""(?i)-DP""), REGEXMATCH(C329,""(?i)Downpipe"")),
       ""dp"" &amp; REGEXEXTRACT(C329,""("&amp;"\d+)"") &amp; ""mm"",
    IF(AND(REGEXMATCH(D329,""(?i)Bracket""), REGEXMATCH(C329,""(?i)Bracket"")),
       ""Brkt"" &amp; REGEXEXTRACT(C329,""(\d+)"") &amp; ""mm"",
    IF(AND(REGEXMATCH(D329,""(?i)-OP""), REGEXMATCH(C329,""(?i)pops"")),
       ""op"" &amp; REGEXEXTRAC"&amp;"T(C329,""(\d+)"") &amp; ""mm"",
    IF(OR(D329=""R-FFTop"", D329=""R-FFBottom"", D329=""R-FFSide""),
        IF(REGEXMATCH(C329,""(?i)Profiled.*Top|Top.*Profiled""),""pfft"",
        IF(REGEXMATCH(C329,""(?i)Profiled.*Bottom|Bottom.*Profiled""),""pffb"",
    "&amp;"    IF(REGEXMATCH(C329,""(?i)Square""),""sff"",""""))),
    IF(REGEXMATCH(D329,""(?i)-Rivets""),""Rvt"",
    IF(REGEXMATCH(D329,""(?i)Silicone""),""300ml"",
    IF(REGEXMATCH(D329,""(?i)R-Butyl""),""300ml"",
    IF(REGEXMATCH(D329,""(?i)Fix""),""GenFix"","&amp;"
    IF(AND(REGEXMATCH(C329,""(?i)Timber""), REGEXMATCH(D329,""(?i)Timber"")),""tp"",
    IF(AND(REGEXMATCH(C329,""(?i)Vent G1275""), REGEXMATCH(D329,""(?i)Comb FIller"")),""CFV1275"",
    IF(REGEXMATCH(C329,""(?i)DPC""),""dpc"",
    IF(REGEXMATCH(C329,"""&amp;"(?i)Concealed Clips""),""ConClips"",
    IF(REGEXMATCH(D329,""(?i)-Takeoff ea""),""Takeoff ea"",
    IF(REGEXMATCH(D329,""(?i)-Takeoff LM""),""Takeoff LM"",
    IF(REGEXMATCH(D329,""(?i)-Takeoff m2""),""Takeoff m2"",
    IF(D329=""R-TU/TD"",""TU/TD"","""""&amp;")))))))))))))))))
  )))"),"Rvt")</f>
        <v>Rvt</v>
      </c>
      <c r="C329" s="225" t="s">
        <v>100</v>
      </c>
      <c r="D329" s="124" t="s">
        <v>101</v>
      </c>
      <c r="E329" s="687">
        <f>E327</f>
        <v>0.78</v>
      </c>
      <c r="F329" s="721"/>
      <c r="G329" s="700"/>
      <c r="H329" s="700" t="str">
        <f>IFERROR(__xludf.DUMMYFUNCTION("IFERROR(REGEXEXTRACT(C329, ""(\d*\.\d+)mm""), """")"),"")</f>
        <v/>
      </c>
      <c r="I329" s="700"/>
      <c r="J329" s="126" t="s">
        <v>87</v>
      </c>
      <c r="K329" s="126" t="str">
        <f>IFERROR(
  IF(B329="", "", VLOOKUP(B329, Data!$B$2:$K$905, 7, FALSE)),
  ""
)</f>
        <v/>
      </c>
      <c r="L329" s="704"/>
      <c r="M329" s="150">
        <f>ROUNDUP(((M327/5.7)+1)*(E329/0.05),0)</f>
        <v>117</v>
      </c>
      <c r="N329" s="151">
        <f t="shared" si="256"/>
        <v>1.001372346</v>
      </c>
      <c r="O329" s="169">
        <v>1.0</v>
      </c>
      <c r="P329" s="134">
        <v>1.0</v>
      </c>
      <c r="Q329" s="168">
        <f t="shared" si="252"/>
        <v>117.1605645</v>
      </c>
      <c r="R329" s="136" t="str">
        <f>IFERROR(
  IF(B329="", "", VLOOKUP(B329, Data!$B$2:$K$905, 9, FALSE)),
  ""
)</f>
        <v/>
      </c>
      <c r="S329" s="152">
        <f t="shared" si="253"/>
        <v>0</v>
      </c>
      <c r="T329" s="690"/>
      <c r="U329" s="681" t="str">
        <f>IFERROR(
  IF(B329="", "", VLOOKUP(B329, Data!$B$2:$K$905, 10, FALSE)),
  ""
)
</f>
        <v/>
      </c>
      <c r="V329" s="691"/>
      <c r="W329" s="140">
        <f t="shared" si="254"/>
        <v>0</v>
      </c>
      <c r="X329" s="692"/>
      <c r="Y329" s="595"/>
      <c r="Z329" s="595"/>
      <c r="AA329" s="595"/>
      <c r="AB329" s="354">
        <f t="shared" si="255"/>
        <v>0</v>
      </c>
      <c r="AC329" s="181"/>
      <c r="AD329" s="625"/>
      <c r="AE329" s="626"/>
      <c r="AF329" s="696"/>
      <c r="AG329" s="697"/>
      <c r="AH329" s="629"/>
      <c r="AI329" s="187"/>
      <c r="AJ329" s="630"/>
      <c r="AK329" s="630"/>
      <c r="AL329" s="595"/>
      <c r="AM329" s="595"/>
      <c r="AN329" s="595"/>
      <c r="AO329" s="595"/>
      <c r="AP329" s="595"/>
      <c r="AQ329" s="595"/>
      <c r="AR329" s="595"/>
      <c r="AS329" s="595"/>
      <c r="AT329" s="595"/>
      <c r="AU329" s="595"/>
      <c r="AV329" s="595"/>
      <c r="AW329" s="595"/>
      <c r="AX329" s="595"/>
      <c r="AY329" s="595"/>
      <c r="AZ329" s="595"/>
      <c r="BA329" s="595"/>
      <c r="BB329" s="595"/>
      <c r="BC329" s="595"/>
      <c r="BD329" s="595"/>
      <c r="BE329" s="595"/>
      <c r="BF329" s="595"/>
      <c r="BG329" s="595"/>
      <c r="BH329" s="595"/>
      <c r="BI329" s="651"/>
      <c r="BJ329" s="651"/>
      <c r="BK329" s="651"/>
      <c r="BL329" s="651"/>
      <c r="BM329" s="651"/>
      <c r="BN329" s="651"/>
      <c r="BO329" s="651"/>
      <c r="BP329" s="651"/>
      <c r="BQ329" s="651"/>
      <c r="BR329" s="651"/>
      <c r="BS329" s="651"/>
      <c r="BT329" s="651"/>
    </row>
    <row r="330">
      <c r="A330" s="684"/>
      <c r="B330" s="154" t="str">
        <f>IFERROR(__xludf.DUMMYFUNCTION("IFERROR(
  IF(C330="""","""",
    IF(OR(REGEXMATCH(D330,""(?i)-Flashing""), REGEXMATCH(D330,""(?i)-EavesGut""), REGEXMATCH(D330,""(?i)Valley"")),
        ""DR"" &amp;
        TEXT(
            ROUNDUP(
                MIN(
                    VALUE(MID(C330, "&amp;"FIND(""("",C330)+1, FIND(""/"",C330)-FIND(""("",C330)-1)),
                    1200
                ) / 50, 0
            ) * 50, ""0""
        ) &amp;
        MID(C330, FIND(""/"",C330)+1, FIND("")"",C330)-FIND(""/"",C330)-1) &amp;
        TEXT(H330*100,""0"") &amp;"&amp;"
        I330,
    IF(AND(D330=""Roof Sheet"", REGEXMATCH(C330,""(?i)KS\d{4}[A-Z]{2}"")),
       REGEXEXTRACT(C330,""(?i)KS\d{4}[A-Z]{2}""),
    IF(AND(REGEXMATCH(D330,""(?i)-DP""), REGEXMATCH(C330,""(?i)Downpipe"")),
       ""dp"" &amp; REGEXEXTRACT(C330,""("&amp;"\d+)"") &amp; ""mm"",
    IF(AND(REGEXMATCH(D330,""(?i)Bracket""), REGEXMATCH(C330,""(?i)Bracket"")),
       ""Brkt"" &amp; REGEXEXTRACT(C330,""(\d+)"") &amp; ""mm"",
    IF(AND(REGEXMATCH(D330,""(?i)-OP""), REGEXMATCH(C330,""(?i)pops"")),
       ""op"" &amp; REGEXEXTRAC"&amp;"T(C330,""(\d+)"") &amp; ""mm"",
    IF(OR(D330=""R-FFTop"", D330=""R-FFBottom"", D330=""R-FFSide""),
        IF(REGEXMATCH(C330,""(?i)Profiled.*Top|Top.*Profiled""),""pfft"",
        IF(REGEXMATCH(C330,""(?i)Profiled.*Bottom|Bottom.*Profiled""),""pffb"",
    "&amp;"    IF(REGEXMATCH(C330,""(?i)Square""),""sff"",""""))),
    IF(REGEXMATCH(D330,""(?i)-Rivets""),""Rvt"",
    IF(REGEXMATCH(D330,""(?i)Silicone""),""300ml"",
    IF(REGEXMATCH(D330,""(?i)R-Butyl""),""300ml"",
    IF(REGEXMATCH(D330,""(?i)Fix""),""GenFix"","&amp;"
    IF(AND(REGEXMATCH(C330,""(?i)Timber""), REGEXMATCH(D330,""(?i)Timber"")),""tp"",
    IF(AND(REGEXMATCH(C330,""(?i)Vent G1275""), REGEXMATCH(D330,""(?i)Comb FIller"")),""CFV1275"",
    IF(REGEXMATCH(C330,""(?i)DPC""),""dpc"",
    IF(REGEXMATCH(C330,"""&amp;"(?i)Concealed Clips""),""ConClips"",
    IF(REGEXMATCH(D330,""(?i)-Takeoff ea""),""Takeoff ea"",
    IF(REGEXMATCH(D330,""(?i)-Takeoff LM""),""Takeoff LM"",
    IF(REGEXMATCH(D330,""(?i)-Takeoff m2""),""Takeoff m2"",
    IF(D330=""R-TU/TD"",""TU/TD"","""""&amp;")))))))))))))))))
  )))"),"GenFix")</f>
        <v>GenFix</v>
      </c>
      <c r="C330" s="158" t="s">
        <v>102</v>
      </c>
      <c r="D330" s="124" t="s">
        <v>103</v>
      </c>
      <c r="E330" s="722"/>
      <c r="F330" s="721"/>
      <c r="G330" s="701"/>
      <c r="H330" s="700"/>
      <c r="I330" s="700"/>
      <c r="J330" s="126" t="s">
        <v>87</v>
      </c>
      <c r="K330" s="126" t="str">
        <f>IFERROR(
  IF(B330="", "", VLOOKUP(B330, Data!$B$2:$K$905, 7, FALSE)),
  ""
)</f>
        <v/>
      </c>
      <c r="L330" s="712"/>
      <c r="M330" s="150">
        <f>ROUNDUP(M327/0.6,0)+1</f>
        <v>63</v>
      </c>
      <c r="N330" s="151">
        <f t="shared" si="256"/>
        <v>1.001372346</v>
      </c>
      <c r="O330" s="169">
        <v>1.0</v>
      </c>
      <c r="P330" s="134">
        <v>2.0</v>
      </c>
      <c r="Q330" s="168">
        <f t="shared" si="252"/>
        <v>126.1729156</v>
      </c>
      <c r="R330" s="136" t="str">
        <f>IFERROR(
  IF(B330="", "", VLOOKUP(B330, Data!$B$2:$K$905, 9, FALSE)),
  ""
)</f>
        <v/>
      </c>
      <c r="S330" s="152">
        <f t="shared" si="253"/>
        <v>0</v>
      </c>
      <c r="T330" s="690"/>
      <c r="U330" s="681" t="str">
        <f>IFERROR(
  IF(B330="", "", VLOOKUP(B330, Data!$B$2:$K$905, 10, FALSE)),
  ""
)
</f>
        <v/>
      </c>
      <c r="V330" s="691"/>
      <c r="W330" s="140">
        <f t="shared" si="254"/>
        <v>0</v>
      </c>
      <c r="X330" s="692"/>
      <c r="Y330" s="595"/>
      <c r="Z330" s="595"/>
      <c r="AA330" s="595"/>
      <c r="AB330" s="354">
        <f t="shared" si="255"/>
        <v>0</v>
      </c>
      <c r="AC330" s="181"/>
      <c r="AD330" s="625"/>
      <c r="AE330" s="626"/>
      <c r="AF330" s="696"/>
      <c r="AG330" s="697"/>
      <c r="AH330" s="629"/>
      <c r="AI330" s="187"/>
      <c r="AJ330" s="630"/>
      <c r="AK330" s="630"/>
      <c r="AL330" s="595"/>
      <c r="AM330" s="595"/>
      <c r="AN330" s="595"/>
      <c r="AO330" s="595"/>
      <c r="AP330" s="595"/>
      <c r="AQ330" s="595"/>
      <c r="AR330" s="595"/>
      <c r="AS330" s="595"/>
      <c r="AT330" s="595"/>
      <c r="AU330" s="595"/>
      <c r="AV330" s="595"/>
      <c r="AW330" s="595"/>
      <c r="AX330" s="595"/>
      <c r="AY330" s="595"/>
      <c r="AZ330" s="595"/>
      <c r="BA330" s="595"/>
      <c r="BB330" s="595"/>
      <c r="BC330" s="595"/>
      <c r="BD330" s="595"/>
      <c r="BE330" s="595"/>
      <c r="BF330" s="595"/>
      <c r="BG330" s="595"/>
      <c r="BH330" s="595"/>
      <c r="BI330" s="651"/>
      <c r="BJ330" s="651"/>
      <c r="BK330" s="651"/>
      <c r="BL330" s="651"/>
      <c r="BM330" s="651"/>
      <c r="BN330" s="651"/>
      <c r="BO330" s="651"/>
      <c r="BP330" s="651"/>
      <c r="BQ330" s="651"/>
      <c r="BR330" s="651"/>
      <c r="BS330" s="651"/>
      <c r="BT330" s="651"/>
    </row>
    <row r="331">
      <c r="A331" s="684"/>
      <c r="B331" s="154" t="str">
        <f>IFERROR(__xludf.DUMMYFUNCTION("IFERROR(
  IF(C331="""","""",
    IF(OR(REGEXMATCH(D331,""(?i)-Flashing""), REGEXMATCH(D331,""(?i)-EavesGut""), REGEXMATCH(D331,""(?i)Valley"")),
        ""DR"" &amp;
        TEXT(
            ROUNDUP(
                MIN(
                    VALUE(MID(C331, "&amp;"FIND(""("",C331)+1, FIND(""/"",C331)-FIND(""("",C331)-1)),
                    1200
                ) / 50, 0
            ) * 50, ""0""
        ) &amp;
        MID(C331, FIND(""/"",C331)+1, FIND("")"",C331)-FIND(""/"",C331)-1) &amp;
        TEXT(H331*100,""0"") &amp;"&amp;"
        I331,
    IF(AND(D331=""Roof Sheet"", REGEXMATCH(C331,""(?i)KS\d{4}[A-Z]{2}"")),
       REGEXEXTRACT(C331,""(?i)KS\d{4}[A-Z]{2}""),
    IF(AND(REGEXMATCH(D331,""(?i)-DP""), REGEXMATCH(C331,""(?i)Downpipe"")),
       ""dp"" &amp; REGEXEXTRACT(C331,""("&amp;"\d+)"") &amp; ""mm"",
    IF(AND(REGEXMATCH(D331,""(?i)Bracket""), REGEXMATCH(C331,""(?i)Bracket"")),
       ""Brkt"" &amp; REGEXEXTRACT(C331,""(\d+)"") &amp; ""mm"",
    IF(AND(REGEXMATCH(D331,""(?i)-OP""), REGEXMATCH(C331,""(?i)pops"")),
       ""op"" &amp; REGEXEXTRAC"&amp;"T(C331,""(\d+)"") &amp; ""mm"",
    IF(OR(D331=""R-FFTop"", D331=""R-FFBottom"", D331=""R-FFSide""),
        IF(REGEXMATCH(C331,""(?i)Profiled.*Top|Top.*Profiled""),""pfft"",
        IF(REGEXMATCH(C331,""(?i)Profiled.*Bottom|Bottom.*Profiled""),""pffb"",
    "&amp;"    IF(REGEXMATCH(C331,""(?i)Square""),""sff"",""""))),
    IF(REGEXMATCH(D331,""(?i)-Rivets""),""Rvt"",
    IF(REGEXMATCH(D331,""(?i)Silicone""),""300ml"",
    IF(REGEXMATCH(D331,""(?i)R-Butyl""),""300ml"",
    IF(REGEXMATCH(D331,""(?i)Fix""),""GenFix"","&amp;"
    IF(AND(REGEXMATCH(C331,""(?i)Timber""), REGEXMATCH(D331,""(?i)Timber"")),""tp"",
    IF(AND(REGEXMATCH(C331,""(?i)Vent G1275""), REGEXMATCH(D331,""(?i)Comb FIller"")),""CFV1275"",
    IF(REGEXMATCH(C331,""(?i)DPC""),""dpc"",
    IF(REGEXMATCH(C331,"""&amp;"(?i)Concealed Clips""),""ConClips"",
    IF(REGEXMATCH(D331,""(?i)-Takeoff ea""),""Takeoff ea"",
    IF(REGEXMATCH(D331,""(?i)-Takeoff LM""),""Takeoff LM"",
    IF(REGEXMATCH(D331,""(?i)-Takeoff m2""),""Takeoff m2"",
    IF(D331=""R-TU/TD"",""TU/TD"","""""&amp;")))))))))))))))))
  )))"),"sff")</f>
        <v>sff</v>
      </c>
      <c r="C331" s="225" t="s">
        <v>454</v>
      </c>
      <c r="D331" s="124" t="s">
        <v>105</v>
      </c>
      <c r="E331" s="722"/>
      <c r="F331" s="721"/>
      <c r="G331" s="701"/>
      <c r="H331" s="700"/>
      <c r="I331" s="700"/>
      <c r="J331" s="126" t="s">
        <v>87</v>
      </c>
      <c r="K331" s="126" t="str">
        <f>IFERROR(
  IF(B331="", "", VLOOKUP(B331, Data!$B$2:$K$905, 7, FALSE)),
  ""
)</f>
        <v/>
      </c>
      <c r="L331" s="712"/>
      <c r="M331" s="150">
        <f>M327</f>
        <v>36.84</v>
      </c>
      <c r="N331" s="151">
        <f t="shared" si="256"/>
        <v>1.001372346</v>
      </c>
      <c r="O331" s="169">
        <v>1.0</v>
      </c>
      <c r="P331" s="134">
        <v>1.0</v>
      </c>
      <c r="Q331" s="168">
        <f t="shared" si="252"/>
        <v>36.89055723</v>
      </c>
      <c r="R331" s="136" t="str">
        <f>IFERROR(
  IF(B331="", "", VLOOKUP(B331, Data!$B$2:$K$905, 9, FALSE)),
  ""
)</f>
        <v/>
      </c>
      <c r="S331" s="152">
        <f t="shared" si="253"/>
        <v>0</v>
      </c>
      <c r="T331" s="690"/>
      <c r="U331" s="136" t="str">
        <f>IFERROR(
  IF(B331="", "", VLOOKUP(B331, Data!$B$2:$K$905, 10, FALSE)),
  ""
)
</f>
        <v/>
      </c>
      <c r="V331" s="691"/>
      <c r="W331" s="140">
        <f t="shared" si="254"/>
        <v>0</v>
      </c>
      <c r="X331" s="692"/>
      <c r="Y331" s="595"/>
      <c r="Z331" s="595"/>
      <c r="AA331" s="595"/>
      <c r="AB331" s="354">
        <f t="shared" si="255"/>
        <v>0</v>
      </c>
      <c r="AC331" s="181"/>
      <c r="AD331" s="625"/>
      <c r="AE331" s="626"/>
      <c r="AF331" s="696"/>
      <c r="AG331" s="697"/>
      <c r="AH331" s="629"/>
      <c r="AI331" s="187"/>
      <c r="AJ331" s="630"/>
      <c r="AK331" s="630"/>
      <c r="AL331" s="595"/>
      <c r="AM331" s="595"/>
      <c r="AN331" s="595"/>
      <c r="AO331" s="595"/>
      <c r="AP331" s="595"/>
      <c r="AQ331" s="595"/>
      <c r="AR331" s="595"/>
      <c r="AS331" s="595"/>
      <c r="AT331" s="595"/>
      <c r="AU331" s="595"/>
      <c r="AV331" s="595"/>
      <c r="AW331" s="595"/>
      <c r="AX331" s="595"/>
      <c r="AY331" s="595"/>
      <c r="AZ331" s="595"/>
      <c r="BA331" s="595"/>
      <c r="BB331" s="595"/>
      <c r="BC331" s="595"/>
      <c r="BD331" s="595"/>
      <c r="BE331" s="595"/>
      <c r="BF331" s="595"/>
      <c r="BG331" s="595"/>
      <c r="BH331" s="595"/>
      <c r="BI331" s="651"/>
      <c r="BJ331" s="651"/>
      <c r="BK331" s="651"/>
      <c r="BL331" s="651"/>
      <c r="BM331" s="651"/>
      <c r="BN331" s="651"/>
      <c r="BO331" s="651"/>
      <c r="BP331" s="651"/>
      <c r="BQ331" s="651"/>
      <c r="BR331" s="651"/>
      <c r="BS331" s="651"/>
      <c r="BT331" s="651"/>
    </row>
    <row r="332">
      <c r="A332" s="684"/>
      <c r="B332" s="154"/>
      <c r="C332" s="700"/>
      <c r="D332" s="701"/>
      <c r="E332" s="722"/>
      <c r="F332" s="721"/>
      <c r="G332" s="701"/>
      <c r="H332" s="700"/>
      <c r="I332" s="700"/>
      <c r="J332" s="701"/>
      <c r="K332" s="701"/>
      <c r="L332" s="712"/>
      <c r="M332" s="704"/>
      <c r="N332" s="151" t="str">
        <f t="shared" si="256"/>
        <v/>
      </c>
      <c r="O332" s="712"/>
      <c r="P332" s="700"/>
      <c r="Q332" s="712"/>
      <c r="R332" s="681"/>
      <c r="S332" s="691"/>
      <c r="T332" s="690"/>
      <c r="U332" s="681"/>
      <c r="V332" s="691"/>
      <c r="W332" s="713"/>
      <c r="X332" s="692"/>
      <c r="Y332" s="595"/>
      <c r="Z332" s="595"/>
      <c r="AA332" s="595"/>
      <c r="AB332" s="595"/>
      <c r="AC332" s="181"/>
      <c r="AD332" s="625"/>
      <c r="AE332" s="626"/>
      <c r="AF332" s="696"/>
      <c r="AG332" s="697"/>
      <c r="AH332" s="629"/>
      <c r="AI332" s="187"/>
      <c r="AJ332" s="630"/>
      <c r="AK332" s="630"/>
      <c r="AL332" s="595"/>
      <c r="AM332" s="595"/>
      <c r="AN332" s="595"/>
      <c r="AO332" s="595"/>
      <c r="AP332" s="595"/>
      <c r="AQ332" s="595"/>
      <c r="AR332" s="595"/>
      <c r="AS332" s="595"/>
      <c r="AT332" s="595"/>
      <c r="AU332" s="595"/>
      <c r="AV332" s="595"/>
      <c r="AW332" s="595"/>
      <c r="AX332" s="595"/>
      <c r="AY332" s="595"/>
      <c r="AZ332" s="595"/>
      <c r="BA332" s="595"/>
      <c r="BB332" s="595"/>
      <c r="BC332" s="595"/>
      <c r="BD332" s="595"/>
      <c r="BE332" s="595"/>
      <c r="BF332" s="595"/>
      <c r="BG332" s="595"/>
      <c r="BH332" s="595"/>
      <c r="BI332" s="651"/>
      <c r="BJ332" s="651"/>
      <c r="BK332" s="651"/>
      <c r="BL332" s="651"/>
      <c r="BM332" s="651"/>
      <c r="BN332" s="651"/>
      <c r="BO332" s="651"/>
      <c r="BP332" s="651"/>
      <c r="BQ332" s="651"/>
      <c r="BR332" s="651"/>
      <c r="BS332" s="651"/>
      <c r="BT332" s="651"/>
    </row>
    <row r="333">
      <c r="A333" s="703" t="s">
        <v>444</v>
      </c>
      <c r="B333" s="154" t="s">
        <v>455</v>
      </c>
      <c r="C333" s="698" t="s">
        <v>456</v>
      </c>
      <c r="D333" s="686" t="s">
        <v>457</v>
      </c>
      <c r="E333" s="722"/>
      <c r="F333" s="721"/>
      <c r="G333" s="701"/>
      <c r="H333" s="700"/>
      <c r="I333" s="712"/>
      <c r="J333" s="701"/>
      <c r="K333" s="701"/>
      <c r="L333" s="712"/>
      <c r="M333" s="150">
        <f>ROUNDUP(M327/0.8,0)+1</f>
        <v>48</v>
      </c>
      <c r="N333" s="151">
        <f t="shared" si="256"/>
        <v>1.001372346</v>
      </c>
      <c r="O333" s="169">
        <v>1.0</v>
      </c>
      <c r="P333" s="134">
        <v>1.0</v>
      </c>
      <c r="Q333" s="168">
        <f t="shared" ref="Q333:Q334" si="257">M333*N333*O333*P333</f>
        <v>48.06587261</v>
      </c>
      <c r="R333" s="681" t="str">
        <f>IFERROR(
  IF(B333="", "", VLOOKUP(B333, Data!$B$2:$K$905, 9, FALSE)),
  ""
)</f>
        <v/>
      </c>
      <c r="S333" s="152">
        <f t="shared" ref="S333:S334" si="258">R333*Q333</f>
        <v>0</v>
      </c>
      <c r="T333" s="690"/>
      <c r="U333" s="681" t="str">
        <f>IFERROR(
  IF(B333="", "", VLOOKUP(B333, Data!$B$2:$K$905, 10, FALSE)),
  ""
)
</f>
        <v/>
      </c>
      <c r="V333" s="691"/>
      <c r="W333" s="140">
        <f t="shared" ref="W333:W334" si="259">U333*Q333</f>
        <v>0</v>
      </c>
      <c r="X333" s="692"/>
      <c r="Y333" s="595"/>
      <c r="Z333" s="595"/>
      <c r="AA333" s="595"/>
      <c r="AB333" s="595"/>
      <c r="AC333" s="181"/>
      <c r="AD333" s="625"/>
      <c r="AE333" s="626"/>
      <c r="AF333" s="696"/>
      <c r="AG333" s="697"/>
      <c r="AH333" s="629"/>
      <c r="AI333" s="187"/>
      <c r="AJ333" s="630"/>
      <c r="AK333" s="630"/>
      <c r="AL333" s="595"/>
      <c r="AM333" s="595"/>
      <c r="AN333" s="595"/>
      <c r="AO333" s="595"/>
      <c r="AP333" s="595"/>
      <c r="AQ333" s="595"/>
      <c r="AR333" s="595"/>
      <c r="AS333" s="595"/>
      <c r="AT333" s="595"/>
      <c r="AU333" s="595"/>
      <c r="AV333" s="595"/>
      <c r="AW333" s="595"/>
      <c r="AX333" s="595"/>
      <c r="AY333" s="595"/>
      <c r="AZ333" s="595"/>
      <c r="BA333" s="595"/>
      <c r="BB333" s="595"/>
      <c r="BC333" s="595"/>
      <c r="BD333" s="595"/>
      <c r="BE333" s="595"/>
      <c r="BF333" s="595"/>
      <c r="BG333" s="595"/>
      <c r="BH333" s="595"/>
      <c r="BI333" s="651"/>
      <c r="BJ333" s="651"/>
      <c r="BK333" s="651"/>
      <c r="BL333" s="651"/>
      <c r="BM333" s="651"/>
      <c r="BN333" s="651"/>
      <c r="BO333" s="651"/>
      <c r="BP333" s="651"/>
      <c r="BQ333" s="651"/>
      <c r="BR333" s="651"/>
      <c r="BS333" s="651"/>
      <c r="BT333" s="651"/>
    </row>
    <row r="334">
      <c r="A334" s="684"/>
      <c r="B334" s="154" t="str">
        <f>IFERROR(__xludf.DUMMYFUNCTION("IFERROR(
  IF(C334="""","""",
    IF(OR(REGEXMATCH(D334,""(?i)-Flashing""), REGEXMATCH(D334,""(?i)-EavesGut""), REGEXMATCH(D334,""(?i)Valley"")),
        ""DR"" &amp;
        TEXT(
            ROUNDUP(
                MIN(
                    VALUE(MID(C334, "&amp;"FIND(""("",C334)+1, FIND(""/"",C334)-FIND(""("",C334)-1)),
                    1200
                ) / 50, 0
            ) * 50, ""0""
        ) &amp;
        MID(C334, FIND(""/"",C334)+1, FIND("")"",C334)-FIND(""/"",C334)-1) &amp;
        TEXT(H334*100,""0"") &amp;"&amp;"
        I334,
    IF(AND(D334=""Roof Sheet"", REGEXMATCH(C334,""(?i)KS\d{4}[A-Z]{2}"")),
       REGEXEXTRACT(C334,""(?i)KS\d{4}[A-Z]{2}""),
    IF(AND(REGEXMATCH(D334,""(?i)-DP""), REGEXMATCH(C334,""(?i)Downpipe"")),
       ""dp"" &amp; REGEXEXTRACT(C334,""("&amp;"\d+)"") &amp; ""mm"",
    IF(AND(REGEXMATCH(D334,""(?i)Bracket""), REGEXMATCH(C334,""(?i)Bracket"")),
       ""Brkt"" &amp; REGEXEXTRACT(C334,""(\d+)"") &amp; ""mm"",
    IF(AND(REGEXMATCH(D334,""(?i)-OP""), REGEXMATCH(C334,""(?i)pops"")),
       ""op"" &amp; REGEXEXTRAC"&amp;"T(C334,""(\d+)"") &amp; ""mm"",
    IF(OR(D334=""R-FFTop"", D334=""R-FFBottom"", D334=""R-FFSide""),
        IF(REGEXMATCH(C334,""(?i)Profiled.*Top|Top.*Profiled""),""pfft"",
        IF(REGEXMATCH(C334,""(?i)Profiled.*Bottom|Bottom.*Profiled""),""pffb"",
    "&amp;"    IF(REGEXMATCH(C334,""(?i)Square""),""sff"",""""))),
    IF(REGEXMATCH(D334,""(?i)-Rivets""),""Rvt"",
    IF(REGEXMATCH(D334,""(?i)Silicone""),""300ml"",
    IF(REGEXMATCH(D334,""(?i)R-Butyl""),""300ml"",
    IF(REGEXMATCH(D334,""(?i)Fix""),""GenFix"","&amp;"
    IF(AND(REGEXMATCH(C334,""(?i)Timber""), REGEXMATCH(D334,""(?i)Timber"")),""tp"",
    IF(AND(REGEXMATCH(C334,""(?i)Vent G1275""), REGEXMATCH(D334,""(?i)Comb FIller"")),""CFV1275"",
    IF(REGEXMATCH(C334,""(?i)DPC""),""dpc"",
    IF(REGEXMATCH(C334,"""&amp;"(?i)Concealed Clips""),""ConClips"",
    IF(REGEXMATCH(D334,""(?i)-Takeoff ea""),""Takeoff ea"",
    IF(REGEXMATCH(D334,""(?i)-Takeoff LM""),""Takeoff LM"",
    IF(REGEXMATCH(D334,""(?i)-Takeoff m2""),""Takeoff m2"",
    IF(D334=""R-TU/TD"",""TU/TD"","""""&amp;")))))))))))))))))
  )))"),"GenFix")</f>
        <v>GenFix</v>
      </c>
      <c r="C334" s="698" t="s">
        <v>102</v>
      </c>
      <c r="D334" s="686" t="s">
        <v>103</v>
      </c>
      <c r="E334" s="722"/>
      <c r="F334" s="721"/>
      <c r="G334" s="701"/>
      <c r="H334" s="700"/>
      <c r="I334" s="712"/>
      <c r="J334" s="126" t="s">
        <v>87</v>
      </c>
      <c r="K334" s="126" t="str">
        <f>IFERROR(
  IF(B334="", "", VLOOKUP(B334, Data!$B$2:$K$905, 7, FALSE)),
  ""
)</f>
        <v/>
      </c>
      <c r="L334" s="712"/>
      <c r="M334" s="150">
        <f>ROUNDUP(M333/0.6,0)+1</f>
        <v>81</v>
      </c>
      <c r="N334" s="151">
        <f t="shared" si="256"/>
        <v>1.001372346</v>
      </c>
      <c r="O334" s="169">
        <v>1.0</v>
      </c>
      <c r="P334" s="134">
        <v>2.0</v>
      </c>
      <c r="Q334" s="168">
        <f t="shared" si="257"/>
        <v>162.2223201</v>
      </c>
      <c r="R334" s="136" t="str">
        <f>IFERROR(
  IF(B334="", "", VLOOKUP(B334, Data!$B$2:$K$905, 9, FALSE)),
  ""
)</f>
        <v/>
      </c>
      <c r="S334" s="152">
        <f t="shared" si="258"/>
        <v>0</v>
      </c>
      <c r="T334" s="690"/>
      <c r="U334" s="681" t="str">
        <f>IFERROR(
  IF(B334="", "", VLOOKUP(B334, Data!$B$2:$K$905, 10, FALSE)),
  ""
)
</f>
        <v/>
      </c>
      <c r="V334" s="691"/>
      <c r="W334" s="140">
        <f t="shared" si="259"/>
        <v>0</v>
      </c>
      <c r="X334" s="692"/>
      <c r="Y334" s="595"/>
      <c r="Z334" s="595"/>
      <c r="AA334" s="595"/>
      <c r="AB334" s="354">
        <f t="shared" ref="AB334:AB335" si="260">W334+S334</f>
        <v>0</v>
      </c>
      <c r="AC334" s="181"/>
      <c r="AD334" s="625"/>
      <c r="AE334" s="626"/>
      <c r="AF334" s="696"/>
      <c r="AG334" s="697"/>
      <c r="AH334" s="629"/>
      <c r="AI334" s="187"/>
      <c r="AJ334" s="630"/>
      <c r="AK334" s="630"/>
      <c r="AL334" s="595"/>
      <c r="AM334" s="595"/>
      <c r="AN334" s="595"/>
      <c r="AO334" s="595"/>
      <c r="AP334" s="595"/>
      <c r="AQ334" s="595"/>
      <c r="AR334" s="595"/>
      <c r="AS334" s="595"/>
      <c r="AT334" s="595"/>
      <c r="AU334" s="595"/>
      <c r="AV334" s="595"/>
      <c r="AW334" s="595"/>
      <c r="AX334" s="595"/>
      <c r="AY334" s="595"/>
      <c r="AZ334" s="595"/>
      <c r="BA334" s="595"/>
      <c r="BB334" s="595"/>
      <c r="BC334" s="595"/>
      <c r="BD334" s="595"/>
      <c r="BE334" s="595"/>
      <c r="BF334" s="595"/>
      <c r="BG334" s="595"/>
      <c r="BH334" s="595"/>
      <c r="BI334" s="651"/>
      <c r="BJ334" s="651"/>
      <c r="BK334" s="651"/>
      <c r="BL334" s="651"/>
      <c r="BM334" s="651"/>
      <c r="BN334" s="651"/>
      <c r="BO334" s="651"/>
      <c r="BP334" s="651"/>
      <c r="BQ334" s="651"/>
      <c r="BR334" s="651"/>
      <c r="BS334" s="651"/>
      <c r="BT334" s="651"/>
    </row>
    <row r="335">
      <c r="A335" s="684"/>
      <c r="B335" s="154"/>
      <c r="C335" s="701"/>
      <c r="D335" s="701"/>
      <c r="E335" s="722"/>
      <c r="F335" s="699"/>
      <c r="G335" s="700"/>
      <c r="H335" s="700"/>
      <c r="I335" s="700"/>
      <c r="J335" s="701"/>
      <c r="K335" s="701"/>
      <c r="L335" s="704"/>
      <c r="M335" s="704"/>
      <c r="N335" s="151" t="str">
        <f t="shared" si="256"/>
        <v/>
      </c>
      <c r="O335" s="712"/>
      <c r="P335" s="700"/>
      <c r="Q335" s="712"/>
      <c r="R335" s="681"/>
      <c r="S335" s="691"/>
      <c r="T335" s="690"/>
      <c r="U335" s="681"/>
      <c r="V335" s="691"/>
      <c r="W335" s="713"/>
      <c r="X335" s="692"/>
      <c r="Y335" s="693"/>
      <c r="Z335" s="731"/>
      <c r="AA335" s="595"/>
      <c r="AB335" s="354">
        <f t="shared" si="260"/>
        <v>0</v>
      </c>
      <c r="AC335" s="181"/>
      <c r="AD335" s="625"/>
      <c r="AE335" s="626"/>
      <c r="AF335" s="696"/>
      <c r="AG335" s="697"/>
      <c r="AH335" s="629"/>
      <c r="AI335" s="187"/>
      <c r="AJ335" s="630"/>
      <c r="AK335" s="630"/>
      <c r="AL335" s="595"/>
      <c r="AM335" s="595"/>
      <c r="AN335" s="595"/>
      <c r="AO335" s="595"/>
      <c r="AP335" s="595"/>
      <c r="AQ335" s="595"/>
      <c r="AR335" s="595"/>
      <c r="AS335" s="595"/>
      <c r="AT335" s="595"/>
      <c r="AU335" s="595"/>
      <c r="AV335" s="595"/>
      <c r="AW335" s="595"/>
      <c r="AX335" s="595"/>
      <c r="AY335" s="595"/>
      <c r="AZ335" s="595"/>
      <c r="BA335" s="595"/>
      <c r="BB335" s="595"/>
      <c r="BC335" s="595"/>
      <c r="BD335" s="595"/>
      <c r="BE335" s="595"/>
      <c r="BF335" s="595"/>
      <c r="BG335" s="595"/>
      <c r="BH335" s="595"/>
      <c r="BI335" s="651"/>
      <c r="BJ335" s="651"/>
      <c r="BK335" s="651"/>
      <c r="BL335" s="651"/>
      <c r="BM335" s="651"/>
      <c r="BN335" s="651"/>
      <c r="BO335" s="651"/>
      <c r="BP335" s="651"/>
      <c r="BQ335" s="651"/>
      <c r="BR335" s="651"/>
      <c r="BS335" s="651"/>
      <c r="BT335" s="651"/>
    </row>
    <row r="336">
      <c r="A336" s="631">
        <v>1.0</v>
      </c>
      <c r="B336" s="727"/>
      <c r="C336" s="103" t="s">
        <v>505</v>
      </c>
      <c r="D336" s="192"/>
      <c r="E336" s="679"/>
      <c r="F336" s="677"/>
      <c r="G336" s="678"/>
      <c r="H336" s="678"/>
      <c r="I336" s="678"/>
      <c r="J336" s="678"/>
      <c r="K336" s="678" t="s">
        <v>42</v>
      </c>
      <c r="L336" s="106">
        <f>Q336</f>
        <v>136.9877369</v>
      </c>
      <c r="M336" s="679" t="s">
        <v>42</v>
      </c>
      <c r="N336" s="680" t="s">
        <v>42</v>
      </c>
      <c r="O336" s="679"/>
      <c r="P336" s="678"/>
      <c r="Q336" s="106">
        <f>Q337</f>
        <v>136.9877369</v>
      </c>
      <c r="R336" s="681" t="str">
        <f>IFERROR(
  IF(B336="", "", VLOOKUP(B336, Data!$B$2:$K$905, 9, FALSE)),
  ""
)</f>
        <v/>
      </c>
      <c r="S336" s="109">
        <f>T336/Q336</f>
        <v>0</v>
      </c>
      <c r="T336" s="109">
        <f>SUM(S337:S342)</f>
        <v>0</v>
      </c>
      <c r="U336" s="681" t="str">
        <f>IFERROR(
  IF(B336="", "", VLOOKUP(B336, Data!$B$2:$K$905, 10, FALSE)),
  ""
)
</f>
        <v/>
      </c>
      <c r="V336" s="109">
        <f>W336/Q336</f>
        <v>0</v>
      </c>
      <c r="W336" s="110">
        <f>SUM(W337:W342)</f>
        <v>0</v>
      </c>
      <c r="X336" s="111" t="str">
        <f>W336/$AC$758/$W$765/$X$755</f>
        <v>#REF!</v>
      </c>
      <c r="Y336" s="112" t="b">
        <f>(T336+W336)=(SUM(AB337:AB342))</f>
        <v>1</v>
      </c>
      <c r="Z336" s="222">
        <f>(T336+W336)-(SUM(AB337:AB342))</f>
        <v>0</v>
      </c>
      <c r="AA336" s="595"/>
      <c r="AB336" s="595"/>
      <c r="AC336" s="181"/>
      <c r="AD336" s="114">
        <f>W336+T336</f>
        <v>0</v>
      </c>
      <c r="AE336" s="115">
        <f>AD336</f>
        <v>0</v>
      </c>
      <c r="AF336" s="116" t="str">
        <f>AE336/$AE$733</f>
        <v>#REF!</v>
      </c>
      <c r="AG336" s="683" t="str">
        <f>AF336*$AG$740</f>
        <v>#REF!</v>
      </c>
      <c r="AH336" s="118" t="str">
        <f>AF336*$AG$743</f>
        <v>#REF!</v>
      </c>
      <c r="AI336" s="187"/>
      <c r="AJ336" s="119" t="str">
        <f>ROUND(AK336/L336,2)</f>
        <v>#REF!</v>
      </c>
      <c r="AK336" s="119" t="str">
        <f>ROUND(AH336+AG336+AD336,2)</f>
        <v>#REF!</v>
      </c>
      <c r="AL336" s="595"/>
      <c r="AM336" s="595"/>
      <c r="AN336" s="595"/>
      <c r="AO336" s="595"/>
      <c r="AP336" s="595"/>
      <c r="AQ336" s="595"/>
      <c r="AR336" s="595"/>
      <c r="AS336" s="595"/>
      <c r="AT336" s="595"/>
      <c r="AU336" s="595"/>
      <c r="AV336" s="595"/>
      <c r="AW336" s="595"/>
      <c r="AX336" s="595"/>
      <c r="AY336" s="595"/>
      <c r="AZ336" s="595"/>
      <c r="BA336" s="595"/>
      <c r="BB336" s="595"/>
      <c r="BC336" s="595"/>
      <c r="BD336" s="595"/>
      <c r="BE336" s="595"/>
      <c r="BF336" s="595"/>
      <c r="BG336" s="595"/>
      <c r="BH336" s="595"/>
      <c r="BI336" s="651"/>
      <c r="BJ336" s="651"/>
      <c r="BK336" s="651"/>
      <c r="BL336" s="651"/>
      <c r="BM336" s="651"/>
      <c r="BN336" s="651"/>
      <c r="BO336" s="651"/>
      <c r="BP336" s="651"/>
      <c r="BQ336" s="651"/>
      <c r="BR336" s="651"/>
      <c r="BS336" s="651"/>
      <c r="BT336" s="651"/>
    </row>
    <row r="337">
      <c r="A337" s="716" t="s">
        <v>444</v>
      </c>
      <c r="B337" s="154" t="str">
        <f>IFERROR(__xludf.DUMMYFUNCTION("IFERROR(
  IF(C337="""","""",
    IF(OR(REGEXMATCH(D337,""(?i)-Flashing""), REGEXMATCH(D337,""(?i)-EavesGut""), REGEXMATCH(D337,""(?i)Valley"")),
        ""DR"" &amp;
        TEXT(
            ROUNDUP(
                VALUE(MID(C337, FIND(""("",C337)+1, FIND("&amp;"""/"",C337)-FIND(""("",C337)-1)) / 50,
            0) * 50, ""0""
        ) &amp;
        MID(C337, FIND(""/"",C337)+1, FIND("")"",C337)-FIND(""/"",C337)-1) &amp;
        TEXT(H337*100,""0"") &amp;
        I337,
    IF(AND(D337=""Roof Sheet"", REGEXMATCH(C337,""(?i)K"&amp;"S\d{4}[A-Z]{2}"")),
       REGEXEXTRACT(C337,""(?i)KS\d{4}[A-Z]{2}""),
    IF(AND(REGEXMATCH(D337,""(?i)-DP""), REGEXMATCH(C337,""(?i)Downpipe"")),
       ""dp"" &amp; REGEXEXTRACT(C337,""(\d+)"") &amp; ""mm"",
    IF(AND(REGEXMATCH(D337,""(?i)Bracket""), REGEXMA"&amp;"TCH(C337,""(?i)Bracket"")),
       ""Brkt"" &amp; REGEXEXTRACT(C337,""(\d+)"") &amp; ""mm"",
    IF(AND(REGEXMATCH(D337,""(?i)-OP""), REGEXMATCH(C337,""(?i)pops"")),
       ""op"" &amp; REGEXEXTRACT(C337,""(\d+)"") &amp; ""mm"",
    IF(OR(D337=""R-FFTop"", D337=""R-FFBot"&amp;"tom"", D337=""R-FFSide""),
        IF(REGEXMATCH(C337,""(?i)Profiled.*Top|Top.*Profiled""),""pfft"",
        IF(REGEXMATCH(C337,""(?i)Profiled.*Bottom|Bottom.*Profiled""),""pffb"",
        IF(REGEXMATCH(C337,""(?i)Square""),""sff"",""""))),
    IF(REGEXMA"&amp;"TCH(D337,""(?i)-Rivets""),""Rvt"",
    IF(REGEXMATCH(D337,""(?i)Silicone""),""300ml"",
    IF(REGEXMATCH(D337,""(?i)R-Butyl""),""300ml"",
    IF(REGEXMATCH(D337,""(?i)Fix""),""GenFix"",
    IF(AND(REGEXMATCH(C337,""(?i)Timber""), REGEXMATCH(D337,""(?i)Tim"&amp;"ber"")),""tp"",
    IF(AND(REGEXMATCH(C337,""(?i)Vent G1275""), REGEXMATCH(D337,""(?i)Comb FIller"")),""CFV1275"",
    IF(REGEXMATCH(C337,""(?i)DPC""),""dpc"",
    IF(REGEXMATCH(C337,""(?i)Concealed Clips""),""ConClips"",
    IF(REGEXMATCH(D337,""(?i)-Tak"&amp;"eoff ea""),""Takeoff ea"",
    IF(REGEXMATCH(D337,""(?i)-Takeoff LM""),""Takeoff LM"",
    IF(REGEXMATCH(D337,""(?i)-Takeoff m2""),""Takeoff m2"",
    IF(D337=""R-TU/TD"",""TU/TD"","""")))))))))))))))))
  )))"),"DR26002B55Mag")</f>
        <v>DR26002B55Mag</v>
      </c>
      <c r="C337" s="123" t="s">
        <v>506</v>
      </c>
      <c r="D337" s="202" t="s">
        <v>96</v>
      </c>
      <c r="E337" s="168">
        <f>VALUE(MID(C337, FIND("(", C337)+1, FIND("/", C337)-FIND("(", C337)-1)) / 1000</f>
        <v>2.6</v>
      </c>
      <c r="F337" s="699"/>
      <c r="G337" s="689" t="s">
        <v>512</v>
      </c>
      <c r="H337" s="128" t="str">
        <f>IFERROR(__xludf.DUMMYFUNCTION("IFERROR(REGEXEXTRACT(C337, ""(\d*\.\d+)mm""), """")"),"0.55")</f>
        <v>0.55</v>
      </c>
      <c r="I337" s="128" t="s">
        <v>97</v>
      </c>
      <c r="J337" s="126" t="s">
        <v>14</v>
      </c>
      <c r="K337" s="126" t="s">
        <v>55</v>
      </c>
      <c r="L337" s="704"/>
      <c r="M337" s="730">
        <v>34.2</v>
      </c>
      <c r="N337" s="151">
        <f>IFERROR(__xludf.DUMMYFUNCTION("IF(
  AND(
    IFERROR(REGEXEXTRACT(C337,""@\s*(\d+(?:\.\d+)?)\s*deg""),"""")&lt;&gt;"""",
    F337&lt;&gt;""""
  ),
  ""Pls Confirm °"",
  IF(
    IFERROR(REGEXEXTRACT(C337,""@\s*(\d+(?:\.\d+)?)\s*deg""),"""")&lt;&gt;"""",
    1/COS(RADIANS(REGEXEXTRACT(C337,""@\s*(\d+(?:"&amp;"\.\d+)?)\s*deg""))),
    IF(
      F337&lt;&gt;"""",
      IF(
        ISNUMBER(SEARCH(""|"",F337)),
        1/COS(
          ATAN(
            TAN(RADIANS(VALUE(INDEX(SPLIT(F337,""|""),1)))) *
            TAN(RADIANS(VALUE(INDEX(SPLIT(F337,""|""),2))))
       "&amp;"     /
            SQRT(
              TAN(RADIANS(VALUE(INDEX(SPLIT(F337,""|""),1))))^2 +
              TAN(RADIANS(VALUE(INDEX(SPLIT(F337,""|""),2))))^2
            )
          )
        ),
        1/COS(RADIANS(VALUE(F337)))
      ),
      1
    )
  )
"&amp;")"),1.001372345997921)</f>
        <v>1.001372346</v>
      </c>
      <c r="O337" s="169">
        <v>1.0</v>
      </c>
      <c r="P337" s="156">
        <v>4.0</v>
      </c>
      <c r="Q337" s="168">
        <f t="shared" ref="Q337:Q342" si="261">M337*N337*O337*P337</f>
        <v>136.9877369</v>
      </c>
      <c r="R337" s="136" t="str">
        <f>IFERROR(
  IF(B337="", "", VLOOKUP(B337, Data!$B$2:$K$905, 9, FALSE)),
  ""
)</f>
        <v/>
      </c>
      <c r="S337" s="137">
        <f t="shared" ref="S337:S342" si="262">R337*Q337</f>
        <v>0</v>
      </c>
      <c r="T337" s="690"/>
      <c r="U337" s="136" t="str">
        <f>IFERROR(
  IF(B337="", "", VLOOKUP(B337, Data!$B$2:$K$905, 10, FALSE)),
  ""
)
</f>
        <v/>
      </c>
      <c r="V337" s="691"/>
      <c r="W337" s="140">
        <f t="shared" ref="W337:W342" si="263">U337*Q337</f>
        <v>0</v>
      </c>
      <c r="X337" s="693"/>
      <c r="Y337" s="595"/>
      <c r="Z337" s="595"/>
      <c r="AA337" s="595"/>
      <c r="AB337" s="354">
        <f t="shared" ref="AB337:AB342" si="264">W337+S337</f>
        <v>0</v>
      </c>
      <c r="AC337" s="181"/>
      <c r="AD337" s="625"/>
      <c r="AE337" s="626"/>
      <c r="AF337" s="696"/>
      <c r="AG337" s="697"/>
      <c r="AH337" s="629"/>
      <c r="AI337" s="187"/>
      <c r="AJ337" s="630"/>
      <c r="AK337" s="630"/>
      <c r="AL337" s="595"/>
      <c r="AM337" s="595"/>
      <c r="AN337" s="595"/>
      <c r="AO337" s="595"/>
      <c r="AP337" s="595"/>
      <c r="AQ337" s="595"/>
      <c r="AR337" s="595"/>
      <c r="AS337" s="595"/>
      <c r="AT337" s="595"/>
      <c r="AU337" s="595"/>
      <c r="AV337" s="595"/>
      <c r="AW337" s="595"/>
      <c r="AX337" s="595"/>
      <c r="AY337" s="595"/>
      <c r="AZ337" s="595"/>
      <c r="BA337" s="595"/>
      <c r="BB337" s="595"/>
      <c r="BC337" s="595"/>
      <c r="BD337" s="595"/>
      <c r="BE337" s="595"/>
      <c r="BF337" s="595"/>
      <c r="BG337" s="595"/>
      <c r="BH337" s="595"/>
      <c r="BI337" s="651"/>
      <c r="BJ337" s="651"/>
      <c r="BK337" s="651"/>
      <c r="BL337" s="651"/>
      <c r="BM337" s="651"/>
      <c r="BN337" s="651"/>
      <c r="BO337" s="651"/>
      <c r="BP337" s="651"/>
      <c r="BQ337" s="651"/>
      <c r="BR337" s="651"/>
      <c r="BS337" s="651"/>
      <c r="BT337" s="651"/>
    </row>
    <row r="338">
      <c r="A338" s="631"/>
      <c r="B338" s="154" t="str">
        <f>IFERROR(__xludf.DUMMYFUNCTION("IFERROR(
  IF(C338="""","""",
    IF(OR(REGEXMATCH(D338,""(?i)-Flashing""), REGEXMATCH(D338,""(?i)-EavesGut""), REGEXMATCH(D338,""(?i)Valley"")),
        ""DR"" &amp;
        TEXT(
            ROUNDUP(
                MIN(
                    VALUE(MID(C338, "&amp;"FIND(""("",C338)+1, FIND(""/"",C338)-FIND(""("",C338)-1)),
                    1200
                ) / 50, 0
            ) * 50, ""0""
        ) &amp;
        MID(C338, FIND(""/"",C338)+1, FIND("")"",C338)-FIND(""/"",C338)-1) &amp;
        TEXT(H338*100,""0"") &amp;"&amp;"
        I338,
    IF(AND(D338=""Roof Sheet"", REGEXMATCH(C338,""(?i)KS\d{4}[A-Z]{2}"")),
       REGEXEXTRACT(C338,""(?i)KS\d{4}[A-Z]{2}""),
    IF(AND(REGEXMATCH(D338,""(?i)-DP""), REGEXMATCH(C338,""(?i)Downpipe"")),
       ""dp"" &amp; REGEXEXTRACT(C338,""("&amp;"\d+)"") &amp; ""mm"",
    IF(AND(REGEXMATCH(D338,""(?i)Bracket""), REGEXMATCH(C338,""(?i)Bracket"")),
       ""Brkt"" &amp; REGEXEXTRACT(C338,""(\d+)"") &amp; ""mm"",
    IF(AND(REGEXMATCH(D338,""(?i)-OP""), REGEXMATCH(C338,""(?i)pops"")),
       ""op"" &amp; REGEXEXTRAC"&amp;"T(C338,""(\d+)"") &amp; ""mm"",
    IF(OR(D338=""R-FFTop"", D338=""R-FFBottom"", D338=""R-FFSide""),
        IF(REGEXMATCH(C338,""(?i)Profiled.*Top|Top.*Profiled""),""pfft"",
        IF(REGEXMATCH(C338,""(?i)Profiled.*Bottom|Bottom.*Profiled""),""pffb"",
    "&amp;"    IF(REGEXMATCH(C338,""(?i)Square""),""sff"",""""))),
    IF(REGEXMATCH(D338,""(?i)-Rivets""),""Rvt"",
    IF(REGEXMATCH(D338,""(?i)Silicone""),""300ml"",
    IF(REGEXMATCH(D338,""(?i)R-Butyl""),""300ml"",
    IF(REGEXMATCH(D338,""(?i)Fix""),""GenFix"","&amp;"
    IF(AND(REGEXMATCH(C338,""(?i)Timber""), REGEXMATCH(D338,""(?i)Timber"")),""tp"",
    IF(AND(REGEXMATCH(C338,""(?i)Vent G1275""), REGEXMATCH(D338,""(?i)Comb FIller"")),""CFV1275"",
    IF(REGEXMATCH(C338,""(?i)DPC""),""dpc"",
    IF(REGEXMATCH(C338,"""&amp;"(?i)Concealed Clips""),""ConClips"",
    IF(REGEXMATCH(D338,""(?i)-Takeoff ea""),""Takeoff ea"",
    IF(REGEXMATCH(D338,""(?i)-Takeoff LM""),""Takeoff LM"",
    IF(REGEXMATCH(D338,""(?i)-Takeoff m2""),""Takeoff m2"",
    IF(D338=""R-TU/TD"",""TU/TD"","""""&amp;")))))))))))))))))
  )))"),"300ml")</f>
        <v>300ml</v>
      </c>
      <c r="C338" s="225" t="s">
        <v>98</v>
      </c>
      <c r="D338" s="202" t="s">
        <v>99</v>
      </c>
      <c r="E338" s="168">
        <f>E337</f>
        <v>2.6</v>
      </c>
      <c r="F338" s="699"/>
      <c r="G338" s="700"/>
      <c r="H338" s="700" t="str">
        <f>IFERROR(__xludf.DUMMYFUNCTION("IFERROR(REGEXEXTRACT(C338, ""(\d*\.\d+)mm""), """")"),"")</f>
        <v/>
      </c>
      <c r="I338" s="700"/>
      <c r="J338" s="126" t="s">
        <v>87</v>
      </c>
      <c r="K338" s="128" t="s">
        <v>52</v>
      </c>
      <c r="L338" s="704"/>
      <c r="M338" s="150">
        <f>(ROUNDDOWN((M337/5.7)+2,0)*E338)/8</f>
        <v>2.6</v>
      </c>
      <c r="N338" s="151">
        <f t="shared" ref="N338:N343" si="265">if(B338="","",(if(N337="",N336,N337)))</f>
        <v>1.001372346</v>
      </c>
      <c r="O338" s="169">
        <v>1.0</v>
      </c>
      <c r="P338" s="134">
        <f t="shared" ref="P338:P340" si="266">P337</f>
        <v>4</v>
      </c>
      <c r="Q338" s="168">
        <f t="shared" si="261"/>
        <v>10.4142724</v>
      </c>
      <c r="R338" s="136" t="str">
        <f>IFERROR(
  IF(B338="", "", VLOOKUP(B338, Data!$B$2:$K$905, 9, FALSE)),
  ""
)</f>
        <v/>
      </c>
      <c r="S338" s="137">
        <f t="shared" si="262"/>
        <v>0</v>
      </c>
      <c r="T338" s="690"/>
      <c r="U338" s="681" t="str">
        <f>IFERROR(
  IF(B338="", "", VLOOKUP(B338, Data!$B$2:$K$905, 10, FALSE)),
  ""
)
</f>
        <v/>
      </c>
      <c r="V338" s="691"/>
      <c r="W338" s="140">
        <f t="shared" si="263"/>
        <v>0</v>
      </c>
      <c r="X338" s="692"/>
      <c r="Y338" s="595"/>
      <c r="Z338" s="595"/>
      <c r="AA338" s="595"/>
      <c r="AB338" s="354">
        <f t="shared" si="264"/>
        <v>0</v>
      </c>
      <c r="AC338" s="181"/>
      <c r="AD338" s="625"/>
      <c r="AE338" s="626"/>
      <c r="AF338" s="696"/>
      <c r="AG338" s="697"/>
      <c r="AH338" s="629"/>
      <c r="AI338" s="187"/>
      <c r="AJ338" s="630"/>
      <c r="AK338" s="630"/>
      <c r="AL338" s="595"/>
      <c r="AM338" s="595"/>
      <c r="AN338" s="595"/>
      <c r="AO338" s="595"/>
      <c r="AP338" s="595"/>
      <c r="AQ338" s="595"/>
      <c r="AR338" s="595"/>
      <c r="AS338" s="595"/>
      <c r="AT338" s="595"/>
      <c r="AU338" s="595"/>
      <c r="AV338" s="595"/>
      <c r="AW338" s="595"/>
      <c r="AX338" s="595"/>
      <c r="AY338" s="595"/>
      <c r="AZ338" s="595"/>
      <c r="BA338" s="595"/>
      <c r="BB338" s="595"/>
      <c r="BC338" s="595"/>
      <c r="BD338" s="595"/>
      <c r="BE338" s="595"/>
      <c r="BF338" s="595"/>
      <c r="BG338" s="595"/>
      <c r="BH338" s="595"/>
      <c r="BI338" s="651"/>
      <c r="BJ338" s="651"/>
      <c r="BK338" s="651"/>
      <c r="BL338" s="651"/>
      <c r="BM338" s="651"/>
      <c r="BN338" s="651"/>
      <c r="BO338" s="651"/>
      <c r="BP338" s="651"/>
      <c r="BQ338" s="651"/>
      <c r="BR338" s="651"/>
      <c r="BS338" s="651"/>
      <c r="BT338" s="651"/>
    </row>
    <row r="339">
      <c r="A339" s="631"/>
      <c r="B339" s="154" t="str">
        <f>IFERROR(__xludf.DUMMYFUNCTION("IFERROR(
  IF(C339="""","""",
    IF(OR(REGEXMATCH(D339,""(?i)-Flashing""), REGEXMATCH(D339,""(?i)-EavesGut""), REGEXMATCH(D339,""(?i)Valley"")),
        ""DR"" &amp;
        TEXT(
            ROUNDUP(
                MIN(
                    VALUE(MID(C339, "&amp;"FIND(""("",C339)+1, FIND(""/"",C339)-FIND(""("",C339)-1)),
                    1200
                ) / 50, 0
            ) * 50, ""0""
        ) &amp;
        MID(C339, FIND(""/"",C339)+1, FIND("")"",C339)-FIND(""/"",C339)-1) &amp;
        TEXT(H339*100,""0"") &amp;"&amp;"
        I339,
    IF(AND(D339=""Roof Sheet"", REGEXMATCH(C339,""(?i)KS\d{4}[A-Z]{2}"")),
       REGEXEXTRACT(C339,""(?i)KS\d{4}[A-Z]{2}""),
    IF(AND(REGEXMATCH(D339,""(?i)-DP""), REGEXMATCH(C339,""(?i)Downpipe"")),
       ""dp"" &amp; REGEXEXTRACT(C339,""("&amp;"\d+)"") &amp; ""mm"",
    IF(AND(REGEXMATCH(D339,""(?i)Bracket""), REGEXMATCH(C339,""(?i)Bracket"")),
       ""Brkt"" &amp; REGEXEXTRACT(C339,""(\d+)"") &amp; ""mm"",
    IF(AND(REGEXMATCH(D339,""(?i)-OP""), REGEXMATCH(C339,""(?i)pops"")),
       ""op"" &amp; REGEXEXTRAC"&amp;"T(C339,""(\d+)"") &amp; ""mm"",
    IF(OR(D339=""R-FFTop"", D339=""R-FFBottom"", D339=""R-FFSide""),
        IF(REGEXMATCH(C339,""(?i)Profiled.*Top|Top.*Profiled""),""pfft"",
        IF(REGEXMATCH(C339,""(?i)Profiled.*Bottom|Bottom.*Profiled""),""pffb"",
    "&amp;"    IF(REGEXMATCH(C339,""(?i)Square""),""sff"",""""))),
    IF(REGEXMATCH(D339,""(?i)-Rivets""),""Rvt"",
    IF(REGEXMATCH(D339,""(?i)Silicone""),""300ml"",
    IF(REGEXMATCH(D339,""(?i)R-Butyl""),""300ml"",
    IF(REGEXMATCH(D339,""(?i)Fix""),""GenFix"","&amp;"
    IF(AND(REGEXMATCH(C339,""(?i)Timber""), REGEXMATCH(D339,""(?i)Timber"")),""tp"",
    IF(AND(REGEXMATCH(C339,""(?i)Vent G1275""), REGEXMATCH(D339,""(?i)Comb FIller"")),""CFV1275"",
    IF(REGEXMATCH(C339,""(?i)DPC""),""dpc"",
    IF(REGEXMATCH(C339,"""&amp;"(?i)Concealed Clips""),""ConClips"",
    IF(REGEXMATCH(D339,""(?i)-Takeoff ea""),""Takeoff ea"",
    IF(REGEXMATCH(D339,""(?i)-Takeoff LM""),""Takeoff LM"",
    IF(REGEXMATCH(D339,""(?i)-Takeoff m2""),""Takeoff m2"",
    IF(D339=""R-TU/TD"",""TU/TD"","""""&amp;")))))))))))))))))
  )))"),"Rvt")</f>
        <v>Rvt</v>
      </c>
      <c r="C339" s="225" t="s">
        <v>100</v>
      </c>
      <c r="D339" s="202" t="s">
        <v>101</v>
      </c>
      <c r="E339" s="168">
        <f t="shared" ref="E339:E340" si="267">E337</f>
        <v>2.6</v>
      </c>
      <c r="F339" s="699"/>
      <c r="G339" s="700"/>
      <c r="H339" s="700" t="str">
        <f>IFERROR(__xludf.DUMMYFUNCTION("IFERROR(REGEXEXTRACT(C339, ""(\d*\.\d+)mm""), """")"),"")</f>
        <v/>
      </c>
      <c r="I339" s="700"/>
      <c r="J339" s="126" t="s">
        <v>87</v>
      </c>
      <c r="K339" s="128" t="s">
        <v>52</v>
      </c>
      <c r="L339" s="704"/>
      <c r="M339" s="150">
        <f>ROUNDUP(((M337/5.7)+1)*(E339/0.05),0)</f>
        <v>364</v>
      </c>
      <c r="N339" s="151">
        <f t="shared" si="265"/>
        <v>1.001372346</v>
      </c>
      <c r="O339" s="169">
        <v>1.0</v>
      </c>
      <c r="P339" s="134">
        <f t="shared" si="266"/>
        <v>4</v>
      </c>
      <c r="Q339" s="168">
        <f t="shared" si="261"/>
        <v>1457.998136</v>
      </c>
      <c r="R339" s="136" t="str">
        <f>IFERROR(
  IF(B339="", "", VLOOKUP(B339, Data!$B$2:$K$905, 9, FALSE)),
  ""
)</f>
        <v/>
      </c>
      <c r="S339" s="137">
        <f t="shared" si="262"/>
        <v>0</v>
      </c>
      <c r="T339" s="690"/>
      <c r="U339" s="681" t="str">
        <f>IFERROR(
  IF(B339="", "", VLOOKUP(B339, Data!$B$2:$K$905, 10, FALSE)),
  ""
)
</f>
        <v/>
      </c>
      <c r="V339" s="691"/>
      <c r="W339" s="140">
        <f t="shared" si="263"/>
        <v>0</v>
      </c>
      <c r="X339" s="692"/>
      <c r="Y339" s="595"/>
      <c r="Z339" s="595"/>
      <c r="AA339" s="595"/>
      <c r="AB339" s="354">
        <f t="shared" si="264"/>
        <v>0</v>
      </c>
      <c r="AC339" s="181"/>
      <c r="AD339" s="625"/>
      <c r="AE339" s="626"/>
      <c r="AF339" s="696"/>
      <c r="AG339" s="697"/>
      <c r="AH339" s="629"/>
      <c r="AI339" s="187"/>
      <c r="AJ339" s="630"/>
      <c r="AK339" s="630"/>
      <c r="AL339" s="595"/>
      <c r="AM339" s="595"/>
      <c r="AN339" s="595"/>
      <c r="AO339" s="595"/>
      <c r="AP339" s="595"/>
      <c r="AQ339" s="595"/>
      <c r="AR339" s="595"/>
      <c r="AS339" s="595"/>
      <c r="AT339" s="595"/>
      <c r="AU339" s="595"/>
      <c r="AV339" s="595"/>
      <c r="AW339" s="595"/>
      <c r="AX339" s="595"/>
      <c r="AY339" s="595"/>
      <c r="AZ339" s="595"/>
      <c r="BA339" s="595"/>
      <c r="BB339" s="595"/>
      <c r="BC339" s="595"/>
      <c r="BD339" s="595"/>
      <c r="BE339" s="595"/>
      <c r="BF339" s="595"/>
      <c r="BG339" s="595"/>
      <c r="BH339" s="595"/>
      <c r="BI339" s="651"/>
      <c r="BJ339" s="651"/>
      <c r="BK339" s="651"/>
      <c r="BL339" s="651"/>
      <c r="BM339" s="651"/>
      <c r="BN339" s="651"/>
      <c r="BO339" s="651"/>
      <c r="BP339" s="651"/>
      <c r="BQ339" s="651"/>
      <c r="BR339" s="651"/>
      <c r="BS339" s="651"/>
      <c r="BT339" s="651"/>
    </row>
    <row r="340">
      <c r="A340" s="631"/>
      <c r="B340" s="154" t="str">
        <f>IFERROR(__xludf.DUMMYFUNCTION("IFERROR(
  IF(C340="""","""",
    IF(OR(REGEXMATCH(D340,""(?i)-Flashing""), REGEXMATCH(D340,""(?i)-EavesGut""), REGEXMATCH(D340,""(?i)Valley"")),
        ""DR"" &amp;
        TEXT(
            ROUNDUP(
                MIN(
                    VALUE(MID(C340, "&amp;"FIND(""("",C340)+1, FIND(""/"",C340)-FIND(""("",C340)-1)),
                    1200
                ) / 50, 0
            ) * 50, ""0""
        ) &amp;
        MID(C340, FIND(""/"",C340)+1, FIND("")"",C340)-FIND(""/"",C340)-1) &amp;
        TEXT(H340*100,""0"") &amp;"&amp;"
        I340,
    IF(AND(D340=""Roof Sheet"", REGEXMATCH(C340,""(?i)KS\d{4}[A-Z]{2}"")),
       REGEXEXTRACT(C340,""(?i)KS\d{4}[A-Z]{2}""),
    IF(AND(REGEXMATCH(D340,""(?i)-DP""), REGEXMATCH(C340,""(?i)Downpipe"")),
       ""dp"" &amp; REGEXEXTRACT(C340,""("&amp;"\d+)"") &amp; ""mm"",
    IF(AND(REGEXMATCH(D340,""(?i)Bracket""), REGEXMATCH(C340,""(?i)Bracket"")),
       ""Brkt"" &amp; REGEXEXTRACT(C340,""(\d+)"") &amp; ""mm"",
    IF(AND(REGEXMATCH(D340,""(?i)-OP""), REGEXMATCH(C340,""(?i)pops"")),
       ""op"" &amp; REGEXEXTRAC"&amp;"T(C340,""(\d+)"") &amp; ""mm"",
    IF(OR(D340=""R-FFTop"", D340=""R-FFBottom"", D340=""R-FFSide""),
        IF(REGEXMATCH(C340,""(?i)Profiled.*Top|Top.*Profiled""),""pfft"",
        IF(REGEXMATCH(C340,""(?i)Profiled.*Bottom|Bottom.*Profiled""),""pffb"",
    "&amp;"    IF(REGEXMATCH(C340,""(?i)Square""),""sff"",""""))),
    IF(REGEXMATCH(D340,""(?i)-Rivets""),""Rvt"",
    IF(REGEXMATCH(D340,""(?i)Silicone""),""300ml"",
    IF(REGEXMATCH(D340,""(?i)R-Butyl""),""300ml"",
    IF(REGEXMATCH(D340,""(?i)Fix""),""GenFix"","&amp;"
    IF(AND(REGEXMATCH(C340,""(?i)Timber""), REGEXMATCH(D340,""(?i)Timber"")),""tp"",
    IF(AND(REGEXMATCH(C340,""(?i)Vent G1275""), REGEXMATCH(D340,""(?i)Comb FIller"")),""CFV1275"",
    IF(REGEXMATCH(C340,""(?i)DPC""),""dpc"",
    IF(REGEXMATCH(C340,"""&amp;"(?i)Concealed Clips""),""ConClips"",
    IF(REGEXMATCH(D340,""(?i)-Takeoff ea""),""Takeoff ea"",
    IF(REGEXMATCH(D340,""(?i)-Takeoff LM""),""Takeoff LM"",
    IF(REGEXMATCH(D340,""(?i)-Takeoff m2""),""Takeoff m2"",
    IF(D340=""R-TU/TD"",""TU/TD"","""""&amp;")))))))))))))))))
  )))"),"GenFix")</f>
        <v>GenFix</v>
      </c>
      <c r="C340" s="158" t="s">
        <v>102</v>
      </c>
      <c r="D340" s="124" t="s">
        <v>389</v>
      </c>
      <c r="E340" s="168">
        <f t="shared" si="267"/>
        <v>2.6</v>
      </c>
      <c r="F340" s="699"/>
      <c r="G340" s="701"/>
      <c r="H340" s="700" t="str">
        <f>IFERROR(__xludf.DUMMYFUNCTION("IFERROR(REGEXEXTRACT(C340, ""(\d*\.\d+)mm""), """")"),"")</f>
        <v/>
      </c>
      <c r="I340" s="700"/>
      <c r="J340" s="126" t="s">
        <v>87</v>
      </c>
      <c r="K340" s="126" t="s">
        <v>52</v>
      </c>
      <c r="L340" s="704"/>
      <c r="M340" s="150">
        <f>ROUNDUP((M337*E340)*8,0)+1</f>
        <v>713</v>
      </c>
      <c r="N340" s="151">
        <f t="shared" si="265"/>
        <v>1.001372346</v>
      </c>
      <c r="O340" s="169">
        <v>1.0</v>
      </c>
      <c r="P340" s="134">
        <f t="shared" si="266"/>
        <v>4</v>
      </c>
      <c r="Q340" s="168">
        <f t="shared" si="261"/>
        <v>2855.913931</v>
      </c>
      <c r="R340" s="136" t="str">
        <f>IFERROR(
  IF(B340="", "", VLOOKUP(B340, Data!$B$2:$K$905, 9, FALSE)),
  ""
)</f>
        <v/>
      </c>
      <c r="S340" s="137">
        <f t="shared" si="262"/>
        <v>0</v>
      </c>
      <c r="T340" s="690"/>
      <c r="U340" s="681" t="str">
        <f>IFERROR(
  IF(B340="", "", VLOOKUP(B340, Data!$B$2:$K$905, 10, FALSE)),
  ""
)
</f>
        <v/>
      </c>
      <c r="V340" s="691"/>
      <c r="W340" s="140">
        <f t="shared" si="263"/>
        <v>0</v>
      </c>
      <c r="X340" s="692"/>
      <c r="Y340" s="595"/>
      <c r="Z340" s="595"/>
      <c r="AA340" s="595"/>
      <c r="AB340" s="354">
        <f t="shared" si="264"/>
        <v>0</v>
      </c>
      <c r="AC340" s="181"/>
      <c r="AD340" s="625"/>
      <c r="AE340" s="626"/>
      <c r="AF340" s="696"/>
      <c r="AG340" s="697"/>
      <c r="AH340" s="629"/>
      <c r="AI340" s="187"/>
      <c r="AJ340" s="630"/>
      <c r="AK340" s="630"/>
      <c r="AL340" s="595"/>
      <c r="AM340" s="595"/>
      <c r="AN340" s="595"/>
      <c r="AO340" s="595"/>
      <c r="AP340" s="595"/>
      <c r="AQ340" s="595"/>
      <c r="AR340" s="595"/>
      <c r="AS340" s="595"/>
      <c r="AT340" s="595"/>
      <c r="AU340" s="595"/>
      <c r="AV340" s="595"/>
      <c r="AW340" s="595"/>
      <c r="AX340" s="595"/>
      <c r="AY340" s="595"/>
      <c r="AZ340" s="595"/>
      <c r="BA340" s="595"/>
      <c r="BB340" s="595"/>
      <c r="BC340" s="595"/>
      <c r="BD340" s="595"/>
      <c r="BE340" s="595"/>
      <c r="BF340" s="595"/>
      <c r="BG340" s="595"/>
      <c r="BH340" s="595"/>
      <c r="BI340" s="651"/>
      <c r="BJ340" s="651"/>
      <c r="BK340" s="651"/>
      <c r="BL340" s="651"/>
      <c r="BM340" s="651"/>
      <c r="BN340" s="651"/>
      <c r="BO340" s="651"/>
      <c r="BP340" s="651"/>
      <c r="BQ340" s="651"/>
      <c r="BR340" s="651"/>
      <c r="BS340" s="651"/>
      <c r="BT340" s="651"/>
    </row>
    <row r="341">
      <c r="A341" s="631"/>
      <c r="B341" s="154" t="str">
        <f>IFERROR(__xludf.DUMMYFUNCTION("IFERROR(
  IF(C341="""","""",
    IF(OR(REGEXMATCH(D341,""(?i)-Flashing""), REGEXMATCH(D341,""(?i)-EavesGut""), REGEXMATCH(D341,""(?i)Valley"")),
        ""DR"" &amp;
        TEXT(
            ROUNDUP(
                MIN(
                    VALUE(MID(C341, "&amp;"FIND(""("",C341)+1, FIND(""/"",C341)-FIND(""("",C341)-1)),
                    1200
                ) / 50, 0
            ) * 50, ""0""
        ) &amp;
        MID(C341, FIND(""/"",C341)+1, FIND("")"",C341)-FIND(""/"",C341)-1) &amp;
        TEXT(H341*100,""0"") &amp;"&amp;"
        I341,
    IF(AND(D341=""Roof Sheet"", REGEXMATCH(C341,""(?i)KS\d{4}[A-Z]{2}"")),
       REGEXEXTRACT(C341,""(?i)KS\d{4}[A-Z]{2}""),
    IF(AND(REGEXMATCH(D341,""(?i)-DP""), REGEXMATCH(C341,""(?i)Downpipe"")),
       ""dp"" &amp; REGEXEXTRACT(C341,""("&amp;"\d+)"") &amp; ""mm"",
    IF(AND(REGEXMATCH(D341,""(?i)Bracket""), REGEXMATCH(C341,""(?i)Bracket"")),
       ""Brkt"" &amp; REGEXEXTRACT(C341,""(\d+)"") &amp; ""mm"",
    IF(AND(REGEXMATCH(D341,""(?i)-OP""), REGEXMATCH(C341,""(?i)pops"")),
       ""op"" &amp; REGEXEXTRAC"&amp;"T(C341,""(\d+)"") &amp; ""mm"",
    IF(OR(D341=""R-FFTop"", D341=""R-FFBottom"", D341=""R-FFSide""),
        IF(REGEXMATCH(C341,""(?i)Profiled.*Top|Top.*Profiled""),""pfft"",
        IF(REGEXMATCH(C341,""(?i)Profiled.*Bottom|Bottom.*Profiled""),""pffb"",
    "&amp;"    IF(REGEXMATCH(C341,""(?i)Square""),""sff"",""""))),
    IF(REGEXMATCH(D341,""(?i)-Rivets""),""Rvt"",
    IF(REGEXMATCH(D341,""(?i)Silicone""),""300ml"",
    IF(REGEXMATCH(D341,""(?i)R-Butyl""),""300ml"",
    IF(REGEXMATCH(D341,""(?i)Fix""),""GenFix"","&amp;"
    IF(AND(REGEXMATCH(C341,""(?i)Timber""), REGEXMATCH(D341,""(?i)Timber"")),""tp"",
    IF(AND(REGEXMATCH(C341,""(?i)Vent G1275""), REGEXMATCH(D341,""(?i)Comb FIller"")),""CFV1275"",
    IF(REGEXMATCH(C341,""(?i)DPC""),""dpc"",
    IF(REGEXMATCH(C341,"""&amp;"(?i)Concealed Clips""),""ConClips"",
    IF(REGEXMATCH(D341,""(?i)-Takeoff ea""),""Takeoff ea"",
    IF(REGEXMATCH(D341,""(?i)-Takeoff LM""),""Takeoff LM"",
    IF(REGEXMATCH(D341,""(?i)-Takeoff m2""),""Takeoff m2"",
    IF(D341=""R-TU/TD"",""TU/TD"","""""&amp;")))))))))))))))))
  )))"),"sff")</f>
        <v>sff</v>
      </c>
      <c r="C341" s="225" t="s">
        <v>110</v>
      </c>
      <c r="D341" s="124" t="s">
        <v>111</v>
      </c>
      <c r="E341" s="704"/>
      <c r="F341" s="699"/>
      <c r="G341" s="701"/>
      <c r="H341" s="700" t="str">
        <f>IFERROR(__xludf.DUMMYFUNCTION("IFERROR(REGEXEXTRACT(C341, ""(\d*\.\d+)mm""), """")"),"")</f>
        <v/>
      </c>
      <c r="I341" s="700"/>
      <c r="J341" s="126" t="s">
        <v>87</v>
      </c>
      <c r="K341" s="126" t="s">
        <v>55</v>
      </c>
      <c r="L341" s="704"/>
      <c r="M341" s="150">
        <f>M337</f>
        <v>34.2</v>
      </c>
      <c r="N341" s="151">
        <f t="shared" si="265"/>
        <v>1.001372346</v>
      </c>
      <c r="O341" s="169">
        <v>1.0</v>
      </c>
      <c r="P341" s="134">
        <f>P340*2</f>
        <v>8</v>
      </c>
      <c r="Q341" s="168">
        <f t="shared" si="261"/>
        <v>273.9754739</v>
      </c>
      <c r="R341" s="136" t="str">
        <f>IFERROR(
  IF(B341="", "", VLOOKUP(B341, Data!$B$2:$K$905, 9, FALSE)),
  ""
)</f>
        <v/>
      </c>
      <c r="S341" s="137">
        <f t="shared" si="262"/>
        <v>0</v>
      </c>
      <c r="T341" s="690"/>
      <c r="U341" s="136" t="str">
        <f>IFERROR(
  IF(B341="", "", VLOOKUP(B341, Data!$B$2:$K$905, 10, FALSE)),
  ""
)
</f>
        <v/>
      </c>
      <c r="V341" s="691"/>
      <c r="W341" s="140">
        <f t="shared" si="263"/>
        <v>0</v>
      </c>
      <c r="X341" s="692"/>
      <c r="Y341" s="595"/>
      <c r="Z341" s="595"/>
      <c r="AA341" s="595"/>
      <c r="AB341" s="354">
        <f t="shared" si="264"/>
        <v>0</v>
      </c>
      <c r="AC341" s="181"/>
      <c r="AD341" s="625"/>
      <c r="AE341" s="626"/>
      <c r="AF341" s="696"/>
      <c r="AG341" s="697"/>
      <c r="AH341" s="629"/>
      <c r="AI341" s="187"/>
      <c r="AJ341" s="630"/>
      <c r="AK341" s="630"/>
      <c r="AL341" s="595"/>
      <c r="AM341" s="595"/>
      <c r="AN341" s="595"/>
      <c r="AO341" s="595"/>
      <c r="AP341" s="595"/>
      <c r="AQ341" s="595"/>
      <c r="AR341" s="595"/>
      <c r="AS341" s="595"/>
      <c r="AT341" s="595"/>
      <c r="AU341" s="595"/>
      <c r="AV341" s="595"/>
      <c r="AW341" s="595"/>
      <c r="AX341" s="595"/>
      <c r="AY341" s="595"/>
      <c r="AZ341" s="595"/>
      <c r="BA341" s="595"/>
      <c r="BB341" s="595"/>
      <c r="BC341" s="595"/>
      <c r="BD341" s="595"/>
      <c r="BE341" s="595"/>
      <c r="BF341" s="595"/>
      <c r="BG341" s="595"/>
      <c r="BH341" s="595"/>
      <c r="BI341" s="651"/>
      <c r="BJ341" s="651"/>
      <c r="BK341" s="651"/>
      <c r="BL341" s="651"/>
      <c r="BM341" s="651"/>
      <c r="BN341" s="651"/>
      <c r="BO341" s="651"/>
      <c r="BP341" s="651"/>
      <c r="BQ341" s="651"/>
      <c r="BR341" s="651"/>
      <c r="BS341" s="651"/>
      <c r="BT341" s="651"/>
    </row>
    <row r="342">
      <c r="A342" s="631"/>
      <c r="B342" s="154" t="str">
        <f>IFERROR(__xludf.DUMMYFUNCTION("IFERROR(
  IF(C342="""","""",
    IF(OR(REGEXMATCH(D342,""(?i)-Flashing""), REGEXMATCH(D342,""(?i)-EavesGut""), REGEXMATCH(D342,""(?i)Valley"")),
        ""DR"" &amp;
        TEXT(
            ROUNDUP(
                MIN(
                    VALUE(MID(C342, "&amp;"FIND(""("",C342)+1, FIND(""/"",C342)-FIND(""("",C342)-1)),
                    1200
                ) / 50, 0
            ) * 50, ""0""
        ) &amp;
        MID(C342, FIND(""/"",C342)+1, FIND("")"",C342)-FIND(""/"",C342)-1) &amp;
        TEXT(H342*100,""0"") &amp;"&amp;"
        I342,
    IF(AND(D342=""Roof Sheet"", REGEXMATCH(C342,""(?i)KS\d{4}[A-Z]{2}"")),
       REGEXEXTRACT(C342,""(?i)KS\d{4}[A-Z]{2}""),
    IF(AND(REGEXMATCH(D342,""(?i)-DP""), REGEXMATCH(C342,""(?i)Downpipe"")),
       ""dp"" &amp; REGEXEXTRACT(C342,""("&amp;"\d+)"") &amp; ""mm"",
    IF(AND(REGEXMATCH(D342,""(?i)Bracket""), REGEXMATCH(C342,""(?i)Bracket"")),
       ""Brkt"" &amp; REGEXEXTRACT(C342,""(\d+)"") &amp; ""mm"",
    IF(AND(REGEXMATCH(D342,""(?i)-OP""), REGEXMATCH(C342,""(?i)pops"")),
       ""op"" &amp; REGEXEXTRAC"&amp;"T(C342,""(\d+)"") &amp; ""mm"",
    IF(OR(D342=""R-FFTop"", D342=""R-FFBottom"", D342=""R-FFSide""),
        IF(REGEXMATCH(C342,""(?i)Profiled.*Top|Top.*Profiled""),""pfft"",
        IF(REGEXMATCH(C342,""(?i)Profiled.*Bottom|Bottom.*Profiled""),""pffb"",
    "&amp;"    IF(REGEXMATCH(C342,""(?i)Square""),""sff"",""""))),
    IF(REGEXMATCH(D342,""(?i)-Rivets""),""Rvt"",
    IF(REGEXMATCH(D342,""(?i)Silicone""),""300ml"",
    IF(REGEXMATCH(D342,""(?i)R-Butyl""),""300ml"",
    IF(REGEXMATCH(D342,""(?i)Fix""),""GenFix"","&amp;"
    IF(AND(REGEXMATCH(C342,""(?i)Timber""), REGEXMATCH(D342,""(?i)Timber"")),""tp"",
    IF(AND(REGEXMATCH(C342,""(?i)Vent G1275""), REGEXMATCH(D342,""(?i)Comb FIller"")),""CFV1275"",
    IF(REGEXMATCH(C342,""(?i)DPC""),""dpc"",
    IF(REGEXMATCH(C342,"""&amp;"(?i)Concealed Clips""),""ConClips"",
    IF(REGEXMATCH(D342,""(?i)-Takeoff ea""),""Takeoff ea"",
    IF(REGEXMATCH(D342,""(?i)-Takeoff LM""),""Takeoff LM"",
    IF(REGEXMATCH(D342,""(?i)-Takeoff m2""),""Takeoff m2"",
    IF(D342=""R-TU/TD"",""TU/TD"","""""&amp;")))))))))))))))))
  )))"),"pfft")</f>
        <v>pfft</v>
      </c>
      <c r="C342" s="225" t="s">
        <v>104</v>
      </c>
      <c r="D342" s="124" t="s">
        <v>105</v>
      </c>
      <c r="E342" s="712"/>
      <c r="F342" s="721"/>
      <c r="G342" s="701"/>
      <c r="H342" s="700"/>
      <c r="I342" s="700"/>
      <c r="J342" s="126" t="s">
        <v>87</v>
      </c>
      <c r="K342" s="126" t="s">
        <v>55</v>
      </c>
      <c r="L342" s="712"/>
      <c r="M342" s="150">
        <f>E340</f>
        <v>2.6</v>
      </c>
      <c r="N342" s="151">
        <f t="shared" si="265"/>
        <v>1.001372346</v>
      </c>
      <c r="O342" s="169">
        <v>1.0</v>
      </c>
      <c r="P342" s="134">
        <f>P341</f>
        <v>8</v>
      </c>
      <c r="Q342" s="168">
        <f t="shared" si="261"/>
        <v>20.8285448</v>
      </c>
      <c r="R342" s="136" t="str">
        <f>IFERROR(
  IF(B342="", "", VLOOKUP(B342, Data!$B$2:$K$905, 9, FALSE)),
  ""
)</f>
        <v/>
      </c>
      <c r="S342" s="137">
        <f t="shared" si="262"/>
        <v>0</v>
      </c>
      <c r="T342" s="690"/>
      <c r="U342" s="136" t="str">
        <f>IFERROR(
  IF(B342="", "", VLOOKUP(B342, Data!$B$2:$K$905, 10, FALSE)),
  ""
)
</f>
        <v/>
      </c>
      <c r="V342" s="691"/>
      <c r="W342" s="140">
        <f t="shared" si="263"/>
        <v>0</v>
      </c>
      <c r="X342" s="692"/>
      <c r="Y342" s="595"/>
      <c r="Z342" s="595"/>
      <c r="AA342" s="595"/>
      <c r="AB342" s="354">
        <f t="shared" si="264"/>
        <v>0</v>
      </c>
      <c r="AC342" s="181"/>
      <c r="AD342" s="625"/>
      <c r="AE342" s="626"/>
      <c r="AF342" s="696"/>
      <c r="AG342" s="697"/>
      <c r="AH342" s="629"/>
      <c r="AI342" s="187"/>
      <c r="AJ342" s="630"/>
      <c r="AK342" s="630"/>
      <c r="AL342" s="595"/>
      <c r="AM342" s="595"/>
      <c r="AN342" s="595"/>
      <c r="AO342" s="595"/>
      <c r="AP342" s="595"/>
      <c r="AQ342" s="595"/>
      <c r="AR342" s="595"/>
      <c r="AS342" s="595"/>
      <c r="AT342" s="595"/>
      <c r="AU342" s="595"/>
      <c r="AV342" s="595"/>
      <c r="AW342" s="595"/>
      <c r="AX342" s="595"/>
      <c r="AY342" s="595"/>
      <c r="AZ342" s="595"/>
      <c r="BA342" s="595"/>
      <c r="BB342" s="595"/>
      <c r="BC342" s="595"/>
      <c r="BD342" s="595"/>
      <c r="BE342" s="595"/>
      <c r="BF342" s="595"/>
      <c r="BG342" s="595"/>
      <c r="BH342" s="595"/>
      <c r="BI342" s="651"/>
      <c r="BJ342" s="651"/>
      <c r="BK342" s="651"/>
      <c r="BL342" s="651"/>
      <c r="BM342" s="651"/>
      <c r="BN342" s="651"/>
      <c r="BO342" s="651"/>
      <c r="BP342" s="651"/>
      <c r="BQ342" s="651"/>
      <c r="BR342" s="651"/>
      <c r="BS342" s="651"/>
      <c r="BT342" s="651"/>
    </row>
    <row r="343">
      <c r="A343" s="631"/>
      <c r="B343" s="154"/>
      <c r="C343" s="736"/>
      <c r="D343" s="736"/>
      <c r="E343" s="737"/>
      <c r="F343" s="738"/>
      <c r="G343" s="736"/>
      <c r="H343" s="736"/>
      <c r="I343" s="737"/>
      <c r="J343" s="736"/>
      <c r="K343" s="736" t="s">
        <v>42</v>
      </c>
      <c r="L343" s="737"/>
      <c r="M343" s="737" t="s">
        <v>42</v>
      </c>
      <c r="N343" s="151" t="str">
        <f t="shared" si="265"/>
        <v/>
      </c>
      <c r="O343" s="737"/>
      <c r="P343" s="736"/>
      <c r="Q343" s="740"/>
      <c r="R343" s="681" t="str">
        <f>IFERROR(
  IF(B343="", "", VLOOKUP(B343, Data!$B$2:$K$905, 9, FALSE)),
  ""
)</f>
        <v/>
      </c>
      <c r="S343" s="741"/>
      <c r="T343" s="741"/>
      <c r="U343" s="681" t="str">
        <f>IFERROR(
  IF(B343="", "", VLOOKUP(B343, Data!$B$2:$K$905, 10, FALSE)),
  ""
)
</f>
        <v/>
      </c>
      <c r="V343" s="741"/>
      <c r="W343" s="742"/>
      <c r="X343" s="595"/>
      <c r="Y343" s="595"/>
      <c r="Z343" s="595"/>
      <c r="AA343" s="595"/>
      <c r="AB343" s="595"/>
      <c r="AC343" s="181"/>
      <c r="AD343" s="625"/>
      <c r="AE343" s="626"/>
      <c r="AF343" s="627"/>
      <c r="AG343" s="697"/>
      <c r="AH343" s="629"/>
      <c r="AI343" s="187"/>
      <c r="AJ343" s="630"/>
      <c r="AK343" s="630"/>
      <c r="AL343" s="595"/>
      <c r="AM343" s="595"/>
      <c r="AN343" s="595"/>
      <c r="AO343" s="595"/>
      <c r="AP343" s="595"/>
      <c r="AQ343" s="595"/>
      <c r="AR343" s="595"/>
      <c r="AS343" s="595"/>
      <c r="AT343" s="595"/>
      <c r="AU343" s="595"/>
      <c r="AV343" s="595"/>
      <c r="AW343" s="595"/>
      <c r="AX343" s="595"/>
      <c r="AY343" s="595"/>
      <c r="AZ343" s="595"/>
      <c r="BA343" s="595"/>
      <c r="BB343" s="595"/>
      <c r="BC343" s="595"/>
      <c r="BD343" s="595"/>
      <c r="BE343" s="595"/>
      <c r="BF343" s="595"/>
      <c r="BG343" s="595"/>
      <c r="BH343" s="595"/>
      <c r="BI343" s="651"/>
      <c r="BJ343" s="651"/>
      <c r="BK343" s="651"/>
      <c r="BL343" s="651"/>
      <c r="BM343" s="651"/>
      <c r="BN343" s="651"/>
      <c r="BO343" s="651"/>
      <c r="BP343" s="651"/>
      <c r="BQ343" s="651"/>
      <c r="BR343" s="651"/>
      <c r="BS343" s="651"/>
      <c r="BT343" s="651"/>
    </row>
    <row r="344">
      <c r="A344" s="631">
        <v>1.0</v>
      </c>
      <c r="B344" s="727"/>
      <c r="C344" s="103" t="s">
        <v>462</v>
      </c>
      <c r="D344" s="678"/>
      <c r="E344" s="676"/>
      <c r="F344" s="677"/>
      <c r="G344" s="157"/>
      <c r="H344" s="678"/>
      <c r="I344" s="678"/>
      <c r="J344" s="678"/>
      <c r="K344" s="678" t="s">
        <v>42</v>
      </c>
      <c r="L344" s="106">
        <f>Q344</f>
        <v>133.9836199</v>
      </c>
      <c r="M344" s="679" t="s">
        <v>42</v>
      </c>
      <c r="N344" s="680"/>
      <c r="O344" s="679"/>
      <c r="P344" s="678"/>
      <c r="Q344" s="106">
        <f>Q345</f>
        <v>133.9836199</v>
      </c>
      <c r="R344" s="136" t="str">
        <f>IFERROR(
  IF(B344="", "", VLOOKUP(B344, Data!$B$2:$K$905, 9, FALSE)),
  ""
)</f>
        <v/>
      </c>
      <c r="S344" s="682">
        <f>IFERROR(T344/Q344, 0)</f>
        <v>0</v>
      </c>
      <c r="T344" s="109">
        <f>SUM(S345:S351)</f>
        <v>0</v>
      </c>
      <c r="U344" s="136" t="str">
        <f>IFERROR(
  IF(B344="", "", VLOOKUP(B344, Data!$B$2:$K$905, 10, FALSE)),
  ""
)
</f>
        <v/>
      </c>
      <c r="V344" s="109">
        <f>W344/Q344</f>
        <v>0</v>
      </c>
      <c r="W344" s="110">
        <f>SUM(W345:W351)</f>
        <v>0</v>
      </c>
      <c r="X344" s="111" t="str">
        <f>W344/$AC$758/$W$765/$X$755</f>
        <v>#REF!</v>
      </c>
      <c r="Y344" s="112" t="b">
        <f>(T344+W344)=(SUM(AB345:AB351))</f>
        <v>1</v>
      </c>
      <c r="Z344" s="113">
        <f>(T344+W344)-(SUM(AB345:AB351))</f>
        <v>0</v>
      </c>
      <c r="AA344" s="595"/>
      <c r="AB344" s="595"/>
      <c r="AC344" s="181"/>
      <c r="AD344" s="114">
        <f>W344+T344</f>
        <v>0</v>
      </c>
      <c r="AE344" s="115">
        <f>AD344</f>
        <v>0</v>
      </c>
      <c r="AF344" s="116" t="str">
        <f>AE344/$AE$733</f>
        <v>#REF!</v>
      </c>
      <c r="AG344" s="683" t="str">
        <f>AF344*$AG$740</f>
        <v>#REF!</v>
      </c>
      <c r="AH344" s="118" t="str">
        <f>AF344*$AG$743</f>
        <v>#REF!</v>
      </c>
      <c r="AI344" s="187"/>
      <c r="AJ344" s="119" t="str">
        <f>ROUND(AK344/L344,2)</f>
        <v>#REF!</v>
      </c>
      <c r="AK344" s="119" t="str">
        <f>ROUND(AH344+AG344+AD344,2)</f>
        <v>#REF!</v>
      </c>
      <c r="AL344" s="595"/>
      <c r="AM344" s="595"/>
      <c r="AN344" s="595"/>
      <c r="AO344" s="595"/>
      <c r="AP344" s="595"/>
      <c r="AQ344" s="595"/>
      <c r="AR344" s="595"/>
      <c r="AS344" s="595"/>
      <c r="AT344" s="595"/>
      <c r="AU344" s="595"/>
      <c r="AV344" s="595"/>
      <c r="AW344" s="595"/>
      <c r="AX344" s="595"/>
      <c r="AY344" s="595"/>
      <c r="AZ344" s="595"/>
      <c r="BA344" s="595"/>
      <c r="BB344" s="595"/>
      <c r="BC344" s="595"/>
      <c r="BD344" s="595"/>
      <c r="BE344" s="595"/>
      <c r="BF344" s="595"/>
      <c r="BG344" s="595"/>
      <c r="BH344" s="595"/>
      <c r="BI344" s="651"/>
      <c r="BJ344" s="651"/>
      <c r="BK344" s="651"/>
      <c r="BL344" s="651"/>
      <c r="BM344" s="651"/>
      <c r="BN344" s="651"/>
      <c r="BO344" s="651"/>
      <c r="BP344" s="651"/>
      <c r="BQ344" s="651"/>
      <c r="BR344" s="651"/>
      <c r="BS344" s="651"/>
      <c r="BT344" s="651"/>
    </row>
    <row r="345">
      <c r="A345" s="716" t="s">
        <v>444</v>
      </c>
      <c r="B345" s="154" t="str">
        <f>IFERROR(__xludf.DUMMYFUNCTION("IFERROR(
  IF(C345="""","""",
    IF(OR(REGEXMATCH(D345,""(?i)-Flashing""), REGEXMATCH(D345,""(?i)-EavesGut""), REGEXMATCH(D345,""(?i)Valley"")),
        ""DR"" &amp;
        TEXT(
            ROUNDUP(
                VALUE(MID(C345, FIND(""("",C345)+1, FIND("&amp;"""/"",C345)-FIND(""("",C345)-1)) / 50,
            0) * 50, ""0""
        ) &amp;
        MID(C345, FIND(""/"",C345)+1, FIND("")"",C345)-FIND(""/"",C345)-1) &amp;
        TEXT(H345*100,""0"") &amp;
        I345,
    IF(AND(D345=""Roof Sheet"", REGEXMATCH(C345,""(?i)K"&amp;"S\d{4}[A-Z]{2}"")),
       REGEXEXTRACT(C345,""(?i)KS\d{4}[A-Z]{2}""),
    IF(AND(REGEXMATCH(D345,""(?i)-DP""), REGEXMATCH(C345,""(?i)Downpipe"")),
       ""dp"" &amp; REGEXEXTRACT(C345,""(\d+)"") &amp; ""mm"",
    IF(AND(REGEXMATCH(D345,""(?i)Bracket""), REGEXMA"&amp;"TCH(C345,""(?i)Bracket"")),
       ""Brkt"" &amp; REGEXEXTRACT(C345,""(\d+)"") &amp; ""mm"",
    IF(AND(REGEXMATCH(D345,""(?i)-OP""), REGEXMATCH(C345,""(?i)pops"")),
       ""op"" &amp; REGEXEXTRACT(C345,""(\d+)"") &amp; ""mm"",
    IF(OR(D345=""R-FFTop"", D345=""R-FFBot"&amp;"tom"", D345=""R-FFSide""),
        IF(REGEXMATCH(C345,""(?i)Profiled.*Top|Top.*Profiled""),""pfft"",
        IF(REGEXMATCH(C345,""(?i)Profiled.*Bottom|Bottom.*Profiled""),""pffb"",
        IF(REGEXMATCH(C345,""(?i)Square""),""sff"",""""))),
    IF(REGEXMA"&amp;"TCH(D345,""(?i)-Rivets""),""Rvt"",
    IF(REGEXMATCH(D345,""(?i)Silicone""),""300ml"",
    IF(REGEXMATCH(D345,""(?i)R-Butyl""),""300ml"",
    IF(REGEXMATCH(D345,""(?i)Fix""),""GenFix"",
    IF(AND(REGEXMATCH(C345,""(?i)Timber""), REGEXMATCH(D345,""(?i)Tim"&amp;"ber"")),""tp"",
    IF(AND(REGEXMATCH(C345,""(?i)Vent G1275""), REGEXMATCH(D345,""(?i)Comb FIller"")),""CFV1275"",
    IF(REGEXMATCH(C345,""(?i)DPC""),""dpc"",
    IF(REGEXMATCH(C345,""(?i)Concealed Clips""),""ConClips"",
    IF(REGEXMATCH(D345,""(?i)-Tak"&amp;"eoff ea""),""Takeoff ea"",
    IF(REGEXMATCH(D345,""(?i)-Takeoff LM""),""Takeoff LM"",
    IF(REGEXMATCH(D345,""(?i)-Takeoff m2""),""Takeoff m2"",
    IF(D345=""R-TU/TD"",""TU/TD"","""")))))))))))))))))
  )))"),"DR3503B55Mag")</f>
        <v>DR3503B55Mag</v>
      </c>
      <c r="C345" s="123" t="s">
        <v>466</v>
      </c>
      <c r="D345" s="124" t="s">
        <v>96</v>
      </c>
      <c r="E345" s="687">
        <f>VALUE(MID(C345, FIND("(", C345)+1, FIND("/", C345)-FIND("(", C345)-1)) / 1000</f>
        <v>0.31</v>
      </c>
      <c r="F345" s="688"/>
      <c r="G345" s="689" t="s">
        <v>512</v>
      </c>
      <c r="H345" s="128" t="str">
        <f>IFERROR(__xludf.DUMMYFUNCTION("IFERROR(REGEXEXTRACT(C345, ""(\d*\.\d+)mm""), """")"),"0.55")</f>
        <v>0.55</v>
      </c>
      <c r="I345" s="128" t="s">
        <v>97</v>
      </c>
      <c r="J345" s="126" t="s">
        <v>14</v>
      </c>
      <c r="K345" s="126" t="str">
        <f>IFERROR(
  IF(B345="", "", VLOOKUP(B345, Data!$B$2:$K$905, 7, FALSE)),
  ""
)</f>
        <v/>
      </c>
      <c r="L345" s="704"/>
      <c r="M345" s="150">
        <f>M354</f>
        <v>133.8</v>
      </c>
      <c r="N345" s="151">
        <f>IFERROR(__xludf.DUMMYFUNCTION("IF(
  AND(
    IFERROR(REGEXEXTRACT(C345,""@\s*(\d+(?:\.\d+)?)\s*deg""),"""")&lt;&gt;"""",
    F345&lt;&gt;""""
  ),
  ""Pls Confirm °"",
  IF(
    IFERROR(REGEXEXTRACT(C345,""@\s*(\d+(?:\.\d+)?)\s*deg""),"""")&lt;&gt;"""",
    1/COS(RADIANS(REGEXEXTRACT(C345,""@\s*(\d+(?:"&amp;"\.\d+)?)\s*deg""))),
    IF(
      F345&lt;&gt;"""",
      IF(
        ISNUMBER(SEARCH(""|"",F345)),
        1/COS(
          ATAN(
            TAN(RADIANS(VALUE(INDEX(SPLIT(F345,""|""),1)))) *
            TAN(RADIANS(VALUE(INDEX(SPLIT(F345,""|""),2))))
       "&amp;"     /
            SQRT(
              TAN(RADIANS(VALUE(INDEX(SPLIT(F345,""|""),1))))^2 +
              TAN(RADIANS(VALUE(INDEX(SPLIT(F345,""|""),2))))^2
            )
          )
        ),
        1/COS(RADIANS(VALUE(F345)))
      ),
      1
    )
  )
"&amp;")"),1.001372345997921)</f>
        <v>1.001372346</v>
      </c>
      <c r="O345" s="169">
        <v>1.0</v>
      </c>
      <c r="P345" s="134">
        <v>1.0</v>
      </c>
      <c r="Q345" s="168">
        <f t="shared" ref="Q345:Q348" si="268">M345*N345*O345*P345</f>
        <v>133.9836199</v>
      </c>
      <c r="R345" s="136" t="str">
        <f>IFERROR(
  IF(B345="", "", VLOOKUP(B345, Data!$B$2:$K$905, 9, FALSE)),
  ""
)</f>
        <v/>
      </c>
      <c r="S345" s="152">
        <f t="shared" ref="S345:S348" si="269">R345*Q345</f>
        <v>0</v>
      </c>
      <c r="T345" s="690"/>
      <c r="U345" s="136" t="str">
        <f>IFERROR(
  IF(B345="", "", VLOOKUP(B345, Data!$B$2:$K$905, 10, FALSE)),
  ""
)
</f>
        <v/>
      </c>
      <c r="V345" s="691"/>
      <c r="W345" s="140">
        <f t="shared" ref="W345:W348" si="270">U345*Q345</f>
        <v>0</v>
      </c>
      <c r="X345" s="692"/>
      <c r="Y345" s="693"/>
      <c r="Z345" s="731"/>
      <c r="AA345" s="595"/>
      <c r="AB345" s="354">
        <f t="shared" ref="AB345:AB351" si="271">W345+S345</f>
        <v>0</v>
      </c>
      <c r="AC345" s="181"/>
      <c r="AD345" s="625"/>
      <c r="AE345" s="626"/>
      <c r="AF345" s="696"/>
      <c r="AG345" s="697"/>
      <c r="AH345" s="629"/>
      <c r="AI345" s="187"/>
      <c r="AJ345" s="630"/>
      <c r="AK345" s="630"/>
      <c r="AL345" s="595"/>
      <c r="AM345" s="595"/>
      <c r="AN345" s="595"/>
      <c r="AO345" s="595"/>
      <c r="AP345" s="595"/>
      <c r="AQ345" s="595"/>
      <c r="AR345" s="595"/>
      <c r="AS345" s="595"/>
      <c r="AT345" s="595"/>
      <c r="AU345" s="595"/>
      <c r="AV345" s="595"/>
      <c r="AW345" s="595"/>
      <c r="AX345" s="595"/>
      <c r="AY345" s="595"/>
      <c r="AZ345" s="595"/>
      <c r="BA345" s="595"/>
      <c r="BB345" s="595"/>
      <c r="BC345" s="595"/>
      <c r="BD345" s="595"/>
      <c r="BE345" s="595"/>
      <c r="BF345" s="595"/>
      <c r="BG345" s="595"/>
      <c r="BH345" s="595"/>
      <c r="BI345" s="651"/>
      <c r="BJ345" s="651"/>
      <c r="BK345" s="651"/>
      <c r="BL345" s="651"/>
      <c r="BM345" s="651"/>
      <c r="BN345" s="651"/>
      <c r="BO345" s="651"/>
      <c r="BP345" s="651"/>
      <c r="BQ345" s="651"/>
      <c r="BR345" s="651"/>
      <c r="BS345" s="651"/>
      <c r="BT345" s="651"/>
    </row>
    <row r="346">
      <c r="A346" s="631"/>
      <c r="B346" s="154" t="str">
        <f>IFERROR(__xludf.DUMMYFUNCTION("IFERROR(
  IF(C346="""","""",
    IF(OR(REGEXMATCH(D346,""(?i)-Flashing""), REGEXMATCH(D346,""(?i)-EavesGut""), REGEXMATCH(D346,""(?i)Valley"")),
        ""DR"" &amp;
        TEXT(
            ROUNDUP(
                MIN(
                    VALUE(MID(C346, "&amp;"FIND(""("",C346)+1, FIND(""/"",C346)-FIND(""("",C346)-1)),
                    1200
                ) / 50, 0
            ) * 50, ""0""
        ) &amp;
        MID(C346, FIND(""/"",C346)+1, FIND("")"",C346)-FIND(""/"",C346)-1) &amp;
        TEXT(H346*100,""0"") &amp;"&amp;"
        I346,
    IF(AND(D346=""Roof Sheet"", REGEXMATCH(C346,""(?i)KS\d{4}[A-Z]{2}"")),
       REGEXEXTRACT(C346,""(?i)KS\d{4}[A-Z]{2}""),
    IF(AND(REGEXMATCH(D346,""(?i)-DP""), REGEXMATCH(C346,""(?i)Downpipe"")),
       ""dp"" &amp; REGEXEXTRACT(C346,""("&amp;"\d+)"") &amp; ""mm"",
    IF(AND(REGEXMATCH(D346,""(?i)Bracket""), REGEXMATCH(C346,""(?i)Bracket"")),
       ""Brkt"" &amp; REGEXEXTRACT(C346,""(\d+)"") &amp; ""mm"",
    IF(AND(REGEXMATCH(D346,""(?i)-OP""), REGEXMATCH(C346,""(?i)pops"")),
       ""op"" &amp; REGEXEXTRAC"&amp;"T(C346,""(\d+)"") &amp; ""mm"",
    IF(OR(D346=""R-FFTop"", D346=""R-FFBottom"", D346=""R-FFSide""),
        IF(REGEXMATCH(C346,""(?i)Profiled.*Top|Top.*Profiled""),""pfft"",
        IF(REGEXMATCH(C346,""(?i)Profiled.*Bottom|Bottom.*Profiled""),""pffb"",
    "&amp;"    IF(REGEXMATCH(C346,""(?i)Square""),""sff"",""""))),
    IF(REGEXMATCH(D346,""(?i)-Rivets""),""Rvt"",
    IF(REGEXMATCH(D346,""(?i)Silicone""),""300ml"",
    IF(REGEXMATCH(D346,""(?i)R-Butyl""),""300ml"",
    IF(REGEXMATCH(D346,""(?i)Fix""),""GenFix"","&amp;"
    IF(AND(REGEXMATCH(C346,""(?i)Timber""), REGEXMATCH(D346,""(?i)Timber"")),""tp"",
    IF(AND(REGEXMATCH(C346,""(?i)Vent G1275""), REGEXMATCH(D346,""(?i)Comb FIller"")),""CFV1275"",
    IF(REGEXMATCH(C346,""(?i)DPC""),""dpc"",
    IF(REGEXMATCH(C346,"""&amp;"(?i)Concealed Clips""),""ConClips"",
    IF(REGEXMATCH(D346,""(?i)-Takeoff ea""),""Takeoff ea"",
    IF(REGEXMATCH(D346,""(?i)-Takeoff LM""),""Takeoff LM"",
    IF(REGEXMATCH(D346,""(?i)-Takeoff m2""),""Takeoff m2"",
    IF(D346=""R-TU/TD"",""TU/TD"","""""&amp;")))))))))))))))))
  )))"),"300ml")</f>
        <v>300ml</v>
      </c>
      <c r="C346" s="734" t="s">
        <v>98</v>
      </c>
      <c r="D346" s="124" t="s">
        <v>99</v>
      </c>
      <c r="E346" s="687">
        <f>E345</f>
        <v>0.31</v>
      </c>
      <c r="F346" s="721"/>
      <c r="G346" s="225"/>
      <c r="H346" s="700" t="str">
        <f>IFERROR(__xludf.DUMMYFUNCTION("IFERROR(REGEXEXTRACT(C346, ""(\d*\.\d+)mm""), """")"),"")</f>
        <v/>
      </c>
      <c r="I346" s="700"/>
      <c r="J346" s="126" t="s">
        <v>87</v>
      </c>
      <c r="K346" s="126" t="str">
        <f>IFERROR(
  IF(B346="", "", VLOOKUP(B346, Data!$B$2:$K$905, 7, FALSE)),
  ""
)</f>
        <v/>
      </c>
      <c r="L346" s="704"/>
      <c r="M346" s="150">
        <f>(ROUNDDOWN((M345/5.7)+2,0)*E346)/8</f>
        <v>0.96875</v>
      </c>
      <c r="N346" s="151">
        <f t="shared" ref="N346:N350" si="272">if(B346="","",(if(N345="",N344,N345)))</f>
        <v>1.001372346</v>
      </c>
      <c r="O346" s="169">
        <v>1.0</v>
      </c>
      <c r="P346" s="134">
        <v>1.0</v>
      </c>
      <c r="Q346" s="168">
        <f t="shared" si="268"/>
        <v>0.9700794602</v>
      </c>
      <c r="R346" s="136" t="str">
        <f>IFERROR(
  IF(B346="", "", VLOOKUP(B346, Data!$B$2:$K$905, 9, FALSE)),
  ""
)</f>
        <v/>
      </c>
      <c r="S346" s="152">
        <f t="shared" si="269"/>
        <v>0</v>
      </c>
      <c r="T346" s="690"/>
      <c r="U346" s="136" t="str">
        <f>IFERROR(
  IF(B346="", "", VLOOKUP(B346, Data!$B$2:$K$905, 10, FALSE)),
  ""
)
</f>
        <v/>
      </c>
      <c r="V346" s="691"/>
      <c r="W346" s="140">
        <f t="shared" si="270"/>
        <v>0</v>
      </c>
      <c r="X346" s="692"/>
      <c r="Y346" s="595"/>
      <c r="Z346" s="595"/>
      <c r="AA346" s="595"/>
      <c r="AB346" s="354">
        <f t="shared" si="271"/>
        <v>0</v>
      </c>
      <c r="AC346" s="181"/>
      <c r="AD346" s="625"/>
      <c r="AE346" s="626"/>
      <c r="AF346" s="696"/>
      <c r="AG346" s="697"/>
      <c r="AH346" s="629"/>
      <c r="AI346" s="187"/>
      <c r="AJ346" s="630"/>
      <c r="AK346" s="630"/>
      <c r="AL346" s="595"/>
      <c r="AM346" s="595"/>
      <c r="AN346" s="595"/>
      <c r="AO346" s="595"/>
      <c r="AP346" s="595"/>
      <c r="AQ346" s="595"/>
      <c r="AR346" s="595"/>
      <c r="AS346" s="595"/>
      <c r="AT346" s="595"/>
      <c r="AU346" s="595"/>
      <c r="AV346" s="595"/>
      <c r="AW346" s="595"/>
      <c r="AX346" s="595"/>
      <c r="AY346" s="595"/>
      <c r="AZ346" s="595"/>
      <c r="BA346" s="595"/>
      <c r="BB346" s="595"/>
      <c r="BC346" s="595"/>
      <c r="BD346" s="595"/>
      <c r="BE346" s="595"/>
      <c r="BF346" s="595"/>
      <c r="BG346" s="595"/>
      <c r="BH346" s="595"/>
      <c r="BI346" s="651"/>
      <c r="BJ346" s="651"/>
      <c r="BK346" s="651"/>
      <c r="BL346" s="651"/>
      <c r="BM346" s="651"/>
      <c r="BN346" s="651"/>
      <c r="BO346" s="651"/>
      <c r="BP346" s="651"/>
      <c r="BQ346" s="651"/>
      <c r="BR346" s="651"/>
      <c r="BS346" s="651"/>
      <c r="BT346" s="651"/>
    </row>
    <row r="347">
      <c r="A347" s="631"/>
      <c r="B347" s="154" t="str">
        <f>IFERROR(__xludf.DUMMYFUNCTION("IFERROR(
  IF(C347="""","""",
    IF(OR(REGEXMATCH(D347,""(?i)-Flashing""), REGEXMATCH(D347,""(?i)-EavesGut""), REGEXMATCH(D347,""(?i)Valley"")),
        ""DR"" &amp;
        TEXT(
            ROUNDUP(
                MIN(
                    VALUE(MID(C347, "&amp;"FIND(""("",C347)+1, FIND(""/"",C347)-FIND(""("",C347)-1)),
                    1200
                ) / 50, 0
            ) * 50, ""0""
        ) &amp;
        MID(C347, FIND(""/"",C347)+1, FIND("")"",C347)-FIND(""/"",C347)-1) &amp;
        TEXT(H347*100,""0"") &amp;"&amp;"
        I347,
    IF(AND(D347=""Roof Sheet"", REGEXMATCH(C347,""(?i)KS\d{4}[A-Z]{2}"")),
       REGEXEXTRACT(C347,""(?i)KS\d{4}[A-Z]{2}""),
    IF(AND(REGEXMATCH(D347,""(?i)-DP""), REGEXMATCH(C347,""(?i)Downpipe"")),
       ""dp"" &amp; REGEXEXTRACT(C347,""("&amp;"\d+)"") &amp; ""mm"",
    IF(AND(REGEXMATCH(D347,""(?i)Bracket""), REGEXMATCH(C347,""(?i)Bracket"")),
       ""Brkt"" &amp; REGEXEXTRACT(C347,""(\d+)"") &amp; ""mm"",
    IF(AND(REGEXMATCH(D347,""(?i)-OP""), REGEXMATCH(C347,""(?i)pops"")),
       ""op"" &amp; REGEXEXTRAC"&amp;"T(C347,""(\d+)"") &amp; ""mm"",
    IF(OR(D347=""R-FFTop"", D347=""R-FFBottom"", D347=""R-FFSide""),
        IF(REGEXMATCH(C347,""(?i)Profiled.*Top|Top.*Profiled""),""pfft"",
        IF(REGEXMATCH(C347,""(?i)Profiled.*Bottom|Bottom.*Profiled""),""pffb"",
    "&amp;"    IF(REGEXMATCH(C347,""(?i)Square""),""sff"",""""))),
    IF(REGEXMATCH(D347,""(?i)-Rivets""),""Rvt"",
    IF(REGEXMATCH(D347,""(?i)Silicone""),""300ml"",
    IF(REGEXMATCH(D347,""(?i)R-Butyl""),""300ml"",
    IF(REGEXMATCH(D347,""(?i)Fix""),""GenFix"","&amp;"
    IF(AND(REGEXMATCH(C347,""(?i)Timber""), REGEXMATCH(D347,""(?i)Timber"")),""tp"",
    IF(AND(REGEXMATCH(C347,""(?i)Vent G1275""), REGEXMATCH(D347,""(?i)Comb FIller"")),""CFV1275"",
    IF(REGEXMATCH(C347,""(?i)DPC""),""dpc"",
    IF(REGEXMATCH(C347,"""&amp;"(?i)Concealed Clips""),""ConClips"",
    IF(REGEXMATCH(D347,""(?i)-Takeoff ea""),""Takeoff ea"",
    IF(REGEXMATCH(D347,""(?i)-Takeoff LM""),""Takeoff LM"",
    IF(REGEXMATCH(D347,""(?i)-Takeoff m2""),""Takeoff m2"",
    IF(D347=""R-TU/TD"",""TU/TD"","""""&amp;")))))))))))))))))
  )))"),"Rvt")</f>
        <v>Rvt</v>
      </c>
      <c r="C347" s="734" t="s">
        <v>100</v>
      </c>
      <c r="D347" s="124" t="s">
        <v>101</v>
      </c>
      <c r="E347" s="687">
        <f>E345</f>
        <v>0.31</v>
      </c>
      <c r="F347" s="721"/>
      <c r="G347" s="225"/>
      <c r="H347" s="700" t="str">
        <f>IFERROR(__xludf.DUMMYFUNCTION("IFERROR(REGEXEXTRACT(C347, ""(\d*\.\d+)mm""), """")"),"")</f>
        <v/>
      </c>
      <c r="I347" s="700"/>
      <c r="J347" s="126" t="s">
        <v>87</v>
      </c>
      <c r="K347" s="126" t="str">
        <f>IFERROR(
  IF(B347="", "", VLOOKUP(B347, Data!$B$2:$K$905, 7, FALSE)),
  ""
)</f>
        <v/>
      </c>
      <c r="L347" s="704"/>
      <c r="M347" s="150">
        <f>ROUNDUP(((M345/5.7)+1)*(E347/0.05),0)</f>
        <v>152</v>
      </c>
      <c r="N347" s="151">
        <f t="shared" si="272"/>
        <v>1.001372346</v>
      </c>
      <c r="O347" s="169">
        <v>1.0</v>
      </c>
      <c r="P347" s="134">
        <v>1.0</v>
      </c>
      <c r="Q347" s="168">
        <f t="shared" si="268"/>
        <v>152.2085966</v>
      </c>
      <c r="R347" s="136" t="str">
        <f>IFERROR(
  IF(B347="", "", VLOOKUP(B347, Data!$B$2:$K$905, 9, FALSE)),
  ""
)</f>
        <v/>
      </c>
      <c r="S347" s="152">
        <f t="shared" si="269"/>
        <v>0</v>
      </c>
      <c r="T347" s="690"/>
      <c r="U347" s="136" t="str">
        <f>IFERROR(
  IF(B347="", "", VLOOKUP(B347, Data!$B$2:$K$905, 10, FALSE)),
  ""
)
</f>
        <v/>
      </c>
      <c r="V347" s="691"/>
      <c r="W347" s="140">
        <f t="shared" si="270"/>
        <v>0</v>
      </c>
      <c r="X347" s="692"/>
      <c r="Y347" s="595"/>
      <c r="Z347" s="595"/>
      <c r="AA347" s="595"/>
      <c r="AB347" s="354">
        <f t="shared" si="271"/>
        <v>0</v>
      </c>
      <c r="AC347" s="181"/>
      <c r="AD347" s="625"/>
      <c r="AE347" s="626"/>
      <c r="AF347" s="696"/>
      <c r="AG347" s="697"/>
      <c r="AH347" s="629"/>
      <c r="AI347" s="187"/>
      <c r="AJ347" s="630"/>
      <c r="AK347" s="630"/>
      <c r="AL347" s="595"/>
      <c r="AM347" s="595"/>
      <c r="AN347" s="595"/>
      <c r="AO347" s="595"/>
      <c r="AP347" s="595"/>
      <c r="AQ347" s="595"/>
      <c r="AR347" s="595"/>
      <c r="AS347" s="595"/>
      <c r="AT347" s="595"/>
      <c r="AU347" s="595"/>
      <c r="AV347" s="595"/>
      <c r="AW347" s="595"/>
      <c r="AX347" s="595"/>
      <c r="AY347" s="595"/>
      <c r="AZ347" s="595"/>
      <c r="BA347" s="595"/>
      <c r="BB347" s="595"/>
      <c r="BC347" s="595"/>
      <c r="BD347" s="595"/>
      <c r="BE347" s="595"/>
      <c r="BF347" s="595"/>
      <c r="BG347" s="595"/>
      <c r="BH347" s="595"/>
      <c r="BI347" s="651"/>
      <c r="BJ347" s="651"/>
      <c r="BK347" s="651"/>
      <c r="BL347" s="651"/>
      <c r="BM347" s="651"/>
      <c r="BN347" s="651"/>
      <c r="BO347" s="651"/>
      <c r="BP347" s="651"/>
      <c r="BQ347" s="651"/>
      <c r="BR347" s="651"/>
      <c r="BS347" s="651"/>
      <c r="BT347" s="651"/>
    </row>
    <row r="348">
      <c r="A348" s="631"/>
      <c r="B348" s="154" t="str">
        <f>IFERROR(__xludf.DUMMYFUNCTION("IFERROR(
  IF(C348="""","""",
    IF(OR(REGEXMATCH(D348,""(?i)-Flashing""), REGEXMATCH(D348,""(?i)-EavesGut""), REGEXMATCH(D348,""(?i)Valley"")),
        ""DR"" &amp;
        TEXT(
            ROUNDUP(
                MIN(
                    VALUE(MID(C348, "&amp;"FIND(""("",C348)+1, FIND(""/"",C348)-FIND(""("",C348)-1)),
                    1200
                ) / 50, 0
            ) * 50, ""0""
        ) &amp;
        MID(C348, FIND(""/"",C348)+1, FIND("")"",C348)-FIND(""/"",C348)-1) &amp;
        TEXT(H348*100,""0"") &amp;"&amp;"
        I348,
    IF(AND(D348=""Roof Sheet"", REGEXMATCH(C348,""(?i)KS\d{4}[A-Z]{2}"")),
       REGEXEXTRACT(C348,""(?i)KS\d{4}[A-Z]{2}""),
    IF(AND(REGEXMATCH(D348,""(?i)-DP""), REGEXMATCH(C348,""(?i)Downpipe"")),
       ""dp"" &amp; REGEXEXTRACT(C348,""("&amp;"\d+)"") &amp; ""mm"",
    IF(AND(REGEXMATCH(D348,""(?i)Bracket""), REGEXMATCH(C348,""(?i)Bracket"")),
       ""Brkt"" &amp; REGEXEXTRACT(C348,""(\d+)"") &amp; ""mm"",
    IF(AND(REGEXMATCH(D348,""(?i)-OP""), REGEXMATCH(C348,""(?i)pops"")),
       ""op"" &amp; REGEXEXTRAC"&amp;"T(C348,""(\d+)"") &amp; ""mm"",
    IF(OR(D348=""R-FFTop"", D348=""R-FFBottom"", D348=""R-FFSide""),
        IF(REGEXMATCH(C348,""(?i)Profiled.*Top|Top.*Profiled""),""pfft"",
        IF(REGEXMATCH(C348,""(?i)Profiled.*Bottom|Bottom.*Profiled""),""pffb"",
    "&amp;"    IF(REGEXMATCH(C348,""(?i)Square""),""sff"",""""))),
    IF(REGEXMATCH(D348,""(?i)-Rivets""),""Rvt"",
    IF(REGEXMATCH(D348,""(?i)Silicone""),""300ml"",
    IF(REGEXMATCH(D348,""(?i)R-Butyl""),""300ml"",
    IF(REGEXMATCH(D348,""(?i)Fix""),""GenFix"","&amp;"
    IF(AND(REGEXMATCH(C348,""(?i)Timber""), REGEXMATCH(D348,""(?i)Timber"")),""tp"",
    IF(AND(REGEXMATCH(C348,""(?i)Vent G1275""), REGEXMATCH(D348,""(?i)Comb FIller"")),""CFV1275"",
    IF(REGEXMATCH(C348,""(?i)DPC""),""dpc"",
    IF(REGEXMATCH(C348,"""&amp;"(?i)Concealed Clips""),""ConClips"",
    IF(REGEXMATCH(D348,""(?i)-Takeoff ea""),""Takeoff ea"",
    IF(REGEXMATCH(D348,""(?i)-Takeoff LM""),""Takeoff LM"",
    IF(REGEXMATCH(D348,""(?i)-Takeoff m2""),""Takeoff m2"",
    IF(D348=""R-TU/TD"",""TU/TD"","""""&amp;")))))))))))))))))
  )))"),"GenFix")</f>
        <v>GenFix</v>
      </c>
      <c r="C348" s="698" t="s">
        <v>102</v>
      </c>
      <c r="D348" s="124" t="s">
        <v>103</v>
      </c>
      <c r="E348" s="722"/>
      <c r="F348" s="721"/>
      <c r="G348" s="158"/>
      <c r="H348" s="700"/>
      <c r="I348" s="700"/>
      <c r="J348" s="126" t="s">
        <v>87</v>
      </c>
      <c r="K348" s="126" t="str">
        <f>IFERROR(
  IF(B348="", "", VLOOKUP(B348, Data!$B$2:$K$905, 7, FALSE)),
  ""
)</f>
        <v/>
      </c>
      <c r="L348" s="712"/>
      <c r="M348" s="150">
        <f>ROUNDUP(M345/0.6,0)+1</f>
        <v>224</v>
      </c>
      <c r="N348" s="151">
        <f t="shared" si="272"/>
        <v>1.001372346</v>
      </c>
      <c r="O348" s="169">
        <v>1.0</v>
      </c>
      <c r="P348" s="134">
        <v>2.0</v>
      </c>
      <c r="Q348" s="168">
        <f t="shared" si="268"/>
        <v>448.614811</v>
      </c>
      <c r="R348" s="136" t="str">
        <f>IFERROR(
  IF(B348="", "", VLOOKUP(B348, Data!$B$2:$K$905, 9, FALSE)),
  ""
)</f>
        <v/>
      </c>
      <c r="S348" s="152">
        <f t="shared" si="269"/>
        <v>0</v>
      </c>
      <c r="T348" s="690"/>
      <c r="U348" s="136" t="str">
        <f>IFERROR(
  IF(B348="", "", VLOOKUP(B348, Data!$B$2:$K$905, 10, FALSE)),
  ""
)
</f>
        <v/>
      </c>
      <c r="V348" s="691"/>
      <c r="W348" s="140">
        <f t="shared" si="270"/>
        <v>0</v>
      </c>
      <c r="X348" s="692"/>
      <c r="Y348" s="595"/>
      <c r="Z348" s="595"/>
      <c r="AA348" s="595"/>
      <c r="AB348" s="354">
        <f t="shared" si="271"/>
        <v>0</v>
      </c>
      <c r="AC348" s="181"/>
      <c r="AD348" s="625"/>
      <c r="AE348" s="626"/>
      <c r="AF348" s="696"/>
      <c r="AG348" s="697"/>
      <c r="AH348" s="629"/>
      <c r="AI348" s="187"/>
      <c r="AJ348" s="630"/>
      <c r="AK348" s="630"/>
      <c r="AL348" s="595"/>
      <c r="AM348" s="595"/>
      <c r="AN348" s="595"/>
      <c r="AO348" s="595"/>
      <c r="AP348" s="595"/>
      <c r="AQ348" s="595"/>
      <c r="AR348" s="595"/>
      <c r="AS348" s="595"/>
      <c r="AT348" s="595"/>
      <c r="AU348" s="595"/>
      <c r="AV348" s="595"/>
      <c r="AW348" s="595"/>
      <c r="AX348" s="595"/>
      <c r="AY348" s="595"/>
      <c r="AZ348" s="595"/>
      <c r="BA348" s="595"/>
      <c r="BB348" s="595"/>
      <c r="BC348" s="595"/>
      <c r="BD348" s="595"/>
      <c r="BE348" s="595"/>
      <c r="BF348" s="595"/>
      <c r="BG348" s="595"/>
      <c r="BH348" s="595"/>
      <c r="BI348" s="651"/>
      <c r="BJ348" s="651"/>
      <c r="BK348" s="651"/>
      <c r="BL348" s="651"/>
      <c r="BM348" s="651"/>
      <c r="BN348" s="651"/>
      <c r="BO348" s="651"/>
      <c r="BP348" s="651"/>
      <c r="BQ348" s="651"/>
      <c r="BR348" s="651"/>
      <c r="BS348" s="651"/>
      <c r="BT348" s="651"/>
    </row>
    <row r="349">
      <c r="A349" s="631"/>
      <c r="B349" s="154"/>
      <c r="C349" s="698"/>
      <c r="D349" s="124"/>
      <c r="E349" s="722"/>
      <c r="F349" s="721"/>
      <c r="G349" s="158"/>
      <c r="H349" s="700"/>
      <c r="I349" s="700"/>
      <c r="J349" s="126"/>
      <c r="K349" s="126"/>
      <c r="L349" s="712"/>
      <c r="M349" s="150"/>
      <c r="N349" s="151" t="str">
        <f t="shared" si="272"/>
        <v/>
      </c>
      <c r="O349" s="169"/>
      <c r="P349" s="134"/>
      <c r="Q349" s="168"/>
      <c r="R349" s="136"/>
      <c r="S349" s="152"/>
      <c r="T349" s="690"/>
      <c r="U349" s="136"/>
      <c r="V349" s="691"/>
      <c r="W349" s="140"/>
      <c r="X349" s="692"/>
      <c r="Y349" s="595"/>
      <c r="Z349" s="595"/>
      <c r="AA349" s="595"/>
      <c r="AB349" s="354">
        <f t="shared" si="271"/>
        <v>0</v>
      </c>
      <c r="AC349" s="181"/>
      <c r="AD349" s="625"/>
      <c r="AE349" s="626"/>
      <c r="AF349" s="696"/>
      <c r="AG349" s="697"/>
      <c r="AH349" s="629"/>
      <c r="AI349" s="187"/>
      <c r="AJ349" s="630"/>
      <c r="AK349" s="630"/>
      <c r="AL349" s="595"/>
      <c r="AM349" s="595"/>
      <c r="AN349" s="595"/>
      <c r="AO349" s="595"/>
      <c r="AP349" s="595"/>
      <c r="AQ349" s="595"/>
      <c r="AR349" s="595"/>
      <c r="AS349" s="595"/>
      <c r="AT349" s="595"/>
      <c r="AU349" s="595"/>
      <c r="AV349" s="595"/>
      <c r="AW349" s="595"/>
      <c r="AX349" s="595"/>
      <c r="AY349" s="595"/>
      <c r="AZ349" s="595"/>
      <c r="BA349" s="595"/>
      <c r="BB349" s="595"/>
      <c r="BC349" s="595"/>
      <c r="BD349" s="595"/>
      <c r="BE349" s="595"/>
      <c r="BF349" s="595"/>
      <c r="BG349" s="595"/>
      <c r="BH349" s="595"/>
      <c r="BI349" s="651"/>
      <c r="BJ349" s="651"/>
      <c r="BK349" s="651"/>
      <c r="BL349" s="651"/>
      <c r="BM349" s="651"/>
      <c r="BN349" s="651"/>
      <c r="BO349" s="651"/>
      <c r="BP349" s="651"/>
      <c r="BQ349" s="651"/>
      <c r="BR349" s="651"/>
      <c r="BS349" s="651"/>
      <c r="BT349" s="651"/>
    </row>
    <row r="350">
      <c r="A350" s="716" t="s">
        <v>435</v>
      </c>
      <c r="B350" s="122" t="s">
        <v>128</v>
      </c>
      <c r="C350" s="123" t="s">
        <v>464</v>
      </c>
      <c r="D350" s="148" t="s">
        <v>130</v>
      </c>
      <c r="E350" s="722"/>
      <c r="F350" s="721"/>
      <c r="G350" s="158"/>
      <c r="H350" s="700"/>
      <c r="I350" s="700"/>
      <c r="J350" s="126" t="s">
        <v>87</v>
      </c>
      <c r="K350" s="126" t="str">
        <f>IFERROR(
  IF(B350="", "", VLOOKUP(B350, Data!$B$2:$K$905, 7, FALSE)),
  ""
)</f>
        <v/>
      </c>
      <c r="L350" s="712"/>
      <c r="M350" s="150">
        <f>M345</f>
        <v>133.8</v>
      </c>
      <c r="N350" s="151">
        <f t="shared" si="272"/>
        <v>1.001372346</v>
      </c>
      <c r="O350" s="169">
        <v>1.0</v>
      </c>
      <c r="P350" s="156">
        <v>1.0</v>
      </c>
      <c r="Q350" s="168">
        <f>M350*N350*O350*P350</f>
        <v>133.9836199</v>
      </c>
      <c r="R350" s="136" t="str">
        <f>IFERROR(
  IF(B350="", "", VLOOKUP(B350, Data!$B$2:$K$905, 9, FALSE)),
  ""
)</f>
        <v/>
      </c>
      <c r="S350" s="152">
        <f>R350*Q350</f>
        <v>0</v>
      </c>
      <c r="T350" s="690"/>
      <c r="U350" s="136" t="str">
        <f>IFERROR(
  IF(B350="", "", VLOOKUP(B350, Data!$B$2:$K$905, 10, FALSE)),
  ""
)
</f>
        <v/>
      </c>
      <c r="V350" s="691"/>
      <c r="W350" s="140">
        <f>U350*Q350</f>
        <v>0</v>
      </c>
      <c r="X350" s="692"/>
      <c r="Y350" s="595"/>
      <c r="Z350" s="595"/>
      <c r="AA350" s="595"/>
      <c r="AB350" s="354">
        <f t="shared" si="271"/>
        <v>0</v>
      </c>
      <c r="AC350" s="181"/>
      <c r="AD350" s="625"/>
      <c r="AE350" s="626"/>
      <c r="AF350" s="696"/>
      <c r="AG350" s="697"/>
      <c r="AH350" s="629"/>
      <c r="AI350" s="187"/>
      <c r="AJ350" s="630"/>
      <c r="AK350" s="630"/>
      <c r="AL350" s="595"/>
      <c r="AM350" s="595"/>
      <c r="AN350" s="595"/>
      <c r="AO350" s="595"/>
      <c r="AP350" s="595"/>
      <c r="AQ350" s="595"/>
      <c r="AR350" s="595"/>
      <c r="AS350" s="595"/>
      <c r="AT350" s="595"/>
      <c r="AU350" s="595"/>
      <c r="AV350" s="595"/>
      <c r="AW350" s="595"/>
      <c r="AX350" s="595"/>
      <c r="AY350" s="595"/>
      <c r="AZ350" s="595"/>
      <c r="BA350" s="595"/>
      <c r="BB350" s="595"/>
      <c r="BC350" s="595"/>
      <c r="BD350" s="595"/>
      <c r="BE350" s="595"/>
      <c r="BF350" s="595"/>
      <c r="BG350" s="595"/>
      <c r="BH350" s="595"/>
      <c r="BI350" s="651"/>
      <c r="BJ350" s="651"/>
      <c r="BK350" s="651"/>
      <c r="BL350" s="651"/>
      <c r="BM350" s="651"/>
      <c r="BN350" s="651"/>
      <c r="BO350" s="651"/>
      <c r="BP350" s="651"/>
      <c r="BQ350" s="651"/>
      <c r="BR350" s="651"/>
      <c r="BS350" s="651"/>
      <c r="BT350" s="651"/>
    </row>
    <row r="351">
      <c r="A351" s="631"/>
      <c r="B351" s="154"/>
      <c r="C351" s="734"/>
      <c r="D351" s="124"/>
      <c r="E351" s="722"/>
      <c r="F351" s="721"/>
      <c r="G351" s="158"/>
      <c r="H351" s="700"/>
      <c r="I351" s="700"/>
      <c r="J351" s="126"/>
      <c r="K351" s="126"/>
      <c r="L351" s="712"/>
      <c r="M351" s="150"/>
      <c r="N351" s="151"/>
      <c r="O351" s="169"/>
      <c r="P351" s="134"/>
      <c r="Q351" s="168"/>
      <c r="R351" s="136" t="str">
        <f>IFERROR(
  IF(B351="", "", VLOOKUP(B351, Data!$B$2:$K$905, 9, FALSE)),
  ""
)</f>
        <v/>
      </c>
      <c r="S351" s="152"/>
      <c r="T351" s="690"/>
      <c r="U351" s="136" t="str">
        <f>IFERROR(
  IF(B351="", "", VLOOKUP(B351, Data!$B$2:$K$905, 10, FALSE)),
  ""
)
</f>
        <v/>
      </c>
      <c r="V351" s="691"/>
      <c r="W351" s="140"/>
      <c r="X351" s="692"/>
      <c r="Y351" s="595"/>
      <c r="Z351" s="595"/>
      <c r="AA351" s="595"/>
      <c r="AB351" s="354">
        <f t="shared" si="271"/>
        <v>0</v>
      </c>
      <c r="AC351" s="181"/>
      <c r="AD351" s="625"/>
      <c r="AE351" s="626"/>
      <c r="AF351" s="696"/>
      <c r="AG351" s="697"/>
      <c r="AH351" s="629"/>
      <c r="AI351" s="187"/>
      <c r="AJ351" s="630"/>
      <c r="AK351" s="630"/>
      <c r="AL351" s="595"/>
      <c r="AM351" s="595"/>
      <c r="AN351" s="595"/>
      <c r="AO351" s="595"/>
      <c r="AP351" s="595"/>
      <c r="AQ351" s="595"/>
      <c r="AR351" s="595"/>
      <c r="AS351" s="595"/>
      <c r="AT351" s="595"/>
      <c r="AU351" s="595"/>
      <c r="AV351" s="595"/>
      <c r="AW351" s="595"/>
      <c r="AX351" s="595"/>
      <c r="AY351" s="595"/>
      <c r="AZ351" s="595"/>
      <c r="BA351" s="595"/>
      <c r="BB351" s="595"/>
      <c r="BC351" s="595"/>
      <c r="BD351" s="595"/>
      <c r="BE351" s="595"/>
      <c r="BF351" s="595"/>
      <c r="BG351" s="595"/>
      <c r="BH351" s="595"/>
      <c r="BI351" s="651"/>
      <c r="BJ351" s="651"/>
      <c r="BK351" s="651"/>
      <c r="BL351" s="651"/>
      <c r="BM351" s="651"/>
      <c r="BN351" s="651"/>
      <c r="BO351" s="651"/>
      <c r="BP351" s="651"/>
      <c r="BQ351" s="651"/>
      <c r="BR351" s="651"/>
      <c r="BS351" s="651"/>
      <c r="BT351" s="651"/>
    </row>
    <row r="352">
      <c r="A352" s="631">
        <v>1.0</v>
      </c>
      <c r="B352" s="764" t="s">
        <v>425</v>
      </c>
      <c r="C352" s="89" t="s">
        <v>477</v>
      </c>
      <c r="D352" s="656"/>
      <c r="E352" s="654"/>
      <c r="F352" s="655"/>
      <c r="G352" s="656"/>
      <c r="H352" s="656"/>
      <c r="I352" s="656"/>
      <c r="J352" s="656"/>
      <c r="K352" s="656" t="s">
        <v>42</v>
      </c>
      <c r="L352" s="658"/>
      <c r="M352" s="658" t="s">
        <v>42</v>
      </c>
      <c r="N352" s="659"/>
      <c r="O352" s="658"/>
      <c r="P352" s="656"/>
      <c r="Q352" s="658"/>
      <c r="R352" s="681" t="str">
        <f>IFERROR(
  IF(B352="", "", VLOOKUP(B352, Data!$B$2:$K$905, 9, FALSE)),
  ""
)</f>
        <v/>
      </c>
      <c r="S352" s="662"/>
      <c r="T352" s="661"/>
      <c r="U352" s="681" t="str">
        <f>IFERROR(
  IF(B352="", "", VLOOKUP(B352, Data!$B$2:$K$905, 10, FALSE)),
  ""
)
</f>
        <v/>
      </c>
      <c r="V352" s="662"/>
      <c r="W352" s="663"/>
      <c r="X352" s="692"/>
      <c r="Y352" s="595"/>
      <c r="Z352" s="595"/>
      <c r="AA352" s="595"/>
      <c r="AB352" s="595"/>
      <c r="AC352" s="181"/>
      <c r="AD352" s="625"/>
      <c r="AE352" s="626"/>
      <c r="AF352" s="696"/>
      <c r="AG352" s="697"/>
      <c r="AH352" s="629"/>
      <c r="AI352" s="187"/>
      <c r="AJ352" s="630"/>
      <c r="AK352" s="630"/>
      <c r="AL352" s="595"/>
      <c r="AM352" s="595"/>
      <c r="AN352" s="595"/>
      <c r="AO352" s="595"/>
      <c r="AP352" s="595"/>
      <c r="AQ352" s="595"/>
      <c r="AR352" s="595"/>
      <c r="AS352" s="595"/>
      <c r="AT352" s="595"/>
      <c r="AU352" s="595"/>
      <c r="AV352" s="595"/>
      <c r="AW352" s="595"/>
      <c r="AX352" s="595"/>
      <c r="AY352" s="595"/>
      <c r="AZ352" s="595"/>
      <c r="BA352" s="595"/>
      <c r="BB352" s="595"/>
      <c r="BC352" s="595"/>
      <c r="BD352" s="595"/>
      <c r="BE352" s="595"/>
      <c r="BF352" s="595"/>
      <c r="BG352" s="595"/>
      <c r="BH352" s="595"/>
      <c r="BI352" s="651"/>
      <c r="BJ352" s="651"/>
      <c r="BK352" s="651"/>
      <c r="BL352" s="651"/>
      <c r="BM352" s="651"/>
      <c r="BN352" s="651"/>
      <c r="BO352" s="651"/>
      <c r="BP352" s="651"/>
      <c r="BQ352" s="651"/>
      <c r="BR352" s="651"/>
      <c r="BS352" s="651"/>
      <c r="BT352" s="651"/>
    </row>
    <row r="353">
      <c r="A353" s="631">
        <v>1.0</v>
      </c>
      <c r="B353" s="727"/>
      <c r="C353" s="157" t="s">
        <v>478</v>
      </c>
      <c r="D353" s="678"/>
      <c r="E353" s="676"/>
      <c r="F353" s="677"/>
      <c r="G353" s="678"/>
      <c r="H353" s="678"/>
      <c r="I353" s="678"/>
      <c r="J353" s="678"/>
      <c r="K353" s="678" t="s">
        <v>42</v>
      </c>
      <c r="L353" s="106">
        <f>Q353</f>
        <v>133.9836199</v>
      </c>
      <c r="M353" s="679" t="s">
        <v>42</v>
      </c>
      <c r="N353" s="680"/>
      <c r="O353" s="679"/>
      <c r="P353" s="678"/>
      <c r="Q353" s="106">
        <f>Q354</f>
        <v>133.9836199</v>
      </c>
      <c r="R353" s="681" t="str">
        <f>IFERROR(
  IF(B353="", "", VLOOKUP(B353, Data!$B$2:$K$905, 9, FALSE)),
  ""
)</f>
        <v/>
      </c>
      <c r="S353" s="682">
        <f>IFERROR(T353/Q353, 0)</f>
        <v>0</v>
      </c>
      <c r="T353" s="109">
        <f>SUM(S354:S364)</f>
        <v>0</v>
      </c>
      <c r="U353" s="681" t="str">
        <f>IFERROR(
  IF(B353="", "", VLOOKUP(B353, Data!$B$2:$K$905, 10, FALSE)),
  ""
)
</f>
        <v/>
      </c>
      <c r="V353" s="109">
        <f>W353/Q353</f>
        <v>0</v>
      </c>
      <c r="W353" s="110">
        <f>SUM(W354:W364)</f>
        <v>0</v>
      </c>
      <c r="X353" s="111" t="str">
        <f>W353/$AC$758/$W$765/$X$755</f>
        <v>#REF!</v>
      </c>
      <c r="Y353" s="112" t="b">
        <f>(T353+W353)=(SUM(AB354:AB364))</f>
        <v>1</v>
      </c>
      <c r="Z353" s="222">
        <f>(T353+W353)-(SUM(AB354:AB364))</f>
        <v>0</v>
      </c>
      <c r="AA353" s="595"/>
      <c r="AB353" s="595"/>
      <c r="AC353" s="181"/>
      <c r="AD353" s="114">
        <f>W353+T353</f>
        <v>0</v>
      </c>
      <c r="AE353" s="115">
        <f>AD353</f>
        <v>0</v>
      </c>
      <c r="AF353" s="116" t="str">
        <f>AE353/$AE$733</f>
        <v>#REF!</v>
      </c>
      <c r="AG353" s="683" t="str">
        <f>AF353*$AG$740</f>
        <v>#REF!</v>
      </c>
      <c r="AH353" s="118" t="str">
        <f>AF353*$AG$743</f>
        <v>#REF!</v>
      </c>
      <c r="AI353" s="187"/>
      <c r="AJ353" s="119" t="str">
        <f>ROUND(AK353/L353,2)</f>
        <v>#REF!</v>
      </c>
      <c r="AK353" s="119" t="str">
        <f>ROUND(AH353+AG353+AD353,2)</f>
        <v>#REF!</v>
      </c>
      <c r="AL353" s="595"/>
      <c r="AM353" s="595"/>
      <c r="AN353" s="595"/>
      <c r="AO353" s="595"/>
      <c r="AP353" s="595"/>
      <c r="AQ353" s="595"/>
      <c r="AR353" s="595"/>
      <c r="AS353" s="595"/>
      <c r="AT353" s="595"/>
      <c r="AU353" s="595"/>
      <c r="AV353" s="595"/>
      <c r="AW353" s="595"/>
      <c r="AX353" s="595"/>
      <c r="AY353" s="595"/>
      <c r="AZ353" s="595"/>
      <c r="BA353" s="595"/>
      <c r="BB353" s="595"/>
      <c r="BC353" s="595"/>
      <c r="BD353" s="595"/>
      <c r="BE353" s="595"/>
      <c r="BF353" s="595"/>
      <c r="BG353" s="595"/>
      <c r="BH353" s="595"/>
      <c r="BI353" s="651"/>
      <c r="BJ353" s="651"/>
      <c r="BK353" s="651"/>
      <c r="BL353" s="651"/>
      <c r="BM353" s="651"/>
      <c r="BN353" s="651"/>
      <c r="BO353" s="651"/>
      <c r="BP353" s="651"/>
      <c r="BQ353" s="651"/>
      <c r="BR353" s="651"/>
      <c r="BS353" s="651"/>
      <c r="BT353" s="651"/>
    </row>
    <row r="354">
      <c r="A354" s="716" t="s">
        <v>479</v>
      </c>
      <c r="B354" s="154" t="s">
        <v>480</v>
      </c>
      <c r="C354" s="223" t="s">
        <v>513</v>
      </c>
      <c r="D354" s="124" t="s">
        <v>120</v>
      </c>
      <c r="E354" s="687">
        <f>VALUE(MID(C354, FIND("(", C354)+1, FIND("/", C354)-FIND("(", C354)-1)) / 1000</f>
        <v>0.67</v>
      </c>
      <c r="F354" s="751"/>
      <c r="G354" s="689" t="s">
        <v>512</v>
      </c>
      <c r="H354" s="700" t="str">
        <f>IFERROR(__xludf.DUMMYFUNCTION("IFERROR(REGEXEXTRACT(C354, ""(\d*\.\d+)mm""), """")"),"")</f>
        <v/>
      </c>
      <c r="I354" s="128" t="s">
        <v>97</v>
      </c>
      <c r="J354" s="126" t="s">
        <v>14</v>
      </c>
      <c r="K354" s="126" t="str">
        <f>IFERROR(
  IF(B354="", "", VLOOKUP(B354, Data!$B$2:$K$905, 7, FALSE)),
  ""
)</f>
        <v/>
      </c>
      <c r="L354" s="712"/>
      <c r="M354" s="730">
        <v>133.8</v>
      </c>
      <c r="N354" s="151">
        <f>IFERROR(__xludf.DUMMYFUNCTION("IF(
  AND(
    IFERROR(REGEXEXTRACT(C354,""@\s*(\d+(?:\.\d+)?)\s*deg""),"""")&lt;&gt;"""",
    F354&lt;&gt;""""
  ),
  ""Pls Confirm °"",
  IF(
    IFERROR(REGEXEXTRACT(C354,""@\s*(\d+(?:\.\d+)?)\s*deg""),"""")&lt;&gt;"""",
    1/COS(RADIANS(REGEXEXTRACT(C354,""@\s*(\d+(?:"&amp;"\.\d+)?)\s*deg""))),
    IF(
      F354&lt;&gt;"""",
      IF(
        ISNUMBER(SEARCH(""|"",F354)),
        1/COS(
          ATAN(
            TAN(RADIANS(VALUE(INDEX(SPLIT(F354,""|""),1)))) *
            TAN(RADIANS(VALUE(INDEX(SPLIT(F354,""|""),2))))
       "&amp;"     /
            SQRT(
              TAN(RADIANS(VALUE(INDEX(SPLIT(F354,""|""),1))))^2 +
              TAN(RADIANS(VALUE(INDEX(SPLIT(F354,""|""),2))))^2
            )
          )
        ),
        1/COS(RADIANS(VALUE(F354)))
      ),
      1
    )
  )
"&amp;")"),1.001372345997921)</f>
        <v>1.001372346</v>
      </c>
      <c r="O354" s="169">
        <v>1.0</v>
      </c>
      <c r="P354" s="134">
        <v>1.0</v>
      </c>
      <c r="Q354" s="168">
        <f t="shared" ref="Q354:Q360" si="273">M354*N354*O354*P354</f>
        <v>133.9836199</v>
      </c>
      <c r="R354" s="136" t="str">
        <f>IFERROR(
  IF(B354="", "", VLOOKUP(B354, Data!$B$2:$K$905, 9, FALSE)),
  ""
)</f>
        <v/>
      </c>
      <c r="S354" s="152">
        <f t="shared" ref="S354:S360" si="274">R354*Q354</f>
        <v>0</v>
      </c>
      <c r="T354" s="690"/>
      <c r="U354" s="136" t="str">
        <f>IFERROR(
  IF(B354="", "", VLOOKUP(B354, Data!$B$2:$K$905, 10, FALSE)),
  ""
)
</f>
        <v/>
      </c>
      <c r="V354" s="691"/>
      <c r="W354" s="140">
        <f t="shared" ref="W354:W360" si="275">U354*Q354</f>
        <v>0</v>
      </c>
      <c r="X354" s="692"/>
      <c r="Y354" s="595"/>
      <c r="Z354" s="595"/>
      <c r="AA354" s="595"/>
      <c r="AB354" s="354">
        <f t="shared" ref="AB354:AB360" si="276">W354+S354</f>
        <v>0</v>
      </c>
      <c r="AC354" s="181"/>
      <c r="AD354" s="705"/>
      <c r="AE354" s="706"/>
      <c r="AF354" s="707"/>
      <c r="AG354" s="708"/>
      <c r="AH354" s="709"/>
      <c r="AI354" s="187"/>
      <c r="AJ354" s="710"/>
      <c r="AK354" s="710"/>
      <c r="AL354" s="595"/>
      <c r="AM354" s="595"/>
      <c r="AN354" s="595"/>
      <c r="AO354" s="595"/>
      <c r="AP354" s="595"/>
      <c r="AQ354" s="595"/>
      <c r="AR354" s="595"/>
      <c r="AS354" s="595"/>
      <c r="AT354" s="595"/>
      <c r="AU354" s="595"/>
      <c r="AV354" s="595"/>
      <c r="AW354" s="595"/>
      <c r="AX354" s="595"/>
      <c r="AY354" s="595"/>
      <c r="AZ354" s="595"/>
      <c r="BA354" s="595"/>
      <c r="BB354" s="595"/>
      <c r="BC354" s="595"/>
      <c r="BD354" s="595"/>
      <c r="BE354" s="595"/>
      <c r="BF354" s="595"/>
      <c r="BG354" s="595"/>
      <c r="BH354" s="595"/>
      <c r="BI354" s="651"/>
      <c r="BJ354" s="651"/>
      <c r="BK354" s="651"/>
      <c r="BL354" s="651"/>
      <c r="BM354" s="651"/>
      <c r="BN354" s="651"/>
      <c r="BO354" s="651"/>
      <c r="BP354" s="651"/>
      <c r="BQ354" s="651"/>
      <c r="BR354" s="651"/>
      <c r="BS354" s="651"/>
      <c r="BT354" s="651"/>
    </row>
    <row r="355">
      <c r="A355" s="631"/>
      <c r="B355" s="154" t="str">
        <f>IFERROR(__xludf.DUMMYFUNCTION("IFERROR(
  IF(C355="""","""",
    IF(OR(REGEXMATCH(D355,""(?i)-Flashing""), REGEXMATCH(D355,""(?i)-EavesGut""), REGEXMATCH(D355,""(?i)Valley"")),
        ""DR"" &amp;
        TEXT(
            ROUNDUP(
                MIN(
                    VALUE(MID(C355, "&amp;"FIND(""("",C355)+1, FIND(""/"",C355)-FIND(""("",C355)-1)),
                    1200
                ) / 50, 0
            ) * 50, ""0""
        ) &amp;
        MID(C355, FIND(""/"",C355)+1, FIND("")"",C355)-FIND(""/"",C355)-1) &amp;
        TEXT(H355*100,""0"") &amp;"&amp;"
        I355,
    IF(AND(D355=""Roof Sheet"", REGEXMATCH(C355,""(?i)KS\d{4}[A-Z]{2}"")),
       REGEXEXTRACT(C355,""(?i)KS\d{4}[A-Z]{2}""),
    IF(AND(REGEXMATCH(D355,""(?i)-DP""), REGEXMATCH(C355,""(?i)Downpipe"")),
       ""dp"" &amp; REGEXEXTRACT(C355,""("&amp;"\d+)"") &amp; ""mm"",
    IF(AND(REGEXMATCH(D355,""(?i)Bracket""), REGEXMATCH(C355,""(?i)Bracket"")),
       ""Brkt"" &amp; REGEXEXTRACT(C355,""(\d+)"") &amp; ""mm"",
    IF(AND(REGEXMATCH(D355,""(?i)-OP""), REGEXMATCH(C355,""(?i)pops"")),
       ""op"" &amp; REGEXEXTRAC"&amp;"T(C355,""(\d+)"") &amp; ""mm"",
    IF(OR(D355=""R-FFTop"", D355=""R-FFBottom"", D355=""R-FFSide""),
        IF(REGEXMATCH(C355,""(?i)Profiled.*Top|Top.*Profiled""),""pfft"",
        IF(REGEXMATCH(C355,""(?i)Profiled.*Bottom|Bottom.*Profiled""),""pffb"",
    "&amp;"    IF(REGEXMATCH(C355,""(?i)Square""),""sff"",""""))),
    IF(REGEXMATCH(D355,""(?i)-Rivets""),""Rvt"",
    IF(REGEXMATCH(D355,""(?i)Silicone""),""300ml"",
    IF(REGEXMATCH(D355,""(?i)R-Butyl""),""300ml"",
    IF(REGEXMATCH(D355,""(?i)Fix""),""GenFix"","&amp;"
    IF(AND(REGEXMATCH(C355,""(?i)Timber""), REGEXMATCH(D355,""(?i)Timber"")),""tp"",
    IF(AND(REGEXMATCH(C355,""(?i)Vent G1275""), REGEXMATCH(D355,""(?i)Comb FIller"")),""CFV1275"",
    IF(REGEXMATCH(C355,""(?i)DPC""),""dpc"",
    IF(REGEXMATCH(C355,"""&amp;"(?i)Concealed Clips""),""ConClips"",
    IF(REGEXMATCH(D355,""(?i)-Takeoff ea""),""Takeoff ea"",
    IF(REGEXMATCH(D355,""(?i)-Takeoff LM""),""Takeoff LM"",
    IF(REGEXMATCH(D355,""(?i)-Takeoff m2""),""Takeoff m2"",
    IF(D355=""R-TU/TD"",""TU/TD"","""""&amp;")))))))))))))))))
  )))"),"300ml")</f>
        <v>300ml</v>
      </c>
      <c r="C355" s="225" t="s">
        <v>98</v>
      </c>
      <c r="D355" s="124" t="s">
        <v>99</v>
      </c>
      <c r="E355" s="687">
        <f>E354</f>
        <v>0.67</v>
      </c>
      <c r="F355" s="721"/>
      <c r="G355" s="701"/>
      <c r="H355" s="700"/>
      <c r="I355" s="700"/>
      <c r="J355" s="126" t="s">
        <v>87</v>
      </c>
      <c r="K355" s="126" t="str">
        <f>IFERROR(
  IF(B355="", "", VLOOKUP(B355, Data!$B$2:$K$905, 7, FALSE)),
  ""
)</f>
        <v/>
      </c>
      <c r="L355" s="712"/>
      <c r="M355" s="150">
        <f>(ROUNDDOWN((M354/5.7)+2,0)*E355)/8</f>
        <v>2.09375</v>
      </c>
      <c r="N355" s="151">
        <f t="shared" ref="N355:N364" si="277">if(B355="","",(if(N354="",N353,N354)))</f>
        <v>1.001372346</v>
      </c>
      <c r="O355" s="169">
        <v>1.0</v>
      </c>
      <c r="P355" s="134">
        <v>1.0</v>
      </c>
      <c r="Q355" s="168">
        <f t="shared" si="273"/>
        <v>2.096623349</v>
      </c>
      <c r="R355" s="136" t="str">
        <f>IFERROR(
  IF(B355="", "", VLOOKUP(B355, Data!$B$2:$K$905, 9, FALSE)),
  ""
)</f>
        <v/>
      </c>
      <c r="S355" s="152">
        <f t="shared" si="274"/>
        <v>0</v>
      </c>
      <c r="T355" s="690"/>
      <c r="U355" s="681" t="str">
        <f>IFERROR(
  IF(B355="", "", VLOOKUP(B355, Data!$B$2:$K$905, 10, FALSE)),
  ""
)
</f>
        <v/>
      </c>
      <c r="V355" s="691"/>
      <c r="W355" s="140">
        <f t="shared" si="275"/>
        <v>0</v>
      </c>
      <c r="X355" s="692"/>
      <c r="Y355" s="595"/>
      <c r="Z355" s="595"/>
      <c r="AA355" s="595"/>
      <c r="AB355" s="354">
        <f t="shared" si="276"/>
        <v>0</v>
      </c>
      <c r="AC355" s="181"/>
      <c r="AD355" s="625"/>
      <c r="AE355" s="626"/>
      <c r="AF355" s="696"/>
      <c r="AG355" s="697"/>
      <c r="AH355" s="629"/>
      <c r="AI355" s="187"/>
      <c r="AJ355" s="630"/>
      <c r="AK355" s="630"/>
      <c r="AL355" s="595"/>
      <c r="AM355" s="595"/>
      <c r="AN355" s="595"/>
      <c r="AO355" s="595"/>
      <c r="AP355" s="595"/>
      <c r="AQ355" s="595"/>
      <c r="AR355" s="595"/>
      <c r="AS355" s="595"/>
      <c r="AT355" s="595"/>
      <c r="AU355" s="595"/>
      <c r="AV355" s="595"/>
      <c r="AW355" s="595"/>
      <c r="AX355" s="595"/>
      <c r="AY355" s="595"/>
      <c r="AZ355" s="595"/>
      <c r="BA355" s="595"/>
      <c r="BB355" s="595"/>
      <c r="BC355" s="595"/>
      <c r="BD355" s="595"/>
      <c r="BE355" s="595"/>
      <c r="BF355" s="595"/>
      <c r="BG355" s="595"/>
      <c r="BH355" s="595"/>
      <c r="BI355" s="651"/>
      <c r="BJ355" s="651"/>
      <c r="BK355" s="651"/>
      <c r="BL355" s="651"/>
      <c r="BM355" s="651"/>
      <c r="BN355" s="651"/>
      <c r="BO355" s="651"/>
      <c r="BP355" s="651"/>
      <c r="BQ355" s="651"/>
      <c r="BR355" s="651"/>
      <c r="BS355" s="651"/>
      <c r="BT355" s="651"/>
    </row>
    <row r="356">
      <c r="A356" s="631"/>
      <c r="B356" s="154" t="str">
        <f>IFERROR(__xludf.DUMMYFUNCTION("IFERROR(
  IF(C356="""","""",
    IF(OR(REGEXMATCH(D356,""(?i)-Flashing""), REGEXMATCH(D356,""(?i)-EavesGut""), REGEXMATCH(D356,""(?i)Valley"")),
        ""DR"" &amp;
        TEXT(
            ROUNDUP(
                MIN(
                    VALUE(MID(C356, "&amp;"FIND(""("",C356)+1, FIND(""/"",C356)-FIND(""("",C356)-1)),
                    1200
                ) / 50, 0
            ) * 50, ""0""
        ) &amp;
        MID(C356, FIND(""/"",C356)+1, FIND("")"",C356)-FIND(""/"",C356)-1) &amp;
        TEXT(H356*100,""0"") &amp;"&amp;"
        I356,
    IF(AND(D356=""Roof Sheet"", REGEXMATCH(C356,""(?i)KS\d{4}[A-Z]{2}"")),
       REGEXEXTRACT(C356,""(?i)KS\d{4}[A-Z]{2}""),
    IF(AND(REGEXMATCH(D356,""(?i)-DP""), REGEXMATCH(C356,""(?i)Downpipe"")),
       ""dp"" &amp; REGEXEXTRACT(C356,""("&amp;"\d+)"") &amp; ""mm"",
    IF(AND(REGEXMATCH(D356,""(?i)Bracket""), REGEXMATCH(C356,""(?i)Bracket"")),
       ""Brkt"" &amp; REGEXEXTRACT(C356,""(\d+)"") &amp; ""mm"",
    IF(AND(REGEXMATCH(D356,""(?i)-OP""), REGEXMATCH(C356,""(?i)pops"")),
       ""op"" &amp; REGEXEXTRAC"&amp;"T(C356,""(\d+)"") &amp; ""mm"",
    IF(OR(D356=""R-FFTop"", D356=""R-FFBottom"", D356=""R-FFSide""),
        IF(REGEXMATCH(C356,""(?i)Profiled.*Top|Top.*Profiled""),""pfft"",
        IF(REGEXMATCH(C356,""(?i)Profiled.*Bottom|Bottom.*Profiled""),""pffb"",
    "&amp;"    IF(REGEXMATCH(C356,""(?i)Square""),""sff"",""""))),
    IF(REGEXMATCH(D356,""(?i)-Rivets""),""Rvt"",
    IF(REGEXMATCH(D356,""(?i)Silicone""),""300ml"",
    IF(REGEXMATCH(D356,""(?i)R-Butyl""),""300ml"",
    IF(REGEXMATCH(D356,""(?i)Fix""),""GenFix"","&amp;"
    IF(AND(REGEXMATCH(C356,""(?i)Timber""), REGEXMATCH(D356,""(?i)Timber"")),""tp"",
    IF(AND(REGEXMATCH(C356,""(?i)Vent G1275""), REGEXMATCH(D356,""(?i)Comb FIller"")),""CFV1275"",
    IF(REGEXMATCH(C356,""(?i)DPC""),""dpc"",
    IF(REGEXMATCH(C356,"""&amp;"(?i)Concealed Clips""),""ConClips"",
    IF(REGEXMATCH(D356,""(?i)-Takeoff ea""),""Takeoff ea"",
    IF(REGEXMATCH(D356,""(?i)-Takeoff LM""),""Takeoff LM"",
    IF(REGEXMATCH(D356,""(?i)-Takeoff m2""),""Takeoff m2"",
    IF(D356=""R-TU/TD"",""TU/TD"","""""&amp;")))))))))))))))))
  )))"),"Rvt")</f>
        <v>Rvt</v>
      </c>
      <c r="C356" s="225" t="s">
        <v>100</v>
      </c>
      <c r="D356" s="124" t="s">
        <v>101</v>
      </c>
      <c r="E356" s="687">
        <f>E354</f>
        <v>0.67</v>
      </c>
      <c r="F356" s="721"/>
      <c r="G356" s="701"/>
      <c r="H356" s="700"/>
      <c r="I356" s="700"/>
      <c r="J356" s="126" t="s">
        <v>87</v>
      </c>
      <c r="K356" s="126" t="str">
        <f>IFERROR(
  IF(B356="", "", VLOOKUP(B356, Data!$B$2:$K$905, 7, FALSE)),
  ""
)</f>
        <v/>
      </c>
      <c r="L356" s="712"/>
      <c r="M356" s="150">
        <f>ROUNDUP(((M354/5.7)+1)*(E356/0.05),0)</f>
        <v>328</v>
      </c>
      <c r="N356" s="151">
        <f t="shared" si="277"/>
        <v>1.001372346</v>
      </c>
      <c r="O356" s="169">
        <v>1.0</v>
      </c>
      <c r="P356" s="134">
        <v>1.0</v>
      </c>
      <c r="Q356" s="168">
        <f t="shared" si="273"/>
        <v>328.4501295</v>
      </c>
      <c r="R356" s="136" t="str">
        <f>IFERROR(
  IF(B356="", "", VLOOKUP(B356, Data!$B$2:$K$905, 9, FALSE)),
  ""
)</f>
        <v/>
      </c>
      <c r="S356" s="152">
        <f t="shared" si="274"/>
        <v>0</v>
      </c>
      <c r="T356" s="690"/>
      <c r="U356" s="681" t="str">
        <f>IFERROR(
  IF(B356="", "", VLOOKUP(B356, Data!$B$2:$K$905, 10, FALSE)),
  ""
)
</f>
        <v/>
      </c>
      <c r="V356" s="691"/>
      <c r="W356" s="140">
        <f t="shared" si="275"/>
        <v>0</v>
      </c>
      <c r="X356" s="692"/>
      <c r="Y356" s="595"/>
      <c r="Z356" s="595"/>
      <c r="AA356" s="595"/>
      <c r="AB356" s="354">
        <f t="shared" si="276"/>
        <v>0</v>
      </c>
      <c r="AC356" s="181"/>
      <c r="AD356" s="625"/>
      <c r="AE356" s="626"/>
      <c r="AF356" s="696"/>
      <c r="AG356" s="697"/>
      <c r="AH356" s="629"/>
      <c r="AI356" s="187"/>
      <c r="AJ356" s="630"/>
      <c r="AK356" s="630"/>
      <c r="AL356" s="595"/>
      <c r="AM356" s="595"/>
      <c r="AN356" s="595"/>
      <c r="AO356" s="595"/>
      <c r="AP356" s="595"/>
      <c r="AQ356" s="595"/>
      <c r="AR356" s="595"/>
      <c r="AS356" s="595"/>
      <c r="AT356" s="595"/>
      <c r="AU356" s="595"/>
      <c r="AV356" s="595"/>
      <c r="AW356" s="595"/>
      <c r="AX356" s="595"/>
      <c r="AY356" s="595"/>
      <c r="AZ356" s="595"/>
      <c r="BA356" s="595"/>
      <c r="BB356" s="595"/>
      <c r="BC356" s="595"/>
      <c r="BD356" s="595"/>
      <c r="BE356" s="595"/>
      <c r="BF356" s="595"/>
      <c r="BG356" s="595"/>
      <c r="BH356" s="595"/>
      <c r="BI356" s="651"/>
      <c r="BJ356" s="651"/>
      <c r="BK356" s="651"/>
      <c r="BL356" s="651"/>
      <c r="BM356" s="651"/>
      <c r="BN356" s="651"/>
      <c r="BO356" s="651"/>
      <c r="BP356" s="651"/>
      <c r="BQ356" s="651"/>
      <c r="BR356" s="651"/>
      <c r="BS356" s="651"/>
      <c r="BT356" s="651"/>
    </row>
    <row r="357">
      <c r="A357" s="716" t="s">
        <v>479</v>
      </c>
      <c r="B357" s="154" t="s">
        <v>482</v>
      </c>
      <c r="C357" s="158" t="s">
        <v>483</v>
      </c>
      <c r="D357" s="124" t="s">
        <v>122</v>
      </c>
      <c r="E357" s="687">
        <f>IFERROR(__xludf.DUMMYFUNCTION("IFERROR(REGEXEXTRACT(C357,""@\s*(\d+(?:\.\d+)?)\s*mm"")/1000,"""")"),0.6)</f>
        <v>0.6</v>
      </c>
      <c r="F357" s="699"/>
      <c r="G357" s="701"/>
      <c r="H357" s="700"/>
      <c r="I357" s="700"/>
      <c r="J357" s="126" t="s">
        <v>87</v>
      </c>
      <c r="K357" s="126" t="str">
        <f>IFERROR(
  IF(B357="", "", VLOOKUP(B357, Data!$B$2:$K$905, 7, FALSE)),
  ""
)</f>
        <v/>
      </c>
      <c r="L357" s="704"/>
      <c r="M357" s="150">
        <f>ROUNDUP(M354/E357,0)+1</f>
        <v>224</v>
      </c>
      <c r="N357" s="151">
        <f t="shared" si="277"/>
        <v>1.001372346</v>
      </c>
      <c r="O357" s="169">
        <v>1.0</v>
      </c>
      <c r="P357" s="134">
        <v>1.0</v>
      </c>
      <c r="Q357" s="168">
        <f t="shared" si="273"/>
        <v>224.3074055</v>
      </c>
      <c r="R357" s="136" t="str">
        <f>IFERROR(
  IF(B357="", "", VLOOKUP(B357, Data!$B$2:$K$905, 9, FALSE)),
  ""
)</f>
        <v/>
      </c>
      <c r="S357" s="152">
        <f t="shared" si="274"/>
        <v>0</v>
      </c>
      <c r="T357" s="690"/>
      <c r="U357" s="681" t="str">
        <f>IFERROR(
  IF(B357="", "", VLOOKUP(B357, Data!$B$2:$K$905, 10, FALSE)),
  ""
)
</f>
        <v/>
      </c>
      <c r="V357" s="691"/>
      <c r="W357" s="140">
        <f t="shared" si="275"/>
        <v>0</v>
      </c>
      <c r="X357" s="692"/>
      <c r="Y357" s="595"/>
      <c r="Z357" s="595"/>
      <c r="AA357" s="595"/>
      <c r="AB357" s="354">
        <f t="shared" si="276"/>
        <v>0</v>
      </c>
      <c r="AC357" s="181"/>
      <c r="AD357" s="625"/>
      <c r="AE357" s="626"/>
      <c r="AF357" s="696"/>
      <c r="AG357" s="697"/>
      <c r="AH357" s="629"/>
      <c r="AI357" s="187"/>
      <c r="AJ357" s="630"/>
      <c r="AK357" s="630"/>
      <c r="AL357" s="595"/>
      <c r="AM357" s="595"/>
      <c r="AN357" s="595"/>
      <c r="AO357" s="595"/>
      <c r="AP357" s="595"/>
      <c r="AQ357" s="595"/>
      <c r="AR357" s="595"/>
      <c r="AS357" s="595"/>
      <c r="AT357" s="595"/>
      <c r="AU357" s="595"/>
      <c r="AV357" s="595"/>
      <c r="AW357" s="595"/>
      <c r="AX357" s="595"/>
      <c r="AY357" s="595"/>
      <c r="AZ357" s="595"/>
      <c r="BA357" s="595"/>
      <c r="BB357" s="595"/>
      <c r="BC357" s="595"/>
      <c r="BD357" s="595"/>
      <c r="BE357" s="595"/>
      <c r="BF357" s="595"/>
      <c r="BG357" s="595"/>
      <c r="BH357" s="595"/>
      <c r="BI357" s="651"/>
      <c r="BJ357" s="651"/>
      <c r="BK357" s="651"/>
      <c r="BL357" s="651"/>
      <c r="BM357" s="651"/>
      <c r="BN357" s="651"/>
      <c r="BO357" s="651"/>
      <c r="BP357" s="651"/>
      <c r="BQ357" s="651"/>
      <c r="BR357" s="651"/>
      <c r="BS357" s="651"/>
      <c r="BT357" s="651"/>
    </row>
    <row r="358">
      <c r="A358" s="631"/>
      <c r="B358" s="154" t="str">
        <f>IFERROR(__xludf.DUMMYFUNCTION("IFERROR(
  IF(C358="""","""",
    IF(OR(REGEXMATCH(D358,""(?i)-Flashing""), REGEXMATCH(D358,""(?i)-EavesGut""), REGEXMATCH(D358,""(?i)Valley"")),
        ""DR"" &amp;
        TEXT(
            ROUNDUP(
                MIN(
                    VALUE(MID(C358, "&amp;"FIND(""("",C358)+1, FIND(""/"",C358)-FIND(""("",C358)-1)),
                    1200
                ) / 50, 0
            ) * 50, ""0""
        ) &amp;
        MID(C358, FIND(""/"",C358)+1, FIND("")"",C358)-FIND(""/"",C358)-1) &amp;
        TEXT(H358*100,""0"") &amp;"&amp;"
        I358,
    IF(AND(D358=""Roof Sheet"", REGEXMATCH(C358,""(?i)KS\d{4}[A-Z]{2}"")),
       REGEXEXTRACT(C358,""(?i)KS\d{4}[A-Z]{2}""),
    IF(AND(REGEXMATCH(D358,""(?i)-DP""), REGEXMATCH(C358,""(?i)Downpipe"")),
       ""dp"" &amp; REGEXEXTRACT(C358,""("&amp;"\d+)"") &amp; ""mm"",
    IF(AND(REGEXMATCH(D358,""(?i)Bracket""), REGEXMATCH(C358,""(?i)Bracket"")),
       ""Brkt"" &amp; REGEXEXTRACT(C358,""(\d+)"") &amp; ""mm"",
    IF(AND(REGEXMATCH(D358,""(?i)-OP""), REGEXMATCH(C358,""(?i)pops"")),
       ""op"" &amp; REGEXEXTRAC"&amp;"T(C358,""(\d+)"") &amp; ""mm"",
    IF(OR(D358=""R-FFTop"", D358=""R-FFBottom"", D358=""R-FFSide""),
        IF(REGEXMATCH(C358,""(?i)Profiled.*Top|Top.*Profiled""),""pfft"",
        IF(REGEXMATCH(C358,""(?i)Profiled.*Bottom|Bottom.*Profiled""),""pffb"",
    "&amp;"    IF(REGEXMATCH(C358,""(?i)Square""),""sff"",""""))),
    IF(REGEXMATCH(D358,""(?i)-Rivets""),""Rvt"",
    IF(REGEXMATCH(D358,""(?i)Silicone""),""300ml"",
    IF(REGEXMATCH(D358,""(?i)R-Butyl""),""300ml"",
    IF(REGEXMATCH(D358,""(?i)Fix""),""GenFix"","&amp;"
    IF(AND(REGEXMATCH(C358,""(?i)Timber""), REGEXMATCH(D358,""(?i)Timber"")),""tp"",
    IF(AND(REGEXMATCH(C358,""(?i)Vent G1275""), REGEXMATCH(D358,""(?i)Comb FIller"")),""CFV1275"",
    IF(REGEXMATCH(C358,""(?i)DPC""),""dpc"",
    IF(REGEXMATCH(C358,"""&amp;"(?i)Concealed Clips""),""ConClips"",
    IF(REGEXMATCH(D358,""(?i)-Takeoff ea""),""Takeoff ea"",
    IF(REGEXMATCH(D358,""(?i)-Takeoff LM""),""Takeoff LM"",
    IF(REGEXMATCH(D358,""(?i)-Takeoff m2""),""Takeoff m2"",
    IF(D358=""R-TU/TD"",""TU/TD"","""""&amp;")))))))))))))))))
  )))"),"GenFix")</f>
        <v>GenFix</v>
      </c>
      <c r="C358" s="158" t="s">
        <v>102</v>
      </c>
      <c r="D358" s="124" t="s">
        <v>123</v>
      </c>
      <c r="E358" s="687">
        <v>2.0</v>
      </c>
      <c r="F358" s="699"/>
      <c r="G358" s="701"/>
      <c r="H358" s="700"/>
      <c r="I358" s="700"/>
      <c r="J358" s="126" t="s">
        <v>87</v>
      </c>
      <c r="K358" s="126" t="str">
        <f>IFERROR(
  IF(B358="", "", VLOOKUP(B358, Data!$B$2:$K$905, 7, FALSE)),
  ""
)</f>
        <v/>
      </c>
      <c r="L358" s="704"/>
      <c r="M358" s="150">
        <f>ROUNDUP(M357*E358,0)+1</f>
        <v>449</v>
      </c>
      <c r="N358" s="151">
        <f t="shared" si="277"/>
        <v>1.001372346</v>
      </c>
      <c r="O358" s="169">
        <v>1.0</v>
      </c>
      <c r="P358" s="134">
        <v>1.0</v>
      </c>
      <c r="Q358" s="168">
        <f t="shared" si="273"/>
        <v>449.6161834</v>
      </c>
      <c r="R358" s="136" t="str">
        <f>IFERROR(
  IF(B358="", "", VLOOKUP(B358, Data!$B$2:$K$905, 9, FALSE)),
  ""
)</f>
        <v/>
      </c>
      <c r="S358" s="152">
        <f t="shared" si="274"/>
        <v>0</v>
      </c>
      <c r="T358" s="690"/>
      <c r="U358" s="681" t="str">
        <f>IFERROR(
  IF(B358="", "", VLOOKUP(B358, Data!$B$2:$K$905, 10, FALSE)),
  ""
)
</f>
        <v/>
      </c>
      <c r="V358" s="691"/>
      <c r="W358" s="140">
        <f t="shared" si="275"/>
        <v>0</v>
      </c>
      <c r="X358" s="692"/>
      <c r="Y358" s="595"/>
      <c r="Z358" s="595"/>
      <c r="AA358" s="595"/>
      <c r="AB358" s="354">
        <f t="shared" si="276"/>
        <v>0</v>
      </c>
      <c r="AC358" s="181"/>
      <c r="AD358" s="625"/>
      <c r="AE358" s="626"/>
      <c r="AF358" s="696"/>
      <c r="AG358" s="697"/>
      <c r="AH358" s="629"/>
      <c r="AI358" s="187"/>
      <c r="AJ358" s="630"/>
      <c r="AK358" s="630"/>
      <c r="AL358" s="595"/>
      <c r="AM358" s="595"/>
      <c r="AN358" s="595"/>
      <c r="AO358" s="595"/>
      <c r="AP358" s="595"/>
      <c r="AQ358" s="595"/>
      <c r="AR358" s="595"/>
      <c r="AS358" s="595"/>
      <c r="AT358" s="595"/>
      <c r="AU358" s="595"/>
      <c r="AV358" s="595"/>
      <c r="AW358" s="595"/>
      <c r="AX358" s="595"/>
      <c r="AY358" s="595"/>
      <c r="AZ358" s="595"/>
      <c r="BA358" s="595"/>
      <c r="BB358" s="595"/>
      <c r="BC358" s="595"/>
      <c r="BD358" s="595"/>
      <c r="BE358" s="595"/>
      <c r="BF358" s="595"/>
      <c r="BG358" s="595"/>
      <c r="BH358" s="595"/>
      <c r="BI358" s="651"/>
      <c r="BJ358" s="651"/>
      <c r="BK358" s="651"/>
      <c r="BL358" s="651"/>
      <c r="BM358" s="651"/>
      <c r="BN358" s="651"/>
      <c r="BO358" s="651"/>
      <c r="BP358" s="651"/>
      <c r="BQ358" s="651"/>
      <c r="BR358" s="651"/>
      <c r="BS358" s="651"/>
      <c r="BT358" s="651"/>
    </row>
    <row r="359">
      <c r="A359" s="631"/>
      <c r="B359" s="154" t="str">
        <f>IFERROR(__xludf.DUMMYFUNCTION("IFERROR(
  IF(C359="""","""",
    IF(OR(REGEXMATCH(D359,""(?i)-Flashing""), REGEXMATCH(D359,""(?i)-EavesGut""), REGEXMATCH(D359,""(?i)Valley"")),
        ""DR"" &amp;
        TEXT(
            ROUNDUP(
                MIN(
                    VALUE(MID(C359, "&amp;"FIND(""("",C359)+1, FIND(""/"",C359)-FIND(""("",C359)-1)),
                    1200
                ) / 50, 0
            ) * 50, ""0""
        ) &amp;
        MID(C359, FIND(""/"",C359)+1, FIND("")"",C359)-FIND(""/"",C359)-1) &amp;
        TEXT(H359*100,""0"") &amp;"&amp;"
        I359,
    IF(AND(D359=""Roof Sheet"", REGEXMATCH(C359,""(?i)KS\d{4}[A-Z]{2}"")),
       REGEXEXTRACT(C359,""(?i)KS\d{4}[A-Z]{2}""),
    IF(AND(REGEXMATCH(D359,""(?i)-DP""), REGEXMATCH(C359,""(?i)Downpipe"")),
       ""dp"" &amp; REGEXEXTRACT(C359,""("&amp;"\d+)"") &amp; ""mm"",
    IF(AND(REGEXMATCH(D359,""(?i)Bracket""), REGEXMATCH(C359,""(?i)Bracket"")),
       ""Brkt"" &amp; REGEXEXTRACT(C359,""(\d+)"") &amp; ""mm"",
    IF(AND(REGEXMATCH(D359,""(?i)-OP""), REGEXMATCH(C359,""(?i)pops"")),
       ""op"" &amp; REGEXEXTRAC"&amp;"T(C359,""(\d+)"") &amp; ""mm"",
    IF(OR(D359=""R-FFTop"", D359=""R-FFBottom"", D359=""R-FFSide""),
        IF(REGEXMATCH(C359,""(?i)Profiled.*Top|Top.*Profiled""),""pfft"",
        IF(REGEXMATCH(C359,""(?i)Profiled.*Bottom|Bottom.*Profiled""),""pffb"",
    "&amp;"    IF(REGEXMATCH(C359,""(?i)Square""),""sff"",""""))),
    IF(REGEXMATCH(D359,""(?i)-Rivets""),""Rvt"",
    IF(REGEXMATCH(D359,""(?i)Silicone""),""300ml"",
    IF(REGEXMATCH(D359,""(?i)R-Butyl""),""300ml"",
    IF(REGEXMATCH(D359,""(?i)Fix""),""GenFix"","&amp;"
    IF(AND(REGEXMATCH(C359,""(?i)Timber""), REGEXMATCH(D359,""(?i)Timber"")),""tp"",
    IF(AND(REGEXMATCH(C359,""(?i)Vent G1275""), REGEXMATCH(D359,""(?i)Comb FIller"")),""CFV1275"",
    IF(REGEXMATCH(C359,""(?i)DPC""),""dpc"",
    IF(REGEXMATCH(C359,"""&amp;"(?i)Concealed Clips""),""ConClips"",
    IF(REGEXMATCH(D359,""(?i)-Takeoff ea""),""Takeoff ea"",
    IF(REGEXMATCH(D359,""(?i)-Takeoff LM""),""Takeoff LM"",
    IF(REGEXMATCH(D359,""(?i)-Takeoff m2""),""Takeoff m2"",
    IF(D359=""R-TU/TD"",""TU/TD"","""""&amp;")))))))))))))))))
  )))"),"pffb")</f>
        <v>pffb</v>
      </c>
      <c r="C359" s="158" t="s">
        <v>125</v>
      </c>
      <c r="D359" s="124" t="s">
        <v>126</v>
      </c>
      <c r="E359" s="722"/>
      <c r="F359" s="699"/>
      <c r="G359" s="701"/>
      <c r="H359" s="700"/>
      <c r="I359" s="700"/>
      <c r="J359" s="126" t="s">
        <v>87</v>
      </c>
      <c r="K359" s="126" t="str">
        <f>IFERROR(
  IF(B359="", "", VLOOKUP(B359, Data!$B$2:$K$905, 7, FALSE)),
  ""
)</f>
        <v/>
      </c>
      <c r="L359" s="704"/>
      <c r="M359" s="150">
        <f>M354</f>
        <v>133.8</v>
      </c>
      <c r="N359" s="151">
        <f t="shared" si="277"/>
        <v>1.001372346</v>
      </c>
      <c r="O359" s="169">
        <v>1.0</v>
      </c>
      <c r="P359" s="134">
        <v>1.0</v>
      </c>
      <c r="Q359" s="168">
        <f t="shared" si="273"/>
        <v>133.9836199</v>
      </c>
      <c r="R359" s="136" t="str">
        <f>IFERROR(
  IF(B359="", "", VLOOKUP(B359, Data!$B$2:$K$905, 9, FALSE)),
  ""
)</f>
        <v/>
      </c>
      <c r="S359" s="152">
        <f t="shared" si="274"/>
        <v>0</v>
      </c>
      <c r="T359" s="690"/>
      <c r="U359" s="136" t="str">
        <f>IFERROR(
  IF(B359="", "", VLOOKUP(B359, Data!$B$2:$K$905, 10, FALSE)),
  ""
)
</f>
        <v/>
      </c>
      <c r="V359" s="691"/>
      <c r="W359" s="140">
        <f t="shared" si="275"/>
        <v>0</v>
      </c>
      <c r="X359" s="692"/>
      <c r="Y359" s="595"/>
      <c r="Z359" s="595"/>
      <c r="AA359" s="595"/>
      <c r="AB359" s="354">
        <f t="shared" si="276"/>
        <v>0</v>
      </c>
      <c r="AC359" s="181"/>
      <c r="AD359" s="625"/>
      <c r="AE359" s="626"/>
      <c r="AF359" s="696"/>
      <c r="AG359" s="697"/>
      <c r="AH359" s="629"/>
      <c r="AI359" s="187"/>
      <c r="AJ359" s="630"/>
      <c r="AK359" s="630"/>
      <c r="AL359" s="595"/>
      <c r="AM359" s="595"/>
      <c r="AN359" s="595"/>
      <c r="AO359" s="595"/>
      <c r="AP359" s="595"/>
      <c r="AQ359" s="595"/>
      <c r="AR359" s="595"/>
      <c r="AS359" s="595"/>
      <c r="AT359" s="595"/>
      <c r="AU359" s="595"/>
      <c r="AV359" s="595"/>
      <c r="AW359" s="595"/>
      <c r="AX359" s="595"/>
      <c r="AY359" s="595"/>
      <c r="AZ359" s="595"/>
      <c r="BA359" s="595"/>
      <c r="BB359" s="595"/>
      <c r="BC359" s="595"/>
      <c r="BD359" s="595"/>
      <c r="BE359" s="595"/>
      <c r="BF359" s="595"/>
      <c r="BG359" s="595"/>
      <c r="BH359" s="595"/>
      <c r="BI359" s="651"/>
      <c r="BJ359" s="651"/>
      <c r="BK359" s="651"/>
      <c r="BL359" s="651"/>
      <c r="BM359" s="651"/>
      <c r="BN359" s="651"/>
      <c r="BO359" s="651"/>
      <c r="BP359" s="651"/>
      <c r="BQ359" s="651"/>
      <c r="BR359" s="651"/>
      <c r="BS359" s="651"/>
      <c r="BT359" s="651"/>
    </row>
    <row r="360">
      <c r="A360" s="631"/>
      <c r="B360" s="154" t="str">
        <f>IFERROR(__xludf.DUMMYFUNCTION("IFERROR(
  IF(C360="""","""",
    IF(OR(REGEXMATCH(D360,""(?i)-Flashing""), REGEXMATCH(D360,""(?i)-EavesGut""), REGEXMATCH(D360,""(?i)Valley"")),
        ""DR"" &amp;
        TEXT(
            ROUNDUP(
                MIN(
                    VALUE(MID(C360, "&amp;"FIND(""("",C360)+1, FIND(""/"",C360)-FIND(""("",C360)-1)),
                    1200
                ) / 50, 0
            ) * 50, ""0""
        ) &amp;
        MID(C360, FIND(""/"",C360)+1, FIND("")"",C360)-FIND(""/"",C360)-1) &amp;
        TEXT(H360*100,""0"") &amp;"&amp;"
        I360,
    IF(AND(D360=""Roof Sheet"", REGEXMATCH(C360,""(?i)KS\d{4}[A-Z]{2}"")),
       REGEXEXTRACT(C360,""(?i)KS\d{4}[A-Z]{2}""),
    IF(AND(REGEXMATCH(D360,""(?i)-DP""), REGEXMATCH(C360,""(?i)Downpipe"")),
       ""dp"" &amp; REGEXEXTRACT(C360,""("&amp;"\d+)"") &amp; ""mm"",
    IF(AND(REGEXMATCH(D360,""(?i)Bracket""), REGEXMATCH(C360,""(?i)Bracket"")),
       ""Brkt"" &amp; REGEXEXTRACT(C360,""(\d+)"") &amp; ""mm"",
    IF(AND(REGEXMATCH(D360,""(?i)-OP""), REGEXMATCH(C360,""(?i)pops"")),
       ""op"" &amp; REGEXEXTRAC"&amp;"T(C360,""(\d+)"") &amp; ""mm"",
    IF(OR(D360=""R-FFTop"", D360=""R-FFBottom"", D360=""R-FFSide""),
        IF(REGEXMATCH(C360,""(?i)Profiled.*Top|Top.*Profiled""),""pfft"",
        IF(REGEXMATCH(C360,""(?i)Profiled.*Bottom|Bottom.*Profiled""),""pffb"",
    "&amp;"    IF(REGEXMATCH(C360,""(?i)Square""),""sff"",""""))),
    IF(REGEXMATCH(D360,""(?i)-Rivets""),""Rvt"",
    IF(REGEXMATCH(D360,""(?i)Silicone""),""300ml"",
    IF(REGEXMATCH(D360,""(?i)R-Butyl""),""300ml"",
    IF(REGEXMATCH(D360,""(?i)Fix""),""GenFix"","&amp;"
    IF(AND(REGEXMATCH(C360,""(?i)Timber""), REGEXMATCH(D360,""(?i)Timber"")),""tp"",
    IF(AND(REGEXMATCH(C360,""(?i)Vent G1275""), REGEXMATCH(D360,""(?i)Comb FIller"")),""CFV1275"",
    IF(REGEXMATCH(C360,""(?i)DPC""),""dpc"",
    IF(REGEXMATCH(C360,"""&amp;"(?i)Concealed Clips""),""ConClips"",
    IF(REGEXMATCH(D360,""(?i)-Takeoff ea""),""Takeoff ea"",
    IF(REGEXMATCH(D360,""(?i)-Takeoff LM""),""Takeoff LM"",
    IF(REGEXMATCH(D360,""(?i)-Takeoff m2""),""Takeoff m2"",
    IF(D360=""R-TU/TD"",""TU/TD"","""""&amp;")))))))))))))))))
  )))"),"TU/TD")</f>
        <v>TU/TD</v>
      </c>
      <c r="C360" s="158" t="s">
        <v>446</v>
      </c>
      <c r="D360" s="124" t="s">
        <v>107</v>
      </c>
      <c r="E360" s="722"/>
      <c r="F360" s="699"/>
      <c r="G360" s="701"/>
      <c r="H360" s="700"/>
      <c r="I360" s="700"/>
      <c r="J360" s="126" t="s">
        <v>87</v>
      </c>
      <c r="K360" s="126" t="str">
        <f>IFERROR(
  IF(B360="", "", VLOOKUP(B360, Data!$B$2:$K$905, 7, FALSE)),
  ""
)</f>
        <v/>
      </c>
      <c r="L360" s="704"/>
      <c r="M360" s="150">
        <f>M354</f>
        <v>133.8</v>
      </c>
      <c r="N360" s="151">
        <f t="shared" si="277"/>
        <v>1.001372346</v>
      </c>
      <c r="O360" s="169">
        <v>1.0</v>
      </c>
      <c r="P360" s="134">
        <v>1.0</v>
      </c>
      <c r="Q360" s="168">
        <f t="shared" si="273"/>
        <v>133.9836199</v>
      </c>
      <c r="R360" s="681" t="str">
        <f>IFERROR(
  IF(B360="", "", VLOOKUP(B360, Data!$B$2:$K$905, 9, FALSE)),
  ""
)</f>
        <v/>
      </c>
      <c r="S360" s="152">
        <f t="shared" si="274"/>
        <v>0</v>
      </c>
      <c r="T360" s="690"/>
      <c r="U360" s="136" t="str">
        <f>IFERROR(
  IF(B360="", "", VLOOKUP(B360, Data!$B$2:$K$905, 10, FALSE)),
  ""
)
</f>
        <v/>
      </c>
      <c r="V360" s="691"/>
      <c r="W360" s="140">
        <f t="shared" si="275"/>
        <v>0</v>
      </c>
      <c r="X360" s="692"/>
      <c r="Y360" s="595"/>
      <c r="Z360" s="595"/>
      <c r="AA360" s="595"/>
      <c r="AB360" s="354">
        <f t="shared" si="276"/>
        <v>0</v>
      </c>
      <c r="AC360" s="181"/>
      <c r="AD360" s="625"/>
      <c r="AE360" s="626"/>
      <c r="AF360" s="696"/>
      <c r="AG360" s="697"/>
      <c r="AH360" s="629"/>
      <c r="AI360" s="187"/>
      <c r="AJ360" s="630"/>
      <c r="AK360" s="630"/>
      <c r="AL360" s="595"/>
      <c r="AM360" s="595"/>
      <c r="AN360" s="595"/>
      <c r="AO360" s="595"/>
      <c r="AP360" s="595"/>
      <c r="AQ360" s="595"/>
      <c r="AR360" s="595"/>
      <c r="AS360" s="595"/>
      <c r="AT360" s="595"/>
      <c r="AU360" s="595"/>
      <c r="AV360" s="595"/>
      <c r="AW360" s="595"/>
      <c r="AX360" s="595"/>
      <c r="AY360" s="595"/>
      <c r="AZ360" s="595"/>
      <c r="BA360" s="595"/>
      <c r="BB360" s="595"/>
      <c r="BC360" s="595"/>
      <c r="BD360" s="595"/>
      <c r="BE360" s="595"/>
      <c r="BF360" s="595"/>
      <c r="BG360" s="595"/>
      <c r="BH360" s="595"/>
      <c r="BI360" s="651"/>
      <c r="BJ360" s="651"/>
      <c r="BK360" s="651"/>
      <c r="BL360" s="651"/>
      <c r="BM360" s="651"/>
      <c r="BN360" s="651"/>
      <c r="BO360" s="651"/>
      <c r="BP360" s="651"/>
      <c r="BQ360" s="651"/>
      <c r="BR360" s="651"/>
      <c r="BS360" s="651"/>
      <c r="BT360" s="651"/>
    </row>
    <row r="361">
      <c r="A361" s="631"/>
      <c r="B361" s="154"/>
      <c r="C361" s="701"/>
      <c r="D361" s="701"/>
      <c r="E361" s="722"/>
      <c r="F361" s="699"/>
      <c r="G361" s="701"/>
      <c r="H361" s="700"/>
      <c r="I361" s="700"/>
      <c r="J361" s="701"/>
      <c r="K361" s="701"/>
      <c r="L361" s="704"/>
      <c r="M361" s="704"/>
      <c r="N361" s="151" t="str">
        <f t="shared" si="277"/>
        <v/>
      </c>
      <c r="O361" s="712"/>
      <c r="P361" s="700"/>
      <c r="Q361" s="712"/>
      <c r="R361" s="681" t="str">
        <f>IFERROR(
  IF(B361="", "", VLOOKUP(B361, Data!$B$2:$K$905, 9, FALSE)),
  ""
)</f>
        <v/>
      </c>
      <c r="S361" s="691"/>
      <c r="T361" s="690"/>
      <c r="U361" s="681" t="str">
        <f>IFERROR(
  IF(B361="", "", VLOOKUP(B361, Data!$B$2:$K$905, 10, FALSE)),
  ""
)
</f>
        <v/>
      </c>
      <c r="V361" s="691"/>
      <c r="W361" s="713"/>
      <c r="X361" s="692"/>
      <c r="Y361" s="595"/>
      <c r="Z361" s="595"/>
      <c r="AA361" s="595"/>
      <c r="AB361" s="595"/>
      <c r="AC361" s="181"/>
      <c r="AD361" s="625"/>
      <c r="AE361" s="626"/>
      <c r="AF361" s="696"/>
      <c r="AG361" s="697"/>
      <c r="AH361" s="629"/>
      <c r="AI361" s="187"/>
      <c r="AJ361" s="630"/>
      <c r="AK361" s="630"/>
      <c r="AL361" s="595"/>
      <c r="AM361" s="595"/>
      <c r="AN361" s="595"/>
      <c r="AO361" s="595"/>
      <c r="AP361" s="595"/>
      <c r="AQ361" s="595"/>
      <c r="AR361" s="595"/>
      <c r="AS361" s="595"/>
      <c r="AT361" s="595"/>
      <c r="AU361" s="595"/>
      <c r="AV361" s="595"/>
      <c r="AW361" s="595"/>
      <c r="AX361" s="595"/>
      <c r="AY361" s="595"/>
      <c r="AZ361" s="595"/>
      <c r="BA361" s="595"/>
      <c r="BB361" s="595"/>
      <c r="BC361" s="595"/>
      <c r="BD361" s="595"/>
      <c r="BE361" s="595"/>
      <c r="BF361" s="595"/>
      <c r="BG361" s="595"/>
      <c r="BH361" s="595"/>
      <c r="BI361" s="651"/>
      <c r="BJ361" s="651"/>
      <c r="BK361" s="651"/>
      <c r="BL361" s="651"/>
      <c r="BM361" s="651"/>
      <c r="BN361" s="651"/>
      <c r="BO361" s="651"/>
      <c r="BP361" s="651"/>
      <c r="BQ361" s="651"/>
      <c r="BR361" s="651"/>
      <c r="BS361" s="651"/>
      <c r="BT361" s="651"/>
    </row>
    <row r="362">
      <c r="A362" s="631"/>
      <c r="B362" s="154" t="s">
        <v>131</v>
      </c>
      <c r="C362" s="225" t="s">
        <v>132</v>
      </c>
      <c r="D362" s="124" t="s">
        <v>484</v>
      </c>
      <c r="E362" s="722"/>
      <c r="F362" s="721"/>
      <c r="G362" s="701"/>
      <c r="H362" s="700"/>
      <c r="I362" s="700"/>
      <c r="J362" s="126" t="s">
        <v>87</v>
      </c>
      <c r="K362" s="126" t="str">
        <f>IFERROR(
  IF(B362="", "", VLOOKUP(B362, Data!$B$2:$K$905, 7, FALSE)),
  ""
)</f>
        <v/>
      </c>
      <c r="L362" s="712"/>
      <c r="M362" s="150">
        <v>1.0</v>
      </c>
      <c r="N362" s="151">
        <f t="shared" si="277"/>
        <v>1.001372346</v>
      </c>
      <c r="O362" s="169">
        <v>1.0</v>
      </c>
      <c r="P362" s="134">
        <v>1.0</v>
      </c>
      <c r="Q362" s="168">
        <f t="shared" ref="Q362:Q363" si="278">M362*N362*O362*P362</f>
        <v>1.001372346</v>
      </c>
      <c r="R362" s="136" t="str">
        <f>IFERROR(
  IF(B362="", "", VLOOKUP(B362, Data!$B$2:$K$905, 9, FALSE)),
  ""
)</f>
        <v/>
      </c>
      <c r="S362" s="152">
        <f t="shared" ref="S362:S363" si="279">R362*Q362</f>
        <v>0</v>
      </c>
      <c r="T362" s="690"/>
      <c r="U362" s="136" t="str">
        <f>IFERROR(
  IF(B362="", "", VLOOKUP(B362, Data!$B$2:$K$905, 10, FALSE)),
  ""
)
</f>
        <v/>
      </c>
      <c r="V362" s="691"/>
      <c r="W362" s="140">
        <f t="shared" ref="W362:W363" si="280">U362*Q362</f>
        <v>0</v>
      </c>
      <c r="X362" s="692"/>
      <c r="Y362" s="595"/>
      <c r="Z362" s="595"/>
      <c r="AA362" s="595"/>
      <c r="AB362" s="354">
        <f t="shared" ref="AB362:AB363" si="281">W362+S362</f>
        <v>0</v>
      </c>
      <c r="AC362" s="181"/>
      <c r="AD362" s="625"/>
      <c r="AE362" s="626"/>
      <c r="AF362" s="696"/>
      <c r="AG362" s="697"/>
      <c r="AH362" s="629"/>
      <c r="AI362" s="187"/>
      <c r="AJ362" s="630"/>
      <c r="AK362" s="630"/>
      <c r="AL362" s="595"/>
      <c r="AM362" s="595"/>
      <c r="AN362" s="595"/>
      <c r="AO362" s="595"/>
      <c r="AP362" s="595"/>
      <c r="AQ362" s="595"/>
      <c r="AR362" s="595"/>
      <c r="AS362" s="595"/>
      <c r="AT362" s="595"/>
      <c r="AU362" s="595"/>
      <c r="AV362" s="595"/>
      <c r="AW362" s="595"/>
      <c r="AX362" s="595"/>
      <c r="AY362" s="595"/>
      <c r="AZ362" s="595"/>
      <c r="BA362" s="595"/>
      <c r="BB362" s="595"/>
      <c r="BC362" s="595"/>
      <c r="BD362" s="595"/>
      <c r="BE362" s="595"/>
      <c r="BF362" s="595"/>
      <c r="BG362" s="595"/>
      <c r="BH362" s="595"/>
      <c r="BI362" s="651"/>
      <c r="BJ362" s="651"/>
      <c r="BK362" s="651"/>
      <c r="BL362" s="651"/>
      <c r="BM362" s="651"/>
      <c r="BN362" s="651"/>
      <c r="BO362" s="651"/>
      <c r="BP362" s="651"/>
      <c r="BQ362" s="651"/>
      <c r="BR362" s="651"/>
      <c r="BS362" s="651"/>
      <c r="BT362" s="651"/>
    </row>
    <row r="363">
      <c r="A363" s="631"/>
      <c r="B363" s="154" t="s">
        <v>134</v>
      </c>
      <c r="C363" s="225" t="s">
        <v>135</v>
      </c>
      <c r="D363" s="124" t="s">
        <v>484</v>
      </c>
      <c r="E363" s="722"/>
      <c r="F363" s="721"/>
      <c r="G363" s="701"/>
      <c r="H363" s="700"/>
      <c r="I363" s="700"/>
      <c r="J363" s="126" t="s">
        <v>87</v>
      </c>
      <c r="K363" s="126" t="str">
        <f>IFERROR(
  IF(B363="", "", VLOOKUP(B363, Data!$B$2:$K$905, 7, FALSE)),
  ""
)</f>
        <v/>
      </c>
      <c r="L363" s="712"/>
      <c r="M363" s="150">
        <v>1.0</v>
      </c>
      <c r="N363" s="151">
        <f t="shared" si="277"/>
        <v>1.001372346</v>
      </c>
      <c r="O363" s="169">
        <v>1.0</v>
      </c>
      <c r="P363" s="134">
        <v>1.0</v>
      </c>
      <c r="Q363" s="168">
        <f t="shared" si="278"/>
        <v>1.001372346</v>
      </c>
      <c r="R363" s="136" t="str">
        <f>IFERROR(
  IF(B363="", "", VLOOKUP(B363, Data!$B$2:$K$905, 9, FALSE)),
  ""
)</f>
        <v/>
      </c>
      <c r="S363" s="152">
        <f t="shared" si="279"/>
        <v>0</v>
      </c>
      <c r="T363" s="690"/>
      <c r="U363" s="136" t="str">
        <f>IFERROR(
  IF(B363="", "", VLOOKUP(B363, Data!$B$2:$K$905, 10, FALSE)),
  ""
)
</f>
        <v/>
      </c>
      <c r="V363" s="691"/>
      <c r="W363" s="140">
        <f t="shared" si="280"/>
        <v>0</v>
      </c>
      <c r="X363" s="692"/>
      <c r="Y363" s="595"/>
      <c r="Z363" s="595"/>
      <c r="AA363" s="595"/>
      <c r="AB363" s="354">
        <f t="shared" si="281"/>
        <v>0</v>
      </c>
      <c r="AC363" s="181"/>
      <c r="AD363" s="625"/>
      <c r="AE363" s="626"/>
      <c r="AF363" s="696"/>
      <c r="AG363" s="697"/>
      <c r="AH363" s="629"/>
      <c r="AI363" s="187"/>
      <c r="AJ363" s="630"/>
      <c r="AK363" s="630"/>
      <c r="AL363" s="595"/>
      <c r="AM363" s="595"/>
      <c r="AN363" s="595"/>
      <c r="AO363" s="595"/>
      <c r="AP363" s="595"/>
      <c r="AQ363" s="595"/>
      <c r="AR363" s="595"/>
      <c r="AS363" s="595"/>
      <c r="AT363" s="595"/>
      <c r="AU363" s="595"/>
      <c r="AV363" s="595"/>
      <c r="AW363" s="595"/>
      <c r="AX363" s="595"/>
      <c r="AY363" s="595"/>
      <c r="AZ363" s="595"/>
      <c r="BA363" s="595"/>
      <c r="BB363" s="595"/>
      <c r="BC363" s="595"/>
      <c r="BD363" s="595"/>
      <c r="BE363" s="595"/>
      <c r="BF363" s="595"/>
      <c r="BG363" s="595"/>
      <c r="BH363" s="595"/>
      <c r="BI363" s="651"/>
      <c r="BJ363" s="651"/>
      <c r="BK363" s="651"/>
      <c r="BL363" s="651"/>
      <c r="BM363" s="651"/>
      <c r="BN363" s="651"/>
      <c r="BO363" s="651"/>
      <c r="BP363" s="651"/>
      <c r="BQ363" s="651"/>
      <c r="BR363" s="651"/>
      <c r="BS363" s="651"/>
      <c r="BT363" s="651"/>
    </row>
    <row r="364">
      <c r="A364" s="631"/>
      <c r="B364" s="154"/>
      <c r="C364" s="700"/>
      <c r="D364" s="700"/>
      <c r="E364" s="722"/>
      <c r="F364" s="721"/>
      <c r="G364" s="701"/>
      <c r="H364" s="700"/>
      <c r="I364" s="700"/>
      <c r="J364" s="701"/>
      <c r="K364" s="701" t="str">
        <f>IFERROR(
  IF(B364="", "", VLOOKUP(B364, Data!$B$2:$K$905, 7, FALSE)),
  ""
)</f>
        <v/>
      </c>
      <c r="L364" s="712"/>
      <c r="M364" s="704" t="s">
        <v>42</v>
      </c>
      <c r="N364" s="151" t="str">
        <f t="shared" si="277"/>
        <v/>
      </c>
      <c r="O364" s="712"/>
      <c r="P364" s="700"/>
      <c r="Q364" s="712"/>
      <c r="R364" s="681" t="str">
        <f>IFERROR(
  IF(B364="", "", VLOOKUP(B364, Data!$B$2:$K$905, 9, FALSE)),
  ""
)</f>
        <v/>
      </c>
      <c r="S364" s="691"/>
      <c r="T364" s="690"/>
      <c r="U364" s="136" t="str">
        <f>IFERROR(
  IF(B364="", "", VLOOKUP(B364, Data!$B$2:$K$905, 10, FALSE)),
  ""
)
</f>
        <v/>
      </c>
      <c r="V364" s="691"/>
      <c r="W364" s="713"/>
      <c r="X364" s="692"/>
      <c r="Y364" s="595"/>
      <c r="Z364" s="595"/>
      <c r="AA364" s="595"/>
      <c r="AB364" s="595"/>
      <c r="AC364" s="181"/>
      <c r="AD364" s="625"/>
      <c r="AE364" s="626"/>
      <c r="AF364" s="696"/>
      <c r="AG364" s="697"/>
      <c r="AH364" s="629"/>
      <c r="AI364" s="187"/>
      <c r="AJ364" s="630"/>
      <c r="AK364" s="630"/>
      <c r="AL364" s="595"/>
      <c r="AM364" s="595"/>
      <c r="AN364" s="595"/>
      <c r="AO364" s="595"/>
      <c r="AP364" s="595"/>
      <c r="AQ364" s="595"/>
      <c r="AR364" s="595"/>
      <c r="AS364" s="595"/>
      <c r="AT364" s="595"/>
      <c r="AU364" s="595"/>
      <c r="AV364" s="595"/>
      <c r="AW364" s="595"/>
      <c r="AX364" s="595"/>
      <c r="AY364" s="595"/>
      <c r="AZ364" s="595"/>
      <c r="BA364" s="595"/>
      <c r="BB364" s="595"/>
      <c r="BC364" s="595"/>
      <c r="BD364" s="595"/>
      <c r="BE364" s="595"/>
      <c r="BF364" s="595"/>
      <c r="BG364" s="595"/>
      <c r="BH364" s="595"/>
      <c r="BI364" s="651"/>
      <c r="BJ364" s="651"/>
      <c r="BK364" s="651"/>
      <c r="BL364" s="651"/>
      <c r="BM364" s="651"/>
      <c r="BN364" s="651"/>
      <c r="BO364" s="651"/>
      <c r="BP364" s="651"/>
      <c r="BQ364" s="651"/>
      <c r="BR364" s="651"/>
      <c r="BS364" s="651"/>
      <c r="BT364" s="651"/>
    </row>
    <row r="365">
      <c r="A365" s="631">
        <v>1.0</v>
      </c>
      <c r="B365" s="764" t="s">
        <v>425</v>
      </c>
      <c r="C365" s="89" t="s">
        <v>136</v>
      </c>
      <c r="D365" s="172"/>
      <c r="E365" s="654"/>
      <c r="F365" s="655"/>
      <c r="G365" s="656"/>
      <c r="H365" s="656"/>
      <c r="I365" s="656"/>
      <c r="J365" s="656"/>
      <c r="K365" s="656" t="s">
        <v>42</v>
      </c>
      <c r="L365" s="658"/>
      <c r="M365" s="658" t="s">
        <v>42</v>
      </c>
      <c r="N365" s="659"/>
      <c r="O365" s="658"/>
      <c r="P365" s="656"/>
      <c r="Q365" s="658"/>
      <c r="R365" s="681" t="str">
        <f>IFERROR(
  IF(B365="", "", VLOOKUP(B365, Data!$B$2:$K$905, 9, FALSE)),
  ""
)</f>
        <v/>
      </c>
      <c r="S365" s="662"/>
      <c r="T365" s="661"/>
      <c r="U365" s="136" t="str">
        <f>IFERROR(
  IF(B365="", "", VLOOKUP(B365, Data!$B$2:$K$905, 10, FALSE)),
  ""
)
</f>
        <v/>
      </c>
      <c r="V365" s="662"/>
      <c r="W365" s="663"/>
      <c r="X365" s="692"/>
      <c r="Y365" s="595"/>
      <c r="Z365" s="595"/>
      <c r="AA365" s="595"/>
      <c r="AB365" s="595"/>
      <c r="AC365" s="181"/>
      <c r="AD365" s="625"/>
      <c r="AE365" s="626"/>
      <c r="AF365" s="696"/>
      <c r="AG365" s="697"/>
      <c r="AH365" s="629"/>
      <c r="AI365" s="187"/>
      <c r="AJ365" s="630"/>
      <c r="AK365" s="630"/>
      <c r="AL365" s="595"/>
      <c r="AM365" s="595"/>
      <c r="AN365" s="595"/>
      <c r="AO365" s="595"/>
      <c r="AP365" s="595"/>
      <c r="AQ365" s="595"/>
      <c r="AR365" s="595"/>
      <c r="AS365" s="595"/>
      <c r="AT365" s="595"/>
      <c r="AU365" s="595"/>
      <c r="AV365" s="595"/>
      <c r="AW365" s="595"/>
      <c r="AX365" s="595"/>
      <c r="AY365" s="595"/>
      <c r="AZ365" s="595"/>
      <c r="BA365" s="595"/>
      <c r="BB365" s="595"/>
      <c r="BC365" s="595"/>
      <c r="BD365" s="595"/>
      <c r="BE365" s="595"/>
      <c r="BF365" s="595"/>
      <c r="BG365" s="595"/>
      <c r="BH365" s="595"/>
      <c r="BI365" s="651"/>
      <c r="BJ365" s="651"/>
      <c r="BK365" s="651"/>
      <c r="BL365" s="651"/>
      <c r="BM365" s="651"/>
      <c r="BN365" s="651"/>
      <c r="BO365" s="651"/>
      <c r="BP365" s="651"/>
      <c r="BQ365" s="651"/>
      <c r="BR365" s="651"/>
      <c r="BS365" s="651"/>
      <c r="BT365" s="651"/>
    </row>
    <row r="366">
      <c r="A366" s="631">
        <v>1.0</v>
      </c>
      <c r="B366" s="727"/>
      <c r="C366" s="103" t="s">
        <v>514</v>
      </c>
      <c r="D366" s="678"/>
      <c r="E366" s="676"/>
      <c r="F366" s="677"/>
      <c r="G366" s="678"/>
      <c r="H366" s="678"/>
      <c r="I366" s="678"/>
      <c r="J366" s="678"/>
      <c r="K366" s="678" t="s">
        <v>42</v>
      </c>
      <c r="L366" s="106">
        <f>Q366</f>
        <v>81</v>
      </c>
      <c r="M366" s="679" t="s">
        <v>42</v>
      </c>
      <c r="N366" s="680"/>
      <c r="O366" s="679"/>
      <c r="P366" s="678"/>
      <c r="Q366" s="106">
        <f>Q367</f>
        <v>81</v>
      </c>
      <c r="R366" s="681" t="str">
        <f>IFERROR(
  IF(B366="", "", VLOOKUP(B366, Data!$B$2:$K$905, 9, FALSE)),
  ""
)</f>
        <v/>
      </c>
      <c r="S366" s="682">
        <f>IFERROR(T366/Q366, 0)</f>
        <v>0</v>
      </c>
      <c r="T366" s="109">
        <f>SUM(S367:S374)</f>
        <v>0</v>
      </c>
      <c r="U366" s="136" t="str">
        <f>IFERROR(
  IF(B366="", "", VLOOKUP(B366, Data!$B$2:$K$905, 10, FALSE)),
  ""
)
</f>
        <v/>
      </c>
      <c r="V366" s="109">
        <f>W366/Q366</f>
        <v>0</v>
      </c>
      <c r="W366" s="110">
        <f>SUM(W367:W374)</f>
        <v>0</v>
      </c>
      <c r="X366" s="111" t="str">
        <f>W366/$AC$758/$W$765/$X$755</f>
        <v>#REF!</v>
      </c>
      <c r="Y366" s="112" t="b">
        <f>(T366+W366)=(SUM(AB367:AB374))</f>
        <v>1</v>
      </c>
      <c r="Z366" s="113">
        <f>(T366+W366)-(SUM(AB367:AB373))</f>
        <v>0</v>
      </c>
      <c r="AA366" s="595"/>
      <c r="AB366" s="595"/>
      <c r="AC366" s="181"/>
      <c r="AD366" s="114">
        <f>W366+T366</f>
        <v>0</v>
      </c>
      <c r="AE366" s="115">
        <f>AD366</f>
        <v>0</v>
      </c>
      <c r="AF366" s="116" t="str">
        <f>AE366/$AE$733</f>
        <v>#REF!</v>
      </c>
      <c r="AG366" s="683" t="str">
        <f>AF366*$AG$740</f>
        <v>#REF!</v>
      </c>
      <c r="AH366" s="118" t="str">
        <f>AF366*$AG$743</f>
        <v>#REF!</v>
      </c>
      <c r="AI366" s="187"/>
      <c r="AJ366" s="119" t="str">
        <f>ROUND(AK366/L366,2)</f>
        <v>#REF!</v>
      </c>
      <c r="AK366" s="119" t="str">
        <f>ROUND(AH366+AG366+AD366,2)</f>
        <v>#REF!</v>
      </c>
      <c r="AL366" s="595"/>
      <c r="AM366" s="595"/>
      <c r="AN366" s="595"/>
      <c r="AO366" s="595"/>
      <c r="AP366" s="595"/>
      <c r="AQ366" s="595"/>
      <c r="AR366" s="595"/>
      <c r="AS366" s="595"/>
      <c r="AT366" s="595"/>
      <c r="AU366" s="595"/>
      <c r="AV366" s="595"/>
      <c r="AW366" s="595"/>
      <c r="AX366" s="595"/>
      <c r="AY366" s="595"/>
      <c r="AZ366" s="595"/>
      <c r="BA366" s="595"/>
      <c r="BB366" s="595"/>
      <c r="BC366" s="595"/>
      <c r="BD366" s="595"/>
      <c r="BE366" s="595"/>
      <c r="BF366" s="595"/>
      <c r="BG366" s="595"/>
      <c r="BH366" s="595"/>
      <c r="BI366" s="651"/>
      <c r="BJ366" s="651"/>
      <c r="BK366" s="651"/>
      <c r="BL366" s="651"/>
      <c r="BM366" s="651"/>
      <c r="BN366" s="651"/>
      <c r="BO366" s="651"/>
      <c r="BP366" s="651"/>
      <c r="BQ366" s="651"/>
      <c r="BR366" s="651"/>
      <c r="BS366" s="651"/>
      <c r="BT366" s="651"/>
    </row>
    <row r="367">
      <c r="A367" s="716" t="s">
        <v>491</v>
      </c>
      <c r="B367" s="154" t="str">
        <f>IFERROR(__xludf.DUMMYFUNCTION("IFERROR(
  IF(C367="""","""",
    IF(OR(REGEXMATCH(D367,""(?i)-Flashing""), REGEXMATCH(D367,""(?i)-EavesGut""), REGEXMATCH(D367,""(?i)Valley"")),
        ""DR"" &amp;
        TEXT(
            ROUNDUP(
                MIN(
                    VALUE(MID(C367, "&amp;"FIND(""("",C367)+1, FIND(""/"",C367)-FIND(""("",C367)-1)),
                    1200
                ) / 50, 0
            ) * 50, ""0""
        ) &amp;
        MID(C367, FIND(""/"",C367)+1, FIND("")"",C367)-FIND(""/"",C367)-1) &amp;
        TEXT(H367*100,""0"") &amp;"&amp;"
        I367,
    IF(AND(D367=""Roof Sheet"", REGEXMATCH(C367,""(?i)KS\d{4}[A-Z]{2}"")),
       REGEXEXTRACT(C367,""(?i)KS\d{4}[A-Z]{2}""),
    IF(AND(REGEXMATCH(D367,""(?i)-DP""), REGEXMATCH(C367,""(?i)Downpipe"")),
       ""dp"" &amp; REGEXEXTRACT(C367,""("&amp;"\d+)"") &amp; ""mm"",
    IF(AND(REGEXMATCH(D367,""(?i)Bracket""), REGEXMATCH(C367,""(?i)Bracket"")),
       ""Brkt"" &amp; REGEXEXTRACT(C367,""(\d+)"") &amp; ""mm"",
    IF(AND(REGEXMATCH(D367,""(?i)-OP""), REGEXMATCH(C367,""(?i)pops"")),
       ""op"" &amp; REGEXEXTRAC"&amp;"T(C367,""(\d+)"") &amp; ""mm"",
    IF(OR(D367=""R-FFTop"", D367=""R-FFBottom"", D367=""R-FFSide""),
        IF(REGEXMATCH(C367,""(?i)Profiled.*Top|Top.*Profiled""),""pfft"",
        IF(REGEXMATCH(C367,""(?i)Profiled.*Bottom|Bottom.*Profiled""),""pffb"",
    "&amp;"    IF(REGEXMATCH(C367,""(?i)Square""),""sff"",""""))),
    IF(REGEXMATCH(D367,""(?i)-Rivets""),""Rvt"",
    IF(REGEXMATCH(D367,""(?i)Silicone|Seal""),""300ml"",
    IF(REGEXMATCH(D367,""(?i)R-Butyl""),""300ml"",
    IF(REGEXMATCH(D367,""(?i)Fix""),""GenF"&amp;"ix"",
    IF(AND(REGEXMATCH(C367,""(?i)Timber""), REGEXMATCH(D367,""(?i)Timber"")),""tp"",
    IF(AND(REGEXMATCH(C367,""(?i)Vent G1275""), REGEXMATCH(D367,""(?i)Comb FIller"")),""CFV1275"",
    IF(REGEXMATCH(C367,""(?i)DPC""),""dpc"",
    IF(REGEXMATCH(C3"&amp;"67,""(?i)Concealed Clips""),""ConClips"",
    IF(REGEXMATCH(D367,""(?i)-Takeoff ea""),""Takeoff ea"",
    IF(REGEXMATCH(D367,""(?i)-Takeoff LM""),""Takeoff LM"",
    IF(REGEXMATCH(D367,""(?i)-Takeoff m2""),""Takeoff m2"",
    IF(D367=""R-TU/TD"",""TU/TD"""&amp;","""")))))))))))))))))
  )))"),"dp150mm")</f>
        <v>dp150mm</v>
      </c>
      <c r="C367" s="123" t="s">
        <v>138</v>
      </c>
      <c r="D367" s="124" t="s">
        <v>139</v>
      </c>
      <c r="E367" s="725"/>
      <c r="F367" s="699"/>
      <c r="G367" s="689" t="s">
        <v>512</v>
      </c>
      <c r="H367" s="700"/>
      <c r="I367" s="700"/>
      <c r="J367" s="126" t="s">
        <v>14</v>
      </c>
      <c r="K367" s="126" t="str">
        <f>IFERROR(
  IF(B367="", "", VLOOKUP(B367, Data!$B$2:$K$905, 7, FALSE)),
  ""
)</f>
        <v/>
      </c>
      <c r="L367" s="131">
        <v>9.0</v>
      </c>
      <c r="M367" s="150">
        <f t="shared" ref="M367:M369" si="282">L367</f>
        <v>9</v>
      </c>
      <c r="N367" s="156">
        <v>1.8</v>
      </c>
      <c r="O367" s="759">
        <v>5.0</v>
      </c>
      <c r="P367" s="156">
        <v>1.0</v>
      </c>
      <c r="Q367" s="242">
        <f t="shared" ref="Q367:Q369" si="283">M367*N367*O367*P367</f>
        <v>81</v>
      </c>
      <c r="R367" s="136" t="str">
        <f>IFERROR(
  IF(B367="", "", VLOOKUP(B367, Data!$B$2:$K$905, 9, FALSE)),
  ""
)</f>
        <v/>
      </c>
      <c r="S367" s="152">
        <f t="shared" ref="S367:S369" si="284">R367*Q367</f>
        <v>0</v>
      </c>
      <c r="T367" s="690"/>
      <c r="U367" s="136" t="str">
        <f>IFERROR(
  IF(B367="", "", VLOOKUP(B367, Data!$B$2:$K$905, 10, FALSE)),
  ""
)
</f>
        <v/>
      </c>
      <c r="V367" s="691"/>
      <c r="W367" s="140">
        <f t="shared" ref="W367:W369" si="285">U367*Q367</f>
        <v>0</v>
      </c>
      <c r="X367" s="693"/>
      <c r="Y367" s="595"/>
      <c r="Z367" s="595"/>
      <c r="AA367" s="595"/>
      <c r="AB367" s="354">
        <f t="shared" ref="AB367:AB368" si="286">W367+S367</f>
        <v>0</v>
      </c>
      <c r="AC367" s="181"/>
      <c r="AD367" s="625"/>
      <c r="AE367" s="626"/>
      <c r="AF367" s="696"/>
      <c r="AG367" s="697"/>
      <c r="AH367" s="629"/>
      <c r="AI367" s="187"/>
      <c r="AJ367" s="630"/>
      <c r="AK367" s="630"/>
      <c r="AL367" s="595"/>
      <c r="AM367" s="595"/>
      <c r="AN367" s="595"/>
      <c r="AO367" s="595"/>
      <c r="AP367" s="595"/>
      <c r="AQ367" s="595"/>
      <c r="AR367" s="595"/>
      <c r="AS367" s="595"/>
      <c r="AT367" s="595"/>
      <c r="AU367" s="595"/>
      <c r="AV367" s="595"/>
      <c r="AW367" s="595"/>
      <c r="AX367" s="595"/>
      <c r="AY367" s="595"/>
      <c r="AZ367" s="595"/>
      <c r="BA367" s="595"/>
      <c r="BB367" s="595"/>
      <c r="BC367" s="595"/>
      <c r="BD367" s="595"/>
      <c r="BE367" s="595"/>
      <c r="BF367" s="595"/>
      <c r="BG367" s="595"/>
      <c r="BH367" s="595"/>
      <c r="BI367" s="651"/>
      <c r="BJ367" s="651"/>
      <c r="BK367" s="651"/>
      <c r="BL367" s="651"/>
      <c r="BM367" s="651"/>
      <c r="BN367" s="651"/>
      <c r="BO367" s="651"/>
      <c r="BP367" s="651"/>
      <c r="BQ367" s="651"/>
      <c r="BR367" s="651"/>
      <c r="BS367" s="651"/>
      <c r="BT367" s="651"/>
    </row>
    <row r="368">
      <c r="A368" s="716" t="s">
        <v>491</v>
      </c>
      <c r="B368" s="154" t="str">
        <f>IFERROR(__xludf.DUMMYFUNCTION("IFERROR(
  IF(C368="""","""",
    IF(OR(REGEXMATCH(D368,""(?i)-Flashing""), REGEXMATCH(D368,""(?i)-EavesGut""), REGEXMATCH(D368,""(?i)Valley"")),
        ""DR"" &amp;
        TEXT(
            ROUNDUP(
                MIN(
                    VALUE(MID(C368, "&amp;"FIND(""("",C368)+1, FIND(""/"",C368)-FIND(""("",C368)-1)),
                    1200
                ) / 50, 0
            ) * 50, ""0""
        ) &amp;
        MID(C368, FIND(""/"",C368)+1, FIND("")"",C368)-FIND(""/"",C368)-1) &amp;
        TEXT(H368*100,""0"") &amp;"&amp;"
        I368,
    IF(AND(D368=""Roof Sheet"", REGEXMATCH(C368,""(?i)KS\d{4}[A-Z]{2}"")),
       REGEXEXTRACT(C368,""(?i)KS\d{4}[A-Z]{2}""),
    IF(AND(REGEXMATCH(D368,""(?i)-DP""), REGEXMATCH(C368,""(?i)Downpipe"")),
       ""dp"" &amp; REGEXEXTRACT(C368,""("&amp;"\d+)"") &amp; ""mm"",
    IF(AND(REGEXMATCH(D368,""(?i)Bracket""), REGEXMATCH(C368,""(?i)Bracket"")),
       ""Brkt"" &amp; REGEXEXTRACT(C368,""(\d+)"") &amp; ""mm"",
    IF(AND(REGEXMATCH(D368,""(?i)-OP""), REGEXMATCH(C368,""(?i)pops"")),
       ""op"" &amp; REGEXEXTRAC"&amp;"T(C368,""(\d+)"") &amp; ""mm"",
    IF(OR(D368=""R-FFTop"", D368=""R-FFBottom"", D368=""R-FFSide""),
        IF(REGEXMATCH(C368,""(?i)Profiled.*Top|Top.*Profiled""),""pfft"",
        IF(REGEXMATCH(C368,""(?i)Profiled.*Bottom|Bottom.*Profiled""),""pffb"",
    "&amp;"    IF(REGEXMATCH(C368,""(?i)Square""),""sff"",""""))),
    IF(REGEXMATCH(D368,""(?i)-Rivets""),""Rvt"",
    IF(REGEXMATCH(D368,""(?i)Silicone|Seal""),""300ml"",
    IF(REGEXMATCH(D368,""(?i)R-Butyl""),""300ml"",
    IF(REGEXMATCH(D368,""(?i)Fix""),""GenF"&amp;"ix"",
    IF(AND(REGEXMATCH(C368,""(?i)Timber""), REGEXMATCH(D368,""(?i)Timber"")),""tp"",
    IF(AND(REGEXMATCH(C368,""(?i)Vent G1275""), REGEXMATCH(D368,""(?i)Comb FIller"")),""CFV1275"",
    IF(REGEXMATCH(C368,""(?i)DPC""),""dpc"",
    IF(REGEXMATCH(C3"&amp;"68,""(?i)Concealed Clips""),""ConClips"",
    IF(REGEXMATCH(D368,""(?i)-Takeoff ea""),""Takeoff ea"",
    IF(REGEXMATCH(D368,""(?i)-Takeoff LM""),""Takeoff LM"",
    IF(REGEXMATCH(D368,""(?i)-Takeoff m2""),""Takeoff m2"",
    IF(D368=""R-TU/TD"",""TU/TD"""&amp;","""")))))))))))))))))
  )))"),"Brkt150mm")</f>
        <v>Brkt150mm</v>
      </c>
      <c r="C368" s="123" t="s">
        <v>140</v>
      </c>
      <c r="D368" s="124" t="s">
        <v>141</v>
      </c>
      <c r="E368" s="725"/>
      <c r="F368" s="699"/>
      <c r="G368" s="701"/>
      <c r="H368" s="700"/>
      <c r="I368" s="700"/>
      <c r="J368" s="126" t="s">
        <v>87</v>
      </c>
      <c r="K368" s="126" t="str">
        <f>IFERROR(
  IF(B368="", "", VLOOKUP(B368, Data!$B$2:$K$905, 7, FALSE)),
  ""
)</f>
        <v/>
      </c>
      <c r="L368" s="135">
        <f t="shared" ref="L368:L369" si="287">L367</f>
        <v>9</v>
      </c>
      <c r="M368" s="150">
        <f t="shared" si="282"/>
        <v>9</v>
      </c>
      <c r="N368" s="151">
        <v>1.0</v>
      </c>
      <c r="O368" s="169">
        <f>O367</f>
        <v>5</v>
      </c>
      <c r="P368" s="134">
        <v>1.0</v>
      </c>
      <c r="Q368" s="242">
        <f t="shared" si="283"/>
        <v>45</v>
      </c>
      <c r="R368" s="136" t="str">
        <f>IFERROR(
  IF(B368="", "", VLOOKUP(B368, Data!$B$2:$K$905, 9, FALSE)),
  ""
)</f>
        <v/>
      </c>
      <c r="S368" s="152">
        <f t="shared" si="284"/>
        <v>0</v>
      </c>
      <c r="T368" s="690"/>
      <c r="U368" s="136" t="str">
        <f>IFERROR(
  IF(B368="", "", VLOOKUP(B368, Data!$B$2:$K$905, 10, FALSE)),
  ""
)
</f>
        <v/>
      </c>
      <c r="V368" s="691"/>
      <c r="W368" s="140">
        <f t="shared" si="285"/>
        <v>0</v>
      </c>
      <c r="X368" s="692"/>
      <c r="Y368" s="595"/>
      <c r="Z368" s="595"/>
      <c r="AA368" s="595"/>
      <c r="AB368" s="354">
        <f t="shared" si="286"/>
        <v>0</v>
      </c>
      <c r="AC368" s="181"/>
      <c r="AD368" s="625"/>
      <c r="AE368" s="626"/>
      <c r="AF368" s="696"/>
      <c r="AG368" s="697"/>
      <c r="AH368" s="629"/>
      <c r="AI368" s="187"/>
      <c r="AJ368" s="630"/>
      <c r="AK368" s="630"/>
      <c r="AL368" s="595"/>
      <c r="AM368" s="595"/>
      <c r="AN368" s="595"/>
      <c r="AO368" s="595"/>
      <c r="AP368" s="595"/>
      <c r="AQ368" s="595"/>
      <c r="AR368" s="595"/>
      <c r="AS368" s="595"/>
      <c r="AT368" s="595"/>
      <c r="AU368" s="595"/>
      <c r="AV368" s="595"/>
      <c r="AW368" s="595"/>
      <c r="AX368" s="595"/>
      <c r="AY368" s="595"/>
      <c r="AZ368" s="595"/>
      <c r="BA368" s="595"/>
      <c r="BB368" s="595"/>
      <c r="BC368" s="595"/>
      <c r="BD368" s="595"/>
      <c r="BE368" s="595"/>
      <c r="BF368" s="595"/>
      <c r="BG368" s="595"/>
      <c r="BH368" s="595"/>
      <c r="BI368" s="651"/>
      <c r="BJ368" s="651"/>
      <c r="BK368" s="651"/>
      <c r="BL368" s="651"/>
      <c r="BM368" s="651"/>
      <c r="BN368" s="651"/>
      <c r="BO368" s="651"/>
      <c r="BP368" s="651"/>
      <c r="BQ368" s="651"/>
      <c r="BR368" s="651"/>
      <c r="BS368" s="651"/>
      <c r="BT368" s="651"/>
    </row>
    <row r="369">
      <c r="A369" s="716" t="s">
        <v>491</v>
      </c>
      <c r="B369" s="154" t="s">
        <v>494</v>
      </c>
      <c r="C369" s="698" t="s">
        <v>495</v>
      </c>
      <c r="D369" s="124" t="s">
        <v>337</v>
      </c>
      <c r="E369" s="725"/>
      <c r="F369" s="699"/>
      <c r="G369" s="701"/>
      <c r="H369" s="700"/>
      <c r="I369" s="700"/>
      <c r="J369" s="126" t="s">
        <v>87</v>
      </c>
      <c r="K369" s="126" t="str">
        <f>IFERROR(
  IF(B369="", "", VLOOKUP(B369, Data!$B$2:$K$905, 7, FALSE)),
  ""
)</f>
        <v/>
      </c>
      <c r="L369" s="131">
        <f t="shared" si="287"/>
        <v>9</v>
      </c>
      <c r="M369" s="150">
        <f t="shared" si="282"/>
        <v>9</v>
      </c>
      <c r="N369" s="151">
        <f>IFERROR(__xludf.DUMMYFUNCTION("IF(B369="""", """", IFERROR(1 / COS(RADIANS(REGEXEXTRACT(F369,""(\d+)""))), 1))"),1.0)</f>
        <v>1</v>
      </c>
      <c r="O369" s="169">
        <v>1.0</v>
      </c>
      <c r="P369" s="134">
        <v>1.0</v>
      </c>
      <c r="Q369" s="242">
        <f t="shared" si="283"/>
        <v>9</v>
      </c>
      <c r="R369" s="681" t="str">
        <f>IFERROR(
  IF(B369="", "", VLOOKUP(B369, Data!$B$2:$K$905, 9, FALSE)),
  ""
)</f>
        <v/>
      </c>
      <c r="S369" s="152">
        <f t="shared" si="284"/>
        <v>0</v>
      </c>
      <c r="T369" s="690"/>
      <c r="U369" s="681" t="str">
        <f>IFERROR(
  IF(B369="", "", VLOOKUP(B369, Data!$B$2:$K$905, 10, FALSE)),
  ""
)
</f>
        <v/>
      </c>
      <c r="V369" s="691"/>
      <c r="W369" s="140">
        <f t="shared" si="285"/>
        <v>0</v>
      </c>
      <c r="X369" s="692"/>
      <c r="Y369" s="595"/>
      <c r="Z369" s="595"/>
      <c r="AA369" s="595"/>
      <c r="AB369" s="595"/>
      <c r="AC369" s="181"/>
      <c r="AD369" s="625"/>
      <c r="AE369" s="626"/>
      <c r="AF369" s="696"/>
      <c r="AG369" s="697"/>
      <c r="AH369" s="629"/>
      <c r="AI369" s="187"/>
      <c r="AJ369" s="630"/>
      <c r="AK369" s="630"/>
      <c r="AL369" s="595"/>
      <c r="AM369" s="595"/>
      <c r="AN369" s="595"/>
      <c r="AO369" s="595"/>
      <c r="AP369" s="595"/>
      <c r="AQ369" s="595"/>
      <c r="AR369" s="595"/>
      <c r="AS369" s="595"/>
      <c r="AT369" s="595"/>
      <c r="AU369" s="595"/>
      <c r="AV369" s="595"/>
      <c r="AW369" s="595"/>
      <c r="AX369" s="595"/>
      <c r="AY369" s="595"/>
      <c r="AZ369" s="595"/>
      <c r="BA369" s="595"/>
      <c r="BB369" s="595"/>
      <c r="BC369" s="595"/>
      <c r="BD369" s="595"/>
      <c r="BE369" s="595"/>
      <c r="BF369" s="595"/>
      <c r="BG369" s="595"/>
      <c r="BH369" s="595"/>
      <c r="BI369" s="651"/>
      <c r="BJ369" s="651"/>
      <c r="BK369" s="651"/>
      <c r="BL369" s="651"/>
      <c r="BM369" s="651"/>
      <c r="BN369" s="651"/>
      <c r="BO369" s="651"/>
      <c r="BP369" s="651"/>
      <c r="BQ369" s="651"/>
      <c r="BR369" s="651"/>
      <c r="BS369" s="651"/>
      <c r="BT369" s="651"/>
    </row>
    <row r="370">
      <c r="A370" s="631"/>
      <c r="B370" s="154" t="str">
        <f>IFERROR(__xludf.DUMMYFUNCTION("IFERROR(
  IF(C370="""","""",
    IF(OR(REGEXMATCH(D370,""(?i)-Flashing""), REGEXMATCH(D370,""(?i)-EavesGut""), REGEXMATCH(D370,""(?i)Valley"")),
        ""DR"" &amp;
        TEXT(
            ROUNDUP(
                MIN(
                    VALUE(MID(C370, "&amp;"FIND(""("",C370)+1, FIND(""/"",C370)-FIND(""("",C370)-1)),
                    1200
                ) / 50, 0
            ) * 50, ""0""
        ) &amp;
        MID(C370, FIND(""/"",C370)+1, FIND("")"",C370)-FIND(""/"",C370)-1) &amp;
        TEXT(H370*100,""0"") &amp;"&amp;"
        I370,
    IF(AND(D370=""Roof Sheet"", REGEXMATCH(C370,""(?i)KS\d{4}[A-Z]{2}"")),
       REGEXEXTRACT(C370,""(?i)KS\d{4}[A-Z]{2}""),
    IF(AND(REGEXMATCH(D370,""(?i)-DP""), REGEXMATCH(C370,""(?i)Downpipe"")),
       ""dp"" &amp; REGEXEXTRACT(C370,""("&amp;"\d+)"") &amp; ""mm"",
    IF(AND(REGEXMATCH(D370,""(?i)Bracket""), REGEXMATCH(C370,""(?i)Bracket"")),
       ""Brkt"" &amp; REGEXEXTRACT(C370,""(\d+)"") &amp; ""mm"",
    IF(AND(REGEXMATCH(D370,""(?i)-OP""), REGEXMATCH(C370,""(?i)pops"")),
       ""op"" &amp; REGEXEXTRAC"&amp;"T(C370,""(\d+)"") &amp; ""mm"",
    IF(OR(D370=""R-FFTop"", D370=""R-FFBottom"", D370=""R-FFSide""),
        IF(REGEXMATCH(C370,""(?i)Profiled.*Top|Top.*Profiled""),""pfft"",
        IF(REGEXMATCH(C370,""(?i)Profiled.*Bottom|Bottom.*Profiled""),""pffb"",
    "&amp;"    IF(REGEXMATCH(C370,""(?i)Square""),""sff"",""""))),
    IF(REGEXMATCH(D370,""(?i)-Rivets""),""Rvt"",
    IF(REGEXMATCH(D370,""(?i)Silicone|Seal""),""300ml"",
    IF(REGEXMATCH(D370,""(?i)R-Butyl""),""300ml"",
    IF(REGEXMATCH(D370,""(?i)Fix""),""GenF"&amp;"ix"",
    IF(AND(REGEXMATCH(C370,""(?i)Timber""), REGEXMATCH(D370,""(?i)Timber"")),""tp"",
    IF(AND(REGEXMATCH(C370,""(?i)Vent G1275""), REGEXMATCH(D370,""(?i)Comb FIller"")),""CFV1275"",
    IF(REGEXMATCH(C370,""(?i)DPC""),""dpc"",
    IF(REGEXMATCH(C3"&amp;"70,""(?i)Concealed Clips""),""ConClips"",
    IF(REGEXMATCH(D370,""(?i)-Takeoff ea""),""Takeoff ea"",
    IF(REGEXMATCH(D370,""(?i)-Takeoff LM""),""Takeoff LM"",
    IF(REGEXMATCH(D370,""(?i)-Takeoff m2""),""Takeoff m2"",
    IF(D370=""R-TU/TD"",""TU/TD"""&amp;","""")))))))))))))))))
  )))"),"")</f>
        <v/>
      </c>
      <c r="C370" s="701"/>
      <c r="D370" s="701"/>
      <c r="E370" s="722"/>
      <c r="F370" s="699"/>
      <c r="G370" s="701"/>
      <c r="H370" s="700"/>
      <c r="I370" s="700"/>
      <c r="J370" s="701"/>
      <c r="K370" s="701" t="str">
        <f>IFERROR(
  IF(B370="", "", VLOOKUP(B370, Data!$B$2:$K$905, 7, FALSE)),
  ""
)</f>
        <v/>
      </c>
      <c r="L370" s="704"/>
      <c r="M370" s="704" t="s">
        <v>42</v>
      </c>
      <c r="N370" s="711" t="str">
        <f>IFERROR(__xludf.DUMMYFUNCTION("IF(B370="""", """", IFERROR(1 / COS(RADIANS(REGEXEXTRACT(F370,""(\d+)""))), 1))"),"")</f>
        <v/>
      </c>
      <c r="O370" s="712"/>
      <c r="P370" s="700"/>
      <c r="Q370" s="712"/>
      <c r="R370" s="681" t="str">
        <f>IFERROR(
  IF(B370="", "", VLOOKUP(B370, Data!$B$2:$K$905, 9, FALSE)),
  ""
)</f>
        <v/>
      </c>
      <c r="S370" s="691"/>
      <c r="T370" s="690"/>
      <c r="U370" s="136" t="str">
        <f>IFERROR(
  IF(B370="", "", VLOOKUP(B370, Data!$B$2:$K$905, 10, FALSE)),
  ""
)
</f>
        <v/>
      </c>
      <c r="V370" s="691"/>
      <c r="W370" s="713"/>
      <c r="X370" s="692"/>
      <c r="Y370" s="595"/>
      <c r="Z370" s="595"/>
      <c r="AA370" s="595"/>
      <c r="AB370" s="354">
        <f t="shared" ref="AB370:AB373" si="288">W370+S370</f>
        <v>0</v>
      </c>
      <c r="AC370" s="181"/>
      <c r="AD370" s="625"/>
      <c r="AE370" s="626"/>
      <c r="AF370" s="696"/>
      <c r="AG370" s="697"/>
      <c r="AH370" s="629"/>
      <c r="AI370" s="187"/>
      <c r="AJ370" s="630"/>
      <c r="AK370" s="630"/>
      <c r="AL370" s="595"/>
      <c r="AM370" s="595"/>
      <c r="AN370" s="595"/>
      <c r="AO370" s="595"/>
      <c r="AP370" s="595"/>
      <c r="AQ370" s="595"/>
      <c r="AR370" s="595"/>
      <c r="AS370" s="595"/>
      <c r="AT370" s="595"/>
      <c r="AU370" s="595"/>
      <c r="AV370" s="595"/>
      <c r="AW370" s="595"/>
      <c r="AX370" s="595"/>
      <c r="AY370" s="595"/>
      <c r="AZ370" s="595"/>
      <c r="BA370" s="595"/>
      <c r="BB370" s="595"/>
      <c r="BC370" s="595"/>
      <c r="BD370" s="595"/>
      <c r="BE370" s="595"/>
      <c r="BF370" s="595"/>
      <c r="BG370" s="595"/>
      <c r="BH370" s="595"/>
      <c r="BI370" s="651"/>
      <c r="BJ370" s="651"/>
      <c r="BK370" s="651"/>
      <c r="BL370" s="651"/>
      <c r="BM370" s="651"/>
      <c r="BN370" s="651"/>
      <c r="BO370" s="651"/>
      <c r="BP370" s="651"/>
      <c r="BQ370" s="651"/>
      <c r="BR370" s="651"/>
      <c r="BS370" s="651"/>
      <c r="BT370" s="651"/>
    </row>
    <row r="371">
      <c r="A371" s="716" t="s">
        <v>491</v>
      </c>
      <c r="B371" s="154" t="str">
        <f>IFERROR(__xludf.DUMMYFUNCTION("IFERROR(
  IF(C371="""","""",
    IF(OR(REGEXMATCH(D371,""(?i)-Flashing""), REGEXMATCH(D371,""(?i)-EavesGut""), REGEXMATCH(D371,""(?i)Valley"")),
        ""DR"" &amp;
        TEXT(
            ROUNDUP(
                MIN(
                    VALUE(MID(C371, "&amp;"FIND(""("",C371)+1, FIND(""/"",C371)-FIND(""("",C371)-1)),
                    1200
                ) / 50, 0
            ) * 50, ""0""
        ) &amp;
        MID(C371, FIND(""/"",C371)+1, FIND("")"",C371)-FIND(""/"",C371)-1) &amp;
        TEXT(H371*100,""0"") &amp;"&amp;"
        I371,
    IF(AND(D371=""Roof Sheet"", REGEXMATCH(C371,""(?i)KS\d{4}[A-Z]{2}"")),
       REGEXEXTRACT(C371,""(?i)KS\d{4}[A-Z]{2}""),
    IF(AND(REGEXMATCH(D371,""(?i)-DP""), REGEXMATCH(C371,""(?i)Downpipe"")),
       ""dp"" &amp; REGEXEXTRACT(C371,""("&amp;"\d+)"") &amp; ""mm"",
    IF(AND(REGEXMATCH(D371,""(?i)Bracket""), REGEXMATCH(C371,""(?i)Bracket"")),
       ""Brkt"" &amp; REGEXEXTRACT(C371,""(\d+)"") &amp; ""mm"",
    IF(AND(REGEXMATCH(D371,""(?i)-OP""), REGEXMATCH(C371,""(?i)pops"")),
       ""op"" &amp; REGEXEXTRAC"&amp;"T(C371,""(\d+)"") &amp; ""mm"",
    IF(OR(D371=""R-FFTop"", D371=""R-FFBottom"", D371=""R-FFSide""),
        IF(REGEXMATCH(C371,""(?i)Profiled.*Top|Top.*Profiled""),""pfft"",
        IF(REGEXMATCH(C371,""(?i)Profiled.*Bottom|Bottom.*Profiled""),""pffb"",
    "&amp;"    IF(REGEXMATCH(C371,""(?i)Square""),""sff"",""""))),
    IF(REGEXMATCH(D371,""(?i)-Rivets""),""Rvt"",
    IF(REGEXMATCH(D371,""(?i)Silicone|Seal""),""300ml"",
    IF(REGEXMATCH(D371,""(?i)R-Butyl""),""300ml"",
    IF(REGEXMATCH(D371,""(?i)Fix""),""GenF"&amp;"ix"",
    IF(AND(REGEXMATCH(C371,""(?i)Timber""), REGEXMATCH(D371,""(?i)Timber"")),""tp"",
    IF(AND(REGEXMATCH(C371,""(?i)Vent G1275""), REGEXMATCH(D371,""(?i)Comb FIller"")),""CFV1275"",
    IF(REGEXMATCH(C371,""(?i)DPC""),""dpc"",
    IF(REGEXMATCH(C3"&amp;"71,""(?i)Concealed Clips""),""ConClips"",
    IF(REGEXMATCH(D371,""(?i)-Takeoff ea""),""Takeoff ea"",
    IF(REGEXMATCH(D371,""(?i)-Takeoff LM""),""Takeoff LM"",
    IF(REGEXMATCH(D371,""(?i)-Takeoff m2""),""Takeoff m2"",
    IF(D371=""R-TU/TD"",""TU/TD"""&amp;","""")))))))))))))))))
  )))"),"op150mm")</f>
        <v>op150mm</v>
      </c>
      <c r="C371" s="123" t="s">
        <v>142</v>
      </c>
      <c r="D371" s="124" t="s">
        <v>143</v>
      </c>
      <c r="E371" s="687">
        <f>IFERROR(__xludf.DUMMYFUNCTION("IF(REGEXMATCH(C371, ""\d+mmØ""), VALUE(REGEXEXTRACT(C371, ""(\d+)mmØ""))/1000, """")
"),0.15)</f>
        <v>0.15</v>
      </c>
      <c r="F371" s="699"/>
      <c r="G371" s="701"/>
      <c r="H371" s="700"/>
      <c r="I371" s="700"/>
      <c r="J371" s="126" t="s">
        <v>87</v>
      </c>
      <c r="K371" s="126" t="str">
        <f>IFERROR(
  IF(B371="", "", VLOOKUP(B371, Data!$B$2:$K$905, 7, FALSE)),
  ""
)</f>
        <v/>
      </c>
      <c r="L371" s="704"/>
      <c r="M371" s="150">
        <v>1.0</v>
      </c>
      <c r="N371" s="151">
        <f>IFERROR(__xludf.DUMMYFUNCTION("IF(B371="""", """", IFERROR(1 / COS(RADIANS(REGEXEXTRACT(F371,""(\d+)""))), 1))"),1.0)</f>
        <v>1</v>
      </c>
      <c r="O371" s="169">
        <f>L368</f>
        <v>9</v>
      </c>
      <c r="P371" s="134">
        <v>1.0</v>
      </c>
      <c r="Q371" s="242">
        <f t="shared" ref="Q371:Q373" si="289">M371*N371*O371*P371</f>
        <v>9</v>
      </c>
      <c r="R371" s="136" t="str">
        <f>IFERROR(
  IF(B371="", "", VLOOKUP(B371, Data!$B$2:$K$905, 9, FALSE)),
  ""
)</f>
        <v/>
      </c>
      <c r="S371" s="152">
        <f t="shared" ref="S371:S373" si="290">R371*Q371</f>
        <v>0</v>
      </c>
      <c r="T371" s="690"/>
      <c r="U371" s="136" t="str">
        <f>IFERROR(
  IF(B371="", "", VLOOKUP(B371, Data!$B$2:$K$905, 10, FALSE)),
  ""
)
</f>
        <v/>
      </c>
      <c r="V371" s="691"/>
      <c r="W371" s="140">
        <f t="shared" ref="W371:W373" si="291">U371*Q371</f>
        <v>0</v>
      </c>
      <c r="X371" s="692"/>
      <c r="Y371" s="595"/>
      <c r="Z371" s="595"/>
      <c r="AA371" s="595"/>
      <c r="AB371" s="354">
        <f t="shared" si="288"/>
        <v>0</v>
      </c>
      <c r="AC371" s="181"/>
      <c r="AD371" s="625"/>
      <c r="AE371" s="626"/>
      <c r="AF371" s="696"/>
      <c r="AG371" s="697"/>
      <c r="AH371" s="629"/>
      <c r="AI371" s="187"/>
      <c r="AJ371" s="630"/>
      <c r="AK371" s="630"/>
      <c r="AL371" s="595"/>
      <c r="AM371" s="595"/>
      <c r="AN371" s="595"/>
      <c r="AO371" s="595"/>
      <c r="AP371" s="595"/>
      <c r="AQ371" s="595"/>
      <c r="AR371" s="595"/>
      <c r="AS371" s="595"/>
      <c r="AT371" s="595"/>
      <c r="AU371" s="595"/>
      <c r="AV371" s="595"/>
      <c r="AW371" s="595"/>
      <c r="AX371" s="595"/>
      <c r="AY371" s="595"/>
      <c r="AZ371" s="595"/>
      <c r="BA371" s="595"/>
      <c r="BB371" s="595"/>
      <c r="BC371" s="595"/>
      <c r="BD371" s="595"/>
      <c r="BE371" s="595"/>
      <c r="BF371" s="595"/>
      <c r="BG371" s="595"/>
      <c r="BH371" s="595"/>
      <c r="BI371" s="651"/>
      <c r="BJ371" s="651"/>
      <c r="BK371" s="651"/>
      <c r="BL371" s="651"/>
      <c r="BM371" s="651"/>
      <c r="BN371" s="651"/>
      <c r="BO371" s="651"/>
      <c r="BP371" s="651"/>
      <c r="BQ371" s="651"/>
      <c r="BR371" s="651"/>
      <c r="BS371" s="651"/>
      <c r="BT371" s="651"/>
    </row>
    <row r="372">
      <c r="A372" s="631"/>
      <c r="B372" s="154" t="str">
        <f>IFERROR(__xludf.DUMMYFUNCTION("IFERROR(
  IF(C372="""","""",
    IF(OR(REGEXMATCH(D372,""(?i)-Flashing""), REGEXMATCH(D372,""(?i)-EavesGut""), REGEXMATCH(D372,""(?i)Valley"")),
        ""DR"" &amp;
        TEXT(
            ROUNDUP(
                MIN(
                    VALUE(MID(C372, "&amp;"FIND(""("",C372)+1, FIND(""/"",C372)-FIND(""("",C372)-1)),
                    1200
                ) / 50, 0
            ) * 50, ""0""
        ) &amp;
        MID(C372, FIND(""/"",C372)+1, FIND("")"",C372)-FIND(""/"",C372)-1) &amp;
        TEXT(H372*100,""0"") &amp;"&amp;"
        I372,
    IF(AND(D372=""Roof Sheet"", REGEXMATCH(C372,""(?i)KS\d{4}[A-Z]{2}"")),
       REGEXEXTRACT(C372,""(?i)KS\d{4}[A-Z]{2}""),
    IF(AND(REGEXMATCH(D372,""(?i)-DP""), REGEXMATCH(C372,""(?i)Downpipe"")),
       ""dp"" &amp; REGEXEXTRACT(C372,""("&amp;"\d+)"") &amp; ""mm"",
    IF(AND(REGEXMATCH(D372,""(?i)Bracket""), REGEXMATCH(C372,""(?i)Bracket"")),
       ""Brkt"" &amp; REGEXEXTRACT(C372,""(\d+)"") &amp; ""mm"",
    IF(AND(REGEXMATCH(D372,""(?i)-OP""), REGEXMATCH(C372,""(?i)pops"")),
       ""op"" &amp; REGEXEXTRAC"&amp;"T(C372,""(\d+)"") &amp; ""mm"",
    IF(OR(D372=""R-FFTop"", D372=""R-FFBottom"", D372=""R-FFSide""),
        IF(REGEXMATCH(C372,""(?i)Profiled.*Top|Top.*Profiled""),""pfft"",
        IF(REGEXMATCH(C372,""(?i)Profiled.*Bottom|Bottom.*Profiled""),""pffb"",
    "&amp;"    IF(REGEXMATCH(C372,""(?i)Square""),""sff"",""""))),
    IF(REGEXMATCH(D372,""(?i)-Rivets""),""Rvt"",
    IF(REGEXMATCH(D372,""(?i)Silicone|Seal""),""300ml"",
    IF(REGEXMATCH(D372,""(?i)R-Butyl""),""300ml"",
    IF(REGEXMATCH(D372,""(?i)Fix""),""GenF"&amp;"ix"",
    IF(AND(REGEXMATCH(C372,""(?i)Timber""), REGEXMATCH(D372,""(?i)Timber"")),""tp"",
    IF(AND(REGEXMATCH(C372,""(?i)Vent G1275""), REGEXMATCH(D372,""(?i)Comb FIller"")),""CFV1275"",
    IF(REGEXMATCH(C372,""(?i)DPC""),""dpc"",
    IF(REGEXMATCH(C3"&amp;"72,""(?i)Concealed Clips""),""ConClips"",
    IF(REGEXMATCH(D372,""(?i)-Takeoff ea""),""Takeoff ea"",
    IF(REGEXMATCH(D372,""(?i)-Takeoff LM""),""Takeoff LM"",
    IF(REGEXMATCH(D372,""(?i)-Takeoff m2""),""Takeoff m2"",
    IF(D372=""R-TU/TD"",""TU/TD"""&amp;","""")))))))))))))))))
  )))"),"300ml")</f>
        <v>300ml</v>
      </c>
      <c r="C372" s="225" t="s">
        <v>98</v>
      </c>
      <c r="D372" s="124" t="s">
        <v>388</v>
      </c>
      <c r="E372" s="687">
        <f>E371</f>
        <v>0.15</v>
      </c>
      <c r="F372" s="699"/>
      <c r="G372" s="701"/>
      <c r="H372" s="700"/>
      <c r="I372" s="700"/>
      <c r="J372" s="126" t="s">
        <v>87</v>
      </c>
      <c r="K372" s="126" t="str">
        <f>IFERROR(
  IF(B372="", "", VLOOKUP(B372, Data!$B$2:$K$905, 7, FALSE)),
  ""
)</f>
        <v/>
      </c>
      <c r="L372" s="704"/>
      <c r="M372" s="150">
        <f>ROUNDUP(3.14*E372,0)/8</f>
        <v>0.125</v>
      </c>
      <c r="N372" s="151">
        <f>IFERROR(__xludf.DUMMYFUNCTION("IF(B372="""", """", IFERROR(1 / COS(RADIANS(REGEXEXTRACT(F372,""(\d+)""))), 1))"),1.0)</f>
        <v>1</v>
      </c>
      <c r="O372" s="169">
        <f>O371</f>
        <v>9</v>
      </c>
      <c r="P372" s="134">
        <v>1.0</v>
      </c>
      <c r="Q372" s="242">
        <f t="shared" si="289"/>
        <v>1.125</v>
      </c>
      <c r="R372" s="136" t="str">
        <f>IFERROR(
  IF(B372="", "", VLOOKUP(B372, Data!$B$2:$K$905, 9, FALSE)),
  ""
)</f>
        <v/>
      </c>
      <c r="S372" s="152">
        <f t="shared" si="290"/>
        <v>0</v>
      </c>
      <c r="T372" s="690"/>
      <c r="U372" s="136" t="str">
        <f>IFERROR(
  IF(B372="", "", VLOOKUP(B372, Data!$B$2:$K$905, 10, FALSE)),
  ""
)
</f>
        <v/>
      </c>
      <c r="V372" s="691"/>
      <c r="W372" s="140">
        <f t="shared" si="291"/>
        <v>0</v>
      </c>
      <c r="X372" s="692"/>
      <c r="Y372" s="595"/>
      <c r="Z372" s="595"/>
      <c r="AA372" s="595"/>
      <c r="AB372" s="354">
        <f t="shared" si="288"/>
        <v>0</v>
      </c>
      <c r="AC372" s="181"/>
      <c r="AD372" s="625"/>
      <c r="AE372" s="626"/>
      <c r="AF372" s="696"/>
      <c r="AG372" s="697"/>
      <c r="AH372" s="629"/>
      <c r="AI372" s="187"/>
      <c r="AJ372" s="630"/>
      <c r="AK372" s="630"/>
      <c r="AL372" s="595"/>
      <c r="AM372" s="595"/>
      <c r="AN372" s="595"/>
      <c r="AO372" s="595"/>
      <c r="AP372" s="595"/>
      <c r="AQ372" s="595"/>
      <c r="AR372" s="595"/>
      <c r="AS372" s="595"/>
      <c r="AT372" s="595"/>
      <c r="AU372" s="595"/>
      <c r="AV372" s="595"/>
      <c r="AW372" s="595"/>
      <c r="AX372" s="595"/>
      <c r="AY372" s="595"/>
      <c r="AZ372" s="595"/>
      <c r="BA372" s="595"/>
      <c r="BB372" s="595"/>
      <c r="BC372" s="595"/>
      <c r="BD372" s="595"/>
      <c r="BE372" s="595"/>
      <c r="BF372" s="595"/>
      <c r="BG372" s="595"/>
      <c r="BH372" s="595"/>
      <c r="BI372" s="651"/>
      <c r="BJ372" s="651"/>
      <c r="BK372" s="651"/>
      <c r="BL372" s="651"/>
      <c r="BM372" s="651"/>
      <c r="BN372" s="651"/>
      <c r="BO372" s="651"/>
      <c r="BP372" s="651"/>
      <c r="BQ372" s="651"/>
      <c r="BR372" s="651"/>
      <c r="BS372" s="651"/>
      <c r="BT372" s="651"/>
    </row>
    <row r="373">
      <c r="A373" s="631"/>
      <c r="B373" s="154" t="str">
        <f>IFERROR(__xludf.DUMMYFUNCTION("IFERROR(
  IF(C373="""","""",
    IF(OR(REGEXMATCH(D373,""(?i)-Flashing""), REGEXMATCH(D373,""(?i)-EavesGut""), REGEXMATCH(D373,""(?i)Valley"")),
        ""DR"" &amp;
        TEXT(
            ROUNDUP(
                MIN(
                    VALUE(MID(C373, "&amp;"FIND(""("",C373)+1, FIND(""/"",C373)-FIND(""("",C373)-1)),
                    1200
                ) / 50, 0
            ) * 50, ""0""
        ) &amp;
        MID(C373, FIND(""/"",C373)+1, FIND("")"",C373)-FIND(""/"",C373)-1) &amp;
        TEXT(H373*100,""0"") &amp;"&amp;"
        I373,
    IF(AND(D373=""Roof Sheet"", REGEXMATCH(C373,""(?i)KS\d{4}[A-Z]{2}"")),
       REGEXEXTRACT(C373,""(?i)KS\d{4}[A-Z]{2}""),
    IF(AND(REGEXMATCH(D373,""(?i)-DP""), REGEXMATCH(C373,""(?i)Downpipe"")),
       ""dp"" &amp; REGEXEXTRACT(C373,""("&amp;"\d+)"") &amp; ""mm"",
    IF(AND(REGEXMATCH(D373,""(?i)Bracket""), REGEXMATCH(C373,""(?i)Bracket"")),
       ""Brkt"" &amp; REGEXEXTRACT(C373,""(\d+)"") &amp; ""mm"",
    IF(AND(REGEXMATCH(D373,""(?i)-OP""), REGEXMATCH(C373,""(?i)pops"")),
       ""op"" &amp; REGEXEXTRAC"&amp;"T(C373,""(\d+)"") &amp; ""mm"",
    IF(OR(D373=""R-FFTop"", D373=""R-FFBottom"", D373=""R-FFSide""),
        IF(REGEXMATCH(C373,""(?i)Profiled.*Top|Top.*Profiled""),""pfft"",
        IF(REGEXMATCH(C373,""(?i)Profiled.*Bottom|Bottom.*Profiled""),""pffb"",
    "&amp;"    IF(REGEXMATCH(C373,""(?i)Square""),""sff"",""""))),
    IF(REGEXMATCH(D373,""(?i)-Rivets""),""Rvt"",
    IF(REGEXMATCH(D373,""(?i)Silicone|Seal""),""300ml"",
    IF(REGEXMATCH(D373,""(?i)R-Butyl""),""300ml"",
    IF(REGEXMATCH(D373,""(?i)Fix""),""GenF"&amp;"ix"",
    IF(AND(REGEXMATCH(C373,""(?i)Timber""), REGEXMATCH(D373,""(?i)Timber"")),""tp"",
    IF(AND(REGEXMATCH(C373,""(?i)Vent G1275""), REGEXMATCH(D373,""(?i)Comb FIller"")),""CFV1275"",
    IF(REGEXMATCH(C373,""(?i)DPC""),""dpc"",
    IF(REGEXMATCH(C3"&amp;"73,""(?i)Concealed Clips""),""ConClips"",
    IF(REGEXMATCH(D373,""(?i)-Takeoff ea""),""Takeoff ea"",
    IF(REGEXMATCH(D373,""(?i)-Takeoff LM""),""Takeoff LM"",
    IF(REGEXMATCH(D373,""(?i)-Takeoff m2""),""Takeoff m2"",
    IF(D373=""R-TU/TD"",""TU/TD"""&amp;","""")))))))))))))))))
  )))"),"GenFix")</f>
        <v>GenFix</v>
      </c>
      <c r="C373" s="225" t="s">
        <v>102</v>
      </c>
      <c r="D373" s="124" t="s">
        <v>144</v>
      </c>
      <c r="E373" s="687">
        <f>E371</f>
        <v>0.15</v>
      </c>
      <c r="F373" s="699"/>
      <c r="G373" s="701"/>
      <c r="H373" s="700"/>
      <c r="I373" s="700"/>
      <c r="J373" s="126" t="s">
        <v>87</v>
      </c>
      <c r="K373" s="126" t="str">
        <f>IFERROR(
  IF(B373="", "", VLOOKUP(B373, Data!$B$2:$K$905, 7, FALSE)),
  ""
)</f>
        <v/>
      </c>
      <c r="L373" s="704"/>
      <c r="M373" s="150">
        <f>ROUNDUP(3.14*E373,0)/0.05</f>
        <v>20</v>
      </c>
      <c r="N373" s="151">
        <f>IFERROR(__xludf.DUMMYFUNCTION("IF(B373="""", """", IFERROR(1 / COS(RADIANS(REGEXEXTRACT(F373,""(\d+)""))), 1))"),1.0)</f>
        <v>1</v>
      </c>
      <c r="O373" s="169">
        <f>O371</f>
        <v>9</v>
      </c>
      <c r="P373" s="134">
        <v>1.0</v>
      </c>
      <c r="Q373" s="242">
        <f t="shared" si="289"/>
        <v>180</v>
      </c>
      <c r="R373" s="136" t="str">
        <f>IFERROR(
  IF(B373="", "", VLOOKUP(B373, Data!$B$2:$K$905, 9, FALSE)),
  ""
)</f>
        <v/>
      </c>
      <c r="S373" s="152">
        <f t="shared" si="290"/>
        <v>0</v>
      </c>
      <c r="T373" s="690"/>
      <c r="U373" s="136" t="str">
        <f>IFERROR(
  IF(B373="", "", VLOOKUP(B373, Data!$B$2:$K$905, 10, FALSE)),
  ""
)
</f>
        <v/>
      </c>
      <c r="V373" s="691"/>
      <c r="W373" s="140">
        <f t="shared" si="291"/>
        <v>0</v>
      </c>
      <c r="X373" s="692"/>
      <c r="Y373" s="595"/>
      <c r="Z373" s="595"/>
      <c r="AA373" s="595"/>
      <c r="AB373" s="354">
        <f t="shared" si="288"/>
        <v>0</v>
      </c>
      <c r="AC373" s="181"/>
      <c r="AD373" s="625"/>
      <c r="AE373" s="626"/>
      <c r="AF373" s="696"/>
      <c r="AG373" s="697"/>
      <c r="AH373" s="629"/>
      <c r="AI373" s="187"/>
      <c r="AJ373" s="630"/>
      <c r="AK373" s="630"/>
      <c r="AL373" s="595"/>
      <c r="AM373" s="595"/>
      <c r="AN373" s="595"/>
      <c r="AO373" s="595"/>
      <c r="AP373" s="595"/>
      <c r="AQ373" s="595"/>
      <c r="AR373" s="595"/>
      <c r="AS373" s="595"/>
      <c r="AT373" s="595"/>
      <c r="AU373" s="595"/>
      <c r="AV373" s="595"/>
      <c r="AW373" s="595"/>
      <c r="AX373" s="595"/>
      <c r="AY373" s="595"/>
      <c r="AZ373" s="595"/>
      <c r="BA373" s="595"/>
      <c r="BB373" s="595"/>
      <c r="BC373" s="595"/>
      <c r="BD373" s="595"/>
      <c r="BE373" s="595"/>
      <c r="BF373" s="595"/>
      <c r="BG373" s="595"/>
      <c r="BH373" s="595"/>
      <c r="BI373" s="651"/>
      <c r="BJ373" s="651"/>
      <c r="BK373" s="651"/>
      <c r="BL373" s="651"/>
      <c r="BM373" s="651"/>
      <c r="BN373" s="651"/>
      <c r="BO373" s="651"/>
      <c r="BP373" s="651"/>
      <c r="BQ373" s="651"/>
      <c r="BR373" s="651"/>
      <c r="BS373" s="651"/>
      <c r="BT373" s="651"/>
    </row>
    <row r="374">
      <c r="A374" s="631"/>
      <c r="B374" s="154"/>
      <c r="C374" s="700"/>
      <c r="D374" s="701"/>
      <c r="E374" s="722"/>
      <c r="F374" s="699"/>
      <c r="G374" s="701"/>
      <c r="H374" s="700"/>
      <c r="I374" s="700"/>
      <c r="J374" s="701"/>
      <c r="K374" s="701"/>
      <c r="L374" s="704"/>
      <c r="M374" s="704"/>
      <c r="N374" s="711"/>
      <c r="O374" s="712"/>
      <c r="P374" s="700"/>
      <c r="Q374" s="712"/>
      <c r="R374" s="681" t="str">
        <f>IFERROR(
  IF(B374="", "", VLOOKUP(B374, Data!$B$2:$K$905, 9, FALSE)),
  ""
)</f>
        <v/>
      </c>
      <c r="S374" s="691"/>
      <c r="T374" s="690"/>
      <c r="U374" s="136" t="str">
        <f>IFERROR(
  IF(B374="", "", VLOOKUP(B374, Data!$B$2:$K$905, 10, FALSE)),
  ""
)
</f>
        <v/>
      </c>
      <c r="V374" s="691"/>
      <c r="W374" s="713"/>
      <c r="X374" s="692"/>
      <c r="Y374" s="595"/>
      <c r="Z374" s="595"/>
      <c r="AA374" s="595"/>
      <c r="AB374" s="595"/>
      <c r="AC374" s="181"/>
      <c r="AD374" s="625"/>
      <c r="AE374" s="626"/>
      <c r="AF374" s="696"/>
      <c r="AG374" s="697"/>
      <c r="AH374" s="629"/>
      <c r="AI374" s="187"/>
      <c r="AJ374" s="630"/>
      <c r="AK374" s="630"/>
      <c r="AL374" s="595"/>
      <c r="AM374" s="595"/>
      <c r="AN374" s="595"/>
      <c r="AO374" s="595"/>
      <c r="AP374" s="595"/>
      <c r="AQ374" s="595"/>
      <c r="AR374" s="595"/>
      <c r="AS374" s="595"/>
      <c r="AT374" s="595"/>
      <c r="AU374" s="595"/>
      <c r="AV374" s="595"/>
      <c r="AW374" s="595"/>
      <c r="AX374" s="595"/>
      <c r="AY374" s="595"/>
      <c r="AZ374" s="595"/>
      <c r="BA374" s="595"/>
      <c r="BB374" s="595"/>
      <c r="BC374" s="595"/>
      <c r="BD374" s="595"/>
      <c r="BE374" s="595"/>
      <c r="BF374" s="595"/>
      <c r="BG374" s="595"/>
      <c r="BH374" s="595"/>
      <c r="BI374" s="651"/>
      <c r="BJ374" s="651"/>
      <c r="BK374" s="651"/>
      <c r="BL374" s="651"/>
      <c r="BM374" s="651"/>
      <c r="BN374" s="651"/>
      <c r="BO374" s="651"/>
      <c r="BP374" s="651"/>
      <c r="BQ374" s="651"/>
      <c r="BR374" s="651"/>
      <c r="BS374" s="651"/>
      <c r="BT374" s="651"/>
    </row>
    <row r="375">
      <c r="A375" s="631">
        <v>1.0</v>
      </c>
      <c r="B375" s="761" t="s">
        <v>423</v>
      </c>
      <c r="C375" s="251" t="s">
        <v>515</v>
      </c>
      <c r="D375" s="633"/>
      <c r="E375" s="634"/>
      <c r="F375" s="635"/>
      <c r="G375" s="633"/>
      <c r="H375" s="633"/>
      <c r="I375" s="637"/>
      <c r="J375" s="633"/>
      <c r="K375" s="633"/>
      <c r="L375" s="637"/>
      <c r="M375" s="637"/>
      <c r="N375" s="639"/>
      <c r="O375" s="637"/>
      <c r="P375" s="633"/>
      <c r="Q375" s="640"/>
      <c r="R375" s="681" t="str">
        <f>IFERROR(
  IF(B375="", "", VLOOKUP(B375, Data!$B$2:$K$905, 9, FALSE)),
  ""
)</f>
        <v/>
      </c>
      <c r="S375" s="642"/>
      <c r="T375" s="640"/>
      <c r="U375" s="136" t="str">
        <f>IFERROR(
  IF(B375="", "", VLOOKUP(B375, Data!$B$2:$K$905, 10, FALSE)),
  ""
)
</f>
        <v/>
      </c>
      <c r="V375" s="642"/>
      <c r="W375" s="643"/>
      <c r="X375" s="762"/>
      <c r="Y375" s="649"/>
      <c r="Z375" s="649"/>
      <c r="AA375" s="649"/>
      <c r="AB375" s="649"/>
      <c r="AC375" s="602"/>
      <c r="AD375" s="644"/>
      <c r="AE375" s="645"/>
      <c r="AF375" s="646"/>
      <c r="AG375" s="763"/>
      <c r="AH375" s="648"/>
      <c r="AI375" s="649"/>
      <c r="AJ375" s="650"/>
      <c r="AK375" s="650"/>
      <c r="AL375" s="595"/>
      <c r="AM375" s="595"/>
      <c r="AN375" s="595"/>
      <c r="AO375" s="595"/>
      <c r="AP375" s="595"/>
      <c r="AQ375" s="595"/>
      <c r="AR375" s="595"/>
      <c r="AS375" s="595"/>
      <c r="AT375" s="595"/>
      <c r="AU375" s="595"/>
      <c r="AV375" s="595"/>
      <c r="AW375" s="595"/>
      <c r="AX375" s="595"/>
      <c r="AY375" s="595"/>
      <c r="AZ375" s="595"/>
      <c r="BA375" s="595"/>
      <c r="BB375" s="595"/>
      <c r="BC375" s="595"/>
      <c r="BD375" s="595"/>
      <c r="BE375" s="595"/>
      <c r="BF375" s="595"/>
      <c r="BG375" s="595"/>
      <c r="BH375" s="595"/>
      <c r="BI375" s="651"/>
      <c r="BJ375" s="651"/>
      <c r="BK375" s="651"/>
      <c r="BL375" s="651"/>
      <c r="BM375" s="651"/>
      <c r="BN375" s="651"/>
      <c r="BO375" s="651"/>
      <c r="BP375" s="651"/>
      <c r="BQ375" s="651"/>
      <c r="BR375" s="651"/>
      <c r="BS375" s="651"/>
      <c r="BT375" s="651"/>
    </row>
    <row r="376">
      <c r="A376" s="631">
        <v>1.0</v>
      </c>
      <c r="B376" s="764" t="s">
        <v>425</v>
      </c>
      <c r="C376" s="89" t="s">
        <v>36</v>
      </c>
      <c r="D376" s="656"/>
      <c r="E376" s="654"/>
      <c r="F376" s="655"/>
      <c r="G376" s="656"/>
      <c r="H376" s="656"/>
      <c r="I376" s="656"/>
      <c r="J376" s="656"/>
      <c r="K376" s="656"/>
      <c r="L376" s="658"/>
      <c r="M376" s="658"/>
      <c r="N376" s="659"/>
      <c r="O376" s="658"/>
      <c r="P376" s="656"/>
      <c r="Q376" s="658"/>
      <c r="R376" s="681" t="str">
        <f>IFERROR(
  IF(B376="", "", VLOOKUP(B376, Data!$B$2:$K$905, 9, FALSE)),
  ""
)</f>
        <v/>
      </c>
      <c r="S376" s="662"/>
      <c r="T376" s="661"/>
      <c r="U376" s="136" t="str">
        <f>IFERROR(
  IF(B376="", "", VLOOKUP(B376, Data!$B$2:$K$905, 10, FALSE)),
  ""
)
</f>
        <v/>
      </c>
      <c r="V376" s="662"/>
      <c r="W376" s="663"/>
      <c r="X376" s="664"/>
      <c r="Y376" s="665"/>
      <c r="Z376" s="665"/>
      <c r="AA376" s="665"/>
      <c r="AB376" s="665"/>
      <c r="AC376" s="667"/>
      <c r="AD376" s="668"/>
      <c r="AE376" s="669"/>
      <c r="AF376" s="670"/>
      <c r="AG376" s="715"/>
      <c r="AH376" s="672"/>
      <c r="AI376" s="665"/>
      <c r="AJ376" s="673"/>
      <c r="AK376" s="673"/>
      <c r="AL376" s="595"/>
      <c r="AM376" s="595"/>
      <c r="AN376" s="595"/>
      <c r="AO376" s="595"/>
      <c r="AP376" s="595"/>
      <c r="AQ376" s="595"/>
      <c r="AR376" s="595"/>
      <c r="AS376" s="595"/>
      <c r="AT376" s="595"/>
      <c r="AU376" s="595"/>
      <c r="AV376" s="595"/>
      <c r="AW376" s="595"/>
      <c r="AX376" s="595"/>
      <c r="AY376" s="595"/>
      <c r="AZ376" s="595"/>
      <c r="BA376" s="595"/>
      <c r="BB376" s="595"/>
      <c r="BC376" s="595"/>
      <c r="BD376" s="595"/>
      <c r="BE376" s="595"/>
      <c r="BF376" s="595"/>
      <c r="BG376" s="595"/>
      <c r="BH376" s="595"/>
      <c r="BI376" s="651"/>
      <c r="BJ376" s="651"/>
      <c r="BK376" s="651"/>
      <c r="BL376" s="651"/>
      <c r="BM376" s="651"/>
      <c r="BN376" s="651"/>
      <c r="BO376" s="651"/>
      <c r="BP376" s="651"/>
      <c r="BQ376" s="651"/>
      <c r="BR376" s="651"/>
      <c r="BS376" s="651"/>
      <c r="BT376" s="651"/>
    </row>
    <row r="377">
      <c r="A377" s="631">
        <v>1.0</v>
      </c>
      <c r="B377" s="727"/>
      <c r="C377" s="103" t="s">
        <v>516</v>
      </c>
      <c r="D377" s="675"/>
      <c r="E377" s="676"/>
      <c r="F377" s="677"/>
      <c r="G377" s="678"/>
      <c r="H377" s="678"/>
      <c r="I377" s="678"/>
      <c r="J377" s="678"/>
      <c r="K377" s="678"/>
      <c r="L377" s="106" t="str">
        <f>Q377</f>
        <v>#REF!</v>
      </c>
      <c r="M377" s="679"/>
      <c r="N377" s="680"/>
      <c r="O377" s="679"/>
      <c r="P377" s="678"/>
      <c r="Q377" s="106" t="str">
        <f>Q378</f>
        <v>#REF!</v>
      </c>
      <c r="R377" s="681" t="str">
        <f>IFERROR(
  IF(B377="", "", VLOOKUP(B377, Data!$B$2:$K$905, 9, FALSE)),
  ""
)</f>
        <v/>
      </c>
      <c r="S377" s="682">
        <f>IFERROR(T377/Q377, 0)</f>
        <v>0</v>
      </c>
      <c r="T377" s="109" t="str">
        <f>SUM(S378:S381)</f>
        <v>#REF!</v>
      </c>
      <c r="U377" s="136" t="str">
        <f>IFERROR(
  IF(B377="", "", VLOOKUP(B377, Data!$B$2:$K$905, 10, FALSE)),
  ""
)
</f>
        <v/>
      </c>
      <c r="V377" s="109" t="str">
        <f>iferror(W377/Q377,"")</f>
        <v/>
      </c>
      <c r="W377" s="110" t="str">
        <f>SUM(W378:W381)</f>
        <v>#REF!</v>
      </c>
      <c r="X377" s="111" t="str">
        <f>W377/$AC$758/$W$765/$X$755</f>
        <v>#REF!</v>
      </c>
      <c r="Y377" s="112" t="str">
        <f>(T377+W377)=(SUM(AB378:AB381))</f>
        <v>#REF!</v>
      </c>
      <c r="Z377" s="113" t="str">
        <f>(T377+W377)-(SUM(AB378:AB381))</f>
        <v>#REF!</v>
      </c>
      <c r="AA377" s="595"/>
      <c r="AB377" s="595"/>
      <c r="AC377" s="181"/>
      <c r="AD377" s="114" t="str">
        <f>W377+T377</f>
        <v>#REF!</v>
      </c>
      <c r="AE377" s="115" t="str">
        <f>AD377</f>
        <v>#REF!</v>
      </c>
      <c r="AF377" s="116" t="str">
        <f>AE377/$AE$733</f>
        <v>#REF!</v>
      </c>
      <c r="AG377" s="683" t="str">
        <f>AF377*$AG$740</f>
        <v>#REF!</v>
      </c>
      <c r="AH377" s="118" t="str">
        <f>AF377*$AG$743</f>
        <v>#REF!</v>
      </c>
      <c r="AI377" s="187"/>
      <c r="AJ377" s="119" t="str">
        <f>ROUND(AK377/L377,2)</f>
        <v>#REF!</v>
      </c>
      <c r="AK377" s="119" t="str">
        <f>ROUND(AH377+AG377+AD377,2)</f>
        <v>#REF!</v>
      </c>
      <c r="AL377" s="595"/>
      <c r="AM377" s="595"/>
      <c r="AN377" s="595"/>
      <c r="AO377" s="595"/>
      <c r="AP377" s="595"/>
      <c r="AQ377" s="595"/>
      <c r="AR377" s="595"/>
      <c r="AS377" s="595"/>
      <c r="AT377" s="595"/>
      <c r="AU377" s="595"/>
      <c r="AV377" s="595"/>
      <c r="AW377" s="595"/>
      <c r="AX377" s="595"/>
      <c r="AY377" s="595"/>
      <c r="AZ377" s="595"/>
      <c r="BA377" s="595"/>
      <c r="BB377" s="595"/>
      <c r="BC377" s="595"/>
      <c r="BD377" s="595"/>
      <c r="BE377" s="595"/>
      <c r="BF377" s="595"/>
      <c r="BG377" s="595"/>
      <c r="BH377" s="595"/>
      <c r="BI377" s="651"/>
      <c r="BJ377" s="651"/>
      <c r="BK377" s="651"/>
      <c r="BL377" s="651"/>
      <c r="BM377" s="651"/>
      <c r="BN377" s="651"/>
      <c r="BO377" s="651"/>
      <c r="BP377" s="651"/>
      <c r="BQ377" s="651"/>
      <c r="BR377" s="651"/>
      <c r="BS377" s="651"/>
      <c r="BT377" s="651"/>
    </row>
    <row r="378">
      <c r="A378" s="631"/>
      <c r="B378" s="765" t="s">
        <v>427</v>
      </c>
      <c r="C378" s="123" t="s">
        <v>500</v>
      </c>
      <c r="D378" s="686" t="s">
        <v>40</v>
      </c>
      <c r="E378" s="687" t="str">
        <f>IFERROR(__xludf.DUMMYFUNCTION("IF($B$15:$B1153="""","""",
  VLOOKUP(
    $B$15:$B1153,
    QUERY(
      IMPORTRANGE(""1Ag27m9YF5mMfJh2E6NipJDFvPLlDI1p-s_1XEnzMHcc"",""Merge!F2:R""),
      ""select Col1, Col11"",
      0
    ),
    2,
    FALSE
  )
)
"),"#REF!")</f>
        <v>#REF!</v>
      </c>
      <c r="F378" s="699"/>
      <c r="G378" s="689" t="s">
        <v>517</v>
      </c>
      <c r="H378" s="128" t="str">
        <f>IFERROR(__xludf.DUMMYFUNCTION("IFERROR(REGEXEXTRACT(C378, ""(\d*\.\d+)mm""), """")"),"0.55")</f>
        <v>0.55</v>
      </c>
      <c r="I378" s="701"/>
      <c r="J378" s="126" t="s">
        <v>14</v>
      </c>
      <c r="K378" s="126" t="str">
        <f>IFERROR(
  IF(B378="", "", VLOOKUP(B378, Data!$B$2:$K$905, 7, FALSE)),
  ""
)</f>
        <v/>
      </c>
      <c r="L378" s="131">
        <v>383.6</v>
      </c>
      <c r="M378" s="135" t="str">
        <f>L378*E378</f>
        <v>#REF!</v>
      </c>
      <c r="N378" s="151">
        <f>IFERROR(__xludf.DUMMYFUNCTION("IF(B378="""", """", IFERROR(1 / COS(RADIANS(REGEXEXTRACT(F378,""(\d+)""))), 1))"),1.0)</f>
        <v>1</v>
      </c>
      <c r="O378" s="169">
        <v>1.0</v>
      </c>
      <c r="P378" s="134">
        <v>1.0</v>
      </c>
      <c r="Q378" s="135" t="str">
        <f t="shared" ref="Q378:Q380" si="292">M378*N378*O378*P378</f>
        <v>#REF!</v>
      </c>
      <c r="R378" s="681" t="str">
        <f>IFERROR(
  IF(B378="", "", VLOOKUP(B378, Data!$B$2:$K$905, 9, FALSE)),
  ""
)</f>
        <v/>
      </c>
      <c r="S378" s="152" t="str">
        <f t="shared" ref="S378:S380" si="293">R378*Q378</f>
        <v>#REF!</v>
      </c>
      <c r="T378" s="690"/>
      <c r="U378" s="136" t="str">
        <f>IFERROR(
  IF(B378="", "", VLOOKUP(B378, Data!$B$2:$K$905, 10, FALSE)),
  ""
)
</f>
        <v/>
      </c>
      <c r="V378" s="691"/>
      <c r="W378" s="140" t="str">
        <f t="shared" ref="W378:W380" si="294">U378*Q378</f>
        <v>#REF!</v>
      </c>
      <c r="X378" s="692"/>
      <c r="Y378" s="693"/>
      <c r="Z378" s="694"/>
      <c r="AA378" s="695"/>
      <c r="AB378" s="354" t="str">
        <f t="shared" ref="AB378:AB381" si="295">W378+S378</f>
        <v>#REF!</v>
      </c>
      <c r="AC378" s="181"/>
      <c r="AD378" s="625"/>
      <c r="AE378" s="626"/>
      <c r="AF378" s="696"/>
      <c r="AG378" s="697"/>
      <c r="AH378" s="629"/>
      <c r="AI378" s="187"/>
      <c r="AJ378" s="630"/>
      <c r="AK378" s="630"/>
      <c r="AL378" s="595"/>
      <c r="AM378" s="595"/>
      <c r="AN378" s="595"/>
      <c r="AO378" s="595"/>
      <c r="AP378" s="595"/>
      <c r="AQ378" s="595"/>
      <c r="AR378" s="595"/>
      <c r="AS378" s="595"/>
      <c r="AT378" s="595"/>
      <c r="AU378" s="595"/>
      <c r="AV378" s="595"/>
      <c r="AW378" s="595"/>
      <c r="AX378" s="595"/>
      <c r="AY378" s="595"/>
      <c r="AZ378" s="595"/>
      <c r="BA378" s="595"/>
      <c r="BB378" s="595"/>
      <c r="BC378" s="595"/>
      <c r="BD378" s="595"/>
      <c r="BE378" s="595"/>
      <c r="BF378" s="595"/>
      <c r="BG378" s="595"/>
      <c r="BH378" s="595"/>
      <c r="BI378" s="651"/>
      <c r="BJ378" s="651"/>
      <c r="BK378" s="651"/>
      <c r="BL378" s="651"/>
      <c r="BM378" s="651"/>
      <c r="BN378" s="651"/>
      <c r="BO378" s="651"/>
      <c r="BP378" s="651"/>
      <c r="BQ378" s="651"/>
      <c r="BR378" s="651"/>
      <c r="BS378" s="651"/>
      <c r="BT378" s="651"/>
    </row>
    <row r="379">
      <c r="A379" s="631"/>
      <c r="B379" s="765" t="s">
        <v>430</v>
      </c>
      <c r="C379" s="158" t="s">
        <v>431</v>
      </c>
      <c r="D379" s="686" t="s">
        <v>432</v>
      </c>
      <c r="E379" s="687">
        <v>1.25</v>
      </c>
      <c r="F379" s="699"/>
      <c r="G379" s="700"/>
      <c r="H379" s="700" t="str">
        <f>IFERROR(__xludf.DUMMYFUNCTION("IFERROR(REGEXEXTRACT(C379, ""(\d*\.\d+)mm""), """")"),"")</f>
        <v/>
      </c>
      <c r="I379" s="701"/>
      <c r="J379" s="126" t="s">
        <v>87</v>
      </c>
      <c r="K379" s="126" t="str">
        <f>IFERROR(
  IF(B379="", "", VLOOKUP(B379, Data!$B$2:$K$905, 7, FALSE)),
  ""
)</f>
        <v/>
      </c>
      <c r="L379" s="704"/>
      <c r="M379" s="150">
        <f>roundup(L378/E379,0)+1</f>
        <v>308</v>
      </c>
      <c r="N379" s="151">
        <f t="shared" ref="N379:N380" si="296">N378</f>
        <v>1</v>
      </c>
      <c r="O379" s="169">
        <v>1.0</v>
      </c>
      <c r="P379" s="134">
        <v>1.0</v>
      </c>
      <c r="Q379" s="135">
        <f t="shared" si="292"/>
        <v>308</v>
      </c>
      <c r="R379" s="681" t="str">
        <f>IFERROR(
  IF(B379="", "", VLOOKUP(B379, Data!$B$2:$K$905, 9, FALSE)),
  ""
)</f>
        <v/>
      </c>
      <c r="S379" s="152">
        <f t="shared" si="293"/>
        <v>0</v>
      </c>
      <c r="T379" s="690"/>
      <c r="U379" s="136" t="str">
        <f>IFERROR(
  IF(B379="", "", VLOOKUP(B379, Data!$B$2:$K$905, 10, FALSE)),
  ""
)
</f>
        <v/>
      </c>
      <c r="V379" s="691"/>
      <c r="W379" s="140">
        <f t="shared" si="294"/>
        <v>0</v>
      </c>
      <c r="X379" s="692"/>
      <c r="Y379" s="693"/>
      <c r="Z379" s="694"/>
      <c r="AA379" s="695"/>
      <c r="AB379" s="354">
        <f t="shared" si="295"/>
        <v>0</v>
      </c>
      <c r="AC379" s="181"/>
      <c r="AD379" s="625"/>
      <c r="AE379" s="626"/>
      <c r="AF379" s="696"/>
      <c r="AG379" s="697"/>
      <c r="AH379" s="629"/>
      <c r="AI379" s="187"/>
      <c r="AJ379" s="630"/>
      <c r="AK379" s="630"/>
      <c r="AL379" s="595"/>
      <c r="AM379" s="595"/>
      <c r="AN379" s="595"/>
      <c r="AO379" s="595"/>
      <c r="AP379" s="595"/>
      <c r="AQ379" s="595"/>
      <c r="AR379" s="595"/>
      <c r="AS379" s="595"/>
      <c r="AT379" s="595"/>
      <c r="AU379" s="595"/>
      <c r="AV379" s="595"/>
      <c r="AW379" s="595"/>
      <c r="AX379" s="595"/>
      <c r="AY379" s="595"/>
      <c r="AZ379" s="595"/>
      <c r="BA379" s="595"/>
      <c r="BB379" s="595"/>
      <c r="BC379" s="595"/>
      <c r="BD379" s="595"/>
      <c r="BE379" s="595"/>
      <c r="BF379" s="595"/>
      <c r="BG379" s="595"/>
      <c r="BH379" s="595"/>
      <c r="BI379" s="651"/>
      <c r="BJ379" s="651"/>
      <c r="BK379" s="651"/>
      <c r="BL379" s="651"/>
      <c r="BM379" s="651"/>
      <c r="BN379" s="651"/>
      <c r="BO379" s="651"/>
      <c r="BP379" s="651"/>
      <c r="BQ379" s="651"/>
      <c r="BR379" s="651"/>
      <c r="BS379" s="651"/>
      <c r="BT379" s="651"/>
    </row>
    <row r="380">
      <c r="A380" s="631"/>
      <c r="B380" s="765" t="s">
        <v>433</v>
      </c>
      <c r="C380" s="701" t="s">
        <v>434</v>
      </c>
      <c r="D380" s="686" t="s">
        <v>360</v>
      </c>
      <c r="E380" s="687"/>
      <c r="F380" s="699"/>
      <c r="G380" s="700"/>
      <c r="H380" s="700"/>
      <c r="I380" s="701"/>
      <c r="J380" s="126" t="s">
        <v>87</v>
      </c>
      <c r="K380" s="126" t="str">
        <f>IFERROR(
  IF(B380="", "", VLOOKUP(B380, Data!$B$2:$K$905, 7, FALSE)),
  ""
)</f>
        <v/>
      </c>
      <c r="L380" s="704"/>
      <c r="M380" s="150">
        <f>M379*2</f>
        <v>616</v>
      </c>
      <c r="N380" s="151">
        <f t="shared" si="296"/>
        <v>1</v>
      </c>
      <c r="O380" s="169">
        <v>1.0</v>
      </c>
      <c r="P380" s="134">
        <v>1.0</v>
      </c>
      <c r="Q380" s="135">
        <f t="shared" si="292"/>
        <v>616</v>
      </c>
      <c r="R380" s="681" t="str">
        <f>IFERROR(
  IF(B380="", "", VLOOKUP(B380, Data!$B$2:$K$905, 9, FALSE)),
  ""
)</f>
        <v/>
      </c>
      <c r="S380" s="152">
        <f t="shared" si="293"/>
        <v>0</v>
      </c>
      <c r="T380" s="690"/>
      <c r="U380" s="136" t="str">
        <f>IFERROR(
  IF(B380="", "", VLOOKUP(B380, Data!$B$2:$K$905, 10, FALSE)),
  ""
)
</f>
        <v/>
      </c>
      <c r="V380" s="691"/>
      <c r="W380" s="140">
        <f t="shared" si="294"/>
        <v>0</v>
      </c>
      <c r="X380" s="692"/>
      <c r="Y380" s="693"/>
      <c r="Z380" s="694"/>
      <c r="AA380" s="695"/>
      <c r="AB380" s="354">
        <f t="shared" si="295"/>
        <v>0</v>
      </c>
      <c r="AC380" s="181"/>
      <c r="AD380" s="625"/>
      <c r="AE380" s="626"/>
      <c r="AF380" s="696"/>
      <c r="AG380" s="697"/>
      <c r="AH380" s="629"/>
      <c r="AI380" s="187"/>
      <c r="AJ380" s="630"/>
      <c r="AK380" s="630"/>
      <c r="AL380" s="595"/>
      <c r="AM380" s="595"/>
      <c r="AN380" s="595"/>
      <c r="AO380" s="595"/>
      <c r="AP380" s="595"/>
      <c r="AQ380" s="595"/>
      <c r="AR380" s="595"/>
      <c r="AS380" s="595"/>
      <c r="AT380" s="595"/>
      <c r="AU380" s="595"/>
      <c r="AV380" s="595"/>
      <c r="AW380" s="595"/>
      <c r="AX380" s="595"/>
      <c r="AY380" s="595"/>
      <c r="AZ380" s="595"/>
      <c r="BA380" s="595"/>
      <c r="BB380" s="595"/>
      <c r="BC380" s="595"/>
      <c r="BD380" s="595"/>
      <c r="BE380" s="595"/>
      <c r="BF380" s="595"/>
      <c r="BG380" s="595"/>
      <c r="BH380" s="595"/>
      <c r="BI380" s="651"/>
      <c r="BJ380" s="651"/>
      <c r="BK380" s="651"/>
      <c r="BL380" s="651"/>
      <c r="BM380" s="651"/>
      <c r="BN380" s="651"/>
      <c r="BO380" s="651"/>
      <c r="BP380" s="651"/>
      <c r="BQ380" s="651"/>
      <c r="BR380" s="651"/>
      <c r="BS380" s="651"/>
      <c r="BT380" s="651"/>
    </row>
    <row r="381">
      <c r="A381" s="631"/>
      <c r="B381" s="765"/>
      <c r="C381" s="701"/>
      <c r="D381" s="702"/>
      <c r="E381" s="687"/>
      <c r="F381" s="699"/>
      <c r="G381" s="700"/>
      <c r="H381" s="700"/>
      <c r="I381" s="701"/>
      <c r="J381" s="701"/>
      <c r="K381" s="701"/>
      <c r="L381" s="704"/>
      <c r="M381" s="704"/>
      <c r="N381" s="711"/>
      <c r="O381" s="712"/>
      <c r="P381" s="700"/>
      <c r="Q381" s="704"/>
      <c r="R381" s="681" t="str">
        <f>IFERROR(
  IF(B381="", "", VLOOKUP(B381, Data!$B$2:$K$905, 9, FALSE)),
  ""
)</f>
        <v/>
      </c>
      <c r="S381" s="691"/>
      <c r="T381" s="690"/>
      <c r="U381" s="136" t="str">
        <f>IFERROR(
  IF(B381="", "", VLOOKUP(B381, Data!$B$2:$K$905, 10, FALSE)),
  ""
)
</f>
        <v/>
      </c>
      <c r="V381" s="691"/>
      <c r="W381" s="713"/>
      <c r="X381" s="692"/>
      <c r="Y381" s="693"/>
      <c r="Z381" s="694"/>
      <c r="AA381" s="695"/>
      <c r="AB381" s="354">
        <f t="shared" si="295"/>
        <v>0</v>
      </c>
      <c r="AC381" s="181"/>
      <c r="AD381" s="705"/>
      <c r="AE381" s="706"/>
      <c r="AF381" s="707"/>
      <c r="AG381" s="708"/>
      <c r="AH381" s="709"/>
      <c r="AI381" s="187"/>
      <c r="AJ381" s="710"/>
      <c r="AK381" s="710"/>
      <c r="AL381" s="595"/>
      <c r="AM381" s="595"/>
      <c r="AN381" s="595"/>
      <c r="AO381" s="595"/>
      <c r="AP381" s="595"/>
      <c r="AQ381" s="595"/>
      <c r="AR381" s="595"/>
      <c r="AS381" s="595"/>
      <c r="AT381" s="595"/>
      <c r="AU381" s="595"/>
      <c r="AV381" s="595"/>
      <c r="AW381" s="595"/>
      <c r="AX381" s="595"/>
      <c r="AY381" s="595"/>
      <c r="AZ381" s="595"/>
      <c r="BA381" s="595"/>
      <c r="BB381" s="595"/>
      <c r="BC381" s="595"/>
      <c r="BD381" s="595"/>
      <c r="BE381" s="595"/>
      <c r="BF381" s="595"/>
      <c r="BG381" s="595"/>
      <c r="BH381" s="595"/>
      <c r="BI381" s="651"/>
      <c r="BJ381" s="651"/>
      <c r="BK381" s="651"/>
      <c r="BL381" s="651"/>
      <c r="BM381" s="651"/>
      <c r="BN381" s="651"/>
      <c r="BO381" s="651"/>
      <c r="BP381" s="651"/>
      <c r="BQ381" s="651"/>
      <c r="BR381" s="651"/>
      <c r="BS381" s="651"/>
      <c r="BT381" s="651"/>
    </row>
    <row r="382">
      <c r="A382" s="631">
        <v>1.0</v>
      </c>
      <c r="B382" s="764" t="s">
        <v>425</v>
      </c>
      <c r="C382" s="89" t="s">
        <v>78</v>
      </c>
      <c r="D382" s="656"/>
      <c r="E382" s="654"/>
      <c r="F382" s="655"/>
      <c r="G382" s="656"/>
      <c r="H382" s="656"/>
      <c r="I382" s="656"/>
      <c r="J382" s="656"/>
      <c r="K382" s="656" t="s">
        <v>42</v>
      </c>
      <c r="L382" s="658"/>
      <c r="M382" s="658"/>
      <c r="N382" s="659"/>
      <c r="O382" s="658"/>
      <c r="P382" s="656"/>
      <c r="Q382" s="658"/>
      <c r="R382" s="681" t="str">
        <f>IFERROR(
  IF(B382="", "", VLOOKUP(B382, Data!$B$2:$K$905, 9, FALSE)),
  ""
)</f>
        <v/>
      </c>
      <c r="S382" s="662"/>
      <c r="T382" s="661"/>
      <c r="U382" s="681" t="str">
        <f>IFERROR(
  IF(B382="", "", VLOOKUP(B382, Data!$B$2:$K$905, 10, FALSE)),
  ""
)
</f>
        <v/>
      </c>
      <c r="V382" s="662"/>
      <c r="W382" s="663"/>
      <c r="X382" s="664"/>
      <c r="Y382" s="595"/>
      <c r="Z382" s="595"/>
      <c r="AA382" s="595"/>
      <c r="AB382" s="595"/>
      <c r="AC382" s="181"/>
      <c r="AD382" s="668"/>
      <c r="AE382" s="669"/>
      <c r="AF382" s="670"/>
      <c r="AG382" s="715"/>
      <c r="AH382" s="672"/>
      <c r="AI382" s="187"/>
      <c r="AJ382" s="673"/>
      <c r="AK382" s="673"/>
      <c r="AL382" s="595"/>
      <c r="AM382" s="595"/>
      <c r="AN382" s="595"/>
      <c r="AO382" s="595"/>
      <c r="AP382" s="595"/>
      <c r="AQ382" s="595"/>
      <c r="AR382" s="595"/>
      <c r="AS382" s="595"/>
      <c r="AT382" s="595"/>
      <c r="AU382" s="595"/>
      <c r="AV382" s="595"/>
      <c r="AW382" s="595"/>
      <c r="AX382" s="595"/>
      <c r="AY382" s="595"/>
      <c r="AZ382" s="595"/>
      <c r="BA382" s="595"/>
      <c r="BB382" s="595"/>
      <c r="BC382" s="595"/>
      <c r="BD382" s="595"/>
      <c r="BE382" s="595"/>
      <c r="BF382" s="595"/>
      <c r="BG382" s="595"/>
      <c r="BH382" s="595"/>
      <c r="BI382" s="651"/>
      <c r="BJ382" s="651"/>
      <c r="BK382" s="651"/>
      <c r="BL382" s="651"/>
      <c r="BM382" s="651"/>
      <c r="BN382" s="651"/>
      <c r="BO382" s="651"/>
      <c r="BP382" s="651"/>
      <c r="BQ382" s="651"/>
      <c r="BR382" s="651"/>
      <c r="BS382" s="651"/>
      <c r="BT382" s="651"/>
    </row>
    <row r="383">
      <c r="A383" s="631">
        <v>1.0</v>
      </c>
      <c r="B383" s="727"/>
      <c r="C383" s="157" t="s">
        <v>79</v>
      </c>
      <c r="D383" s="678"/>
      <c r="E383" s="676"/>
      <c r="F383" s="677"/>
      <c r="G383" s="678"/>
      <c r="H383" s="678"/>
      <c r="I383" s="678"/>
      <c r="J383" s="678"/>
      <c r="K383" s="678" t="s">
        <v>42</v>
      </c>
      <c r="L383" s="106" t="str">
        <f>Q383</f>
        <v>#REF!</v>
      </c>
      <c r="M383" s="679"/>
      <c r="N383" s="680"/>
      <c r="O383" s="679"/>
      <c r="P383" s="678"/>
      <c r="Q383" s="106" t="str">
        <f>Q384</f>
        <v>#REF!</v>
      </c>
      <c r="R383" s="681" t="str">
        <f>IFERROR(
  IF(B383="", "", VLOOKUP(B383, Data!$B$2:$K$905, 9, FALSE)),
  ""
)</f>
        <v/>
      </c>
      <c r="S383" s="682">
        <f>IFERROR(T383/Q383, 0)</f>
        <v>0</v>
      </c>
      <c r="T383" s="109" t="str">
        <f>SUM(S384:S386)</f>
        <v>#REF!</v>
      </c>
      <c r="U383" s="681" t="str">
        <f>IFERROR(
  IF(B383="", "", VLOOKUP(B383, Data!$B$2:$K$905, 10, FALSE)),
  ""
)
</f>
        <v/>
      </c>
      <c r="V383" s="109" t="str">
        <f>iferror(W383/Q383,"")</f>
        <v/>
      </c>
      <c r="W383" s="110" t="str">
        <f>SUM(W384:W386)</f>
        <v>#REF!</v>
      </c>
      <c r="X383" s="111" t="str">
        <f>W383/$AC$758/$W$765/$X$755</f>
        <v>#REF!</v>
      </c>
      <c r="Y383" s="112" t="str">
        <f>(T383+W383)=(SUM(AB384:AB386))</f>
        <v>#REF!</v>
      </c>
      <c r="Z383" s="113" t="str">
        <f>(T383+W383)-(SUM(AB384:AB386))</f>
        <v>#REF!</v>
      </c>
      <c r="AA383" s="595"/>
      <c r="AB383" s="595"/>
      <c r="AC383" s="181"/>
      <c r="AD383" s="114" t="str">
        <f>W383+T383</f>
        <v>#REF!</v>
      </c>
      <c r="AE383" s="115" t="str">
        <f>AD383</f>
        <v>#REF!</v>
      </c>
      <c r="AF383" s="116" t="str">
        <f>AE383/$AE$733</f>
        <v>#REF!</v>
      </c>
      <c r="AG383" s="683" t="str">
        <f>AF383*$AG$740</f>
        <v>#REF!</v>
      </c>
      <c r="AH383" s="118" t="str">
        <f>AF383*$AG$743</f>
        <v>#REF!</v>
      </c>
      <c r="AI383" s="187"/>
      <c r="AJ383" s="119" t="str">
        <f>ROUND(AK383/L383,2)</f>
        <v>#REF!</v>
      </c>
      <c r="AK383" s="119" t="str">
        <f>ROUND(AH383+AG383+AD383,2)</f>
        <v>#REF!</v>
      </c>
      <c r="AL383" s="595"/>
      <c r="AM383" s="595"/>
      <c r="AN383" s="595"/>
      <c r="AO383" s="595"/>
      <c r="AP383" s="595"/>
      <c r="AQ383" s="595"/>
      <c r="AR383" s="595"/>
      <c r="AS383" s="595"/>
      <c r="AT383" s="595"/>
      <c r="AU383" s="595"/>
      <c r="AV383" s="595"/>
      <c r="AW383" s="595"/>
      <c r="AX383" s="595"/>
      <c r="AY383" s="595"/>
      <c r="AZ383" s="595"/>
      <c r="BA383" s="595"/>
      <c r="BB383" s="595"/>
      <c r="BC383" s="595"/>
      <c r="BD383" s="595"/>
      <c r="BE383" s="595"/>
      <c r="BF383" s="595"/>
      <c r="BG383" s="595"/>
      <c r="BH383" s="595"/>
      <c r="BI383" s="651"/>
      <c r="BJ383" s="651"/>
      <c r="BK383" s="651"/>
      <c r="BL383" s="651"/>
      <c r="BM383" s="651"/>
      <c r="BN383" s="651"/>
      <c r="BO383" s="651"/>
      <c r="BP383" s="651"/>
      <c r="BQ383" s="651"/>
      <c r="BR383" s="651"/>
      <c r="BS383" s="651"/>
      <c r="BT383" s="651"/>
    </row>
    <row r="384">
      <c r="A384" s="716" t="s">
        <v>435</v>
      </c>
      <c r="B384" s="154" t="s">
        <v>441</v>
      </c>
      <c r="C384" s="158" t="s">
        <v>442</v>
      </c>
      <c r="D384" s="124" t="s">
        <v>82</v>
      </c>
      <c r="E384" s="687" t="str">
        <f>IFERROR(__xludf.DUMMYFUNCTION("IF($B$15:$B927="""","""",
  VLOOKUP(
    $B$15:$B927,
    QUERY(
      IMPORTRANGE(""1Ag27m9YF5mMfJh2E6NipJDFvPLlDI1p-s_1XEnzMHcc"",""Merge!F2:R""),
      ""select Col1, Col11"",
      0
    ),
    2,
    FALSE
  )
)
"),"#REF!")</f>
        <v>#REF!</v>
      </c>
      <c r="F384" s="721"/>
      <c r="G384" s="689" t="s">
        <v>517</v>
      </c>
      <c r="H384" s="700" t="str">
        <f>IFERROR(__xludf.DUMMYFUNCTION("IFERROR(REGEXEXTRACT(C384, ""(\d*\.\d+)mm""), """")"),"")</f>
        <v/>
      </c>
      <c r="I384" s="700"/>
      <c r="J384" s="126" t="s">
        <v>14</v>
      </c>
      <c r="K384" s="126" t="str">
        <f>IFERROR(
  IF(B384="", "", VLOOKUP(B384, Data!$B$2:$K$905, 7, FALSE)),
  ""
)</f>
        <v/>
      </c>
      <c r="L384" s="135" t="str">
        <f>Q377</f>
        <v>#REF!</v>
      </c>
      <c r="M384" s="150" t="str">
        <f>((L384)/(E384-0.15))*0.15+(L384)</f>
        <v>#REF!</v>
      </c>
      <c r="N384" s="151">
        <f>IFERROR(__xludf.DUMMYFUNCTION("IF(B384="""", """", IFERROR(1 / COS(RADIANS(REGEXEXTRACT(F384,""(\d+)""))), 1))"),1.0)</f>
        <v>1</v>
      </c>
      <c r="O384" s="169">
        <v>1.0</v>
      </c>
      <c r="P384" s="134">
        <v>1.0</v>
      </c>
      <c r="Q384" s="135" t="str">
        <f t="shared" ref="Q384:Q385" si="297">M384*N384*O384*P384</f>
        <v>#REF!</v>
      </c>
      <c r="R384" s="136" t="str">
        <f>IFERROR(
  IF(B384="", "", VLOOKUP(B384, Data!$B$2:$K$905, 9, FALSE)),
  ""
)</f>
        <v/>
      </c>
      <c r="S384" s="152" t="str">
        <f t="shared" ref="S384:S385" si="298">R384*Q384</f>
        <v>#REF!</v>
      </c>
      <c r="T384" s="690"/>
      <c r="U384" s="136" t="str">
        <f>IFERROR(
  IF(B384="", "", VLOOKUP(B384, Data!$B$2:$K$905, 10, FALSE)),
  ""
)
</f>
        <v/>
      </c>
      <c r="V384" s="691"/>
      <c r="W384" s="140" t="str">
        <f t="shared" ref="W384:W385" si="299">U384*Q384</f>
        <v>#REF!</v>
      </c>
      <c r="X384" s="692"/>
      <c r="Y384" s="595"/>
      <c r="Z384" s="595"/>
      <c r="AA384" s="595"/>
      <c r="AB384" s="354" t="str">
        <f t="shared" ref="AB384:AB385" si="300">W384+S384</f>
        <v>#REF!</v>
      </c>
      <c r="AC384" s="181"/>
      <c r="AD384" s="625"/>
      <c r="AE384" s="626"/>
      <c r="AF384" s="696"/>
      <c r="AG384" s="697"/>
      <c r="AH384" s="629"/>
      <c r="AI384" s="187"/>
      <c r="AJ384" s="630"/>
      <c r="AK384" s="630"/>
      <c r="AL384" s="595"/>
      <c r="AM384" s="595"/>
      <c r="AN384" s="595"/>
      <c r="AO384" s="595"/>
      <c r="AP384" s="595"/>
      <c r="AQ384" s="595"/>
      <c r="AR384" s="595"/>
      <c r="AS384" s="595"/>
      <c r="AT384" s="595"/>
      <c r="AU384" s="595"/>
      <c r="AV384" s="595"/>
      <c r="AW384" s="595"/>
      <c r="AX384" s="595"/>
      <c r="AY384" s="595"/>
      <c r="AZ384" s="595"/>
      <c r="BA384" s="595"/>
      <c r="BB384" s="595"/>
      <c r="BC384" s="595"/>
      <c r="BD384" s="595"/>
      <c r="BE384" s="595"/>
      <c r="BF384" s="595"/>
      <c r="BG384" s="595"/>
      <c r="BH384" s="595"/>
      <c r="BI384" s="651"/>
      <c r="BJ384" s="651"/>
      <c r="BK384" s="651"/>
      <c r="BL384" s="651"/>
      <c r="BM384" s="651"/>
      <c r="BN384" s="651"/>
      <c r="BO384" s="651"/>
      <c r="BP384" s="651"/>
      <c r="BQ384" s="651"/>
      <c r="BR384" s="651"/>
      <c r="BS384" s="651"/>
      <c r="BT384" s="651"/>
    </row>
    <row r="385">
      <c r="A385" s="716" t="s">
        <v>435</v>
      </c>
      <c r="B385" s="768" t="s">
        <v>84</v>
      </c>
      <c r="C385" s="225" t="s">
        <v>85</v>
      </c>
      <c r="D385" s="124" t="s">
        <v>86</v>
      </c>
      <c r="E385" s="720" t="str">
        <f>E384</f>
        <v>#REF!</v>
      </c>
      <c r="F385" s="721"/>
      <c r="G385" s="700"/>
      <c r="H385" s="128" t="str">
        <f>IFERROR(__xludf.DUMMYFUNCTION("IF($B$15:$B927="""","""",
  VLOOKUP(
    $B$15:$B927,
    QUERY(
      IMPORTRANGE(""1Ag27m9YF5mMfJh2E6NipJDFvPLlDI1p-s_1XEnzMHcc"",""Merge!F2:R""),
      ""select Col1, Col11"",
      0
    ),
    2,
    FALSE
  )
)
"),"#REF!")</f>
        <v>#REF!</v>
      </c>
      <c r="I385" s="700"/>
      <c r="J385" s="126" t="s">
        <v>87</v>
      </c>
      <c r="K385" s="126" t="str">
        <f>IFERROR(
  IF(B385="", "", VLOOKUP(B385, Data!$B$2:$K$905, 7, FALSE)),
  ""
)</f>
        <v/>
      </c>
      <c r="L385" s="712"/>
      <c r="M385" s="169" t="str">
        <f>M384/E385/H385</f>
        <v>#REF!</v>
      </c>
      <c r="N385" s="151">
        <f>N384</f>
        <v>1</v>
      </c>
      <c r="O385" s="169">
        <v>1.0</v>
      </c>
      <c r="P385" s="134">
        <v>1.0</v>
      </c>
      <c r="Q385" s="135" t="str">
        <f t="shared" si="297"/>
        <v>#REF!</v>
      </c>
      <c r="R385" s="136" t="str">
        <f>IFERROR(
  IF(B385="", "", VLOOKUP(B385, Data!$B$2:$K$905, 9, FALSE)),
  ""
)</f>
        <v/>
      </c>
      <c r="S385" s="152" t="str">
        <f t="shared" si="298"/>
        <v>#REF!</v>
      </c>
      <c r="T385" s="690"/>
      <c r="U385" s="681" t="str">
        <f>IFERROR(
  IF(B385="", "", VLOOKUP(B385, Data!$B$2:$K$905, 10, FALSE)),
  ""
)
</f>
        <v/>
      </c>
      <c r="V385" s="691"/>
      <c r="W385" s="140" t="str">
        <f t="shared" si="299"/>
        <v>#REF!</v>
      </c>
      <c r="X385" s="692"/>
      <c r="Y385" s="693"/>
      <c r="Z385" s="694"/>
      <c r="AA385" s="595"/>
      <c r="AB385" s="354" t="str">
        <f t="shared" si="300"/>
        <v>#REF!</v>
      </c>
      <c r="AC385" s="181"/>
      <c r="AD385" s="625"/>
      <c r="AE385" s="626"/>
      <c r="AF385" s="696"/>
      <c r="AG385" s="697"/>
      <c r="AH385" s="629"/>
      <c r="AI385" s="187"/>
      <c r="AJ385" s="630"/>
      <c r="AK385" s="630"/>
      <c r="AL385" s="595"/>
      <c r="AM385" s="595"/>
      <c r="AN385" s="595"/>
      <c r="AO385" s="595"/>
      <c r="AP385" s="595"/>
      <c r="AQ385" s="595"/>
      <c r="AR385" s="595"/>
      <c r="AS385" s="595"/>
      <c r="AT385" s="595"/>
      <c r="AU385" s="595"/>
      <c r="AV385" s="595"/>
      <c r="AW385" s="595"/>
      <c r="AX385" s="595"/>
      <c r="AY385" s="595"/>
      <c r="AZ385" s="595"/>
      <c r="BA385" s="595"/>
      <c r="BB385" s="595"/>
      <c r="BC385" s="595"/>
      <c r="BD385" s="595"/>
      <c r="BE385" s="595"/>
      <c r="BF385" s="595"/>
      <c r="BG385" s="595"/>
      <c r="BH385" s="595"/>
      <c r="BI385" s="651"/>
      <c r="BJ385" s="651"/>
      <c r="BK385" s="651"/>
      <c r="BL385" s="651"/>
      <c r="BM385" s="651"/>
      <c r="BN385" s="651"/>
      <c r="BO385" s="651"/>
      <c r="BP385" s="651"/>
      <c r="BQ385" s="651"/>
      <c r="BR385" s="651"/>
      <c r="BS385" s="651"/>
      <c r="BT385" s="651"/>
    </row>
    <row r="386">
      <c r="A386" s="631"/>
      <c r="B386" s="154"/>
      <c r="C386" s="701"/>
      <c r="D386" s="701"/>
      <c r="E386" s="722"/>
      <c r="F386" s="699"/>
      <c r="G386" s="700"/>
      <c r="H386" s="700"/>
      <c r="I386" s="700"/>
      <c r="J386" s="701"/>
      <c r="K386" s="701" t="str">
        <f>IFERROR(
  IF(B386="", "", VLOOKUP(B386, Data!$B$2:$K$905, 7, FALSE)),
  ""
)</f>
        <v/>
      </c>
      <c r="L386" s="704"/>
      <c r="M386" s="704"/>
      <c r="N386" s="711" t="str">
        <f>IFERROR(__xludf.DUMMYFUNCTION("IF(B386="""", """", IFERROR(1 / COS(RADIANS(REGEXEXTRACT(F386,""(\d+)""))), 1))"),"")</f>
        <v/>
      </c>
      <c r="O386" s="712"/>
      <c r="P386" s="700"/>
      <c r="Q386" s="704"/>
      <c r="R386" s="681" t="str">
        <f>IFERROR(
  IF(B386="", "", VLOOKUP(B386, Data!$B$2:$K$905, 9, FALSE)),
  ""
)</f>
        <v/>
      </c>
      <c r="S386" s="691"/>
      <c r="T386" s="690"/>
      <c r="U386" s="681" t="str">
        <f>IFERROR(
  IF(B386="", "", VLOOKUP(B386, Data!$B$2:$K$905, 10, FALSE)),
  ""
)
</f>
        <v/>
      </c>
      <c r="V386" s="691"/>
      <c r="W386" s="713"/>
      <c r="X386" s="692"/>
      <c r="Y386" s="595"/>
      <c r="Z386" s="595"/>
      <c r="AA386" s="595"/>
      <c r="AB386" s="595"/>
      <c r="AC386" s="181"/>
      <c r="AD386" s="625"/>
      <c r="AE386" s="626"/>
      <c r="AF386" s="696"/>
      <c r="AG386" s="697"/>
      <c r="AH386" s="629"/>
      <c r="AI386" s="187"/>
      <c r="AJ386" s="630"/>
      <c r="AK386" s="630"/>
      <c r="AL386" s="595"/>
      <c r="AM386" s="595"/>
      <c r="AN386" s="595"/>
      <c r="AO386" s="595"/>
      <c r="AP386" s="595"/>
      <c r="AQ386" s="595"/>
      <c r="AR386" s="595"/>
      <c r="AS386" s="595"/>
      <c r="AT386" s="595"/>
      <c r="AU386" s="595"/>
      <c r="AV386" s="595"/>
      <c r="AW386" s="595"/>
      <c r="AX386" s="595"/>
      <c r="AY386" s="595"/>
      <c r="AZ386" s="595"/>
      <c r="BA386" s="595"/>
      <c r="BB386" s="595"/>
      <c r="BC386" s="595"/>
      <c r="BD386" s="595"/>
      <c r="BE386" s="595"/>
      <c r="BF386" s="595"/>
      <c r="BG386" s="595"/>
      <c r="BH386" s="595"/>
      <c r="BI386" s="651"/>
      <c r="BJ386" s="651"/>
      <c r="BK386" s="651"/>
      <c r="BL386" s="651"/>
      <c r="BM386" s="651"/>
      <c r="BN386" s="651"/>
      <c r="BO386" s="651"/>
      <c r="BP386" s="651"/>
      <c r="BQ386" s="651"/>
      <c r="BR386" s="651"/>
      <c r="BS386" s="651"/>
      <c r="BT386" s="651"/>
    </row>
    <row r="387">
      <c r="A387" s="631">
        <v>1.0</v>
      </c>
      <c r="B387" s="723"/>
      <c r="C387" s="89" t="s">
        <v>89</v>
      </c>
      <c r="D387" s="656"/>
      <c r="E387" s="658"/>
      <c r="F387" s="655"/>
      <c r="G387" s="656"/>
      <c r="H387" s="656"/>
      <c r="I387" s="656"/>
      <c r="J387" s="656"/>
      <c r="K387" s="656" t="s">
        <v>42</v>
      </c>
      <c r="L387" s="658"/>
      <c r="M387" s="658"/>
      <c r="N387" s="659"/>
      <c r="O387" s="658"/>
      <c r="P387" s="656"/>
      <c r="Q387" s="658"/>
      <c r="R387" s="681" t="str">
        <f>IFERROR(
  IF(B387="", "", VLOOKUP(B387, Data!$B$2:$K$905, 9, FALSE)),
  ""
)</f>
        <v/>
      </c>
      <c r="S387" s="662"/>
      <c r="T387" s="661"/>
      <c r="U387" s="681" t="str">
        <f>IFERROR(
  IF(B387="", "", VLOOKUP(B387, Data!$B$2:$K$905, 10, FALSE)),
  ""
)
</f>
        <v/>
      </c>
      <c r="V387" s="662"/>
      <c r="W387" s="663"/>
      <c r="X387" s="664"/>
      <c r="Y387" s="595"/>
      <c r="Z387" s="595"/>
      <c r="AA387" s="595"/>
      <c r="AB387" s="595"/>
      <c r="AC387" s="181"/>
      <c r="AD387" s="668"/>
      <c r="AE387" s="669"/>
      <c r="AF387" s="670"/>
      <c r="AG387" s="715"/>
      <c r="AH387" s="672"/>
      <c r="AI387" s="187"/>
      <c r="AJ387" s="673"/>
      <c r="AK387" s="673"/>
      <c r="AL387" s="595"/>
      <c r="AM387" s="595"/>
      <c r="AN387" s="595"/>
      <c r="AO387" s="595"/>
      <c r="AP387" s="595"/>
      <c r="AQ387" s="595"/>
      <c r="AR387" s="595"/>
      <c r="AS387" s="595"/>
      <c r="AT387" s="595"/>
      <c r="AU387" s="595"/>
      <c r="AV387" s="595"/>
      <c r="AW387" s="595"/>
      <c r="AX387" s="595"/>
      <c r="AY387" s="595"/>
      <c r="AZ387" s="595"/>
      <c r="BA387" s="595"/>
      <c r="BB387" s="595"/>
      <c r="BC387" s="595"/>
      <c r="BD387" s="595"/>
      <c r="BE387" s="595"/>
      <c r="BF387" s="595"/>
      <c r="BG387" s="595"/>
      <c r="BH387" s="595"/>
      <c r="BI387" s="651"/>
      <c r="BJ387" s="651"/>
      <c r="BK387" s="651"/>
      <c r="BL387" s="651"/>
      <c r="BM387" s="651"/>
      <c r="BN387" s="651"/>
      <c r="BO387" s="651"/>
      <c r="BP387" s="651"/>
      <c r="BQ387" s="651"/>
      <c r="BR387" s="651"/>
      <c r="BS387" s="651"/>
      <c r="BT387" s="651"/>
    </row>
    <row r="388">
      <c r="A388" s="631">
        <v>1.0</v>
      </c>
      <c r="B388" s="674"/>
      <c r="C388" s="157" t="s">
        <v>90</v>
      </c>
      <c r="D388" s="678"/>
      <c r="E388" s="679"/>
      <c r="F388" s="677"/>
      <c r="G388" s="678"/>
      <c r="H388" s="678"/>
      <c r="I388" s="678"/>
      <c r="J388" s="678"/>
      <c r="K388" s="678" t="s">
        <v>42</v>
      </c>
      <c r="L388" s="106" t="str">
        <f>Q388</f>
        <v>#REF!</v>
      </c>
      <c r="M388" s="679"/>
      <c r="N388" s="680"/>
      <c r="O388" s="679"/>
      <c r="P388" s="678"/>
      <c r="Q388" s="106" t="str">
        <f>Q389</f>
        <v>#REF!</v>
      </c>
      <c r="R388" s="681" t="str">
        <f>IFERROR(
  IF(B388="", "", VLOOKUP(B388, Data!$B$2:$K$905, 9, FALSE)),
  ""
)</f>
        <v/>
      </c>
      <c r="S388" s="724" t="str">
        <f>iferror(T388/Q388,"")</f>
        <v/>
      </c>
      <c r="T388" s="109" t="str">
        <f>SUM(S389:S390)</f>
        <v>#REF!</v>
      </c>
      <c r="U388" s="681" t="str">
        <f>IFERROR(
  IF(B388="", "", VLOOKUP(B388, Data!$B$2:$K$905, 10, FALSE)),
  ""
)
</f>
        <v/>
      </c>
      <c r="V388" s="724" t="str">
        <f>iferror(W388/Q388,"")</f>
        <v/>
      </c>
      <c r="W388" s="110" t="str">
        <f>SUM(W389:W390)</f>
        <v>#REF!</v>
      </c>
      <c r="X388" s="111" t="str">
        <f>W388/$AC$758/$W$765/$X$755</f>
        <v>#REF!</v>
      </c>
      <c r="Y388" s="112" t="str">
        <f>(T388+W388)=(SUM(AB389:AB390))</f>
        <v>#REF!</v>
      </c>
      <c r="Z388" s="113" t="str">
        <f>(T388+W388)-(SUM(AB389:AB390))</f>
        <v>#REF!</v>
      </c>
      <c r="AA388" s="595"/>
      <c r="AB388" s="595"/>
      <c r="AC388" s="181"/>
      <c r="AD388" s="114" t="str">
        <f>W388+T388</f>
        <v>#REF!</v>
      </c>
      <c r="AE388" s="115" t="str">
        <f>AD388</f>
        <v>#REF!</v>
      </c>
      <c r="AF388" s="116" t="str">
        <f>AE388/$AE$733</f>
        <v>#REF!</v>
      </c>
      <c r="AG388" s="683" t="str">
        <f>AF388*$AG$740</f>
        <v>#REF!</v>
      </c>
      <c r="AH388" s="118" t="str">
        <f>AF388*$AG$743</f>
        <v>#REF!</v>
      </c>
      <c r="AI388" s="187"/>
      <c r="AJ388" s="119" t="str">
        <f>ROUND(AK388/L388,2)</f>
        <v>#REF!</v>
      </c>
      <c r="AK388" s="119" t="str">
        <f>ROUND(AH388+AG388+AD388,2)</f>
        <v>#REF!</v>
      </c>
      <c r="AL388" s="595"/>
      <c r="AM388" s="595"/>
      <c r="AN388" s="595"/>
      <c r="AO388" s="595"/>
      <c r="AP388" s="595"/>
      <c r="AQ388" s="595"/>
      <c r="AR388" s="595"/>
      <c r="AS388" s="595"/>
      <c r="AT388" s="595"/>
      <c r="AU388" s="595"/>
      <c r="AV388" s="595"/>
      <c r="AW388" s="595"/>
      <c r="AX388" s="595"/>
      <c r="AY388" s="595"/>
      <c r="AZ388" s="595"/>
      <c r="BA388" s="595"/>
      <c r="BB388" s="595"/>
      <c r="BC388" s="595"/>
      <c r="BD388" s="595"/>
      <c r="BE388" s="595"/>
      <c r="BF388" s="595"/>
      <c r="BG388" s="595"/>
      <c r="BH388" s="595"/>
      <c r="BI388" s="651"/>
      <c r="BJ388" s="651"/>
      <c r="BK388" s="651"/>
      <c r="BL388" s="651"/>
      <c r="BM388" s="651"/>
      <c r="BN388" s="651"/>
      <c r="BO388" s="651"/>
      <c r="BP388" s="651"/>
      <c r="BQ388" s="651"/>
      <c r="BR388" s="651"/>
      <c r="BS388" s="651"/>
      <c r="BT388" s="651"/>
    </row>
    <row r="389">
      <c r="A389" s="703" t="s">
        <v>435</v>
      </c>
      <c r="B389" s="717" t="s">
        <v>91</v>
      </c>
      <c r="C389" s="158" t="s">
        <v>89</v>
      </c>
      <c r="D389" s="148" t="s">
        <v>92</v>
      </c>
      <c r="E389" s="725"/>
      <c r="F389" s="699"/>
      <c r="G389" s="689" t="s">
        <v>517</v>
      </c>
      <c r="H389" s="700" t="str">
        <f>IFERROR(__xludf.DUMMYFUNCTION("IFERROR(REGEXEXTRACT(C389, ""(\d*\.\d+)mm""), """")"),"")</f>
        <v/>
      </c>
      <c r="I389" s="700"/>
      <c r="J389" s="126" t="s">
        <v>87</v>
      </c>
      <c r="K389" s="128" t="s">
        <v>41</v>
      </c>
      <c r="L389" s="712"/>
      <c r="M389" s="169" t="str">
        <f>M384</f>
        <v>#REF!</v>
      </c>
      <c r="N389" s="151">
        <f>IFERROR(__xludf.DUMMYFUNCTION("IF(B389="""", """", IFERROR(1 / COS(RADIANS(REGEXEXTRACT(F389,""(\d+)""))), 1))"),1.0)</f>
        <v>1</v>
      </c>
      <c r="O389" s="169">
        <v>1.0</v>
      </c>
      <c r="P389" s="134">
        <v>1.0</v>
      </c>
      <c r="Q389" s="168" t="str">
        <f>M389*N389*O389*P389</f>
        <v>#REF!</v>
      </c>
      <c r="R389" s="136" t="str">
        <f>IFERROR(
  IF(B389="", "", VLOOKUP(B389, Data!$B$2:$K$905, 9, FALSE)),
  ""
)</f>
        <v/>
      </c>
      <c r="S389" s="137" t="str">
        <f>R389*Q389</f>
        <v>#REF!</v>
      </c>
      <c r="T389" s="690"/>
      <c r="U389" s="136" t="str">
        <f>IFERROR(
  IF(B389="", "", VLOOKUP(B389, Data!$B$2:$K$905, 10, FALSE)),
  ""
)
</f>
        <v/>
      </c>
      <c r="V389" s="691"/>
      <c r="W389" s="140" t="str">
        <f>U389*Q389</f>
        <v>#REF!</v>
      </c>
      <c r="X389" s="692"/>
      <c r="Y389" s="595"/>
      <c r="Z389" s="595"/>
      <c r="AA389" s="595"/>
      <c r="AB389" s="354" t="str">
        <f t="shared" ref="AB389:AB390" si="301">W389+S389</f>
        <v>#REF!</v>
      </c>
      <c r="AC389" s="181"/>
      <c r="AD389" s="625"/>
      <c r="AE389" s="626"/>
      <c r="AF389" s="696"/>
      <c r="AG389" s="697"/>
      <c r="AH389" s="629"/>
      <c r="AI389" s="187"/>
      <c r="AJ389" s="630"/>
      <c r="AK389" s="630"/>
      <c r="AL389" s="595"/>
      <c r="AM389" s="595"/>
      <c r="AN389" s="595"/>
      <c r="AO389" s="595"/>
      <c r="AP389" s="595"/>
      <c r="AQ389" s="595"/>
      <c r="AR389" s="595"/>
      <c r="AS389" s="595"/>
      <c r="AT389" s="595"/>
      <c r="AU389" s="595"/>
      <c r="AV389" s="595"/>
      <c r="AW389" s="595"/>
      <c r="AX389" s="595"/>
      <c r="AY389" s="595"/>
      <c r="AZ389" s="595"/>
      <c r="BA389" s="595"/>
      <c r="BB389" s="595"/>
      <c r="BC389" s="595"/>
      <c r="BD389" s="595"/>
      <c r="BE389" s="595"/>
      <c r="BF389" s="595"/>
      <c r="BG389" s="595"/>
      <c r="BH389" s="595"/>
      <c r="BI389" s="651"/>
      <c r="BJ389" s="651"/>
      <c r="BK389" s="651"/>
      <c r="BL389" s="651"/>
      <c r="BM389" s="651"/>
      <c r="BN389" s="651"/>
      <c r="BO389" s="651"/>
      <c r="BP389" s="651"/>
      <c r="BQ389" s="651"/>
      <c r="BR389" s="651"/>
      <c r="BS389" s="651"/>
      <c r="BT389" s="651"/>
    </row>
    <row r="390">
      <c r="A390" s="684"/>
      <c r="B390" s="717"/>
      <c r="C390" s="701"/>
      <c r="D390" s="701"/>
      <c r="E390" s="725"/>
      <c r="F390" s="699"/>
      <c r="G390" s="700"/>
      <c r="H390" s="700"/>
      <c r="I390" s="700"/>
      <c r="J390" s="701"/>
      <c r="K390" s="700" t="s">
        <v>42</v>
      </c>
      <c r="L390" s="712"/>
      <c r="M390" s="712" t="s">
        <v>42</v>
      </c>
      <c r="N390" s="711" t="str">
        <f>IFERROR(__xludf.DUMMYFUNCTION("IF(B390="""", """", IFERROR(1 / COS(RADIANS(REGEXEXTRACT(F390,""(\d+)""))), 1))"),"")</f>
        <v/>
      </c>
      <c r="O390" s="712"/>
      <c r="P390" s="700"/>
      <c r="Q390" s="704"/>
      <c r="R390" s="681" t="str">
        <f>IFERROR(
  IF(B390="", "", VLOOKUP(B390, Data!$B$2:$K$905, 9, FALSE)),
  ""
)</f>
        <v/>
      </c>
      <c r="S390" s="691"/>
      <c r="T390" s="690"/>
      <c r="U390" s="681" t="str">
        <f>IFERROR(
  IF(B390="", "", VLOOKUP(B390, Data!$B$2:$K$905, 10, FALSE)),
  ""
)
</f>
        <v/>
      </c>
      <c r="V390" s="691"/>
      <c r="W390" s="713"/>
      <c r="X390" s="692"/>
      <c r="Y390" s="693"/>
      <c r="Z390" s="694"/>
      <c r="AA390" s="595"/>
      <c r="AB390" s="354">
        <f t="shared" si="301"/>
        <v>0</v>
      </c>
      <c r="AC390" s="181"/>
      <c r="AD390" s="625"/>
      <c r="AE390" s="626"/>
      <c r="AF390" s="696"/>
      <c r="AG390" s="697"/>
      <c r="AH390" s="629"/>
      <c r="AI390" s="187"/>
      <c r="AJ390" s="630"/>
      <c r="AK390" s="630"/>
      <c r="AL390" s="595"/>
      <c r="AM390" s="595"/>
      <c r="AN390" s="595"/>
      <c r="AO390" s="595"/>
      <c r="AP390" s="595"/>
      <c r="AQ390" s="595"/>
      <c r="AR390" s="595"/>
      <c r="AS390" s="595"/>
      <c r="AT390" s="595"/>
      <c r="AU390" s="595"/>
      <c r="AV390" s="595"/>
      <c r="AW390" s="595"/>
      <c r="AX390" s="595"/>
      <c r="AY390" s="595"/>
      <c r="AZ390" s="595"/>
      <c r="BA390" s="595"/>
      <c r="BB390" s="595"/>
      <c r="BC390" s="595"/>
      <c r="BD390" s="595"/>
      <c r="BE390" s="595"/>
      <c r="BF390" s="595"/>
      <c r="BG390" s="595"/>
      <c r="BH390" s="595"/>
      <c r="BI390" s="651"/>
      <c r="BJ390" s="651"/>
      <c r="BK390" s="651"/>
      <c r="BL390" s="651"/>
      <c r="BM390" s="651"/>
      <c r="BN390" s="651"/>
      <c r="BO390" s="651"/>
      <c r="BP390" s="651"/>
      <c r="BQ390" s="651"/>
      <c r="BR390" s="651"/>
      <c r="BS390" s="651"/>
      <c r="BT390" s="651"/>
    </row>
    <row r="391">
      <c r="A391" s="631">
        <v>1.0</v>
      </c>
      <c r="B391" s="764" t="s">
        <v>425</v>
      </c>
      <c r="C391" s="89" t="s">
        <v>93</v>
      </c>
      <c r="D391" s="172"/>
      <c r="E391" s="654"/>
      <c r="F391" s="655"/>
      <c r="G391" s="656"/>
      <c r="H391" s="656"/>
      <c r="I391" s="656"/>
      <c r="J391" s="656"/>
      <c r="K391" s="656" t="s">
        <v>42</v>
      </c>
      <c r="L391" s="658"/>
      <c r="M391" s="658" t="s">
        <v>42</v>
      </c>
      <c r="N391" s="659"/>
      <c r="O391" s="658"/>
      <c r="P391" s="656"/>
      <c r="Q391" s="658"/>
      <c r="R391" s="681" t="str">
        <f>IFERROR(
  IF(B391="", "", VLOOKUP(B391, Data!$B$2:$K$905, 9, FALSE)),
  ""
)</f>
        <v/>
      </c>
      <c r="S391" s="662"/>
      <c r="T391" s="661"/>
      <c r="U391" s="681" t="str">
        <f>IFERROR(
  IF(B391="", "", VLOOKUP(B391, Data!$B$2:$K$905, 10, FALSE)),
  ""
)
</f>
        <v/>
      </c>
      <c r="V391" s="662"/>
      <c r="W391" s="663"/>
      <c r="X391" s="692"/>
      <c r="Y391" s="595"/>
      <c r="Z391" s="595"/>
      <c r="AA391" s="595"/>
      <c r="AB391" s="595"/>
      <c r="AC391" s="181"/>
      <c r="AD391" s="625"/>
      <c r="AE391" s="626"/>
      <c r="AF391" s="696"/>
      <c r="AG391" s="697"/>
      <c r="AH391" s="629"/>
      <c r="AI391" s="187"/>
      <c r="AJ391" s="630"/>
      <c r="AK391" s="630"/>
      <c r="AL391" s="595"/>
      <c r="AM391" s="595"/>
      <c r="AN391" s="595"/>
      <c r="AO391" s="595"/>
      <c r="AP391" s="595"/>
      <c r="AQ391" s="595"/>
      <c r="AR391" s="595"/>
      <c r="AS391" s="595"/>
      <c r="AT391" s="595"/>
      <c r="AU391" s="595"/>
      <c r="AV391" s="595"/>
      <c r="AW391" s="595"/>
      <c r="AX391" s="595"/>
      <c r="AY391" s="595"/>
      <c r="AZ391" s="595"/>
      <c r="BA391" s="595"/>
      <c r="BB391" s="595"/>
      <c r="BC391" s="595"/>
      <c r="BD391" s="595"/>
      <c r="BE391" s="595"/>
      <c r="BF391" s="595"/>
      <c r="BG391" s="595"/>
      <c r="BH391" s="595"/>
      <c r="BI391" s="651"/>
      <c r="BJ391" s="651"/>
      <c r="BK391" s="651"/>
      <c r="BL391" s="651"/>
      <c r="BM391" s="651"/>
      <c r="BN391" s="651"/>
      <c r="BO391" s="651"/>
      <c r="BP391" s="651"/>
      <c r="BQ391" s="651"/>
      <c r="BR391" s="651"/>
      <c r="BS391" s="651"/>
      <c r="BT391" s="651"/>
    </row>
    <row r="392">
      <c r="A392" s="631">
        <v>1.0</v>
      </c>
      <c r="B392" s="727"/>
      <c r="C392" s="157" t="s">
        <v>452</v>
      </c>
      <c r="D392" s="678"/>
      <c r="E392" s="676"/>
      <c r="F392" s="677"/>
      <c r="G392" s="678"/>
      <c r="H392" s="678"/>
      <c r="I392" s="678"/>
      <c r="J392" s="678"/>
      <c r="K392" s="678" t="s">
        <v>42</v>
      </c>
      <c r="L392" s="106">
        <f>Q392</f>
        <v>19.22634904</v>
      </c>
      <c r="M392" s="679" t="s">
        <v>42</v>
      </c>
      <c r="N392" s="680"/>
      <c r="O392" s="679"/>
      <c r="P392" s="678"/>
      <c r="Q392" s="106">
        <f>Q393</f>
        <v>19.22634904</v>
      </c>
      <c r="R392" s="681" t="str">
        <f>IFERROR(
  IF(B392="", "", VLOOKUP(B392, Data!$B$2:$K$905, 9, FALSE)),
  ""
)</f>
        <v/>
      </c>
      <c r="S392" s="682">
        <f>IFERROR(T392/Q392, 0)</f>
        <v>0</v>
      </c>
      <c r="T392" s="109">
        <f>SUM(S393:S401)</f>
        <v>0</v>
      </c>
      <c r="U392" s="681" t="str">
        <f>IFERROR(
  IF(B392="", "", VLOOKUP(B392, Data!$B$2:$K$905, 10, FALSE)),
  ""
)
</f>
        <v/>
      </c>
      <c r="V392" s="109">
        <f>W392/Q392</f>
        <v>0</v>
      </c>
      <c r="W392" s="110">
        <f>SUM(W393:W401)</f>
        <v>0</v>
      </c>
      <c r="X392" s="111" t="str">
        <f>W392/$AC$758/$W$765/$X$755</f>
        <v>#REF!</v>
      </c>
      <c r="Y392" s="112" t="b">
        <f>(T392+W392)=(SUM(AB393:AB401))</f>
        <v>1</v>
      </c>
      <c r="Z392" s="113">
        <f>(T392+W392)-(SUM(AB393:AB401))</f>
        <v>0</v>
      </c>
      <c r="AA392" s="595"/>
      <c r="AB392" s="595"/>
      <c r="AC392" s="181"/>
      <c r="AD392" s="114">
        <f>W392+T392</f>
        <v>0</v>
      </c>
      <c r="AE392" s="115">
        <f>AD392</f>
        <v>0</v>
      </c>
      <c r="AF392" s="116" t="str">
        <f>AE392/$AE$733</f>
        <v>#REF!</v>
      </c>
      <c r="AG392" s="683" t="str">
        <f>AF392*$AG$740</f>
        <v>#REF!</v>
      </c>
      <c r="AH392" s="118" t="str">
        <f>AF392*$AG$743</f>
        <v>#REF!</v>
      </c>
      <c r="AI392" s="187"/>
      <c r="AJ392" s="119" t="str">
        <f>ROUND(AK392/L392,2)</f>
        <v>#REF!</v>
      </c>
      <c r="AK392" s="119" t="str">
        <f>ROUND(AH392+AG392+AD392,2)</f>
        <v>#REF!</v>
      </c>
      <c r="AL392" s="595"/>
      <c r="AM392" s="595"/>
      <c r="AN392" s="595"/>
      <c r="AO392" s="595"/>
      <c r="AP392" s="595"/>
      <c r="AQ392" s="595"/>
      <c r="AR392" s="595"/>
      <c r="AS392" s="595"/>
      <c r="AT392" s="595"/>
      <c r="AU392" s="595"/>
      <c r="AV392" s="595"/>
      <c r="AW392" s="595"/>
      <c r="AX392" s="595"/>
      <c r="AY392" s="595"/>
      <c r="AZ392" s="595"/>
      <c r="BA392" s="595"/>
      <c r="BB392" s="595"/>
      <c r="BC392" s="595"/>
      <c r="BD392" s="595"/>
      <c r="BE392" s="595"/>
      <c r="BF392" s="595"/>
      <c r="BG392" s="595"/>
      <c r="BH392" s="595"/>
      <c r="BI392" s="651"/>
      <c r="BJ392" s="651"/>
      <c r="BK392" s="651"/>
      <c r="BL392" s="651"/>
      <c r="BM392" s="651"/>
      <c r="BN392" s="651"/>
      <c r="BO392" s="651"/>
      <c r="BP392" s="651"/>
      <c r="BQ392" s="651"/>
      <c r="BR392" s="651"/>
      <c r="BS392" s="651"/>
      <c r="BT392" s="651"/>
    </row>
    <row r="393">
      <c r="A393" s="703" t="s">
        <v>444</v>
      </c>
      <c r="B393" s="154" t="str">
        <f>IFERROR(__xludf.DUMMYFUNCTION("IFERROR(
  IF(C393="""","""",
    IF(OR(REGEXMATCH(D393,""(?i)-Flashing""), REGEXMATCH(D393,""(?i)-EavesGut""), REGEXMATCH(D393,""(?i)Valley"")),
        ""DR"" &amp;
        TEXT(
            ROUNDUP(
                VALUE(MID(C393, FIND(""("",C393)+1, FIND("&amp;"""/"",C393)-FIND(""("",C393)-1)) / 50,
            0) * 50, ""0""
        ) &amp;
        MID(C393, FIND(""/"",C393)+1, FIND("")"",C393)-FIND(""/"",C393)-1) &amp;
        TEXT(H393*100,""0"") &amp;
        I393,
    IF(AND(D393=""Roof Sheet"", REGEXMATCH(C393,""(?i)K"&amp;"S\d{4}[A-Z]{2}"")),
       REGEXEXTRACT(C393,""(?i)KS\d{4}[A-Z]{2}""),
    IF(AND(REGEXMATCH(D393,""(?i)-DP""), REGEXMATCH(C393,""(?i)Downpipe"")),
       ""dp"" &amp; REGEXEXTRACT(C393,""(\d+)"") &amp; ""mm"",
    IF(AND(REGEXMATCH(D393,""(?i)Bracket""), REGEXMA"&amp;"TCH(C393,""(?i)Bracket"")),
       ""Brkt"" &amp; REGEXEXTRACT(C393,""(\d+)"") &amp; ""mm"",
    IF(AND(REGEXMATCH(D393,""(?i)-OP""), REGEXMATCH(C393,""(?i)pops"")),
       ""op"" &amp; REGEXEXTRACT(C393,""(\d+)"") &amp; ""mm"",
    IF(OR(D393=""R-FFTop"", D393=""R-FFBot"&amp;"tom"", D393=""R-FFSide""),
        IF(REGEXMATCH(C393,""(?i)Profiled.*Top|Top.*Profiled""),""pfft"",
        IF(REGEXMATCH(C393,""(?i)Profiled.*Bottom|Bottom.*Profiled""),""pffb"",
        IF(REGEXMATCH(C393,""(?i)Square""),""sff"",""""))),
    IF(REGEXMA"&amp;"TCH(D393,""(?i)-Rivets""),""Rvt"",
    IF(REGEXMATCH(D393,""(?i)Silicone""),""300ml"",
    IF(REGEXMATCH(D393,""(?i)R-Butyl""),""300ml"",
    IF(REGEXMATCH(D393,""(?i)Fix""),""GenFix"",
    IF(AND(REGEXMATCH(C393,""(?i)Timber""), REGEXMATCH(D393,""(?i)Tim"&amp;"ber"")),""tp"",
    IF(AND(REGEXMATCH(C393,""(?i)Vent G1275""), REGEXMATCH(D393,""(?i)Comb FIller"")),""CFV1275"",
    IF(REGEXMATCH(C393,""(?i)DPC""),""dpc"",
    IF(REGEXMATCH(C393,""(?i)Concealed Clips""),""ConClips"",
    IF(REGEXMATCH(D393,""(?i)-Tak"&amp;"eoff ea""),""Takeoff ea"",
    IF(REGEXMATCH(D393,""(?i)-Takeoff LM""),""Takeoff LM"",
    IF(REGEXMATCH(D393,""(?i)-Takeoff m2""),""Takeoff m2"",
    IF(D393=""R-TU/TD"",""TU/TD"","""")))))))))))))))))
  )))"),"DR8003B55Mag")</f>
        <v>DR8003B55Mag</v>
      </c>
      <c r="C393" s="158" t="s">
        <v>502</v>
      </c>
      <c r="D393" s="124" t="s">
        <v>96</v>
      </c>
      <c r="E393" s="687">
        <f>VALUE(MID(C393, FIND("(", C393)+1, FIND("/", C393)-FIND("(", C393)-1)) / 1000</f>
        <v>0.78</v>
      </c>
      <c r="F393" s="699"/>
      <c r="G393" s="689" t="s">
        <v>517</v>
      </c>
      <c r="H393" s="128" t="str">
        <f>IFERROR(__xludf.DUMMYFUNCTION("IFERROR(REGEXEXTRACT(C393, ""(\d*\.\d+)mm""), """")"),"0.55")</f>
        <v>0.55</v>
      </c>
      <c r="I393" s="128" t="s">
        <v>97</v>
      </c>
      <c r="J393" s="126" t="s">
        <v>14</v>
      </c>
      <c r="K393" s="126" t="str">
        <f>IFERROR(
  IF(B393="", "", VLOOKUP(B393, Data!$B$2:$K$905, 7, FALSE)),
  ""
)</f>
        <v/>
      </c>
      <c r="L393" s="704"/>
      <c r="M393" s="730">
        <v>19.2</v>
      </c>
      <c r="N393" s="151">
        <f>IFERROR(__xludf.DUMMYFUNCTION("IF(
  AND(
    IFERROR(REGEXEXTRACT(C393,""@\s*(\d+(?:\.\d+)?)\s*deg""),"""")&lt;&gt;"""",
    F393&lt;&gt;""""
  ),
  ""Pls Confirm °"",
  IF(
    IFERROR(REGEXEXTRACT(C393,""@\s*(\d+(?:\.\d+)?)\s*deg""),"""")&lt;&gt;"""",
    1/COS(RADIANS(REGEXEXTRACT(C393,""@\s*(\d+(?:"&amp;"\.\d+)?)\s*deg""))),
    IF(
      F393&lt;&gt;"""",
      IF(
        ISNUMBER(SEARCH(""|"",F393)),
        1/COS(
          ATAN(
            TAN(RADIANS(VALUE(INDEX(SPLIT(F393,""|""),1)))) *
            TAN(RADIANS(VALUE(INDEX(SPLIT(F393,""|""),2))))
       "&amp;"     /
            SQRT(
              TAN(RADIANS(VALUE(INDEX(SPLIT(F393,""|""),1))))^2 +
              TAN(RADIANS(VALUE(INDEX(SPLIT(F393,""|""),2))))^2
            )
          )
        ),
        1/COS(RADIANS(VALUE(F393)))
      ),
      1
    )
  )
"&amp;")"),1.001372345997921)</f>
        <v>1.001372346</v>
      </c>
      <c r="O393" s="169">
        <v>1.0</v>
      </c>
      <c r="P393" s="134">
        <v>1.0</v>
      </c>
      <c r="Q393" s="168">
        <f t="shared" ref="Q393:Q397" si="302">M393*N393*O393*P393</f>
        <v>19.22634904</v>
      </c>
      <c r="R393" s="136" t="str">
        <f>IFERROR(
  IF(B393="", "", VLOOKUP(B393, Data!$B$2:$K$905, 9, FALSE)),
  ""
)</f>
        <v/>
      </c>
      <c r="S393" s="152">
        <f t="shared" ref="S393:S397" si="303">R393*Q393</f>
        <v>0</v>
      </c>
      <c r="T393" s="690"/>
      <c r="U393" s="136" t="str">
        <f>IFERROR(
  IF(B393="", "", VLOOKUP(B393, Data!$B$2:$K$905, 10, FALSE)),
  ""
)
</f>
        <v/>
      </c>
      <c r="V393" s="691"/>
      <c r="W393" s="140">
        <f t="shared" ref="W393:W397" si="304">U393*Q393</f>
        <v>0</v>
      </c>
      <c r="X393" s="692"/>
      <c r="Y393" s="693"/>
      <c r="Z393" s="731"/>
      <c r="AA393" s="595"/>
      <c r="AB393" s="354">
        <f t="shared" ref="AB393:AB397" si="305">W393+S393</f>
        <v>0</v>
      </c>
      <c r="AC393" s="181"/>
      <c r="AD393" s="625"/>
      <c r="AE393" s="626"/>
      <c r="AF393" s="696"/>
      <c r="AG393" s="697"/>
      <c r="AH393" s="629"/>
      <c r="AI393" s="187"/>
      <c r="AJ393" s="630"/>
      <c r="AK393" s="630"/>
      <c r="AL393" s="595"/>
      <c r="AM393" s="595"/>
      <c r="AN393" s="595"/>
      <c r="AO393" s="595"/>
      <c r="AP393" s="595"/>
      <c r="AQ393" s="595"/>
      <c r="AR393" s="595"/>
      <c r="AS393" s="595"/>
      <c r="AT393" s="595"/>
      <c r="AU393" s="595"/>
      <c r="AV393" s="595"/>
      <c r="AW393" s="595"/>
      <c r="AX393" s="595"/>
      <c r="AY393" s="595"/>
      <c r="AZ393" s="595"/>
      <c r="BA393" s="595"/>
      <c r="BB393" s="595"/>
      <c r="BC393" s="595"/>
      <c r="BD393" s="595"/>
      <c r="BE393" s="595"/>
      <c r="BF393" s="595"/>
      <c r="BG393" s="595"/>
      <c r="BH393" s="595"/>
      <c r="BI393" s="651"/>
      <c r="BJ393" s="651"/>
      <c r="BK393" s="651"/>
      <c r="BL393" s="651"/>
      <c r="BM393" s="651"/>
      <c r="BN393" s="651"/>
      <c r="BO393" s="651"/>
      <c r="BP393" s="651"/>
      <c r="BQ393" s="651"/>
      <c r="BR393" s="651"/>
      <c r="BS393" s="651"/>
      <c r="BT393" s="651"/>
    </row>
    <row r="394">
      <c r="A394" s="684"/>
      <c r="B394" s="154" t="str">
        <f>IFERROR(__xludf.DUMMYFUNCTION("IFERROR(
  IF(C394="""","""",
    IF(OR(REGEXMATCH(D394,""(?i)-Flashing""), REGEXMATCH(D394,""(?i)-EavesGut""), REGEXMATCH(D394,""(?i)Valley"")),
        ""DR"" &amp;
        TEXT(
            ROUNDUP(
                MIN(
                    VALUE(MID(C394, "&amp;"FIND(""("",C394)+1, FIND(""/"",C394)-FIND(""("",C394)-1)),
                    1200
                ) / 50, 0
            ) * 50, ""0""
        ) &amp;
        MID(C394, FIND(""/"",C394)+1, FIND("")"",C394)-FIND(""/"",C394)-1) &amp;
        TEXT(H394*100,""0"") &amp;"&amp;"
        I394,
    IF(AND(D394=""Roof Sheet"", REGEXMATCH(C394,""(?i)KS\d{4}[A-Z]{2}"")),
       REGEXEXTRACT(C394,""(?i)KS\d{4}[A-Z]{2}""),
    IF(AND(REGEXMATCH(D394,""(?i)-DP""), REGEXMATCH(C394,""(?i)Downpipe"")),
       ""dp"" &amp; REGEXEXTRACT(C394,""("&amp;"\d+)"") &amp; ""mm"",
    IF(AND(REGEXMATCH(D394,""(?i)Bracket""), REGEXMATCH(C394,""(?i)Bracket"")),
       ""Brkt"" &amp; REGEXEXTRACT(C394,""(\d+)"") &amp; ""mm"",
    IF(AND(REGEXMATCH(D394,""(?i)-OP""), REGEXMATCH(C394,""(?i)pops"")),
       ""op"" &amp; REGEXEXTRAC"&amp;"T(C394,""(\d+)"") &amp; ""mm"",
    IF(OR(D394=""R-FFTop"", D394=""R-FFBottom"", D394=""R-FFSide""),
        IF(REGEXMATCH(C394,""(?i)Profiled.*Top|Top.*Profiled""),""pfft"",
        IF(REGEXMATCH(C394,""(?i)Profiled.*Bottom|Bottom.*Profiled""),""pffb"",
    "&amp;"    IF(REGEXMATCH(C394,""(?i)Square""),""sff"",""""))),
    IF(REGEXMATCH(D394,""(?i)-Rivets""),""Rvt"",
    IF(REGEXMATCH(D394,""(?i)Silicone""),""300ml"",
    IF(REGEXMATCH(D394,""(?i)R-Butyl""),""300ml"",
    IF(REGEXMATCH(D394,""(?i)Fix""),""GenFix"","&amp;"
    IF(AND(REGEXMATCH(C394,""(?i)Timber""), REGEXMATCH(D394,""(?i)Timber"")),""tp"",
    IF(AND(REGEXMATCH(C394,""(?i)Vent G1275""), REGEXMATCH(D394,""(?i)Comb FIller"")),""CFV1275"",
    IF(REGEXMATCH(C394,""(?i)DPC""),""dpc"",
    IF(REGEXMATCH(C394,"""&amp;"(?i)Concealed Clips""),""ConClips"",
    IF(REGEXMATCH(D394,""(?i)-Takeoff ea""),""Takeoff ea"",
    IF(REGEXMATCH(D394,""(?i)-Takeoff LM""),""Takeoff LM"",
    IF(REGEXMATCH(D394,""(?i)-Takeoff m2""),""Takeoff m2"",
    IF(D394=""R-TU/TD"",""TU/TD"","""""&amp;")))))))))))))))))
  )))"),"300ml")</f>
        <v>300ml</v>
      </c>
      <c r="C394" s="225" t="s">
        <v>98</v>
      </c>
      <c r="D394" s="124" t="s">
        <v>99</v>
      </c>
      <c r="E394" s="687">
        <f>E393</f>
        <v>0.78</v>
      </c>
      <c r="F394" s="721"/>
      <c r="G394" s="700"/>
      <c r="H394" s="700" t="str">
        <f>IFERROR(__xludf.DUMMYFUNCTION("IFERROR(REGEXEXTRACT(C394, ""(\d*\.\d+)mm""), """")"),"")</f>
        <v/>
      </c>
      <c r="I394" s="700"/>
      <c r="J394" s="126" t="s">
        <v>87</v>
      </c>
      <c r="K394" s="126" t="str">
        <f>IFERROR(
  IF(B394="", "", VLOOKUP(B394, Data!$B$2:$K$905, 7, FALSE)),
  ""
)</f>
        <v/>
      </c>
      <c r="L394" s="704"/>
      <c r="M394" s="150">
        <f>(ROUNDDOWN((M393/5.7)+2,0)*E394)/8</f>
        <v>0.4875</v>
      </c>
      <c r="N394" s="151">
        <f t="shared" ref="N394:N401" si="306">if(B394="","",(if(N393="",N392,N393)))</f>
        <v>1.001372346</v>
      </c>
      <c r="O394" s="169">
        <v>1.0</v>
      </c>
      <c r="P394" s="134">
        <v>1.0</v>
      </c>
      <c r="Q394" s="168">
        <f t="shared" si="302"/>
        <v>0.4881690187</v>
      </c>
      <c r="R394" s="136" t="str">
        <f>IFERROR(
  IF(B394="", "", VLOOKUP(B394, Data!$B$2:$K$905, 9, FALSE)),
  ""
)</f>
        <v/>
      </c>
      <c r="S394" s="152">
        <f t="shared" si="303"/>
        <v>0</v>
      </c>
      <c r="T394" s="690"/>
      <c r="U394" s="681" t="str">
        <f>IFERROR(
  IF(B394="", "", VLOOKUP(B394, Data!$B$2:$K$905, 10, FALSE)),
  ""
)
</f>
        <v/>
      </c>
      <c r="V394" s="691"/>
      <c r="W394" s="140">
        <f t="shared" si="304"/>
        <v>0</v>
      </c>
      <c r="X394" s="692"/>
      <c r="Y394" s="595"/>
      <c r="Z394" s="595"/>
      <c r="AA394" s="595"/>
      <c r="AB394" s="354">
        <f t="shared" si="305"/>
        <v>0</v>
      </c>
      <c r="AC394" s="181"/>
      <c r="AD394" s="625"/>
      <c r="AE394" s="626"/>
      <c r="AF394" s="696"/>
      <c r="AG394" s="697"/>
      <c r="AH394" s="629"/>
      <c r="AI394" s="187"/>
      <c r="AJ394" s="630"/>
      <c r="AK394" s="630"/>
      <c r="AL394" s="595"/>
      <c r="AM394" s="595"/>
      <c r="AN394" s="595"/>
      <c r="AO394" s="595"/>
      <c r="AP394" s="595"/>
      <c r="AQ394" s="595"/>
      <c r="AR394" s="595"/>
      <c r="AS394" s="595"/>
      <c r="AT394" s="595"/>
      <c r="AU394" s="595"/>
      <c r="AV394" s="595"/>
      <c r="AW394" s="595"/>
      <c r="AX394" s="595"/>
      <c r="AY394" s="595"/>
      <c r="AZ394" s="595"/>
      <c r="BA394" s="595"/>
      <c r="BB394" s="595"/>
      <c r="BC394" s="595"/>
      <c r="BD394" s="595"/>
      <c r="BE394" s="595"/>
      <c r="BF394" s="595"/>
      <c r="BG394" s="595"/>
      <c r="BH394" s="595"/>
      <c r="BI394" s="651"/>
      <c r="BJ394" s="651"/>
      <c r="BK394" s="651"/>
      <c r="BL394" s="651"/>
      <c r="BM394" s="651"/>
      <c r="BN394" s="651"/>
      <c r="BO394" s="651"/>
      <c r="BP394" s="651"/>
      <c r="BQ394" s="651"/>
      <c r="BR394" s="651"/>
      <c r="BS394" s="651"/>
      <c r="BT394" s="651"/>
    </row>
    <row r="395">
      <c r="A395" s="684"/>
      <c r="B395" s="154" t="str">
        <f>IFERROR(__xludf.DUMMYFUNCTION("IFERROR(
  IF(C395="""","""",
    IF(OR(REGEXMATCH(D395,""(?i)-Flashing""), REGEXMATCH(D395,""(?i)-EavesGut""), REGEXMATCH(D395,""(?i)Valley"")),
        ""DR"" &amp;
        TEXT(
            ROUNDUP(
                MIN(
                    VALUE(MID(C395, "&amp;"FIND(""("",C395)+1, FIND(""/"",C395)-FIND(""("",C395)-1)),
                    1200
                ) / 50, 0
            ) * 50, ""0""
        ) &amp;
        MID(C395, FIND(""/"",C395)+1, FIND("")"",C395)-FIND(""/"",C395)-1) &amp;
        TEXT(H395*100,""0"") &amp;"&amp;"
        I395,
    IF(AND(D395=""Roof Sheet"", REGEXMATCH(C395,""(?i)KS\d{4}[A-Z]{2}"")),
       REGEXEXTRACT(C395,""(?i)KS\d{4}[A-Z]{2}""),
    IF(AND(REGEXMATCH(D395,""(?i)-DP""), REGEXMATCH(C395,""(?i)Downpipe"")),
       ""dp"" &amp; REGEXEXTRACT(C395,""("&amp;"\d+)"") &amp; ""mm"",
    IF(AND(REGEXMATCH(D395,""(?i)Bracket""), REGEXMATCH(C395,""(?i)Bracket"")),
       ""Brkt"" &amp; REGEXEXTRACT(C395,""(\d+)"") &amp; ""mm"",
    IF(AND(REGEXMATCH(D395,""(?i)-OP""), REGEXMATCH(C395,""(?i)pops"")),
       ""op"" &amp; REGEXEXTRAC"&amp;"T(C395,""(\d+)"") &amp; ""mm"",
    IF(OR(D395=""R-FFTop"", D395=""R-FFBottom"", D395=""R-FFSide""),
        IF(REGEXMATCH(C395,""(?i)Profiled.*Top|Top.*Profiled""),""pfft"",
        IF(REGEXMATCH(C395,""(?i)Profiled.*Bottom|Bottom.*Profiled""),""pffb"",
    "&amp;"    IF(REGEXMATCH(C395,""(?i)Square""),""sff"",""""))),
    IF(REGEXMATCH(D395,""(?i)-Rivets""),""Rvt"",
    IF(REGEXMATCH(D395,""(?i)Silicone""),""300ml"",
    IF(REGEXMATCH(D395,""(?i)R-Butyl""),""300ml"",
    IF(REGEXMATCH(D395,""(?i)Fix""),""GenFix"","&amp;"
    IF(AND(REGEXMATCH(C395,""(?i)Timber""), REGEXMATCH(D395,""(?i)Timber"")),""tp"",
    IF(AND(REGEXMATCH(C395,""(?i)Vent G1275""), REGEXMATCH(D395,""(?i)Comb FIller"")),""CFV1275"",
    IF(REGEXMATCH(C395,""(?i)DPC""),""dpc"",
    IF(REGEXMATCH(C395,"""&amp;"(?i)Concealed Clips""),""ConClips"",
    IF(REGEXMATCH(D395,""(?i)-Takeoff ea""),""Takeoff ea"",
    IF(REGEXMATCH(D395,""(?i)-Takeoff LM""),""Takeoff LM"",
    IF(REGEXMATCH(D395,""(?i)-Takeoff m2""),""Takeoff m2"",
    IF(D395=""R-TU/TD"",""TU/TD"","""""&amp;")))))))))))))))))
  )))"),"Rvt")</f>
        <v>Rvt</v>
      </c>
      <c r="C395" s="225" t="s">
        <v>100</v>
      </c>
      <c r="D395" s="124" t="s">
        <v>101</v>
      </c>
      <c r="E395" s="687">
        <f>E393</f>
        <v>0.78</v>
      </c>
      <c r="F395" s="721"/>
      <c r="G395" s="700"/>
      <c r="H395" s="700" t="str">
        <f>IFERROR(__xludf.DUMMYFUNCTION("IFERROR(REGEXEXTRACT(C395, ""(\d*\.\d+)mm""), """")"),"")</f>
        <v/>
      </c>
      <c r="I395" s="700"/>
      <c r="J395" s="126" t="s">
        <v>87</v>
      </c>
      <c r="K395" s="126" t="str">
        <f>IFERROR(
  IF(B395="", "", VLOOKUP(B395, Data!$B$2:$K$905, 7, FALSE)),
  ""
)</f>
        <v/>
      </c>
      <c r="L395" s="704"/>
      <c r="M395" s="150">
        <f>ROUNDUP(((M393/5.7)+1)*(E395/0.05),0)</f>
        <v>69</v>
      </c>
      <c r="N395" s="151">
        <f t="shared" si="306"/>
        <v>1.001372346</v>
      </c>
      <c r="O395" s="169">
        <v>1.0</v>
      </c>
      <c r="P395" s="134">
        <v>1.0</v>
      </c>
      <c r="Q395" s="168">
        <f t="shared" si="302"/>
        <v>69.09469187</v>
      </c>
      <c r="R395" s="136" t="str">
        <f>IFERROR(
  IF(B395="", "", VLOOKUP(B395, Data!$B$2:$K$905, 9, FALSE)),
  ""
)</f>
        <v/>
      </c>
      <c r="S395" s="152">
        <f t="shared" si="303"/>
        <v>0</v>
      </c>
      <c r="T395" s="690"/>
      <c r="U395" s="681" t="str">
        <f>IFERROR(
  IF(B395="", "", VLOOKUP(B395, Data!$B$2:$K$905, 10, FALSE)),
  ""
)
</f>
        <v/>
      </c>
      <c r="V395" s="691"/>
      <c r="W395" s="140">
        <f t="shared" si="304"/>
        <v>0</v>
      </c>
      <c r="X395" s="692"/>
      <c r="Y395" s="595"/>
      <c r="Z395" s="595"/>
      <c r="AA395" s="595"/>
      <c r="AB395" s="354">
        <f t="shared" si="305"/>
        <v>0</v>
      </c>
      <c r="AC395" s="181"/>
      <c r="AD395" s="625"/>
      <c r="AE395" s="626"/>
      <c r="AF395" s="696"/>
      <c r="AG395" s="697"/>
      <c r="AH395" s="629"/>
      <c r="AI395" s="187"/>
      <c r="AJ395" s="630"/>
      <c r="AK395" s="630"/>
      <c r="AL395" s="595"/>
      <c r="AM395" s="595"/>
      <c r="AN395" s="595"/>
      <c r="AO395" s="595"/>
      <c r="AP395" s="595"/>
      <c r="AQ395" s="595"/>
      <c r="AR395" s="595"/>
      <c r="AS395" s="595"/>
      <c r="AT395" s="595"/>
      <c r="AU395" s="595"/>
      <c r="AV395" s="595"/>
      <c r="AW395" s="595"/>
      <c r="AX395" s="595"/>
      <c r="AY395" s="595"/>
      <c r="AZ395" s="595"/>
      <c r="BA395" s="595"/>
      <c r="BB395" s="595"/>
      <c r="BC395" s="595"/>
      <c r="BD395" s="595"/>
      <c r="BE395" s="595"/>
      <c r="BF395" s="595"/>
      <c r="BG395" s="595"/>
      <c r="BH395" s="595"/>
      <c r="BI395" s="651"/>
      <c r="BJ395" s="651"/>
      <c r="BK395" s="651"/>
      <c r="BL395" s="651"/>
      <c r="BM395" s="651"/>
      <c r="BN395" s="651"/>
      <c r="BO395" s="651"/>
      <c r="BP395" s="651"/>
      <c r="BQ395" s="651"/>
      <c r="BR395" s="651"/>
      <c r="BS395" s="651"/>
      <c r="BT395" s="651"/>
    </row>
    <row r="396">
      <c r="A396" s="684"/>
      <c r="B396" s="154" t="str">
        <f>IFERROR(__xludf.DUMMYFUNCTION("IFERROR(
  IF(C396="""","""",
    IF(OR(REGEXMATCH(D396,""(?i)-Flashing""), REGEXMATCH(D396,""(?i)-EavesGut""), REGEXMATCH(D396,""(?i)Valley"")),
        ""DR"" &amp;
        TEXT(
            ROUNDUP(
                MIN(
                    VALUE(MID(C396, "&amp;"FIND(""("",C396)+1, FIND(""/"",C396)-FIND(""("",C396)-1)),
                    1200
                ) / 50, 0
            ) * 50, ""0""
        ) &amp;
        MID(C396, FIND(""/"",C396)+1, FIND("")"",C396)-FIND(""/"",C396)-1) &amp;
        TEXT(H396*100,""0"") &amp;"&amp;"
        I396,
    IF(AND(D396=""Roof Sheet"", REGEXMATCH(C396,""(?i)KS\d{4}[A-Z]{2}"")),
       REGEXEXTRACT(C396,""(?i)KS\d{4}[A-Z]{2}""),
    IF(AND(REGEXMATCH(D396,""(?i)-DP""), REGEXMATCH(C396,""(?i)Downpipe"")),
       ""dp"" &amp; REGEXEXTRACT(C396,""("&amp;"\d+)"") &amp; ""mm"",
    IF(AND(REGEXMATCH(D396,""(?i)Bracket""), REGEXMATCH(C396,""(?i)Bracket"")),
       ""Brkt"" &amp; REGEXEXTRACT(C396,""(\d+)"") &amp; ""mm"",
    IF(AND(REGEXMATCH(D396,""(?i)-OP""), REGEXMATCH(C396,""(?i)pops"")),
       ""op"" &amp; REGEXEXTRAC"&amp;"T(C396,""(\d+)"") &amp; ""mm"",
    IF(OR(D396=""R-FFTop"", D396=""R-FFBottom"", D396=""R-FFSide""),
        IF(REGEXMATCH(C396,""(?i)Profiled.*Top|Top.*Profiled""),""pfft"",
        IF(REGEXMATCH(C396,""(?i)Profiled.*Bottom|Bottom.*Profiled""),""pffb"",
    "&amp;"    IF(REGEXMATCH(C396,""(?i)Square""),""sff"",""""))),
    IF(REGEXMATCH(D396,""(?i)-Rivets""),""Rvt"",
    IF(REGEXMATCH(D396,""(?i)Silicone""),""300ml"",
    IF(REGEXMATCH(D396,""(?i)R-Butyl""),""300ml"",
    IF(REGEXMATCH(D396,""(?i)Fix""),""GenFix"","&amp;"
    IF(AND(REGEXMATCH(C396,""(?i)Timber""), REGEXMATCH(D396,""(?i)Timber"")),""tp"",
    IF(AND(REGEXMATCH(C396,""(?i)Vent G1275""), REGEXMATCH(D396,""(?i)Comb FIller"")),""CFV1275"",
    IF(REGEXMATCH(C396,""(?i)DPC""),""dpc"",
    IF(REGEXMATCH(C396,"""&amp;"(?i)Concealed Clips""),""ConClips"",
    IF(REGEXMATCH(D396,""(?i)-Takeoff ea""),""Takeoff ea"",
    IF(REGEXMATCH(D396,""(?i)-Takeoff LM""),""Takeoff LM"",
    IF(REGEXMATCH(D396,""(?i)-Takeoff m2""),""Takeoff m2"",
    IF(D396=""R-TU/TD"",""TU/TD"","""""&amp;")))))))))))))))))
  )))"),"GenFix")</f>
        <v>GenFix</v>
      </c>
      <c r="C396" s="158" t="s">
        <v>102</v>
      </c>
      <c r="D396" s="124" t="s">
        <v>103</v>
      </c>
      <c r="E396" s="722"/>
      <c r="F396" s="721"/>
      <c r="G396" s="701"/>
      <c r="H396" s="700"/>
      <c r="I396" s="700"/>
      <c r="J396" s="126" t="s">
        <v>87</v>
      </c>
      <c r="K396" s="126" t="str">
        <f>IFERROR(
  IF(B396="", "", VLOOKUP(B396, Data!$B$2:$K$905, 7, FALSE)),
  ""
)</f>
        <v/>
      </c>
      <c r="L396" s="712"/>
      <c r="M396" s="150">
        <f>ROUNDUP(M393/0.6,0)+1</f>
        <v>33</v>
      </c>
      <c r="N396" s="151">
        <f t="shared" si="306"/>
        <v>1.001372346</v>
      </c>
      <c r="O396" s="169">
        <v>1.0</v>
      </c>
      <c r="P396" s="134">
        <v>2.0</v>
      </c>
      <c r="Q396" s="168">
        <f t="shared" si="302"/>
        <v>66.09057484</v>
      </c>
      <c r="R396" s="136" t="str">
        <f>IFERROR(
  IF(B396="", "", VLOOKUP(B396, Data!$B$2:$K$905, 9, FALSE)),
  ""
)</f>
        <v/>
      </c>
      <c r="S396" s="152">
        <f t="shared" si="303"/>
        <v>0</v>
      </c>
      <c r="T396" s="690"/>
      <c r="U396" s="681" t="str">
        <f>IFERROR(
  IF(B396="", "", VLOOKUP(B396, Data!$B$2:$K$905, 10, FALSE)),
  ""
)
</f>
        <v/>
      </c>
      <c r="V396" s="691"/>
      <c r="W396" s="140">
        <f t="shared" si="304"/>
        <v>0</v>
      </c>
      <c r="X396" s="692"/>
      <c r="Y396" s="595"/>
      <c r="Z396" s="595"/>
      <c r="AA396" s="595"/>
      <c r="AB396" s="354">
        <f t="shared" si="305"/>
        <v>0</v>
      </c>
      <c r="AC396" s="181"/>
      <c r="AD396" s="625"/>
      <c r="AE396" s="626"/>
      <c r="AF396" s="696"/>
      <c r="AG396" s="697"/>
      <c r="AH396" s="629"/>
      <c r="AI396" s="187"/>
      <c r="AJ396" s="630"/>
      <c r="AK396" s="630"/>
      <c r="AL396" s="595"/>
      <c r="AM396" s="595"/>
      <c r="AN396" s="595"/>
      <c r="AO396" s="595"/>
      <c r="AP396" s="595"/>
      <c r="AQ396" s="595"/>
      <c r="AR396" s="595"/>
      <c r="AS396" s="595"/>
      <c r="AT396" s="595"/>
      <c r="AU396" s="595"/>
      <c r="AV396" s="595"/>
      <c r="AW396" s="595"/>
      <c r="AX396" s="595"/>
      <c r="AY396" s="595"/>
      <c r="AZ396" s="595"/>
      <c r="BA396" s="595"/>
      <c r="BB396" s="595"/>
      <c r="BC396" s="595"/>
      <c r="BD396" s="595"/>
      <c r="BE396" s="595"/>
      <c r="BF396" s="595"/>
      <c r="BG396" s="595"/>
      <c r="BH396" s="595"/>
      <c r="BI396" s="651"/>
      <c r="BJ396" s="651"/>
      <c r="BK396" s="651"/>
      <c r="BL396" s="651"/>
      <c r="BM396" s="651"/>
      <c r="BN396" s="651"/>
      <c r="BO396" s="651"/>
      <c r="BP396" s="651"/>
      <c r="BQ396" s="651"/>
      <c r="BR396" s="651"/>
      <c r="BS396" s="651"/>
      <c r="BT396" s="651"/>
    </row>
    <row r="397">
      <c r="A397" s="684"/>
      <c r="B397" s="154" t="str">
        <f>IFERROR(__xludf.DUMMYFUNCTION("IFERROR(
  IF(C397="""","""",
    IF(OR(REGEXMATCH(D397,""(?i)-Flashing""), REGEXMATCH(D397,""(?i)-EavesGut""), REGEXMATCH(D397,""(?i)Valley"")),
        ""DR"" &amp;
        TEXT(
            ROUNDUP(
                MIN(
                    VALUE(MID(C397, "&amp;"FIND(""("",C397)+1, FIND(""/"",C397)-FIND(""("",C397)-1)),
                    1200
                ) / 50, 0
            ) * 50, ""0""
        ) &amp;
        MID(C397, FIND(""/"",C397)+1, FIND("")"",C397)-FIND(""/"",C397)-1) &amp;
        TEXT(H397*100,""0"") &amp;"&amp;"
        I397,
    IF(AND(D397=""Roof Sheet"", REGEXMATCH(C397,""(?i)KS\d{4}[A-Z]{2}"")),
       REGEXEXTRACT(C397,""(?i)KS\d{4}[A-Z]{2}""),
    IF(AND(REGEXMATCH(D397,""(?i)-DP""), REGEXMATCH(C397,""(?i)Downpipe"")),
       ""dp"" &amp; REGEXEXTRACT(C397,""("&amp;"\d+)"") &amp; ""mm"",
    IF(AND(REGEXMATCH(D397,""(?i)Bracket""), REGEXMATCH(C397,""(?i)Bracket"")),
       ""Brkt"" &amp; REGEXEXTRACT(C397,""(\d+)"") &amp; ""mm"",
    IF(AND(REGEXMATCH(D397,""(?i)-OP""), REGEXMATCH(C397,""(?i)pops"")),
       ""op"" &amp; REGEXEXTRAC"&amp;"T(C397,""(\d+)"") &amp; ""mm"",
    IF(OR(D397=""R-FFTop"", D397=""R-FFBottom"", D397=""R-FFSide""),
        IF(REGEXMATCH(C397,""(?i)Profiled.*Top|Top.*Profiled""),""pfft"",
        IF(REGEXMATCH(C397,""(?i)Profiled.*Bottom|Bottom.*Profiled""),""pffb"",
    "&amp;"    IF(REGEXMATCH(C397,""(?i)Square""),""sff"",""""))),
    IF(REGEXMATCH(D397,""(?i)-Rivets""),""Rvt"",
    IF(REGEXMATCH(D397,""(?i)Silicone""),""300ml"",
    IF(REGEXMATCH(D397,""(?i)R-Butyl""),""300ml"",
    IF(REGEXMATCH(D397,""(?i)Fix""),""GenFix"","&amp;"
    IF(AND(REGEXMATCH(C397,""(?i)Timber""), REGEXMATCH(D397,""(?i)Timber"")),""tp"",
    IF(AND(REGEXMATCH(C397,""(?i)Vent G1275""), REGEXMATCH(D397,""(?i)Comb FIller"")),""CFV1275"",
    IF(REGEXMATCH(C397,""(?i)DPC""),""dpc"",
    IF(REGEXMATCH(C397,"""&amp;"(?i)Concealed Clips""),""ConClips"",
    IF(REGEXMATCH(D397,""(?i)-Takeoff ea""),""Takeoff ea"",
    IF(REGEXMATCH(D397,""(?i)-Takeoff LM""),""Takeoff LM"",
    IF(REGEXMATCH(D397,""(?i)-Takeoff m2""),""Takeoff m2"",
    IF(D397=""R-TU/TD"",""TU/TD"","""""&amp;")))))))))))))))))
  )))"),"sff")</f>
        <v>sff</v>
      </c>
      <c r="C397" s="225" t="s">
        <v>454</v>
      </c>
      <c r="D397" s="124" t="s">
        <v>105</v>
      </c>
      <c r="E397" s="722"/>
      <c r="F397" s="721"/>
      <c r="G397" s="701"/>
      <c r="H397" s="700"/>
      <c r="I397" s="700"/>
      <c r="J397" s="126" t="s">
        <v>87</v>
      </c>
      <c r="K397" s="126" t="str">
        <f>IFERROR(
  IF(B397="", "", VLOOKUP(B397, Data!$B$2:$K$905, 7, FALSE)),
  ""
)</f>
        <v/>
      </c>
      <c r="L397" s="712"/>
      <c r="M397" s="150">
        <f>M393</f>
        <v>19.2</v>
      </c>
      <c r="N397" s="151">
        <f t="shared" si="306"/>
        <v>1.001372346</v>
      </c>
      <c r="O397" s="169">
        <v>1.0</v>
      </c>
      <c r="P397" s="134">
        <v>1.0</v>
      </c>
      <c r="Q397" s="168">
        <f t="shared" si="302"/>
        <v>19.22634904</v>
      </c>
      <c r="R397" s="136" t="str">
        <f>IFERROR(
  IF(B397="", "", VLOOKUP(B397, Data!$B$2:$K$905, 9, FALSE)),
  ""
)</f>
        <v/>
      </c>
      <c r="S397" s="152">
        <f t="shared" si="303"/>
        <v>0</v>
      </c>
      <c r="T397" s="690"/>
      <c r="U397" s="136" t="str">
        <f>IFERROR(
  IF(B397="", "", VLOOKUP(B397, Data!$B$2:$K$905, 10, FALSE)),
  ""
)
</f>
        <v/>
      </c>
      <c r="V397" s="691"/>
      <c r="W397" s="140">
        <f t="shared" si="304"/>
        <v>0</v>
      </c>
      <c r="X397" s="692"/>
      <c r="Y397" s="595"/>
      <c r="Z397" s="595"/>
      <c r="AA397" s="595"/>
      <c r="AB397" s="354">
        <f t="shared" si="305"/>
        <v>0</v>
      </c>
      <c r="AC397" s="181"/>
      <c r="AD397" s="625"/>
      <c r="AE397" s="626"/>
      <c r="AF397" s="696"/>
      <c r="AG397" s="697"/>
      <c r="AH397" s="629"/>
      <c r="AI397" s="187"/>
      <c r="AJ397" s="630"/>
      <c r="AK397" s="630"/>
      <c r="AL397" s="595"/>
      <c r="AM397" s="595"/>
      <c r="AN397" s="595"/>
      <c r="AO397" s="595"/>
      <c r="AP397" s="595"/>
      <c r="AQ397" s="595"/>
      <c r="AR397" s="595"/>
      <c r="AS397" s="595"/>
      <c r="AT397" s="595"/>
      <c r="AU397" s="595"/>
      <c r="AV397" s="595"/>
      <c r="AW397" s="595"/>
      <c r="AX397" s="595"/>
      <c r="AY397" s="595"/>
      <c r="AZ397" s="595"/>
      <c r="BA397" s="595"/>
      <c r="BB397" s="595"/>
      <c r="BC397" s="595"/>
      <c r="BD397" s="595"/>
      <c r="BE397" s="595"/>
      <c r="BF397" s="595"/>
      <c r="BG397" s="595"/>
      <c r="BH397" s="595"/>
      <c r="BI397" s="651"/>
      <c r="BJ397" s="651"/>
      <c r="BK397" s="651"/>
      <c r="BL397" s="651"/>
      <c r="BM397" s="651"/>
      <c r="BN397" s="651"/>
      <c r="BO397" s="651"/>
      <c r="BP397" s="651"/>
      <c r="BQ397" s="651"/>
      <c r="BR397" s="651"/>
      <c r="BS397" s="651"/>
      <c r="BT397" s="651"/>
    </row>
    <row r="398">
      <c r="A398" s="684"/>
      <c r="B398" s="154"/>
      <c r="C398" s="700"/>
      <c r="D398" s="701"/>
      <c r="E398" s="722"/>
      <c r="F398" s="721"/>
      <c r="G398" s="701"/>
      <c r="H398" s="700"/>
      <c r="I398" s="700"/>
      <c r="J398" s="701"/>
      <c r="K398" s="701"/>
      <c r="L398" s="712"/>
      <c r="M398" s="704"/>
      <c r="N398" s="151" t="str">
        <f t="shared" si="306"/>
        <v/>
      </c>
      <c r="O398" s="712"/>
      <c r="P398" s="700"/>
      <c r="Q398" s="712"/>
      <c r="R398" s="681"/>
      <c r="S398" s="691"/>
      <c r="T398" s="690"/>
      <c r="U398" s="681"/>
      <c r="V398" s="691"/>
      <c r="W398" s="713"/>
      <c r="X398" s="692"/>
      <c r="Y398" s="595"/>
      <c r="Z398" s="595"/>
      <c r="AA398" s="595"/>
      <c r="AB398" s="595"/>
      <c r="AC398" s="181"/>
      <c r="AD398" s="625"/>
      <c r="AE398" s="626"/>
      <c r="AF398" s="696"/>
      <c r="AG398" s="697"/>
      <c r="AH398" s="629"/>
      <c r="AI398" s="187"/>
      <c r="AJ398" s="630"/>
      <c r="AK398" s="630"/>
      <c r="AL398" s="595"/>
      <c r="AM398" s="595"/>
      <c r="AN398" s="595"/>
      <c r="AO398" s="595"/>
      <c r="AP398" s="595"/>
      <c r="AQ398" s="595"/>
      <c r="AR398" s="595"/>
      <c r="AS398" s="595"/>
      <c r="AT398" s="595"/>
      <c r="AU398" s="595"/>
      <c r="AV398" s="595"/>
      <c r="AW398" s="595"/>
      <c r="AX398" s="595"/>
      <c r="AY398" s="595"/>
      <c r="AZ398" s="595"/>
      <c r="BA398" s="595"/>
      <c r="BB398" s="595"/>
      <c r="BC398" s="595"/>
      <c r="BD398" s="595"/>
      <c r="BE398" s="595"/>
      <c r="BF398" s="595"/>
      <c r="BG398" s="595"/>
      <c r="BH398" s="595"/>
      <c r="BI398" s="651"/>
      <c r="BJ398" s="651"/>
      <c r="BK398" s="651"/>
      <c r="BL398" s="651"/>
      <c r="BM398" s="651"/>
      <c r="BN398" s="651"/>
      <c r="BO398" s="651"/>
      <c r="BP398" s="651"/>
      <c r="BQ398" s="651"/>
      <c r="BR398" s="651"/>
      <c r="BS398" s="651"/>
      <c r="BT398" s="651"/>
    </row>
    <row r="399">
      <c r="A399" s="703" t="s">
        <v>444</v>
      </c>
      <c r="B399" s="154" t="s">
        <v>455</v>
      </c>
      <c r="C399" s="698" t="s">
        <v>456</v>
      </c>
      <c r="D399" s="686" t="s">
        <v>457</v>
      </c>
      <c r="E399" s="722"/>
      <c r="F399" s="721"/>
      <c r="G399" s="701"/>
      <c r="H399" s="700"/>
      <c r="I399" s="712"/>
      <c r="J399" s="701"/>
      <c r="K399" s="701"/>
      <c r="L399" s="712"/>
      <c r="M399" s="150">
        <f>ROUNDUP(M393/0.8,0)+1</f>
        <v>25</v>
      </c>
      <c r="N399" s="151">
        <f t="shared" si="306"/>
        <v>1.001372346</v>
      </c>
      <c r="O399" s="169">
        <v>1.0</v>
      </c>
      <c r="P399" s="134">
        <v>1.0</v>
      </c>
      <c r="Q399" s="168">
        <f t="shared" ref="Q399:Q400" si="307">M399*N399*O399*P399</f>
        <v>25.03430865</v>
      </c>
      <c r="R399" s="681" t="str">
        <f>IFERROR(
  IF(B399="", "", VLOOKUP(B399, Data!$B$2:$K$905, 9, FALSE)),
  ""
)</f>
        <v/>
      </c>
      <c r="S399" s="152">
        <f t="shared" ref="S399:S400" si="308">R399*Q399</f>
        <v>0</v>
      </c>
      <c r="T399" s="690"/>
      <c r="U399" s="681" t="str">
        <f>IFERROR(
  IF(B399="", "", VLOOKUP(B399, Data!$B$2:$K$905, 10, FALSE)),
  ""
)
</f>
        <v/>
      </c>
      <c r="V399" s="691"/>
      <c r="W399" s="140">
        <f t="shared" ref="W399:W400" si="309">U399*Q399</f>
        <v>0</v>
      </c>
      <c r="X399" s="692"/>
      <c r="Y399" s="595"/>
      <c r="Z399" s="595"/>
      <c r="AA399" s="595"/>
      <c r="AB399" s="595"/>
      <c r="AC399" s="181"/>
      <c r="AD399" s="625"/>
      <c r="AE399" s="626"/>
      <c r="AF399" s="696"/>
      <c r="AG399" s="697"/>
      <c r="AH399" s="629"/>
      <c r="AI399" s="187"/>
      <c r="AJ399" s="630"/>
      <c r="AK399" s="630"/>
      <c r="AL399" s="595"/>
      <c r="AM399" s="595"/>
      <c r="AN399" s="595"/>
      <c r="AO399" s="595"/>
      <c r="AP399" s="595"/>
      <c r="AQ399" s="595"/>
      <c r="AR399" s="595"/>
      <c r="AS399" s="595"/>
      <c r="AT399" s="595"/>
      <c r="AU399" s="595"/>
      <c r="AV399" s="595"/>
      <c r="AW399" s="595"/>
      <c r="AX399" s="595"/>
      <c r="AY399" s="595"/>
      <c r="AZ399" s="595"/>
      <c r="BA399" s="595"/>
      <c r="BB399" s="595"/>
      <c r="BC399" s="595"/>
      <c r="BD399" s="595"/>
      <c r="BE399" s="595"/>
      <c r="BF399" s="595"/>
      <c r="BG399" s="595"/>
      <c r="BH399" s="595"/>
      <c r="BI399" s="651"/>
      <c r="BJ399" s="651"/>
      <c r="BK399" s="651"/>
      <c r="BL399" s="651"/>
      <c r="BM399" s="651"/>
      <c r="BN399" s="651"/>
      <c r="BO399" s="651"/>
      <c r="BP399" s="651"/>
      <c r="BQ399" s="651"/>
      <c r="BR399" s="651"/>
      <c r="BS399" s="651"/>
      <c r="BT399" s="651"/>
    </row>
    <row r="400">
      <c r="A400" s="684"/>
      <c r="B400" s="154" t="str">
        <f>IFERROR(__xludf.DUMMYFUNCTION("IFERROR(
  IF(C400="""","""",
    IF(OR(REGEXMATCH(D400,""(?i)-Flashing""), REGEXMATCH(D400,""(?i)-EavesGut""), REGEXMATCH(D400,""(?i)Valley"")),
        ""DR"" &amp;
        TEXT(
            ROUNDUP(
                MIN(
                    VALUE(MID(C400, "&amp;"FIND(""("",C400)+1, FIND(""/"",C400)-FIND(""("",C400)-1)),
                    1200
                ) / 50, 0
            ) * 50, ""0""
        ) &amp;
        MID(C400, FIND(""/"",C400)+1, FIND("")"",C400)-FIND(""/"",C400)-1) &amp;
        TEXT(H400*100,""0"") &amp;"&amp;"
        I400,
    IF(AND(D400=""Roof Sheet"", REGEXMATCH(C400,""(?i)KS\d{4}[A-Z]{2}"")),
       REGEXEXTRACT(C400,""(?i)KS\d{4}[A-Z]{2}""),
    IF(AND(REGEXMATCH(D400,""(?i)-DP""), REGEXMATCH(C400,""(?i)Downpipe"")),
       ""dp"" &amp; REGEXEXTRACT(C400,""("&amp;"\d+)"") &amp; ""mm"",
    IF(AND(REGEXMATCH(D400,""(?i)Bracket""), REGEXMATCH(C400,""(?i)Bracket"")),
       ""Brkt"" &amp; REGEXEXTRACT(C400,""(\d+)"") &amp; ""mm"",
    IF(AND(REGEXMATCH(D400,""(?i)-OP""), REGEXMATCH(C400,""(?i)pops"")),
       ""op"" &amp; REGEXEXTRAC"&amp;"T(C400,""(\d+)"") &amp; ""mm"",
    IF(OR(D400=""R-FFTop"", D400=""R-FFBottom"", D400=""R-FFSide""),
        IF(REGEXMATCH(C400,""(?i)Profiled.*Top|Top.*Profiled""),""pfft"",
        IF(REGEXMATCH(C400,""(?i)Profiled.*Bottom|Bottom.*Profiled""),""pffb"",
    "&amp;"    IF(REGEXMATCH(C400,""(?i)Square""),""sff"",""""))),
    IF(REGEXMATCH(D400,""(?i)-Rivets""),""Rvt"",
    IF(REGEXMATCH(D400,""(?i)Silicone""),""300ml"",
    IF(REGEXMATCH(D400,""(?i)R-Butyl""),""300ml"",
    IF(REGEXMATCH(D400,""(?i)Fix""),""GenFix"","&amp;"
    IF(AND(REGEXMATCH(C400,""(?i)Timber""), REGEXMATCH(D400,""(?i)Timber"")),""tp"",
    IF(AND(REGEXMATCH(C400,""(?i)Vent G1275""), REGEXMATCH(D400,""(?i)Comb FIller"")),""CFV1275"",
    IF(REGEXMATCH(C400,""(?i)DPC""),""dpc"",
    IF(REGEXMATCH(C400,"""&amp;"(?i)Concealed Clips""),""ConClips"",
    IF(REGEXMATCH(D400,""(?i)-Takeoff ea""),""Takeoff ea"",
    IF(REGEXMATCH(D400,""(?i)-Takeoff LM""),""Takeoff LM"",
    IF(REGEXMATCH(D400,""(?i)-Takeoff m2""),""Takeoff m2"",
    IF(D400=""R-TU/TD"",""TU/TD"","""""&amp;")))))))))))))))))
  )))"),"GenFix")</f>
        <v>GenFix</v>
      </c>
      <c r="C400" s="698" t="s">
        <v>102</v>
      </c>
      <c r="D400" s="686" t="s">
        <v>103</v>
      </c>
      <c r="E400" s="722"/>
      <c r="F400" s="721"/>
      <c r="G400" s="701"/>
      <c r="H400" s="700"/>
      <c r="I400" s="712"/>
      <c r="J400" s="126" t="s">
        <v>87</v>
      </c>
      <c r="K400" s="126" t="str">
        <f>IFERROR(
  IF(B400="", "", VLOOKUP(B400, Data!$B$2:$K$905, 7, FALSE)),
  ""
)</f>
        <v/>
      </c>
      <c r="L400" s="712"/>
      <c r="M400" s="150">
        <f>ROUNDUP(M399/0.6,0)+1</f>
        <v>43</v>
      </c>
      <c r="N400" s="151">
        <f t="shared" si="306"/>
        <v>1.001372346</v>
      </c>
      <c r="O400" s="169">
        <v>1.0</v>
      </c>
      <c r="P400" s="134">
        <v>2.0</v>
      </c>
      <c r="Q400" s="168">
        <f t="shared" si="307"/>
        <v>86.11802176</v>
      </c>
      <c r="R400" s="136" t="str">
        <f>IFERROR(
  IF(B400="", "", VLOOKUP(B400, Data!$B$2:$K$905, 9, FALSE)),
  ""
)</f>
        <v/>
      </c>
      <c r="S400" s="152">
        <f t="shared" si="308"/>
        <v>0</v>
      </c>
      <c r="T400" s="690"/>
      <c r="U400" s="681" t="str">
        <f>IFERROR(
  IF(B400="", "", VLOOKUP(B400, Data!$B$2:$K$905, 10, FALSE)),
  ""
)
</f>
        <v/>
      </c>
      <c r="V400" s="691"/>
      <c r="W400" s="140">
        <f t="shared" si="309"/>
        <v>0</v>
      </c>
      <c r="X400" s="692"/>
      <c r="Y400" s="595"/>
      <c r="Z400" s="595"/>
      <c r="AA400" s="595"/>
      <c r="AB400" s="354">
        <f t="shared" ref="AB400:AB401" si="310">W400+S400</f>
        <v>0</v>
      </c>
      <c r="AC400" s="181"/>
      <c r="AD400" s="625"/>
      <c r="AE400" s="626"/>
      <c r="AF400" s="696"/>
      <c r="AG400" s="697"/>
      <c r="AH400" s="629"/>
      <c r="AI400" s="187"/>
      <c r="AJ400" s="630"/>
      <c r="AK400" s="630"/>
      <c r="AL400" s="595"/>
      <c r="AM400" s="595"/>
      <c r="AN400" s="595"/>
      <c r="AO400" s="595"/>
      <c r="AP400" s="595"/>
      <c r="AQ400" s="595"/>
      <c r="AR400" s="595"/>
      <c r="AS400" s="595"/>
      <c r="AT400" s="595"/>
      <c r="AU400" s="595"/>
      <c r="AV400" s="595"/>
      <c r="AW400" s="595"/>
      <c r="AX400" s="595"/>
      <c r="AY400" s="595"/>
      <c r="AZ400" s="595"/>
      <c r="BA400" s="595"/>
      <c r="BB400" s="595"/>
      <c r="BC400" s="595"/>
      <c r="BD400" s="595"/>
      <c r="BE400" s="595"/>
      <c r="BF400" s="595"/>
      <c r="BG400" s="595"/>
      <c r="BH400" s="595"/>
      <c r="BI400" s="651"/>
      <c r="BJ400" s="651"/>
      <c r="BK400" s="651"/>
      <c r="BL400" s="651"/>
      <c r="BM400" s="651"/>
      <c r="BN400" s="651"/>
      <c r="BO400" s="651"/>
      <c r="BP400" s="651"/>
      <c r="BQ400" s="651"/>
      <c r="BR400" s="651"/>
      <c r="BS400" s="651"/>
      <c r="BT400" s="651"/>
    </row>
    <row r="401">
      <c r="A401" s="684"/>
      <c r="B401" s="154"/>
      <c r="C401" s="701"/>
      <c r="D401" s="701"/>
      <c r="E401" s="722"/>
      <c r="F401" s="699"/>
      <c r="G401" s="700"/>
      <c r="H401" s="700"/>
      <c r="I401" s="700"/>
      <c r="J401" s="701"/>
      <c r="K401" s="701"/>
      <c r="L401" s="704"/>
      <c r="M401" s="704"/>
      <c r="N401" s="151" t="str">
        <f t="shared" si="306"/>
        <v/>
      </c>
      <c r="O401" s="712"/>
      <c r="P401" s="700"/>
      <c r="Q401" s="712"/>
      <c r="R401" s="681"/>
      <c r="S401" s="691"/>
      <c r="T401" s="690"/>
      <c r="U401" s="681"/>
      <c r="V401" s="691"/>
      <c r="W401" s="713"/>
      <c r="X401" s="692"/>
      <c r="Y401" s="693"/>
      <c r="Z401" s="731"/>
      <c r="AA401" s="595"/>
      <c r="AB401" s="354">
        <f t="shared" si="310"/>
        <v>0</v>
      </c>
      <c r="AC401" s="181"/>
      <c r="AD401" s="625"/>
      <c r="AE401" s="626"/>
      <c r="AF401" s="696"/>
      <c r="AG401" s="697"/>
      <c r="AH401" s="629"/>
      <c r="AI401" s="187"/>
      <c r="AJ401" s="630"/>
      <c r="AK401" s="630"/>
      <c r="AL401" s="595"/>
      <c r="AM401" s="595"/>
      <c r="AN401" s="595"/>
      <c r="AO401" s="595"/>
      <c r="AP401" s="595"/>
      <c r="AQ401" s="595"/>
      <c r="AR401" s="595"/>
      <c r="AS401" s="595"/>
      <c r="AT401" s="595"/>
      <c r="AU401" s="595"/>
      <c r="AV401" s="595"/>
      <c r="AW401" s="595"/>
      <c r="AX401" s="595"/>
      <c r="AY401" s="595"/>
      <c r="AZ401" s="595"/>
      <c r="BA401" s="595"/>
      <c r="BB401" s="595"/>
      <c r="BC401" s="595"/>
      <c r="BD401" s="595"/>
      <c r="BE401" s="595"/>
      <c r="BF401" s="595"/>
      <c r="BG401" s="595"/>
      <c r="BH401" s="595"/>
      <c r="BI401" s="651"/>
      <c r="BJ401" s="651"/>
      <c r="BK401" s="651"/>
      <c r="BL401" s="651"/>
      <c r="BM401" s="651"/>
      <c r="BN401" s="651"/>
      <c r="BO401" s="651"/>
      <c r="BP401" s="651"/>
      <c r="BQ401" s="651"/>
      <c r="BR401" s="651"/>
      <c r="BS401" s="651"/>
      <c r="BT401" s="651"/>
    </row>
    <row r="402">
      <c r="A402" s="631">
        <v>1.0</v>
      </c>
      <c r="B402" s="727"/>
      <c r="C402" s="103" t="s">
        <v>518</v>
      </c>
      <c r="D402" s="678"/>
      <c r="E402" s="676"/>
      <c r="F402" s="677"/>
      <c r="G402" s="678"/>
      <c r="H402" s="678"/>
      <c r="I402" s="678"/>
      <c r="J402" s="678"/>
      <c r="K402" s="678" t="s">
        <v>42</v>
      </c>
      <c r="L402" s="106">
        <f>Q402</f>
        <v>25.2</v>
      </c>
      <c r="M402" s="679" t="s">
        <v>42</v>
      </c>
      <c r="N402" s="680"/>
      <c r="O402" s="679"/>
      <c r="P402" s="678"/>
      <c r="Q402" s="106">
        <f>Q403</f>
        <v>25.2</v>
      </c>
      <c r="R402" s="681" t="str">
        <f>IFERROR(
  IF(B402="", "", VLOOKUP(B402, Data!$B$2:$K$905, 9, FALSE)),
  ""
)</f>
        <v/>
      </c>
      <c r="S402" s="682">
        <f>IFERROR(T402/Q402, 0)</f>
        <v>0</v>
      </c>
      <c r="T402" s="109">
        <f>SUM(S403:S409)</f>
        <v>0</v>
      </c>
      <c r="U402" s="681" t="str">
        <f>IFERROR(
  IF(B402="", "", VLOOKUP(B402, Data!$B$2:$K$905, 10, FALSE)),
  ""
)
</f>
        <v/>
      </c>
      <c r="V402" s="109">
        <f>W402/Q402</f>
        <v>0</v>
      </c>
      <c r="W402" s="110">
        <f>SUM(W403:W409)</f>
        <v>0</v>
      </c>
      <c r="X402" s="111" t="str">
        <f>W402/$AC$758/$W$765/$X$755</f>
        <v>#REF!</v>
      </c>
      <c r="Y402" s="112" t="b">
        <f>(T402+W402)=(SUM(AB403:AB409))</f>
        <v>1</v>
      </c>
      <c r="Z402" s="222">
        <f>(T402+W402)-(SUM(AB403:AB409))</f>
        <v>0</v>
      </c>
      <c r="AA402" s="595"/>
      <c r="AB402" s="595"/>
      <c r="AC402" s="181"/>
      <c r="AD402" s="114">
        <f>W402+T402</f>
        <v>0</v>
      </c>
      <c r="AE402" s="115">
        <f>AD402</f>
        <v>0</v>
      </c>
      <c r="AF402" s="116" t="str">
        <f>AE402/$AE$733</f>
        <v>#REF!</v>
      </c>
      <c r="AG402" s="683" t="str">
        <f>AF402*$AG$740</f>
        <v>#REF!</v>
      </c>
      <c r="AH402" s="118" t="str">
        <f>AF402*$AG$743</f>
        <v>#REF!</v>
      </c>
      <c r="AI402" s="187"/>
      <c r="AJ402" s="119" t="str">
        <f>ROUND(AK402/L402,2)</f>
        <v>#REF!</v>
      </c>
      <c r="AK402" s="119" t="str">
        <f>ROUND(AH402+AG402+AD402,2)</f>
        <v>#REF!</v>
      </c>
      <c r="AL402" s="595"/>
      <c r="AM402" s="595"/>
      <c r="AN402" s="595"/>
      <c r="AO402" s="595"/>
      <c r="AP402" s="595"/>
      <c r="AQ402" s="595"/>
      <c r="AR402" s="595"/>
      <c r="AS402" s="595"/>
      <c r="AT402" s="595"/>
      <c r="AU402" s="595"/>
      <c r="AV402" s="595"/>
      <c r="AW402" s="595"/>
      <c r="AX402" s="595"/>
      <c r="AY402" s="595"/>
      <c r="AZ402" s="595"/>
      <c r="BA402" s="595"/>
      <c r="BB402" s="595"/>
      <c r="BC402" s="595"/>
      <c r="BD402" s="595"/>
      <c r="BE402" s="595"/>
      <c r="BF402" s="595"/>
      <c r="BG402" s="595"/>
      <c r="BH402" s="595"/>
      <c r="BI402" s="651"/>
      <c r="BJ402" s="651"/>
      <c r="BK402" s="651"/>
      <c r="BL402" s="651"/>
      <c r="BM402" s="651"/>
      <c r="BN402" s="651"/>
      <c r="BO402" s="651"/>
      <c r="BP402" s="651"/>
      <c r="BQ402" s="651"/>
      <c r="BR402" s="651"/>
      <c r="BS402" s="651"/>
      <c r="BT402" s="651"/>
    </row>
    <row r="403">
      <c r="A403" s="716" t="s">
        <v>444</v>
      </c>
      <c r="B403" s="154" t="str">
        <f>IFERROR(__xludf.DUMMYFUNCTION("IFERROR(
  IF(C403="""","""",
    IF(OR(REGEXMATCH(D403,""(?i)-Flashing""), REGEXMATCH(D403,""(?i)-EavesGut""), REGEXMATCH(D403,""(?i)Valley"")),
        ""DR"" &amp;
        TEXT(
            ROUNDUP(
                VALUE(MID(C403, FIND(""("",C403)+1, FIND("&amp;"""/"",C403)-FIND(""("",C403)-1)) / 50,
            0) * 50, ""0""
        ) &amp;
        MID(C403, FIND(""/"",C403)+1, FIND("")"",C403)-FIND(""/"",C403)-1) &amp;
        TEXT(H403*100,""0"") &amp;
        I403,
    IF(AND(D403=""Roof Sheet"", REGEXMATCH(C403,""(?i)K"&amp;"S\d{4}[A-Z]{2}"")),
       REGEXEXTRACT(C403,""(?i)KS\d{4}[A-Z]{2}""),
    IF(AND(REGEXMATCH(D403,""(?i)-DP""), REGEXMATCH(C403,""(?i)Downpipe"")),
       ""dp"" &amp; REGEXEXTRACT(C403,""(\d+)"") &amp; ""mm"",
    IF(AND(REGEXMATCH(D403,""(?i)Bracket""), REGEXMA"&amp;"TCH(C403,""(?i)Bracket"")),
       ""Brkt"" &amp; REGEXEXTRACT(C403,""(\d+)"") &amp; ""mm"",
    IF(AND(REGEXMATCH(D403,""(?i)-OP""), REGEXMATCH(C403,""(?i)pops"")),
       ""op"" &amp; REGEXEXTRACT(C403,""(\d+)"") &amp; ""mm"",
    IF(OR(D403=""R-FFTop"", D403=""R-FFBot"&amp;"tom"", D403=""R-FFSide""),
        IF(REGEXMATCH(C403,""(?i)Profiled.*Top|Top.*Profiled""),""pfft"",
        IF(REGEXMATCH(C403,""(?i)Profiled.*Bottom|Bottom.*Profiled""),""pffb"",
        IF(REGEXMATCH(C403,""(?i)Square""),""sff"",""""))),
    IF(REGEXMA"&amp;"TCH(D403,""(?i)-Rivets""),""Rvt"",
    IF(REGEXMATCH(D403,""(?i)Silicone""),""300ml"",
    IF(REGEXMATCH(D403,""(?i)R-Butyl""),""300ml"",
    IF(REGEXMATCH(D403,""(?i)Fix""),""GenFix"",
    IF(AND(REGEXMATCH(C403,""(?i)Timber""), REGEXMATCH(D403,""(?i)Tim"&amp;"ber"")),""tp"",
    IF(AND(REGEXMATCH(C403,""(?i)Vent G1275""), REGEXMATCH(D403,""(?i)Comb FIller"")),""CFV1275"",
    IF(REGEXMATCH(C403,""(?i)DPC""),""dpc"",
    IF(REGEXMATCH(C403,""(?i)Concealed Clips""),""ConClips"",
    IF(REGEXMATCH(D403,""(?i)-Tak"&amp;"eoff ea""),""Takeoff ea"",
    IF(REGEXMATCH(D403,""(?i)-Takeoff LM""),""Takeoff LM"",
    IF(REGEXMATCH(D403,""(?i)-Takeoff m2""),""Takeoff m2"",
    IF(D403=""R-TU/TD"",""TU/TD"","""")))))))))))))))))
  )))"),"DR4004B55Mag")</f>
        <v>DR4004B55Mag</v>
      </c>
      <c r="C403" s="123" t="s">
        <v>519</v>
      </c>
      <c r="D403" s="124" t="s">
        <v>96</v>
      </c>
      <c r="E403" s="687">
        <f>VALUE(MID(C403, FIND("(", C403)+1, FIND("/", C403)-FIND("(", C403)-1)) / 1000</f>
        <v>0.4</v>
      </c>
      <c r="F403" s="688"/>
      <c r="G403" s="689" t="s">
        <v>517</v>
      </c>
      <c r="H403" s="128" t="str">
        <f>IFERROR(__xludf.DUMMYFUNCTION("IFERROR(REGEXEXTRACT(C403, ""(\d*\.\d+)mm""), """")"),"0.55")</f>
        <v>0.55</v>
      </c>
      <c r="I403" s="128" t="s">
        <v>97</v>
      </c>
      <c r="J403" s="126" t="s">
        <v>14</v>
      </c>
      <c r="K403" s="126" t="str">
        <f>IFERROR(
  IF(B403="", "", VLOOKUP(B403, Data!$B$2:$K$905, 7, FALSE)),
  ""
)</f>
        <v/>
      </c>
      <c r="L403" s="704"/>
      <c r="M403" s="730">
        <v>25.2</v>
      </c>
      <c r="N403" s="151">
        <f>IFERROR(__xludf.DUMMYFUNCTION("IF(
  AND(
    IFERROR(REGEXEXTRACT(C403,""@\s*(\d+(?:\.\d+)?)\s*deg""),"""")&lt;&gt;"""",
    F403&lt;&gt;""""
  ),
  ""Pls Confirm °"",
  IF(
    IFERROR(REGEXEXTRACT(C403,""@\s*(\d+(?:\.\d+)?)\s*deg""),"""")&lt;&gt;"""",
    1/COS(RADIANS(REGEXEXTRACT(C403,""@\s*(\d+(?:"&amp;"\.\d+)?)\s*deg""))),
    IF(
      F403&lt;&gt;"""",
      IF(
        ISNUMBER(SEARCH(""|"",F403)),
        1/COS(
          ATAN(
            TAN(RADIANS(VALUE(INDEX(SPLIT(F403,""|""),1)))) *
            TAN(RADIANS(VALUE(INDEX(SPLIT(F403,""|""),2))))
       "&amp;"     /
            SQRT(
              TAN(RADIANS(VALUE(INDEX(SPLIT(F403,""|""),1))))^2 +
              TAN(RADIANS(VALUE(INDEX(SPLIT(F403,""|""),2))))^2
            )
          )
        ),
        1/COS(RADIANS(VALUE(F403)))
      ),
      1
    )
  )
"&amp;")"),1.0)</f>
        <v>1</v>
      </c>
      <c r="O403" s="169">
        <v>1.0</v>
      </c>
      <c r="P403" s="134">
        <v>1.0</v>
      </c>
      <c r="Q403" s="168">
        <f t="shared" ref="Q403:Q408" si="311">M403*N403*O403*P403</f>
        <v>25.2</v>
      </c>
      <c r="R403" s="136" t="str">
        <f>IFERROR(
  IF(B403="", "", VLOOKUP(B403, Data!$B$2:$K$905, 9, FALSE)),
  ""
)</f>
        <v/>
      </c>
      <c r="S403" s="152">
        <f t="shared" ref="S403:S408" si="312">R403*Q403</f>
        <v>0</v>
      </c>
      <c r="T403" s="690"/>
      <c r="U403" s="136" t="str">
        <f>IFERROR(
  IF(B403="", "", VLOOKUP(B403, Data!$B$2:$K$905, 10, FALSE)),
  ""
)
</f>
        <v/>
      </c>
      <c r="V403" s="691"/>
      <c r="W403" s="140">
        <f t="shared" ref="W403:W408" si="313">U403*Q403</f>
        <v>0</v>
      </c>
      <c r="X403" s="692"/>
      <c r="Y403" s="693"/>
      <c r="Z403" s="731"/>
      <c r="AA403" s="595"/>
      <c r="AB403" s="354">
        <f t="shared" ref="AB403:AB409" si="314">W403+S403</f>
        <v>0</v>
      </c>
      <c r="AC403" s="181"/>
      <c r="AD403" s="625"/>
      <c r="AE403" s="626"/>
      <c r="AF403" s="696"/>
      <c r="AG403" s="697"/>
      <c r="AH403" s="629"/>
      <c r="AI403" s="187"/>
      <c r="AJ403" s="630"/>
      <c r="AK403" s="630"/>
      <c r="AL403" s="595"/>
      <c r="AM403" s="595"/>
      <c r="AN403" s="595"/>
      <c r="AO403" s="595"/>
      <c r="AP403" s="595"/>
      <c r="AQ403" s="595"/>
      <c r="AR403" s="595"/>
      <c r="AS403" s="595"/>
      <c r="AT403" s="595"/>
      <c r="AU403" s="595"/>
      <c r="AV403" s="595"/>
      <c r="AW403" s="595"/>
      <c r="AX403" s="595"/>
      <c r="AY403" s="595"/>
      <c r="AZ403" s="595"/>
      <c r="BA403" s="595"/>
      <c r="BB403" s="595"/>
      <c r="BC403" s="595"/>
      <c r="BD403" s="595"/>
      <c r="BE403" s="595"/>
      <c r="BF403" s="595"/>
      <c r="BG403" s="595"/>
      <c r="BH403" s="595"/>
      <c r="BI403" s="651"/>
      <c r="BJ403" s="651"/>
      <c r="BK403" s="651"/>
      <c r="BL403" s="651"/>
      <c r="BM403" s="651"/>
      <c r="BN403" s="651"/>
      <c r="BO403" s="651"/>
      <c r="BP403" s="651"/>
      <c r="BQ403" s="651"/>
      <c r="BR403" s="651"/>
      <c r="BS403" s="651"/>
      <c r="BT403" s="651"/>
    </row>
    <row r="404">
      <c r="A404" s="631"/>
      <c r="B404" s="154" t="str">
        <f>IFERROR(__xludf.DUMMYFUNCTION("IFERROR(
  IF(C404="""","""",
    IF(OR(REGEXMATCH(D404,""(?i)-Flashing""), REGEXMATCH(D404,""(?i)-EavesGut""), REGEXMATCH(D404,""(?i)Valley"")),
        ""DR"" &amp;
        TEXT(
            ROUNDUP(
                MIN(
                    VALUE(MID(C404, "&amp;"FIND(""("",C404)+1, FIND(""/"",C404)-FIND(""("",C404)-1)),
                    1200
                ) / 50, 0
            ) * 50, ""0""
        ) &amp;
        MID(C404, FIND(""/"",C404)+1, FIND("")"",C404)-FIND(""/"",C404)-1) &amp;
        TEXT(H404*100,""0"") &amp;"&amp;"
        I404,
    IF(AND(D404=""Roof Sheet"", REGEXMATCH(C404,""(?i)KS\d{4}[A-Z]{2}"")),
       REGEXEXTRACT(C404,""(?i)KS\d{4}[A-Z]{2}""),
    IF(AND(REGEXMATCH(D404,""(?i)-DP""), REGEXMATCH(C404,""(?i)Downpipe"")),
       ""dp"" &amp; REGEXEXTRACT(C404,""("&amp;"\d+)"") &amp; ""mm"",
    IF(AND(REGEXMATCH(D404,""(?i)Bracket""), REGEXMATCH(C404,""(?i)Bracket"")),
       ""Brkt"" &amp; REGEXEXTRACT(C404,""(\d+)"") &amp; ""mm"",
    IF(AND(REGEXMATCH(D404,""(?i)-OP""), REGEXMATCH(C404,""(?i)pops"")),
       ""op"" &amp; REGEXEXTRAC"&amp;"T(C404,""(\d+)"") &amp; ""mm"",
    IF(OR(D404=""R-FFTop"", D404=""R-FFBottom"", D404=""R-FFSide""),
        IF(REGEXMATCH(C404,""(?i)Profiled.*Top|Top.*Profiled""),""pfft"",
        IF(REGEXMATCH(C404,""(?i)Profiled.*Bottom|Bottom.*Profiled""),""pffb"",
    "&amp;"    IF(REGEXMATCH(C404,""(?i)Square""),""sff"",""""))),
    IF(REGEXMATCH(D404,""(?i)-Rivets""),""Rvt"",
    IF(REGEXMATCH(D404,""(?i)Silicone""),""300ml"",
    IF(REGEXMATCH(D404,""(?i)R-Butyl""),""300ml"",
    IF(REGEXMATCH(D404,""(?i)Fix""),""GenFix"","&amp;"
    IF(AND(REGEXMATCH(C404,""(?i)Timber""), REGEXMATCH(D404,""(?i)Timber"")),""tp"",
    IF(AND(REGEXMATCH(C404,""(?i)Vent G1275""), REGEXMATCH(D404,""(?i)Comb FIller"")),""CFV1275"",
    IF(REGEXMATCH(C404,""(?i)DPC""),""dpc"",
    IF(REGEXMATCH(C404,"""&amp;"(?i)Concealed Clips""),""ConClips"",
    IF(REGEXMATCH(D404,""(?i)-Takeoff ea""),""Takeoff ea"",
    IF(REGEXMATCH(D404,""(?i)-Takeoff LM""),""Takeoff LM"",
    IF(REGEXMATCH(D404,""(?i)-Takeoff m2""),""Takeoff m2"",
    IF(D404=""R-TU/TD"",""TU/TD"","""""&amp;")))))))))))))))))
  )))"),"300ml")</f>
        <v>300ml</v>
      </c>
      <c r="C404" s="225" t="s">
        <v>98</v>
      </c>
      <c r="D404" s="124" t="s">
        <v>99</v>
      </c>
      <c r="E404" s="687">
        <f>E403</f>
        <v>0.4</v>
      </c>
      <c r="F404" s="721"/>
      <c r="G404" s="700"/>
      <c r="H404" s="700" t="str">
        <f>IFERROR(__xludf.DUMMYFUNCTION("IFERROR(REGEXEXTRACT(C404, ""(\d*\.\d+)mm""), """")"),"")</f>
        <v/>
      </c>
      <c r="I404" s="700"/>
      <c r="J404" s="126" t="s">
        <v>87</v>
      </c>
      <c r="K404" s="126" t="str">
        <f>IFERROR(
  IF(B404="", "", VLOOKUP(B404, Data!$B$2:$K$905, 7, FALSE)),
  ""
)</f>
        <v/>
      </c>
      <c r="L404" s="704"/>
      <c r="M404" s="150">
        <f>(ROUNDDOWN((M403/5.7)+2,0)*E404)/8</f>
        <v>0.3</v>
      </c>
      <c r="N404" s="151">
        <f t="shared" ref="N404:N408" si="315">if(B404="","",(if(N403="",N402,N403)))</f>
        <v>1</v>
      </c>
      <c r="O404" s="169">
        <v>1.0</v>
      </c>
      <c r="P404" s="134">
        <v>1.0</v>
      </c>
      <c r="Q404" s="168">
        <f t="shared" si="311"/>
        <v>0.3</v>
      </c>
      <c r="R404" s="136" t="str">
        <f>IFERROR(
  IF(B404="", "", VLOOKUP(B404, Data!$B$2:$K$905, 9, FALSE)),
  ""
)</f>
        <v/>
      </c>
      <c r="S404" s="152">
        <f t="shared" si="312"/>
        <v>0</v>
      </c>
      <c r="T404" s="690"/>
      <c r="U404" s="681" t="str">
        <f>IFERROR(
  IF(B404="", "", VLOOKUP(B404, Data!$B$2:$K$905, 10, FALSE)),
  ""
)
</f>
        <v/>
      </c>
      <c r="V404" s="691"/>
      <c r="W404" s="140">
        <f t="shared" si="313"/>
        <v>0</v>
      </c>
      <c r="X404" s="692"/>
      <c r="Y404" s="595"/>
      <c r="Z404" s="595"/>
      <c r="AA404" s="595"/>
      <c r="AB404" s="354">
        <f t="shared" si="314"/>
        <v>0</v>
      </c>
      <c r="AC404" s="181"/>
      <c r="AD404" s="625"/>
      <c r="AE404" s="626"/>
      <c r="AF404" s="696"/>
      <c r="AG404" s="697"/>
      <c r="AH404" s="629"/>
      <c r="AI404" s="187"/>
      <c r="AJ404" s="630"/>
      <c r="AK404" s="630"/>
      <c r="AL404" s="595"/>
      <c r="AM404" s="595"/>
      <c r="AN404" s="595"/>
      <c r="AO404" s="595"/>
      <c r="AP404" s="595"/>
      <c r="AQ404" s="595"/>
      <c r="AR404" s="595"/>
      <c r="AS404" s="595"/>
      <c r="AT404" s="595"/>
      <c r="AU404" s="595"/>
      <c r="AV404" s="595"/>
      <c r="AW404" s="595"/>
      <c r="AX404" s="595"/>
      <c r="AY404" s="595"/>
      <c r="AZ404" s="595"/>
      <c r="BA404" s="595"/>
      <c r="BB404" s="595"/>
      <c r="BC404" s="595"/>
      <c r="BD404" s="595"/>
      <c r="BE404" s="595"/>
      <c r="BF404" s="595"/>
      <c r="BG404" s="595"/>
      <c r="BH404" s="595"/>
      <c r="BI404" s="651"/>
      <c r="BJ404" s="651"/>
      <c r="BK404" s="651"/>
      <c r="BL404" s="651"/>
      <c r="BM404" s="651"/>
      <c r="BN404" s="651"/>
      <c r="BO404" s="651"/>
      <c r="BP404" s="651"/>
      <c r="BQ404" s="651"/>
      <c r="BR404" s="651"/>
      <c r="BS404" s="651"/>
      <c r="BT404" s="651"/>
    </row>
    <row r="405">
      <c r="A405" s="631"/>
      <c r="B405" s="154" t="str">
        <f>IFERROR(__xludf.DUMMYFUNCTION("IFERROR(
  IF(C405="""","""",
    IF(OR(REGEXMATCH(D405,""(?i)-Flashing""), REGEXMATCH(D405,""(?i)-EavesGut""), REGEXMATCH(D405,""(?i)Valley"")),
        ""DR"" &amp;
        TEXT(
            ROUNDUP(
                MIN(
                    VALUE(MID(C405, "&amp;"FIND(""("",C405)+1, FIND(""/"",C405)-FIND(""("",C405)-1)),
                    1200
                ) / 50, 0
            ) * 50, ""0""
        ) &amp;
        MID(C405, FIND(""/"",C405)+1, FIND("")"",C405)-FIND(""/"",C405)-1) &amp;
        TEXT(H405*100,""0"") &amp;"&amp;"
        I405,
    IF(AND(D405=""Roof Sheet"", REGEXMATCH(C405,""(?i)KS\d{4}[A-Z]{2}"")),
       REGEXEXTRACT(C405,""(?i)KS\d{4}[A-Z]{2}""),
    IF(AND(REGEXMATCH(D405,""(?i)-DP""), REGEXMATCH(C405,""(?i)Downpipe"")),
       ""dp"" &amp; REGEXEXTRACT(C405,""("&amp;"\d+)"") &amp; ""mm"",
    IF(AND(REGEXMATCH(D405,""(?i)Bracket""), REGEXMATCH(C405,""(?i)Bracket"")),
       ""Brkt"" &amp; REGEXEXTRACT(C405,""(\d+)"") &amp; ""mm"",
    IF(AND(REGEXMATCH(D405,""(?i)-OP""), REGEXMATCH(C405,""(?i)pops"")),
       ""op"" &amp; REGEXEXTRAC"&amp;"T(C405,""(\d+)"") &amp; ""mm"",
    IF(OR(D405=""R-FFTop"", D405=""R-FFBottom"", D405=""R-FFSide""),
        IF(REGEXMATCH(C405,""(?i)Profiled.*Top|Top.*Profiled""),""pfft"",
        IF(REGEXMATCH(C405,""(?i)Profiled.*Bottom|Bottom.*Profiled""),""pffb"",
    "&amp;"    IF(REGEXMATCH(C405,""(?i)Square""),""sff"",""""))),
    IF(REGEXMATCH(D405,""(?i)-Rivets""),""Rvt"",
    IF(REGEXMATCH(D405,""(?i)Silicone""),""300ml"",
    IF(REGEXMATCH(D405,""(?i)R-Butyl""),""300ml"",
    IF(REGEXMATCH(D405,""(?i)Fix""),""GenFix"","&amp;"
    IF(AND(REGEXMATCH(C405,""(?i)Timber""), REGEXMATCH(D405,""(?i)Timber"")),""tp"",
    IF(AND(REGEXMATCH(C405,""(?i)Vent G1275""), REGEXMATCH(D405,""(?i)Comb FIller"")),""CFV1275"",
    IF(REGEXMATCH(C405,""(?i)DPC""),""dpc"",
    IF(REGEXMATCH(C405,"""&amp;"(?i)Concealed Clips""),""ConClips"",
    IF(REGEXMATCH(D405,""(?i)-Takeoff ea""),""Takeoff ea"",
    IF(REGEXMATCH(D405,""(?i)-Takeoff LM""),""Takeoff LM"",
    IF(REGEXMATCH(D405,""(?i)-Takeoff m2""),""Takeoff m2"",
    IF(D405=""R-TU/TD"",""TU/TD"","""""&amp;")))))))))))))))))
  )))"),"Rvt")</f>
        <v>Rvt</v>
      </c>
      <c r="C405" s="225" t="s">
        <v>100</v>
      </c>
      <c r="D405" s="124" t="s">
        <v>101</v>
      </c>
      <c r="E405" s="687">
        <f>E403</f>
        <v>0.4</v>
      </c>
      <c r="F405" s="721"/>
      <c r="G405" s="700"/>
      <c r="H405" s="700" t="str">
        <f>IFERROR(__xludf.DUMMYFUNCTION("IFERROR(REGEXEXTRACT(C405, ""(\d*\.\d+)mm""), """")"),"")</f>
        <v/>
      </c>
      <c r="I405" s="700"/>
      <c r="J405" s="126" t="s">
        <v>87</v>
      </c>
      <c r="K405" s="126" t="str">
        <f>IFERROR(
  IF(B405="", "", VLOOKUP(B405, Data!$B$2:$K$905, 7, FALSE)),
  ""
)</f>
        <v/>
      </c>
      <c r="L405" s="704"/>
      <c r="M405" s="150">
        <f>ROUNDUP(((M403/5.7)+1)*(E405/0.05),0)</f>
        <v>44</v>
      </c>
      <c r="N405" s="151">
        <f t="shared" si="315"/>
        <v>1</v>
      </c>
      <c r="O405" s="169">
        <v>1.0</v>
      </c>
      <c r="P405" s="134">
        <v>1.0</v>
      </c>
      <c r="Q405" s="168">
        <f t="shared" si="311"/>
        <v>44</v>
      </c>
      <c r="R405" s="136" t="str">
        <f>IFERROR(
  IF(B405="", "", VLOOKUP(B405, Data!$B$2:$K$905, 9, FALSE)),
  ""
)</f>
        <v/>
      </c>
      <c r="S405" s="152">
        <f t="shared" si="312"/>
        <v>0</v>
      </c>
      <c r="T405" s="690"/>
      <c r="U405" s="681" t="str">
        <f>IFERROR(
  IF(B405="", "", VLOOKUP(B405, Data!$B$2:$K$905, 10, FALSE)),
  ""
)
</f>
        <v/>
      </c>
      <c r="V405" s="691"/>
      <c r="W405" s="140">
        <f t="shared" si="313"/>
        <v>0</v>
      </c>
      <c r="X405" s="692"/>
      <c r="Y405" s="595"/>
      <c r="Z405" s="595"/>
      <c r="AA405" s="595"/>
      <c r="AB405" s="354">
        <f t="shared" si="314"/>
        <v>0</v>
      </c>
      <c r="AC405" s="181"/>
      <c r="AD405" s="625"/>
      <c r="AE405" s="626"/>
      <c r="AF405" s="696"/>
      <c r="AG405" s="697"/>
      <c r="AH405" s="629"/>
      <c r="AI405" s="187"/>
      <c r="AJ405" s="630"/>
      <c r="AK405" s="630"/>
      <c r="AL405" s="595"/>
      <c r="AM405" s="595"/>
      <c r="AN405" s="595"/>
      <c r="AO405" s="595"/>
      <c r="AP405" s="595"/>
      <c r="AQ405" s="595"/>
      <c r="AR405" s="595"/>
      <c r="AS405" s="595"/>
      <c r="AT405" s="595"/>
      <c r="AU405" s="595"/>
      <c r="AV405" s="595"/>
      <c r="AW405" s="595"/>
      <c r="AX405" s="595"/>
      <c r="AY405" s="595"/>
      <c r="AZ405" s="595"/>
      <c r="BA405" s="595"/>
      <c r="BB405" s="595"/>
      <c r="BC405" s="595"/>
      <c r="BD405" s="595"/>
      <c r="BE405" s="595"/>
      <c r="BF405" s="595"/>
      <c r="BG405" s="595"/>
      <c r="BH405" s="595"/>
      <c r="BI405" s="651"/>
      <c r="BJ405" s="651"/>
      <c r="BK405" s="651"/>
      <c r="BL405" s="651"/>
      <c r="BM405" s="651"/>
      <c r="BN405" s="651"/>
      <c r="BO405" s="651"/>
      <c r="BP405" s="651"/>
      <c r="BQ405" s="651"/>
      <c r="BR405" s="651"/>
      <c r="BS405" s="651"/>
      <c r="BT405" s="651"/>
    </row>
    <row r="406">
      <c r="A406" s="631"/>
      <c r="B406" s="154" t="str">
        <f>IFERROR(__xludf.DUMMYFUNCTION("IFERROR(
  IF(C406="""","""",
    IF(OR(REGEXMATCH(D406,""(?i)-Flashing""), REGEXMATCH(D406,""(?i)-EavesGut""), REGEXMATCH(D406,""(?i)Valley"")),
        ""DR"" &amp;
        TEXT(
            ROUNDUP(
                MIN(
                    VALUE(MID(C406, "&amp;"FIND(""("",C406)+1, FIND(""/"",C406)-FIND(""("",C406)-1)),
                    1200
                ) / 50, 0
            ) * 50, ""0""
        ) &amp;
        MID(C406, FIND(""/"",C406)+1, FIND("")"",C406)-FIND(""/"",C406)-1) &amp;
        TEXT(H406*100,""0"") &amp;"&amp;"
        I406,
    IF(AND(D406=""Roof Sheet"", REGEXMATCH(C406,""(?i)KS\d{4}[A-Z]{2}"")),
       REGEXEXTRACT(C406,""(?i)KS\d{4}[A-Z]{2}""),
    IF(AND(REGEXMATCH(D406,""(?i)-DP""), REGEXMATCH(C406,""(?i)Downpipe"")),
       ""dp"" &amp; REGEXEXTRACT(C406,""("&amp;"\d+)"") &amp; ""mm"",
    IF(AND(REGEXMATCH(D406,""(?i)Bracket""), REGEXMATCH(C406,""(?i)Bracket"")),
       ""Brkt"" &amp; REGEXEXTRACT(C406,""(\d+)"") &amp; ""mm"",
    IF(AND(REGEXMATCH(D406,""(?i)-OP""), REGEXMATCH(C406,""(?i)pops"")),
       ""op"" &amp; REGEXEXTRAC"&amp;"T(C406,""(\d+)"") &amp; ""mm"",
    IF(OR(D406=""R-FFTop"", D406=""R-FFBottom"", D406=""R-FFSide""),
        IF(REGEXMATCH(C406,""(?i)Profiled.*Top|Top.*Profiled""),""pfft"",
        IF(REGEXMATCH(C406,""(?i)Profiled.*Bottom|Bottom.*Profiled""),""pffb"",
    "&amp;"    IF(REGEXMATCH(C406,""(?i)Square""),""sff"",""""))),
    IF(REGEXMATCH(D406,""(?i)-Rivets""),""Rvt"",
    IF(REGEXMATCH(D406,""(?i)Silicone""),""300ml"",
    IF(REGEXMATCH(D406,""(?i)R-Butyl""),""300ml"",
    IF(REGEXMATCH(D406,""(?i)Fix""),""GenFix"","&amp;"
    IF(AND(REGEXMATCH(C406,""(?i)Timber""), REGEXMATCH(D406,""(?i)Timber"")),""tp"",
    IF(AND(REGEXMATCH(C406,""(?i)Vent G1275""), REGEXMATCH(D406,""(?i)Comb FIller"")),""CFV1275"",
    IF(REGEXMATCH(C406,""(?i)DPC""),""dpc"",
    IF(REGEXMATCH(C406,"""&amp;"(?i)Concealed Clips""),""ConClips"",
    IF(REGEXMATCH(D406,""(?i)-Takeoff ea""),""Takeoff ea"",
    IF(REGEXMATCH(D406,""(?i)-Takeoff LM""),""Takeoff LM"",
    IF(REGEXMATCH(D406,""(?i)-Takeoff m2""),""Takeoff m2"",
    IF(D406=""R-TU/TD"",""TU/TD"","""""&amp;")))))))))))))))))
  )))"),"GenFix")</f>
        <v>GenFix</v>
      </c>
      <c r="C406" s="158" t="s">
        <v>102</v>
      </c>
      <c r="D406" s="124" t="s">
        <v>103</v>
      </c>
      <c r="E406" s="722"/>
      <c r="F406" s="721"/>
      <c r="G406" s="701"/>
      <c r="H406" s="700"/>
      <c r="I406" s="700"/>
      <c r="J406" s="126" t="s">
        <v>87</v>
      </c>
      <c r="K406" s="126" t="str">
        <f>IFERROR(
  IF(B406="", "", VLOOKUP(B406, Data!$B$2:$K$905, 7, FALSE)),
  ""
)</f>
        <v/>
      </c>
      <c r="L406" s="712"/>
      <c r="M406" s="150">
        <f>ROUNDUP(M403/0.6,0)+1</f>
        <v>43</v>
      </c>
      <c r="N406" s="151">
        <f t="shared" si="315"/>
        <v>1</v>
      </c>
      <c r="O406" s="169">
        <v>1.0</v>
      </c>
      <c r="P406" s="134">
        <v>2.0</v>
      </c>
      <c r="Q406" s="168">
        <f t="shared" si="311"/>
        <v>86</v>
      </c>
      <c r="R406" s="136" t="str">
        <f>IFERROR(
  IF(B406="", "", VLOOKUP(B406, Data!$B$2:$K$905, 9, FALSE)),
  ""
)</f>
        <v/>
      </c>
      <c r="S406" s="152">
        <f t="shared" si="312"/>
        <v>0</v>
      </c>
      <c r="T406" s="690"/>
      <c r="U406" s="681" t="str">
        <f>IFERROR(
  IF(B406="", "", VLOOKUP(B406, Data!$B$2:$K$905, 10, FALSE)),
  ""
)
</f>
        <v/>
      </c>
      <c r="V406" s="691"/>
      <c r="W406" s="140">
        <f t="shared" si="313"/>
        <v>0</v>
      </c>
      <c r="X406" s="692"/>
      <c r="Y406" s="595"/>
      <c r="Z406" s="595"/>
      <c r="AA406" s="595"/>
      <c r="AB406" s="354">
        <f t="shared" si="314"/>
        <v>0</v>
      </c>
      <c r="AC406" s="181"/>
      <c r="AD406" s="625"/>
      <c r="AE406" s="626"/>
      <c r="AF406" s="696"/>
      <c r="AG406" s="697"/>
      <c r="AH406" s="629"/>
      <c r="AI406" s="187"/>
      <c r="AJ406" s="630"/>
      <c r="AK406" s="630"/>
      <c r="AL406" s="595"/>
      <c r="AM406" s="595"/>
      <c r="AN406" s="595"/>
      <c r="AO406" s="595"/>
      <c r="AP406" s="595"/>
      <c r="AQ406" s="595"/>
      <c r="AR406" s="595"/>
      <c r="AS406" s="595"/>
      <c r="AT406" s="595"/>
      <c r="AU406" s="595"/>
      <c r="AV406" s="595"/>
      <c r="AW406" s="595"/>
      <c r="AX406" s="595"/>
      <c r="AY406" s="595"/>
      <c r="AZ406" s="595"/>
      <c r="BA406" s="595"/>
      <c r="BB406" s="595"/>
      <c r="BC406" s="595"/>
      <c r="BD406" s="595"/>
      <c r="BE406" s="595"/>
      <c r="BF406" s="595"/>
      <c r="BG406" s="595"/>
      <c r="BH406" s="595"/>
      <c r="BI406" s="651"/>
      <c r="BJ406" s="651"/>
      <c r="BK406" s="651"/>
      <c r="BL406" s="651"/>
      <c r="BM406" s="651"/>
      <c r="BN406" s="651"/>
      <c r="BO406" s="651"/>
      <c r="BP406" s="651"/>
      <c r="BQ406" s="651"/>
      <c r="BR406" s="651"/>
      <c r="BS406" s="651"/>
      <c r="BT406" s="651"/>
    </row>
    <row r="407">
      <c r="A407" s="631"/>
      <c r="B407" s="154" t="str">
        <f>IFERROR(__xludf.DUMMYFUNCTION("IFERROR(
  IF(C407="""","""",
    IF(OR(REGEXMATCH(D407,""(?i)-Flashing""), REGEXMATCH(D407,""(?i)-EavesGut""), REGEXMATCH(D407,""(?i)Valley"")),
        ""DR"" &amp;
        TEXT(
            ROUNDUP(
                MIN(
                    VALUE(MID(C407, "&amp;"FIND(""("",C407)+1, FIND(""/"",C407)-FIND(""("",C407)-1)),
                    1200
                ) / 50, 0
            ) * 50, ""0""
        ) &amp;
        MID(C407, FIND(""/"",C407)+1, FIND("")"",C407)-FIND(""/"",C407)-1) &amp;
        TEXT(H407*100,""0"") &amp;"&amp;"
        I407,
    IF(AND(D407=""Roof Sheet"", REGEXMATCH(C407,""(?i)KS\d{4}[A-Z]{2}"")),
       REGEXEXTRACT(C407,""(?i)KS\d{4}[A-Z]{2}""),
    IF(AND(REGEXMATCH(D407,""(?i)-DP""), REGEXMATCH(C407,""(?i)Downpipe"")),
       ""dp"" &amp; REGEXEXTRACT(C407,""("&amp;"\d+)"") &amp; ""mm"",
    IF(AND(REGEXMATCH(D407,""(?i)Bracket""), REGEXMATCH(C407,""(?i)Bracket"")),
       ""Brkt"" &amp; REGEXEXTRACT(C407,""(\d+)"") &amp; ""mm"",
    IF(AND(REGEXMATCH(D407,""(?i)-OP""), REGEXMATCH(C407,""(?i)pops"")),
       ""op"" &amp; REGEXEXTRAC"&amp;"T(C407,""(\d+)"") &amp; ""mm"",
    IF(OR(D407=""R-FFTop"", D407=""R-FFBottom"", D407=""R-FFSide""),
        IF(REGEXMATCH(C407,""(?i)Profiled.*Top|Top.*Profiled""),""pfft"",
        IF(REGEXMATCH(C407,""(?i)Profiled.*Bottom|Bottom.*Profiled""),""pffb"",
    "&amp;"    IF(REGEXMATCH(C407,""(?i)Square""),""sff"",""""))),
    IF(REGEXMATCH(D407,""(?i)-Rivets""),""Rvt"",
    IF(REGEXMATCH(D407,""(?i)Silicone""),""300ml"",
    IF(REGEXMATCH(D407,""(?i)R-Butyl""),""300ml"",
    IF(REGEXMATCH(D407,""(?i)Fix""),""GenFix"","&amp;"
    IF(AND(REGEXMATCH(C407,""(?i)Timber""), REGEXMATCH(D407,""(?i)Timber"")),""tp"",
    IF(AND(REGEXMATCH(C407,""(?i)Vent G1275""), REGEXMATCH(D407,""(?i)Comb FIller"")),""CFV1275"",
    IF(REGEXMATCH(C407,""(?i)DPC""),""dpc"",
    IF(REGEXMATCH(C407,"""&amp;"(?i)Concealed Clips""),""ConClips"",
    IF(REGEXMATCH(D407,""(?i)-Takeoff ea""),""Takeoff ea"",
    IF(REGEXMATCH(D407,""(?i)-Takeoff LM""),""Takeoff LM"",
    IF(REGEXMATCH(D407,""(?i)-Takeoff m2""),""Takeoff m2"",
    IF(D407=""R-TU/TD"",""TU/TD"","""""&amp;")))))))))))))))))
  )))"),"pfft")</f>
        <v>pfft</v>
      </c>
      <c r="C407" s="225" t="s">
        <v>104</v>
      </c>
      <c r="D407" s="202" t="s">
        <v>105</v>
      </c>
      <c r="E407" s="722"/>
      <c r="F407" s="721"/>
      <c r="G407" s="701"/>
      <c r="H407" s="700"/>
      <c r="I407" s="700"/>
      <c r="J407" s="126" t="s">
        <v>87</v>
      </c>
      <c r="K407" s="126" t="str">
        <f>IFERROR(
  IF(B407="", "", VLOOKUP(B407, Data!$B$2:$K$905, 7, FALSE)),
  ""
)</f>
        <v/>
      </c>
      <c r="L407" s="712"/>
      <c r="M407" s="150">
        <f>M403</f>
        <v>25.2</v>
      </c>
      <c r="N407" s="151">
        <f t="shared" si="315"/>
        <v>1</v>
      </c>
      <c r="O407" s="169">
        <v>1.0</v>
      </c>
      <c r="P407" s="134">
        <v>1.0</v>
      </c>
      <c r="Q407" s="168">
        <f t="shared" si="311"/>
        <v>25.2</v>
      </c>
      <c r="R407" s="136" t="str">
        <f>IFERROR(
  IF(B407="", "", VLOOKUP(B407, Data!$B$2:$K$905, 9, FALSE)),
  ""
)</f>
        <v/>
      </c>
      <c r="S407" s="152">
        <f t="shared" si="312"/>
        <v>0</v>
      </c>
      <c r="T407" s="690"/>
      <c r="U407" s="136" t="str">
        <f>IFERROR(
  IF(B407="", "", VLOOKUP(B407, Data!$B$2:$K$905, 10, FALSE)),
  ""
)
</f>
        <v/>
      </c>
      <c r="V407" s="691"/>
      <c r="W407" s="140">
        <f t="shared" si="313"/>
        <v>0</v>
      </c>
      <c r="X407" s="692"/>
      <c r="Y407" s="595"/>
      <c r="Z407" s="595"/>
      <c r="AA407" s="595"/>
      <c r="AB407" s="354">
        <f t="shared" si="314"/>
        <v>0</v>
      </c>
      <c r="AC407" s="181"/>
      <c r="AD407" s="625"/>
      <c r="AE407" s="626"/>
      <c r="AF407" s="696"/>
      <c r="AG407" s="697"/>
      <c r="AH407" s="629"/>
      <c r="AI407" s="187"/>
      <c r="AJ407" s="630"/>
      <c r="AK407" s="630"/>
      <c r="AL407" s="595"/>
      <c r="AM407" s="595"/>
      <c r="AN407" s="595"/>
      <c r="AO407" s="595"/>
      <c r="AP407" s="595"/>
      <c r="AQ407" s="595"/>
      <c r="AR407" s="595"/>
      <c r="AS407" s="595"/>
      <c r="AT407" s="595"/>
      <c r="AU407" s="595"/>
      <c r="AV407" s="595"/>
      <c r="AW407" s="595"/>
      <c r="AX407" s="595"/>
      <c r="AY407" s="595"/>
      <c r="AZ407" s="595"/>
      <c r="BA407" s="595"/>
      <c r="BB407" s="595"/>
      <c r="BC407" s="595"/>
      <c r="BD407" s="595"/>
      <c r="BE407" s="595"/>
      <c r="BF407" s="595"/>
      <c r="BG407" s="595"/>
      <c r="BH407" s="595"/>
      <c r="BI407" s="651"/>
      <c r="BJ407" s="651"/>
      <c r="BK407" s="651"/>
      <c r="BL407" s="651"/>
      <c r="BM407" s="651"/>
      <c r="BN407" s="651"/>
      <c r="BO407" s="651"/>
      <c r="BP407" s="651"/>
      <c r="BQ407" s="651"/>
      <c r="BR407" s="651"/>
      <c r="BS407" s="651"/>
      <c r="BT407" s="651"/>
    </row>
    <row r="408">
      <c r="A408" s="631"/>
      <c r="B408" s="154" t="str">
        <f>IFERROR(__xludf.DUMMYFUNCTION("IFERROR(
  IF(C408="""","""",
    IF(OR(REGEXMATCH(D408,""(?i)-Flashing""), REGEXMATCH(D408,""(?i)-EavesGut""), REGEXMATCH(D408,""(?i)Valley"")),
        ""DR"" &amp;
        TEXT(
            ROUNDUP(
                MIN(
                    VALUE(MID(C408, "&amp;"FIND(""("",C408)+1, FIND(""/"",C408)-FIND(""("",C408)-1)),
                    1200
                ) / 50, 0
            ) * 50, ""0""
        ) &amp;
        MID(C408, FIND(""/"",C408)+1, FIND("")"",C408)-FIND(""/"",C408)-1) &amp;
        TEXT(H408*100,""0"") &amp;"&amp;"
        I408,
    IF(AND(D408=""Roof Sheet"", REGEXMATCH(C408,""(?i)KS\d{4}[A-Z]{2}"")),
       REGEXEXTRACT(C408,""(?i)KS\d{4}[A-Z]{2}""),
    IF(AND(REGEXMATCH(D408,""(?i)-DP""), REGEXMATCH(C408,""(?i)Downpipe"")),
       ""dp"" &amp; REGEXEXTRACT(C408,""("&amp;"\d+)"") &amp; ""mm"",
    IF(AND(REGEXMATCH(D408,""(?i)Bracket""), REGEXMATCH(C408,""(?i)Bracket"")),
       ""Brkt"" &amp; REGEXEXTRACT(C408,""(\d+)"") &amp; ""mm"",
    IF(AND(REGEXMATCH(D408,""(?i)-OP""), REGEXMATCH(C408,""(?i)pops"")),
       ""op"" &amp; REGEXEXTRAC"&amp;"T(C408,""(\d+)"") &amp; ""mm"",
    IF(OR(D408=""R-FFTop"", D408=""R-FFBottom"", D408=""R-FFSide""),
        IF(REGEXMATCH(C408,""(?i)Profiled.*Top|Top.*Profiled""),""pfft"",
        IF(REGEXMATCH(C408,""(?i)Profiled.*Bottom|Bottom.*Profiled""),""pffb"",
    "&amp;"    IF(REGEXMATCH(C408,""(?i)Square""),""sff"",""""))),
    IF(REGEXMATCH(D408,""(?i)-Rivets""),""Rvt"",
    IF(REGEXMATCH(D408,""(?i)Silicone""),""300ml"",
    IF(REGEXMATCH(D408,""(?i)R-Butyl""),""300ml"",
    IF(REGEXMATCH(D408,""(?i)Fix""),""GenFix"","&amp;"
    IF(AND(REGEXMATCH(C408,""(?i)Timber""), REGEXMATCH(D408,""(?i)Timber"")),""tp"",
    IF(AND(REGEXMATCH(C408,""(?i)Vent G1275""), REGEXMATCH(D408,""(?i)Comb FIller"")),""CFV1275"",
    IF(REGEXMATCH(C408,""(?i)DPC""),""dpc"",
    IF(REGEXMATCH(C408,"""&amp;"(?i)Concealed Clips""),""ConClips"",
    IF(REGEXMATCH(D408,""(?i)-Takeoff ea""),""Takeoff ea"",
    IF(REGEXMATCH(D408,""(?i)-Takeoff LM""),""Takeoff LM"",
    IF(REGEXMATCH(D408,""(?i)-Takeoff m2""),""Takeoff m2"",
    IF(D408=""R-TU/TD"",""TU/TD"","""""&amp;")))))))))))))))))
  )))"),"TU/TD")</f>
        <v>TU/TD</v>
      </c>
      <c r="C408" s="158" t="s">
        <v>446</v>
      </c>
      <c r="D408" s="686" t="s">
        <v>107</v>
      </c>
      <c r="E408" s="722"/>
      <c r="F408" s="721"/>
      <c r="G408" s="701"/>
      <c r="H408" s="700"/>
      <c r="I408" s="700"/>
      <c r="J408" s="126" t="s">
        <v>87</v>
      </c>
      <c r="K408" s="126" t="str">
        <f>IFERROR(
  IF(B408="", "", VLOOKUP(B408, Data!$B$2:$K$905, 7, FALSE)),
  ""
)</f>
        <v/>
      </c>
      <c r="L408" s="704"/>
      <c r="M408" s="150">
        <f>M403</f>
        <v>25.2</v>
      </c>
      <c r="N408" s="151">
        <f t="shared" si="315"/>
        <v>1</v>
      </c>
      <c r="O408" s="169">
        <v>1.0</v>
      </c>
      <c r="P408" s="134">
        <v>1.0</v>
      </c>
      <c r="Q408" s="168">
        <f t="shared" si="311"/>
        <v>25.2</v>
      </c>
      <c r="R408" s="681" t="str">
        <f>IFERROR(
  IF(B408="", "", VLOOKUP(B408, Data!$B$2:$K$905, 9, FALSE)),
  ""
)</f>
        <v/>
      </c>
      <c r="S408" s="152">
        <f t="shared" si="312"/>
        <v>0</v>
      </c>
      <c r="T408" s="690"/>
      <c r="U408" s="136" t="str">
        <f>IFERROR(
  IF(B408="", "", VLOOKUP(B408, Data!$B$2:$K$905, 10, FALSE)),
  ""
)
</f>
        <v/>
      </c>
      <c r="V408" s="691"/>
      <c r="W408" s="140">
        <f t="shared" si="313"/>
        <v>0</v>
      </c>
      <c r="X408" s="692"/>
      <c r="Y408" s="595"/>
      <c r="Z408" s="595"/>
      <c r="AA408" s="595"/>
      <c r="AB408" s="354">
        <f t="shared" si="314"/>
        <v>0</v>
      </c>
      <c r="AC408" s="181"/>
      <c r="AD408" s="625"/>
      <c r="AE408" s="626"/>
      <c r="AF408" s="696"/>
      <c r="AG408" s="697"/>
      <c r="AH408" s="629"/>
      <c r="AI408" s="187"/>
      <c r="AJ408" s="630"/>
      <c r="AK408" s="630"/>
      <c r="AL408" s="595"/>
      <c r="AM408" s="595"/>
      <c r="AN408" s="595"/>
      <c r="AO408" s="595"/>
      <c r="AP408" s="595"/>
      <c r="AQ408" s="595"/>
      <c r="AR408" s="595"/>
      <c r="AS408" s="595"/>
      <c r="AT408" s="595"/>
      <c r="AU408" s="595"/>
      <c r="AV408" s="595"/>
      <c r="AW408" s="595"/>
      <c r="AX408" s="595"/>
      <c r="AY408" s="595"/>
      <c r="AZ408" s="595"/>
      <c r="BA408" s="595"/>
      <c r="BB408" s="595"/>
      <c r="BC408" s="595"/>
      <c r="BD408" s="595"/>
      <c r="BE408" s="595"/>
      <c r="BF408" s="595"/>
      <c r="BG408" s="595"/>
      <c r="BH408" s="595"/>
      <c r="BI408" s="651"/>
      <c r="BJ408" s="651"/>
      <c r="BK408" s="651"/>
      <c r="BL408" s="651"/>
      <c r="BM408" s="651"/>
      <c r="BN408" s="651"/>
      <c r="BO408" s="651"/>
      <c r="BP408" s="651"/>
      <c r="BQ408" s="651"/>
      <c r="BR408" s="651"/>
      <c r="BS408" s="651"/>
      <c r="BT408" s="651"/>
    </row>
    <row r="409">
      <c r="A409" s="631"/>
      <c r="B409" s="154"/>
      <c r="C409" s="700"/>
      <c r="D409" s="124"/>
      <c r="E409" s="722"/>
      <c r="F409" s="721"/>
      <c r="G409" s="701"/>
      <c r="H409" s="700"/>
      <c r="I409" s="700"/>
      <c r="J409" s="701"/>
      <c r="K409" s="701"/>
      <c r="L409" s="712"/>
      <c r="M409" s="704"/>
      <c r="N409" s="711"/>
      <c r="O409" s="712"/>
      <c r="P409" s="700"/>
      <c r="Q409" s="712"/>
      <c r="R409" s="681" t="str">
        <f>IFERROR(
  IF(B409="", "", VLOOKUP(B409, Data!$B$2:$K$905, 9, FALSE)),
  ""
)</f>
        <v/>
      </c>
      <c r="S409" s="691"/>
      <c r="T409" s="690"/>
      <c r="U409" s="681" t="str">
        <f>IFERROR(
  IF(B409="", "", VLOOKUP(B409, Data!$B$2:$K$905, 10, FALSE)),
  ""
)
</f>
        <v/>
      </c>
      <c r="V409" s="691"/>
      <c r="W409" s="713"/>
      <c r="X409" s="692"/>
      <c r="Y409" s="595"/>
      <c r="Z409" s="595"/>
      <c r="AA409" s="595"/>
      <c r="AB409" s="354">
        <f t="shared" si="314"/>
        <v>0</v>
      </c>
      <c r="AC409" s="181"/>
      <c r="AD409" s="625"/>
      <c r="AE409" s="626"/>
      <c r="AF409" s="696"/>
      <c r="AG409" s="697"/>
      <c r="AH409" s="629"/>
      <c r="AI409" s="187"/>
      <c r="AJ409" s="630"/>
      <c r="AK409" s="630"/>
      <c r="AL409" s="595"/>
      <c r="AM409" s="595"/>
      <c r="AN409" s="595"/>
      <c r="AO409" s="595"/>
      <c r="AP409" s="595"/>
      <c r="AQ409" s="595"/>
      <c r="AR409" s="595"/>
      <c r="AS409" s="595"/>
      <c r="AT409" s="595"/>
      <c r="AU409" s="595"/>
      <c r="AV409" s="595"/>
      <c r="AW409" s="595"/>
      <c r="AX409" s="595"/>
      <c r="AY409" s="595"/>
      <c r="AZ409" s="595"/>
      <c r="BA409" s="595"/>
      <c r="BB409" s="595"/>
      <c r="BC409" s="595"/>
      <c r="BD409" s="595"/>
      <c r="BE409" s="595"/>
      <c r="BF409" s="595"/>
      <c r="BG409" s="595"/>
      <c r="BH409" s="595"/>
      <c r="BI409" s="651"/>
      <c r="BJ409" s="651"/>
      <c r="BK409" s="651"/>
      <c r="BL409" s="651"/>
      <c r="BM409" s="651"/>
      <c r="BN409" s="651"/>
      <c r="BO409" s="651"/>
      <c r="BP409" s="651"/>
      <c r="BQ409" s="651"/>
      <c r="BR409" s="651"/>
      <c r="BS409" s="651"/>
      <c r="BT409" s="651"/>
    </row>
    <row r="410">
      <c r="A410" s="631">
        <v>1.0</v>
      </c>
      <c r="B410" s="727"/>
      <c r="C410" s="103" t="s">
        <v>520</v>
      </c>
      <c r="D410" s="678"/>
      <c r="E410" s="676"/>
      <c r="F410" s="677"/>
      <c r="G410" s="157"/>
      <c r="H410" s="678"/>
      <c r="I410" s="678"/>
      <c r="J410" s="678"/>
      <c r="K410" s="678" t="s">
        <v>42</v>
      </c>
      <c r="L410" s="106">
        <f>Q410</f>
        <v>25.2</v>
      </c>
      <c r="M410" s="679" t="s">
        <v>42</v>
      </c>
      <c r="N410" s="680"/>
      <c r="O410" s="679"/>
      <c r="P410" s="678"/>
      <c r="Q410" s="106">
        <f>Q411</f>
        <v>25.2</v>
      </c>
      <c r="R410" s="136" t="str">
        <f>IFERROR(
  IF(B410="", "", VLOOKUP(B410, Data!$B$2:$K$905, 9, FALSE)),
  ""
)</f>
        <v/>
      </c>
      <c r="S410" s="682">
        <f>IFERROR(T410/Q410, 0)</f>
        <v>0</v>
      </c>
      <c r="T410" s="109">
        <f>SUM(S411:S417)</f>
        <v>0</v>
      </c>
      <c r="U410" s="136" t="str">
        <f>IFERROR(
  IF(B410="", "", VLOOKUP(B410, Data!$B$2:$K$905, 10, FALSE)),
  ""
)
</f>
        <v/>
      </c>
      <c r="V410" s="109">
        <f>W410/Q410</f>
        <v>0</v>
      </c>
      <c r="W410" s="110">
        <f>SUM(W411:W417)</f>
        <v>0</v>
      </c>
      <c r="X410" s="111" t="str">
        <f>W410/$AC$758/$W$765/$X$755</f>
        <v>#REF!</v>
      </c>
      <c r="Y410" s="112" t="b">
        <f>(T410+W410)=(SUM(AB411:AB417))</f>
        <v>1</v>
      </c>
      <c r="Z410" s="113">
        <f>(T410+W410)-(SUM(AB411:AB417))</f>
        <v>0</v>
      </c>
      <c r="AA410" s="595"/>
      <c r="AB410" s="595"/>
      <c r="AC410" s="181"/>
      <c r="AD410" s="114">
        <f>W410+T410</f>
        <v>0</v>
      </c>
      <c r="AE410" s="115">
        <f>AD410</f>
        <v>0</v>
      </c>
      <c r="AF410" s="116" t="str">
        <f>AE410/$AE$733</f>
        <v>#REF!</v>
      </c>
      <c r="AG410" s="683" t="str">
        <f>AF410*$AG$740</f>
        <v>#REF!</v>
      </c>
      <c r="AH410" s="118" t="str">
        <f>AF410*$AG$743</f>
        <v>#REF!</v>
      </c>
      <c r="AI410" s="187"/>
      <c r="AJ410" s="119" t="str">
        <f>ROUND(AK410/L410,2)</f>
        <v>#REF!</v>
      </c>
      <c r="AK410" s="119" t="str">
        <f>ROUND(AH410+AG410+AD410,2)</f>
        <v>#REF!</v>
      </c>
      <c r="AL410" s="595"/>
      <c r="AM410" s="595"/>
      <c r="AN410" s="595"/>
      <c r="AO410" s="595"/>
      <c r="AP410" s="595"/>
      <c r="AQ410" s="595"/>
      <c r="AR410" s="595"/>
      <c r="AS410" s="595"/>
      <c r="AT410" s="595"/>
      <c r="AU410" s="595"/>
      <c r="AV410" s="595"/>
      <c r="AW410" s="595"/>
      <c r="AX410" s="595"/>
      <c r="AY410" s="595"/>
      <c r="AZ410" s="595"/>
      <c r="BA410" s="595"/>
      <c r="BB410" s="595"/>
      <c r="BC410" s="595"/>
      <c r="BD410" s="595"/>
      <c r="BE410" s="595"/>
      <c r="BF410" s="595"/>
      <c r="BG410" s="595"/>
      <c r="BH410" s="595"/>
      <c r="BI410" s="651"/>
      <c r="BJ410" s="651"/>
      <c r="BK410" s="651"/>
      <c r="BL410" s="651"/>
      <c r="BM410" s="651"/>
      <c r="BN410" s="651"/>
      <c r="BO410" s="651"/>
      <c r="BP410" s="651"/>
      <c r="BQ410" s="651"/>
      <c r="BR410" s="651"/>
      <c r="BS410" s="651"/>
      <c r="BT410" s="651"/>
    </row>
    <row r="411">
      <c r="A411" s="716" t="s">
        <v>444</v>
      </c>
      <c r="B411" s="154" t="str">
        <f>IFERROR(__xludf.DUMMYFUNCTION("IFERROR(
  IF(C411="""","""",
    IF(OR(REGEXMATCH(D411,""(?i)-Flashing""), REGEXMATCH(D411,""(?i)-EavesGut""), REGEXMATCH(D411,""(?i)Valley"")),
        ""DR"" &amp;
        TEXT(
            ROUNDUP(
                VALUE(MID(C411, FIND(""("",C411)+1, FIND("&amp;"""/"",C411)-FIND(""("",C411)-1)) / 50,
            0) * 50, ""0""
        ) &amp;
        MID(C411, FIND(""/"",C411)+1, FIND("")"",C411)-FIND(""/"",C411)-1) &amp;
        TEXT(H411*100,""0"") &amp;
        I411,
    IF(AND(D411=""Roof Sheet"", REGEXMATCH(C411,""(?i)K"&amp;"S\d{4}[A-Z]{2}"")),
       REGEXEXTRACT(C411,""(?i)KS\d{4}[A-Z]{2}""),
    IF(AND(REGEXMATCH(D411,""(?i)-DP""), REGEXMATCH(C411,""(?i)Downpipe"")),
       ""dp"" &amp; REGEXEXTRACT(C411,""(\d+)"") &amp; ""mm"",
    IF(AND(REGEXMATCH(D411,""(?i)Bracket""), REGEXMA"&amp;"TCH(C411,""(?i)Bracket"")),
       ""Brkt"" &amp; REGEXEXTRACT(C411,""(\d+)"") &amp; ""mm"",
    IF(AND(REGEXMATCH(D411,""(?i)-OP""), REGEXMATCH(C411,""(?i)pops"")),
       ""op"" &amp; REGEXEXTRACT(C411,""(\d+)"") &amp; ""mm"",
    IF(OR(D411=""R-FFTop"", D411=""R-FFBot"&amp;"tom"", D411=""R-FFSide""),
        IF(REGEXMATCH(C411,""(?i)Profiled.*Top|Top.*Profiled""),""pfft"",
        IF(REGEXMATCH(C411,""(?i)Profiled.*Bottom|Bottom.*Profiled""),""pffb"",
        IF(REGEXMATCH(C411,""(?i)Square""),""sff"",""""))),
    IF(REGEXMA"&amp;"TCH(D411,""(?i)-Rivets""),""Rvt"",
    IF(REGEXMATCH(D411,""(?i)Silicone""),""300ml"",
    IF(REGEXMATCH(D411,""(?i)R-Butyl""),""300ml"",
    IF(REGEXMATCH(D411,""(?i)Fix""),""GenFix"",
    IF(AND(REGEXMATCH(C411,""(?i)Timber""), REGEXMATCH(D411,""(?i)Tim"&amp;"ber"")),""tp"",
    IF(AND(REGEXMATCH(C411,""(?i)Vent G1275""), REGEXMATCH(D411,""(?i)Comb FIller"")),""CFV1275"",
    IF(REGEXMATCH(C411,""(?i)DPC""),""dpc"",
    IF(REGEXMATCH(C411,""(?i)Concealed Clips""),""ConClips"",
    IF(REGEXMATCH(D411,""(?i)-Tak"&amp;"eoff ea""),""Takeoff ea"",
    IF(REGEXMATCH(D411,""(?i)-Takeoff LM""),""Takeoff LM"",
    IF(REGEXMATCH(D411,""(?i)-Takeoff m2""),""Takeoff m2"",
    IF(D411=""R-TU/TD"",""TU/TD"","""")))))))))))))))))
  )))"),"DR3003B55Mag")</f>
        <v>DR3003B55Mag</v>
      </c>
      <c r="C411" s="123" t="s">
        <v>521</v>
      </c>
      <c r="D411" s="124" t="s">
        <v>96</v>
      </c>
      <c r="E411" s="687">
        <f>VALUE(MID(C411, FIND("(", C411)+1, FIND("/", C411)-FIND("(", C411)-1)) / 1000</f>
        <v>0.3</v>
      </c>
      <c r="F411" s="688"/>
      <c r="G411" s="689" t="s">
        <v>517</v>
      </c>
      <c r="H411" s="128" t="str">
        <f>IFERROR(__xludf.DUMMYFUNCTION("IFERROR(REGEXEXTRACT(C411, ""(\d*\.\d+)mm""), """")"),"0.55")</f>
        <v>0.55</v>
      </c>
      <c r="I411" s="128" t="s">
        <v>97</v>
      </c>
      <c r="J411" s="126" t="s">
        <v>14</v>
      </c>
      <c r="K411" s="126" t="str">
        <f>IFERROR(
  IF(B411="", "", VLOOKUP(B411, Data!$B$2:$K$905, 7, FALSE)),
  ""
)</f>
        <v/>
      </c>
      <c r="L411" s="704"/>
      <c r="M411" s="150">
        <f>M420</f>
        <v>25.2</v>
      </c>
      <c r="N411" s="151">
        <f>IFERROR(__xludf.DUMMYFUNCTION("IF(
  AND(
    IFERROR(REGEXEXTRACT(C411,""@\s*(\d+(?:\.\d+)?)\s*deg""),"""")&lt;&gt;"""",
    F411&lt;&gt;""""
  ),
  ""Pls Confirm °"",
  IF(
    IFERROR(REGEXEXTRACT(C411,""@\s*(\d+(?:\.\d+)?)\s*deg""),"""")&lt;&gt;"""",
    1/COS(RADIANS(REGEXEXTRACT(C411,""@\s*(\d+(?:"&amp;"\.\d+)?)\s*deg""))),
    IF(
      F411&lt;&gt;"""",
      IF(
        ISNUMBER(SEARCH(""|"",F411)),
        1/COS(
          ATAN(
            TAN(RADIANS(VALUE(INDEX(SPLIT(F411,""|""),1)))) *
            TAN(RADIANS(VALUE(INDEX(SPLIT(F411,""|""),2))))
       "&amp;"     /
            SQRT(
              TAN(RADIANS(VALUE(INDEX(SPLIT(F411,""|""),1))))^2 +
              TAN(RADIANS(VALUE(INDEX(SPLIT(F411,""|""),2))))^2
            )
          )
        ),
        1/COS(RADIANS(VALUE(F411)))
      ),
      1
    )
  )
"&amp;")"),1.0)</f>
        <v>1</v>
      </c>
      <c r="O411" s="169">
        <v>1.0</v>
      </c>
      <c r="P411" s="134">
        <v>1.0</v>
      </c>
      <c r="Q411" s="168">
        <f t="shared" ref="Q411:Q414" si="316">M411*N411*O411*P411</f>
        <v>25.2</v>
      </c>
      <c r="R411" s="136" t="str">
        <f>IFERROR(
  IF(B411="", "", VLOOKUP(B411, Data!$B$2:$K$905, 9, FALSE)),
  ""
)</f>
        <v/>
      </c>
      <c r="S411" s="152">
        <f t="shared" ref="S411:S414" si="317">R411*Q411</f>
        <v>0</v>
      </c>
      <c r="T411" s="690"/>
      <c r="U411" s="136" t="str">
        <f>IFERROR(
  IF(B411="", "", VLOOKUP(B411, Data!$B$2:$K$905, 10, FALSE)),
  ""
)
</f>
        <v/>
      </c>
      <c r="V411" s="691"/>
      <c r="W411" s="140">
        <f t="shared" ref="W411:W414" si="318">U411*Q411</f>
        <v>0</v>
      </c>
      <c r="X411" s="692"/>
      <c r="Y411" s="693"/>
      <c r="Z411" s="731"/>
      <c r="AA411" s="595"/>
      <c r="AB411" s="354">
        <f t="shared" ref="AB411:AB417" si="319">W411+S411</f>
        <v>0</v>
      </c>
      <c r="AC411" s="181"/>
      <c r="AD411" s="625"/>
      <c r="AE411" s="626"/>
      <c r="AF411" s="696"/>
      <c r="AG411" s="697"/>
      <c r="AH411" s="629"/>
      <c r="AI411" s="187"/>
      <c r="AJ411" s="630"/>
      <c r="AK411" s="630"/>
      <c r="AL411" s="595"/>
      <c r="AM411" s="595"/>
      <c r="AN411" s="595"/>
      <c r="AO411" s="595"/>
      <c r="AP411" s="595"/>
      <c r="AQ411" s="595"/>
      <c r="AR411" s="595"/>
      <c r="AS411" s="595"/>
      <c r="AT411" s="595"/>
      <c r="AU411" s="595"/>
      <c r="AV411" s="595"/>
      <c r="AW411" s="595"/>
      <c r="AX411" s="595"/>
      <c r="AY411" s="595"/>
      <c r="AZ411" s="595"/>
      <c r="BA411" s="595"/>
      <c r="BB411" s="595"/>
      <c r="BC411" s="595"/>
      <c r="BD411" s="595"/>
      <c r="BE411" s="595"/>
      <c r="BF411" s="595"/>
      <c r="BG411" s="595"/>
      <c r="BH411" s="595"/>
      <c r="BI411" s="651"/>
      <c r="BJ411" s="651"/>
      <c r="BK411" s="651"/>
      <c r="BL411" s="651"/>
      <c r="BM411" s="651"/>
      <c r="BN411" s="651"/>
      <c r="BO411" s="651"/>
      <c r="BP411" s="651"/>
      <c r="BQ411" s="651"/>
      <c r="BR411" s="651"/>
      <c r="BS411" s="651"/>
      <c r="BT411" s="651"/>
    </row>
    <row r="412">
      <c r="A412" s="631"/>
      <c r="B412" s="154" t="str">
        <f>IFERROR(__xludf.DUMMYFUNCTION("IFERROR(
  IF(C412="""","""",
    IF(OR(REGEXMATCH(D412,""(?i)-Flashing""), REGEXMATCH(D412,""(?i)-EavesGut""), REGEXMATCH(D412,""(?i)Valley"")),
        ""DR"" &amp;
        TEXT(
            ROUNDUP(
                MIN(
                    VALUE(MID(C412, "&amp;"FIND(""("",C412)+1, FIND(""/"",C412)-FIND(""("",C412)-1)),
                    1200
                ) / 50, 0
            ) * 50, ""0""
        ) &amp;
        MID(C412, FIND(""/"",C412)+1, FIND("")"",C412)-FIND(""/"",C412)-1) &amp;
        TEXT(H412*100,""0"") &amp;"&amp;"
        I412,
    IF(AND(D412=""Roof Sheet"", REGEXMATCH(C412,""(?i)KS\d{4}[A-Z]{2}"")),
       REGEXEXTRACT(C412,""(?i)KS\d{4}[A-Z]{2}""),
    IF(AND(REGEXMATCH(D412,""(?i)-DP""), REGEXMATCH(C412,""(?i)Downpipe"")),
       ""dp"" &amp; REGEXEXTRACT(C412,""("&amp;"\d+)"") &amp; ""mm"",
    IF(AND(REGEXMATCH(D412,""(?i)Bracket""), REGEXMATCH(C412,""(?i)Bracket"")),
       ""Brkt"" &amp; REGEXEXTRACT(C412,""(\d+)"") &amp; ""mm"",
    IF(AND(REGEXMATCH(D412,""(?i)-OP""), REGEXMATCH(C412,""(?i)pops"")),
       ""op"" &amp; REGEXEXTRAC"&amp;"T(C412,""(\d+)"") &amp; ""mm"",
    IF(OR(D412=""R-FFTop"", D412=""R-FFBottom"", D412=""R-FFSide""),
        IF(REGEXMATCH(C412,""(?i)Profiled.*Top|Top.*Profiled""),""pfft"",
        IF(REGEXMATCH(C412,""(?i)Profiled.*Bottom|Bottom.*Profiled""),""pffb"",
    "&amp;"    IF(REGEXMATCH(C412,""(?i)Square""),""sff"",""""))),
    IF(REGEXMATCH(D412,""(?i)-Rivets""),""Rvt"",
    IF(REGEXMATCH(D412,""(?i)Silicone""),""300ml"",
    IF(REGEXMATCH(D412,""(?i)R-Butyl""),""300ml"",
    IF(REGEXMATCH(D412,""(?i)Fix""),""GenFix"","&amp;"
    IF(AND(REGEXMATCH(C412,""(?i)Timber""), REGEXMATCH(D412,""(?i)Timber"")),""tp"",
    IF(AND(REGEXMATCH(C412,""(?i)Vent G1275""), REGEXMATCH(D412,""(?i)Comb FIller"")),""CFV1275"",
    IF(REGEXMATCH(C412,""(?i)DPC""),""dpc"",
    IF(REGEXMATCH(C412,"""&amp;"(?i)Concealed Clips""),""ConClips"",
    IF(REGEXMATCH(D412,""(?i)-Takeoff ea""),""Takeoff ea"",
    IF(REGEXMATCH(D412,""(?i)-Takeoff LM""),""Takeoff LM"",
    IF(REGEXMATCH(D412,""(?i)-Takeoff m2""),""Takeoff m2"",
    IF(D412=""R-TU/TD"",""TU/TD"","""""&amp;")))))))))))))))))
  )))"),"300ml")</f>
        <v>300ml</v>
      </c>
      <c r="C412" s="734" t="s">
        <v>98</v>
      </c>
      <c r="D412" s="124" t="s">
        <v>99</v>
      </c>
      <c r="E412" s="687">
        <f>E411</f>
        <v>0.3</v>
      </c>
      <c r="F412" s="721"/>
      <c r="G412" s="225"/>
      <c r="H412" s="700" t="str">
        <f>IFERROR(__xludf.DUMMYFUNCTION("IFERROR(REGEXEXTRACT(C412, ""(\d*\.\d+)mm""), """")"),"")</f>
        <v/>
      </c>
      <c r="I412" s="700"/>
      <c r="J412" s="126" t="s">
        <v>87</v>
      </c>
      <c r="K412" s="126" t="str">
        <f>IFERROR(
  IF(B412="", "", VLOOKUP(B412, Data!$B$2:$K$905, 7, FALSE)),
  ""
)</f>
        <v/>
      </c>
      <c r="L412" s="704"/>
      <c r="M412" s="150">
        <f>(ROUNDDOWN((M411/5.7)+2,0)*E412)/8</f>
        <v>0.225</v>
      </c>
      <c r="N412" s="151">
        <f t="shared" ref="N412:N416" si="320">if(B412="","",(if(N411="",N410,N411)))</f>
        <v>1</v>
      </c>
      <c r="O412" s="169">
        <v>1.0</v>
      </c>
      <c r="P412" s="134">
        <v>1.0</v>
      </c>
      <c r="Q412" s="168">
        <f t="shared" si="316"/>
        <v>0.225</v>
      </c>
      <c r="R412" s="136" t="str">
        <f>IFERROR(
  IF(B412="", "", VLOOKUP(B412, Data!$B$2:$K$905, 9, FALSE)),
  ""
)</f>
        <v/>
      </c>
      <c r="S412" s="152">
        <f t="shared" si="317"/>
        <v>0</v>
      </c>
      <c r="T412" s="690"/>
      <c r="U412" s="136" t="str">
        <f>IFERROR(
  IF(B412="", "", VLOOKUP(B412, Data!$B$2:$K$905, 10, FALSE)),
  ""
)
</f>
        <v/>
      </c>
      <c r="V412" s="691"/>
      <c r="W412" s="140">
        <f t="shared" si="318"/>
        <v>0</v>
      </c>
      <c r="X412" s="692"/>
      <c r="Y412" s="595"/>
      <c r="Z412" s="595"/>
      <c r="AA412" s="595"/>
      <c r="AB412" s="354">
        <f t="shared" si="319"/>
        <v>0</v>
      </c>
      <c r="AC412" s="181"/>
      <c r="AD412" s="625"/>
      <c r="AE412" s="626"/>
      <c r="AF412" s="696"/>
      <c r="AG412" s="697"/>
      <c r="AH412" s="629"/>
      <c r="AI412" s="187"/>
      <c r="AJ412" s="630"/>
      <c r="AK412" s="630"/>
      <c r="AL412" s="595"/>
      <c r="AM412" s="595"/>
      <c r="AN412" s="595"/>
      <c r="AO412" s="595"/>
      <c r="AP412" s="595"/>
      <c r="AQ412" s="595"/>
      <c r="AR412" s="595"/>
      <c r="AS412" s="595"/>
      <c r="AT412" s="595"/>
      <c r="AU412" s="595"/>
      <c r="AV412" s="595"/>
      <c r="AW412" s="595"/>
      <c r="AX412" s="595"/>
      <c r="AY412" s="595"/>
      <c r="AZ412" s="595"/>
      <c r="BA412" s="595"/>
      <c r="BB412" s="595"/>
      <c r="BC412" s="595"/>
      <c r="BD412" s="595"/>
      <c r="BE412" s="595"/>
      <c r="BF412" s="595"/>
      <c r="BG412" s="595"/>
      <c r="BH412" s="595"/>
      <c r="BI412" s="651"/>
      <c r="BJ412" s="651"/>
      <c r="BK412" s="651"/>
      <c r="BL412" s="651"/>
      <c r="BM412" s="651"/>
      <c r="BN412" s="651"/>
      <c r="BO412" s="651"/>
      <c r="BP412" s="651"/>
      <c r="BQ412" s="651"/>
      <c r="BR412" s="651"/>
      <c r="BS412" s="651"/>
      <c r="BT412" s="651"/>
    </row>
    <row r="413">
      <c r="A413" s="631"/>
      <c r="B413" s="154" t="str">
        <f>IFERROR(__xludf.DUMMYFUNCTION("IFERROR(
  IF(C413="""","""",
    IF(OR(REGEXMATCH(D413,""(?i)-Flashing""), REGEXMATCH(D413,""(?i)-EavesGut""), REGEXMATCH(D413,""(?i)Valley"")),
        ""DR"" &amp;
        TEXT(
            ROUNDUP(
                MIN(
                    VALUE(MID(C413, "&amp;"FIND(""("",C413)+1, FIND(""/"",C413)-FIND(""("",C413)-1)),
                    1200
                ) / 50, 0
            ) * 50, ""0""
        ) &amp;
        MID(C413, FIND(""/"",C413)+1, FIND("")"",C413)-FIND(""/"",C413)-1) &amp;
        TEXT(H413*100,""0"") &amp;"&amp;"
        I413,
    IF(AND(D413=""Roof Sheet"", REGEXMATCH(C413,""(?i)KS\d{4}[A-Z]{2}"")),
       REGEXEXTRACT(C413,""(?i)KS\d{4}[A-Z]{2}""),
    IF(AND(REGEXMATCH(D413,""(?i)-DP""), REGEXMATCH(C413,""(?i)Downpipe"")),
       ""dp"" &amp; REGEXEXTRACT(C413,""("&amp;"\d+)"") &amp; ""mm"",
    IF(AND(REGEXMATCH(D413,""(?i)Bracket""), REGEXMATCH(C413,""(?i)Bracket"")),
       ""Brkt"" &amp; REGEXEXTRACT(C413,""(\d+)"") &amp; ""mm"",
    IF(AND(REGEXMATCH(D413,""(?i)-OP""), REGEXMATCH(C413,""(?i)pops"")),
       ""op"" &amp; REGEXEXTRAC"&amp;"T(C413,""(\d+)"") &amp; ""mm"",
    IF(OR(D413=""R-FFTop"", D413=""R-FFBottom"", D413=""R-FFSide""),
        IF(REGEXMATCH(C413,""(?i)Profiled.*Top|Top.*Profiled""),""pfft"",
        IF(REGEXMATCH(C413,""(?i)Profiled.*Bottom|Bottom.*Profiled""),""pffb"",
    "&amp;"    IF(REGEXMATCH(C413,""(?i)Square""),""sff"",""""))),
    IF(REGEXMATCH(D413,""(?i)-Rivets""),""Rvt"",
    IF(REGEXMATCH(D413,""(?i)Silicone""),""300ml"",
    IF(REGEXMATCH(D413,""(?i)R-Butyl""),""300ml"",
    IF(REGEXMATCH(D413,""(?i)Fix""),""GenFix"","&amp;"
    IF(AND(REGEXMATCH(C413,""(?i)Timber""), REGEXMATCH(D413,""(?i)Timber"")),""tp"",
    IF(AND(REGEXMATCH(C413,""(?i)Vent G1275""), REGEXMATCH(D413,""(?i)Comb FIller"")),""CFV1275"",
    IF(REGEXMATCH(C413,""(?i)DPC""),""dpc"",
    IF(REGEXMATCH(C413,"""&amp;"(?i)Concealed Clips""),""ConClips"",
    IF(REGEXMATCH(D413,""(?i)-Takeoff ea""),""Takeoff ea"",
    IF(REGEXMATCH(D413,""(?i)-Takeoff LM""),""Takeoff LM"",
    IF(REGEXMATCH(D413,""(?i)-Takeoff m2""),""Takeoff m2"",
    IF(D413=""R-TU/TD"",""TU/TD"","""""&amp;")))))))))))))))))
  )))"),"Rvt")</f>
        <v>Rvt</v>
      </c>
      <c r="C413" s="734" t="s">
        <v>100</v>
      </c>
      <c r="D413" s="124" t="s">
        <v>101</v>
      </c>
      <c r="E413" s="687">
        <f>E411</f>
        <v>0.3</v>
      </c>
      <c r="F413" s="721"/>
      <c r="G413" s="225"/>
      <c r="H413" s="700" t="str">
        <f>IFERROR(__xludf.DUMMYFUNCTION("IFERROR(REGEXEXTRACT(C413, ""(\d*\.\d+)mm""), """")"),"")</f>
        <v/>
      </c>
      <c r="I413" s="700"/>
      <c r="J413" s="126" t="s">
        <v>87</v>
      </c>
      <c r="K413" s="126" t="str">
        <f>IFERROR(
  IF(B413="", "", VLOOKUP(B413, Data!$B$2:$K$905, 7, FALSE)),
  ""
)</f>
        <v/>
      </c>
      <c r="L413" s="704"/>
      <c r="M413" s="150">
        <f>ROUNDUP(((M411/5.7)+1)*(E413/0.05),0)</f>
        <v>33</v>
      </c>
      <c r="N413" s="151">
        <f t="shared" si="320"/>
        <v>1</v>
      </c>
      <c r="O413" s="169">
        <v>1.0</v>
      </c>
      <c r="P413" s="134">
        <v>1.0</v>
      </c>
      <c r="Q413" s="168">
        <f t="shared" si="316"/>
        <v>33</v>
      </c>
      <c r="R413" s="136" t="str">
        <f>IFERROR(
  IF(B413="", "", VLOOKUP(B413, Data!$B$2:$K$905, 9, FALSE)),
  ""
)</f>
        <v/>
      </c>
      <c r="S413" s="152">
        <f t="shared" si="317"/>
        <v>0</v>
      </c>
      <c r="T413" s="690"/>
      <c r="U413" s="136" t="str">
        <f>IFERROR(
  IF(B413="", "", VLOOKUP(B413, Data!$B$2:$K$905, 10, FALSE)),
  ""
)
</f>
        <v/>
      </c>
      <c r="V413" s="691"/>
      <c r="W413" s="140">
        <f t="shared" si="318"/>
        <v>0</v>
      </c>
      <c r="X413" s="692"/>
      <c r="Y413" s="595"/>
      <c r="Z413" s="595"/>
      <c r="AA413" s="595"/>
      <c r="AB413" s="354">
        <f t="shared" si="319"/>
        <v>0</v>
      </c>
      <c r="AC413" s="181"/>
      <c r="AD413" s="625"/>
      <c r="AE413" s="626"/>
      <c r="AF413" s="696"/>
      <c r="AG413" s="697"/>
      <c r="AH413" s="629"/>
      <c r="AI413" s="187"/>
      <c r="AJ413" s="630"/>
      <c r="AK413" s="630"/>
      <c r="AL413" s="595"/>
      <c r="AM413" s="595"/>
      <c r="AN413" s="595"/>
      <c r="AO413" s="595"/>
      <c r="AP413" s="595"/>
      <c r="AQ413" s="595"/>
      <c r="AR413" s="595"/>
      <c r="AS413" s="595"/>
      <c r="AT413" s="595"/>
      <c r="AU413" s="595"/>
      <c r="AV413" s="595"/>
      <c r="AW413" s="595"/>
      <c r="AX413" s="595"/>
      <c r="AY413" s="595"/>
      <c r="AZ413" s="595"/>
      <c r="BA413" s="595"/>
      <c r="BB413" s="595"/>
      <c r="BC413" s="595"/>
      <c r="BD413" s="595"/>
      <c r="BE413" s="595"/>
      <c r="BF413" s="595"/>
      <c r="BG413" s="595"/>
      <c r="BH413" s="595"/>
      <c r="BI413" s="651"/>
      <c r="BJ413" s="651"/>
      <c r="BK413" s="651"/>
      <c r="BL413" s="651"/>
      <c r="BM413" s="651"/>
      <c r="BN413" s="651"/>
      <c r="BO413" s="651"/>
      <c r="BP413" s="651"/>
      <c r="BQ413" s="651"/>
      <c r="BR413" s="651"/>
      <c r="BS413" s="651"/>
      <c r="BT413" s="651"/>
    </row>
    <row r="414">
      <c r="A414" s="631"/>
      <c r="B414" s="154" t="str">
        <f>IFERROR(__xludf.DUMMYFUNCTION("IFERROR(
  IF(C414="""","""",
    IF(OR(REGEXMATCH(D414,""(?i)-Flashing""), REGEXMATCH(D414,""(?i)-EavesGut""), REGEXMATCH(D414,""(?i)Valley"")),
        ""DR"" &amp;
        TEXT(
            ROUNDUP(
                MIN(
                    VALUE(MID(C414, "&amp;"FIND(""("",C414)+1, FIND(""/"",C414)-FIND(""("",C414)-1)),
                    1200
                ) / 50, 0
            ) * 50, ""0""
        ) &amp;
        MID(C414, FIND(""/"",C414)+1, FIND("")"",C414)-FIND(""/"",C414)-1) &amp;
        TEXT(H414*100,""0"") &amp;"&amp;"
        I414,
    IF(AND(D414=""Roof Sheet"", REGEXMATCH(C414,""(?i)KS\d{4}[A-Z]{2}"")),
       REGEXEXTRACT(C414,""(?i)KS\d{4}[A-Z]{2}""),
    IF(AND(REGEXMATCH(D414,""(?i)-DP""), REGEXMATCH(C414,""(?i)Downpipe"")),
       ""dp"" &amp; REGEXEXTRACT(C414,""("&amp;"\d+)"") &amp; ""mm"",
    IF(AND(REGEXMATCH(D414,""(?i)Bracket""), REGEXMATCH(C414,""(?i)Bracket"")),
       ""Brkt"" &amp; REGEXEXTRACT(C414,""(\d+)"") &amp; ""mm"",
    IF(AND(REGEXMATCH(D414,""(?i)-OP""), REGEXMATCH(C414,""(?i)pops"")),
       ""op"" &amp; REGEXEXTRAC"&amp;"T(C414,""(\d+)"") &amp; ""mm"",
    IF(OR(D414=""R-FFTop"", D414=""R-FFBottom"", D414=""R-FFSide""),
        IF(REGEXMATCH(C414,""(?i)Profiled.*Top|Top.*Profiled""),""pfft"",
        IF(REGEXMATCH(C414,""(?i)Profiled.*Bottom|Bottom.*Profiled""),""pffb"",
    "&amp;"    IF(REGEXMATCH(C414,""(?i)Square""),""sff"",""""))),
    IF(REGEXMATCH(D414,""(?i)-Rivets""),""Rvt"",
    IF(REGEXMATCH(D414,""(?i)Silicone""),""300ml"",
    IF(REGEXMATCH(D414,""(?i)R-Butyl""),""300ml"",
    IF(REGEXMATCH(D414,""(?i)Fix""),""GenFix"","&amp;"
    IF(AND(REGEXMATCH(C414,""(?i)Timber""), REGEXMATCH(D414,""(?i)Timber"")),""tp"",
    IF(AND(REGEXMATCH(C414,""(?i)Vent G1275""), REGEXMATCH(D414,""(?i)Comb FIller"")),""CFV1275"",
    IF(REGEXMATCH(C414,""(?i)DPC""),""dpc"",
    IF(REGEXMATCH(C414,"""&amp;"(?i)Concealed Clips""),""ConClips"",
    IF(REGEXMATCH(D414,""(?i)-Takeoff ea""),""Takeoff ea"",
    IF(REGEXMATCH(D414,""(?i)-Takeoff LM""),""Takeoff LM"",
    IF(REGEXMATCH(D414,""(?i)-Takeoff m2""),""Takeoff m2"",
    IF(D414=""R-TU/TD"",""TU/TD"","""""&amp;")))))))))))))))))
  )))"),"GenFix")</f>
        <v>GenFix</v>
      </c>
      <c r="C414" s="698" t="s">
        <v>102</v>
      </c>
      <c r="D414" s="124" t="s">
        <v>103</v>
      </c>
      <c r="E414" s="722"/>
      <c r="F414" s="721"/>
      <c r="G414" s="158"/>
      <c r="H414" s="700"/>
      <c r="I414" s="700"/>
      <c r="J414" s="126" t="s">
        <v>87</v>
      </c>
      <c r="K414" s="126" t="str">
        <f>IFERROR(
  IF(B414="", "", VLOOKUP(B414, Data!$B$2:$K$905, 7, FALSE)),
  ""
)</f>
        <v/>
      </c>
      <c r="L414" s="712"/>
      <c r="M414" s="150">
        <f>ROUNDUP(M411/0.6,0)+1</f>
        <v>43</v>
      </c>
      <c r="N414" s="151">
        <f t="shared" si="320"/>
        <v>1</v>
      </c>
      <c r="O414" s="169">
        <v>1.0</v>
      </c>
      <c r="P414" s="134">
        <v>2.0</v>
      </c>
      <c r="Q414" s="168">
        <f t="shared" si="316"/>
        <v>86</v>
      </c>
      <c r="R414" s="136" t="str">
        <f>IFERROR(
  IF(B414="", "", VLOOKUP(B414, Data!$B$2:$K$905, 9, FALSE)),
  ""
)</f>
        <v/>
      </c>
      <c r="S414" s="152">
        <f t="shared" si="317"/>
        <v>0</v>
      </c>
      <c r="T414" s="690"/>
      <c r="U414" s="136" t="str">
        <f>IFERROR(
  IF(B414="", "", VLOOKUP(B414, Data!$B$2:$K$905, 10, FALSE)),
  ""
)
</f>
        <v/>
      </c>
      <c r="V414" s="691"/>
      <c r="W414" s="140">
        <f t="shared" si="318"/>
        <v>0</v>
      </c>
      <c r="X414" s="692"/>
      <c r="Y414" s="595"/>
      <c r="Z414" s="595"/>
      <c r="AA414" s="595"/>
      <c r="AB414" s="354">
        <f t="shared" si="319"/>
        <v>0</v>
      </c>
      <c r="AC414" s="181"/>
      <c r="AD414" s="625"/>
      <c r="AE414" s="626"/>
      <c r="AF414" s="696"/>
      <c r="AG414" s="697"/>
      <c r="AH414" s="629"/>
      <c r="AI414" s="187"/>
      <c r="AJ414" s="630"/>
      <c r="AK414" s="630"/>
      <c r="AL414" s="595"/>
      <c r="AM414" s="595"/>
      <c r="AN414" s="595"/>
      <c r="AO414" s="595"/>
      <c r="AP414" s="595"/>
      <c r="AQ414" s="595"/>
      <c r="AR414" s="595"/>
      <c r="AS414" s="595"/>
      <c r="AT414" s="595"/>
      <c r="AU414" s="595"/>
      <c r="AV414" s="595"/>
      <c r="AW414" s="595"/>
      <c r="AX414" s="595"/>
      <c r="AY414" s="595"/>
      <c r="AZ414" s="595"/>
      <c r="BA414" s="595"/>
      <c r="BB414" s="595"/>
      <c r="BC414" s="595"/>
      <c r="BD414" s="595"/>
      <c r="BE414" s="595"/>
      <c r="BF414" s="595"/>
      <c r="BG414" s="595"/>
      <c r="BH414" s="595"/>
      <c r="BI414" s="651"/>
      <c r="BJ414" s="651"/>
      <c r="BK414" s="651"/>
      <c r="BL414" s="651"/>
      <c r="BM414" s="651"/>
      <c r="BN414" s="651"/>
      <c r="BO414" s="651"/>
      <c r="BP414" s="651"/>
      <c r="BQ414" s="651"/>
      <c r="BR414" s="651"/>
      <c r="BS414" s="651"/>
      <c r="BT414" s="651"/>
    </row>
    <row r="415">
      <c r="A415" s="631"/>
      <c r="B415" s="154"/>
      <c r="C415" s="698"/>
      <c r="D415" s="124"/>
      <c r="E415" s="722"/>
      <c r="F415" s="721"/>
      <c r="G415" s="158"/>
      <c r="H415" s="700"/>
      <c r="I415" s="700"/>
      <c r="J415" s="126"/>
      <c r="K415" s="126"/>
      <c r="L415" s="712"/>
      <c r="M415" s="150"/>
      <c r="N415" s="151" t="str">
        <f t="shared" si="320"/>
        <v/>
      </c>
      <c r="O415" s="169"/>
      <c r="P415" s="134"/>
      <c r="Q415" s="168"/>
      <c r="R415" s="136"/>
      <c r="S415" s="152"/>
      <c r="T415" s="690"/>
      <c r="U415" s="136"/>
      <c r="V415" s="691"/>
      <c r="W415" s="140"/>
      <c r="X415" s="692"/>
      <c r="Y415" s="595"/>
      <c r="Z415" s="595"/>
      <c r="AA415" s="595"/>
      <c r="AB415" s="354">
        <f t="shared" si="319"/>
        <v>0</v>
      </c>
      <c r="AC415" s="181"/>
      <c r="AD415" s="625"/>
      <c r="AE415" s="626"/>
      <c r="AF415" s="696"/>
      <c r="AG415" s="697"/>
      <c r="AH415" s="629"/>
      <c r="AI415" s="187"/>
      <c r="AJ415" s="630"/>
      <c r="AK415" s="630"/>
      <c r="AL415" s="595"/>
      <c r="AM415" s="595"/>
      <c r="AN415" s="595"/>
      <c r="AO415" s="595"/>
      <c r="AP415" s="595"/>
      <c r="AQ415" s="595"/>
      <c r="AR415" s="595"/>
      <c r="AS415" s="595"/>
      <c r="AT415" s="595"/>
      <c r="AU415" s="595"/>
      <c r="AV415" s="595"/>
      <c r="AW415" s="595"/>
      <c r="AX415" s="595"/>
      <c r="AY415" s="595"/>
      <c r="AZ415" s="595"/>
      <c r="BA415" s="595"/>
      <c r="BB415" s="595"/>
      <c r="BC415" s="595"/>
      <c r="BD415" s="595"/>
      <c r="BE415" s="595"/>
      <c r="BF415" s="595"/>
      <c r="BG415" s="595"/>
      <c r="BH415" s="595"/>
      <c r="BI415" s="651"/>
      <c r="BJ415" s="651"/>
      <c r="BK415" s="651"/>
      <c r="BL415" s="651"/>
      <c r="BM415" s="651"/>
      <c r="BN415" s="651"/>
      <c r="BO415" s="651"/>
      <c r="BP415" s="651"/>
      <c r="BQ415" s="651"/>
      <c r="BR415" s="651"/>
      <c r="BS415" s="651"/>
      <c r="BT415" s="651"/>
    </row>
    <row r="416">
      <c r="A416" s="716" t="s">
        <v>435</v>
      </c>
      <c r="B416" s="122" t="s">
        <v>128</v>
      </c>
      <c r="C416" s="123" t="s">
        <v>464</v>
      </c>
      <c r="D416" s="148" t="s">
        <v>130</v>
      </c>
      <c r="E416" s="722"/>
      <c r="F416" s="721"/>
      <c r="G416" s="158"/>
      <c r="H416" s="700"/>
      <c r="I416" s="700"/>
      <c r="J416" s="126" t="s">
        <v>87</v>
      </c>
      <c r="K416" s="126" t="str">
        <f>IFERROR(
  IF(B416="", "", VLOOKUP(B416, Data!$B$2:$K$905, 7, FALSE)),
  ""
)</f>
        <v/>
      </c>
      <c r="L416" s="712"/>
      <c r="M416" s="150">
        <f>M411</f>
        <v>25.2</v>
      </c>
      <c r="N416" s="151">
        <f t="shared" si="320"/>
        <v>1</v>
      </c>
      <c r="O416" s="169">
        <v>1.0</v>
      </c>
      <c r="P416" s="156">
        <v>1.0</v>
      </c>
      <c r="Q416" s="168">
        <f>M416*N416*O416*P416</f>
        <v>25.2</v>
      </c>
      <c r="R416" s="136" t="str">
        <f>IFERROR(
  IF(B416="", "", VLOOKUP(B416, Data!$B$2:$K$905, 9, FALSE)),
  ""
)</f>
        <v/>
      </c>
      <c r="S416" s="152">
        <f>R416*Q416</f>
        <v>0</v>
      </c>
      <c r="T416" s="690"/>
      <c r="U416" s="136" t="str">
        <f>IFERROR(
  IF(B416="", "", VLOOKUP(B416, Data!$B$2:$K$905, 10, FALSE)),
  ""
)
</f>
        <v/>
      </c>
      <c r="V416" s="691"/>
      <c r="W416" s="140">
        <f>U416*Q416</f>
        <v>0</v>
      </c>
      <c r="X416" s="692"/>
      <c r="Y416" s="595"/>
      <c r="Z416" s="595"/>
      <c r="AA416" s="595"/>
      <c r="AB416" s="354">
        <f t="shared" si="319"/>
        <v>0</v>
      </c>
      <c r="AC416" s="181"/>
      <c r="AD416" s="625"/>
      <c r="AE416" s="626"/>
      <c r="AF416" s="696"/>
      <c r="AG416" s="697"/>
      <c r="AH416" s="629"/>
      <c r="AI416" s="187"/>
      <c r="AJ416" s="630"/>
      <c r="AK416" s="630"/>
      <c r="AL416" s="595"/>
      <c r="AM416" s="595"/>
      <c r="AN416" s="595"/>
      <c r="AO416" s="595"/>
      <c r="AP416" s="595"/>
      <c r="AQ416" s="595"/>
      <c r="AR416" s="595"/>
      <c r="AS416" s="595"/>
      <c r="AT416" s="595"/>
      <c r="AU416" s="595"/>
      <c r="AV416" s="595"/>
      <c r="AW416" s="595"/>
      <c r="AX416" s="595"/>
      <c r="AY416" s="595"/>
      <c r="AZ416" s="595"/>
      <c r="BA416" s="595"/>
      <c r="BB416" s="595"/>
      <c r="BC416" s="595"/>
      <c r="BD416" s="595"/>
      <c r="BE416" s="595"/>
      <c r="BF416" s="595"/>
      <c r="BG416" s="595"/>
      <c r="BH416" s="595"/>
      <c r="BI416" s="651"/>
      <c r="BJ416" s="651"/>
      <c r="BK416" s="651"/>
      <c r="BL416" s="651"/>
      <c r="BM416" s="651"/>
      <c r="BN416" s="651"/>
      <c r="BO416" s="651"/>
      <c r="BP416" s="651"/>
      <c r="BQ416" s="651"/>
      <c r="BR416" s="651"/>
      <c r="BS416" s="651"/>
      <c r="BT416" s="651"/>
    </row>
    <row r="417">
      <c r="A417" s="631"/>
      <c r="B417" s="154"/>
      <c r="C417" s="734"/>
      <c r="D417" s="124"/>
      <c r="E417" s="722"/>
      <c r="F417" s="721"/>
      <c r="G417" s="158"/>
      <c r="H417" s="700"/>
      <c r="I417" s="700"/>
      <c r="J417" s="126"/>
      <c r="K417" s="126"/>
      <c r="L417" s="712"/>
      <c r="M417" s="150"/>
      <c r="N417" s="151"/>
      <c r="O417" s="169"/>
      <c r="P417" s="134"/>
      <c r="Q417" s="168"/>
      <c r="R417" s="136" t="str">
        <f>IFERROR(
  IF(B417="", "", VLOOKUP(B417, Data!$B$2:$K$905, 9, FALSE)),
  ""
)</f>
        <v/>
      </c>
      <c r="S417" s="152"/>
      <c r="T417" s="690"/>
      <c r="U417" s="136" t="str">
        <f>IFERROR(
  IF(B417="", "", VLOOKUP(B417, Data!$B$2:$K$905, 10, FALSE)),
  ""
)
</f>
        <v/>
      </c>
      <c r="V417" s="691"/>
      <c r="W417" s="140"/>
      <c r="X417" s="692"/>
      <c r="Y417" s="595"/>
      <c r="Z417" s="595"/>
      <c r="AA417" s="595"/>
      <c r="AB417" s="354">
        <f t="shared" si="319"/>
        <v>0</v>
      </c>
      <c r="AC417" s="181"/>
      <c r="AD417" s="625"/>
      <c r="AE417" s="626"/>
      <c r="AF417" s="696"/>
      <c r="AG417" s="697"/>
      <c r="AH417" s="629"/>
      <c r="AI417" s="187"/>
      <c r="AJ417" s="630"/>
      <c r="AK417" s="630"/>
      <c r="AL417" s="595"/>
      <c r="AM417" s="595"/>
      <c r="AN417" s="595"/>
      <c r="AO417" s="595"/>
      <c r="AP417" s="595"/>
      <c r="AQ417" s="595"/>
      <c r="AR417" s="595"/>
      <c r="AS417" s="595"/>
      <c r="AT417" s="595"/>
      <c r="AU417" s="595"/>
      <c r="AV417" s="595"/>
      <c r="AW417" s="595"/>
      <c r="AX417" s="595"/>
      <c r="AY417" s="595"/>
      <c r="AZ417" s="595"/>
      <c r="BA417" s="595"/>
      <c r="BB417" s="595"/>
      <c r="BC417" s="595"/>
      <c r="BD417" s="595"/>
      <c r="BE417" s="595"/>
      <c r="BF417" s="595"/>
      <c r="BG417" s="595"/>
      <c r="BH417" s="595"/>
      <c r="BI417" s="651"/>
      <c r="BJ417" s="651"/>
      <c r="BK417" s="651"/>
      <c r="BL417" s="651"/>
      <c r="BM417" s="651"/>
      <c r="BN417" s="651"/>
      <c r="BO417" s="651"/>
      <c r="BP417" s="651"/>
      <c r="BQ417" s="651"/>
      <c r="BR417" s="651"/>
      <c r="BS417" s="651"/>
      <c r="BT417" s="651"/>
    </row>
    <row r="418">
      <c r="A418" s="631">
        <v>1.0</v>
      </c>
      <c r="B418" s="764" t="s">
        <v>425</v>
      </c>
      <c r="C418" s="89" t="s">
        <v>477</v>
      </c>
      <c r="D418" s="656"/>
      <c r="E418" s="654"/>
      <c r="F418" s="655"/>
      <c r="G418" s="656"/>
      <c r="H418" s="656"/>
      <c r="I418" s="656"/>
      <c r="J418" s="656"/>
      <c r="K418" s="656" t="s">
        <v>42</v>
      </c>
      <c r="L418" s="658"/>
      <c r="M418" s="658" t="s">
        <v>42</v>
      </c>
      <c r="N418" s="659"/>
      <c r="O418" s="658"/>
      <c r="P418" s="656"/>
      <c r="Q418" s="658"/>
      <c r="R418" s="681" t="str">
        <f>IFERROR(
  IF(B418="", "", VLOOKUP(B418, Data!$B$2:$K$905, 9, FALSE)),
  ""
)</f>
        <v/>
      </c>
      <c r="S418" s="662"/>
      <c r="T418" s="661"/>
      <c r="U418" s="681" t="str">
        <f>IFERROR(
  IF(B418="", "", VLOOKUP(B418, Data!$B$2:$K$905, 10, FALSE)),
  ""
)
</f>
        <v/>
      </c>
      <c r="V418" s="662"/>
      <c r="W418" s="663"/>
      <c r="X418" s="692"/>
      <c r="Y418" s="595"/>
      <c r="Z418" s="595"/>
      <c r="AA418" s="595"/>
      <c r="AB418" s="595"/>
      <c r="AC418" s="181"/>
      <c r="AD418" s="625"/>
      <c r="AE418" s="626"/>
      <c r="AF418" s="696"/>
      <c r="AG418" s="697"/>
      <c r="AH418" s="629"/>
      <c r="AI418" s="187"/>
      <c r="AJ418" s="630"/>
      <c r="AK418" s="630"/>
      <c r="AL418" s="595"/>
      <c r="AM418" s="595"/>
      <c r="AN418" s="595"/>
      <c r="AO418" s="595"/>
      <c r="AP418" s="595"/>
      <c r="AQ418" s="595"/>
      <c r="AR418" s="595"/>
      <c r="AS418" s="595"/>
      <c r="AT418" s="595"/>
      <c r="AU418" s="595"/>
      <c r="AV418" s="595"/>
      <c r="AW418" s="595"/>
      <c r="AX418" s="595"/>
      <c r="AY418" s="595"/>
      <c r="AZ418" s="595"/>
      <c r="BA418" s="595"/>
      <c r="BB418" s="595"/>
      <c r="BC418" s="595"/>
      <c r="BD418" s="595"/>
      <c r="BE418" s="595"/>
      <c r="BF418" s="595"/>
      <c r="BG418" s="595"/>
      <c r="BH418" s="595"/>
      <c r="BI418" s="651"/>
      <c r="BJ418" s="651"/>
      <c r="BK418" s="651"/>
      <c r="BL418" s="651"/>
      <c r="BM418" s="651"/>
      <c r="BN418" s="651"/>
      <c r="BO418" s="651"/>
      <c r="BP418" s="651"/>
      <c r="BQ418" s="651"/>
      <c r="BR418" s="651"/>
      <c r="BS418" s="651"/>
      <c r="BT418" s="651"/>
    </row>
    <row r="419">
      <c r="A419" s="631">
        <v>1.0</v>
      </c>
      <c r="B419" s="727"/>
      <c r="C419" s="103" t="s">
        <v>522</v>
      </c>
      <c r="D419" s="678"/>
      <c r="E419" s="676"/>
      <c r="F419" s="677"/>
      <c r="G419" s="678"/>
      <c r="H419" s="678"/>
      <c r="I419" s="678"/>
      <c r="J419" s="678"/>
      <c r="K419" s="678" t="s">
        <v>42</v>
      </c>
      <c r="L419" s="106">
        <f>Q419</f>
        <v>25.2</v>
      </c>
      <c r="M419" s="679" t="s">
        <v>42</v>
      </c>
      <c r="N419" s="680"/>
      <c r="O419" s="679"/>
      <c r="P419" s="678"/>
      <c r="Q419" s="106">
        <f>Q420</f>
        <v>25.2</v>
      </c>
      <c r="R419" s="681" t="str">
        <f>IFERROR(
  IF(B419="", "", VLOOKUP(B419, Data!$B$2:$K$905, 9, FALSE)),
  ""
)</f>
        <v/>
      </c>
      <c r="S419" s="682">
        <f>IFERROR(T419/Q419, 0)</f>
        <v>0</v>
      </c>
      <c r="T419" s="109">
        <f>SUM(S420:S430)</f>
        <v>0</v>
      </c>
      <c r="U419" s="681" t="str">
        <f>IFERROR(
  IF(B419="", "", VLOOKUP(B419, Data!$B$2:$K$905, 10, FALSE)),
  ""
)
</f>
        <v/>
      </c>
      <c r="V419" s="109">
        <f>W419/Q419</f>
        <v>0</v>
      </c>
      <c r="W419" s="110">
        <f>SUM(W420:W430)</f>
        <v>0</v>
      </c>
      <c r="X419" s="111" t="str">
        <f>W419/$AC$758/$W$765/$X$755</f>
        <v>#REF!</v>
      </c>
      <c r="Y419" s="112" t="b">
        <f>(T419+W419)=(SUM(AB420:AB430))</f>
        <v>1</v>
      </c>
      <c r="Z419" s="222">
        <f>(T419+W419)-(SUM(AB420:AB430))</f>
        <v>0</v>
      </c>
      <c r="AA419" s="595"/>
      <c r="AB419" s="595"/>
      <c r="AC419" s="181"/>
      <c r="AD419" s="114">
        <f>W419+T419</f>
        <v>0</v>
      </c>
      <c r="AE419" s="115">
        <f>AD419</f>
        <v>0</v>
      </c>
      <c r="AF419" s="116" t="str">
        <f>AE419/$AE$733</f>
        <v>#REF!</v>
      </c>
      <c r="AG419" s="683" t="str">
        <f>AF419*$AG$740</f>
        <v>#REF!</v>
      </c>
      <c r="AH419" s="118" t="str">
        <f>AF419*$AG$743</f>
        <v>#REF!</v>
      </c>
      <c r="AI419" s="187"/>
      <c r="AJ419" s="119" t="str">
        <f>ROUND(AK419/L419,2)</f>
        <v>#REF!</v>
      </c>
      <c r="AK419" s="119" t="str">
        <f>ROUND(AH419+AG419+AD419,2)</f>
        <v>#REF!</v>
      </c>
      <c r="AL419" s="595"/>
      <c r="AM419" s="595"/>
      <c r="AN419" s="595"/>
      <c r="AO419" s="595"/>
      <c r="AP419" s="595"/>
      <c r="AQ419" s="595"/>
      <c r="AR419" s="595"/>
      <c r="AS419" s="595"/>
      <c r="AT419" s="595"/>
      <c r="AU419" s="595"/>
      <c r="AV419" s="595"/>
      <c r="AW419" s="595"/>
      <c r="AX419" s="595"/>
      <c r="AY419" s="595"/>
      <c r="AZ419" s="595"/>
      <c r="BA419" s="595"/>
      <c r="BB419" s="595"/>
      <c r="BC419" s="595"/>
      <c r="BD419" s="595"/>
      <c r="BE419" s="595"/>
      <c r="BF419" s="595"/>
      <c r="BG419" s="595"/>
      <c r="BH419" s="595"/>
      <c r="BI419" s="651"/>
      <c r="BJ419" s="651"/>
      <c r="BK419" s="651"/>
      <c r="BL419" s="651"/>
      <c r="BM419" s="651"/>
      <c r="BN419" s="651"/>
      <c r="BO419" s="651"/>
      <c r="BP419" s="651"/>
      <c r="BQ419" s="651"/>
      <c r="BR419" s="651"/>
      <c r="BS419" s="651"/>
      <c r="BT419" s="651"/>
    </row>
    <row r="420">
      <c r="A420" s="703" t="s">
        <v>479</v>
      </c>
      <c r="B420" s="154" t="s">
        <v>480</v>
      </c>
      <c r="C420" s="223" t="s">
        <v>481</v>
      </c>
      <c r="D420" s="124" t="s">
        <v>120</v>
      </c>
      <c r="E420" s="687">
        <f>VALUE(MID(C420, FIND("(", C420)+1, FIND("/", C420)-FIND("(", C420)-1)) / 1000</f>
        <v>0.67</v>
      </c>
      <c r="F420" s="721"/>
      <c r="G420" s="689" t="s">
        <v>517</v>
      </c>
      <c r="H420" s="700" t="str">
        <f>IFERROR(__xludf.DUMMYFUNCTION("IFERROR(REGEXEXTRACT(C420, ""(\d*\.\d+)mm""), """")"),"")</f>
        <v/>
      </c>
      <c r="I420" s="128" t="s">
        <v>97</v>
      </c>
      <c r="J420" s="126" t="s">
        <v>14</v>
      </c>
      <c r="K420" s="126" t="str">
        <f>IFERROR(
  IF(B420="", "", VLOOKUP(B420, Data!$B$2:$K$905, 7, FALSE)),
  ""
)</f>
        <v/>
      </c>
      <c r="L420" s="712"/>
      <c r="M420" s="730">
        <v>25.2</v>
      </c>
      <c r="N420" s="151">
        <f>IFERROR(__xludf.DUMMYFUNCTION("IF(B420="""", """", IFERROR(1 / COS(RADIANS(REGEXEXTRACT(F420,""(\d+)""))), 1))"),1.0)</f>
        <v>1</v>
      </c>
      <c r="O420" s="169">
        <v>1.0</v>
      </c>
      <c r="P420" s="134">
        <v>1.0</v>
      </c>
      <c r="Q420" s="168">
        <f t="shared" ref="Q420:Q426" si="321">M420*N420*O420*P420</f>
        <v>25.2</v>
      </c>
      <c r="R420" s="136" t="str">
        <f>IFERROR(
  IF(B420="", "", VLOOKUP(B420, Data!$B$2:$K$905, 9, FALSE)),
  ""
)</f>
        <v/>
      </c>
      <c r="S420" s="152">
        <f t="shared" ref="S420:S426" si="322">R420*Q420</f>
        <v>0</v>
      </c>
      <c r="T420" s="690"/>
      <c r="U420" s="136" t="str">
        <f>IFERROR(
  IF(B420="", "", VLOOKUP(B420, Data!$B$2:$K$905, 10, FALSE)),
  ""
)
</f>
        <v/>
      </c>
      <c r="V420" s="691"/>
      <c r="W420" s="140">
        <f t="shared" ref="W420:W426" si="323">U420*Q420</f>
        <v>0</v>
      </c>
      <c r="X420" s="692"/>
      <c r="Y420" s="595"/>
      <c r="Z420" s="595"/>
      <c r="AA420" s="595"/>
      <c r="AB420" s="354">
        <f t="shared" ref="AB420:AB426" si="324">W420+S420</f>
        <v>0</v>
      </c>
      <c r="AC420" s="181"/>
      <c r="AD420" s="705"/>
      <c r="AE420" s="706"/>
      <c r="AF420" s="707"/>
      <c r="AG420" s="708"/>
      <c r="AH420" s="709"/>
      <c r="AI420" s="187"/>
      <c r="AJ420" s="710"/>
      <c r="AK420" s="710"/>
      <c r="AL420" s="595"/>
      <c r="AM420" s="595"/>
      <c r="AN420" s="595"/>
      <c r="AO420" s="595"/>
      <c r="AP420" s="595"/>
      <c r="AQ420" s="595"/>
      <c r="AR420" s="595"/>
      <c r="AS420" s="595"/>
      <c r="AT420" s="595"/>
      <c r="AU420" s="595"/>
      <c r="AV420" s="595"/>
      <c r="AW420" s="595"/>
      <c r="AX420" s="595"/>
      <c r="AY420" s="595"/>
      <c r="AZ420" s="595"/>
      <c r="BA420" s="595"/>
      <c r="BB420" s="595"/>
      <c r="BC420" s="595"/>
      <c r="BD420" s="595"/>
      <c r="BE420" s="595"/>
      <c r="BF420" s="595"/>
      <c r="BG420" s="595"/>
      <c r="BH420" s="595"/>
      <c r="BI420" s="651"/>
      <c r="BJ420" s="651"/>
      <c r="BK420" s="651"/>
      <c r="BL420" s="651"/>
      <c r="BM420" s="651"/>
      <c r="BN420" s="651"/>
      <c r="BO420" s="651"/>
      <c r="BP420" s="651"/>
      <c r="BQ420" s="651"/>
      <c r="BR420" s="651"/>
      <c r="BS420" s="651"/>
      <c r="BT420" s="651"/>
    </row>
    <row r="421">
      <c r="A421" s="684"/>
      <c r="B421" s="154" t="str">
        <f>IFERROR(__xludf.DUMMYFUNCTION("IFERROR(
  IF(C421="""","""",
    IF(OR(REGEXMATCH(D421,""(?i)-Flashing""), REGEXMATCH(D421,""(?i)-EavesGut""), REGEXMATCH(D421,""(?i)Valley"")),
        ""DR"" &amp;
        TEXT(
            ROUNDUP(
                MIN(
                    VALUE(MID(C421, "&amp;"FIND(""("",C421)+1, FIND(""/"",C421)-FIND(""("",C421)-1)),
                    1200
                ) / 50, 0
            ) * 50, ""0""
        ) &amp;
        MID(C421, FIND(""/"",C421)+1, FIND("")"",C421)-FIND(""/"",C421)-1) &amp;
        TEXT(H421*100,""0"") &amp;"&amp;"
        I421,
    IF(AND(D421=""Roof Sheet"", REGEXMATCH(C421,""(?i)KS\d{4}[A-Z]{2}"")),
       REGEXEXTRACT(C421,""(?i)KS\d{4}[A-Z]{2}""),
    IF(AND(REGEXMATCH(D421,""(?i)-DP""), REGEXMATCH(C421,""(?i)Downpipe"")),
       ""dp"" &amp; REGEXEXTRACT(C421,""("&amp;"\d+)"") &amp; ""mm"",
    IF(AND(REGEXMATCH(D421,""(?i)Bracket""), REGEXMATCH(C421,""(?i)Bracket"")),
       ""Brkt"" &amp; REGEXEXTRACT(C421,""(\d+)"") &amp; ""mm"",
    IF(AND(REGEXMATCH(D421,""(?i)-OP""), REGEXMATCH(C421,""(?i)pops"")),
       ""op"" &amp; REGEXEXTRAC"&amp;"T(C421,""(\d+)"") &amp; ""mm"",
    IF(OR(D421=""R-FFTop"", D421=""R-FFBottom"", D421=""R-FFSide""),
        IF(REGEXMATCH(C421,""(?i)Profiled.*Top|Top.*Profiled""),""pfft"",
        IF(REGEXMATCH(C421,""(?i)Profiled.*Bottom|Bottom.*Profiled""),""pffb"",
    "&amp;"    IF(REGEXMATCH(C421,""(?i)Square""),""sff"",""""))),
    IF(REGEXMATCH(D421,""(?i)-Rivets""),""Rvt"",
    IF(REGEXMATCH(D421,""(?i)Silicone""),""300ml"",
    IF(REGEXMATCH(D421,""(?i)R-Butyl""),""300ml"",
    IF(REGEXMATCH(D421,""(?i)Fix""),""GenFix"","&amp;"
    IF(AND(REGEXMATCH(C421,""(?i)Timber""), REGEXMATCH(D421,""(?i)Timber"")),""tp"",
    IF(AND(REGEXMATCH(C421,""(?i)Vent G1275""), REGEXMATCH(D421,""(?i)Comb FIller"")),""CFV1275"",
    IF(REGEXMATCH(C421,""(?i)DPC""),""dpc"",
    IF(REGEXMATCH(C421,"""&amp;"(?i)Concealed Clips""),""ConClips"",
    IF(REGEXMATCH(D421,""(?i)-Takeoff ea""),""Takeoff ea"",
    IF(REGEXMATCH(D421,""(?i)-Takeoff LM""),""Takeoff LM"",
    IF(REGEXMATCH(D421,""(?i)-Takeoff m2""),""Takeoff m2"",
    IF(D421=""R-TU/TD"",""TU/TD"","""""&amp;")))))))))))))))))
  )))"),"300ml")</f>
        <v>300ml</v>
      </c>
      <c r="C421" s="225" t="s">
        <v>98</v>
      </c>
      <c r="D421" s="124" t="s">
        <v>99</v>
      </c>
      <c r="E421" s="687">
        <f>E420</f>
        <v>0.67</v>
      </c>
      <c r="F421" s="721"/>
      <c r="G421" s="701"/>
      <c r="H421" s="700"/>
      <c r="I421" s="700"/>
      <c r="J421" s="126" t="s">
        <v>87</v>
      </c>
      <c r="K421" s="126" t="str">
        <f>IFERROR(
  IF(B421="", "", VLOOKUP(B421, Data!$B$2:$K$905, 7, FALSE)),
  ""
)</f>
        <v/>
      </c>
      <c r="L421" s="712"/>
      <c r="M421" s="150">
        <f>(ROUNDDOWN((M420/5.7)+2,0)*E421)/8</f>
        <v>0.5025</v>
      </c>
      <c r="N421" s="151">
        <f>IFERROR(__xludf.DUMMYFUNCTION("IF(B421="""", """", IFERROR(1 / COS(RADIANS(REGEXEXTRACT(F421,""(\d+)""))), 1))"),1.0)</f>
        <v>1</v>
      </c>
      <c r="O421" s="169">
        <v>1.0</v>
      </c>
      <c r="P421" s="134">
        <v>1.0</v>
      </c>
      <c r="Q421" s="168">
        <f t="shared" si="321"/>
        <v>0.5025</v>
      </c>
      <c r="R421" s="136" t="str">
        <f>IFERROR(
  IF(B421="", "", VLOOKUP(B421, Data!$B$2:$K$905, 9, FALSE)),
  ""
)</f>
        <v/>
      </c>
      <c r="S421" s="152">
        <f t="shared" si="322"/>
        <v>0</v>
      </c>
      <c r="T421" s="690"/>
      <c r="U421" s="681" t="str">
        <f>IFERROR(
  IF(B421="", "", VLOOKUP(B421, Data!$B$2:$K$905, 10, FALSE)),
  ""
)
</f>
        <v/>
      </c>
      <c r="V421" s="691"/>
      <c r="W421" s="140">
        <f t="shared" si="323"/>
        <v>0</v>
      </c>
      <c r="X421" s="692"/>
      <c r="Y421" s="595"/>
      <c r="Z421" s="595"/>
      <c r="AA421" s="595"/>
      <c r="AB421" s="354">
        <f t="shared" si="324"/>
        <v>0</v>
      </c>
      <c r="AC421" s="181"/>
      <c r="AD421" s="625"/>
      <c r="AE421" s="626"/>
      <c r="AF421" s="696"/>
      <c r="AG421" s="697"/>
      <c r="AH421" s="629"/>
      <c r="AI421" s="187"/>
      <c r="AJ421" s="630"/>
      <c r="AK421" s="630"/>
      <c r="AL421" s="595"/>
      <c r="AM421" s="595"/>
      <c r="AN421" s="595"/>
      <c r="AO421" s="595"/>
      <c r="AP421" s="595"/>
      <c r="AQ421" s="595"/>
      <c r="AR421" s="595"/>
      <c r="AS421" s="595"/>
      <c r="AT421" s="595"/>
      <c r="AU421" s="595"/>
      <c r="AV421" s="595"/>
      <c r="AW421" s="595"/>
      <c r="AX421" s="595"/>
      <c r="AY421" s="595"/>
      <c r="AZ421" s="595"/>
      <c r="BA421" s="595"/>
      <c r="BB421" s="595"/>
      <c r="BC421" s="595"/>
      <c r="BD421" s="595"/>
      <c r="BE421" s="595"/>
      <c r="BF421" s="595"/>
      <c r="BG421" s="595"/>
      <c r="BH421" s="595"/>
      <c r="BI421" s="651"/>
      <c r="BJ421" s="651"/>
      <c r="BK421" s="651"/>
      <c r="BL421" s="651"/>
      <c r="BM421" s="651"/>
      <c r="BN421" s="651"/>
      <c r="BO421" s="651"/>
      <c r="BP421" s="651"/>
      <c r="BQ421" s="651"/>
      <c r="BR421" s="651"/>
      <c r="BS421" s="651"/>
      <c r="BT421" s="651"/>
    </row>
    <row r="422">
      <c r="A422" s="684"/>
      <c r="B422" s="154" t="str">
        <f>IFERROR(__xludf.DUMMYFUNCTION("IFERROR(
  IF(C422="""","""",
    IF(OR(REGEXMATCH(D422,""(?i)-Flashing""), REGEXMATCH(D422,""(?i)-EavesGut""), REGEXMATCH(D422,""(?i)Valley"")),
        ""DR"" &amp;
        TEXT(
            ROUNDUP(
                MIN(
                    VALUE(MID(C422, "&amp;"FIND(""("",C422)+1, FIND(""/"",C422)-FIND(""("",C422)-1)),
                    1200
                ) / 50, 0
            ) * 50, ""0""
        ) &amp;
        MID(C422, FIND(""/"",C422)+1, FIND("")"",C422)-FIND(""/"",C422)-1) &amp;
        TEXT(H422*100,""0"") &amp;"&amp;"
        I422,
    IF(AND(D422=""Roof Sheet"", REGEXMATCH(C422,""(?i)KS\d{4}[A-Z]{2}"")),
       REGEXEXTRACT(C422,""(?i)KS\d{4}[A-Z]{2}""),
    IF(AND(REGEXMATCH(D422,""(?i)-DP""), REGEXMATCH(C422,""(?i)Downpipe"")),
       ""dp"" &amp; REGEXEXTRACT(C422,""("&amp;"\d+)"") &amp; ""mm"",
    IF(AND(REGEXMATCH(D422,""(?i)Bracket""), REGEXMATCH(C422,""(?i)Bracket"")),
       ""Brkt"" &amp; REGEXEXTRACT(C422,""(\d+)"") &amp; ""mm"",
    IF(AND(REGEXMATCH(D422,""(?i)-OP""), REGEXMATCH(C422,""(?i)pops"")),
       ""op"" &amp; REGEXEXTRAC"&amp;"T(C422,""(\d+)"") &amp; ""mm"",
    IF(OR(D422=""R-FFTop"", D422=""R-FFBottom"", D422=""R-FFSide""),
        IF(REGEXMATCH(C422,""(?i)Profiled.*Top|Top.*Profiled""),""pfft"",
        IF(REGEXMATCH(C422,""(?i)Profiled.*Bottom|Bottom.*Profiled""),""pffb"",
    "&amp;"    IF(REGEXMATCH(C422,""(?i)Square""),""sff"",""""))),
    IF(REGEXMATCH(D422,""(?i)-Rivets""),""Rvt"",
    IF(REGEXMATCH(D422,""(?i)Silicone""),""300ml"",
    IF(REGEXMATCH(D422,""(?i)R-Butyl""),""300ml"",
    IF(REGEXMATCH(D422,""(?i)Fix""),""GenFix"","&amp;"
    IF(AND(REGEXMATCH(C422,""(?i)Timber""), REGEXMATCH(D422,""(?i)Timber"")),""tp"",
    IF(AND(REGEXMATCH(C422,""(?i)Vent G1275""), REGEXMATCH(D422,""(?i)Comb FIller"")),""CFV1275"",
    IF(REGEXMATCH(C422,""(?i)DPC""),""dpc"",
    IF(REGEXMATCH(C422,"""&amp;"(?i)Concealed Clips""),""ConClips"",
    IF(REGEXMATCH(D422,""(?i)-Takeoff ea""),""Takeoff ea"",
    IF(REGEXMATCH(D422,""(?i)-Takeoff LM""),""Takeoff LM"",
    IF(REGEXMATCH(D422,""(?i)-Takeoff m2""),""Takeoff m2"",
    IF(D422=""R-TU/TD"",""TU/TD"","""""&amp;")))))))))))))))))
  )))"),"Rvt")</f>
        <v>Rvt</v>
      </c>
      <c r="C422" s="225" t="s">
        <v>100</v>
      </c>
      <c r="D422" s="124" t="s">
        <v>101</v>
      </c>
      <c r="E422" s="687">
        <f>E420</f>
        <v>0.67</v>
      </c>
      <c r="F422" s="721"/>
      <c r="G422" s="701"/>
      <c r="H422" s="700"/>
      <c r="I422" s="700"/>
      <c r="J422" s="126" t="s">
        <v>87</v>
      </c>
      <c r="K422" s="126" t="str">
        <f>IFERROR(
  IF(B422="", "", VLOOKUP(B422, Data!$B$2:$K$905, 7, FALSE)),
  ""
)</f>
        <v/>
      </c>
      <c r="L422" s="712"/>
      <c r="M422" s="150">
        <f>ROUNDUP(((M420/5.7)+1)*(E422/0.05),0)</f>
        <v>73</v>
      </c>
      <c r="N422" s="151">
        <f>IFERROR(__xludf.DUMMYFUNCTION("IF(B422="""", """", IFERROR(1 / COS(RADIANS(REGEXEXTRACT(F422,""(\d+)""))), 1))"),1.0)</f>
        <v>1</v>
      </c>
      <c r="O422" s="169">
        <v>1.0</v>
      </c>
      <c r="P422" s="134">
        <v>1.0</v>
      </c>
      <c r="Q422" s="168">
        <f t="shared" si="321"/>
        <v>73</v>
      </c>
      <c r="R422" s="136" t="str">
        <f>IFERROR(
  IF(B422="", "", VLOOKUP(B422, Data!$B$2:$K$905, 9, FALSE)),
  ""
)</f>
        <v/>
      </c>
      <c r="S422" s="152">
        <f t="shared" si="322"/>
        <v>0</v>
      </c>
      <c r="T422" s="690"/>
      <c r="U422" s="681" t="str">
        <f>IFERROR(
  IF(B422="", "", VLOOKUP(B422, Data!$B$2:$K$905, 10, FALSE)),
  ""
)
</f>
        <v/>
      </c>
      <c r="V422" s="691"/>
      <c r="W422" s="140">
        <f t="shared" si="323"/>
        <v>0</v>
      </c>
      <c r="X422" s="692"/>
      <c r="Y422" s="595"/>
      <c r="Z422" s="595"/>
      <c r="AA422" s="595"/>
      <c r="AB422" s="354">
        <f t="shared" si="324"/>
        <v>0</v>
      </c>
      <c r="AC422" s="181"/>
      <c r="AD422" s="625"/>
      <c r="AE422" s="626"/>
      <c r="AF422" s="696"/>
      <c r="AG422" s="697"/>
      <c r="AH422" s="629"/>
      <c r="AI422" s="187"/>
      <c r="AJ422" s="630"/>
      <c r="AK422" s="630"/>
      <c r="AL422" s="595"/>
      <c r="AM422" s="595"/>
      <c r="AN422" s="595"/>
      <c r="AO422" s="595"/>
      <c r="AP422" s="595"/>
      <c r="AQ422" s="595"/>
      <c r="AR422" s="595"/>
      <c r="AS422" s="595"/>
      <c r="AT422" s="595"/>
      <c r="AU422" s="595"/>
      <c r="AV422" s="595"/>
      <c r="AW422" s="595"/>
      <c r="AX422" s="595"/>
      <c r="AY422" s="595"/>
      <c r="AZ422" s="595"/>
      <c r="BA422" s="595"/>
      <c r="BB422" s="595"/>
      <c r="BC422" s="595"/>
      <c r="BD422" s="595"/>
      <c r="BE422" s="595"/>
      <c r="BF422" s="595"/>
      <c r="BG422" s="595"/>
      <c r="BH422" s="595"/>
      <c r="BI422" s="651"/>
      <c r="BJ422" s="651"/>
      <c r="BK422" s="651"/>
      <c r="BL422" s="651"/>
      <c r="BM422" s="651"/>
      <c r="BN422" s="651"/>
      <c r="BO422" s="651"/>
      <c r="BP422" s="651"/>
      <c r="BQ422" s="651"/>
      <c r="BR422" s="651"/>
      <c r="BS422" s="651"/>
      <c r="BT422" s="651"/>
    </row>
    <row r="423">
      <c r="A423" s="703" t="s">
        <v>479</v>
      </c>
      <c r="B423" s="154" t="s">
        <v>482</v>
      </c>
      <c r="C423" s="158" t="s">
        <v>483</v>
      </c>
      <c r="D423" s="124" t="s">
        <v>122</v>
      </c>
      <c r="E423" s="687">
        <f>IFERROR(__xludf.DUMMYFUNCTION("IFERROR(REGEXEXTRACT(C423,""@\s*(\d+(?:\.\d+)?)\s*mm"")/1000,"""")"),0.6)</f>
        <v>0.6</v>
      </c>
      <c r="F423" s="699"/>
      <c r="G423" s="701"/>
      <c r="H423" s="700"/>
      <c r="I423" s="700"/>
      <c r="J423" s="126" t="s">
        <v>87</v>
      </c>
      <c r="K423" s="126" t="str">
        <f>IFERROR(
  IF(B423="", "", VLOOKUP(B423, Data!$B$2:$K$905, 7, FALSE)),
  ""
)</f>
        <v/>
      </c>
      <c r="L423" s="704"/>
      <c r="M423" s="150">
        <f>ROUNDUP(M420/E423,0)+1</f>
        <v>43</v>
      </c>
      <c r="N423" s="151">
        <f>IFERROR(__xludf.DUMMYFUNCTION("IF(B423="""", """", IFERROR(1 / COS(RADIANS(REGEXEXTRACT(F423,""(\d+)""))), 1))"),1.0)</f>
        <v>1</v>
      </c>
      <c r="O423" s="169">
        <v>1.0</v>
      </c>
      <c r="P423" s="134">
        <v>1.0</v>
      </c>
      <c r="Q423" s="168">
        <f t="shared" si="321"/>
        <v>43</v>
      </c>
      <c r="R423" s="136" t="str">
        <f>IFERROR(
  IF(B423="", "", VLOOKUP(B423, Data!$B$2:$K$905, 9, FALSE)),
  ""
)</f>
        <v/>
      </c>
      <c r="S423" s="152">
        <f t="shared" si="322"/>
        <v>0</v>
      </c>
      <c r="T423" s="690"/>
      <c r="U423" s="681" t="str">
        <f>IFERROR(
  IF(B423="", "", VLOOKUP(B423, Data!$B$2:$K$905, 10, FALSE)),
  ""
)
</f>
        <v/>
      </c>
      <c r="V423" s="691"/>
      <c r="W423" s="140">
        <f t="shared" si="323"/>
        <v>0</v>
      </c>
      <c r="X423" s="692"/>
      <c r="Y423" s="595"/>
      <c r="Z423" s="595"/>
      <c r="AA423" s="595"/>
      <c r="AB423" s="354">
        <f t="shared" si="324"/>
        <v>0</v>
      </c>
      <c r="AC423" s="181"/>
      <c r="AD423" s="625"/>
      <c r="AE423" s="626"/>
      <c r="AF423" s="696"/>
      <c r="AG423" s="697"/>
      <c r="AH423" s="629"/>
      <c r="AI423" s="187"/>
      <c r="AJ423" s="630"/>
      <c r="AK423" s="630"/>
      <c r="AL423" s="595"/>
      <c r="AM423" s="595"/>
      <c r="AN423" s="595"/>
      <c r="AO423" s="595"/>
      <c r="AP423" s="595"/>
      <c r="AQ423" s="595"/>
      <c r="AR423" s="595"/>
      <c r="AS423" s="595"/>
      <c r="AT423" s="595"/>
      <c r="AU423" s="595"/>
      <c r="AV423" s="595"/>
      <c r="AW423" s="595"/>
      <c r="AX423" s="595"/>
      <c r="AY423" s="595"/>
      <c r="AZ423" s="595"/>
      <c r="BA423" s="595"/>
      <c r="BB423" s="595"/>
      <c r="BC423" s="595"/>
      <c r="BD423" s="595"/>
      <c r="BE423" s="595"/>
      <c r="BF423" s="595"/>
      <c r="BG423" s="595"/>
      <c r="BH423" s="595"/>
      <c r="BI423" s="651"/>
      <c r="BJ423" s="651"/>
      <c r="BK423" s="651"/>
      <c r="BL423" s="651"/>
      <c r="BM423" s="651"/>
      <c r="BN423" s="651"/>
      <c r="BO423" s="651"/>
      <c r="BP423" s="651"/>
      <c r="BQ423" s="651"/>
      <c r="BR423" s="651"/>
      <c r="BS423" s="651"/>
      <c r="BT423" s="651"/>
    </row>
    <row r="424">
      <c r="A424" s="684"/>
      <c r="B424" s="154" t="str">
        <f>IFERROR(__xludf.DUMMYFUNCTION("IFERROR(
  IF(C424="""","""",
    IF(OR(REGEXMATCH(D424,""(?i)-Flashing""), REGEXMATCH(D424,""(?i)-EavesGut""), REGEXMATCH(D424,""(?i)Valley"")),
        ""DR"" &amp;
        TEXT(
            ROUNDUP(
                MIN(
                    VALUE(MID(C424, "&amp;"FIND(""("",C424)+1, FIND(""/"",C424)-FIND(""("",C424)-1)),
                    1200
                ) / 50, 0
            ) * 50, ""0""
        ) &amp;
        MID(C424, FIND(""/"",C424)+1, FIND("")"",C424)-FIND(""/"",C424)-1) &amp;
        TEXT(H424*100,""0"") &amp;"&amp;"
        I424,
    IF(AND(D424=""Roof Sheet"", REGEXMATCH(C424,""(?i)KS\d{4}[A-Z]{2}"")),
       REGEXEXTRACT(C424,""(?i)KS\d{4}[A-Z]{2}""),
    IF(AND(REGEXMATCH(D424,""(?i)-DP""), REGEXMATCH(C424,""(?i)Downpipe"")),
       ""dp"" &amp; REGEXEXTRACT(C424,""("&amp;"\d+)"") &amp; ""mm"",
    IF(AND(REGEXMATCH(D424,""(?i)Bracket""), REGEXMATCH(C424,""(?i)Bracket"")),
       ""Brkt"" &amp; REGEXEXTRACT(C424,""(\d+)"") &amp; ""mm"",
    IF(AND(REGEXMATCH(D424,""(?i)-OP""), REGEXMATCH(C424,""(?i)pops"")),
       ""op"" &amp; REGEXEXTRAC"&amp;"T(C424,""(\d+)"") &amp; ""mm"",
    IF(OR(D424=""R-FFTop"", D424=""R-FFBottom"", D424=""R-FFSide""),
        IF(REGEXMATCH(C424,""(?i)Profiled.*Top|Top.*Profiled""),""pfft"",
        IF(REGEXMATCH(C424,""(?i)Profiled.*Bottom|Bottom.*Profiled""),""pffb"",
    "&amp;"    IF(REGEXMATCH(C424,""(?i)Square""),""sff"",""""))),
    IF(REGEXMATCH(D424,""(?i)-Rivets""),""Rvt"",
    IF(REGEXMATCH(D424,""(?i)Silicone""),""300ml"",
    IF(REGEXMATCH(D424,""(?i)R-Butyl""),""300ml"",
    IF(REGEXMATCH(D424,""(?i)Fix""),""GenFix"","&amp;"
    IF(AND(REGEXMATCH(C424,""(?i)Timber""), REGEXMATCH(D424,""(?i)Timber"")),""tp"",
    IF(AND(REGEXMATCH(C424,""(?i)Vent G1275""), REGEXMATCH(D424,""(?i)Comb FIller"")),""CFV1275"",
    IF(REGEXMATCH(C424,""(?i)DPC""),""dpc"",
    IF(REGEXMATCH(C424,"""&amp;"(?i)Concealed Clips""),""ConClips"",
    IF(REGEXMATCH(D424,""(?i)-Takeoff ea""),""Takeoff ea"",
    IF(REGEXMATCH(D424,""(?i)-Takeoff LM""),""Takeoff LM"",
    IF(REGEXMATCH(D424,""(?i)-Takeoff m2""),""Takeoff m2"",
    IF(D424=""R-TU/TD"",""TU/TD"","""""&amp;")))))))))))))))))
  )))"),"GenFix")</f>
        <v>GenFix</v>
      </c>
      <c r="C424" s="158" t="s">
        <v>102</v>
      </c>
      <c r="D424" s="124" t="s">
        <v>123</v>
      </c>
      <c r="E424" s="687">
        <v>2.0</v>
      </c>
      <c r="F424" s="699"/>
      <c r="G424" s="701"/>
      <c r="H424" s="700"/>
      <c r="I424" s="700"/>
      <c r="J424" s="126" t="s">
        <v>87</v>
      </c>
      <c r="K424" s="126" t="str">
        <f>IFERROR(
  IF(B424="", "", VLOOKUP(B424, Data!$B$2:$K$905, 7, FALSE)),
  ""
)</f>
        <v/>
      </c>
      <c r="L424" s="704"/>
      <c r="M424" s="150">
        <f>ROUNDUP(M423*E424,0)+1</f>
        <v>87</v>
      </c>
      <c r="N424" s="151">
        <f>IFERROR(__xludf.DUMMYFUNCTION("IF(B424="""", """", IFERROR(1 / COS(RADIANS(REGEXEXTRACT(F424,""(\d+)""))), 1))"),1.0)</f>
        <v>1</v>
      </c>
      <c r="O424" s="169">
        <v>1.0</v>
      </c>
      <c r="P424" s="134">
        <v>1.0</v>
      </c>
      <c r="Q424" s="168">
        <f t="shared" si="321"/>
        <v>87</v>
      </c>
      <c r="R424" s="136" t="str">
        <f>IFERROR(
  IF(B424="", "", VLOOKUP(B424, Data!$B$2:$K$905, 9, FALSE)),
  ""
)</f>
        <v/>
      </c>
      <c r="S424" s="152">
        <f t="shared" si="322"/>
        <v>0</v>
      </c>
      <c r="T424" s="690"/>
      <c r="U424" s="681" t="str">
        <f>IFERROR(
  IF(B424="", "", VLOOKUP(B424, Data!$B$2:$K$905, 10, FALSE)),
  ""
)
</f>
        <v/>
      </c>
      <c r="V424" s="691"/>
      <c r="W424" s="140">
        <f t="shared" si="323"/>
        <v>0</v>
      </c>
      <c r="X424" s="692"/>
      <c r="Y424" s="595"/>
      <c r="Z424" s="595"/>
      <c r="AA424" s="595"/>
      <c r="AB424" s="354">
        <f t="shared" si="324"/>
        <v>0</v>
      </c>
      <c r="AC424" s="181"/>
      <c r="AD424" s="625"/>
      <c r="AE424" s="626"/>
      <c r="AF424" s="696"/>
      <c r="AG424" s="697"/>
      <c r="AH424" s="629"/>
      <c r="AI424" s="187"/>
      <c r="AJ424" s="630"/>
      <c r="AK424" s="630"/>
      <c r="AL424" s="595"/>
      <c r="AM424" s="595"/>
      <c r="AN424" s="595"/>
      <c r="AO424" s="595"/>
      <c r="AP424" s="595"/>
      <c r="AQ424" s="595"/>
      <c r="AR424" s="595"/>
      <c r="AS424" s="595"/>
      <c r="AT424" s="595"/>
      <c r="AU424" s="595"/>
      <c r="AV424" s="595"/>
      <c r="AW424" s="595"/>
      <c r="AX424" s="595"/>
      <c r="AY424" s="595"/>
      <c r="AZ424" s="595"/>
      <c r="BA424" s="595"/>
      <c r="BB424" s="595"/>
      <c r="BC424" s="595"/>
      <c r="BD424" s="595"/>
      <c r="BE424" s="595"/>
      <c r="BF424" s="595"/>
      <c r="BG424" s="595"/>
      <c r="BH424" s="595"/>
      <c r="BI424" s="651"/>
      <c r="BJ424" s="651"/>
      <c r="BK424" s="651"/>
      <c r="BL424" s="651"/>
      <c r="BM424" s="651"/>
      <c r="BN424" s="651"/>
      <c r="BO424" s="651"/>
      <c r="BP424" s="651"/>
      <c r="BQ424" s="651"/>
      <c r="BR424" s="651"/>
      <c r="BS424" s="651"/>
      <c r="BT424" s="651"/>
    </row>
    <row r="425">
      <c r="A425" s="684"/>
      <c r="B425" s="154" t="str">
        <f>IFERROR(__xludf.DUMMYFUNCTION("IFERROR(
  IF(C425="""","""",
    IF(OR(REGEXMATCH(D425,""(?i)-Flashing""), REGEXMATCH(D425,""(?i)-EavesGut""), REGEXMATCH(D425,""(?i)Valley"")),
        ""DR"" &amp;
        TEXT(
            ROUNDUP(
                MIN(
                    VALUE(MID(C425, "&amp;"FIND(""("",C425)+1, FIND(""/"",C425)-FIND(""("",C425)-1)),
                    1200
                ) / 50, 0
            ) * 50, ""0""
        ) &amp;
        MID(C425, FIND(""/"",C425)+1, FIND("")"",C425)-FIND(""/"",C425)-1) &amp;
        TEXT(H425*100,""0"") &amp;"&amp;"
        I425,
    IF(AND(D425=""Roof Sheet"", REGEXMATCH(C425,""(?i)KS\d{4}[A-Z]{2}"")),
       REGEXEXTRACT(C425,""(?i)KS\d{4}[A-Z]{2}""),
    IF(AND(REGEXMATCH(D425,""(?i)-DP""), REGEXMATCH(C425,""(?i)Downpipe"")),
       ""dp"" &amp; REGEXEXTRACT(C425,""("&amp;"\d+)"") &amp; ""mm"",
    IF(AND(REGEXMATCH(D425,""(?i)Bracket""), REGEXMATCH(C425,""(?i)Bracket"")),
       ""Brkt"" &amp; REGEXEXTRACT(C425,""(\d+)"") &amp; ""mm"",
    IF(AND(REGEXMATCH(D425,""(?i)-OP""), REGEXMATCH(C425,""(?i)pops"")),
       ""op"" &amp; REGEXEXTRAC"&amp;"T(C425,""(\d+)"") &amp; ""mm"",
    IF(OR(D425=""R-FFTop"", D425=""R-FFBottom"", D425=""R-FFSide""),
        IF(REGEXMATCH(C425,""(?i)Profiled.*Top|Top.*Profiled""),""pfft"",
        IF(REGEXMATCH(C425,""(?i)Profiled.*Bottom|Bottom.*Profiled""),""pffb"",
    "&amp;"    IF(REGEXMATCH(C425,""(?i)Square""),""sff"",""""))),
    IF(REGEXMATCH(D425,""(?i)-Rivets""),""Rvt"",
    IF(REGEXMATCH(D425,""(?i)Silicone""),""300ml"",
    IF(REGEXMATCH(D425,""(?i)R-Butyl""),""300ml"",
    IF(REGEXMATCH(D425,""(?i)Fix""),""GenFix"","&amp;"
    IF(AND(REGEXMATCH(C425,""(?i)Timber""), REGEXMATCH(D425,""(?i)Timber"")),""tp"",
    IF(AND(REGEXMATCH(C425,""(?i)Vent G1275""), REGEXMATCH(D425,""(?i)Comb FIller"")),""CFV1275"",
    IF(REGEXMATCH(C425,""(?i)DPC""),""dpc"",
    IF(REGEXMATCH(C425,"""&amp;"(?i)Concealed Clips""),""ConClips"",
    IF(REGEXMATCH(D425,""(?i)-Takeoff ea""),""Takeoff ea"",
    IF(REGEXMATCH(D425,""(?i)-Takeoff LM""),""Takeoff LM"",
    IF(REGEXMATCH(D425,""(?i)-Takeoff m2""),""Takeoff m2"",
    IF(D425=""R-TU/TD"",""TU/TD"","""""&amp;")))))))))))))))))
  )))"),"pffb")</f>
        <v>pffb</v>
      </c>
      <c r="C425" s="158" t="s">
        <v>125</v>
      </c>
      <c r="D425" s="124" t="s">
        <v>126</v>
      </c>
      <c r="E425" s="722"/>
      <c r="F425" s="699"/>
      <c r="G425" s="701"/>
      <c r="H425" s="700"/>
      <c r="I425" s="700"/>
      <c r="J425" s="126" t="s">
        <v>87</v>
      </c>
      <c r="K425" s="126" t="str">
        <f>IFERROR(
  IF(B425="", "", VLOOKUP(B425, Data!$B$2:$K$905, 7, FALSE)),
  ""
)</f>
        <v/>
      </c>
      <c r="L425" s="704"/>
      <c r="M425" s="150">
        <f>M420</f>
        <v>25.2</v>
      </c>
      <c r="N425" s="151">
        <f>IFERROR(__xludf.DUMMYFUNCTION("IF(B425="""", """", IFERROR(1 / COS(RADIANS(REGEXEXTRACT(F425,""(\d+)""))), 1))"),1.0)</f>
        <v>1</v>
      </c>
      <c r="O425" s="169">
        <v>1.0</v>
      </c>
      <c r="P425" s="134">
        <v>1.0</v>
      </c>
      <c r="Q425" s="168">
        <f t="shared" si="321"/>
        <v>25.2</v>
      </c>
      <c r="R425" s="136" t="str">
        <f>IFERROR(
  IF(B425="", "", VLOOKUP(B425, Data!$B$2:$K$905, 9, FALSE)),
  ""
)</f>
        <v/>
      </c>
      <c r="S425" s="152">
        <f t="shared" si="322"/>
        <v>0</v>
      </c>
      <c r="T425" s="690"/>
      <c r="U425" s="136" t="str">
        <f>IFERROR(
  IF(B425="", "", VLOOKUP(B425, Data!$B$2:$K$905, 10, FALSE)),
  ""
)
</f>
        <v/>
      </c>
      <c r="V425" s="691"/>
      <c r="W425" s="140">
        <f t="shared" si="323"/>
        <v>0</v>
      </c>
      <c r="X425" s="692"/>
      <c r="Y425" s="595"/>
      <c r="Z425" s="595"/>
      <c r="AA425" s="595"/>
      <c r="AB425" s="354">
        <f t="shared" si="324"/>
        <v>0</v>
      </c>
      <c r="AC425" s="181"/>
      <c r="AD425" s="625"/>
      <c r="AE425" s="626"/>
      <c r="AF425" s="696"/>
      <c r="AG425" s="697"/>
      <c r="AH425" s="629"/>
      <c r="AI425" s="187"/>
      <c r="AJ425" s="630"/>
      <c r="AK425" s="630"/>
      <c r="AL425" s="595"/>
      <c r="AM425" s="595"/>
      <c r="AN425" s="595"/>
      <c r="AO425" s="595"/>
      <c r="AP425" s="595"/>
      <c r="AQ425" s="595"/>
      <c r="AR425" s="595"/>
      <c r="AS425" s="595"/>
      <c r="AT425" s="595"/>
      <c r="AU425" s="595"/>
      <c r="AV425" s="595"/>
      <c r="AW425" s="595"/>
      <c r="AX425" s="595"/>
      <c r="AY425" s="595"/>
      <c r="AZ425" s="595"/>
      <c r="BA425" s="595"/>
      <c r="BB425" s="595"/>
      <c r="BC425" s="595"/>
      <c r="BD425" s="595"/>
      <c r="BE425" s="595"/>
      <c r="BF425" s="595"/>
      <c r="BG425" s="595"/>
      <c r="BH425" s="595"/>
      <c r="BI425" s="651"/>
      <c r="BJ425" s="651"/>
      <c r="BK425" s="651"/>
      <c r="BL425" s="651"/>
      <c r="BM425" s="651"/>
      <c r="BN425" s="651"/>
      <c r="BO425" s="651"/>
      <c r="BP425" s="651"/>
      <c r="BQ425" s="651"/>
      <c r="BR425" s="651"/>
      <c r="BS425" s="651"/>
      <c r="BT425" s="651"/>
    </row>
    <row r="426">
      <c r="A426" s="684"/>
      <c r="B426" s="154" t="str">
        <f>IFERROR(__xludf.DUMMYFUNCTION("IFERROR(
  IF(C426="""","""",
    IF(OR(REGEXMATCH(D426,""(?i)-Flashing""), REGEXMATCH(D426,""(?i)-EavesGut""), REGEXMATCH(D426,""(?i)Valley"")),
        ""DR"" &amp;
        TEXT(
            ROUNDUP(
                MIN(
                    VALUE(MID(C426, "&amp;"FIND(""("",C426)+1, FIND(""/"",C426)-FIND(""("",C426)-1)),
                    1200
                ) / 50, 0
            ) * 50, ""0""
        ) &amp;
        MID(C426, FIND(""/"",C426)+1, FIND("")"",C426)-FIND(""/"",C426)-1) &amp;
        TEXT(H426*100,""0"") &amp;"&amp;"
        I426,
    IF(AND(D426=""Roof Sheet"", REGEXMATCH(C426,""(?i)KS\d{4}[A-Z]{2}"")),
       REGEXEXTRACT(C426,""(?i)KS\d{4}[A-Z]{2}""),
    IF(AND(REGEXMATCH(D426,""(?i)-DP""), REGEXMATCH(C426,""(?i)Downpipe"")),
       ""dp"" &amp; REGEXEXTRACT(C426,""("&amp;"\d+)"") &amp; ""mm"",
    IF(AND(REGEXMATCH(D426,""(?i)Bracket""), REGEXMATCH(C426,""(?i)Bracket"")),
       ""Brkt"" &amp; REGEXEXTRACT(C426,""(\d+)"") &amp; ""mm"",
    IF(AND(REGEXMATCH(D426,""(?i)-OP""), REGEXMATCH(C426,""(?i)pops"")),
       ""op"" &amp; REGEXEXTRAC"&amp;"T(C426,""(\d+)"") &amp; ""mm"",
    IF(OR(D426=""R-FFTop"", D426=""R-FFBottom"", D426=""R-FFSide""),
        IF(REGEXMATCH(C426,""(?i)Profiled.*Top|Top.*Profiled""),""pfft"",
        IF(REGEXMATCH(C426,""(?i)Profiled.*Bottom|Bottom.*Profiled""),""pffb"",
    "&amp;"    IF(REGEXMATCH(C426,""(?i)Square""),""sff"",""""))),
    IF(REGEXMATCH(D426,""(?i)-Rivets""),""Rvt"",
    IF(REGEXMATCH(D426,""(?i)Silicone""),""300ml"",
    IF(REGEXMATCH(D426,""(?i)R-Butyl""),""300ml"",
    IF(REGEXMATCH(D426,""(?i)Fix""),""GenFix"","&amp;"
    IF(AND(REGEXMATCH(C426,""(?i)Timber""), REGEXMATCH(D426,""(?i)Timber"")),""tp"",
    IF(AND(REGEXMATCH(C426,""(?i)Vent G1275""), REGEXMATCH(D426,""(?i)Comb FIller"")),""CFV1275"",
    IF(REGEXMATCH(C426,""(?i)DPC""),""dpc"",
    IF(REGEXMATCH(C426,"""&amp;"(?i)Concealed Clips""),""ConClips"",
    IF(REGEXMATCH(D426,""(?i)-Takeoff ea""),""Takeoff ea"",
    IF(REGEXMATCH(D426,""(?i)-Takeoff LM""),""Takeoff LM"",
    IF(REGEXMATCH(D426,""(?i)-Takeoff m2""),""Takeoff m2"",
    IF(D426=""R-TU/TD"",""TU/TD"","""""&amp;")))))))))))))))))
  )))"),"TU/TD")</f>
        <v>TU/TD</v>
      </c>
      <c r="C426" s="158" t="s">
        <v>446</v>
      </c>
      <c r="D426" s="124" t="s">
        <v>107</v>
      </c>
      <c r="E426" s="722"/>
      <c r="F426" s="699"/>
      <c r="G426" s="701"/>
      <c r="H426" s="700"/>
      <c r="I426" s="700"/>
      <c r="J426" s="126" t="s">
        <v>87</v>
      </c>
      <c r="K426" s="126" t="str">
        <f>IFERROR(
  IF(B426="", "", VLOOKUP(B426, Data!$B$2:$K$905, 7, FALSE)),
  ""
)</f>
        <v/>
      </c>
      <c r="L426" s="704"/>
      <c r="M426" s="150">
        <f>M420</f>
        <v>25.2</v>
      </c>
      <c r="N426" s="151">
        <f>IFERROR(__xludf.DUMMYFUNCTION("IF(B426="""", """", IFERROR(1 / COS(RADIANS(REGEXEXTRACT(F426,""(\d+)""))), 1))"),1.0)</f>
        <v>1</v>
      </c>
      <c r="O426" s="169">
        <v>1.0</v>
      </c>
      <c r="P426" s="134">
        <v>1.0</v>
      </c>
      <c r="Q426" s="168">
        <f t="shared" si="321"/>
        <v>25.2</v>
      </c>
      <c r="R426" s="681" t="str">
        <f>IFERROR(
  IF(B426="", "", VLOOKUP(B426, Data!$B$2:$K$905, 9, FALSE)),
  ""
)</f>
        <v/>
      </c>
      <c r="S426" s="152">
        <f t="shared" si="322"/>
        <v>0</v>
      </c>
      <c r="T426" s="690"/>
      <c r="U426" s="136" t="str">
        <f>IFERROR(
  IF(B426="", "", VLOOKUP(B426, Data!$B$2:$K$905, 10, FALSE)),
  ""
)
</f>
        <v/>
      </c>
      <c r="V426" s="691"/>
      <c r="W426" s="140">
        <f t="shared" si="323"/>
        <v>0</v>
      </c>
      <c r="X426" s="692"/>
      <c r="Y426" s="595"/>
      <c r="Z426" s="595"/>
      <c r="AA426" s="595"/>
      <c r="AB426" s="354">
        <f t="shared" si="324"/>
        <v>0</v>
      </c>
      <c r="AC426" s="181"/>
      <c r="AD426" s="625"/>
      <c r="AE426" s="626"/>
      <c r="AF426" s="696"/>
      <c r="AG426" s="697"/>
      <c r="AH426" s="629"/>
      <c r="AI426" s="187"/>
      <c r="AJ426" s="630"/>
      <c r="AK426" s="630"/>
      <c r="AL426" s="595"/>
      <c r="AM426" s="595"/>
      <c r="AN426" s="595"/>
      <c r="AO426" s="595"/>
      <c r="AP426" s="595"/>
      <c r="AQ426" s="595"/>
      <c r="AR426" s="595"/>
      <c r="AS426" s="595"/>
      <c r="AT426" s="595"/>
      <c r="AU426" s="595"/>
      <c r="AV426" s="595"/>
      <c r="AW426" s="595"/>
      <c r="AX426" s="595"/>
      <c r="AY426" s="595"/>
      <c r="AZ426" s="595"/>
      <c r="BA426" s="595"/>
      <c r="BB426" s="595"/>
      <c r="BC426" s="595"/>
      <c r="BD426" s="595"/>
      <c r="BE426" s="595"/>
      <c r="BF426" s="595"/>
      <c r="BG426" s="595"/>
      <c r="BH426" s="595"/>
      <c r="BI426" s="651"/>
      <c r="BJ426" s="651"/>
      <c r="BK426" s="651"/>
      <c r="BL426" s="651"/>
      <c r="BM426" s="651"/>
      <c r="BN426" s="651"/>
      <c r="BO426" s="651"/>
      <c r="BP426" s="651"/>
      <c r="BQ426" s="651"/>
      <c r="BR426" s="651"/>
      <c r="BS426" s="651"/>
      <c r="BT426" s="651"/>
    </row>
    <row r="427">
      <c r="A427" s="684"/>
      <c r="B427" s="154"/>
      <c r="C427" s="701"/>
      <c r="D427" s="701"/>
      <c r="E427" s="722"/>
      <c r="F427" s="699"/>
      <c r="G427" s="701"/>
      <c r="H427" s="700"/>
      <c r="I427" s="700"/>
      <c r="J427" s="701"/>
      <c r="K427" s="701"/>
      <c r="L427" s="704"/>
      <c r="M427" s="704"/>
      <c r="N427" s="711"/>
      <c r="O427" s="712"/>
      <c r="P427" s="700"/>
      <c r="Q427" s="712"/>
      <c r="R427" s="681" t="str">
        <f>IFERROR(
  IF(B427="", "", VLOOKUP(B427, Data!$B$2:$K$905, 9, FALSE)),
  ""
)</f>
        <v/>
      </c>
      <c r="S427" s="691"/>
      <c r="T427" s="690"/>
      <c r="U427" s="136" t="str">
        <f>IFERROR(
  IF(B427="", "", VLOOKUP(B427, Data!$B$2:$K$905, 10, FALSE)),
  ""
)
</f>
        <v/>
      </c>
      <c r="V427" s="691"/>
      <c r="W427" s="713"/>
      <c r="X427" s="692"/>
      <c r="Y427" s="595"/>
      <c r="Z427" s="595"/>
      <c r="AA427" s="595"/>
      <c r="AB427" s="595"/>
      <c r="AC427" s="181"/>
      <c r="AD427" s="625"/>
      <c r="AE427" s="626"/>
      <c r="AF427" s="696"/>
      <c r="AG427" s="697"/>
      <c r="AH427" s="629"/>
      <c r="AI427" s="187"/>
      <c r="AJ427" s="630"/>
      <c r="AK427" s="630"/>
      <c r="AL427" s="595"/>
      <c r="AM427" s="595"/>
      <c r="AN427" s="595"/>
      <c r="AO427" s="595"/>
      <c r="AP427" s="595"/>
      <c r="AQ427" s="595"/>
      <c r="AR427" s="595"/>
      <c r="AS427" s="595"/>
      <c r="AT427" s="595"/>
      <c r="AU427" s="595"/>
      <c r="AV427" s="595"/>
      <c r="AW427" s="595"/>
      <c r="AX427" s="595"/>
      <c r="AY427" s="595"/>
      <c r="AZ427" s="595"/>
      <c r="BA427" s="595"/>
      <c r="BB427" s="595"/>
      <c r="BC427" s="595"/>
      <c r="BD427" s="595"/>
      <c r="BE427" s="595"/>
      <c r="BF427" s="595"/>
      <c r="BG427" s="595"/>
      <c r="BH427" s="595"/>
      <c r="BI427" s="651"/>
      <c r="BJ427" s="651"/>
      <c r="BK427" s="651"/>
      <c r="BL427" s="651"/>
      <c r="BM427" s="651"/>
      <c r="BN427" s="651"/>
      <c r="BO427" s="651"/>
      <c r="BP427" s="651"/>
      <c r="BQ427" s="651"/>
      <c r="BR427" s="651"/>
      <c r="BS427" s="651"/>
      <c r="BT427" s="651"/>
    </row>
    <row r="428">
      <c r="A428" s="684"/>
      <c r="B428" s="154" t="s">
        <v>131</v>
      </c>
      <c r="C428" s="225" t="s">
        <v>132</v>
      </c>
      <c r="D428" s="124" t="s">
        <v>484</v>
      </c>
      <c r="E428" s="722"/>
      <c r="F428" s="721"/>
      <c r="G428" s="701"/>
      <c r="H428" s="700"/>
      <c r="I428" s="700"/>
      <c r="J428" s="126" t="s">
        <v>87</v>
      </c>
      <c r="K428" s="126" t="str">
        <f>IFERROR(
  IF(B428="", "", VLOOKUP(B428, Data!$B$2:$K$905, 7, FALSE)),
  ""
)</f>
        <v/>
      </c>
      <c r="L428" s="712"/>
      <c r="M428" s="150">
        <v>1.0</v>
      </c>
      <c r="N428" s="151">
        <f>IFERROR(__xludf.DUMMYFUNCTION("IF(B428="""", """", IFERROR(1 / COS(RADIANS(REGEXEXTRACT(F428,""(\d+)""))), 1))"),1.0)</f>
        <v>1</v>
      </c>
      <c r="O428" s="169">
        <v>1.0</v>
      </c>
      <c r="P428" s="134">
        <v>1.0</v>
      </c>
      <c r="Q428" s="168">
        <f t="shared" ref="Q428:Q429" si="325">M428*N428*O428*P428</f>
        <v>1</v>
      </c>
      <c r="R428" s="136" t="str">
        <f>IFERROR(
  IF(B428="", "", VLOOKUP(B428, Data!$B$2:$K$905, 9, FALSE)),
  ""
)</f>
        <v/>
      </c>
      <c r="S428" s="152">
        <f t="shared" ref="S428:S429" si="326">R428*Q428</f>
        <v>0</v>
      </c>
      <c r="T428" s="690"/>
      <c r="U428" s="136" t="str">
        <f>IFERROR(
  IF(B428="", "", VLOOKUP(B428, Data!$B$2:$K$905, 10, FALSE)),
  ""
)
</f>
        <v/>
      </c>
      <c r="V428" s="691"/>
      <c r="W428" s="140">
        <f t="shared" ref="W428:W429" si="327">U428*Q428</f>
        <v>0</v>
      </c>
      <c r="X428" s="692"/>
      <c r="Y428" s="595"/>
      <c r="Z428" s="595"/>
      <c r="AA428" s="595"/>
      <c r="AB428" s="354">
        <f t="shared" ref="AB428:AB429" si="328">W428+S428</f>
        <v>0</v>
      </c>
      <c r="AC428" s="181"/>
      <c r="AD428" s="625"/>
      <c r="AE428" s="626"/>
      <c r="AF428" s="696"/>
      <c r="AG428" s="697"/>
      <c r="AH428" s="629"/>
      <c r="AI428" s="187"/>
      <c r="AJ428" s="630"/>
      <c r="AK428" s="630"/>
      <c r="AL428" s="595"/>
      <c r="AM428" s="595"/>
      <c r="AN428" s="595"/>
      <c r="AO428" s="595"/>
      <c r="AP428" s="595"/>
      <c r="AQ428" s="595"/>
      <c r="AR428" s="595"/>
      <c r="AS428" s="595"/>
      <c r="AT428" s="595"/>
      <c r="AU428" s="595"/>
      <c r="AV428" s="595"/>
      <c r="AW428" s="595"/>
      <c r="AX428" s="595"/>
      <c r="AY428" s="595"/>
      <c r="AZ428" s="595"/>
      <c r="BA428" s="595"/>
      <c r="BB428" s="595"/>
      <c r="BC428" s="595"/>
      <c r="BD428" s="595"/>
      <c r="BE428" s="595"/>
      <c r="BF428" s="595"/>
      <c r="BG428" s="595"/>
      <c r="BH428" s="595"/>
      <c r="BI428" s="651"/>
      <c r="BJ428" s="651"/>
      <c r="BK428" s="651"/>
      <c r="BL428" s="651"/>
      <c r="BM428" s="651"/>
      <c r="BN428" s="651"/>
      <c r="BO428" s="651"/>
      <c r="BP428" s="651"/>
      <c r="BQ428" s="651"/>
      <c r="BR428" s="651"/>
      <c r="BS428" s="651"/>
      <c r="BT428" s="651"/>
    </row>
    <row r="429">
      <c r="A429" s="684"/>
      <c r="B429" s="154" t="s">
        <v>134</v>
      </c>
      <c r="C429" s="225" t="s">
        <v>135</v>
      </c>
      <c r="D429" s="124" t="s">
        <v>484</v>
      </c>
      <c r="E429" s="722"/>
      <c r="F429" s="721"/>
      <c r="G429" s="701"/>
      <c r="H429" s="700"/>
      <c r="I429" s="700"/>
      <c r="J429" s="126" t="s">
        <v>87</v>
      </c>
      <c r="K429" s="126" t="str">
        <f>IFERROR(
  IF(B429="", "", VLOOKUP(B429, Data!$B$2:$K$905, 7, FALSE)),
  ""
)</f>
        <v/>
      </c>
      <c r="L429" s="712"/>
      <c r="M429" s="150">
        <v>1.0</v>
      </c>
      <c r="N429" s="151">
        <f>IFERROR(__xludf.DUMMYFUNCTION("IF(B429="""", """", IFERROR(1 / COS(RADIANS(REGEXEXTRACT(F429,""(\d+)""))), 1))"),1.0)</f>
        <v>1</v>
      </c>
      <c r="O429" s="169">
        <v>1.0</v>
      </c>
      <c r="P429" s="134">
        <v>1.0</v>
      </c>
      <c r="Q429" s="168">
        <f t="shared" si="325"/>
        <v>1</v>
      </c>
      <c r="R429" s="136" t="str">
        <f>IFERROR(
  IF(B429="", "", VLOOKUP(B429, Data!$B$2:$K$905, 9, FALSE)),
  ""
)</f>
        <v/>
      </c>
      <c r="S429" s="152">
        <f t="shared" si="326"/>
        <v>0</v>
      </c>
      <c r="T429" s="690"/>
      <c r="U429" s="136" t="str">
        <f>IFERROR(
  IF(B429="", "", VLOOKUP(B429, Data!$B$2:$K$905, 10, FALSE)),
  ""
)
</f>
        <v/>
      </c>
      <c r="V429" s="691"/>
      <c r="W429" s="140">
        <f t="shared" si="327"/>
        <v>0</v>
      </c>
      <c r="X429" s="692"/>
      <c r="Y429" s="595"/>
      <c r="Z429" s="595"/>
      <c r="AA429" s="595"/>
      <c r="AB429" s="354">
        <f t="shared" si="328"/>
        <v>0</v>
      </c>
      <c r="AC429" s="181"/>
      <c r="AD429" s="625"/>
      <c r="AE429" s="626"/>
      <c r="AF429" s="696"/>
      <c r="AG429" s="697"/>
      <c r="AH429" s="629"/>
      <c r="AI429" s="187"/>
      <c r="AJ429" s="630"/>
      <c r="AK429" s="630"/>
      <c r="AL429" s="595"/>
      <c r="AM429" s="595"/>
      <c r="AN429" s="595"/>
      <c r="AO429" s="595"/>
      <c r="AP429" s="595"/>
      <c r="AQ429" s="595"/>
      <c r="AR429" s="595"/>
      <c r="AS429" s="595"/>
      <c r="AT429" s="595"/>
      <c r="AU429" s="595"/>
      <c r="AV429" s="595"/>
      <c r="AW429" s="595"/>
      <c r="AX429" s="595"/>
      <c r="AY429" s="595"/>
      <c r="AZ429" s="595"/>
      <c r="BA429" s="595"/>
      <c r="BB429" s="595"/>
      <c r="BC429" s="595"/>
      <c r="BD429" s="595"/>
      <c r="BE429" s="595"/>
      <c r="BF429" s="595"/>
      <c r="BG429" s="595"/>
      <c r="BH429" s="595"/>
      <c r="BI429" s="651"/>
      <c r="BJ429" s="651"/>
      <c r="BK429" s="651"/>
      <c r="BL429" s="651"/>
      <c r="BM429" s="651"/>
      <c r="BN429" s="651"/>
      <c r="BO429" s="651"/>
      <c r="BP429" s="651"/>
      <c r="BQ429" s="651"/>
      <c r="BR429" s="651"/>
      <c r="BS429" s="651"/>
      <c r="BT429" s="651"/>
    </row>
    <row r="430">
      <c r="A430" s="684"/>
      <c r="B430" s="154"/>
      <c r="C430" s="700"/>
      <c r="D430" s="700"/>
      <c r="E430" s="722"/>
      <c r="F430" s="721"/>
      <c r="G430" s="701"/>
      <c r="H430" s="700"/>
      <c r="I430" s="700"/>
      <c r="J430" s="701"/>
      <c r="K430" s="701" t="str">
        <f>IFERROR(
  IF(B430="", "", VLOOKUP(B430, Data!$B$2:$K$905, 7, FALSE)),
  ""
)</f>
        <v/>
      </c>
      <c r="L430" s="712"/>
      <c r="M430" s="704" t="s">
        <v>42</v>
      </c>
      <c r="N430" s="711" t="str">
        <f>IFERROR(__xludf.DUMMYFUNCTION("IF(B430="""", """", IFERROR(1 / COS(RADIANS(REGEXEXTRACT(F430,""(\d+)""))), 1))"),"")</f>
        <v/>
      </c>
      <c r="O430" s="712"/>
      <c r="P430" s="700"/>
      <c r="Q430" s="712"/>
      <c r="R430" s="681" t="str">
        <f>IFERROR(
  IF(B430="", "", VLOOKUP(B430, Data!$B$2:$K$905, 9, FALSE)),
  ""
)</f>
        <v/>
      </c>
      <c r="S430" s="691"/>
      <c r="T430" s="690"/>
      <c r="U430" s="136" t="str">
        <f>IFERROR(
  IF(B430="", "", VLOOKUP(B430, Data!$B$2:$K$905, 10, FALSE)),
  ""
)
</f>
        <v/>
      </c>
      <c r="V430" s="691"/>
      <c r="W430" s="713"/>
      <c r="X430" s="692"/>
      <c r="Y430" s="595"/>
      <c r="Z430" s="595"/>
      <c r="AA430" s="595"/>
      <c r="AB430" s="595"/>
      <c r="AC430" s="181"/>
      <c r="AD430" s="625"/>
      <c r="AE430" s="626"/>
      <c r="AF430" s="696"/>
      <c r="AG430" s="697"/>
      <c r="AH430" s="629"/>
      <c r="AI430" s="187"/>
      <c r="AJ430" s="630"/>
      <c r="AK430" s="630"/>
      <c r="AL430" s="595"/>
      <c r="AM430" s="595"/>
      <c r="AN430" s="595"/>
      <c r="AO430" s="595"/>
      <c r="AP430" s="595"/>
      <c r="AQ430" s="595"/>
      <c r="AR430" s="595"/>
      <c r="AS430" s="595"/>
      <c r="AT430" s="595"/>
      <c r="AU430" s="595"/>
      <c r="AV430" s="595"/>
      <c r="AW430" s="595"/>
      <c r="AX430" s="595"/>
      <c r="AY430" s="595"/>
      <c r="AZ430" s="595"/>
      <c r="BA430" s="595"/>
      <c r="BB430" s="595"/>
      <c r="BC430" s="595"/>
      <c r="BD430" s="595"/>
      <c r="BE430" s="595"/>
      <c r="BF430" s="595"/>
      <c r="BG430" s="595"/>
      <c r="BH430" s="595"/>
      <c r="BI430" s="651"/>
      <c r="BJ430" s="651"/>
      <c r="BK430" s="651"/>
      <c r="BL430" s="651"/>
      <c r="BM430" s="651"/>
      <c r="BN430" s="651"/>
      <c r="BO430" s="651"/>
      <c r="BP430" s="651"/>
      <c r="BQ430" s="651"/>
      <c r="BR430" s="651"/>
      <c r="BS430" s="651"/>
      <c r="BT430" s="651"/>
    </row>
    <row r="431">
      <c r="A431" s="631">
        <v>1.0</v>
      </c>
      <c r="B431" s="764" t="s">
        <v>425</v>
      </c>
      <c r="C431" s="89" t="s">
        <v>136</v>
      </c>
      <c r="D431" s="172"/>
      <c r="E431" s="654"/>
      <c r="F431" s="655"/>
      <c r="G431" s="656"/>
      <c r="H431" s="656"/>
      <c r="I431" s="656"/>
      <c r="J431" s="656"/>
      <c r="K431" s="656" t="s">
        <v>42</v>
      </c>
      <c r="L431" s="658"/>
      <c r="M431" s="658" t="s">
        <v>42</v>
      </c>
      <c r="N431" s="659"/>
      <c r="O431" s="658"/>
      <c r="P431" s="656"/>
      <c r="Q431" s="658"/>
      <c r="R431" s="681" t="str">
        <f>IFERROR(
  IF(B431="", "", VLOOKUP(B431, Data!$B$2:$K$905, 9, FALSE)),
  ""
)</f>
        <v/>
      </c>
      <c r="S431" s="662"/>
      <c r="T431" s="661"/>
      <c r="U431" s="136" t="str">
        <f>IFERROR(
  IF(B431="", "", VLOOKUP(B431, Data!$B$2:$K$905, 10, FALSE)),
  ""
)
</f>
        <v/>
      </c>
      <c r="V431" s="662"/>
      <c r="W431" s="663"/>
      <c r="X431" s="692"/>
      <c r="Y431" s="595"/>
      <c r="Z431" s="595"/>
      <c r="AA431" s="595"/>
      <c r="AB431" s="595"/>
      <c r="AC431" s="181"/>
      <c r="AD431" s="625"/>
      <c r="AE431" s="626"/>
      <c r="AF431" s="696"/>
      <c r="AG431" s="697"/>
      <c r="AH431" s="629"/>
      <c r="AI431" s="187"/>
      <c r="AJ431" s="630"/>
      <c r="AK431" s="630"/>
      <c r="AL431" s="595"/>
      <c r="AM431" s="595"/>
      <c r="AN431" s="595"/>
      <c r="AO431" s="595"/>
      <c r="AP431" s="595"/>
      <c r="AQ431" s="595"/>
      <c r="AR431" s="595"/>
      <c r="AS431" s="595"/>
      <c r="AT431" s="595"/>
      <c r="AU431" s="595"/>
      <c r="AV431" s="595"/>
      <c r="AW431" s="595"/>
      <c r="AX431" s="595"/>
      <c r="AY431" s="595"/>
      <c r="AZ431" s="595"/>
      <c r="BA431" s="595"/>
      <c r="BB431" s="595"/>
      <c r="BC431" s="595"/>
      <c r="BD431" s="595"/>
      <c r="BE431" s="595"/>
      <c r="BF431" s="595"/>
      <c r="BG431" s="595"/>
      <c r="BH431" s="595"/>
      <c r="BI431" s="651"/>
      <c r="BJ431" s="651"/>
      <c r="BK431" s="651"/>
      <c r="BL431" s="651"/>
      <c r="BM431" s="651"/>
      <c r="BN431" s="651"/>
      <c r="BO431" s="651"/>
      <c r="BP431" s="651"/>
      <c r="BQ431" s="651"/>
      <c r="BR431" s="651"/>
      <c r="BS431" s="651"/>
      <c r="BT431" s="651"/>
    </row>
    <row r="432">
      <c r="A432" s="631">
        <v>1.0</v>
      </c>
      <c r="B432" s="727"/>
      <c r="C432" s="103" t="s">
        <v>523</v>
      </c>
      <c r="D432" s="678"/>
      <c r="E432" s="676"/>
      <c r="F432" s="677"/>
      <c r="G432" s="678"/>
      <c r="H432" s="678"/>
      <c r="I432" s="678"/>
      <c r="J432" s="678"/>
      <c r="K432" s="678" t="s">
        <v>42</v>
      </c>
      <c r="L432" s="106">
        <f>Q432</f>
        <v>19.2</v>
      </c>
      <c r="M432" s="679" t="s">
        <v>42</v>
      </c>
      <c r="N432" s="680"/>
      <c r="O432" s="679"/>
      <c r="P432" s="678"/>
      <c r="Q432" s="106">
        <f>Q433</f>
        <v>19.2</v>
      </c>
      <c r="R432" s="681" t="str">
        <f>IFERROR(
  IF(B432="", "", VLOOKUP(B432, Data!$B$2:$K$905, 9, FALSE)),
  ""
)</f>
        <v/>
      </c>
      <c r="S432" s="682">
        <f>IFERROR(T432/Q432, 0)</f>
        <v>0</v>
      </c>
      <c r="T432" s="109">
        <f>SUM(S433:S440)</f>
        <v>0</v>
      </c>
      <c r="U432" s="136" t="str">
        <f>IFERROR(
  IF(B432="", "", VLOOKUP(B432, Data!$B$2:$K$905, 10, FALSE)),
  ""
)
</f>
        <v/>
      </c>
      <c r="V432" s="109">
        <f>W432/Q432</f>
        <v>0</v>
      </c>
      <c r="W432" s="110">
        <f>SUM(W433:W440)</f>
        <v>0</v>
      </c>
      <c r="X432" s="111" t="str">
        <f>W432/$AC$758/$W$765/$X$755</f>
        <v>#REF!</v>
      </c>
      <c r="Y432" s="112" t="b">
        <f>(T432+W432)=(SUM(AB433:AB440))</f>
        <v>1</v>
      </c>
      <c r="Z432" s="113">
        <f>(T432+W432)-(SUM(AB433:AB439))</f>
        <v>0</v>
      </c>
      <c r="AA432" s="595"/>
      <c r="AB432" s="595"/>
      <c r="AC432" s="181"/>
      <c r="AD432" s="114">
        <f>W432+T432</f>
        <v>0</v>
      </c>
      <c r="AE432" s="115">
        <f>AD432</f>
        <v>0</v>
      </c>
      <c r="AF432" s="116" t="str">
        <f>AE432/$AE$733</f>
        <v>#REF!</v>
      </c>
      <c r="AG432" s="683" t="str">
        <f>AF432*$AG$740</f>
        <v>#REF!</v>
      </c>
      <c r="AH432" s="118" t="str">
        <f>AF432*$AG$743</f>
        <v>#REF!</v>
      </c>
      <c r="AI432" s="187"/>
      <c r="AJ432" s="119" t="str">
        <f>ROUND(AK432/L432,2)</f>
        <v>#REF!</v>
      </c>
      <c r="AK432" s="119" t="str">
        <f>ROUND(AH432+AG432+AD432,2)</f>
        <v>#REF!</v>
      </c>
      <c r="AL432" s="595"/>
      <c r="AM432" s="595"/>
      <c r="AN432" s="595"/>
      <c r="AO432" s="595"/>
      <c r="AP432" s="595"/>
      <c r="AQ432" s="595"/>
      <c r="AR432" s="595"/>
      <c r="AS432" s="595"/>
      <c r="AT432" s="595"/>
      <c r="AU432" s="595"/>
      <c r="AV432" s="595"/>
      <c r="AW432" s="595"/>
      <c r="AX432" s="595"/>
      <c r="AY432" s="595"/>
      <c r="AZ432" s="595"/>
      <c r="BA432" s="595"/>
      <c r="BB432" s="595"/>
      <c r="BC432" s="595"/>
      <c r="BD432" s="595"/>
      <c r="BE432" s="595"/>
      <c r="BF432" s="595"/>
      <c r="BG432" s="595"/>
      <c r="BH432" s="595"/>
      <c r="BI432" s="651"/>
      <c r="BJ432" s="651"/>
      <c r="BK432" s="651"/>
      <c r="BL432" s="651"/>
      <c r="BM432" s="651"/>
      <c r="BN432" s="651"/>
      <c r="BO432" s="651"/>
      <c r="BP432" s="651"/>
      <c r="BQ432" s="651"/>
      <c r="BR432" s="651"/>
      <c r="BS432" s="651"/>
      <c r="BT432" s="651"/>
    </row>
    <row r="433">
      <c r="A433" s="716" t="s">
        <v>491</v>
      </c>
      <c r="B433" s="154" t="str">
        <f>IFERROR(__xludf.DUMMYFUNCTION("IFERROR(
  IF(C433="""","""",
    IF(OR(REGEXMATCH(D433,""(?i)-Flashing""), REGEXMATCH(D433,""(?i)-EavesGut""), REGEXMATCH(D433,""(?i)Valley"")),
        ""DR"" &amp;
        TEXT(
            ROUNDUP(
                MIN(
                    VALUE(MID(C433, "&amp;"FIND(""("",C433)+1, FIND(""/"",C433)-FIND(""("",C433)-1)),
                    1200
                ) / 50, 0
            ) * 50, ""0""
        ) &amp;
        MID(C433, FIND(""/"",C433)+1, FIND("")"",C433)-FIND(""/"",C433)-1) &amp;
        TEXT(H433*100,""0"") &amp;"&amp;"
        I433,
    IF(AND(D433=""Roof Sheet"", REGEXMATCH(C433,""(?i)KS\d{4}[A-Z]{2}"")),
       REGEXEXTRACT(C433,""(?i)KS\d{4}[A-Z]{2}""),
    IF(AND(REGEXMATCH(D433,""(?i)-DP""), REGEXMATCH(C433,""(?i)Downpipe"")),
       ""dp"" &amp; REGEXEXTRACT(C433,""("&amp;"\d+)"") &amp; ""mm"",
    IF(AND(REGEXMATCH(D433,""(?i)Bracket""), REGEXMATCH(C433,""(?i)Bracket"")),
       ""Brkt"" &amp; REGEXEXTRACT(C433,""(\d+)"") &amp; ""mm"",
    IF(AND(REGEXMATCH(D433,""(?i)-OP""), REGEXMATCH(C433,""(?i)pops"")),
       ""op"" &amp; REGEXEXTRAC"&amp;"T(C433,""(\d+)"") &amp; ""mm"",
    IF(OR(D433=""R-FFTop"", D433=""R-FFBottom"", D433=""R-FFSide""),
        IF(REGEXMATCH(C433,""(?i)Profiled.*Top|Top.*Profiled""),""pfft"",
        IF(REGEXMATCH(C433,""(?i)Profiled.*Bottom|Bottom.*Profiled""),""pffb"",
    "&amp;"    IF(REGEXMATCH(C433,""(?i)Square""),""sff"",""""))),
    IF(REGEXMATCH(D433,""(?i)-Rivets""),""Rvt"",
    IF(REGEXMATCH(D433,""(?i)Silicone|Seal""),""300ml"",
    IF(REGEXMATCH(D433,""(?i)R-Butyl""),""300ml"",
    IF(REGEXMATCH(D433,""(?i)Fix""),""GenF"&amp;"ix"",
    IF(AND(REGEXMATCH(C433,""(?i)Timber""), REGEXMATCH(D433,""(?i)Timber"")),""tp"",
    IF(AND(REGEXMATCH(C433,""(?i)Vent G1275""), REGEXMATCH(D433,""(?i)Comb FIller"")),""CFV1275"",
    IF(REGEXMATCH(C433,""(?i)DPC""),""dpc"",
    IF(REGEXMATCH(C4"&amp;"33,""(?i)Concealed Clips""),""ConClips"",
    IF(REGEXMATCH(D433,""(?i)-Takeoff ea""),""Takeoff ea"",
    IF(REGEXMATCH(D433,""(?i)-Takeoff LM""),""Takeoff LM"",
    IF(REGEXMATCH(D433,""(?i)-Takeoff m2""),""Takeoff m2"",
    IF(D433=""R-TU/TD"",""TU/TD"""&amp;","""")))))))))))))))))
  )))"),"dp150mm")</f>
        <v>dp150mm</v>
      </c>
      <c r="C433" s="123" t="s">
        <v>138</v>
      </c>
      <c r="D433" s="124" t="s">
        <v>139</v>
      </c>
      <c r="E433" s="725"/>
      <c r="F433" s="699"/>
      <c r="G433" s="689" t="s">
        <v>517</v>
      </c>
      <c r="H433" s="700"/>
      <c r="I433" s="700"/>
      <c r="J433" s="126" t="s">
        <v>14</v>
      </c>
      <c r="K433" s="126" t="str">
        <f>IFERROR(
  IF(B433="", "", VLOOKUP(B433, Data!$B$2:$K$905, 7, FALSE)),
  ""
)</f>
        <v/>
      </c>
      <c r="L433" s="131">
        <v>2.0</v>
      </c>
      <c r="M433" s="150">
        <f t="shared" ref="M433:M435" si="329">L433</f>
        <v>2</v>
      </c>
      <c r="N433" s="156">
        <v>2.4</v>
      </c>
      <c r="O433" s="759">
        <v>4.0</v>
      </c>
      <c r="P433" s="156">
        <v>1.0</v>
      </c>
      <c r="Q433" s="242">
        <f t="shared" ref="Q433:Q435" si="330">M433*N433*O433*P433</f>
        <v>19.2</v>
      </c>
      <c r="R433" s="136" t="str">
        <f>IFERROR(
  IF(B433="", "", VLOOKUP(B433, Data!$B$2:$K$905, 9, FALSE)),
  ""
)</f>
        <v/>
      </c>
      <c r="S433" s="152">
        <f t="shared" ref="S433:S435" si="331">R433*Q433</f>
        <v>0</v>
      </c>
      <c r="T433" s="690"/>
      <c r="U433" s="136" t="str">
        <f>IFERROR(
  IF(B433="", "", VLOOKUP(B433, Data!$B$2:$K$905, 10, FALSE)),
  ""
)
</f>
        <v/>
      </c>
      <c r="V433" s="691"/>
      <c r="W433" s="140">
        <f t="shared" ref="W433:W435" si="332">U433*Q433</f>
        <v>0</v>
      </c>
      <c r="X433" s="693"/>
      <c r="Y433" s="595"/>
      <c r="Z433" s="595"/>
      <c r="AA433" s="595"/>
      <c r="AB433" s="354">
        <f t="shared" ref="AB433:AB434" si="333">W433+S433</f>
        <v>0</v>
      </c>
      <c r="AC433" s="181"/>
      <c r="AD433" s="625"/>
      <c r="AE433" s="626"/>
      <c r="AF433" s="696"/>
      <c r="AG433" s="697"/>
      <c r="AH433" s="629"/>
      <c r="AI433" s="187"/>
      <c r="AJ433" s="630"/>
      <c r="AK433" s="630"/>
      <c r="AL433" s="595"/>
      <c r="AM433" s="595"/>
      <c r="AN433" s="595"/>
      <c r="AO433" s="595"/>
      <c r="AP433" s="595"/>
      <c r="AQ433" s="595"/>
      <c r="AR433" s="595"/>
      <c r="AS433" s="595"/>
      <c r="AT433" s="595"/>
      <c r="AU433" s="595"/>
      <c r="AV433" s="595"/>
      <c r="AW433" s="595"/>
      <c r="AX433" s="595"/>
      <c r="AY433" s="595"/>
      <c r="AZ433" s="595"/>
      <c r="BA433" s="595"/>
      <c r="BB433" s="595"/>
      <c r="BC433" s="595"/>
      <c r="BD433" s="595"/>
      <c r="BE433" s="595"/>
      <c r="BF433" s="595"/>
      <c r="BG433" s="595"/>
      <c r="BH433" s="595"/>
      <c r="BI433" s="651"/>
      <c r="BJ433" s="651"/>
      <c r="BK433" s="651"/>
      <c r="BL433" s="651"/>
      <c r="BM433" s="651"/>
      <c r="BN433" s="651"/>
      <c r="BO433" s="651"/>
      <c r="BP433" s="651"/>
      <c r="BQ433" s="651"/>
      <c r="BR433" s="651"/>
      <c r="BS433" s="651"/>
      <c r="BT433" s="651"/>
    </row>
    <row r="434">
      <c r="A434" s="716" t="s">
        <v>491</v>
      </c>
      <c r="B434" s="154" t="str">
        <f>IFERROR(__xludf.DUMMYFUNCTION("IFERROR(
  IF(C434="""","""",
    IF(OR(REGEXMATCH(D434,""(?i)-Flashing""), REGEXMATCH(D434,""(?i)-EavesGut""), REGEXMATCH(D434,""(?i)Valley"")),
        ""DR"" &amp;
        TEXT(
            ROUNDUP(
                MIN(
                    VALUE(MID(C434, "&amp;"FIND(""("",C434)+1, FIND(""/"",C434)-FIND(""("",C434)-1)),
                    1200
                ) / 50, 0
            ) * 50, ""0""
        ) &amp;
        MID(C434, FIND(""/"",C434)+1, FIND("")"",C434)-FIND(""/"",C434)-1) &amp;
        TEXT(H434*100,""0"") &amp;"&amp;"
        I434,
    IF(AND(D434=""Roof Sheet"", REGEXMATCH(C434,""(?i)KS\d{4}[A-Z]{2}"")),
       REGEXEXTRACT(C434,""(?i)KS\d{4}[A-Z]{2}""),
    IF(AND(REGEXMATCH(D434,""(?i)-DP""), REGEXMATCH(C434,""(?i)Downpipe"")),
       ""dp"" &amp; REGEXEXTRACT(C434,""("&amp;"\d+)"") &amp; ""mm"",
    IF(AND(REGEXMATCH(D434,""(?i)Bracket""), REGEXMATCH(C434,""(?i)Bracket"")),
       ""Brkt"" &amp; REGEXEXTRACT(C434,""(\d+)"") &amp; ""mm"",
    IF(AND(REGEXMATCH(D434,""(?i)-OP""), REGEXMATCH(C434,""(?i)pops"")),
       ""op"" &amp; REGEXEXTRAC"&amp;"T(C434,""(\d+)"") &amp; ""mm"",
    IF(OR(D434=""R-FFTop"", D434=""R-FFBottom"", D434=""R-FFSide""),
        IF(REGEXMATCH(C434,""(?i)Profiled.*Top|Top.*Profiled""),""pfft"",
        IF(REGEXMATCH(C434,""(?i)Profiled.*Bottom|Bottom.*Profiled""),""pffb"",
    "&amp;"    IF(REGEXMATCH(C434,""(?i)Square""),""sff"",""""))),
    IF(REGEXMATCH(D434,""(?i)-Rivets""),""Rvt"",
    IF(REGEXMATCH(D434,""(?i)Silicone|Seal""),""300ml"",
    IF(REGEXMATCH(D434,""(?i)R-Butyl""),""300ml"",
    IF(REGEXMATCH(D434,""(?i)Fix""),""GenF"&amp;"ix"",
    IF(AND(REGEXMATCH(C434,""(?i)Timber""), REGEXMATCH(D434,""(?i)Timber"")),""tp"",
    IF(AND(REGEXMATCH(C434,""(?i)Vent G1275""), REGEXMATCH(D434,""(?i)Comb FIller"")),""CFV1275"",
    IF(REGEXMATCH(C434,""(?i)DPC""),""dpc"",
    IF(REGEXMATCH(C4"&amp;"34,""(?i)Concealed Clips""),""ConClips"",
    IF(REGEXMATCH(D434,""(?i)-Takeoff ea""),""Takeoff ea"",
    IF(REGEXMATCH(D434,""(?i)-Takeoff LM""),""Takeoff LM"",
    IF(REGEXMATCH(D434,""(?i)-Takeoff m2""),""Takeoff m2"",
    IF(D434=""R-TU/TD"",""TU/TD"""&amp;","""")))))))))))))))))
  )))"),"Brkt150mm")</f>
        <v>Brkt150mm</v>
      </c>
      <c r="C434" s="123" t="s">
        <v>140</v>
      </c>
      <c r="D434" s="124" t="s">
        <v>141</v>
      </c>
      <c r="E434" s="725"/>
      <c r="F434" s="699"/>
      <c r="G434" s="701"/>
      <c r="H434" s="700"/>
      <c r="I434" s="700"/>
      <c r="J434" s="126" t="s">
        <v>87</v>
      </c>
      <c r="K434" s="126" t="str">
        <f>IFERROR(
  IF(B434="", "", VLOOKUP(B434, Data!$B$2:$K$905, 7, FALSE)),
  ""
)</f>
        <v/>
      </c>
      <c r="L434" s="135">
        <f t="shared" ref="L434:L435" si="334">L433</f>
        <v>2</v>
      </c>
      <c r="M434" s="150">
        <f t="shared" si="329"/>
        <v>2</v>
      </c>
      <c r="N434" s="151">
        <v>1.0</v>
      </c>
      <c r="O434" s="169">
        <f>O433</f>
        <v>4</v>
      </c>
      <c r="P434" s="134">
        <v>1.0</v>
      </c>
      <c r="Q434" s="242">
        <f t="shared" si="330"/>
        <v>8</v>
      </c>
      <c r="R434" s="136" t="str">
        <f>IFERROR(
  IF(B434="", "", VLOOKUP(B434, Data!$B$2:$K$905, 9, FALSE)),
  ""
)</f>
        <v/>
      </c>
      <c r="S434" s="152">
        <f t="shared" si="331"/>
        <v>0</v>
      </c>
      <c r="T434" s="690"/>
      <c r="U434" s="136" t="str">
        <f>IFERROR(
  IF(B434="", "", VLOOKUP(B434, Data!$B$2:$K$905, 10, FALSE)),
  ""
)
</f>
        <v/>
      </c>
      <c r="V434" s="691"/>
      <c r="W434" s="140">
        <f t="shared" si="332"/>
        <v>0</v>
      </c>
      <c r="X434" s="692"/>
      <c r="Y434" s="595"/>
      <c r="Z434" s="595"/>
      <c r="AA434" s="595"/>
      <c r="AB434" s="354">
        <f t="shared" si="333"/>
        <v>0</v>
      </c>
      <c r="AC434" s="181"/>
      <c r="AD434" s="625"/>
      <c r="AE434" s="626"/>
      <c r="AF434" s="696"/>
      <c r="AG434" s="697"/>
      <c r="AH434" s="629"/>
      <c r="AI434" s="187"/>
      <c r="AJ434" s="630"/>
      <c r="AK434" s="630"/>
      <c r="AL434" s="595"/>
      <c r="AM434" s="595"/>
      <c r="AN434" s="595"/>
      <c r="AO434" s="595"/>
      <c r="AP434" s="595"/>
      <c r="AQ434" s="595"/>
      <c r="AR434" s="595"/>
      <c r="AS434" s="595"/>
      <c r="AT434" s="595"/>
      <c r="AU434" s="595"/>
      <c r="AV434" s="595"/>
      <c r="AW434" s="595"/>
      <c r="AX434" s="595"/>
      <c r="AY434" s="595"/>
      <c r="AZ434" s="595"/>
      <c r="BA434" s="595"/>
      <c r="BB434" s="595"/>
      <c r="BC434" s="595"/>
      <c r="BD434" s="595"/>
      <c r="BE434" s="595"/>
      <c r="BF434" s="595"/>
      <c r="BG434" s="595"/>
      <c r="BH434" s="595"/>
      <c r="BI434" s="651"/>
      <c r="BJ434" s="651"/>
      <c r="BK434" s="651"/>
      <c r="BL434" s="651"/>
      <c r="BM434" s="651"/>
      <c r="BN434" s="651"/>
      <c r="BO434" s="651"/>
      <c r="BP434" s="651"/>
      <c r="BQ434" s="651"/>
      <c r="BR434" s="651"/>
      <c r="BS434" s="651"/>
      <c r="BT434" s="651"/>
    </row>
    <row r="435">
      <c r="A435" s="716" t="s">
        <v>491</v>
      </c>
      <c r="B435" s="154" t="s">
        <v>494</v>
      </c>
      <c r="C435" s="698" t="s">
        <v>495</v>
      </c>
      <c r="D435" s="124" t="s">
        <v>337</v>
      </c>
      <c r="E435" s="725"/>
      <c r="F435" s="699"/>
      <c r="G435" s="701"/>
      <c r="H435" s="700"/>
      <c r="I435" s="700"/>
      <c r="J435" s="126" t="s">
        <v>87</v>
      </c>
      <c r="K435" s="126" t="str">
        <f>IFERROR(
  IF(B435="", "", VLOOKUP(B435, Data!$B$2:$K$905, 7, FALSE)),
  ""
)</f>
        <v/>
      </c>
      <c r="L435" s="131">
        <f t="shared" si="334"/>
        <v>2</v>
      </c>
      <c r="M435" s="150">
        <f t="shared" si="329"/>
        <v>2</v>
      </c>
      <c r="N435" s="151">
        <f>IFERROR(__xludf.DUMMYFUNCTION("IF(B435="""", """", IFERROR(1 / COS(RADIANS(REGEXEXTRACT(F435,""(\d+)""))), 1))"),1.0)</f>
        <v>1</v>
      </c>
      <c r="O435" s="169">
        <v>1.0</v>
      </c>
      <c r="P435" s="134">
        <v>1.0</v>
      </c>
      <c r="Q435" s="242">
        <f t="shared" si="330"/>
        <v>2</v>
      </c>
      <c r="R435" s="681" t="str">
        <f>IFERROR(
  IF(B435="", "", VLOOKUP(B435, Data!$B$2:$K$905, 9, FALSE)),
  ""
)</f>
        <v/>
      </c>
      <c r="S435" s="152">
        <f t="shared" si="331"/>
        <v>0</v>
      </c>
      <c r="T435" s="690"/>
      <c r="U435" s="681" t="str">
        <f>IFERROR(
  IF(B435="", "", VLOOKUP(B435, Data!$B$2:$K$905, 10, FALSE)),
  ""
)
</f>
        <v/>
      </c>
      <c r="V435" s="691"/>
      <c r="W435" s="140">
        <f t="shared" si="332"/>
        <v>0</v>
      </c>
      <c r="X435" s="692"/>
      <c r="Y435" s="595"/>
      <c r="Z435" s="595"/>
      <c r="AA435" s="595"/>
      <c r="AB435" s="595"/>
      <c r="AC435" s="181"/>
      <c r="AD435" s="625"/>
      <c r="AE435" s="626"/>
      <c r="AF435" s="696"/>
      <c r="AG435" s="697"/>
      <c r="AH435" s="629"/>
      <c r="AI435" s="187"/>
      <c r="AJ435" s="630"/>
      <c r="AK435" s="630"/>
      <c r="AL435" s="595"/>
      <c r="AM435" s="595"/>
      <c r="AN435" s="595"/>
      <c r="AO435" s="595"/>
      <c r="AP435" s="595"/>
      <c r="AQ435" s="595"/>
      <c r="AR435" s="595"/>
      <c r="AS435" s="595"/>
      <c r="AT435" s="595"/>
      <c r="AU435" s="595"/>
      <c r="AV435" s="595"/>
      <c r="AW435" s="595"/>
      <c r="AX435" s="595"/>
      <c r="AY435" s="595"/>
      <c r="AZ435" s="595"/>
      <c r="BA435" s="595"/>
      <c r="BB435" s="595"/>
      <c r="BC435" s="595"/>
      <c r="BD435" s="595"/>
      <c r="BE435" s="595"/>
      <c r="BF435" s="595"/>
      <c r="BG435" s="595"/>
      <c r="BH435" s="595"/>
      <c r="BI435" s="651"/>
      <c r="BJ435" s="651"/>
      <c r="BK435" s="651"/>
      <c r="BL435" s="651"/>
      <c r="BM435" s="651"/>
      <c r="BN435" s="651"/>
      <c r="BO435" s="651"/>
      <c r="BP435" s="651"/>
      <c r="BQ435" s="651"/>
      <c r="BR435" s="651"/>
      <c r="BS435" s="651"/>
      <c r="BT435" s="651"/>
    </row>
    <row r="436">
      <c r="A436" s="631"/>
      <c r="B436" s="154" t="str">
        <f>IFERROR(__xludf.DUMMYFUNCTION("IFERROR(
  IF(C436="""","""",
    IF(OR(REGEXMATCH(D436,""(?i)-Flashing""), REGEXMATCH(D436,""(?i)-EavesGut""), REGEXMATCH(D436,""(?i)Valley"")),
        ""DR"" &amp;
        TEXT(
            ROUNDUP(
                MIN(
                    VALUE(MID(C436, "&amp;"FIND(""("",C436)+1, FIND(""/"",C436)-FIND(""("",C436)-1)),
                    1200
                ) / 50, 0
            ) * 50, ""0""
        ) &amp;
        MID(C436, FIND(""/"",C436)+1, FIND("")"",C436)-FIND(""/"",C436)-1) &amp;
        TEXT(H436*100,""0"") &amp;"&amp;"
        I436,
    IF(AND(D436=""Roof Sheet"", REGEXMATCH(C436,""(?i)KS\d{4}[A-Z]{2}"")),
       REGEXEXTRACT(C436,""(?i)KS\d{4}[A-Z]{2}""),
    IF(AND(REGEXMATCH(D436,""(?i)-DP""), REGEXMATCH(C436,""(?i)Downpipe"")),
       ""dp"" &amp; REGEXEXTRACT(C436,""("&amp;"\d+)"") &amp; ""mm"",
    IF(AND(REGEXMATCH(D436,""(?i)Bracket""), REGEXMATCH(C436,""(?i)Bracket"")),
       ""Brkt"" &amp; REGEXEXTRACT(C436,""(\d+)"") &amp; ""mm"",
    IF(AND(REGEXMATCH(D436,""(?i)-OP""), REGEXMATCH(C436,""(?i)pops"")),
       ""op"" &amp; REGEXEXTRAC"&amp;"T(C436,""(\d+)"") &amp; ""mm"",
    IF(OR(D436=""R-FFTop"", D436=""R-FFBottom"", D436=""R-FFSide""),
        IF(REGEXMATCH(C436,""(?i)Profiled.*Top|Top.*Profiled""),""pfft"",
        IF(REGEXMATCH(C436,""(?i)Profiled.*Bottom|Bottom.*Profiled""),""pffb"",
    "&amp;"    IF(REGEXMATCH(C436,""(?i)Square""),""sff"",""""))),
    IF(REGEXMATCH(D436,""(?i)-Rivets""),""Rvt"",
    IF(REGEXMATCH(D436,""(?i)Silicone|Seal""),""300ml"",
    IF(REGEXMATCH(D436,""(?i)R-Butyl""),""300ml"",
    IF(REGEXMATCH(D436,""(?i)Fix""),""GenF"&amp;"ix"",
    IF(AND(REGEXMATCH(C436,""(?i)Timber""), REGEXMATCH(D436,""(?i)Timber"")),""tp"",
    IF(AND(REGEXMATCH(C436,""(?i)Vent G1275""), REGEXMATCH(D436,""(?i)Comb FIller"")),""CFV1275"",
    IF(REGEXMATCH(C436,""(?i)DPC""),""dpc"",
    IF(REGEXMATCH(C4"&amp;"36,""(?i)Concealed Clips""),""ConClips"",
    IF(REGEXMATCH(D436,""(?i)-Takeoff ea""),""Takeoff ea"",
    IF(REGEXMATCH(D436,""(?i)-Takeoff LM""),""Takeoff LM"",
    IF(REGEXMATCH(D436,""(?i)-Takeoff m2""),""Takeoff m2"",
    IF(D436=""R-TU/TD"",""TU/TD"""&amp;","""")))))))))))))))))
  )))"),"")</f>
        <v/>
      </c>
      <c r="C436" s="701"/>
      <c r="D436" s="701"/>
      <c r="E436" s="722"/>
      <c r="F436" s="699"/>
      <c r="G436" s="701"/>
      <c r="H436" s="700"/>
      <c r="I436" s="700"/>
      <c r="J436" s="701"/>
      <c r="K436" s="701" t="str">
        <f>IFERROR(
  IF(B436="", "", VLOOKUP(B436, Data!$B$2:$K$905, 7, FALSE)),
  ""
)</f>
        <v/>
      </c>
      <c r="L436" s="704"/>
      <c r="M436" s="704" t="s">
        <v>42</v>
      </c>
      <c r="N436" s="711" t="str">
        <f>IFERROR(__xludf.DUMMYFUNCTION("IF(B436="""", """", IFERROR(1 / COS(RADIANS(REGEXEXTRACT(F436,""(\d+)""))), 1))"),"")</f>
        <v/>
      </c>
      <c r="O436" s="712"/>
      <c r="P436" s="700"/>
      <c r="Q436" s="712"/>
      <c r="R436" s="681" t="str">
        <f>IFERROR(
  IF(B436="", "", VLOOKUP(B436, Data!$B$2:$K$905, 9, FALSE)),
  ""
)</f>
        <v/>
      </c>
      <c r="S436" s="691"/>
      <c r="T436" s="690"/>
      <c r="U436" s="136" t="str">
        <f>IFERROR(
  IF(B436="", "", VLOOKUP(B436, Data!$B$2:$K$905, 10, FALSE)),
  ""
)
</f>
        <v/>
      </c>
      <c r="V436" s="691"/>
      <c r="W436" s="713"/>
      <c r="X436" s="692"/>
      <c r="Y436" s="595"/>
      <c r="Z436" s="595"/>
      <c r="AA436" s="595"/>
      <c r="AB436" s="354">
        <f t="shared" ref="AB436:AB439" si="335">W436+S436</f>
        <v>0</v>
      </c>
      <c r="AC436" s="181"/>
      <c r="AD436" s="625"/>
      <c r="AE436" s="626"/>
      <c r="AF436" s="696"/>
      <c r="AG436" s="697"/>
      <c r="AH436" s="629"/>
      <c r="AI436" s="187"/>
      <c r="AJ436" s="630"/>
      <c r="AK436" s="630"/>
      <c r="AL436" s="595"/>
      <c r="AM436" s="595"/>
      <c r="AN436" s="595"/>
      <c r="AO436" s="595"/>
      <c r="AP436" s="595"/>
      <c r="AQ436" s="595"/>
      <c r="AR436" s="595"/>
      <c r="AS436" s="595"/>
      <c r="AT436" s="595"/>
      <c r="AU436" s="595"/>
      <c r="AV436" s="595"/>
      <c r="AW436" s="595"/>
      <c r="AX436" s="595"/>
      <c r="AY436" s="595"/>
      <c r="AZ436" s="595"/>
      <c r="BA436" s="595"/>
      <c r="BB436" s="595"/>
      <c r="BC436" s="595"/>
      <c r="BD436" s="595"/>
      <c r="BE436" s="595"/>
      <c r="BF436" s="595"/>
      <c r="BG436" s="595"/>
      <c r="BH436" s="595"/>
      <c r="BI436" s="651"/>
      <c r="BJ436" s="651"/>
      <c r="BK436" s="651"/>
      <c r="BL436" s="651"/>
      <c r="BM436" s="651"/>
      <c r="BN436" s="651"/>
      <c r="BO436" s="651"/>
      <c r="BP436" s="651"/>
      <c r="BQ436" s="651"/>
      <c r="BR436" s="651"/>
      <c r="BS436" s="651"/>
      <c r="BT436" s="651"/>
    </row>
    <row r="437">
      <c r="A437" s="716" t="s">
        <v>491</v>
      </c>
      <c r="B437" s="154" t="str">
        <f>IFERROR(__xludf.DUMMYFUNCTION("IFERROR(
  IF(C437="""","""",
    IF(OR(REGEXMATCH(D437,""(?i)-Flashing""), REGEXMATCH(D437,""(?i)-EavesGut""), REGEXMATCH(D437,""(?i)Valley"")),
        ""DR"" &amp;
        TEXT(
            ROUNDUP(
                MIN(
                    VALUE(MID(C437, "&amp;"FIND(""("",C437)+1, FIND(""/"",C437)-FIND(""("",C437)-1)),
                    1200
                ) / 50, 0
            ) * 50, ""0""
        ) &amp;
        MID(C437, FIND(""/"",C437)+1, FIND("")"",C437)-FIND(""/"",C437)-1) &amp;
        TEXT(H437*100,""0"") &amp;"&amp;"
        I437,
    IF(AND(D437=""Roof Sheet"", REGEXMATCH(C437,""(?i)KS\d{4}[A-Z]{2}"")),
       REGEXEXTRACT(C437,""(?i)KS\d{4}[A-Z]{2}""),
    IF(AND(REGEXMATCH(D437,""(?i)-DP""), REGEXMATCH(C437,""(?i)Downpipe"")),
       ""dp"" &amp; REGEXEXTRACT(C437,""("&amp;"\d+)"") &amp; ""mm"",
    IF(AND(REGEXMATCH(D437,""(?i)Bracket""), REGEXMATCH(C437,""(?i)Bracket"")),
       ""Brkt"" &amp; REGEXEXTRACT(C437,""(\d+)"") &amp; ""mm"",
    IF(AND(REGEXMATCH(D437,""(?i)-OP""), REGEXMATCH(C437,""(?i)pops"")),
       ""op"" &amp; REGEXEXTRAC"&amp;"T(C437,""(\d+)"") &amp; ""mm"",
    IF(OR(D437=""R-FFTop"", D437=""R-FFBottom"", D437=""R-FFSide""),
        IF(REGEXMATCH(C437,""(?i)Profiled.*Top|Top.*Profiled""),""pfft"",
        IF(REGEXMATCH(C437,""(?i)Profiled.*Bottom|Bottom.*Profiled""),""pffb"",
    "&amp;"    IF(REGEXMATCH(C437,""(?i)Square""),""sff"",""""))),
    IF(REGEXMATCH(D437,""(?i)-Rivets""),""Rvt"",
    IF(REGEXMATCH(D437,""(?i)Silicone|Seal""),""300ml"",
    IF(REGEXMATCH(D437,""(?i)R-Butyl""),""300ml"",
    IF(REGEXMATCH(D437,""(?i)Fix""),""GenF"&amp;"ix"",
    IF(AND(REGEXMATCH(C437,""(?i)Timber""), REGEXMATCH(D437,""(?i)Timber"")),""tp"",
    IF(AND(REGEXMATCH(C437,""(?i)Vent G1275""), REGEXMATCH(D437,""(?i)Comb FIller"")),""CFV1275"",
    IF(REGEXMATCH(C437,""(?i)DPC""),""dpc"",
    IF(REGEXMATCH(C4"&amp;"37,""(?i)Concealed Clips""),""ConClips"",
    IF(REGEXMATCH(D437,""(?i)-Takeoff ea""),""Takeoff ea"",
    IF(REGEXMATCH(D437,""(?i)-Takeoff LM""),""Takeoff LM"",
    IF(REGEXMATCH(D437,""(?i)-Takeoff m2""),""Takeoff m2"",
    IF(D437=""R-TU/TD"",""TU/TD"""&amp;","""")))))))))))))))))
  )))"),"op150mm")</f>
        <v>op150mm</v>
      </c>
      <c r="C437" s="123" t="s">
        <v>142</v>
      </c>
      <c r="D437" s="124" t="s">
        <v>143</v>
      </c>
      <c r="E437" s="687">
        <f>IFERROR(__xludf.DUMMYFUNCTION("IF(REGEXMATCH(C437, ""\d+mmØ""), VALUE(REGEXEXTRACT(C437, ""(\d+)mmØ""))/1000, """")
"),0.15)</f>
        <v>0.15</v>
      </c>
      <c r="F437" s="699"/>
      <c r="G437" s="701"/>
      <c r="H437" s="700"/>
      <c r="I437" s="700"/>
      <c r="J437" s="126" t="s">
        <v>87</v>
      </c>
      <c r="K437" s="126" t="str">
        <f>IFERROR(
  IF(B437="", "", VLOOKUP(B437, Data!$B$2:$K$905, 7, FALSE)),
  ""
)</f>
        <v/>
      </c>
      <c r="L437" s="704"/>
      <c r="M437" s="150">
        <v>1.0</v>
      </c>
      <c r="N437" s="151">
        <f>IFERROR(__xludf.DUMMYFUNCTION("IF(B437="""", """", IFERROR(1 / COS(RADIANS(REGEXEXTRACT(F437,""(\d+)""))), 1))"),1.0)</f>
        <v>1</v>
      </c>
      <c r="O437" s="169">
        <f>L434</f>
        <v>2</v>
      </c>
      <c r="P437" s="134">
        <v>1.0</v>
      </c>
      <c r="Q437" s="242">
        <f t="shared" ref="Q437:Q439" si="336">M437*N437*O437*P437</f>
        <v>2</v>
      </c>
      <c r="R437" s="136" t="str">
        <f>IFERROR(
  IF(B437="", "", VLOOKUP(B437, Data!$B$2:$K$905, 9, FALSE)),
  ""
)</f>
        <v/>
      </c>
      <c r="S437" s="152">
        <f t="shared" ref="S437:S439" si="337">R437*Q437</f>
        <v>0</v>
      </c>
      <c r="T437" s="690"/>
      <c r="U437" s="136" t="str">
        <f>IFERROR(
  IF(B437="", "", VLOOKUP(B437, Data!$B$2:$K$905, 10, FALSE)),
  ""
)
</f>
        <v/>
      </c>
      <c r="V437" s="691"/>
      <c r="W437" s="140">
        <f t="shared" ref="W437:W439" si="338">U437*Q437</f>
        <v>0</v>
      </c>
      <c r="X437" s="692"/>
      <c r="Y437" s="595"/>
      <c r="Z437" s="595"/>
      <c r="AA437" s="595"/>
      <c r="AB437" s="354">
        <f t="shared" si="335"/>
        <v>0</v>
      </c>
      <c r="AC437" s="181"/>
      <c r="AD437" s="625"/>
      <c r="AE437" s="626"/>
      <c r="AF437" s="696"/>
      <c r="AG437" s="697"/>
      <c r="AH437" s="629"/>
      <c r="AI437" s="187"/>
      <c r="AJ437" s="630"/>
      <c r="AK437" s="630"/>
      <c r="AL437" s="595"/>
      <c r="AM437" s="595"/>
      <c r="AN437" s="595"/>
      <c r="AO437" s="595"/>
      <c r="AP437" s="595"/>
      <c r="AQ437" s="595"/>
      <c r="AR437" s="595"/>
      <c r="AS437" s="595"/>
      <c r="AT437" s="595"/>
      <c r="AU437" s="595"/>
      <c r="AV437" s="595"/>
      <c r="AW437" s="595"/>
      <c r="AX437" s="595"/>
      <c r="AY437" s="595"/>
      <c r="AZ437" s="595"/>
      <c r="BA437" s="595"/>
      <c r="BB437" s="595"/>
      <c r="BC437" s="595"/>
      <c r="BD437" s="595"/>
      <c r="BE437" s="595"/>
      <c r="BF437" s="595"/>
      <c r="BG437" s="595"/>
      <c r="BH437" s="595"/>
      <c r="BI437" s="651"/>
      <c r="BJ437" s="651"/>
      <c r="BK437" s="651"/>
      <c r="BL437" s="651"/>
      <c r="BM437" s="651"/>
      <c r="BN437" s="651"/>
      <c r="BO437" s="651"/>
      <c r="BP437" s="651"/>
      <c r="BQ437" s="651"/>
      <c r="BR437" s="651"/>
      <c r="BS437" s="651"/>
      <c r="BT437" s="651"/>
    </row>
    <row r="438">
      <c r="A438" s="631"/>
      <c r="B438" s="154" t="str">
        <f>IFERROR(__xludf.DUMMYFUNCTION("IFERROR(
  IF(C438="""","""",
    IF(OR(REGEXMATCH(D438,""(?i)-Flashing""), REGEXMATCH(D438,""(?i)-EavesGut""), REGEXMATCH(D438,""(?i)Valley"")),
        ""DR"" &amp;
        TEXT(
            ROUNDUP(
                MIN(
                    VALUE(MID(C438, "&amp;"FIND(""("",C438)+1, FIND(""/"",C438)-FIND(""("",C438)-1)),
                    1200
                ) / 50, 0
            ) * 50, ""0""
        ) &amp;
        MID(C438, FIND(""/"",C438)+1, FIND("")"",C438)-FIND(""/"",C438)-1) &amp;
        TEXT(H438*100,""0"") &amp;"&amp;"
        I438,
    IF(AND(D438=""Roof Sheet"", REGEXMATCH(C438,""(?i)KS\d{4}[A-Z]{2}"")),
       REGEXEXTRACT(C438,""(?i)KS\d{4}[A-Z]{2}""),
    IF(AND(REGEXMATCH(D438,""(?i)-DP""), REGEXMATCH(C438,""(?i)Downpipe"")),
       ""dp"" &amp; REGEXEXTRACT(C438,""("&amp;"\d+)"") &amp; ""mm"",
    IF(AND(REGEXMATCH(D438,""(?i)Bracket""), REGEXMATCH(C438,""(?i)Bracket"")),
       ""Brkt"" &amp; REGEXEXTRACT(C438,""(\d+)"") &amp; ""mm"",
    IF(AND(REGEXMATCH(D438,""(?i)-OP""), REGEXMATCH(C438,""(?i)pops"")),
       ""op"" &amp; REGEXEXTRAC"&amp;"T(C438,""(\d+)"") &amp; ""mm"",
    IF(OR(D438=""R-FFTop"", D438=""R-FFBottom"", D438=""R-FFSide""),
        IF(REGEXMATCH(C438,""(?i)Profiled.*Top|Top.*Profiled""),""pfft"",
        IF(REGEXMATCH(C438,""(?i)Profiled.*Bottom|Bottom.*Profiled""),""pffb"",
    "&amp;"    IF(REGEXMATCH(C438,""(?i)Square""),""sff"",""""))),
    IF(REGEXMATCH(D438,""(?i)-Rivets""),""Rvt"",
    IF(REGEXMATCH(D438,""(?i)Silicone|Seal""),""300ml"",
    IF(REGEXMATCH(D438,""(?i)R-Butyl""),""300ml"",
    IF(REGEXMATCH(D438,""(?i)Fix""),""GenF"&amp;"ix"",
    IF(AND(REGEXMATCH(C438,""(?i)Timber""), REGEXMATCH(D438,""(?i)Timber"")),""tp"",
    IF(AND(REGEXMATCH(C438,""(?i)Vent G1275""), REGEXMATCH(D438,""(?i)Comb FIller"")),""CFV1275"",
    IF(REGEXMATCH(C438,""(?i)DPC""),""dpc"",
    IF(REGEXMATCH(C4"&amp;"38,""(?i)Concealed Clips""),""ConClips"",
    IF(REGEXMATCH(D438,""(?i)-Takeoff ea""),""Takeoff ea"",
    IF(REGEXMATCH(D438,""(?i)-Takeoff LM""),""Takeoff LM"",
    IF(REGEXMATCH(D438,""(?i)-Takeoff m2""),""Takeoff m2"",
    IF(D438=""R-TU/TD"",""TU/TD"""&amp;","""")))))))))))))))))
  )))"),"300ml")</f>
        <v>300ml</v>
      </c>
      <c r="C438" s="225" t="s">
        <v>98</v>
      </c>
      <c r="D438" s="124" t="s">
        <v>388</v>
      </c>
      <c r="E438" s="687">
        <f>E437</f>
        <v>0.15</v>
      </c>
      <c r="F438" s="699"/>
      <c r="G438" s="701"/>
      <c r="H438" s="700"/>
      <c r="I438" s="700"/>
      <c r="J438" s="126" t="s">
        <v>87</v>
      </c>
      <c r="K438" s="126" t="str">
        <f>IFERROR(
  IF(B438="", "", VLOOKUP(B438, Data!$B$2:$K$905, 7, FALSE)),
  ""
)</f>
        <v/>
      </c>
      <c r="L438" s="704"/>
      <c r="M438" s="150">
        <f>ROUNDUP(3.14*E438,0)/8</f>
        <v>0.125</v>
      </c>
      <c r="N438" s="151">
        <f>IFERROR(__xludf.DUMMYFUNCTION("IF(B438="""", """", IFERROR(1 / COS(RADIANS(REGEXEXTRACT(F438,""(\d+)""))), 1))"),1.0)</f>
        <v>1</v>
      </c>
      <c r="O438" s="169">
        <f>O437</f>
        <v>2</v>
      </c>
      <c r="P438" s="134">
        <v>1.0</v>
      </c>
      <c r="Q438" s="242">
        <f t="shared" si="336"/>
        <v>0.25</v>
      </c>
      <c r="R438" s="136" t="str">
        <f>IFERROR(
  IF(B438="", "", VLOOKUP(B438, Data!$B$2:$K$905, 9, FALSE)),
  ""
)</f>
        <v/>
      </c>
      <c r="S438" s="152">
        <f t="shared" si="337"/>
        <v>0</v>
      </c>
      <c r="T438" s="690"/>
      <c r="U438" s="136" t="str">
        <f>IFERROR(
  IF(B438="", "", VLOOKUP(B438, Data!$B$2:$K$905, 10, FALSE)),
  ""
)
</f>
        <v/>
      </c>
      <c r="V438" s="691"/>
      <c r="W438" s="140">
        <f t="shared" si="338"/>
        <v>0</v>
      </c>
      <c r="X438" s="692"/>
      <c r="Y438" s="595"/>
      <c r="Z438" s="595"/>
      <c r="AA438" s="595"/>
      <c r="AB438" s="354">
        <f t="shared" si="335"/>
        <v>0</v>
      </c>
      <c r="AC438" s="181"/>
      <c r="AD438" s="625"/>
      <c r="AE438" s="626"/>
      <c r="AF438" s="696"/>
      <c r="AG438" s="697"/>
      <c r="AH438" s="629"/>
      <c r="AI438" s="187"/>
      <c r="AJ438" s="630"/>
      <c r="AK438" s="630"/>
      <c r="AL438" s="595"/>
      <c r="AM438" s="595"/>
      <c r="AN438" s="595"/>
      <c r="AO438" s="595"/>
      <c r="AP438" s="595"/>
      <c r="AQ438" s="595"/>
      <c r="AR438" s="595"/>
      <c r="AS438" s="595"/>
      <c r="AT438" s="595"/>
      <c r="AU438" s="595"/>
      <c r="AV438" s="595"/>
      <c r="AW438" s="595"/>
      <c r="AX438" s="595"/>
      <c r="AY438" s="595"/>
      <c r="AZ438" s="595"/>
      <c r="BA438" s="595"/>
      <c r="BB438" s="595"/>
      <c r="BC438" s="595"/>
      <c r="BD438" s="595"/>
      <c r="BE438" s="595"/>
      <c r="BF438" s="595"/>
      <c r="BG438" s="595"/>
      <c r="BH438" s="595"/>
      <c r="BI438" s="651"/>
      <c r="BJ438" s="651"/>
      <c r="BK438" s="651"/>
      <c r="BL438" s="651"/>
      <c r="BM438" s="651"/>
      <c r="BN438" s="651"/>
      <c r="BO438" s="651"/>
      <c r="BP438" s="651"/>
      <c r="BQ438" s="651"/>
      <c r="BR438" s="651"/>
      <c r="BS438" s="651"/>
      <c r="BT438" s="651"/>
    </row>
    <row r="439">
      <c r="A439" s="631"/>
      <c r="B439" s="154" t="str">
        <f>IFERROR(__xludf.DUMMYFUNCTION("IFERROR(
  IF(C439="""","""",
    IF(OR(REGEXMATCH(D439,""(?i)-Flashing""), REGEXMATCH(D439,""(?i)-EavesGut""), REGEXMATCH(D439,""(?i)Valley"")),
        ""DR"" &amp;
        TEXT(
            ROUNDUP(
                MIN(
                    VALUE(MID(C439, "&amp;"FIND(""("",C439)+1, FIND(""/"",C439)-FIND(""("",C439)-1)),
                    1200
                ) / 50, 0
            ) * 50, ""0""
        ) &amp;
        MID(C439, FIND(""/"",C439)+1, FIND("")"",C439)-FIND(""/"",C439)-1) &amp;
        TEXT(H439*100,""0"") &amp;"&amp;"
        I439,
    IF(AND(D439=""Roof Sheet"", REGEXMATCH(C439,""(?i)KS\d{4}[A-Z]{2}"")),
       REGEXEXTRACT(C439,""(?i)KS\d{4}[A-Z]{2}""),
    IF(AND(REGEXMATCH(D439,""(?i)-DP""), REGEXMATCH(C439,""(?i)Downpipe"")),
       ""dp"" &amp; REGEXEXTRACT(C439,""("&amp;"\d+)"") &amp; ""mm"",
    IF(AND(REGEXMATCH(D439,""(?i)Bracket""), REGEXMATCH(C439,""(?i)Bracket"")),
       ""Brkt"" &amp; REGEXEXTRACT(C439,""(\d+)"") &amp; ""mm"",
    IF(AND(REGEXMATCH(D439,""(?i)-OP""), REGEXMATCH(C439,""(?i)pops"")),
       ""op"" &amp; REGEXEXTRAC"&amp;"T(C439,""(\d+)"") &amp; ""mm"",
    IF(OR(D439=""R-FFTop"", D439=""R-FFBottom"", D439=""R-FFSide""),
        IF(REGEXMATCH(C439,""(?i)Profiled.*Top|Top.*Profiled""),""pfft"",
        IF(REGEXMATCH(C439,""(?i)Profiled.*Bottom|Bottom.*Profiled""),""pffb"",
    "&amp;"    IF(REGEXMATCH(C439,""(?i)Square""),""sff"",""""))),
    IF(REGEXMATCH(D439,""(?i)-Rivets""),""Rvt"",
    IF(REGEXMATCH(D439,""(?i)Silicone|Seal""),""300ml"",
    IF(REGEXMATCH(D439,""(?i)R-Butyl""),""300ml"",
    IF(REGEXMATCH(D439,""(?i)Fix""),""GenF"&amp;"ix"",
    IF(AND(REGEXMATCH(C439,""(?i)Timber""), REGEXMATCH(D439,""(?i)Timber"")),""tp"",
    IF(AND(REGEXMATCH(C439,""(?i)Vent G1275""), REGEXMATCH(D439,""(?i)Comb FIller"")),""CFV1275"",
    IF(REGEXMATCH(C439,""(?i)DPC""),""dpc"",
    IF(REGEXMATCH(C4"&amp;"39,""(?i)Concealed Clips""),""ConClips"",
    IF(REGEXMATCH(D439,""(?i)-Takeoff ea""),""Takeoff ea"",
    IF(REGEXMATCH(D439,""(?i)-Takeoff LM""),""Takeoff LM"",
    IF(REGEXMATCH(D439,""(?i)-Takeoff m2""),""Takeoff m2"",
    IF(D439=""R-TU/TD"",""TU/TD"""&amp;","""")))))))))))))))))
  )))"),"GenFix")</f>
        <v>GenFix</v>
      </c>
      <c r="C439" s="225" t="s">
        <v>102</v>
      </c>
      <c r="D439" s="124" t="s">
        <v>144</v>
      </c>
      <c r="E439" s="687">
        <f>E437</f>
        <v>0.15</v>
      </c>
      <c r="F439" s="699"/>
      <c r="G439" s="701"/>
      <c r="H439" s="700"/>
      <c r="I439" s="700"/>
      <c r="J439" s="126" t="s">
        <v>87</v>
      </c>
      <c r="K439" s="126" t="str">
        <f>IFERROR(
  IF(B439="", "", VLOOKUP(B439, Data!$B$2:$K$905, 7, FALSE)),
  ""
)</f>
        <v/>
      </c>
      <c r="L439" s="704"/>
      <c r="M439" s="150">
        <f>ROUNDUP(3.14*E439,0)/0.05</f>
        <v>20</v>
      </c>
      <c r="N439" s="151">
        <f>IFERROR(__xludf.DUMMYFUNCTION("IF(B439="""", """", IFERROR(1 / COS(RADIANS(REGEXEXTRACT(F439,""(\d+)""))), 1))"),1.0)</f>
        <v>1</v>
      </c>
      <c r="O439" s="169">
        <f>O437</f>
        <v>2</v>
      </c>
      <c r="P439" s="134">
        <v>1.0</v>
      </c>
      <c r="Q439" s="242">
        <f t="shared" si="336"/>
        <v>40</v>
      </c>
      <c r="R439" s="136" t="str">
        <f>IFERROR(
  IF(B439="", "", VLOOKUP(B439, Data!$B$2:$K$905, 9, FALSE)),
  ""
)</f>
        <v/>
      </c>
      <c r="S439" s="152">
        <f t="shared" si="337"/>
        <v>0</v>
      </c>
      <c r="T439" s="690"/>
      <c r="U439" s="136" t="str">
        <f>IFERROR(
  IF(B439="", "", VLOOKUP(B439, Data!$B$2:$K$905, 10, FALSE)),
  ""
)
</f>
        <v/>
      </c>
      <c r="V439" s="691"/>
      <c r="W439" s="140">
        <f t="shared" si="338"/>
        <v>0</v>
      </c>
      <c r="X439" s="692"/>
      <c r="Y439" s="595"/>
      <c r="Z439" s="595"/>
      <c r="AA439" s="595"/>
      <c r="AB439" s="354">
        <f t="shared" si="335"/>
        <v>0</v>
      </c>
      <c r="AC439" s="181"/>
      <c r="AD439" s="625"/>
      <c r="AE439" s="626"/>
      <c r="AF439" s="696"/>
      <c r="AG439" s="697"/>
      <c r="AH439" s="629"/>
      <c r="AI439" s="187"/>
      <c r="AJ439" s="630"/>
      <c r="AK439" s="630"/>
      <c r="AL439" s="595"/>
      <c r="AM439" s="595"/>
      <c r="AN439" s="595"/>
      <c r="AO439" s="595"/>
      <c r="AP439" s="595"/>
      <c r="AQ439" s="595"/>
      <c r="AR439" s="595"/>
      <c r="AS439" s="595"/>
      <c r="AT439" s="595"/>
      <c r="AU439" s="595"/>
      <c r="AV439" s="595"/>
      <c r="AW439" s="595"/>
      <c r="AX439" s="595"/>
      <c r="AY439" s="595"/>
      <c r="AZ439" s="595"/>
      <c r="BA439" s="595"/>
      <c r="BB439" s="595"/>
      <c r="BC439" s="595"/>
      <c r="BD439" s="595"/>
      <c r="BE439" s="595"/>
      <c r="BF439" s="595"/>
      <c r="BG439" s="595"/>
      <c r="BH439" s="595"/>
      <c r="BI439" s="651"/>
      <c r="BJ439" s="651"/>
      <c r="BK439" s="651"/>
      <c r="BL439" s="651"/>
      <c r="BM439" s="651"/>
      <c r="BN439" s="651"/>
      <c r="BO439" s="651"/>
      <c r="BP439" s="651"/>
      <c r="BQ439" s="651"/>
      <c r="BR439" s="651"/>
      <c r="BS439" s="651"/>
      <c r="BT439" s="651"/>
    </row>
    <row r="440">
      <c r="A440" s="631"/>
      <c r="B440" s="154"/>
      <c r="C440" s="700"/>
      <c r="D440" s="701"/>
      <c r="E440" s="722"/>
      <c r="F440" s="699"/>
      <c r="G440" s="701"/>
      <c r="H440" s="700"/>
      <c r="I440" s="700"/>
      <c r="J440" s="701"/>
      <c r="K440" s="701"/>
      <c r="L440" s="704"/>
      <c r="M440" s="704"/>
      <c r="N440" s="711"/>
      <c r="O440" s="712"/>
      <c r="P440" s="700"/>
      <c r="Q440" s="712"/>
      <c r="R440" s="681" t="str">
        <f>IFERROR(
  IF(B440="", "", VLOOKUP(B440, Data!$B$2:$K$905, 9, FALSE)),
  ""
)</f>
        <v/>
      </c>
      <c r="S440" s="691"/>
      <c r="T440" s="690"/>
      <c r="U440" s="136" t="str">
        <f>IFERROR(
  IF(B440="", "", VLOOKUP(B440, Data!$B$2:$K$905, 10, FALSE)),
  ""
)
</f>
        <v/>
      </c>
      <c r="V440" s="691"/>
      <c r="W440" s="713"/>
      <c r="X440" s="692"/>
      <c r="Y440" s="595"/>
      <c r="Z440" s="595"/>
      <c r="AA440" s="595"/>
      <c r="AB440" s="595"/>
      <c r="AC440" s="181"/>
      <c r="AD440" s="625"/>
      <c r="AE440" s="626"/>
      <c r="AF440" s="696"/>
      <c r="AG440" s="697"/>
      <c r="AH440" s="629"/>
      <c r="AI440" s="187"/>
      <c r="AJ440" s="630"/>
      <c r="AK440" s="630"/>
      <c r="AL440" s="595"/>
      <c r="AM440" s="595"/>
      <c r="AN440" s="595"/>
      <c r="AO440" s="595"/>
      <c r="AP440" s="595"/>
      <c r="AQ440" s="595"/>
      <c r="AR440" s="595"/>
      <c r="AS440" s="595"/>
      <c r="AT440" s="595"/>
      <c r="AU440" s="595"/>
      <c r="AV440" s="595"/>
      <c r="AW440" s="595"/>
      <c r="AX440" s="595"/>
      <c r="AY440" s="595"/>
      <c r="AZ440" s="595"/>
      <c r="BA440" s="595"/>
      <c r="BB440" s="595"/>
      <c r="BC440" s="595"/>
      <c r="BD440" s="595"/>
      <c r="BE440" s="595"/>
      <c r="BF440" s="595"/>
      <c r="BG440" s="595"/>
      <c r="BH440" s="595"/>
      <c r="BI440" s="651"/>
      <c r="BJ440" s="651"/>
      <c r="BK440" s="651"/>
      <c r="BL440" s="651"/>
      <c r="BM440" s="651"/>
      <c r="BN440" s="651"/>
      <c r="BO440" s="651"/>
      <c r="BP440" s="651"/>
      <c r="BQ440" s="651"/>
      <c r="BR440" s="651"/>
      <c r="BS440" s="651"/>
      <c r="BT440" s="651"/>
    </row>
    <row r="441" ht="12.75" customHeight="1">
      <c r="A441" s="631">
        <v>1.0</v>
      </c>
      <c r="B441" s="632" t="s">
        <v>423</v>
      </c>
      <c r="C441" s="251" t="s">
        <v>524</v>
      </c>
      <c r="D441" s="633"/>
      <c r="E441" s="634"/>
      <c r="F441" s="635"/>
      <c r="G441" s="636"/>
      <c r="H441" s="633"/>
      <c r="I441" s="637"/>
      <c r="J441" s="633"/>
      <c r="K441" s="638"/>
      <c r="L441" s="637"/>
      <c r="M441" s="637"/>
      <c r="N441" s="639"/>
      <c r="O441" s="633"/>
      <c r="P441" s="638"/>
      <c r="Q441" s="640"/>
      <c r="R441" s="136" t="str">
        <f>IFERROR(
  IF(B441="", "", VLOOKUP(B441, Data!$B$2:$K$905, 9, FALSE)),
  ""
)</f>
        <v/>
      </c>
      <c r="S441" s="641"/>
      <c r="T441" s="640"/>
      <c r="U441" s="136" t="str">
        <f>IFERROR(
  IF(B441="", "", VLOOKUP(B441, Data!$B$2:$K$905, 10, FALSE)),
  ""
)
</f>
        <v/>
      </c>
      <c r="V441" s="642"/>
      <c r="W441" s="643"/>
      <c r="X441" s="602"/>
      <c r="Y441" s="602"/>
      <c r="Z441" s="602"/>
      <c r="AA441" s="602"/>
      <c r="AB441" s="600"/>
      <c r="AC441" s="602"/>
      <c r="AD441" s="644"/>
      <c r="AE441" s="645"/>
      <c r="AF441" s="646"/>
      <c r="AG441" s="647"/>
      <c r="AH441" s="648"/>
      <c r="AI441" s="649"/>
      <c r="AJ441" s="650"/>
      <c r="AK441" s="650"/>
      <c r="AL441" s="595"/>
      <c r="AM441" s="595"/>
      <c r="AN441" s="595"/>
      <c r="AO441" s="595"/>
      <c r="AP441" s="595"/>
      <c r="AQ441" s="595"/>
      <c r="AR441" s="595"/>
      <c r="AS441" s="595"/>
      <c r="AT441" s="595"/>
      <c r="AU441" s="595"/>
      <c r="AV441" s="595"/>
      <c r="AW441" s="595"/>
      <c r="AX441" s="595"/>
      <c r="AY441" s="595"/>
      <c r="AZ441" s="595"/>
      <c r="BA441" s="595"/>
      <c r="BB441" s="595"/>
      <c r="BC441" s="595"/>
      <c r="BD441" s="595"/>
      <c r="BE441" s="595"/>
      <c r="BF441" s="595"/>
      <c r="BG441" s="595"/>
      <c r="BH441" s="595"/>
      <c r="BI441" s="651"/>
      <c r="BJ441" s="651"/>
      <c r="BK441" s="651"/>
      <c r="BL441" s="651"/>
      <c r="BM441" s="651"/>
      <c r="BN441" s="651"/>
      <c r="BO441" s="651"/>
      <c r="BP441" s="651"/>
      <c r="BQ441" s="651"/>
      <c r="BR441" s="651"/>
      <c r="BS441" s="651"/>
      <c r="BT441" s="651"/>
    </row>
    <row r="442">
      <c r="A442" s="631">
        <v>1.0</v>
      </c>
      <c r="B442" s="714" t="s">
        <v>425</v>
      </c>
      <c r="C442" s="167" t="s">
        <v>525</v>
      </c>
      <c r="D442" s="656"/>
      <c r="E442" s="654"/>
      <c r="F442" s="655"/>
      <c r="G442" s="233"/>
      <c r="H442" s="656"/>
      <c r="I442" s="656"/>
      <c r="J442" s="656"/>
      <c r="K442" s="656" t="s">
        <v>42</v>
      </c>
      <c r="L442" s="658"/>
      <c r="M442" s="658"/>
      <c r="N442" s="659"/>
      <c r="O442" s="658"/>
      <c r="P442" s="656"/>
      <c r="Q442" s="658"/>
      <c r="R442" s="681" t="str">
        <f>IFERROR(
  IF(B442="", "", VLOOKUP(B442, Data!$B$2:$K$905, 9, FALSE)),
  ""
)</f>
        <v/>
      </c>
      <c r="S442" s="662"/>
      <c r="T442" s="661"/>
      <c r="U442" s="681" t="str">
        <f>IFERROR(
  IF(B442="", "", VLOOKUP(B442, Data!$B$2:$K$905, 10, FALSE)),
  ""
)
</f>
        <v/>
      </c>
      <c r="V442" s="662"/>
      <c r="W442" s="663"/>
      <c r="X442" s="664"/>
      <c r="Y442" s="595"/>
      <c r="Z442" s="595"/>
      <c r="AA442" s="595"/>
      <c r="AB442" s="595"/>
      <c r="AC442" s="181"/>
      <c r="AD442" s="668"/>
      <c r="AE442" s="669"/>
      <c r="AF442" s="670"/>
      <c r="AG442" s="715"/>
      <c r="AH442" s="672"/>
      <c r="AI442" s="187"/>
      <c r="AJ442" s="673"/>
      <c r="AK442" s="673"/>
      <c r="AL442" s="595"/>
      <c r="AM442" s="595"/>
      <c r="AN442" s="595"/>
      <c r="AO442" s="595"/>
      <c r="AP442" s="595"/>
      <c r="AQ442" s="595"/>
      <c r="AR442" s="595"/>
      <c r="AS442" s="595"/>
      <c r="AT442" s="595"/>
      <c r="AU442" s="595"/>
      <c r="AV442" s="595"/>
      <c r="AW442" s="595"/>
      <c r="AX442" s="595"/>
      <c r="AY442" s="595"/>
      <c r="AZ442" s="595"/>
      <c r="BA442" s="595"/>
      <c r="BB442" s="595"/>
      <c r="BC442" s="595"/>
      <c r="BD442" s="595"/>
      <c r="BE442" s="595"/>
      <c r="BF442" s="595"/>
      <c r="BG442" s="595"/>
      <c r="BH442" s="595"/>
      <c r="BI442" s="651"/>
      <c r="BJ442" s="651"/>
      <c r="BK442" s="651"/>
      <c r="BL442" s="651"/>
      <c r="BM442" s="651"/>
      <c r="BN442" s="651"/>
      <c r="BO442" s="651"/>
      <c r="BP442" s="651"/>
      <c r="BQ442" s="651"/>
      <c r="BR442" s="651"/>
      <c r="BS442" s="651"/>
      <c r="BT442" s="651"/>
    </row>
    <row r="443">
      <c r="A443" s="631">
        <v>1.0</v>
      </c>
      <c r="B443" s="674"/>
      <c r="C443" s="103" t="s">
        <v>526</v>
      </c>
      <c r="D443" s="678"/>
      <c r="E443" s="676"/>
      <c r="F443" s="677"/>
      <c r="G443" s="157"/>
      <c r="H443" s="678"/>
      <c r="I443" s="678"/>
      <c r="J443" s="678"/>
      <c r="K443" s="678" t="s">
        <v>42</v>
      </c>
      <c r="L443" s="106">
        <f>Q443</f>
        <v>18.2</v>
      </c>
      <c r="M443" s="679"/>
      <c r="N443" s="680"/>
      <c r="O443" s="679"/>
      <c r="P443" s="678"/>
      <c r="Q443" s="106">
        <f>Q444</f>
        <v>18.2</v>
      </c>
      <c r="R443" s="681" t="str">
        <f>IFERROR(
  IF(B443="", "", VLOOKUP(B443, Data!$B$2:$K$905, 9, FALSE)),
  ""
)</f>
        <v/>
      </c>
      <c r="S443" s="682">
        <f>IFERROR(T443/Q443, 0)</f>
        <v>0</v>
      </c>
      <c r="T443" s="109">
        <f>SUM(S444:S445)</f>
        <v>0</v>
      </c>
      <c r="U443" s="681" t="str">
        <f>IFERROR(
  IF(B443="", "", VLOOKUP(B443, Data!$B$2:$K$905, 10, FALSE)),
  ""
)
</f>
        <v/>
      </c>
      <c r="V443" s="109">
        <f>iferror(W443/Q443,"")</f>
        <v>0</v>
      </c>
      <c r="W443" s="110">
        <f>SUM(W444:W445)</f>
        <v>0</v>
      </c>
      <c r="X443" s="111" t="str">
        <f>W443/$AC$758/$W$765/$X$755</f>
        <v>#REF!</v>
      </c>
      <c r="Y443" s="112" t="b">
        <f>(T443+W443)=(SUM(AB444:AB445))</f>
        <v>1</v>
      </c>
      <c r="Z443" s="113">
        <f>(T443+W443)-(SUM(AB444:AB445))</f>
        <v>0</v>
      </c>
      <c r="AA443" s="595"/>
      <c r="AB443" s="595"/>
      <c r="AC443" s="181"/>
      <c r="AD443" s="114">
        <f>W443+T443</f>
        <v>0</v>
      </c>
      <c r="AE443" s="115">
        <f>AD443</f>
        <v>0</v>
      </c>
      <c r="AF443" s="116" t="str">
        <f>AE443/$AE$733</f>
        <v>#REF!</v>
      </c>
      <c r="AG443" s="683" t="str">
        <f>AF443*$AG$740</f>
        <v>#REF!</v>
      </c>
      <c r="AH443" s="118" t="str">
        <f>AF443*$AG$743</f>
        <v>#REF!</v>
      </c>
      <c r="AI443" s="187"/>
      <c r="AJ443" s="119" t="str">
        <f>ROUND(AK443/L443,2)</f>
        <v>#REF!</v>
      </c>
      <c r="AK443" s="119" t="str">
        <f>ROUND(AH443+AG443+AD443,2)</f>
        <v>#REF!</v>
      </c>
      <c r="AL443" s="595"/>
      <c r="AM443" s="595"/>
      <c r="AN443" s="595"/>
      <c r="AO443" s="595"/>
      <c r="AP443" s="595"/>
      <c r="AQ443" s="595"/>
      <c r="AR443" s="595"/>
      <c r="AS443" s="595"/>
      <c r="AT443" s="595"/>
      <c r="AU443" s="595"/>
      <c r="AV443" s="595"/>
      <c r="AW443" s="595"/>
      <c r="AX443" s="595"/>
      <c r="AY443" s="595"/>
      <c r="AZ443" s="595"/>
      <c r="BA443" s="595"/>
      <c r="BB443" s="595"/>
      <c r="BC443" s="595"/>
      <c r="BD443" s="595"/>
      <c r="BE443" s="595"/>
      <c r="BF443" s="595"/>
      <c r="BG443" s="595"/>
      <c r="BH443" s="595"/>
      <c r="BI443" s="651"/>
      <c r="BJ443" s="651"/>
      <c r="BK443" s="651"/>
      <c r="BL443" s="651"/>
      <c r="BM443" s="651"/>
      <c r="BN443" s="651"/>
      <c r="BO443" s="651"/>
      <c r="BP443" s="651"/>
      <c r="BQ443" s="651"/>
      <c r="BR443" s="651"/>
      <c r="BS443" s="651"/>
      <c r="BT443" s="651"/>
    </row>
    <row r="444">
      <c r="A444" s="716" t="s">
        <v>435</v>
      </c>
      <c r="B444" s="122" t="s">
        <v>527</v>
      </c>
      <c r="C444" s="123" t="s">
        <v>528</v>
      </c>
      <c r="D444" s="148" t="s">
        <v>409</v>
      </c>
      <c r="E444" s="687" t="str">
        <f>IFERROR(__xludf.DUMMYFUNCTION("IF($B$15:$B922="""","""",
  VLOOKUP(
    $B$15:$B922,
    QUERY(
      IMPORTRANGE(""1Ag27m9YF5mMfJh2E6NipJDFvPLlDI1p-s_1XEnzMHcc"",""Merge!F2:R""),
      ""select Col1, Col11"",
      0
    ),
    2,
    FALSE
  )
)
"),"#REF!")</f>
        <v>#REF!</v>
      </c>
      <c r="F444" s="699"/>
      <c r="G444" s="689" t="s">
        <v>529</v>
      </c>
      <c r="H444" s="700"/>
      <c r="I444" s="700"/>
      <c r="J444" s="126" t="s">
        <v>14</v>
      </c>
      <c r="K444" s="126" t="str">
        <f>IFERROR(
  IF(B444="", "", VLOOKUP(B444, Data!$B$2:$K$905, 7, FALSE)),
  ""
)</f>
        <v/>
      </c>
      <c r="L444" s="131">
        <v>18.2</v>
      </c>
      <c r="M444" s="150">
        <f>L444</f>
        <v>18.2</v>
      </c>
      <c r="N444" s="151">
        <f>IFERROR(__xludf.DUMMYFUNCTION("IF(B444="""", """", IFERROR(1 / COS(RADIANS(REGEXEXTRACT(F444,""(\d+)""))), 1))"),1.0)</f>
        <v>1</v>
      </c>
      <c r="O444" s="169">
        <v>1.0</v>
      </c>
      <c r="P444" s="134">
        <v>1.0</v>
      </c>
      <c r="Q444" s="135">
        <f>M444*N444*O444*P444</f>
        <v>18.2</v>
      </c>
      <c r="R444" s="136" t="str">
        <f>IFERROR(
  IF(B444="", "", VLOOKUP(B444, Data!$B$2:$K$905, 9, FALSE)),
  ""
)</f>
        <v/>
      </c>
      <c r="S444" s="152">
        <f>R444*Q444</f>
        <v>0</v>
      </c>
      <c r="T444" s="690"/>
      <c r="U444" s="136" t="str">
        <f>IFERROR(
  IF(B444="", "", VLOOKUP(B444, Data!$B$2:$K$905, 10, FALSE)),
  ""
)
</f>
        <v/>
      </c>
      <c r="V444" s="691"/>
      <c r="W444" s="140">
        <f>U444*Q444</f>
        <v>0</v>
      </c>
      <c r="X444" s="692"/>
      <c r="Y444" s="595"/>
      <c r="Z444" s="595"/>
      <c r="AA444" s="595"/>
      <c r="AB444" s="354">
        <f>W444+S444</f>
        <v>0</v>
      </c>
      <c r="AC444" s="181"/>
      <c r="AD444" s="625"/>
      <c r="AE444" s="626"/>
      <c r="AF444" s="696"/>
      <c r="AG444" s="697"/>
      <c r="AH444" s="629"/>
      <c r="AI444" s="187"/>
      <c r="AJ444" s="630"/>
      <c r="AK444" s="630"/>
      <c r="AL444" s="595"/>
      <c r="AM444" s="595"/>
      <c r="AN444" s="595"/>
      <c r="AO444" s="595"/>
      <c r="AP444" s="595"/>
      <c r="AQ444" s="595"/>
      <c r="AR444" s="595"/>
      <c r="AS444" s="595"/>
      <c r="AT444" s="595"/>
      <c r="AU444" s="595"/>
      <c r="AV444" s="595"/>
      <c r="AW444" s="595"/>
      <c r="AX444" s="595"/>
      <c r="AY444" s="595"/>
      <c r="AZ444" s="595"/>
      <c r="BA444" s="595"/>
      <c r="BB444" s="595"/>
      <c r="BC444" s="595"/>
      <c r="BD444" s="595"/>
      <c r="BE444" s="595"/>
      <c r="BF444" s="595"/>
      <c r="BG444" s="595"/>
      <c r="BH444" s="595"/>
      <c r="BI444" s="651"/>
      <c r="BJ444" s="651"/>
      <c r="BK444" s="651"/>
      <c r="BL444" s="651"/>
      <c r="BM444" s="651"/>
      <c r="BN444" s="651"/>
      <c r="BO444" s="651"/>
      <c r="BP444" s="651"/>
      <c r="BQ444" s="651"/>
      <c r="BR444" s="651"/>
      <c r="BS444" s="651"/>
      <c r="BT444" s="651"/>
    </row>
    <row r="445">
      <c r="A445" s="631"/>
      <c r="B445" s="717"/>
      <c r="C445" s="701"/>
      <c r="D445" s="701"/>
      <c r="E445" s="722"/>
      <c r="F445" s="699"/>
      <c r="G445" s="225"/>
      <c r="H445" s="700"/>
      <c r="I445" s="700"/>
      <c r="J445" s="701"/>
      <c r="K445" s="701" t="str">
        <f>IFERROR(
  IF(B445="", "", VLOOKUP(B445, Data!$B$2:$K$905, 7, FALSE)),
  ""
)</f>
        <v/>
      </c>
      <c r="L445" s="704"/>
      <c r="M445" s="704"/>
      <c r="N445" s="711" t="str">
        <f>IFERROR(__xludf.DUMMYFUNCTION("IF(B445="""", """", IFERROR(1 / COS(RADIANS(REGEXEXTRACT(F445,""(\d+)""))), 1))"),"")</f>
        <v/>
      </c>
      <c r="O445" s="712"/>
      <c r="P445" s="700"/>
      <c r="Q445" s="704"/>
      <c r="R445" s="681" t="str">
        <f>IFERROR(
  IF(B445="", "", VLOOKUP(B445, Data!$B$2:$K$905, 9, FALSE)),
  ""
)</f>
        <v/>
      </c>
      <c r="S445" s="691"/>
      <c r="T445" s="690"/>
      <c r="U445" s="681" t="str">
        <f>IFERROR(
  IF(B445="", "", VLOOKUP(B445, Data!$B$2:$K$905, 10, FALSE)),
  ""
)
</f>
        <v/>
      </c>
      <c r="V445" s="691"/>
      <c r="W445" s="713"/>
      <c r="X445" s="692"/>
      <c r="Y445" s="595"/>
      <c r="Z445" s="595"/>
      <c r="AA445" s="595"/>
      <c r="AB445" s="595"/>
      <c r="AC445" s="181"/>
      <c r="AD445" s="625"/>
      <c r="AE445" s="626"/>
      <c r="AF445" s="696"/>
      <c r="AG445" s="697"/>
      <c r="AH445" s="629"/>
      <c r="AI445" s="187"/>
      <c r="AJ445" s="630"/>
      <c r="AK445" s="630"/>
      <c r="AL445" s="595"/>
      <c r="AM445" s="595"/>
      <c r="AN445" s="595"/>
      <c r="AO445" s="595"/>
      <c r="AP445" s="595"/>
      <c r="AQ445" s="595"/>
      <c r="AR445" s="595"/>
      <c r="AS445" s="595"/>
      <c r="AT445" s="595"/>
      <c r="AU445" s="595"/>
      <c r="AV445" s="595"/>
      <c r="AW445" s="595"/>
      <c r="AX445" s="595"/>
      <c r="AY445" s="595"/>
      <c r="AZ445" s="595"/>
      <c r="BA445" s="595"/>
      <c r="BB445" s="595"/>
      <c r="BC445" s="595"/>
      <c r="BD445" s="595"/>
      <c r="BE445" s="595"/>
      <c r="BF445" s="595"/>
      <c r="BG445" s="595"/>
      <c r="BH445" s="595"/>
      <c r="BI445" s="651"/>
      <c r="BJ445" s="651"/>
      <c r="BK445" s="651"/>
      <c r="BL445" s="651"/>
      <c r="BM445" s="651"/>
      <c r="BN445" s="651"/>
      <c r="BO445" s="651"/>
      <c r="BP445" s="651"/>
      <c r="BQ445" s="651"/>
      <c r="BR445" s="651"/>
      <c r="BS445" s="651"/>
      <c r="BT445" s="651"/>
    </row>
    <row r="446">
      <c r="A446" s="631">
        <v>1.0</v>
      </c>
      <c r="B446" s="714" t="s">
        <v>425</v>
      </c>
      <c r="C446" s="89" t="s">
        <v>477</v>
      </c>
      <c r="D446" s="656"/>
      <c r="E446" s="654"/>
      <c r="F446" s="655"/>
      <c r="G446" s="656"/>
      <c r="H446" s="656"/>
      <c r="I446" s="656"/>
      <c r="J446" s="656"/>
      <c r="K446" s="656" t="s">
        <v>42</v>
      </c>
      <c r="L446" s="658"/>
      <c r="M446" s="658" t="s">
        <v>42</v>
      </c>
      <c r="N446" s="659"/>
      <c r="O446" s="658"/>
      <c r="P446" s="656"/>
      <c r="Q446" s="658"/>
      <c r="R446" s="681" t="str">
        <f>IFERROR(
  IF(B446="", "", VLOOKUP(B446, Data!$B$2:$K$905, 9, FALSE)),
  ""
)</f>
        <v/>
      </c>
      <c r="S446" s="662"/>
      <c r="T446" s="661"/>
      <c r="U446" s="681" t="str">
        <f>IFERROR(
  IF(B446="", "", VLOOKUP(B446, Data!$B$2:$K$905, 10, FALSE)),
  ""
)
</f>
        <v/>
      </c>
      <c r="V446" s="662"/>
      <c r="W446" s="663"/>
      <c r="X446" s="692"/>
      <c r="Y446" s="595"/>
      <c r="Z446" s="595"/>
      <c r="AA446" s="595"/>
      <c r="AB446" s="595"/>
      <c r="AC446" s="181"/>
      <c r="AD446" s="625"/>
      <c r="AE446" s="626"/>
      <c r="AF446" s="696"/>
      <c r="AG446" s="697"/>
      <c r="AH446" s="629"/>
      <c r="AI446" s="187"/>
      <c r="AJ446" s="630"/>
      <c r="AK446" s="630"/>
      <c r="AL446" s="595"/>
      <c r="AM446" s="595"/>
      <c r="AN446" s="595"/>
      <c r="AO446" s="595"/>
      <c r="AP446" s="595"/>
      <c r="AQ446" s="595"/>
      <c r="AR446" s="595"/>
      <c r="AS446" s="595"/>
      <c r="AT446" s="595"/>
      <c r="AU446" s="595"/>
      <c r="AV446" s="595"/>
      <c r="AW446" s="595"/>
      <c r="AX446" s="595"/>
      <c r="AY446" s="595"/>
      <c r="AZ446" s="595"/>
      <c r="BA446" s="595"/>
      <c r="BB446" s="595"/>
      <c r="BC446" s="595"/>
      <c r="BD446" s="595"/>
      <c r="BE446" s="595"/>
      <c r="BF446" s="595"/>
      <c r="BG446" s="595"/>
      <c r="BH446" s="595"/>
      <c r="BI446" s="651"/>
      <c r="BJ446" s="651"/>
      <c r="BK446" s="651"/>
      <c r="BL446" s="651"/>
      <c r="BM446" s="651"/>
      <c r="BN446" s="651"/>
      <c r="BO446" s="651"/>
      <c r="BP446" s="651"/>
      <c r="BQ446" s="651"/>
      <c r="BR446" s="651"/>
      <c r="BS446" s="651"/>
      <c r="BT446" s="651"/>
    </row>
    <row r="447">
      <c r="A447" s="631">
        <v>1.0</v>
      </c>
      <c r="B447" s="674"/>
      <c r="C447" s="103" t="s">
        <v>530</v>
      </c>
      <c r="D447" s="678"/>
      <c r="E447" s="676"/>
      <c r="F447" s="677"/>
      <c r="G447" s="678"/>
      <c r="H447" s="678"/>
      <c r="I447" s="678"/>
      <c r="J447" s="678"/>
      <c r="K447" s="678" t="s">
        <v>42</v>
      </c>
      <c r="L447" s="106">
        <f>Q447</f>
        <v>8.8</v>
      </c>
      <c r="M447" s="679" t="s">
        <v>42</v>
      </c>
      <c r="N447" s="680"/>
      <c r="O447" s="679"/>
      <c r="P447" s="678"/>
      <c r="Q447" s="106">
        <f>Q448</f>
        <v>8.8</v>
      </c>
      <c r="R447" s="681" t="str">
        <f>IFERROR(
  IF(B447="", "", VLOOKUP(B447, Data!$B$2:$K$905, 9, FALSE)),
  ""
)</f>
        <v/>
      </c>
      <c r="S447" s="682">
        <f>IFERROR(T447/Q447, 0)</f>
        <v>0</v>
      </c>
      <c r="T447" s="109">
        <f>SUM(S448:S461)</f>
        <v>0</v>
      </c>
      <c r="U447" s="681" t="str">
        <f>IFERROR(
  IF(B447="", "", VLOOKUP(B447, Data!$B$2:$K$905, 10, FALSE)),
  ""
)
</f>
        <v/>
      </c>
      <c r="V447" s="109">
        <f>W447/Q447</f>
        <v>0</v>
      </c>
      <c r="W447" s="110">
        <f>SUM(W448:W461)</f>
        <v>0</v>
      </c>
      <c r="X447" s="111" t="str">
        <f>W447/$AC$758/$W$765/$X$755</f>
        <v>#REF!</v>
      </c>
      <c r="Y447" s="112" t="b">
        <f>(T447+W447)=(SUM(AB448:AB461))</f>
        <v>1</v>
      </c>
      <c r="Z447" s="222">
        <f>(T447+W447)-(SUM(AB448:AB461))</f>
        <v>0</v>
      </c>
      <c r="AA447" s="595"/>
      <c r="AB447" s="595"/>
      <c r="AC447" s="181"/>
      <c r="AD447" s="114">
        <f>W447+T447</f>
        <v>0</v>
      </c>
      <c r="AE447" s="115">
        <f>AD447</f>
        <v>0</v>
      </c>
      <c r="AF447" s="116" t="str">
        <f>AE447/$AE$733</f>
        <v>#REF!</v>
      </c>
      <c r="AG447" s="683" t="str">
        <f>AF447*$AG$740</f>
        <v>#REF!</v>
      </c>
      <c r="AH447" s="118" t="str">
        <f>AF447*$AG$743</f>
        <v>#REF!</v>
      </c>
      <c r="AI447" s="187"/>
      <c r="AJ447" s="119" t="str">
        <f>ROUND(AK447/L447,2)</f>
        <v>#REF!</v>
      </c>
      <c r="AK447" s="119" t="str">
        <f>ROUND(AH447+AG447+AD447,2)</f>
        <v>#REF!</v>
      </c>
      <c r="AL447" s="595"/>
      <c r="AM447" s="595"/>
      <c r="AN447" s="595"/>
      <c r="AO447" s="595"/>
      <c r="AP447" s="595"/>
      <c r="AQ447" s="595"/>
      <c r="AR447" s="595"/>
      <c r="AS447" s="595"/>
      <c r="AT447" s="595"/>
      <c r="AU447" s="595"/>
      <c r="AV447" s="595"/>
      <c r="AW447" s="595"/>
      <c r="AX447" s="595"/>
      <c r="AY447" s="595"/>
      <c r="AZ447" s="595"/>
      <c r="BA447" s="595"/>
      <c r="BB447" s="595"/>
      <c r="BC447" s="595"/>
      <c r="BD447" s="595"/>
      <c r="BE447" s="595"/>
      <c r="BF447" s="595"/>
      <c r="BG447" s="595"/>
      <c r="BH447" s="595"/>
      <c r="BI447" s="651"/>
      <c r="BJ447" s="651"/>
      <c r="BK447" s="651"/>
      <c r="BL447" s="651"/>
      <c r="BM447" s="651"/>
      <c r="BN447" s="651"/>
      <c r="BO447" s="651"/>
      <c r="BP447" s="651"/>
      <c r="BQ447" s="651"/>
      <c r="BR447" s="651"/>
      <c r="BS447" s="651"/>
      <c r="BT447" s="651"/>
    </row>
    <row r="448">
      <c r="A448" s="716" t="s">
        <v>479</v>
      </c>
      <c r="B448" s="122" t="s">
        <v>531</v>
      </c>
      <c r="C448" s="223" t="s">
        <v>532</v>
      </c>
      <c r="D448" s="124" t="s">
        <v>120</v>
      </c>
      <c r="E448" s="687">
        <f>VALUE(MID(C448, FIND("(", C448)+1, FIND("/", C448)-FIND("(", C448)-1)) / 1000</f>
        <v>0.36</v>
      </c>
      <c r="F448" s="721"/>
      <c r="G448" s="689" t="s">
        <v>529</v>
      </c>
      <c r="H448" s="700" t="str">
        <f>IFERROR(__xludf.DUMMYFUNCTION("IFERROR(REGEXEXTRACT(C448, ""(\d*\.\d+)mm""), """")"),"")</f>
        <v/>
      </c>
      <c r="I448" s="128" t="s">
        <v>97</v>
      </c>
      <c r="J448" s="126" t="s">
        <v>14</v>
      </c>
      <c r="K448" s="126" t="str">
        <f>IFERROR(
  IF(B448="", "", VLOOKUP(B448, Data!$B$2:$K$905, 7, FALSE)),
  ""
)</f>
        <v/>
      </c>
      <c r="L448" s="712"/>
      <c r="M448" s="730">
        <v>8.8</v>
      </c>
      <c r="N448" s="151">
        <f>IFERROR(__xludf.DUMMYFUNCTION("IF(B448="""", """", IFERROR(1 / COS(RADIANS(REGEXEXTRACT(F448,""(\d+)""))), 1))"),1.0)</f>
        <v>1</v>
      </c>
      <c r="O448" s="169">
        <v>1.0</v>
      </c>
      <c r="P448" s="134">
        <v>1.0</v>
      </c>
      <c r="Q448" s="168">
        <f t="shared" ref="Q448:Q454" si="339">M448*N448*O448*P448</f>
        <v>8.8</v>
      </c>
      <c r="R448" s="136" t="str">
        <f>IFERROR(
  IF(B448="", "", VLOOKUP(B448, Data!$B$2:$K$905, 9, FALSE)),
  ""
)</f>
        <v/>
      </c>
      <c r="S448" s="152">
        <f t="shared" ref="S448:S454" si="340">R448*Q448</f>
        <v>0</v>
      </c>
      <c r="T448" s="690"/>
      <c r="U448" s="136" t="str">
        <f>IFERROR(
  IF(B448="", "", VLOOKUP(B448, Data!$B$2:$K$905, 10, FALSE)),
  ""
)
</f>
        <v/>
      </c>
      <c r="V448" s="691"/>
      <c r="W448" s="140">
        <f t="shared" ref="W448:W454" si="341">U448*Q448</f>
        <v>0</v>
      </c>
      <c r="X448" s="692"/>
      <c r="Y448" s="595"/>
      <c r="Z448" s="595"/>
      <c r="AA448" s="595"/>
      <c r="AB448" s="354">
        <f t="shared" ref="AB448:AB461" si="342">W448+S448</f>
        <v>0</v>
      </c>
      <c r="AC448" s="181"/>
      <c r="AD448" s="705"/>
      <c r="AE448" s="706"/>
      <c r="AF448" s="707"/>
      <c r="AG448" s="708"/>
      <c r="AH448" s="709"/>
      <c r="AI448" s="187"/>
      <c r="AJ448" s="710"/>
      <c r="AK448" s="710"/>
      <c r="AL448" s="595"/>
      <c r="AM448" s="595"/>
      <c r="AN448" s="595"/>
      <c r="AO448" s="595"/>
      <c r="AP448" s="595"/>
      <c r="AQ448" s="595"/>
      <c r="AR448" s="595"/>
      <c r="AS448" s="595"/>
      <c r="AT448" s="595"/>
      <c r="AU448" s="595"/>
      <c r="AV448" s="595"/>
      <c r="AW448" s="595"/>
      <c r="AX448" s="595"/>
      <c r="AY448" s="595"/>
      <c r="AZ448" s="595"/>
      <c r="BA448" s="595"/>
      <c r="BB448" s="595"/>
      <c r="BC448" s="595"/>
      <c r="BD448" s="595"/>
      <c r="BE448" s="595"/>
      <c r="BF448" s="595"/>
      <c r="BG448" s="595"/>
      <c r="BH448" s="595"/>
      <c r="BI448" s="651"/>
      <c r="BJ448" s="651"/>
      <c r="BK448" s="651"/>
      <c r="BL448" s="651"/>
      <c r="BM448" s="651"/>
      <c r="BN448" s="651"/>
      <c r="BO448" s="651"/>
      <c r="BP448" s="651"/>
      <c r="BQ448" s="651"/>
      <c r="BR448" s="651"/>
      <c r="BS448" s="651"/>
      <c r="BT448" s="651"/>
    </row>
    <row r="449">
      <c r="A449" s="631"/>
      <c r="B449" s="717" t="str">
        <f>IFERROR(__xludf.DUMMYFUNCTION("IFERROR(
  IF(C449="""","""",
    IF(OR(REGEXMATCH(D449,""(?i)-Flashing""), REGEXMATCH(D449,""(?i)-EavesGut""), REGEXMATCH(D449,""(?i)Valley"")),
        ""DR"" &amp;
        TEXT(
            ROUNDUP(
                MIN(
                    VALUE(MID(C449, "&amp;"FIND(""("",C449)+1, FIND(""/"",C449)-FIND(""("",C449)-1)),
                    1200
                ) / 50, 0
            ) * 50, ""0""
        ) &amp;
        MID(C449, FIND(""/"",C449)+1, FIND("")"",C449)-FIND(""/"",C449)-1) &amp;
        TEXT(H449*100,""0"") &amp;"&amp;"
        I449,
    IF(AND(D449=""Roof Sheet"", REGEXMATCH(C449,""(?i)KS\d{4}[A-Z]{2}"")),
       REGEXEXTRACT(C449,""(?i)KS\d{4}[A-Z]{2}""),
    IF(AND(REGEXMATCH(D449,""(?i)-DP""), REGEXMATCH(C449,""(?i)Downpipe"")),
       ""dp"" &amp; REGEXEXTRACT(C449,""("&amp;"\d+)"") &amp; ""mm"",
    IF(AND(REGEXMATCH(D449,""(?i)Bracket""), REGEXMATCH(C449,""(?i)Bracket"")),
       ""Brkt"" &amp; REGEXEXTRACT(C449,""(\d+)"") &amp; ""mm"",
    IF(AND(REGEXMATCH(D449,""(?i)-OP""), REGEXMATCH(C449,""(?i)pops"")),
       ""op"" &amp; REGEXEXTRAC"&amp;"T(C449,""(\d+)"") &amp; ""mm"",
    IF(OR(D449=""R-FFTop"", D449=""R-FFBottom"", D449=""R-FFSide""),
        IF(REGEXMATCH(C449,""(?i)Profiled.*Top|Top.*Profiled""),""pfft"",
        IF(REGEXMATCH(C449,""(?i)Profiled.*Bottom|Bottom.*Profiled""),""pffb"",
    "&amp;"    IF(REGEXMATCH(C449,""(?i)Square""),""sff"",""""))),
    IF(REGEXMATCH(D449,""(?i)-Rivets""),""Rvt"",
    IF(REGEXMATCH(D449,""(?i)Silicone""),""300ml"",
    IF(REGEXMATCH(D449,""(?i)R-Butyl""),""300ml"",
    IF(REGEXMATCH(D449,""(?i)Fix""),""GenFix"","&amp;"
    IF(AND(REGEXMATCH(C449,""(?i)Timber""), REGEXMATCH(D449,""(?i)Timber"")),""tp"",
    IF(AND(REGEXMATCH(C449,""(?i)Vent G1275""), REGEXMATCH(D449,""(?i)Comb FIller"")),""CFV1275"",
    IF(REGEXMATCH(C449,""(?i)DPC""),""dpc"",
    IF(REGEXMATCH(C449,"""&amp;"(?i)Concealed Clips""),""ConClips"",
    IF(REGEXMATCH(D449,""(?i)-Takeoff ea""),""Takeoff ea"",
    IF(REGEXMATCH(D449,""(?i)-Takeoff LM""),""Takeoff LM"",
    IF(REGEXMATCH(D449,""(?i)-Takeoff m2""),""Takeoff m2"",
    IF(D449=""R-TU/TD"",""TU/TD"","""""&amp;")))))))))))))))))
  )))"),"300ml")</f>
        <v>300ml</v>
      </c>
      <c r="C449" s="225" t="s">
        <v>98</v>
      </c>
      <c r="D449" s="124" t="s">
        <v>99</v>
      </c>
      <c r="E449" s="687">
        <f>E448</f>
        <v>0.36</v>
      </c>
      <c r="F449" s="721"/>
      <c r="G449" s="701"/>
      <c r="H449" s="700"/>
      <c r="I449" s="700"/>
      <c r="J449" s="126" t="s">
        <v>87</v>
      </c>
      <c r="K449" s="126" t="str">
        <f>IFERROR(
  IF(B449="", "", VLOOKUP(B449, Data!$B$2:$K$905, 7, FALSE)),
  ""
)</f>
        <v/>
      </c>
      <c r="L449" s="712"/>
      <c r="M449" s="150">
        <f>(ROUNDDOWN((M448/5.7)+2,0)*E449)/8</f>
        <v>0.135</v>
      </c>
      <c r="N449" s="151">
        <f>IFERROR(__xludf.DUMMYFUNCTION("IF(B449="""", """", IFERROR(1 / COS(RADIANS(REGEXEXTRACT(F449,""(\d+)""))), 1))"),1.0)</f>
        <v>1</v>
      </c>
      <c r="O449" s="169">
        <v>1.0</v>
      </c>
      <c r="P449" s="134">
        <v>1.0</v>
      </c>
      <c r="Q449" s="168">
        <f t="shared" si="339"/>
        <v>0.135</v>
      </c>
      <c r="R449" s="136" t="str">
        <f>IFERROR(
  IF(B449="", "", VLOOKUP(B449, Data!$B$2:$K$905, 9, FALSE)),
  ""
)</f>
        <v/>
      </c>
      <c r="S449" s="152">
        <f t="shared" si="340"/>
        <v>0</v>
      </c>
      <c r="T449" s="690"/>
      <c r="U449" s="681" t="str">
        <f>IFERROR(
  IF(B449="", "", VLOOKUP(B449, Data!$B$2:$K$905, 10, FALSE)),
  ""
)
</f>
        <v/>
      </c>
      <c r="V449" s="691"/>
      <c r="W449" s="140">
        <f t="shared" si="341"/>
        <v>0</v>
      </c>
      <c r="X449" s="692"/>
      <c r="Y449" s="595"/>
      <c r="Z449" s="595"/>
      <c r="AA449" s="595"/>
      <c r="AB449" s="354">
        <f t="shared" si="342"/>
        <v>0</v>
      </c>
      <c r="AC449" s="181"/>
      <c r="AD449" s="625"/>
      <c r="AE449" s="626"/>
      <c r="AF449" s="696"/>
      <c r="AG449" s="697"/>
      <c r="AH449" s="629"/>
      <c r="AI449" s="187"/>
      <c r="AJ449" s="630"/>
      <c r="AK449" s="630"/>
      <c r="AL449" s="595"/>
      <c r="AM449" s="595"/>
      <c r="AN449" s="595"/>
      <c r="AO449" s="595"/>
      <c r="AP449" s="595"/>
      <c r="AQ449" s="595"/>
      <c r="AR449" s="595"/>
      <c r="AS449" s="595"/>
      <c r="AT449" s="595"/>
      <c r="AU449" s="595"/>
      <c r="AV449" s="595"/>
      <c r="AW449" s="595"/>
      <c r="AX449" s="595"/>
      <c r="AY449" s="595"/>
      <c r="AZ449" s="595"/>
      <c r="BA449" s="595"/>
      <c r="BB449" s="595"/>
      <c r="BC449" s="595"/>
      <c r="BD449" s="595"/>
      <c r="BE449" s="595"/>
      <c r="BF449" s="595"/>
      <c r="BG449" s="595"/>
      <c r="BH449" s="595"/>
      <c r="BI449" s="651"/>
      <c r="BJ449" s="651"/>
      <c r="BK449" s="651"/>
      <c r="BL449" s="651"/>
      <c r="BM449" s="651"/>
      <c r="BN449" s="651"/>
      <c r="BO449" s="651"/>
      <c r="BP449" s="651"/>
      <c r="BQ449" s="651"/>
      <c r="BR449" s="651"/>
      <c r="BS449" s="651"/>
      <c r="BT449" s="651"/>
    </row>
    <row r="450">
      <c r="A450" s="631"/>
      <c r="B450" s="717" t="str">
        <f>IFERROR(__xludf.DUMMYFUNCTION("IFERROR(
  IF(C450="""","""",
    IF(OR(REGEXMATCH(D450,""(?i)-Flashing""), REGEXMATCH(D450,""(?i)-EavesGut""), REGEXMATCH(D450,""(?i)Valley"")),
        ""DR"" &amp;
        TEXT(
            ROUNDUP(
                MIN(
                    VALUE(MID(C450, "&amp;"FIND(""("",C450)+1, FIND(""/"",C450)-FIND(""("",C450)-1)),
                    1200
                ) / 50, 0
            ) * 50, ""0""
        ) &amp;
        MID(C450, FIND(""/"",C450)+1, FIND("")"",C450)-FIND(""/"",C450)-1) &amp;
        TEXT(H450*100,""0"") &amp;"&amp;"
        I450,
    IF(AND(D450=""Roof Sheet"", REGEXMATCH(C450,""(?i)KS\d{4}[A-Z]{2}"")),
       REGEXEXTRACT(C450,""(?i)KS\d{4}[A-Z]{2}""),
    IF(AND(REGEXMATCH(D450,""(?i)-DP""), REGEXMATCH(C450,""(?i)Downpipe"")),
       ""dp"" &amp; REGEXEXTRACT(C450,""("&amp;"\d+)"") &amp; ""mm"",
    IF(AND(REGEXMATCH(D450,""(?i)Bracket""), REGEXMATCH(C450,""(?i)Bracket"")),
       ""Brkt"" &amp; REGEXEXTRACT(C450,""(\d+)"") &amp; ""mm"",
    IF(AND(REGEXMATCH(D450,""(?i)-OP""), REGEXMATCH(C450,""(?i)pops"")),
       ""op"" &amp; REGEXEXTRAC"&amp;"T(C450,""(\d+)"") &amp; ""mm"",
    IF(OR(D450=""R-FFTop"", D450=""R-FFBottom"", D450=""R-FFSide""),
        IF(REGEXMATCH(C450,""(?i)Profiled.*Top|Top.*Profiled""),""pfft"",
        IF(REGEXMATCH(C450,""(?i)Profiled.*Bottom|Bottom.*Profiled""),""pffb"",
    "&amp;"    IF(REGEXMATCH(C450,""(?i)Square""),""sff"",""""))),
    IF(REGEXMATCH(D450,""(?i)-Rivets""),""Rvt"",
    IF(REGEXMATCH(D450,""(?i)Silicone""),""300ml"",
    IF(REGEXMATCH(D450,""(?i)R-Butyl""),""300ml"",
    IF(REGEXMATCH(D450,""(?i)Fix""),""GenFix"","&amp;"
    IF(AND(REGEXMATCH(C450,""(?i)Timber""), REGEXMATCH(D450,""(?i)Timber"")),""tp"",
    IF(AND(REGEXMATCH(C450,""(?i)Vent G1275""), REGEXMATCH(D450,""(?i)Comb FIller"")),""CFV1275"",
    IF(REGEXMATCH(C450,""(?i)DPC""),""dpc"",
    IF(REGEXMATCH(C450,"""&amp;"(?i)Concealed Clips""),""ConClips"",
    IF(REGEXMATCH(D450,""(?i)-Takeoff ea""),""Takeoff ea"",
    IF(REGEXMATCH(D450,""(?i)-Takeoff LM""),""Takeoff LM"",
    IF(REGEXMATCH(D450,""(?i)-Takeoff m2""),""Takeoff m2"",
    IF(D450=""R-TU/TD"",""TU/TD"","""""&amp;")))))))))))))))))
  )))"),"Rvt")</f>
        <v>Rvt</v>
      </c>
      <c r="C450" s="225" t="s">
        <v>100</v>
      </c>
      <c r="D450" s="124" t="s">
        <v>101</v>
      </c>
      <c r="E450" s="687">
        <f>E448</f>
        <v>0.36</v>
      </c>
      <c r="F450" s="721"/>
      <c r="G450" s="701"/>
      <c r="H450" s="700"/>
      <c r="I450" s="700"/>
      <c r="J450" s="126" t="s">
        <v>87</v>
      </c>
      <c r="K450" s="126" t="str">
        <f>IFERROR(
  IF(B450="", "", VLOOKUP(B450, Data!$B$2:$K$905, 7, FALSE)),
  ""
)</f>
        <v/>
      </c>
      <c r="L450" s="712"/>
      <c r="M450" s="150">
        <f>ROUNDUP(((M448/5.7)+1)*(E450/0.05),0)</f>
        <v>19</v>
      </c>
      <c r="N450" s="151">
        <f>IFERROR(__xludf.DUMMYFUNCTION("IF(B450="""", """", IFERROR(1 / COS(RADIANS(REGEXEXTRACT(F450,""(\d+)""))), 1))"),1.0)</f>
        <v>1</v>
      </c>
      <c r="O450" s="169">
        <v>1.0</v>
      </c>
      <c r="P450" s="134">
        <v>1.0</v>
      </c>
      <c r="Q450" s="168">
        <f t="shared" si="339"/>
        <v>19</v>
      </c>
      <c r="R450" s="136" t="str">
        <f>IFERROR(
  IF(B450="", "", VLOOKUP(B450, Data!$B$2:$K$905, 9, FALSE)),
  ""
)</f>
        <v/>
      </c>
      <c r="S450" s="152">
        <f t="shared" si="340"/>
        <v>0</v>
      </c>
      <c r="T450" s="690"/>
      <c r="U450" s="681" t="str">
        <f>IFERROR(
  IF(B450="", "", VLOOKUP(B450, Data!$B$2:$K$905, 10, FALSE)),
  ""
)
</f>
        <v/>
      </c>
      <c r="V450" s="691"/>
      <c r="W450" s="140">
        <f t="shared" si="341"/>
        <v>0</v>
      </c>
      <c r="X450" s="692"/>
      <c r="Y450" s="595"/>
      <c r="Z450" s="595"/>
      <c r="AA450" s="595"/>
      <c r="AB450" s="354">
        <f t="shared" si="342"/>
        <v>0</v>
      </c>
      <c r="AC450" s="181"/>
      <c r="AD450" s="625"/>
      <c r="AE450" s="626"/>
      <c r="AF450" s="696"/>
      <c r="AG450" s="697"/>
      <c r="AH450" s="629"/>
      <c r="AI450" s="187"/>
      <c r="AJ450" s="630"/>
      <c r="AK450" s="630"/>
      <c r="AL450" s="595"/>
      <c r="AM450" s="595"/>
      <c r="AN450" s="595"/>
      <c r="AO450" s="595"/>
      <c r="AP450" s="595"/>
      <c r="AQ450" s="595"/>
      <c r="AR450" s="595"/>
      <c r="AS450" s="595"/>
      <c r="AT450" s="595"/>
      <c r="AU450" s="595"/>
      <c r="AV450" s="595"/>
      <c r="AW450" s="595"/>
      <c r="AX450" s="595"/>
      <c r="AY450" s="595"/>
      <c r="AZ450" s="595"/>
      <c r="BA450" s="595"/>
      <c r="BB450" s="595"/>
      <c r="BC450" s="595"/>
      <c r="BD450" s="595"/>
      <c r="BE450" s="595"/>
      <c r="BF450" s="595"/>
      <c r="BG450" s="595"/>
      <c r="BH450" s="595"/>
      <c r="BI450" s="651"/>
      <c r="BJ450" s="651"/>
      <c r="BK450" s="651"/>
      <c r="BL450" s="651"/>
      <c r="BM450" s="651"/>
      <c r="BN450" s="651"/>
      <c r="BO450" s="651"/>
      <c r="BP450" s="651"/>
      <c r="BQ450" s="651"/>
      <c r="BR450" s="651"/>
      <c r="BS450" s="651"/>
      <c r="BT450" s="651"/>
    </row>
    <row r="451">
      <c r="A451" s="716" t="s">
        <v>479</v>
      </c>
      <c r="B451" s="122" t="s">
        <v>533</v>
      </c>
      <c r="C451" s="123" t="s">
        <v>534</v>
      </c>
      <c r="D451" s="124" t="s">
        <v>122</v>
      </c>
      <c r="E451" s="687">
        <f>IFERROR(__xludf.DUMMYFUNCTION("IFERROR(REGEXEXTRACT(C451,""@\s*(\d+(?:\.\d+)?)\s*mm"")/1000,"""")"),0.6)</f>
        <v>0.6</v>
      </c>
      <c r="F451" s="699"/>
      <c r="G451" s="701"/>
      <c r="H451" s="700"/>
      <c r="I451" s="700"/>
      <c r="J451" s="126" t="s">
        <v>87</v>
      </c>
      <c r="K451" s="126" t="str">
        <f>IFERROR(
  IF(B451="", "", VLOOKUP(B451, Data!$B$2:$K$905, 7, FALSE)),
  ""
)</f>
        <v/>
      </c>
      <c r="L451" s="704"/>
      <c r="M451" s="150">
        <f>ROUNDUP(M448/E451,0)+1</f>
        <v>16</v>
      </c>
      <c r="N451" s="151">
        <f>IFERROR(__xludf.DUMMYFUNCTION("IF(B451="""", """", IFERROR(1 / COS(RADIANS(REGEXEXTRACT(F451,""(\d+)""))), 1))"),1.0)</f>
        <v>1</v>
      </c>
      <c r="O451" s="169">
        <v>1.0</v>
      </c>
      <c r="P451" s="134">
        <v>1.0</v>
      </c>
      <c r="Q451" s="168">
        <f t="shared" si="339"/>
        <v>16</v>
      </c>
      <c r="R451" s="136" t="str">
        <f>IFERROR(
  IF(B451="", "", VLOOKUP(B451, Data!$B$2:$K$905, 9, FALSE)),
  ""
)</f>
        <v/>
      </c>
      <c r="S451" s="152">
        <f t="shared" si="340"/>
        <v>0</v>
      </c>
      <c r="T451" s="690"/>
      <c r="U451" s="681" t="str">
        <f>IFERROR(
  IF(B451="", "", VLOOKUP(B451, Data!$B$2:$K$905, 10, FALSE)),
  ""
)
</f>
        <v/>
      </c>
      <c r="V451" s="691"/>
      <c r="W451" s="140">
        <f t="shared" si="341"/>
        <v>0</v>
      </c>
      <c r="X451" s="692"/>
      <c r="Y451" s="595"/>
      <c r="Z451" s="595"/>
      <c r="AA451" s="595"/>
      <c r="AB451" s="354">
        <f t="shared" si="342"/>
        <v>0</v>
      </c>
      <c r="AC451" s="181"/>
      <c r="AD451" s="625"/>
      <c r="AE451" s="626"/>
      <c r="AF451" s="696"/>
      <c r="AG451" s="697"/>
      <c r="AH451" s="629"/>
      <c r="AI451" s="187"/>
      <c r="AJ451" s="630"/>
      <c r="AK451" s="630"/>
      <c r="AL451" s="595"/>
      <c r="AM451" s="595"/>
      <c r="AN451" s="595"/>
      <c r="AO451" s="595"/>
      <c r="AP451" s="595"/>
      <c r="AQ451" s="595"/>
      <c r="AR451" s="595"/>
      <c r="AS451" s="595"/>
      <c r="AT451" s="595"/>
      <c r="AU451" s="595"/>
      <c r="AV451" s="595"/>
      <c r="AW451" s="595"/>
      <c r="AX451" s="595"/>
      <c r="AY451" s="595"/>
      <c r="AZ451" s="595"/>
      <c r="BA451" s="595"/>
      <c r="BB451" s="595"/>
      <c r="BC451" s="595"/>
      <c r="BD451" s="595"/>
      <c r="BE451" s="595"/>
      <c r="BF451" s="595"/>
      <c r="BG451" s="595"/>
      <c r="BH451" s="595"/>
      <c r="BI451" s="651"/>
      <c r="BJ451" s="651"/>
      <c r="BK451" s="651"/>
      <c r="BL451" s="651"/>
      <c r="BM451" s="651"/>
      <c r="BN451" s="651"/>
      <c r="BO451" s="651"/>
      <c r="BP451" s="651"/>
      <c r="BQ451" s="651"/>
      <c r="BR451" s="651"/>
      <c r="BS451" s="651"/>
      <c r="BT451" s="651"/>
    </row>
    <row r="452">
      <c r="A452" s="631"/>
      <c r="B452" s="717" t="str">
        <f>IFERROR(__xludf.DUMMYFUNCTION("IFERROR(
  IF(C452="""","""",
    IF(OR(REGEXMATCH(D452,""(?i)-Flashing""), REGEXMATCH(D452,""(?i)-EavesGut""), REGEXMATCH(D452,""(?i)Valley"")),
        ""DR"" &amp;
        TEXT(
            ROUNDUP(
                MIN(
                    VALUE(MID(C452, "&amp;"FIND(""("",C452)+1, FIND(""/"",C452)-FIND(""("",C452)-1)),
                    1200
                ) / 50, 0
            ) * 50, ""0""
        ) &amp;
        MID(C452, FIND(""/"",C452)+1, FIND("")"",C452)-FIND(""/"",C452)-1) &amp;
        TEXT(H452*100,""0"") &amp;"&amp;"
        I452,
    IF(AND(D452=""Roof Sheet"", REGEXMATCH(C452,""(?i)KS\d{4}[A-Z]{2}"")),
       REGEXEXTRACT(C452,""(?i)KS\d{4}[A-Z]{2}""),
    IF(AND(REGEXMATCH(D452,""(?i)-DP""), REGEXMATCH(C452,""(?i)Downpipe"")),
       ""dp"" &amp; REGEXEXTRACT(C452,""("&amp;"\d+)"") &amp; ""mm"",
    IF(AND(REGEXMATCH(D452,""(?i)Bracket""), REGEXMATCH(C452,""(?i)Bracket"")),
       ""Brkt"" &amp; REGEXEXTRACT(C452,""(\d+)"") &amp; ""mm"",
    IF(AND(REGEXMATCH(D452,""(?i)-OP""), REGEXMATCH(C452,""(?i)pops"")),
       ""op"" &amp; REGEXEXTRAC"&amp;"T(C452,""(\d+)"") &amp; ""mm"",
    IF(OR(D452=""R-FFTop"", D452=""R-FFBottom"", D452=""R-FFSide""),
        IF(REGEXMATCH(C452,""(?i)Profiled.*Top|Top.*Profiled""),""pfft"",
        IF(REGEXMATCH(C452,""(?i)Profiled.*Bottom|Bottom.*Profiled""),""pffb"",
    "&amp;"    IF(REGEXMATCH(C452,""(?i)Square""),""sff"",""""))),
    IF(REGEXMATCH(D452,""(?i)-Rivets""),""Rvt"",
    IF(REGEXMATCH(D452,""(?i)Silicone""),""300ml"",
    IF(REGEXMATCH(D452,""(?i)R-Butyl""),""300ml"",
    IF(REGEXMATCH(D452,""(?i)Fix""),""GenFix"","&amp;"
    IF(AND(REGEXMATCH(C452,""(?i)Timber""), REGEXMATCH(D452,""(?i)Timber"")),""tp"",
    IF(AND(REGEXMATCH(C452,""(?i)Vent G1275""), REGEXMATCH(D452,""(?i)Comb FIller"")),""CFV1275"",
    IF(REGEXMATCH(C452,""(?i)DPC""),""dpc"",
    IF(REGEXMATCH(C452,"""&amp;"(?i)Concealed Clips""),""ConClips"",
    IF(REGEXMATCH(D452,""(?i)-Takeoff ea""),""Takeoff ea"",
    IF(REGEXMATCH(D452,""(?i)-Takeoff LM""),""Takeoff LM"",
    IF(REGEXMATCH(D452,""(?i)-Takeoff m2""),""Takeoff m2"",
    IF(D452=""R-TU/TD"",""TU/TD"","""""&amp;")))))))))))))))))
  )))"),"GenFix")</f>
        <v>GenFix</v>
      </c>
      <c r="C452" s="158" t="s">
        <v>102</v>
      </c>
      <c r="D452" s="124" t="s">
        <v>123</v>
      </c>
      <c r="E452" s="687">
        <v>2.0</v>
      </c>
      <c r="F452" s="699"/>
      <c r="G452" s="767" t="s">
        <v>83</v>
      </c>
      <c r="H452" s="700"/>
      <c r="I452" s="700"/>
      <c r="J452" s="126" t="s">
        <v>87</v>
      </c>
      <c r="K452" s="126" t="str">
        <f>IFERROR(
  IF(B452="", "", VLOOKUP(B452, Data!$B$2:$K$905, 7, FALSE)),
  ""
)</f>
        <v/>
      </c>
      <c r="L452" s="704"/>
      <c r="M452" s="150">
        <f>ROUNDUP(M451*E452,0)+1</f>
        <v>33</v>
      </c>
      <c r="N452" s="151">
        <f>IFERROR(__xludf.DUMMYFUNCTION("IF(B452="""", """", IFERROR(1 / COS(RADIANS(REGEXEXTRACT(F452,""(\d+)""))), 1))"),1.0)</f>
        <v>1</v>
      </c>
      <c r="O452" s="169">
        <v>1.0</v>
      </c>
      <c r="P452" s="134">
        <v>1.0</v>
      </c>
      <c r="Q452" s="168">
        <f t="shared" si="339"/>
        <v>33</v>
      </c>
      <c r="R452" s="136" t="str">
        <f>IFERROR(
  IF(B452="", "", VLOOKUP(B452, Data!$B$2:$K$905, 9, FALSE)),
  ""
)</f>
        <v/>
      </c>
      <c r="S452" s="152">
        <f t="shared" si="340"/>
        <v>0</v>
      </c>
      <c r="T452" s="690"/>
      <c r="U452" s="681" t="str">
        <f>IFERROR(
  IF(B452="", "", VLOOKUP(B452, Data!$B$2:$K$905, 10, FALSE)),
  ""
)
</f>
        <v/>
      </c>
      <c r="V452" s="691"/>
      <c r="W452" s="140">
        <f t="shared" si="341"/>
        <v>0</v>
      </c>
      <c r="X452" s="692"/>
      <c r="Y452" s="595"/>
      <c r="Z452" s="595"/>
      <c r="AA452" s="595"/>
      <c r="AB452" s="354">
        <f t="shared" si="342"/>
        <v>0</v>
      </c>
      <c r="AC452" s="181"/>
      <c r="AD452" s="625"/>
      <c r="AE452" s="626"/>
      <c r="AF452" s="696"/>
      <c r="AG452" s="697"/>
      <c r="AH452" s="629"/>
      <c r="AI452" s="187"/>
      <c r="AJ452" s="630"/>
      <c r="AK452" s="630"/>
      <c r="AL452" s="595"/>
      <c r="AM452" s="595"/>
      <c r="AN452" s="595"/>
      <c r="AO452" s="595"/>
      <c r="AP452" s="595"/>
      <c r="AQ452" s="595"/>
      <c r="AR452" s="595"/>
      <c r="AS452" s="595"/>
      <c r="AT452" s="595"/>
      <c r="AU452" s="595"/>
      <c r="AV452" s="595"/>
      <c r="AW452" s="595"/>
      <c r="AX452" s="595"/>
      <c r="AY452" s="595"/>
      <c r="AZ452" s="595"/>
      <c r="BA452" s="595"/>
      <c r="BB452" s="595"/>
      <c r="BC452" s="595"/>
      <c r="BD452" s="595"/>
      <c r="BE452" s="595"/>
      <c r="BF452" s="595"/>
      <c r="BG452" s="595"/>
      <c r="BH452" s="595"/>
      <c r="BI452" s="651"/>
      <c r="BJ452" s="651"/>
      <c r="BK452" s="651"/>
      <c r="BL452" s="651"/>
      <c r="BM452" s="651"/>
      <c r="BN452" s="651"/>
      <c r="BO452" s="651"/>
      <c r="BP452" s="651"/>
      <c r="BQ452" s="651"/>
      <c r="BR452" s="651"/>
      <c r="BS452" s="651"/>
      <c r="BT452" s="651"/>
    </row>
    <row r="453">
      <c r="A453" s="631"/>
      <c r="B453" s="717" t="str">
        <f>IFERROR(__xludf.DUMMYFUNCTION("IFERROR(
  IF(C453="""","""",
    IF(OR(REGEXMATCH(D453,""(?i)-Flashing""), REGEXMATCH(D453,""(?i)-EavesGut""), REGEXMATCH(D453,""(?i)Valley"")),
        ""DR"" &amp;
        TEXT(
            ROUNDUP(
                MIN(
                    VALUE(MID(C453, "&amp;"FIND(""("",C453)+1, FIND(""/"",C453)-FIND(""("",C453)-1)),
                    1200
                ) / 50, 0
            ) * 50, ""0""
        ) &amp;
        MID(C453, FIND(""/"",C453)+1, FIND("")"",C453)-FIND(""/"",C453)-1) &amp;
        TEXT(H453*100,""0"") &amp;"&amp;"
        I453,
    IF(AND(D453=""Roof Sheet"", REGEXMATCH(C453,""(?i)KS\d{4}[A-Z]{2}"")),
       REGEXEXTRACT(C453,""(?i)KS\d{4}[A-Z]{2}""),
    IF(AND(REGEXMATCH(D453,""(?i)-DP""), REGEXMATCH(C453,""(?i)Downpipe"")),
       ""dp"" &amp; REGEXEXTRACT(C453,""("&amp;"\d+)"") &amp; ""mm"",
    IF(AND(REGEXMATCH(D453,""(?i)Bracket""), REGEXMATCH(C453,""(?i)Bracket"")),
       ""Brkt"" &amp; REGEXEXTRACT(C453,""(\d+)"") &amp; ""mm"",
    IF(AND(REGEXMATCH(D453,""(?i)-OP""), REGEXMATCH(C453,""(?i)pops"")),
       ""op"" &amp; REGEXEXTRAC"&amp;"T(C453,""(\d+)"") &amp; ""mm"",
    IF(OR(D453=""R-FFTop"", D453=""R-FFBottom"", D453=""R-FFSide""),
        IF(REGEXMATCH(C453,""(?i)Profiled.*Top|Top.*Profiled""),""pfft"",
        IF(REGEXMATCH(C453,""(?i)Profiled.*Bottom|Bottom.*Profiled""),""pffb"",
    "&amp;"    IF(REGEXMATCH(C453,""(?i)Square""),""sff"",""""))),
    IF(REGEXMATCH(D453,""(?i)-Rivets""),""Rvt"",
    IF(REGEXMATCH(D453,""(?i)Silicone""),""300ml"",
    IF(REGEXMATCH(D453,""(?i)R-Butyl""),""300ml"",
    IF(REGEXMATCH(D453,""(?i)Fix""),""GenFix"","&amp;"
    IF(AND(REGEXMATCH(C453,""(?i)Timber""), REGEXMATCH(D453,""(?i)Timber"")),""tp"",
    IF(AND(REGEXMATCH(C453,""(?i)Vent G1275""), REGEXMATCH(D453,""(?i)Comb FIller"")),""CFV1275"",
    IF(REGEXMATCH(C453,""(?i)DPC""),""dpc"",
    IF(REGEXMATCH(C453,"""&amp;"(?i)Concealed Clips""),""ConClips"",
    IF(REGEXMATCH(D453,""(?i)-Takeoff ea""),""Takeoff ea"",
    IF(REGEXMATCH(D453,""(?i)-Takeoff LM""),""Takeoff LM"",
    IF(REGEXMATCH(D453,""(?i)-Takeoff m2""),""Takeoff m2"",
    IF(D453=""R-TU/TD"",""TU/TD"","""""&amp;")))))))))))))))))
  )))"),"pffb")</f>
        <v>pffb</v>
      </c>
      <c r="C453" s="158" t="s">
        <v>125</v>
      </c>
      <c r="D453" s="124" t="s">
        <v>126</v>
      </c>
      <c r="E453" s="722"/>
      <c r="F453" s="699"/>
      <c r="G453" s="701"/>
      <c r="H453" s="700"/>
      <c r="I453" s="700"/>
      <c r="J453" s="126" t="s">
        <v>87</v>
      </c>
      <c r="K453" s="126" t="str">
        <f>IFERROR(
  IF(B453="", "", VLOOKUP(B453, Data!$B$2:$K$905, 7, FALSE)),
  ""
)</f>
        <v/>
      </c>
      <c r="L453" s="704"/>
      <c r="M453" s="150">
        <f>M448</f>
        <v>8.8</v>
      </c>
      <c r="N453" s="151">
        <f>IFERROR(__xludf.DUMMYFUNCTION("IF(B453="""", """", IFERROR(1 / COS(RADIANS(REGEXEXTRACT(F453,""(\d+)""))), 1))"),1.0)</f>
        <v>1</v>
      </c>
      <c r="O453" s="169">
        <v>1.0</v>
      </c>
      <c r="P453" s="134">
        <v>1.0</v>
      </c>
      <c r="Q453" s="168">
        <f t="shared" si="339"/>
        <v>8.8</v>
      </c>
      <c r="R453" s="136" t="str">
        <f>IFERROR(
  IF(B453="", "", VLOOKUP(B453, Data!$B$2:$K$905, 9, FALSE)),
  ""
)</f>
        <v/>
      </c>
      <c r="S453" s="152">
        <f t="shared" si="340"/>
        <v>0</v>
      </c>
      <c r="T453" s="690"/>
      <c r="U453" s="136" t="str">
        <f>IFERROR(
  IF(B453="", "", VLOOKUP(B453, Data!$B$2:$K$905, 10, FALSE)),
  ""
)
</f>
        <v/>
      </c>
      <c r="V453" s="691"/>
      <c r="W453" s="140">
        <f t="shared" si="341"/>
        <v>0</v>
      </c>
      <c r="X453" s="692"/>
      <c r="Y453" s="595"/>
      <c r="Z453" s="595"/>
      <c r="AA453" s="595"/>
      <c r="AB453" s="354">
        <f t="shared" si="342"/>
        <v>0</v>
      </c>
      <c r="AC453" s="181"/>
      <c r="AD453" s="625"/>
      <c r="AE453" s="626"/>
      <c r="AF453" s="696"/>
      <c r="AG453" s="697"/>
      <c r="AH453" s="629"/>
      <c r="AI453" s="187"/>
      <c r="AJ453" s="630"/>
      <c r="AK453" s="630"/>
      <c r="AL453" s="595"/>
      <c r="AM453" s="595"/>
      <c r="AN453" s="595"/>
      <c r="AO453" s="595"/>
      <c r="AP453" s="595"/>
      <c r="AQ453" s="595"/>
      <c r="AR453" s="595"/>
      <c r="AS453" s="595"/>
      <c r="AT453" s="595"/>
      <c r="AU453" s="595"/>
      <c r="AV453" s="595"/>
      <c r="AW453" s="595"/>
      <c r="AX453" s="595"/>
      <c r="AY453" s="595"/>
      <c r="AZ453" s="595"/>
      <c r="BA453" s="595"/>
      <c r="BB453" s="595"/>
      <c r="BC453" s="595"/>
      <c r="BD453" s="595"/>
      <c r="BE453" s="595"/>
      <c r="BF453" s="595"/>
      <c r="BG453" s="595"/>
      <c r="BH453" s="595"/>
      <c r="BI453" s="651"/>
      <c r="BJ453" s="651"/>
      <c r="BK453" s="651"/>
      <c r="BL453" s="651"/>
      <c r="BM453" s="651"/>
      <c r="BN453" s="651"/>
      <c r="BO453" s="651"/>
      <c r="BP453" s="651"/>
      <c r="BQ453" s="651"/>
      <c r="BR453" s="651"/>
      <c r="BS453" s="651"/>
      <c r="BT453" s="651"/>
    </row>
    <row r="454">
      <c r="A454" s="631"/>
      <c r="B454" s="717" t="str">
        <f>IFERROR(__xludf.DUMMYFUNCTION("IFERROR(
  IF(C454="""","""",
    IF(OR(REGEXMATCH(D454,""(?i)-Flashing""), REGEXMATCH(D454,""(?i)-EavesGut""), REGEXMATCH(D454,""(?i)Valley"")),
        ""DR"" &amp;
        TEXT(
            ROUNDUP(
                MIN(
                    VALUE(MID(C454, "&amp;"FIND(""("",C454)+1, FIND(""/"",C454)-FIND(""("",C454)-1)),
                    1200
                ) / 50, 0
            ) * 50, ""0""
        ) &amp;
        MID(C454, FIND(""/"",C454)+1, FIND("")"",C454)-FIND(""/"",C454)-1) &amp;
        TEXT(H454*100,""0"") &amp;"&amp;"
        I454,
    IF(AND(D454=""Roof Sheet"", REGEXMATCH(C454,""(?i)KS\d{4}[A-Z]{2}"")),
       REGEXEXTRACT(C454,""(?i)KS\d{4}[A-Z]{2}""),
    IF(AND(REGEXMATCH(D454,""(?i)-DP""), REGEXMATCH(C454,""(?i)Downpipe"")),
       ""dp"" &amp; REGEXEXTRACT(C454,""("&amp;"\d+)"") &amp; ""mm"",
    IF(AND(REGEXMATCH(D454,""(?i)Bracket""), REGEXMATCH(C454,""(?i)Bracket"")),
       ""Brkt"" &amp; REGEXEXTRACT(C454,""(\d+)"") &amp; ""mm"",
    IF(AND(REGEXMATCH(D454,""(?i)-OP""), REGEXMATCH(C454,""(?i)pops"")),
       ""op"" &amp; REGEXEXTRAC"&amp;"T(C454,""(\d+)"") &amp; ""mm"",
    IF(OR(D454=""R-FFTop"", D454=""R-FFBottom"", D454=""R-FFSide""),
        IF(REGEXMATCH(C454,""(?i)Profiled.*Top|Top.*Profiled""),""pfft"",
        IF(REGEXMATCH(C454,""(?i)Profiled.*Bottom|Bottom.*Profiled""),""pffb"",
    "&amp;"    IF(REGEXMATCH(C454,""(?i)Square""),""sff"",""""))),
    IF(REGEXMATCH(D454,""(?i)-Rivets""),""Rvt"",
    IF(REGEXMATCH(D454,""(?i)Silicone""),""300ml"",
    IF(REGEXMATCH(D454,""(?i)R-Butyl""),""300ml"",
    IF(REGEXMATCH(D454,""(?i)Fix""),""GenFix"","&amp;"
    IF(AND(REGEXMATCH(C454,""(?i)Timber""), REGEXMATCH(D454,""(?i)Timber"")),""tp"",
    IF(AND(REGEXMATCH(C454,""(?i)Vent G1275""), REGEXMATCH(D454,""(?i)Comb FIller"")),""CFV1275"",
    IF(REGEXMATCH(C454,""(?i)DPC""),""dpc"",
    IF(REGEXMATCH(C454,"""&amp;"(?i)Concealed Clips""),""ConClips"",
    IF(REGEXMATCH(D454,""(?i)-Takeoff ea""),""Takeoff ea"",
    IF(REGEXMATCH(D454,""(?i)-Takeoff LM""),""Takeoff LM"",
    IF(REGEXMATCH(D454,""(?i)-Takeoff m2""),""Takeoff m2"",
    IF(D454=""R-TU/TD"",""TU/TD"","""""&amp;")))))))))))))))))
  )))"),"TU/TD")</f>
        <v>TU/TD</v>
      </c>
      <c r="C454" s="158" t="s">
        <v>446</v>
      </c>
      <c r="D454" s="124" t="s">
        <v>107</v>
      </c>
      <c r="E454" s="722"/>
      <c r="F454" s="699"/>
      <c r="G454" s="701"/>
      <c r="H454" s="700"/>
      <c r="I454" s="700"/>
      <c r="J454" s="126" t="s">
        <v>87</v>
      </c>
      <c r="K454" s="126" t="str">
        <f>IFERROR(
  IF(B454="", "", VLOOKUP(B454, Data!$B$2:$K$905, 7, FALSE)),
  ""
)</f>
        <v/>
      </c>
      <c r="L454" s="704"/>
      <c r="M454" s="150">
        <f>M448</f>
        <v>8.8</v>
      </c>
      <c r="N454" s="151">
        <f>IFERROR(__xludf.DUMMYFUNCTION("IF(B454="""", """", IFERROR(1 / COS(RADIANS(REGEXEXTRACT(F454,""(\d+)""))), 1))"),1.0)</f>
        <v>1</v>
      </c>
      <c r="O454" s="169">
        <v>1.0</v>
      </c>
      <c r="P454" s="134">
        <v>1.0</v>
      </c>
      <c r="Q454" s="168">
        <f t="shared" si="339"/>
        <v>8.8</v>
      </c>
      <c r="R454" s="681" t="str">
        <f>IFERROR(
  IF(B454="", "", VLOOKUP(B454, Data!$B$2:$K$905, 9, FALSE)),
  ""
)</f>
        <v/>
      </c>
      <c r="S454" s="152">
        <f t="shared" si="340"/>
        <v>0</v>
      </c>
      <c r="T454" s="690"/>
      <c r="U454" s="136" t="str">
        <f>IFERROR(
  IF(B454="", "", VLOOKUP(B454, Data!$B$2:$K$905, 10, FALSE)),
  ""
)
</f>
        <v/>
      </c>
      <c r="V454" s="691"/>
      <c r="W454" s="140">
        <f t="shared" si="341"/>
        <v>0</v>
      </c>
      <c r="X454" s="692"/>
      <c r="Y454" s="595"/>
      <c r="Z454" s="595"/>
      <c r="AA454" s="595"/>
      <c r="AB454" s="354">
        <f t="shared" si="342"/>
        <v>0</v>
      </c>
      <c r="AC454" s="181"/>
      <c r="AD454" s="625"/>
      <c r="AE454" s="626"/>
      <c r="AF454" s="696"/>
      <c r="AG454" s="697"/>
      <c r="AH454" s="629"/>
      <c r="AI454" s="187"/>
      <c r="AJ454" s="630"/>
      <c r="AK454" s="630"/>
      <c r="AL454" s="595"/>
      <c r="AM454" s="595"/>
      <c r="AN454" s="595"/>
      <c r="AO454" s="595"/>
      <c r="AP454" s="595"/>
      <c r="AQ454" s="595"/>
      <c r="AR454" s="595"/>
      <c r="AS454" s="595"/>
      <c r="AT454" s="595"/>
      <c r="AU454" s="595"/>
      <c r="AV454" s="595"/>
      <c r="AW454" s="595"/>
      <c r="AX454" s="595"/>
      <c r="AY454" s="595"/>
      <c r="AZ454" s="595"/>
      <c r="BA454" s="595"/>
      <c r="BB454" s="595"/>
      <c r="BC454" s="595"/>
      <c r="BD454" s="595"/>
      <c r="BE454" s="595"/>
      <c r="BF454" s="595"/>
      <c r="BG454" s="595"/>
      <c r="BH454" s="595"/>
      <c r="BI454" s="651"/>
      <c r="BJ454" s="651"/>
      <c r="BK454" s="651"/>
      <c r="BL454" s="651"/>
      <c r="BM454" s="651"/>
      <c r="BN454" s="651"/>
      <c r="BO454" s="651"/>
      <c r="BP454" s="651"/>
      <c r="BQ454" s="651"/>
      <c r="BR454" s="651"/>
      <c r="BS454" s="651"/>
      <c r="BT454" s="651"/>
    </row>
    <row r="455">
      <c r="A455" s="631"/>
      <c r="B455" s="717"/>
      <c r="C455" s="701"/>
      <c r="D455" s="701"/>
      <c r="E455" s="722"/>
      <c r="F455" s="699"/>
      <c r="G455" s="701"/>
      <c r="H455" s="700"/>
      <c r="I455" s="700"/>
      <c r="J455" s="701"/>
      <c r="K455" s="701"/>
      <c r="L455" s="704"/>
      <c r="M455" s="704"/>
      <c r="N455" s="711"/>
      <c r="O455" s="712"/>
      <c r="P455" s="700"/>
      <c r="Q455" s="712"/>
      <c r="R455" s="681" t="str">
        <f>IFERROR(
  IF(B455="", "", VLOOKUP(B455, Data!$B$2:$K$905, 9, FALSE)),
  ""
)</f>
        <v/>
      </c>
      <c r="S455" s="691"/>
      <c r="T455" s="690"/>
      <c r="U455" s="681" t="str">
        <f>IFERROR(
  IF(B455="", "", VLOOKUP(B455, Data!$B$2:$K$905, 10, FALSE)),
  ""
)
</f>
        <v/>
      </c>
      <c r="V455" s="691"/>
      <c r="W455" s="713"/>
      <c r="X455" s="692"/>
      <c r="Y455" s="595"/>
      <c r="Z455" s="595"/>
      <c r="AA455" s="595"/>
      <c r="AB455" s="354">
        <f t="shared" si="342"/>
        <v>0</v>
      </c>
      <c r="AC455" s="181"/>
      <c r="AD455" s="625"/>
      <c r="AE455" s="626"/>
      <c r="AF455" s="696"/>
      <c r="AG455" s="697"/>
      <c r="AH455" s="629"/>
      <c r="AI455" s="187"/>
      <c r="AJ455" s="630"/>
      <c r="AK455" s="630"/>
      <c r="AL455" s="595"/>
      <c r="AM455" s="595"/>
      <c r="AN455" s="595"/>
      <c r="AO455" s="595"/>
      <c r="AP455" s="595"/>
      <c r="AQ455" s="595"/>
      <c r="AR455" s="595"/>
      <c r="AS455" s="595"/>
      <c r="AT455" s="595"/>
      <c r="AU455" s="595"/>
      <c r="AV455" s="595"/>
      <c r="AW455" s="595"/>
      <c r="AX455" s="595"/>
      <c r="AY455" s="595"/>
      <c r="AZ455" s="595"/>
      <c r="BA455" s="595"/>
      <c r="BB455" s="595"/>
      <c r="BC455" s="595"/>
      <c r="BD455" s="595"/>
      <c r="BE455" s="595"/>
      <c r="BF455" s="595"/>
      <c r="BG455" s="595"/>
      <c r="BH455" s="595"/>
      <c r="BI455" s="651"/>
      <c r="BJ455" s="651"/>
      <c r="BK455" s="651"/>
      <c r="BL455" s="651"/>
      <c r="BM455" s="651"/>
      <c r="BN455" s="651"/>
      <c r="BO455" s="651"/>
      <c r="BP455" s="651"/>
      <c r="BQ455" s="651"/>
      <c r="BR455" s="651"/>
      <c r="BS455" s="651"/>
      <c r="BT455" s="651"/>
    </row>
    <row r="456">
      <c r="A456" s="631"/>
      <c r="B456" s="717" t="s">
        <v>131</v>
      </c>
      <c r="C456" s="225" t="s">
        <v>132</v>
      </c>
      <c r="D456" s="124" t="s">
        <v>484</v>
      </c>
      <c r="E456" s="722"/>
      <c r="F456" s="721"/>
      <c r="G456" s="701"/>
      <c r="H456" s="700"/>
      <c r="I456" s="700"/>
      <c r="J456" s="126" t="s">
        <v>87</v>
      </c>
      <c r="K456" s="126" t="str">
        <f>IFERROR(
  IF(B456="", "", VLOOKUP(B456, Data!$B$2:$K$905, 7, FALSE)),
  ""
)</f>
        <v/>
      </c>
      <c r="L456" s="712"/>
      <c r="M456" s="150">
        <v>1.0</v>
      </c>
      <c r="N456" s="151">
        <f>IFERROR(__xludf.DUMMYFUNCTION("IF(B456="""", """", IFERROR(1 / COS(RADIANS(REGEXEXTRACT(F456,""(\d+)""))), 1))"),1.0)</f>
        <v>1</v>
      </c>
      <c r="O456" s="169">
        <v>1.0</v>
      </c>
      <c r="P456" s="134">
        <v>1.0</v>
      </c>
      <c r="Q456" s="168">
        <f t="shared" ref="Q456:Q457" si="343">M456*N456*O456*P456</f>
        <v>1</v>
      </c>
      <c r="R456" s="136" t="str">
        <f>IFERROR(
  IF(B456="", "", VLOOKUP(B456, Data!$B$2:$K$905, 9, FALSE)),
  ""
)</f>
        <v/>
      </c>
      <c r="S456" s="152">
        <f t="shared" ref="S456:S457" si="344">R456*Q456</f>
        <v>0</v>
      </c>
      <c r="T456" s="690"/>
      <c r="U456" s="136" t="str">
        <f>IFERROR(
  IF(B456="", "", VLOOKUP(B456, Data!$B$2:$K$905, 10, FALSE)),
  ""
)
</f>
        <v/>
      </c>
      <c r="V456" s="691"/>
      <c r="W456" s="140">
        <f t="shared" ref="W456:W457" si="345">U456*Q456</f>
        <v>0</v>
      </c>
      <c r="X456" s="692"/>
      <c r="Y456" s="595"/>
      <c r="Z456" s="595"/>
      <c r="AA456" s="595"/>
      <c r="AB456" s="354">
        <f t="shared" si="342"/>
        <v>0</v>
      </c>
      <c r="AC456" s="181"/>
      <c r="AD456" s="625"/>
      <c r="AE456" s="626"/>
      <c r="AF456" s="696"/>
      <c r="AG456" s="697"/>
      <c r="AH456" s="629"/>
      <c r="AI456" s="187"/>
      <c r="AJ456" s="630"/>
      <c r="AK456" s="630"/>
      <c r="AL456" s="595"/>
      <c r="AM456" s="595"/>
      <c r="AN456" s="595"/>
      <c r="AO456" s="595"/>
      <c r="AP456" s="595"/>
      <c r="AQ456" s="595"/>
      <c r="AR456" s="595"/>
      <c r="AS456" s="595"/>
      <c r="AT456" s="595"/>
      <c r="AU456" s="595"/>
      <c r="AV456" s="595"/>
      <c r="AW456" s="595"/>
      <c r="AX456" s="595"/>
      <c r="AY456" s="595"/>
      <c r="AZ456" s="595"/>
      <c r="BA456" s="595"/>
      <c r="BB456" s="595"/>
      <c r="BC456" s="595"/>
      <c r="BD456" s="595"/>
      <c r="BE456" s="595"/>
      <c r="BF456" s="595"/>
      <c r="BG456" s="595"/>
      <c r="BH456" s="595"/>
      <c r="BI456" s="651"/>
      <c r="BJ456" s="651"/>
      <c r="BK456" s="651"/>
      <c r="BL456" s="651"/>
      <c r="BM456" s="651"/>
      <c r="BN456" s="651"/>
      <c r="BO456" s="651"/>
      <c r="BP456" s="651"/>
      <c r="BQ456" s="651"/>
      <c r="BR456" s="651"/>
      <c r="BS456" s="651"/>
      <c r="BT456" s="651"/>
    </row>
    <row r="457">
      <c r="A457" s="631"/>
      <c r="B457" s="717" t="s">
        <v>134</v>
      </c>
      <c r="C457" s="225" t="s">
        <v>135</v>
      </c>
      <c r="D457" s="124" t="s">
        <v>484</v>
      </c>
      <c r="E457" s="722"/>
      <c r="F457" s="721"/>
      <c r="G457" s="701"/>
      <c r="H457" s="700"/>
      <c r="I457" s="700"/>
      <c r="J457" s="126" t="s">
        <v>87</v>
      </c>
      <c r="K457" s="126" t="str">
        <f>IFERROR(
  IF(B457="", "", VLOOKUP(B457, Data!$B$2:$K$905, 7, FALSE)),
  ""
)</f>
        <v/>
      </c>
      <c r="L457" s="712"/>
      <c r="M457" s="150">
        <v>1.0</v>
      </c>
      <c r="N457" s="151">
        <f>IFERROR(__xludf.DUMMYFUNCTION("IF(B457="""", """", IFERROR(1 / COS(RADIANS(REGEXEXTRACT(F457,""(\d+)""))), 1))"),1.0)</f>
        <v>1</v>
      </c>
      <c r="O457" s="169">
        <v>1.0</v>
      </c>
      <c r="P457" s="134">
        <v>1.0</v>
      </c>
      <c r="Q457" s="168">
        <f t="shared" si="343"/>
        <v>1</v>
      </c>
      <c r="R457" s="136" t="str">
        <f>IFERROR(
  IF(B457="", "", VLOOKUP(B457, Data!$B$2:$K$905, 9, FALSE)),
  ""
)</f>
        <v/>
      </c>
      <c r="S457" s="152">
        <f t="shared" si="344"/>
        <v>0</v>
      </c>
      <c r="T457" s="690"/>
      <c r="U457" s="136" t="str">
        <f>IFERROR(
  IF(B457="", "", VLOOKUP(B457, Data!$B$2:$K$905, 10, FALSE)),
  ""
)
</f>
        <v/>
      </c>
      <c r="V457" s="691"/>
      <c r="W457" s="140">
        <f t="shared" si="345"/>
        <v>0</v>
      </c>
      <c r="X457" s="692"/>
      <c r="Y457" s="595"/>
      <c r="Z457" s="595"/>
      <c r="AA457" s="595"/>
      <c r="AB457" s="354">
        <f t="shared" si="342"/>
        <v>0</v>
      </c>
      <c r="AC457" s="181"/>
      <c r="AD457" s="625"/>
      <c r="AE457" s="626"/>
      <c r="AF457" s="696"/>
      <c r="AG457" s="697"/>
      <c r="AH457" s="629"/>
      <c r="AI457" s="187"/>
      <c r="AJ457" s="630"/>
      <c r="AK457" s="630"/>
      <c r="AL457" s="595"/>
      <c r="AM457" s="595"/>
      <c r="AN457" s="595"/>
      <c r="AO457" s="595"/>
      <c r="AP457" s="595"/>
      <c r="AQ457" s="595"/>
      <c r="AR457" s="595"/>
      <c r="AS457" s="595"/>
      <c r="AT457" s="595"/>
      <c r="AU457" s="595"/>
      <c r="AV457" s="595"/>
      <c r="AW457" s="595"/>
      <c r="AX457" s="595"/>
      <c r="AY457" s="595"/>
      <c r="AZ457" s="595"/>
      <c r="BA457" s="595"/>
      <c r="BB457" s="595"/>
      <c r="BC457" s="595"/>
      <c r="BD457" s="595"/>
      <c r="BE457" s="595"/>
      <c r="BF457" s="595"/>
      <c r="BG457" s="595"/>
      <c r="BH457" s="595"/>
      <c r="BI457" s="651"/>
      <c r="BJ457" s="651"/>
      <c r="BK457" s="651"/>
      <c r="BL457" s="651"/>
      <c r="BM457" s="651"/>
      <c r="BN457" s="651"/>
      <c r="BO457" s="651"/>
      <c r="BP457" s="651"/>
      <c r="BQ457" s="651"/>
      <c r="BR457" s="651"/>
      <c r="BS457" s="651"/>
      <c r="BT457" s="651"/>
    </row>
    <row r="458">
      <c r="A458" s="631"/>
      <c r="B458" s="717"/>
      <c r="C458" s="225"/>
      <c r="D458" s="124"/>
      <c r="E458" s="722"/>
      <c r="F458" s="721"/>
      <c r="G458" s="701"/>
      <c r="H458" s="700"/>
      <c r="I458" s="700"/>
      <c r="J458" s="126"/>
      <c r="K458" s="126"/>
      <c r="L458" s="712"/>
      <c r="M458" s="150"/>
      <c r="N458" s="151"/>
      <c r="O458" s="169"/>
      <c r="P458" s="134"/>
      <c r="Q458" s="168"/>
      <c r="R458" s="136"/>
      <c r="S458" s="152"/>
      <c r="T458" s="690"/>
      <c r="U458" s="136"/>
      <c r="V458" s="691"/>
      <c r="W458" s="140"/>
      <c r="X458" s="692"/>
      <c r="Y458" s="595"/>
      <c r="Z458" s="595"/>
      <c r="AA458" s="595"/>
      <c r="AB458" s="354">
        <f t="shared" si="342"/>
        <v>0</v>
      </c>
      <c r="AC458" s="181"/>
      <c r="AD458" s="625"/>
      <c r="AE458" s="626"/>
      <c r="AF458" s="696"/>
      <c r="AG458" s="697"/>
      <c r="AH458" s="629"/>
      <c r="AI458" s="187"/>
      <c r="AJ458" s="630"/>
      <c r="AK458" s="630"/>
      <c r="AL458" s="595"/>
      <c r="AM458" s="595"/>
      <c r="AN458" s="595"/>
      <c r="AO458" s="595"/>
      <c r="AP458" s="595"/>
      <c r="AQ458" s="595"/>
      <c r="AR458" s="595"/>
      <c r="AS458" s="595"/>
      <c r="AT458" s="595"/>
      <c r="AU458" s="595"/>
      <c r="AV458" s="595"/>
      <c r="AW458" s="595"/>
      <c r="AX458" s="595"/>
      <c r="AY458" s="595"/>
      <c r="AZ458" s="595"/>
      <c r="BA458" s="595"/>
      <c r="BB458" s="595"/>
      <c r="BC458" s="595"/>
      <c r="BD458" s="595"/>
      <c r="BE458" s="595"/>
      <c r="BF458" s="595"/>
      <c r="BG458" s="595"/>
      <c r="BH458" s="595"/>
      <c r="BI458" s="651"/>
      <c r="BJ458" s="651"/>
      <c r="BK458" s="651"/>
      <c r="BL458" s="651"/>
      <c r="BM458" s="651"/>
      <c r="BN458" s="651"/>
      <c r="BO458" s="651"/>
      <c r="BP458" s="651"/>
      <c r="BQ458" s="651"/>
      <c r="BR458" s="651"/>
      <c r="BS458" s="651"/>
      <c r="BT458" s="651"/>
    </row>
    <row r="459">
      <c r="A459" s="631"/>
      <c r="B459" s="122" t="s">
        <v>535</v>
      </c>
      <c r="C459" s="223" t="s">
        <v>536</v>
      </c>
      <c r="D459" s="148" t="s">
        <v>348</v>
      </c>
      <c r="E459" s="722"/>
      <c r="F459" s="721"/>
      <c r="G459" s="701"/>
      <c r="H459" s="700"/>
      <c r="I459" s="700"/>
      <c r="J459" s="126" t="s">
        <v>14</v>
      </c>
      <c r="K459" s="126" t="str">
        <f>IFERROR(
  IF(B459="", "", VLOOKUP(B459, Data!$B$2:$K$905, 7, FALSE)),
  ""
)</f>
        <v/>
      </c>
      <c r="L459" s="712"/>
      <c r="M459" s="730">
        <f>M448</f>
        <v>8.8</v>
      </c>
      <c r="N459" s="151">
        <f>IFERROR(__xludf.DUMMYFUNCTION("IF(B459="""", """", IFERROR(1 / COS(RADIANS(REGEXEXTRACT(F459,""(\d+)""))), 1))"),1.0)</f>
        <v>1</v>
      </c>
      <c r="O459" s="169">
        <v>1.0</v>
      </c>
      <c r="P459" s="134">
        <v>1.0</v>
      </c>
      <c r="Q459" s="168">
        <f t="shared" ref="Q459:Q460" si="346">M459*N459*O459*P459</f>
        <v>8.8</v>
      </c>
      <c r="R459" s="136" t="str">
        <f>IFERROR(
  IF(B459="", "", VLOOKUP(B459, Data!$B$2:$K$905, 9, FALSE)),
  ""
)</f>
        <v/>
      </c>
      <c r="S459" s="152">
        <f t="shared" ref="S459:S460" si="347">R459*Q459</f>
        <v>0</v>
      </c>
      <c r="T459" s="690"/>
      <c r="U459" s="136" t="str">
        <f>IFERROR(
  IF(B459="", "", VLOOKUP(B459, Data!$B$2:$K$905, 10, FALSE)),
  ""
)
</f>
        <v/>
      </c>
      <c r="V459" s="691"/>
      <c r="W459" s="140">
        <f t="shared" ref="W459:W460" si="348">U459*Q459</f>
        <v>0</v>
      </c>
      <c r="X459" s="692"/>
      <c r="Y459" s="595"/>
      <c r="Z459" s="595"/>
      <c r="AA459" s="595"/>
      <c r="AB459" s="354">
        <f t="shared" si="342"/>
        <v>0</v>
      </c>
      <c r="AC459" s="181"/>
      <c r="AD459" s="625"/>
      <c r="AE459" s="626"/>
      <c r="AF459" s="696"/>
      <c r="AG459" s="697"/>
      <c r="AH459" s="629"/>
      <c r="AI459" s="187"/>
      <c r="AJ459" s="630"/>
      <c r="AK459" s="630"/>
      <c r="AL459" s="595"/>
      <c r="AM459" s="595"/>
      <c r="AN459" s="595"/>
      <c r="AO459" s="595"/>
      <c r="AP459" s="595"/>
      <c r="AQ459" s="595"/>
      <c r="AR459" s="595"/>
      <c r="AS459" s="595"/>
      <c r="AT459" s="595"/>
      <c r="AU459" s="595"/>
      <c r="AV459" s="595"/>
      <c r="AW459" s="595"/>
      <c r="AX459" s="595"/>
      <c r="AY459" s="595"/>
      <c r="AZ459" s="595"/>
      <c r="BA459" s="595"/>
      <c r="BB459" s="595"/>
      <c r="BC459" s="595"/>
      <c r="BD459" s="595"/>
      <c r="BE459" s="595"/>
      <c r="BF459" s="595"/>
      <c r="BG459" s="595"/>
      <c r="BH459" s="595"/>
      <c r="BI459" s="651"/>
      <c r="BJ459" s="651"/>
      <c r="BK459" s="651"/>
      <c r="BL459" s="651"/>
      <c r="BM459" s="651"/>
      <c r="BN459" s="651"/>
      <c r="BO459" s="651"/>
      <c r="BP459" s="651"/>
      <c r="BQ459" s="651"/>
      <c r="BR459" s="651"/>
      <c r="BS459" s="651"/>
      <c r="BT459" s="651"/>
    </row>
    <row r="460">
      <c r="A460" s="631"/>
      <c r="B460" s="717" t="str">
        <f>IFERROR(__xludf.DUMMYFUNCTION("IFERROR(
  IF(C460="""","""",
    IF(OR(REGEXMATCH(D460,""(?i)-Flashing""), REGEXMATCH(D460,""(?i)-EavesGut""), REGEXMATCH(D460,""(?i)Valley"")),
        ""DR"" &amp;
        TEXT(
            ROUNDUP(
                MIN(
                    VALUE(MID(C460, "&amp;"FIND(""("",C460)+1, FIND(""/"",C460)-FIND(""("",C460)-1)),
                    1200
                ) / 50, 0
            ) * 50, ""0""
        ) &amp;
        MID(C460, FIND(""/"",C460)+1, FIND("")"",C460)-FIND(""/"",C460)-1) &amp;
        TEXT(H460*100,""0"") &amp;"&amp;"
        I460,
    IF(AND(D460=""Roof Sheet"", REGEXMATCH(C460,""(?i)KS\d{4}[A-Z]{2}"")),
       REGEXEXTRACT(C460,""(?i)KS\d{4}[A-Z]{2}""),
    IF(AND(REGEXMATCH(D460,""(?i)-DP""), REGEXMATCH(C460,""(?i)Downpipe"")),
       ""dp"" &amp; REGEXEXTRACT(C460,""("&amp;"\d+)"") &amp; ""mm"",
    IF(AND(REGEXMATCH(D460,""(?i)Bracket""), REGEXMATCH(C460,""(?i)Bracket"")),
       ""Brkt"" &amp; REGEXEXTRACT(C460,""(\d+)"") &amp; ""mm"",
    IF(AND(REGEXMATCH(D460,""(?i)-OP""), REGEXMATCH(C460,""(?i)pops"")),
       ""op"" &amp; REGEXEXTRAC"&amp;"T(C460,""(\d+)"") &amp; ""mm"",
    IF(OR(D460=""R-FFTop"", D460=""R-FFBottom"", D460=""R-FFSide""),
        IF(REGEXMATCH(C460,""(?i)Profiled.*Top|Top.*Profiled""),""pfft"",
        IF(REGEXMATCH(C460,""(?i)Profiled.*Bottom|Bottom.*Profiled""),""pffb"",
    "&amp;"    IF(REGEXMATCH(C460,""(?i)Square""),""sff"",""""))),
    IF(REGEXMATCH(D460,""(?i)-Rivets""),""Rvt"",
    IF(REGEXMATCH(D460,""(?i)Silicone""),""300ml"",
    IF(REGEXMATCH(D460,""(?i)R-Butyl""),""300ml"",
    IF(REGEXMATCH(D460,""(?i)Fix""),""GenFix"","&amp;"
    IF(AND(REGEXMATCH(C460,""(?i)Timber""), REGEXMATCH(D460,""(?i)Timber"")),""tp"",
    IF(AND(REGEXMATCH(C460,""(?i)Vent G1275""), REGEXMATCH(D460,""(?i)Comb FIller"")),""CFV1275"",
    IF(REGEXMATCH(C460,""(?i)DPC""),""dpc"",
    IF(REGEXMATCH(C460,"""&amp;"(?i)Concealed Clips""),""ConClips"",
    IF(REGEXMATCH(D460,""(?i)-Takeoff ea""),""Takeoff ea"",
    IF(REGEXMATCH(D460,""(?i)-Takeoff LM""),""Takeoff LM"",
    IF(REGEXMATCH(D460,""(?i)-Takeoff m2""),""Takeoff m2"",
    IF(D460=""R-TU/TD"",""TU/TD"","""""&amp;")))))))))))))))))
  )))"),"GenFix")</f>
        <v>GenFix</v>
      </c>
      <c r="C460" s="223" t="s">
        <v>102</v>
      </c>
      <c r="D460" s="148" t="s">
        <v>360</v>
      </c>
      <c r="E460" s="722"/>
      <c r="F460" s="721"/>
      <c r="G460" s="701"/>
      <c r="H460" s="700"/>
      <c r="I460" s="700"/>
      <c r="J460" s="153" t="s">
        <v>87</v>
      </c>
      <c r="K460" s="126" t="str">
        <f>IFERROR(
  IF(B460="", "", VLOOKUP(B460, Data!$B$2:$K$905, 7, FALSE)),
  ""
)</f>
        <v/>
      </c>
      <c r="L460" s="712"/>
      <c r="M460" s="730">
        <f>ROUNDUP(M459/0.6,0)+1</f>
        <v>16</v>
      </c>
      <c r="N460" s="151">
        <f>IFERROR(__xludf.DUMMYFUNCTION("IF(B460="""", """", IFERROR(1 / COS(RADIANS(REGEXEXTRACT(F460,""(\d+)""))), 1))"),1.0)</f>
        <v>1</v>
      </c>
      <c r="O460" s="169">
        <v>1.0</v>
      </c>
      <c r="P460" s="134">
        <v>1.0</v>
      </c>
      <c r="Q460" s="168">
        <f t="shared" si="346"/>
        <v>16</v>
      </c>
      <c r="R460" s="136" t="str">
        <f>IFERROR(
  IF(B460="", "", VLOOKUP(B460, Data!$B$2:$K$905, 9, FALSE)),
  ""
)</f>
        <v/>
      </c>
      <c r="S460" s="152">
        <f t="shared" si="347"/>
        <v>0</v>
      </c>
      <c r="T460" s="690"/>
      <c r="U460" s="136" t="str">
        <f>IFERROR(
  IF(B460="", "", VLOOKUP(B460, Data!$B$2:$K$905, 10, FALSE)),
  ""
)
</f>
        <v/>
      </c>
      <c r="V460" s="691"/>
      <c r="W460" s="140">
        <f t="shared" si="348"/>
        <v>0</v>
      </c>
      <c r="X460" s="692"/>
      <c r="Y460" s="595"/>
      <c r="Z460" s="595"/>
      <c r="AA460" s="595"/>
      <c r="AB460" s="354">
        <f t="shared" si="342"/>
        <v>0</v>
      </c>
      <c r="AC460" s="181"/>
      <c r="AD460" s="625"/>
      <c r="AE460" s="626"/>
      <c r="AF460" s="696"/>
      <c r="AG460" s="697"/>
      <c r="AH460" s="629"/>
      <c r="AI460" s="187"/>
      <c r="AJ460" s="630"/>
      <c r="AK460" s="630"/>
      <c r="AL460" s="595"/>
      <c r="AM460" s="595"/>
      <c r="AN460" s="595"/>
      <c r="AO460" s="595"/>
      <c r="AP460" s="595"/>
      <c r="AQ460" s="595"/>
      <c r="AR460" s="595"/>
      <c r="AS460" s="595"/>
      <c r="AT460" s="595"/>
      <c r="AU460" s="595"/>
      <c r="AV460" s="595"/>
      <c r="AW460" s="595"/>
      <c r="AX460" s="595"/>
      <c r="AY460" s="595"/>
      <c r="AZ460" s="595"/>
      <c r="BA460" s="595"/>
      <c r="BB460" s="595"/>
      <c r="BC460" s="595"/>
      <c r="BD460" s="595"/>
      <c r="BE460" s="595"/>
      <c r="BF460" s="595"/>
      <c r="BG460" s="595"/>
      <c r="BH460" s="595"/>
      <c r="BI460" s="651"/>
      <c r="BJ460" s="651"/>
      <c r="BK460" s="651"/>
      <c r="BL460" s="651"/>
      <c r="BM460" s="651"/>
      <c r="BN460" s="651"/>
      <c r="BO460" s="651"/>
      <c r="BP460" s="651"/>
      <c r="BQ460" s="651"/>
      <c r="BR460" s="651"/>
      <c r="BS460" s="651"/>
      <c r="BT460" s="651"/>
    </row>
    <row r="461">
      <c r="A461" s="631"/>
      <c r="B461" s="717"/>
      <c r="C461" s="700"/>
      <c r="D461" s="700"/>
      <c r="E461" s="722"/>
      <c r="F461" s="721"/>
      <c r="G461" s="701"/>
      <c r="H461" s="700"/>
      <c r="I461" s="700"/>
      <c r="J461" s="701"/>
      <c r="K461" s="701" t="str">
        <f>IFERROR(
  IF(B461="", "", VLOOKUP(B461, Data!$B$2:$K$905, 7, FALSE)),
  ""
)</f>
        <v/>
      </c>
      <c r="L461" s="712"/>
      <c r="M461" s="704" t="s">
        <v>42</v>
      </c>
      <c r="N461" s="711" t="str">
        <f>IFERROR(__xludf.DUMMYFUNCTION("IF(B461="""", """", IFERROR(1 / COS(RADIANS(REGEXEXTRACT(F461,""(\d+)""))), 1))"),"")</f>
        <v/>
      </c>
      <c r="O461" s="712"/>
      <c r="P461" s="700"/>
      <c r="Q461" s="712"/>
      <c r="R461" s="681" t="str">
        <f>IFERROR(
  IF(B461="", "", VLOOKUP(B461, Data!$B$2:$K$905, 9, FALSE)),
  ""
)</f>
        <v/>
      </c>
      <c r="S461" s="691"/>
      <c r="T461" s="690"/>
      <c r="U461" s="681" t="str">
        <f>IFERROR(
  IF(B461="", "", VLOOKUP(B461, Data!$B$2:$K$905, 10, FALSE)),
  ""
)
</f>
        <v/>
      </c>
      <c r="V461" s="691"/>
      <c r="W461" s="713"/>
      <c r="X461" s="692"/>
      <c r="Y461" s="595"/>
      <c r="Z461" s="595"/>
      <c r="AA461" s="595"/>
      <c r="AB461" s="354">
        <f t="shared" si="342"/>
        <v>0</v>
      </c>
      <c r="AC461" s="181"/>
      <c r="AD461" s="625"/>
      <c r="AE461" s="626"/>
      <c r="AF461" s="696"/>
      <c r="AG461" s="697"/>
      <c r="AH461" s="629"/>
      <c r="AI461" s="187"/>
      <c r="AJ461" s="630"/>
      <c r="AK461" s="630"/>
      <c r="AL461" s="595"/>
      <c r="AM461" s="595"/>
      <c r="AN461" s="595"/>
      <c r="AO461" s="595"/>
      <c r="AP461" s="595"/>
      <c r="AQ461" s="595"/>
      <c r="AR461" s="595"/>
      <c r="AS461" s="595"/>
      <c r="AT461" s="595"/>
      <c r="AU461" s="595"/>
      <c r="AV461" s="595"/>
      <c r="AW461" s="595"/>
      <c r="AX461" s="595"/>
      <c r="AY461" s="595"/>
      <c r="AZ461" s="595"/>
      <c r="BA461" s="595"/>
      <c r="BB461" s="595"/>
      <c r="BC461" s="595"/>
      <c r="BD461" s="595"/>
      <c r="BE461" s="595"/>
      <c r="BF461" s="595"/>
      <c r="BG461" s="595"/>
      <c r="BH461" s="595"/>
      <c r="BI461" s="651"/>
      <c r="BJ461" s="651"/>
      <c r="BK461" s="651"/>
      <c r="BL461" s="651"/>
      <c r="BM461" s="651"/>
      <c r="BN461" s="651"/>
      <c r="BO461" s="651"/>
      <c r="BP461" s="651"/>
      <c r="BQ461" s="651"/>
      <c r="BR461" s="651"/>
      <c r="BS461" s="651"/>
      <c r="BT461" s="651"/>
    </row>
    <row r="462">
      <c r="A462" s="631">
        <v>1.0</v>
      </c>
      <c r="B462" s="761" t="s">
        <v>423</v>
      </c>
      <c r="C462" s="251" t="s">
        <v>537</v>
      </c>
      <c r="D462" s="633"/>
      <c r="E462" s="634"/>
      <c r="F462" s="635"/>
      <c r="G462" s="633"/>
      <c r="H462" s="633"/>
      <c r="I462" s="637"/>
      <c r="J462" s="633"/>
      <c r="K462" s="633"/>
      <c r="L462" s="637"/>
      <c r="M462" s="637"/>
      <c r="N462" s="639"/>
      <c r="O462" s="637"/>
      <c r="P462" s="633"/>
      <c r="Q462" s="640"/>
      <c r="R462" s="681" t="str">
        <f>IFERROR(
  IF(B462="", "", VLOOKUP(B462, Data!$B$2:$K$905, 9, FALSE)),
  ""
)</f>
        <v/>
      </c>
      <c r="S462" s="642"/>
      <c r="T462" s="640"/>
      <c r="U462" s="681" t="str">
        <f>IFERROR(
  IF(B462="", "", VLOOKUP(B462, Data!$B$2:$K$905, 10, FALSE)),
  ""
)
</f>
        <v/>
      </c>
      <c r="V462" s="642"/>
      <c r="W462" s="643"/>
      <c r="X462" s="762"/>
      <c r="Y462" s="649"/>
      <c r="Z462" s="649"/>
      <c r="AA462" s="649"/>
      <c r="AB462" s="649"/>
      <c r="AC462" s="602"/>
      <c r="AD462" s="644"/>
      <c r="AE462" s="645"/>
      <c r="AF462" s="646"/>
      <c r="AG462" s="763"/>
      <c r="AH462" s="648"/>
      <c r="AI462" s="649"/>
      <c r="AJ462" s="650"/>
      <c r="AK462" s="650"/>
      <c r="AL462" s="595"/>
      <c r="AM462" s="595"/>
      <c r="AN462" s="595"/>
      <c r="AO462" s="595"/>
      <c r="AP462" s="595"/>
      <c r="AQ462" s="595"/>
      <c r="AR462" s="595"/>
      <c r="AS462" s="595"/>
      <c r="AT462" s="595"/>
      <c r="AU462" s="595"/>
      <c r="AV462" s="595"/>
      <c r="AW462" s="595"/>
      <c r="AX462" s="595"/>
      <c r="AY462" s="595"/>
      <c r="AZ462" s="595"/>
      <c r="BA462" s="595"/>
      <c r="BB462" s="595"/>
      <c r="BC462" s="595"/>
      <c r="BD462" s="595"/>
      <c r="BE462" s="595"/>
      <c r="BF462" s="595"/>
      <c r="BG462" s="595"/>
      <c r="BH462" s="595"/>
      <c r="BI462" s="651"/>
      <c r="BJ462" s="651"/>
      <c r="BK462" s="651"/>
      <c r="BL462" s="651"/>
      <c r="BM462" s="651"/>
      <c r="BN462" s="651"/>
      <c r="BO462" s="651"/>
      <c r="BP462" s="651"/>
      <c r="BQ462" s="651"/>
      <c r="BR462" s="651"/>
      <c r="BS462" s="651"/>
      <c r="BT462" s="651"/>
    </row>
    <row r="463">
      <c r="A463" s="631">
        <v>1.0</v>
      </c>
      <c r="B463" s="764" t="s">
        <v>425</v>
      </c>
      <c r="C463" s="89" t="s">
        <v>36</v>
      </c>
      <c r="D463" s="656"/>
      <c r="E463" s="654"/>
      <c r="F463" s="655"/>
      <c r="G463" s="656"/>
      <c r="H463" s="656"/>
      <c r="I463" s="656"/>
      <c r="J463" s="656"/>
      <c r="K463" s="656"/>
      <c r="L463" s="658"/>
      <c r="M463" s="658"/>
      <c r="N463" s="659"/>
      <c r="O463" s="658"/>
      <c r="P463" s="656"/>
      <c r="Q463" s="658"/>
      <c r="R463" s="681" t="str">
        <f>IFERROR(
  IF(B463="", "", VLOOKUP(B463, Data!$B$2:$K$905, 9, FALSE)),
  ""
)</f>
        <v/>
      </c>
      <c r="S463" s="662"/>
      <c r="T463" s="661"/>
      <c r="U463" s="681" t="str">
        <f>IFERROR(
  IF(B463="", "", VLOOKUP(B463, Data!$B$2:$K$905, 10, FALSE)),
  ""
)
</f>
        <v/>
      </c>
      <c r="V463" s="662"/>
      <c r="W463" s="663"/>
      <c r="X463" s="664"/>
      <c r="Y463" s="665"/>
      <c r="Z463" s="665"/>
      <c r="AA463" s="665"/>
      <c r="AB463" s="665"/>
      <c r="AC463" s="667"/>
      <c r="AD463" s="668"/>
      <c r="AE463" s="669"/>
      <c r="AF463" s="670"/>
      <c r="AG463" s="715"/>
      <c r="AH463" s="672"/>
      <c r="AI463" s="665"/>
      <c r="AJ463" s="673"/>
      <c r="AK463" s="673"/>
      <c r="AL463" s="595"/>
      <c r="AM463" s="595"/>
      <c r="AN463" s="595"/>
      <c r="AO463" s="595"/>
      <c r="AP463" s="595"/>
      <c r="AQ463" s="595"/>
      <c r="AR463" s="595"/>
      <c r="AS463" s="595"/>
      <c r="AT463" s="595"/>
      <c r="AU463" s="595"/>
      <c r="AV463" s="595"/>
      <c r="AW463" s="595"/>
      <c r="AX463" s="595"/>
      <c r="AY463" s="595"/>
      <c r="AZ463" s="595"/>
      <c r="BA463" s="595"/>
      <c r="BB463" s="595"/>
      <c r="BC463" s="595"/>
      <c r="BD463" s="595"/>
      <c r="BE463" s="595"/>
      <c r="BF463" s="595"/>
      <c r="BG463" s="595"/>
      <c r="BH463" s="595"/>
      <c r="BI463" s="651"/>
      <c r="BJ463" s="651"/>
      <c r="BK463" s="651"/>
      <c r="BL463" s="651"/>
      <c r="BM463" s="651"/>
      <c r="BN463" s="651"/>
      <c r="BO463" s="651"/>
      <c r="BP463" s="651"/>
      <c r="BQ463" s="651"/>
      <c r="BR463" s="651"/>
      <c r="BS463" s="651"/>
      <c r="BT463" s="651"/>
    </row>
    <row r="464">
      <c r="A464" s="631">
        <v>1.0</v>
      </c>
      <c r="B464" s="727"/>
      <c r="C464" s="103" t="s">
        <v>538</v>
      </c>
      <c r="D464" s="675"/>
      <c r="E464" s="676"/>
      <c r="F464" s="677"/>
      <c r="G464" s="678"/>
      <c r="H464" s="678"/>
      <c r="I464" s="678"/>
      <c r="J464" s="678"/>
      <c r="K464" s="678"/>
      <c r="L464" s="106" t="str">
        <f>Q464</f>
        <v>#REF!</v>
      </c>
      <c r="M464" s="679"/>
      <c r="N464" s="680"/>
      <c r="O464" s="679"/>
      <c r="P464" s="678"/>
      <c r="Q464" s="106" t="str">
        <f>Q465</f>
        <v>#REF!</v>
      </c>
      <c r="R464" s="681" t="str">
        <f>IFERROR(
  IF(B464="", "", VLOOKUP(B464, Data!$B$2:$K$905, 9, FALSE)),
  ""
)</f>
        <v/>
      </c>
      <c r="S464" s="682">
        <f>IFERROR(T464/Q464, 0)</f>
        <v>0</v>
      </c>
      <c r="T464" s="109" t="str">
        <f>SUM(S465:S468)</f>
        <v>#REF!</v>
      </c>
      <c r="U464" s="681" t="str">
        <f>IFERROR(
  IF(B464="", "", VLOOKUP(B464, Data!$B$2:$K$905, 10, FALSE)),
  ""
)
</f>
        <v/>
      </c>
      <c r="V464" s="109" t="str">
        <f>iferror(W464/Q464,"")</f>
        <v/>
      </c>
      <c r="W464" s="110" t="str">
        <f>SUM(W465:W468)</f>
        <v>#REF!</v>
      </c>
      <c r="X464" s="111" t="str">
        <f>W464/$AC$758/$W$765/$X$755</f>
        <v>#REF!</v>
      </c>
      <c r="Y464" s="112" t="str">
        <f>(T464+W464)=(SUM(AB465:AB468))</f>
        <v>#REF!</v>
      </c>
      <c r="Z464" s="113" t="str">
        <f>(T464+W464)-(SUM(AB465:AB468))</f>
        <v>#REF!</v>
      </c>
      <c r="AA464" s="595"/>
      <c r="AB464" s="595"/>
      <c r="AC464" s="181"/>
      <c r="AD464" s="114" t="str">
        <f>W464+T464</f>
        <v>#REF!</v>
      </c>
      <c r="AE464" s="115" t="str">
        <f>AD464</f>
        <v>#REF!</v>
      </c>
      <c r="AF464" s="116" t="str">
        <f>AE464/$AE$733</f>
        <v>#REF!</v>
      </c>
      <c r="AG464" s="683" t="str">
        <f>AF464*$AG$740</f>
        <v>#REF!</v>
      </c>
      <c r="AH464" s="118" t="str">
        <f>AF464*$AG$743</f>
        <v>#REF!</v>
      </c>
      <c r="AI464" s="187"/>
      <c r="AJ464" s="119" t="str">
        <f>ROUND(AK464/L464,2)</f>
        <v>#REF!</v>
      </c>
      <c r="AK464" s="119" t="str">
        <f>ROUND(AH464+AG464+AD464,2)</f>
        <v>#REF!</v>
      </c>
      <c r="AL464" s="595"/>
      <c r="AM464" s="595"/>
      <c r="AN464" s="595"/>
      <c r="AO464" s="595"/>
      <c r="AP464" s="595"/>
      <c r="AQ464" s="595"/>
      <c r="AR464" s="595"/>
      <c r="AS464" s="595"/>
      <c r="AT464" s="595"/>
      <c r="AU464" s="595"/>
      <c r="AV464" s="595"/>
      <c r="AW464" s="595"/>
      <c r="AX464" s="595"/>
      <c r="AY464" s="595"/>
      <c r="AZ464" s="595"/>
      <c r="BA464" s="595"/>
      <c r="BB464" s="595"/>
      <c r="BC464" s="595"/>
      <c r="BD464" s="595"/>
      <c r="BE464" s="595"/>
      <c r="BF464" s="595"/>
      <c r="BG464" s="595"/>
      <c r="BH464" s="595"/>
      <c r="BI464" s="651"/>
      <c r="BJ464" s="651"/>
      <c r="BK464" s="651"/>
      <c r="BL464" s="651"/>
      <c r="BM464" s="651"/>
      <c r="BN464" s="651"/>
      <c r="BO464" s="651"/>
      <c r="BP464" s="651"/>
      <c r="BQ464" s="651"/>
      <c r="BR464" s="651"/>
      <c r="BS464" s="651"/>
      <c r="BT464" s="651"/>
    </row>
    <row r="465">
      <c r="A465" s="631"/>
      <c r="B465" s="765" t="s">
        <v>427</v>
      </c>
      <c r="C465" s="123" t="s">
        <v>500</v>
      </c>
      <c r="D465" s="686" t="s">
        <v>40</v>
      </c>
      <c r="E465" s="687" t="str">
        <f>IFERROR(__xludf.DUMMYFUNCTION("IF($B$15:$B1153="""","""",
  VLOOKUP(
    $B$15:$B1153,
    QUERY(
      IMPORTRANGE(""1Ag27m9YF5mMfJh2E6NipJDFvPLlDI1p-s_1XEnzMHcc"",""Merge!F2:R""),
      ""select Col1, Col11"",
      0
    ),
    2,
    FALSE
  )
)
"),"#REF!")</f>
        <v>#REF!</v>
      </c>
      <c r="F465" s="699"/>
      <c r="G465" s="689" t="s">
        <v>539</v>
      </c>
      <c r="H465" s="128" t="str">
        <f>IFERROR(__xludf.DUMMYFUNCTION("IFERROR(REGEXEXTRACT(C465, ""(\d*\.\d+)mm""), """")"),"0.55")</f>
        <v>0.55</v>
      </c>
      <c r="I465" s="701"/>
      <c r="J465" s="126" t="s">
        <v>14</v>
      </c>
      <c r="K465" s="126" t="str">
        <f>IFERROR(
  IF(B465="", "", VLOOKUP(B465, Data!$B$2:$K$905, 7, FALSE)),
  ""
)</f>
        <v/>
      </c>
      <c r="L465" s="131">
        <v>148.83</v>
      </c>
      <c r="M465" s="135" t="str">
        <f>L465*E465</f>
        <v>#REF!</v>
      </c>
      <c r="N465" s="151">
        <f>IFERROR(__xludf.DUMMYFUNCTION("IF(B465="""", """", IFERROR(1 / COS(RADIANS(REGEXEXTRACT(F465,""(\d+)""))), 1))"),1.0)</f>
        <v>1</v>
      </c>
      <c r="O465" s="169">
        <v>1.0</v>
      </c>
      <c r="P465" s="134">
        <v>1.0</v>
      </c>
      <c r="Q465" s="135" t="str">
        <f t="shared" ref="Q465:Q467" si="349">M465*N465*O465*P465</f>
        <v>#REF!</v>
      </c>
      <c r="R465" s="681" t="str">
        <f>IFERROR(
  IF(B465="", "", VLOOKUP(B465, Data!$B$2:$K$905, 9, FALSE)),
  ""
)</f>
        <v/>
      </c>
      <c r="S465" s="152" t="str">
        <f t="shared" ref="S465:S467" si="350">R465*Q465</f>
        <v>#REF!</v>
      </c>
      <c r="T465" s="690"/>
      <c r="U465" s="681" t="str">
        <f>IFERROR(
  IF(B465="", "", VLOOKUP(B465, Data!$B$2:$K$905, 10, FALSE)),
  ""
)
</f>
        <v/>
      </c>
      <c r="V465" s="691"/>
      <c r="W465" s="140" t="str">
        <f t="shared" ref="W465:W467" si="351">U465*Q465</f>
        <v>#REF!</v>
      </c>
      <c r="X465" s="692"/>
      <c r="Y465" s="693"/>
      <c r="Z465" s="694"/>
      <c r="AA465" s="695"/>
      <c r="AB465" s="354" t="str">
        <f t="shared" ref="AB465:AB468" si="352">W465+S465</f>
        <v>#REF!</v>
      </c>
      <c r="AC465" s="181"/>
      <c r="AD465" s="625"/>
      <c r="AE465" s="626"/>
      <c r="AF465" s="696"/>
      <c r="AG465" s="697"/>
      <c r="AH465" s="629"/>
      <c r="AI465" s="187"/>
      <c r="AJ465" s="630"/>
      <c r="AK465" s="630"/>
      <c r="AL465" s="595"/>
      <c r="AM465" s="595"/>
      <c r="AN465" s="595"/>
      <c r="AO465" s="595"/>
      <c r="AP465" s="595"/>
      <c r="AQ465" s="595"/>
      <c r="AR465" s="595"/>
      <c r="AS465" s="595"/>
      <c r="AT465" s="595"/>
      <c r="AU465" s="595"/>
      <c r="AV465" s="595"/>
      <c r="AW465" s="595"/>
      <c r="AX465" s="595"/>
      <c r="AY465" s="595"/>
      <c r="AZ465" s="595"/>
      <c r="BA465" s="595"/>
      <c r="BB465" s="595"/>
      <c r="BC465" s="595"/>
      <c r="BD465" s="595"/>
      <c r="BE465" s="595"/>
      <c r="BF465" s="595"/>
      <c r="BG465" s="595"/>
      <c r="BH465" s="595"/>
      <c r="BI465" s="651"/>
      <c r="BJ465" s="651"/>
      <c r="BK465" s="651"/>
      <c r="BL465" s="651"/>
      <c r="BM465" s="651"/>
      <c r="BN465" s="651"/>
      <c r="BO465" s="651"/>
      <c r="BP465" s="651"/>
      <c r="BQ465" s="651"/>
      <c r="BR465" s="651"/>
      <c r="BS465" s="651"/>
      <c r="BT465" s="651"/>
    </row>
    <row r="466">
      <c r="A466" s="631"/>
      <c r="B466" s="765" t="s">
        <v>430</v>
      </c>
      <c r="C466" s="158" t="s">
        <v>431</v>
      </c>
      <c r="D466" s="686" t="s">
        <v>432</v>
      </c>
      <c r="E466" s="687">
        <v>1.2</v>
      </c>
      <c r="F466" s="699"/>
      <c r="G466" s="700"/>
      <c r="H466" s="700" t="str">
        <f>IFERROR(__xludf.DUMMYFUNCTION("IFERROR(REGEXEXTRACT(C466, ""(\d*\.\d+)mm""), """")"),"")</f>
        <v/>
      </c>
      <c r="I466" s="701"/>
      <c r="J466" s="126" t="s">
        <v>87</v>
      </c>
      <c r="K466" s="126" t="str">
        <f>IFERROR(
  IF(B466="", "", VLOOKUP(B466, Data!$B$2:$K$905, 7, FALSE)),
  ""
)</f>
        <v/>
      </c>
      <c r="L466" s="704"/>
      <c r="M466" s="150">
        <f>roundup(L465/0.6,0)+1</f>
        <v>250</v>
      </c>
      <c r="N466" s="151">
        <f t="shared" ref="N466:N467" si="353">N465</f>
        <v>1</v>
      </c>
      <c r="O466" s="169">
        <v>1.0</v>
      </c>
      <c r="P466" s="134">
        <v>1.0</v>
      </c>
      <c r="Q466" s="135">
        <f t="shared" si="349"/>
        <v>250</v>
      </c>
      <c r="R466" s="681" t="str">
        <f>IFERROR(
  IF(B466="", "", VLOOKUP(B466, Data!$B$2:$K$905, 9, FALSE)),
  ""
)</f>
        <v/>
      </c>
      <c r="S466" s="152">
        <f t="shared" si="350"/>
        <v>0</v>
      </c>
      <c r="T466" s="690"/>
      <c r="U466" s="681" t="str">
        <f>IFERROR(
  IF(B466="", "", VLOOKUP(B466, Data!$B$2:$K$905, 10, FALSE)),
  ""
)
</f>
        <v/>
      </c>
      <c r="V466" s="691"/>
      <c r="W466" s="140">
        <f t="shared" si="351"/>
        <v>0</v>
      </c>
      <c r="X466" s="692"/>
      <c r="Y466" s="693"/>
      <c r="Z466" s="694"/>
      <c r="AA466" s="695"/>
      <c r="AB466" s="354">
        <f t="shared" si="352"/>
        <v>0</v>
      </c>
      <c r="AC466" s="181"/>
      <c r="AD466" s="625"/>
      <c r="AE466" s="626"/>
      <c r="AF466" s="696"/>
      <c r="AG466" s="697"/>
      <c r="AH466" s="629"/>
      <c r="AI466" s="187"/>
      <c r="AJ466" s="630"/>
      <c r="AK466" s="630"/>
      <c r="AL466" s="595"/>
      <c r="AM466" s="595"/>
      <c r="AN466" s="595"/>
      <c r="AO466" s="595"/>
      <c r="AP466" s="595"/>
      <c r="AQ466" s="595"/>
      <c r="AR466" s="595"/>
      <c r="AS466" s="595"/>
      <c r="AT466" s="595"/>
      <c r="AU466" s="595"/>
      <c r="AV466" s="595"/>
      <c r="AW466" s="595"/>
      <c r="AX466" s="595"/>
      <c r="AY466" s="595"/>
      <c r="AZ466" s="595"/>
      <c r="BA466" s="595"/>
      <c r="BB466" s="595"/>
      <c r="BC466" s="595"/>
      <c r="BD466" s="595"/>
      <c r="BE466" s="595"/>
      <c r="BF466" s="595"/>
      <c r="BG466" s="595"/>
      <c r="BH466" s="595"/>
      <c r="BI466" s="651"/>
      <c r="BJ466" s="651"/>
      <c r="BK466" s="651"/>
      <c r="BL466" s="651"/>
      <c r="BM466" s="651"/>
      <c r="BN466" s="651"/>
      <c r="BO466" s="651"/>
      <c r="BP466" s="651"/>
      <c r="BQ466" s="651"/>
      <c r="BR466" s="651"/>
      <c r="BS466" s="651"/>
      <c r="BT466" s="651"/>
    </row>
    <row r="467">
      <c r="A467" s="631"/>
      <c r="B467" s="765" t="s">
        <v>433</v>
      </c>
      <c r="C467" s="701" t="s">
        <v>434</v>
      </c>
      <c r="D467" s="686" t="s">
        <v>360</v>
      </c>
      <c r="E467" s="722"/>
      <c r="F467" s="699"/>
      <c r="G467" s="700"/>
      <c r="H467" s="700"/>
      <c r="I467" s="701"/>
      <c r="J467" s="126" t="s">
        <v>87</v>
      </c>
      <c r="K467" s="126" t="str">
        <f>IFERROR(
  IF(B467="", "", VLOOKUP(B467, Data!$B$2:$K$905, 7, FALSE)),
  ""
)</f>
        <v/>
      </c>
      <c r="L467" s="704"/>
      <c r="M467" s="150">
        <f>M466*2</f>
        <v>500</v>
      </c>
      <c r="N467" s="151">
        <f t="shared" si="353"/>
        <v>1</v>
      </c>
      <c r="O467" s="169">
        <v>1.0</v>
      </c>
      <c r="P467" s="134">
        <v>1.0</v>
      </c>
      <c r="Q467" s="135">
        <f t="shared" si="349"/>
        <v>500</v>
      </c>
      <c r="R467" s="681" t="str">
        <f>IFERROR(
  IF(B467="", "", VLOOKUP(B467, Data!$B$2:$K$905, 9, FALSE)),
  ""
)</f>
        <v/>
      </c>
      <c r="S467" s="152">
        <f t="shared" si="350"/>
        <v>0</v>
      </c>
      <c r="T467" s="690"/>
      <c r="U467" s="681" t="str">
        <f>IFERROR(
  IF(B467="", "", VLOOKUP(B467, Data!$B$2:$K$905, 10, FALSE)),
  ""
)
</f>
        <v/>
      </c>
      <c r="V467" s="691"/>
      <c r="W467" s="140">
        <f t="shared" si="351"/>
        <v>0</v>
      </c>
      <c r="X467" s="692"/>
      <c r="Y467" s="693"/>
      <c r="Z467" s="694"/>
      <c r="AA467" s="695"/>
      <c r="AB467" s="354">
        <f t="shared" si="352"/>
        <v>0</v>
      </c>
      <c r="AC467" s="181"/>
      <c r="AD467" s="625"/>
      <c r="AE467" s="626"/>
      <c r="AF467" s="696"/>
      <c r="AG467" s="697"/>
      <c r="AH467" s="629"/>
      <c r="AI467" s="187"/>
      <c r="AJ467" s="630"/>
      <c r="AK467" s="630"/>
      <c r="AL467" s="595"/>
      <c r="AM467" s="595"/>
      <c r="AN467" s="595"/>
      <c r="AO467" s="595"/>
      <c r="AP467" s="595"/>
      <c r="AQ467" s="595"/>
      <c r="AR467" s="595"/>
      <c r="AS467" s="595"/>
      <c r="AT467" s="595"/>
      <c r="AU467" s="595"/>
      <c r="AV467" s="595"/>
      <c r="AW467" s="595"/>
      <c r="AX467" s="595"/>
      <c r="AY467" s="595"/>
      <c r="AZ467" s="595"/>
      <c r="BA467" s="595"/>
      <c r="BB467" s="595"/>
      <c r="BC467" s="595"/>
      <c r="BD467" s="595"/>
      <c r="BE467" s="595"/>
      <c r="BF467" s="595"/>
      <c r="BG467" s="595"/>
      <c r="BH467" s="595"/>
      <c r="BI467" s="651"/>
      <c r="BJ467" s="651"/>
      <c r="BK467" s="651"/>
      <c r="BL467" s="651"/>
      <c r="BM467" s="651"/>
      <c r="BN467" s="651"/>
      <c r="BO467" s="651"/>
      <c r="BP467" s="651"/>
      <c r="BQ467" s="651"/>
      <c r="BR467" s="651"/>
      <c r="BS467" s="651"/>
      <c r="BT467" s="651"/>
    </row>
    <row r="468">
      <c r="A468" s="631"/>
      <c r="B468" s="765"/>
      <c r="C468" s="701"/>
      <c r="D468" s="702"/>
      <c r="E468" s="722"/>
      <c r="F468" s="699"/>
      <c r="G468" s="700"/>
      <c r="H468" s="700"/>
      <c r="I468" s="701"/>
      <c r="J468" s="701"/>
      <c r="K468" s="701"/>
      <c r="L468" s="704"/>
      <c r="M468" s="704"/>
      <c r="N468" s="711"/>
      <c r="O468" s="712"/>
      <c r="P468" s="700"/>
      <c r="Q468" s="704"/>
      <c r="R468" s="681" t="str">
        <f>IFERROR(
  IF(B468="", "", VLOOKUP(B468, Data!$B$2:$K$905, 9, FALSE)),
  ""
)</f>
        <v/>
      </c>
      <c r="S468" s="691"/>
      <c r="T468" s="690"/>
      <c r="U468" s="681" t="str">
        <f>IFERROR(
  IF(B468="", "", VLOOKUP(B468, Data!$B$2:$K$905, 10, FALSE)),
  ""
)
</f>
        <v/>
      </c>
      <c r="V468" s="691"/>
      <c r="W468" s="713"/>
      <c r="X468" s="692"/>
      <c r="Y468" s="693"/>
      <c r="Z468" s="694"/>
      <c r="AA468" s="695"/>
      <c r="AB468" s="354">
        <f t="shared" si="352"/>
        <v>0</v>
      </c>
      <c r="AC468" s="181"/>
      <c r="AD468" s="705"/>
      <c r="AE468" s="706"/>
      <c r="AF468" s="707"/>
      <c r="AG468" s="708"/>
      <c r="AH468" s="709"/>
      <c r="AI468" s="187"/>
      <c r="AJ468" s="710"/>
      <c r="AK468" s="710"/>
      <c r="AL468" s="595"/>
      <c r="AM468" s="595"/>
      <c r="AN468" s="595"/>
      <c r="AO468" s="595"/>
      <c r="AP468" s="595"/>
      <c r="AQ468" s="595"/>
      <c r="AR468" s="595"/>
      <c r="AS468" s="595"/>
      <c r="AT468" s="595"/>
      <c r="AU468" s="595"/>
      <c r="AV468" s="595"/>
      <c r="AW468" s="595"/>
      <c r="AX468" s="595"/>
      <c r="AY468" s="595"/>
      <c r="AZ468" s="595"/>
      <c r="BA468" s="595"/>
      <c r="BB468" s="595"/>
      <c r="BC468" s="595"/>
      <c r="BD468" s="595"/>
      <c r="BE468" s="595"/>
      <c r="BF468" s="595"/>
      <c r="BG468" s="595"/>
      <c r="BH468" s="595"/>
      <c r="BI468" s="651"/>
      <c r="BJ468" s="651"/>
      <c r="BK468" s="651"/>
      <c r="BL468" s="651"/>
      <c r="BM468" s="651"/>
      <c r="BN468" s="651"/>
      <c r="BO468" s="651"/>
      <c r="BP468" s="651"/>
      <c r="BQ468" s="651"/>
      <c r="BR468" s="651"/>
      <c r="BS468" s="651"/>
      <c r="BT468" s="651"/>
    </row>
    <row r="469">
      <c r="A469" s="631">
        <v>1.0</v>
      </c>
      <c r="B469" s="764" t="s">
        <v>425</v>
      </c>
      <c r="C469" s="89" t="s">
        <v>78</v>
      </c>
      <c r="D469" s="656"/>
      <c r="E469" s="654"/>
      <c r="F469" s="655"/>
      <c r="G469" s="656"/>
      <c r="H469" s="656"/>
      <c r="I469" s="656"/>
      <c r="J469" s="656"/>
      <c r="K469" s="656" t="s">
        <v>42</v>
      </c>
      <c r="L469" s="658"/>
      <c r="M469" s="658"/>
      <c r="N469" s="659"/>
      <c r="O469" s="658"/>
      <c r="P469" s="656"/>
      <c r="Q469" s="658"/>
      <c r="R469" s="681" t="str">
        <f>IFERROR(
  IF(B469="", "", VLOOKUP(B469, Data!$B$2:$K$905, 9, FALSE)),
  ""
)</f>
        <v/>
      </c>
      <c r="S469" s="662"/>
      <c r="T469" s="661"/>
      <c r="U469" s="681" t="str">
        <f>IFERROR(
  IF(B469="", "", VLOOKUP(B469, Data!$B$2:$K$905, 10, FALSE)),
  ""
)
</f>
        <v/>
      </c>
      <c r="V469" s="662"/>
      <c r="W469" s="663"/>
      <c r="X469" s="664"/>
      <c r="Y469" s="595"/>
      <c r="Z469" s="595"/>
      <c r="AA469" s="595"/>
      <c r="AB469" s="595"/>
      <c r="AC469" s="181"/>
      <c r="AD469" s="668"/>
      <c r="AE469" s="669"/>
      <c r="AF469" s="670"/>
      <c r="AG469" s="715"/>
      <c r="AH469" s="672"/>
      <c r="AI469" s="187"/>
      <c r="AJ469" s="673"/>
      <c r="AK469" s="673"/>
      <c r="AL469" s="595"/>
      <c r="AM469" s="595"/>
      <c r="AN469" s="595"/>
      <c r="AO469" s="595"/>
      <c r="AP469" s="595"/>
      <c r="AQ469" s="595"/>
      <c r="AR469" s="595"/>
      <c r="AS469" s="595"/>
      <c r="AT469" s="595"/>
      <c r="AU469" s="595"/>
      <c r="AV469" s="595"/>
      <c r="AW469" s="595"/>
      <c r="AX469" s="595"/>
      <c r="AY469" s="595"/>
      <c r="AZ469" s="595"/>
      <c r="BA469" s="595"/>
      <c r="BB469" s="595"/>
      <c r="BC469" s="595"/>
      <c r="BD469" s="595"/>
      <c r="BE469" s="595"/>
      <c r="BF469" s="595"/>
      <c r="BG469" s="595"/>
      <c r="BH469" s="595"/>
      <c r="BI469" s="651"/>
      <c r="BJ469" s="651"/>
      <c r="BK469" s="651"/>
      <c r="BL469" s="651"/>
      <c r="BM469" s="651"/>
      <c r="BN469" s="651"/>
      <c r="BO469" s="651"/>
      <c r="BP469" s="651"/>
      <c r="BQ469" s="651"/>
      <c r="BR469" s="651"/>
      <c r="BS469" s="651"/>
      <c r="BT469" s="651"/>
    </row>
    <row r="470">
      <c r="A470" s="631">
        <v>1.0</v>
      </c>
      <c r="B470" s="727"/>
      <c r="C470" s="157" t="s">
        <v>79</v>
      </c>
      <c r="D470" s="678"/>
      <c r="E470" s="676"/>
      <c r="F470" s="677"/>
      <c r="G470" s="678"/>
      <c r="H470" s="678"/>
      <c r="I470" s="678"/>
      <c r="J470" s="678"/>
      <c r="K470" s="678" t="s">
        <v>42</v>
      </c>
      <c r="L470" s="106" t="str">
        <f>Q470</f>
        <v>#REF!</v>
      </c>
      <c r="M470" s="679"/>
      <c r="N470" s="680"/>
      <c r="O470" s="679"/>
      <c r="P470" s="678"/>
      <c r="Q470" s="106" t="str">
        <f>Q471</f>
        <v>#REF!</v>
      </c>
      <c r="R470" s="681" t="str">
        <f>IFERROR(
  IF(B470="", "", VLOOKUP(B470, Data!$B$2:$K$905, 9, FALSE)),
  ""
)</f>
        <v/>
      </c>
      <c r="S470" s="682">
        <f>IFERROR(T470/Q470, 0)</f>
        <v>0</v>
      </c>
      <c r="T470" s="109" t="str">
        <f>SUM(S471:S473)</f>
        <v>#REF!</v>
      </c>
      <c r="U470" s="681" t="str">
        <f>IFERROR(
  IF(B470="", "", VLOOKUP(B470, Data!$B$2:$K$905, 10, FALSE)),
  ""
)
</f>
        <v/>
      </c>
      <c r="V470" s="109" t="str">
        <f>iferror(W470/Q470,"")</f>
        <v/>
      </c>
      <c r="W470" s="110" t="str">
        <f>SUM(W471:W473)</f>
        <v>#REF!</v>
      </c>
      <c r="X470" s="111" t="str">
        <f>W470/$AC$758/$W$765/$X$755</f>
        <v>#REF!</v>
      </c>
      <c r="Y470" s="112" t="str">
        <f>(T470+W470)=(SUM(AB471:AB473))</f>
        <v>#REF!</v>
      </c>
      <c r="Z470" s="113" t="str">
        <f>(T470+W470)-(SUM(AB471:AB473))</f>
        <v>#REF!</v>
      </c>
      <c r="AA470" s="595"/>
      <c r="AB470" s="595"/>
      <c r="AC470" s="181"/>
      <c r="AD470" s="114" t="str">
        <f>W470+T470</f>
        <v>#REF!</v>
      </c>
      <c r="AE470" s="115" t="str">
        <f>AD470</f>
        <v>#REF!</v>
      </c>
      <c r="AF470" s="116" t="str">
        <f>AE470/$AE$733</f>
        <v>#REF!</v>
      </c>
      <c r="AG470" s="683" t="str">
        <f>AF470*$AG$740</f>
        <v>#REF!</v>
      </c>
      <c r="AH470" s="118" t="str">
        <f>AF470*$AG$743</f>
        <v>#REF!</v>
      </c>
      <c r="AI470" s="187"/>
      <c r="AJ470" s="119" t="str">
        <f>ROUND(AK470/L470,2)</f>
        <v>#REF!</v>
      </c>
      <c r="AK470" s="119" t="str">
        <f>ROUND(AH470+AG470+AD470,2)</f>
        <v>#REF!</v>
      </c>
      <c r="AL470" s="595"/>
      <c r="AM470" s="595"/>
      <c r="AN470" s="595"/>
      <c r="AO470" s="595"/>
      <c r="AP470" s="595"/>
      <c r="AQ470" s="595"/>
      <c r="AR470" s="595"/>
      <c r="AS470" s="595"/>
      <c r="AT470" s="595"/>
      <c r="AU470" s="595"/>
      <c r="AV470" s="595"/>
      <c r="AW470" s="595"/>
      <c r="AX470" s="595"/>
      <c r="AY470" s="595"/>
      <c r="AZ470" s="595"/>
      <c r="BA470" s="595"/>
      <c r="BB470" s="595"/>
      <c r="BC470" s="595"/>
      <c r="BD470" s="595"/>
      <c r="BE470" s="595"/>
      <c r="BF470" s="595"/>
      <c r="BG470" s="595"/>
      <c r="BH470" s="595"/>
      <c r="BI470" s="651"/>
      <c r="BJ470" s="651"/>
      <c r="BK470" s="651"/>
      <c r="BL470" s="651"/>
      <c r="BM470" s="651"/>
      <c r="BN470" s="651"/>
      <c r="BO470" s="651"/>
      <c r="BP470" s="651"/>
      <c r="BQ470" s="651"/>
      <c r="BR470" s="651"/>
      <c r="BS470" s="651"/>
      <c r="BT470" s="651"/>
    </row>
    <row r="471">
      <c r="A471" s="716" t="s">
        <v>435</v>
      </c>
      <c r="B471" s="154" t="s">
        <v>80</v>
      </c>
      <c r="C471" s="158" t="s">
        <v>540</v>
      </c>
      <c r="D471" s="124" t="s">
        <v>82</v>
      </c>
      <c r="E471" s="687" t="str">
        <f>IFERROR(__xludf.DUMMYFUNCTION("IF($B$15:$B927="""","""",
  VLOOKUP(
    $B$15:$B927,
    QUERY(
      IMPORTRANGE(""1Ag27m9YF5mMfJh2E6NipJDFvPLlDI1p-s_1XEnzMHcc"",""Merge!F2:R""),
      ""select Col1, Col11"",
      0
    ),
    2,
    FALSE
  )
)
"),"#REF!")</f>
        <v>#REF!</v>
      </c>
      <c r="F471" s="721"/>
      <c r="G471" s="689" t="s">
        <v>539</v>
      </c>
      <c r="H471" s="700" t="str">
        <f>IFERROR(__xludf.DUMMYFUNCTION("IFERROR(REGEXEXTRACT(C471, ""(\d*\.\d+)mm""), """")"),"")</f>
        <v/>
      </c>
      <c r="I471" s="700"/>
      <c r="J471" s="126" t="s">
        <v>14</v>
      </c>
      <c r="K471" s="126" t="str">
        <f>IFERROR(
  IF(B471="", "", VLOOKUP(B471, Data!$B$2:$K$905, 7, FALSE)),
  ""
)</f>
        <v/>
      </c>
      <c r="L471" s="135" t="str">
        <f>Q464</f>
        <v>#REF!</v>
      </c>
      <c r="M471" s="150" t="str">
        <f>((L471)/(E471-0.15))*0.15+(L471)</f>
        <v>#REF!</v>
      </c>
      <c r="N471" s="151">
        <f>IFERROR(__xludf.DUMMYFUNCTION("IF(B471="""", """", IFERROR(1 / COS(RADIANS(REGEXEXTRACT(F471,""(\d+)""))), 1))"),1.0)</f>
        <v>1</v>
      </c>
      <c r="O471" s="169">
        <v>1.0</v>
      </c>
      <c r="P471" s="134">
        <v>1.0</v>
      </c>
      <c r="Q471" s="135" t="str">
        <f t="shared" ref="Q471:Q472" si="354">M471*N471*O471*P471</f>
        <v>#REF!</v>
      </c>
      <c r="R471" s="136" t="str">
        <f>IFERROR(
  IF(B471="", "", VLOOKUP(B471, Data!$B$2:$K$905, 9, FALSE)),
  ""
)</f>
        <v/>
      </c>
      <c r="S471" s="152" t="str">
        <f t="shared" ref="S471:S472" si="355">R471*Q471</f>
        <v>#REF!</v>
      </c>
      <c r="T471" s="690"/>
      <c r="U471" s="136" t="str">
        <f>IFERROR(
  IF(B471="", "", VLOOKUP(B471, Data!$B$2:$K$905, 10, FALSE)),
  ""
)
</f>
        <v/>
      </c>
      <c r="V471" s="691"/>
      <c r="W471" s="140" t="str">
        <f t="shared" ref="W471:W472" si="356">U471*Q471</f>
        <v>#REF!</v>
      </c>
      <c r="X471" s="692"/>
      <c r="Y471" s="595"/>
      <c r="Z471" s="595"/>
      <c r="AA471" s="595"/>
      <c r="AB471" s="354" t="str">
        <f t="shared" ref="AB471:AB472" si="357">W471+S471</f>
        <v>#REF!</v>
      </c>
      <c r="AC471" s="181"/>
      <c r="AD471" s="625"/>
      <c r="AE471" s="626"/>
      <c r="AF471" s="696"/>
      <c r="AG471" s="697"/>
      <c r="AH471" s="629"/>
      <c r="AI471" s="187"/>
      <c r="AJ471" s="630"/>
      <c r="AK471" s="630"/>
      <c r="AL471" s="595"/>
      <c r="AM471" s="595"/>
      <c r="AN471" s="595"/>
      <c r="AO471" s="595"/>
      <c r="AP471" s="595"/>
      <c r="AQ471" s="595"/>
      <c r="AR471" s="595"/>
      <c r="AS471" s="595"/>
      <c r="AT471" s="595"/>
      <c r="AU471" s="595"/>
      <c r="AV471" s="595"/>
      <c r="AW471" s="595"/>
      <c r="AX471" s="595"/>
      <c r="AY471" s="595"/>
      <c r="AZ471" s="595"/>
      <c r="BA471" s="595"/>
      <c r="BB471" s="595"/>
      <c r="BC471" s="595"/>
      <c r="BD471" s="595"/>
      <c r="BE471" s="595"/>
      <c r="BF471" s="595"/>
      <c r="BG471" s="595"/>
      <c r="BH471" s="595"/>
      <c r="BI471" s="651"/>
      <c r="BJ471" s="651"/>
      <c r="BK471" s="651"/>
      <c r="BL471" s="651"/>
      <c r="BM471" s="651"/>
      <c r="BN471" s="651"/>
      <c r="BO471" s="651"/>
      <c r="BP471" s="651"/>
      <c r="BQ471" s="651"/>
      <c r="BR471" s="651"/>
      <c r="BS471" s="651"/>
      <c r="BT471" s="651"/>
    </row>
    <row r="472">
      <c r="A472" s="716" t="s">
        <v>435</v>
      </c>
      <c r="B472" s="768" t="s">
        <v>84</v>
      </c>
      <c r="C472" s="225" t="s">
        <v>85</v>
      </c>
      <c r="D472" s="124" t="s">
        <v>86</v>
      </c>
      <c r="E472" s="720" t="str">
        <f>E471</f>
        <v>#REF!</v>
      </c>
      <c r="F472" s="721"/>
      <c r="G472" s="700"/>
      <c r="H472" s="128" t="str">
        <f>IFERROR(__xludf.DUMMYFUNCTION("IF($B$15:$B927="""","""",
  VLOOKUP(
    $B$15:$B927,
    QUERY(
      IMPORTRANGE(""1Ag27m9YF5mMfJh2E6NipJDFvPLlDI1p-s_1XEnzMHcc"",""Merge!F2:R""),
      ""select Col1, Col11"",
      0
    ),
    2,
    FALSE
  )
)
"),"#REF!")</f>
        <v>#REF!</v>
      </c>
      <c r="I472" s="700"/>
      <c r="J472" s="126" t="s">
        <v>87</v>
      </c>
      <c r="K472" s="126" t="str">
        <f>IFERROR(
  IF(B472="", "", VLOOKUP(B472, Data!$B$2:$K$905, 7, FALSE)),
  ""
)</f>
        <v/>
      </c>
      <c r="L472" s="712"/>
      <c r="M472" s="169" t="str">
        <f>M471/E472/H472</f>
        <v>#REF!</v>
      </c>
      <c r="N472" s="151">
        <f>N471</f>
        <v>1</v>
      </c>
      <c r="O472" s="169">
        <v>1.0</v>
      </c>
      <c r="P472" s="134">
        <v>1.0</v>
      </c>
      <c r="Q472" s="135" t="str">
        <f t="shared" si="354"/>
        <v>#REF!</v>
      </c>
      <c r="R472" s="136" t="str">
        <f>IFERROR(
  IF(B472="", "", VLOOKUP(B472, Data!$B$2:$K$905, 9, FALSE)),
  ""
)</f>
        <v/>
      </c>
      <c r="S472" s="152" t="str">
        <f t="shared" si="355"/>
        <v>#REF!</v>
      </c>
      <c r="T472" s="690"/>
      <c r="U472" s="681" t="str">
        <f>IFERROR(
  IF(B472="", "", VLOOKUP(B472, Data!$B$2:$K$905, 10, FALSE)),
  ""
)
</f>
        <v/>
      </c>
      <c r="V472" s="691"/>
      <c r="W472" s="140" t="str">
        <f t="shared" si="356"/>
        <v>#REF!</v>
      </c>
      <c r="X472" s="692"/>
      <c r="Y472" s="693"/>
      <c r="Z472" s="694"/>
      <c r="AA472" s="595"/>
      <c r="AB472" s="354" t="str">
        <f t="shared" si="357"/>
        <v>#REF!</v>
      </c>
      <c r="AC472" s="181"/>
      <c r="AD472" s="625"/>
      <c r="AE472" s="626"/>
      <c r="AF472" s="696"/>
      <c r="AG472" s="697"/>
      <c r="AH472" s="629"/>
      <c r="AI472" s="187"/>
      <c r="AJ472" s="630"/>
      <c r="AK472" s="630"/>
      <c r="AL472" s="595"/>
      <c r="AM472" s="595"/>
      <c r="AN472" s="595"/>
      <c r="AO472" s="595"/>
      <c r="AP472" s="595"/>
      <c r="AQ472" s="595"/>
      <c r="AR472" s="595"/>
      <c r="AS472" s="595"/>
      <c r="AT472" s="595"/>
      <c r="AU472" s="595"/>
      <c r="AV472" s="595"/>
      <c r="AW472" s="595"/>
      <c r="AX472" s="595"/>
      <c r="AY472" s="595"/>
      <c r="AZ472" s="595"/>
      <c r="BA472" s="595"/>
      <c r="BB472" s="595"/>
      <c r="BC472" s="595"/>
      <c r="BD472" s="595"/>
      <c r="BE472" s="595"/>
      <c r="BF472" s="595"/>
      <c r="BG472" s="595"/>
      <c r="BH472" s="595"/>
      <c r="BI472" s="651"/>
      <c r="BJ472" s="651"/>
      <c r="BK472" s="651"/>
      <c r="BL472" s="651"/>
      <c r="BM472" s="651"/>
      <c r="BN472" s="651"/>
      <c r="BO472" s="651"/>
      <c r="BP472" s="651"/>
      <c r="BQ472" s="651"/>
      <c r="BR472" s="651"/>
      <c r="BS472" s="651"/>
      <c r="BT472" s="651"/>
    </row>
    <row r="473">
      <c r="A473" s="631"/>
      <c r="B473" s="154"/>
      <c r="C473" s="701"/>
      <c r="D473" s="701"/>
      <c r="E473" s="722"/>
      <c r="F473" s="699"/>
      <c r="G473" s="700"/>
      <c r="H473" s="700"/>
      <c r="I473" s="700"/>
      <c r="J473" s="701"/>
      <c r="K473" s="701" t="str">
        <f>IFERROR(
  IF(B473="", "", VLOOKUP(B473, Data!$B$2:$K$905, 7, FALSE)),
  ""
)</f>
        <v/>
      </c>
      <c r="L473" s="704"/>
      <c r="M473" s="704"/>
      <c r="N473" s="711" t="str">
        <f>IFERROR(__xludf.DUMMYFUNCTION("IF(B473="""", """", IFERROR(1 / COS(RADIANS(REGEXEXTRACT(F473,""(\d+)""))), 1))"),"")</f>
        <v/>
      </c>
      <c r="O473" s="712"/>
      <c r="P473" s="700"/>
      <c r="Q473" s="704"/>
      <c r="R473" s="681" t="str">
        <f>IFERROR(
  IF(B473="", "", VLOOKUP(B473, Data!$B$2:$K$905, 9, FALSE)),
  ""
)</f>
        <v/>
      </c>
      <c r="S473" s="691"/>
      <c r="T473" s="690"/>
      <c r="U473" s="681" t="str">
        <f>IFERROR(
  IF(B473="", "", VLOOKUP(B473, Data!$B$2:$K$905, 10, FALSE)),
  ""
)
</f>
        <v/>
      </c>
      <c r="V473" s="691"/>
      <c r="W473" s="713"/>
      <c r="X473" s="692"/>
      <c r="Y473" s="595"/>
      <c r="Z473" s="595"/>
      <c r="AA473" s="595"/>
      <c r="AB473" s="595"/>
      <c r="AC473" s="181"/>
      <c r="AD473" s="625"/>
      <c r="AE473" s="626"/>
      <c r="AF473" s="696"/>
      <c r="AG473" s="697"/>
      <c r="AH473" s="629"/>
      <c r="AI473" s="187"/>
      <c r="AJ473" s="630"/>
      <c r="AK473" s="630"/>
      <c r="AL473" s="595"/>
      <c r="AM473" s="595"/>
      <c r="AN473" s="595"/>
      <c r="AO473" s="595"/>
      <c r="AP473" s="595"/>
      <c r="AQ473" s="595"/>
      <c r="AR473" s="595"/>
      <c r="AS473" s="595"/>
      <c r="AT473" s="595"/>
      <c r="AU473" s="595"/>
      <c r="AV473" s="595"/>
      <c r="AW473" s="595"/>
      <c r="AX473" s="595"/>
      <c r="AY473" s="595"/>
      <c r="AZ473" s="595"/>
      <c r="BA473" s="595"/>
      <c r="BB473" s="595"/>
      <c r="BC473" s="595"/>
      <c r="BD473" s="595"/>
      <c r="BE473" s="595"/>
      <c r="BF473" s="595"/>
      <c r="BG473" s="595"/>
      <c r="BH473" s="595"/>
      <c r="BI473" s="651"/>
      <c r="BJ473" s="651"/>
      <c r="BK473" s="651"/>
      <c r="BL473" s="651"/>
      <c r="BM473" s="651"/>
      <c r="BN473" s="651"/>
      <c r="BO473" s="651"/>
      <c r="BP473" s="651"/>
      <c r="BQ473" s="651"/>
      <c r="BR473" s="651"/>
      <c r="BS473" s="651"/>
      <c r="BT473" s="651"/>
    </row>
    <row r="474">
      <c r="A474" s="631">
        <v>1.0</v>
      </c>
      <c r="B474" s="723"/>
      <c r="C474" s="89" t="s">
        <v>89</v>
      </c>
      <c r="D474" s="656"/>
      <c r="E474" s="658"/>
      <c r="F474" s="655"/>
      <c r="G474" s="656"/>
      <c r="H474" s="656"/>
      <c r="I474" s="656"/>
      <c r="J474" s="656"/>
      <c r="K474" s="656" t="s">
        <v>42</v>
      </c>
      <c r="L474" s="658"/>
      <c r="M474" s="658"/>
      <c r="N474" s="659"/>
      <c r="O474" s="658"/>
      <c r="P474" s="656"/>
      <c r="Q474" s="658"/>
      <c r="R474" s="681" t="str">
        <f>IFERROR(
  IF(B474="", "", VLOOKUP(B474, Data!$B$2:$K$905, 9, FALSE)),
  ""
)</f>
        <v/>
      </c>
      <c r="S474" s="662"/>
      <c r="T474" s="661"/>
      <c r="U474" s="681" t="str">
        <f>IFERROR(
  IF(B474="", "", VLOOKUP(B474, Data!$B$2:$K$905, 10, FALSE)),
  ""
)
</f>
        <v/>
      </c>
      <c r="V474" s="662"/>
      <c r="W474" s="663"/>
      <c r="X474" s="664"/>
      <c r="Y474" s="595"/>
      <c r="Z474" s="595"/>
      <c r="AA474" s="595"/>
      <c r="AB474" s="595"/>
      <c r="AC474" s="181"/>
      <c r="AD474" s="668"/>
      <c r="AE474" s="669"/>
      <c r="AF474" s="670"/>
      <c r="AG474" s="715"/>
      <c r="AH474" s="672"/>
      <c r="AI474" s="187"/>
      <c r="AJ474" s="673"/>
      <c r="AK474" s="673"/>
      <c r="AL474" s="595"/>
      <c r="AM474" s="595"/>
      <c r="AN474" s="595"/>
      <c r="AO474" s="595"/>
      <c r="AP474" s="595"/>
      <c r="AQ474" s="595"/>
      <c r="AR474" s="595"/>
      <c r="AS474" s="595"/>
      <c r="AT474" s="595"/>
      <c r="AU474" s="595"/>
      <c r="AV474" s="595"/>
      <c r="AW474" s="595"/>
      <c r="AX474" s="595"/>
      <c r="AY474" s="595"/>
      <c r="AZ474" s="595"/>
      <c r="BA474" s="595"/>
      <c r="BB474" s="595"/>
      <c r="BC474" s="595"/>
      <c r="BD474" s="595"/>
      <c r="BE474" s="595"/>
      <c r="BF474" s="595"/>
      <c r="BG474" s="595"/>
      <c r="BH474" s="595"/>
      <c r="BI474" s="651"/>
      <c r="BJ474" s="651"/>
      <c r="BK474" s="651"/>
      <c r="BL474" s="651"/>
      <c r="BM474" s="651"/>
      <c r="BN474" s="651"/>
      <c r="BO474" s="651"/>
      <c r="BP474" s="651"/>
      <c r="BQ474" s="651"/>
      <c r="BR474" s="651"/>
      <c r="BS474" s="651"/>
      <c r="BT474" s="651"/>
    </row>
    <row r="475">
      <c r="A475" s="631">
        <v>1.0</v>
      </c>
      <c r="B475" s="674"/>
      <c r="C475" s="157" t="s">
        <v>90</v>
      </c>
      <c r="D475" s="678"/>
      <c r="E475" s="679"/>
      <c r="F475" s="677"/>
      <c r="G475" s="678"/>
      <c r="H475" s="678"/>
      <c r="I475" s="678"/>
      <c r="J475" s="678"/>
      <c r="K475" s="678" t="s">
        <v>42</v>
      </c>
      <c r="L475" s="106" t="str">
        <f>Q475</f>
        <v>#REF!</v>
      </c>
      <c r="M475" s="679"/>
      <c r="N475" s="680"/>
      <c r="O475" s="679"/>
      <c r="P475" s="678"/>
      <c r="Q475" s="106" t="str">
        <f>Q476</f>
        <v>#REF!</v>
      </c>
      <c r="R475" s="681" t="str">
        <f>IFERROR(
  IF(B475="", "", VLOOKUP(B475, Data!$B$2:$K$905, 9, FALSE)),
  ""
)</f>
        <v/>
      </c>
      <c r="S475" s="724" t="str">
        <f>iferror(T475/Q475,"")</f>
        <v/>
      </c>
      <c r="T475" s="109" t="str">
        <f>SUM(S476:S477)</f>
        <v>#REF!</v>
      </c>
      <c r="U475" s="681" t="str">
        <f>IFERROR(
  IF(B475="", "", VLOOKUP(B475, Data!$B$2:$K$905, 10, FALSE)),
  ""
)
</f>
        <v/>
      </c>
      <c r="V475" s="724" t="str">
        <f>iferror(W475/Q475,"")</f>
        <v/>
      </c>
      <c r="W475" s="110" t="str">
        <f>SUM(W476:W477)</f>
        <v>#REF!</v>
      </c>
      <c r="X475" s="111" t="str">
        <f>W475/$AC$758/$W$765/$X$755</f>
        <v>#REF!</v>
      </c>
      <c r="Y475" s="112" t="str">
        <f>(T475+W475)=(SUM(AB476:AB477))</f>
        <v>#REF!</v>
      </c>
      <c r="Z475" s="113" t="str">
        <f>(T475+W475)-(SUM(AB476:AB477))</f>
        <v>#REF!</v>
      </c>
      <c r="AA475" s="595"/>
      <c r="AB475" s="595"/>
      <c r="AC475" s="181"/>
      <c r="AD475" s="114" t="str">
        <f>W475+T475</f>
        <v>#REF!</v>
      </c>
      <c r="AE475" s="115" t="str">
        <f>AD475</f>
        <v>#REF!</v>
      </c>
      <c r="AF475" s="116" t="str">
        <f>AE475/$AE$733</f>
        <v>#REF!</v>
      </c>
      <c r="AG475" s="683" t="str">
        <f>AF475*$AG$740</f>
        <v>#REF!</v>
      </c>
      <c r="AH475" s="118" t="str">
        <f>AF475*$AG$743</f>
        <v>#REF!</v>
      </c>
      <c r="AI475" s="187"/>
      <c r="AJ475" s="119" t="str">
        <f>ROUND(AK475/L475,2)</f>
        <v>#REF!</v>
      </c>
      <c r="AK475" s="119" t="str">
        <f>ROUND(AH475+AG475+AD475,2)</f>
        <v>#REF!</v>
      </c>
      <c r="AL475" s="595"/>
      <c r="AM475" s="595"/>
      <c r="AN475" s="595"/>
      <c r="AO475" s="595"/>
      <c r="AP475" s="595"/>
      <c r="AQ475" s="595"/>
      <c r="AR475" s="595"/>
      <c r="AS475" s="595"/>
      <c r="AT475" s="595"/>
      <c r="AU475" s="595"/>
      <c r="AV475" s="595"/>
      <c r="AW475" s="595"/>
      <c r="AX475" s="595"/>
      <c r="AY475" s="595"/>
      <c r="AZ475" s="595"/>
      <c r="BA475" s="595"/>
      <c r="BB475" s="595"/>
      <c r="BC475" s="595"/>
      <c r="BD475" s="595"/>
      <c r="BE475" s="595"/>
      <c r="BF475" s="595"/>
      <c r="BG475" s="595"/>
      <c r="BH475" s="595"/>
      <c r="BI475" s="651"/>
      <c r="BJ475" s="651"/>
      <c r="BK475" s="651"/>
      <c r="BL475" s="651"/>
      <c r="BM475" s="651"/>
      <c r="BN475" s="651"/>
      <c r="BO475" s="651"/>
      <c r="BP475" s="651"/>
      <c r="BQ475" s="651"/>
      <c r="BR475" s="651"/>
      <c r="BS475" s="651"/>
      <c r="BT475" s="651"/>
    </row>
    <row r="476">
      <c r="A476" s="703" t="s">
        <v>435</v>
      </c>
      <c r="B476" s="717" t="s">
        <v>91</v>
      </c>
      <c r="C476" s="158" t="s">
        <v>89</v>
      </c>
      <c r="D476" s="148" t="s">
        <v>92</v>
      </c>
      <c r="E476" s="725"/>
      <c r="F476" s="699"/>
      <c r="G476" s="700"/>
      <c r="H476" s="700" t="str">
        <f>IFERROR(__xludf.DUMMYFUNCTION("IFERROR(REGEXEXTRACT(C476, ""(\d*\.\d+)mm""), """")"),"")</f>
        <v/>
      </c>
      <c r="I476" s="700"/>
      <c r="J476" s="126" t="s">
        <v>87</v>
      </c>
      <c r="K476" s="128" t="s">
        <v>41</v>
      </c>
      <c r="L476" s="712"/>
      <c r="M476" s="169" t="str">
        <f>M471</f>
        <v>#REF!</v>
      </c>
      <c r="N476" s="151">
        <f>IFERROR(__xludf.DUMMYFUNCTION("IF(B476="""", """", IFERROR(1 / COS(RADIANS(REGEXEXTRACT(F476,""(\d+)""))), 1))"),1.0)</f>
        <v>1</v>
      </c>
      <c r="O476" s="169">
        <v>1.0</v>
      </c>
      <c r="P476" s="134">
        <v>1.0</v>
      </c>
      <c r="Q476" s="168" t="str">
        <f>M476*N476*O476*P476</f>
        <v>#REF!</v>
      </c>
      <c r="R476" s="136" t="str">
        <f>IFERROR(
  IF(B476="", "", VLOOKUP(B476, Data!$B$2:$K$905, 9, FALSE)),
  ""
)</f>
        <v/>
      </c>
      <c r="S476" s="137" t="str">
        <f>R476*Q476</f>
        <v>#REF!</v>
      </c>
      <c r="T476" s="690"/>
      <c r="U476" s="136" t="str">
        <f>IFERROR(
  IF(B476="", "", VLOOKUP(B476, Data!$B$2:$K$905, 10, FALSE)),
  ""
)
</f>
        <v/>
      </c>
      <c r="V476" s="691"/>
      <c r="W476" s="140" t="str">
        <f>U476*Q476</f>
        <v>#REF!</v>
      </c>
      <c r="X476" s="692"/>
      <c r="Y476" s="595"/>
      <c r="Z476" s="595"/>
      <c r="AA476" s="595"/>
      <c r="AB476" s="354" t="str">
        <f t="shared" ref="AB476:AB477" si="358">W476+S476</f>
        <v>#REF!</v>
      </c>
      <c r="AC476" s="181"/>
      <c r="AD476" s="625"/>
      <c r="AE476" s="626"/>
      <c r="AF476" s="696"/>
      <c r="AG476" s="697"/>
      <c r="AH476" s="629"/>
      <c r="AI476" s="187"/>
      <c r="AJ476" s="630"/>
      <c r="AK476" s="630"/>
      <c r="AL476" s="595"/>
      <c r="AM476" s="595"/>
      <c r="AN476" s="595"/>
      <c r="AO476" s="595"/>
      <c r="AP476" s="595"/>
      <c r="AQ476" s="595"/>
      <c r="AR476" s="595"/>
      <c r="AS476" s="595"/>
      <c r="AT476" s="595"/>
      <c r="AU476" s="595"/>
      <c r="AV476" s="595"/>
      <c r="AW476" s="595"/>
      <c r="AX476" s="595"/>
      <c r="AY476" s="595"/>
      <c r="AZ476" s="595"/>
      <c r="BA476" s="595"/>
      <c r="BB476" s="595"/>
      <c r="BC476" s="595"/>
      <c r="BD476" s="595"/>
      <c r="BE476" s="595"/>
      <c r="BF476" s="595"/>
      <c r="BG476" s="595"/>
      <c r="BH476" s="595"/>
      <c r="BI476" s="651"/>
      <c r="BJ476" s="651"/>
      <c r="BK476" s="651"/>
      <c r="BL476" s="651"/>
      <c r="BM476" s="651"/>
      <c r="BN476" s="651"/>
      <c r="BO476" s="651"/>
      <c r="BP476" s="651"/>
      <c r="BQ476" s="651"/>
      <c r="BR476" s="651"/>
      <c r="BS476" s="651"/>
      <c r="BT476" s="651"/>
    </row>
    <row r="477">
      <c r="A477" s="684"/>
      <c r="B477" s="717"/>
      <c r="C477" s="701"/>
      <c r="D477" s="701"/>
      <c r="E477" s="725"/>
      <c r="F477" s="699"/>
      <c r="G477" s="700"/>
      <c r="H477" s="700"/>
      <c r="I477" s="700"/>
      <c r="J477" s="701"/>
      <c r="K477" s="700" t="s">
        <v>42</v>
      </c>
      <c r="L477" s="712"/>
      <c r="M477" s="712" t="s">
        <v>42</v>
      </c>
      <c r="N477" s="711" t="str">
        <f>IFERROR(__xludf.DUMMYFUNCTION("IF(B477="""", """", IFERROR(1 / COS(RADIANS(REGEXEXTRACT(F477,""(\d+)""))), 1))"),"")</f>
        <v/>
      </c>
      <c r="O477" s="712"/>
      <c r="P477" s="700"/>
      <c r="Q477" s="704"/>
      <c r="R477" s="681" t="str">
        <f>IFERROR(
  IF(B477="", "", VLOOKUP(B477, Data!$B$2:$K$905, 9, FALSE)),
  ""
)</f>
        <v/>
      </c>
      <c r="S477" s="691"/>
      <c r="T477" s="690"/>
      <c r="U477" s="681" t="str">
        <f>IFERROR(
  IF(B477="", "", VLOOKUP(B477, Data!$B$2:$K$905, 10, FALSE)),
  ""
)
</f>
        <v/>
      </c>
      <c r="V477" s="691"/>
      <c r="W477" s="713"/>
      <c r="X477" s="692"/>
      <c r="Y477" s="693"/>
      <c r="Z477" s="694"/>
      <c r="AA477" s="595"/>
      <c r="AB477" s="354">
        <f t="shared" si="358"/>
        <v>0</v>
      </c>
      <c r="AC477" s="181"/>
      <c r="AD477" s="625"/>
      <c r="AE477" s="626"/>
      <c r="AF477" s="696"/>
      <c r="AG477" s="697"/>
      <c r="AH477" s="629"/>
      <c r="AI477" s="187"/>
      <c r="AJ477" s="630"/>
      <c r="AK477" s="630"/>
      <c r="AL477" s="595"/>
      <c r="AM477" s="595"/>
      <c r="AN477" s="595"/>
      <c r="AO477" s="595"/>
      <c r="AP477" s="595"/>
      <c r="AQ477" s="595"/>
      <c r="AR477" s="595"/>
      <c r="AS477" s="595"/>
      <c r="AT477" s="595"/>
      <c r="AU477" s="595"/>
      <c r="AV477" s="595"/>
      <c r="AW477" s="595"/>
      <c r="AX477" s="595"/>
      <c r="AY477" s="595"/>
      <c r="AZ477" s="595"/>
      <c r="BA477" s="595"/>
      <c r="BB477" s="595"/>
      <c r="BC477" s="595"/>
      <c r="BD477" s="595"/>
      <c r="BE477" s="595"/>
      <c r="BF477" s="595"/>
      <c r="BG477" s="595"/>
      <c r="BH477" s="595"/>
      <c r="BI477" s="651"/>
      <c r="BJ477" s="651"/>
      <c r="BK477" s="651"/>
      <c r="BL477" s="651"/>
      <c r="BM477" s="651"/>
      <c r="BN477" s="651"/>
      <c r="BO477" s="651"/>
      <c r="BP477" s="651"/>
      <c r="BQ477" s="651"/>
      <c r="BR477" s="651"/>
      <c r="BS477" s="651"/>
      <c r="BT477" s="651"/>
    </row>
    <row r="478">
      <c r="A478" s="631">
        <v>1.0</v>
      </c>
      <c r="B478" s="764" t="s">
        <v>425</v>
      </c>
      <c r="C478" s="89" t="s">
        <v>93</v>
      </c>
      <c r="D478" s="172"/>
      <c r="E478" s="654"/>
      <c r="F478" s="655"/>
      <c r="G478" s="656"/>
      <c r="H478" s="656"/>
      <c r="I478" s="656"/>
      <c r="J478" s="656"/>
      <c r="K478" s="656" t="s">
        <v>42</v>
      </c>
      <c r="L478" s="658"/>
      <c r="M478" s="658" t="s">
        <v>42</v>
      </c>
      <c r="N478" s="659"/>
      <c r="O478" s="658"/>
      <c r="P478" s="656"/>
      <c r="Q478" s="658"/>
      <c r="R478" s="681" t="str">
        <f>IFERROR(
  IF(B478="", "", VLOOKUP(B478, Data!$B$2:$K$905, 9, FALSE)),
  ""
)</f>
        <v/>
      </c>
      <c r="S478" s="662"/>
      <c r="T478" s="661"/>
      <c r="U478" s="681" t="str">
        <f>IFERROR(
  IF(B478="", "", VLOOKUP(B478, Data!$B$2:$K$905, 10, FALSE)),
  ""
)
</f>
        <v/>
      </c>
      <c r="V478" s="662"/>
      <c r="W478" s="663"/>
      <c r="X478" s="692"/>
      <c r="Y478" s="595"/>
      <c r="Z478" s="595"/>
      <c r="AA478" s="595"/>
      <c r="AB478" s="595"/>
      <c r="AC478" s="181"/>
      <c r="AD478" s="625"/>
      <c r="AE478" s="626"/>
      <c r="AF478" s="696"/>
      <c r="AG478" s="697"/>
      <c r="AH478" s="629"/>
      <c r="AI478" s="187"/>
      <c r="AJ478" s="630"/>
      <c r="AK478" s="630"/>
      <c r="AL478" s="595"/>
      <c r="AM478" s="595"/>
      <c r="AN478" s="595"/>
      <c r="AO478" s="595"/>
      <c r="AP478" s="595"/>
      <c r="AQ478" s="595"/>
      <c r="AR478" s="595"/>
      <c r="AS478" s="595"/>
      <c r="AT478" s="595"/>
      <c r="AU478" s="595"/>
      <c r="AV478" s="595"/>
      <c r="AW478" s="595"/>
      <c r="AX478" s="595"/>
      <c r="AY478" s="595"/>
      <c r="AZ478" s="595"/>
      <c r="BA478" s="595"/>
      <c r="BB478" s="595"/>
      <c r="BC478" s="595"/>
      <c r="BD478" s="595"/>
      <c r="BE478" s="595"/>
      <c r="BF478" s="595"/>
      <c r="BG478" s="595"/>
      <c r="BH478" s="595"/>
      <c r="BI478" s="651"/>
      <c r="BJ478" s="651"/>
      <c r="BK478" s="651"/>
      <c r="BL478" s="651"/>
      <c r="BM478" s="651"/>
      <c r="BN478" s="651"/>
      <c r="BO478" s="651"/>
      <c r="BP478" s="651"/>
      <c r="BQ478" s="651"/>
      <c r="BR478" s="651"/>
      <c r="BS478" s="651"/>
      <c r="BT478" s="651"/>
    </row>
    <row r="479">
      <c r="A479" s="631">
        <v>1.0</v>
      </c>
      <c r="B479" s="727"/>
      <c r="C479" s="103" t="s">
        <v>518</v>
      </c>
      <c r="D479" s="678"/>
      <c r="E479" s="676"/>
      <c r="F479" s="677"/>
      <c r="G479" s="157"/>
      <c r="H479" s="678"/>
      <c r="I479" s="678"/>
      <c r="J479" s="678"/>
      <c r="K479" s="678" t="s">
        <v>42</v>
      </c>
      <c r="L479" s="106">
        <f>Q479</f>
        <v>20.71</v>
      </c>
      <c r="M479" s="679" t="s">
        <v>42</v>
      </c>
      <c r="N479" s="680"/>
      <c r="O479" s="679"/>
      <c r="P479" s="678"/>
      <c r="Q479" s="106">
        <f>Q480</f>
        <v>20.71</v>
      </c>
      <c r="R479" s="136" t="str">
        <f>IFERROR(
  IF(B479="", "", VLOOKUP(B479, Data!$B$2:$K$905, 9, FALSE)),
  ""
)</f>
        <v/>
      </c>
      <c r="S479" s="682">
        <f>IFERROR(T479/Q479, 0)</f>
        <v>0</v>
      </c>
      <c r="T479" s="109">
        <f>SUM(S480:S486)</f>
        <v>0</v>
      </c>
      <c r="U479" s="136" t="str">
        <f>IFERROR(
  IF(B479="", "", VLOOKUP(B479, Data!$B$2:$K$905, 10, FALSE)),
  ""
)
</f>
        <v/>
      </c>
      <c r="V479" s="109">
        <f>W479/Q479</f>
        <v>0</v>
      </c>
      <c r="W479" s="110">
        <f>SUM(W480:W486)</f>
        <v>0</v>
      </c>
      <c r="X479" s="111" t="str">
        <f>W479/$AC$758/$W$765/$X$755</f>
        <v>#REF!</v>
      </c>
      <c r="Y479" s="112" t="b">
        <f>(T479+W479)=(SUM(AB480:AB486))</f>
        <v>1</v>
      </c>
      <c r="Z479" s="222">
        <f>(T479+W479)-(SUM(AB480:AB486))</f>
        <v>0</v>
      </c>
      <c r="AA479" s="595"/>
      <c r="AB479" s="595"/>
      <c r="AC479" s="181"/>
      <c r="AD479" s="114">
        <f>W479+T479</f>
        <v>0</v>
      </c>
      <c r="AE479" s="115">
        <f>AD479</f>
        <v>0</v>
      </c>
      <c r="AF479" s="116" t="str">
        <f>AE479/$AE$733</f>
        <v>#REF!</v>
      </c>
      <c r="AG479" s="683" t="str">
        <f>AF479*$AG$740</f>
        <v>#REF!</v>
      </c>
      <c r="AH479" s="118" t="str">
        <f>AF479*$AG$743</f>
        <v>#REF!</v>
      </c>
      <c r="AI479" s="187"/>
      <c r="AJ479" s="119" t="str">
        <f>ROUND(AK479/L479,2)</f>
        <v>#REF!</v>
      </c>
      <c r="AK479" s="119" t="str">
        <f>ROUND(AH479+AG479+AD479,2)</f>
        <v>#REF!</v>
      </c>
      <c r="AL479" s="595"/>
      <c r="AM479" s="595"/>
      <c r="AN479" s="595"/>
      <c r="AO479" s="595"/>
      <c r="AP479" s="595"/>
      <c r="AQ479" s="595"/>
      <c r="AR479" s="595"/>
      <c r="AS479" s="595"/>
      <c r="AT479" s="595"/>
      <c r="AU479" s="595"/>
      <c r="AV479" s="595"/>
      <c r="AW479" s="595"/>
      <c r="AX479" s="595"/>
      <c r="AY479" s="595"/>
      <c r="AZ479" s="595"/>
      <c r="BA479" s="595"/>
      <c r="BB479" s="595"/>
      <c r="BC479" s="595"/>
      <c r="BD479" s="595"/>
      <c r="BE479" s="595"/>
      <c r="BF479" s="595"/>
      <c r="BG479" s="595"/>
      <c r="BH479" s="595"/>
      <c r="BI479" s="651"/>
      <c r="BJ479" s="651"/>
      <c r="BK479" s="651"/>
      <c r="BL479" s="651"/>
      <c r="BM479" s="651"/>
      <c r="BN479" s="651"/>
      <c r="BO479" s="651"/>
      <c r="BP479" s="651"/>
      <c r="BQ479" s="651"/>
      <c r="BR479" s="651"/>
      <c r="BS479" s="651"/>
      <c r="BT479" s="651"/>
    </row>
    <row r="480">
      <c r="A480" s="716" t="s">
        <v>444</v>
      </c>
      <c r="B480" s="154" t="str">
        <f>IFERROR(__xludf.DUMMYFUNCTION("IFERROR(
  IF(C480="""","""",
    IF(OR(REGEXMATCH(D480,""(?i)-Flashing""), REGEXMATCH(D480,""(?i)-EavesGut""), REGEXMATCH(D480,""(?i)Valley"")),
        ""DR"" &amp;
        TEXT(
            ROUNDUP(
                MIN(
                    VALUE(MID(C480, "&amp;"FIND(""("",C480)+1, FIND(""/"",C480)-FIND(""("",C480)-1)),
                    1200
                ) / 50, 0
            ) * 50, ""0""
        ) &amp;
        MID(C480, FIND(""/"",C480)+1, FIND("")"",C480)-FIND(""/"",C480)-1) &amp;
        TEXT(H480*100,""0"") &amp;"&amp;"
        I480,
    IF(AND(D480=""Roof Sheet"", REGEXMATCH(C480,""(?i)KS\d{4}[A-Z]{2}"")),
       REGEXEXTRACT(C480,""(?i)KS\d{4}[A-Z]{2}""),
    IF(AND(REGEXMATCH(D480,""(?i)-DP""), REGEXMATCH(C480,""(?i)Downpipe"")),
       ""dp"" &amp; REGEXEXTRACT(C480,""("&amp;"\d+)"") &amp; ""mm"",
    IF(AND(REGEXMATCH(D480,""(?i)Bracket""), REGEXMATCH(C480,""(?i)Bracket"")),
       ""Brkt"" &amp; REGEXEXTRACT(C480,""(\d+)"") &amp; ""mm"",
    IF(AND(REGEXMATCH(D480,""(?i)-OP""), REGEXMATCH(C480,""(?i)pops"")),
       ""op"" &amp; REGEXEXTRAC"&amp;"T(C480,""(\d+)"") &amp; ""mm"",
    IF(OR(D480=""R-FFTop"", D480=""R-FFBottom"", D480=""R-FFSide""),
        IF(REGEXMATCH(C480,""(?i)Profiled.*Top|Top.*Profiled""),""pfft"",
        IF(REGEXMATCH(C480,""(?i)Profiled.*Bottom|Bottom.*Profiled""),""pffb"",
    "&amp;"    IF(REGEXMATCH(C480,""(?i)Square""),""sff"",""""))),
    IF(REGEXMATCH(D480,""(?i)-Rivets""),""Rvt"",
    IF(REGEXMATCH(D480,""(?i)Silicone""),""300ml"",
    IF(REGEXMATCH(D480,""(?i)R-Butyl""),""300ml"",
    IF(REGEXMATCH(D480,""(?i)Fix""),""GenFix"","&amp;"
    IF(AND(REGEXMATCH(C480,""(?i)Timber""), REGEXMATCH(D480,""(?i)Timber"")),""tp"",
    IF(AND(REGEXMATCH(C480,""(?i)Vent G1275""), REGEXMATCH(D480,""(?i)Comb FIller"")),""CFV1275"",
    IF(REGEXMATCH(C480,""(?i)DPC""),""dpc"",
    IF(REGEXMATCH(C480,"""&amp;"(?i)Concealed Clips""),""ConClips"",
    IF(REGEXMATCH(D480,""(?i)-Takeoff ea""),""Takeoff ea"",
    IF(REGEXMATCH(D480,""(?i)-Takeoff LM""),""Takeoff LM"",
    IF(REGEXMATCH(D480,""(?i)-Takeoff m2""),""Takeoff m2"",
    IF(D480=""R-TU/TD"",""TU/TD"","""""&amp;")))))))))))))))))
  )))"),"DR4004B55Mag")</f>
        <v>DR4004B55Mag</v>
      </c>
      <c r="C480" s="123" t="s">
        <v>519</v>
      </c>
      <c r="D480" s="124" t="s">
        <v>96</v>
      </c>
      <c r="E480" s="687">
        <f>VALUE(MID(C480, FIND("(", C480)+1, FIND("/", C480)-FIND("(", C480)-1)) / 1000</f>
        <v>0.4</v>
      </c>
      <c r="F480" s="688"/>
      <c r="G480" s="689" t="s">
        <v>539</v>
      </c>
      <c r="H480" s="128" t="str">
        <f>IFERROR(__xludf.DUMMYFUNCTION("IFERROR(REGEXEXTRACT(C480, ""(\d*\.\d+)mm""), """")"),"0.55")</f>
        <v>0.55</v>
      </c>
      <c r="I480" s="128" t="s">
        <v>97</v>
      </c>
      <c r="J480" s="126" t="s">
        <v>14</v>
      </c>
      <c r="K480" s="126" t="str">
        <f>IFERROR(
  IF(B480="", "", VLOOKUP(B480, Data!$B$2:$K$905, 7, FALSE)),
  ""
)</f>
        <v/>
      </c>
      <c r="L480" s="704"/>
      <c r="M480" s="730">
        <v>20.71</v>
      </c>
      <c r="N480" s="151">
        <f>IFERROR(__xludf.DUMMYFUNCTION("IF(
  AND(
    IFERROR(REGEXEXTRACT(C480,""@\s*(\d+(?:\.\d+)?)\s*deg""),"""")&lt;&gt;"""",
    F480&lt;&gt;""""
  ),
  ""Pls Confirm °"",
  IF(
    IFERROR(REGEXEXTRACT(C480,""@\s*(\d+(?:\.\d+)?)\s*deg""),"""")&lt;&gt;"""",
    1/COS(RADIANS(REGEXEXTRACT(C480,""@\s*(\d+(?:"&amp;"\.\d+)?)\s*deg""))),
    IF(
      F480&lt;&gt;"""",
      IF(
        ISNUMBER(SEARCH(""|"",F480)),
        1/COS(
          ATAN(
            TAN(RADIANS(VALUE(INDEX(SPLIT(F480,""|""),1)))) *
            TAN(RADIANS(VALUE(INDEX(SPLIT(F480,""|""),2))))
       "&amp;"     /
            SQRT(
              TAN(RADIANS(VALUE(INDEX(SPLIT(F480,""|""),1))))^2 +
              TAN(RADIANS(VALUE(INDEX(SPLIT(F480,""|""),2))))^2
            )
          )
        ),
        1/COS(RADIANS(VALUE(F480)))
      ),
      1
    )
  )
"&amp;")"),1.0)</f>
        <v>1</v>
      </c>
      <c r="O480" s="169">
        <v>1.0</v>
      </c>
      <c r="P480" s="134">
        <v>1.0</v>
      </c>
      <c r="Q480" s="168">
        <f t="shared" ref="Q480:Q485" si="359">M480*N480*O480*P480</f>
        <v>20.71</v>
      </c>
      <c r="R480" s="136" t="str">
        <f>IFERROR(
  IF(B480="", "", VLOOKUP(B480, Data!$B$2:$K$905, 9, FALSE)),
  ""
)</f>
        <v/>
      </c>
      <c r="S480" s="152">
        <f t="shared" ref="S480:S485" si="360">R480*Q480</f>
        <v>0</v>
      </c>
      <c r="T480" s="690"/>
      <c r="U480" s="136" t="str">
        <f>IFERROR(
  IF(B480="", "", VLOOKUP(B480, Data!$B$2:$K$905, 10, FALSE)),
  ""
)
</f>
        <v/>
      </c>
      <c r="V480" s="691"/>
      <c r="W480" s="140">
        <f t="shared" ref="W480:W485" si="361">U480*Q480</f>
        <v>0</v>
      </c>
      <c r="X480" s="692"/>
      <c r="Y480" s="693"/>
      <c r="Z480" s="731"/>
      <c r="AA480" s="595"/>
      <c r="AB480" s="354">
        <f t="shared" ref="AB480:AB486" si="362">W480+S480</f>
        <v>0</v>
      </c>
      <c r="AC480" s="181"/>
      <c r="AD480" s="625"/>
      <c r="AE480" s="626"/>
      <c r="AF480" s="696"/>
      <c r="AG480" s="697"/>
      <c r="AH480" s="629"/>
      <c r="AI480" s="187"/>
      <c r="AJ480" s="630"/>
      <c r="AK480" s="630"/>
      <c r="AL480" s="595"/>
      <c r="AM480" s="595"/>
      <c r="AN480" s="595"/>
      <c r="AO480" s="595"/>
      <c r="AP480" s="595"/>
      <c r="AQ480" s="595"/>
      <c r="AR480" s="595"/>
      <c r="AS480" s="595"/>
      <c r="AT480" s="595"/>
      <c r="AU480" s="595"/>
      <c r="AV480" s="595"/>
      <c r="AW480" s="595"/>
      <c r="AX480" s="595"/>
      <c r="AY480" s="595"/>
      <c r="AZ480" s="595"/>
      <c r="BA480" s="595"/>
      <c r="BB480" s="595"/>
      <c r="BC480" s="595"/>
      <c r="BD480" s="595"/>
      <c r="BE480" s="595"/>
      <c r="BF480" s="595"/>
      <c r="BG480" s="595"/>
      <c r="BH480" s="595"/>
      <c r="BI480" s="651"/>
      <c r="BJ480" s="651"/>
      <c r="BK480" s="651"/>
      <c r="BL480" s="651"/>
      <c r="BM480" s="651"/>
      <c r="BN480" s="651"/>
      <c r="BO480" s="651"/>
      <c r="BP480" s="651"/>
      <c r="BQ480" s="651"/>
      <c r="BR480" s="651"/>
      <c r="BS480" s="651"/>
      <c r="BT480" s="651"/>
    </row>
    <row r="481">
      <c r="A481" s="631"/>
      <c r="B481" s="154" t="str">
        <f>IFERROR(__xludf.DUMMYFUNCTION("IFERROR(
  IF(C481="""","""",
    IF(OR(REGEXMATCH(D481,""(?i)-Flashing""), REGEXMATCH(D481,""(?i)-EavesGut""), REGEXMATCH(D481,""(?i)Valley"")),
        ""DR"" &amp;
        TEXT(
            ROUNDUP(
                MIN(
                    VALUE(MID(C481, "&amp;"FIND(""("",C481)+1, FIND(""/"",C481)-FIND(""("",C481)-1)),
                    1200
                ) / 50, 0
            ) * 50, ""0""
        ) &amp;
        MID(C481, FIND(""/"",C481)+1, FIND("")"",C481)-FIND(""/"",C481)-1) &amp;
        TEXT(H481*100,""0"") &amp;"&amp;"
        I481,
    IF(AND(D481=""Roof Sheet"", REGEXMATCH(C481,""(?i)KS\d{4}[A-Z]{2}"")),
       REGEXEXTRACT(C481,""(?i)KS\d{4}[A-Z]{2}""),
    IF(AND(REGEXMATCH(D481,""(?i)-DP""), REGEXMATCH(C481,""(?i)Downpipe"")),
       ""dp"" &amp; REGEXEXTRACT(C481,""("&amp;"\d+)"") &amp; ""mm"",
    IF(AND(REGEXMATCH(D481,""(?i)Bracket""), REGEXMATCH(C481,""(?i)Bracket"")),
       ""Brkt"" &amp; REGEXEXTRACT(C481,""(\d+)"") &amp; ""mm"",
    IF(AND(REGEXMATCH(D481,""(?i)-OP""), REGEXMATCH(C481,""(?i)pops"")),
       ""op"" &amp; REGEXEXTRAC"&amp;"T(C481,""(\d+)"") &amp; ""mm"",
    IF(OR(D481=""R-FFTop"", D481=""R-FFBottom"", D481=""R-FFSide""),
        IF(REGEXMATCH(C481,""(?i)Profiled.*Top|Top.*Profiled""),""pfft"",
        IF(REGEXMATCH(C481,""(?i)Profiled.*Bottom|Bottom.*Profiled""),""pffb"",
    "&amp;"    IF(REGEXMATCH(C481,""(?i)Square""),""sff"",""""))),
    IF(REGEXMATCH(D481,""(?i)-Rivets""),""Rvt"",
    IF(REGEXMATCH(D481,""(?i)Silicone""),""300ml"",
    IF(REGEXMATCH(D481,""(?i)R-Butyl""),""300ml"",
    IF(REGEXMATCH(D481,""(?i)Fix""),""GenFix"","&amp;"
    IF(AND(REGEXMATCH(C481,""(?i)Timber""), REGEXMATCH(D481,""(?i)Timber"")),""tp"",
    IF(AND(REGEXMATCH(C481,""(?i)Vent G1275""), REGEXMATCH(D481,""(?i)Comb FIller"")),""CFV1275"",
    IF(REGEXMATCH(C481,""(?i)DPC""),""dpc"",
    IF(REGEXMATCH(C481,"""&amp;"(?i)Concealed Clips""),""ConClips"",
    IF(REGEXMATCH(D481,""(?i)-Takeoff ea""),""Takeoff ea"",
    IF(REGEXMATCH(D481,""(?i)-Takeoff LM""),""Takeoff LM"",
    IF(REGEXMATCH(D481,""(?i)-Takeoff m2""),""Takeoff m2"",
    IF(D481=""R-TU/TD"",""TU/TD"","""""&amp;")))))))))))))))))
  )))"),"300ml")</f>
        <v>300ml</v>
      </c>
      <c r="C481" s="734" t="s">
        <v>98</v>
      </c>
      <c r="D481" s="124" t="s">
        <v>99</v>
      </c>
      <c r="E481" s="687">
        <f>E480</f>
        <v>0.4</v>
      </c>
      <c r="F481" s="721"/>
      <c r="G481" s="225"/>
      <c r="H481" s="700" t="str">
        <f>IFERROR(__xludf.DUMMYFUNCTION("IFERROR(REGEXEXTRACT(C481, ""(\d*\.\d+)mm""), """")"),"")</f>
        <v/>
      </c>
      <c r="I481" s="700"/>
      <c r="J481" s="126" t="s">
        <v>87</v>
      </c>
      <c r="K481" s="126" t="str">
        <f>IFERROR(
  IF(B481="", "", VLOOKUP(B481, Data!$B$2:$K$905, 7, FALSE)),
  ""
)</f>
        <v/>
      </c>
      <c r="L481" s="704"/>
      <c r="M481" s="150">
        <f>(ROUNDDOWN((M480/5.7)+2,0)*E481)/8</f>
        <v>0.25</v>
      </c>
      <c r="N481" s="151">
        <f t="shared" ref="N481:N485" si="363">if(B481="","",(if(N480="",N479,N480)))</f>
        <v>1</v>
      </c>
      <c r="O481" s="169">
        <v>1.0</v>
      </c>
      <c r="P481" s="134">
        <v>1.0</v>
      </c>
      <c r="Q481" s="168">
        <f t="shared" si="359"/>
        <v>0.25</v>
      </c>
      <c r="R481" s="136" t="str">
        <f>IFERROR(
  IF(B481="", "", VLOOKUP(B481, Data!$B$2:$K$905, 9, FALSE)),
  ""
)</f>
        <v/>
      </c>
      <c r="S481" s="152">
        <f t="shared" si="360"/>
        <v>0</v>
      </c>
      <c r="T481" s="690"/>
      <c r="U481" s="136" t="str">
        <f>IFERROR(
  IF(B481="", "", VLOOKUP(B481, Data!$B$2:$K$905, 10, FALSE)),
  ""
)
</f>
        <v/>
      </c>
      <c r="V481" s="691"/>
      <c r="W481" s="140">
        <f t="shared" si="361"/>
        <v>0</v>
      </c>
      <c r="X481" s="692"/>
      <c r="Y481" s="595"/>
      <c r="Z481" s="595"/>
      <c r="AA481" s="595"/>
      <c r="AB481" s="354">
        <f t="shared" si="362"/>
        <v>0</v>
      </c>
      <c r="AC481" s="181"/>
      <c r="AD481" s="625"/>
      <c r="AE481" s="626"/>
      <c r="AF481" s="696"/>
      <c r="AG481" s="697"/>
      <c r="AH481" s="629"/>
      <c r="AI481" s="187"/>
      <c r="AJ481" s="630"/>
      <c r="AK481" s="630"/>
      <c r="AL481" s="595"/>
      <c r="AM481" s="595"/>
      <c r="AN481" s="595"/>
      <c r="AO481" s="595"/>
      <c r="AP481" s="595"/>
      <c r="AQ481" s="595"/>
      <c r="AR481" s="595"/>
      <c r="AS481" s="595"/>
      <c r="AT481" s="595"/>
      <c r="AU481" s="595"/>
      <c r="AV481" s="595"/>
      <c r="AW481" s="595"/>
      <c r="AX481" s="595"/>
      <c r="AY481" s="595"/>
      <c r="AZ481" s="595"/>
      <c r="BA481" s="595"/>
      <c r="BB481" s="595"/>
      <c r="BC481" s="595"/>
      <c r="BD481" s="595"/>
      <c r="BE481" s="595"/>
      <c r="BF481" s="595"/>
      <c r="BG481" s="595"/>
      <c r="BH481" s="595"/>
      <c r="BI481" s="651"/>
      <c r="BJ481" s="651"/>
      <c r="BK481" s="651"/>
      <c r="BL481" s="651"/>
      <c r="BM481" s="651"/>
      <c r="BN481" s="651"/>
      <c r="BO481" s="651"/>
      <c r="BP481" s="651"/>
      <c r="BQ481" s="651"/>
      <c r="BR481" s="651"/>
      <c r="BS481" s="651"/>
      <c r="BT481" s="651"/>
    </row>
    <row r="482">
      <c r="A482" s="631"/>
      <c r="B482" s="154" t="str">
        <f>IFERROR(__xludf.DUMMYFUNCTION("IFERROR(
  IF(C482="""","""",
    IF(OR(REGEXMATCH(D482,""(?i)-Flashing""), REGEXMATCH(D482,""(?i)-EavesGut""), REGEXMATCH(D482,""(?i)Valley"")),
        ""DR"" &amp;
        TEXT(
            ROUNDUP(
                MIN(
                    VALUE(MID(C482, "&amp;"FIND(""("",C482)+1, FIND(""/"",C482)-FIND(""("",C482)-1)),
                    1200
                ) / 50, 0
            ) * 50, ""0""
        ) &amp;
        MID(C482, FIND(""/"",C482)+1, FIND("")"",C482)-FIND(""/"",C482)-1) &amp;
        TEXT(H482*100,""0"") &amp;"&amp;"
        I482,
    IF(AND(D482=""Roof Sheet"", REGEXMATCH(C482,""(?i)KS\d{4}[A-Z]{2}"")),
       REGEXEXTRACT(C482,""(?i)KS\d{4}[A-Z]{2}""),
    IF(AND(REGEXMATCH(D482,""(?i)-DP""), REGEXMATCH(C482,""(?i)Downpipe"")),
       ""dp"" &amp; REGEXEXTRACT(C482,""("&amp;"\d+)"") &amp; ""mm"",
    IF(AND(REGEXMATCH(D482,""(?i)Bracket""), REGEXMATCH(C482,""(?i)Bracket"")),
       ""Brkt"" &amp; REGEXEXTRACT(C482,""(\d+)"") &amp; ""mm"",
    IF(AND(REGEXMATCH(D482,""(?i)-OP""), REGEXMATCH(C482,""(?i)pops"")),
       ""op"" &amp; REGEXEXTRAC"&amp;"T(C482,""(\d+)"") &amp; ""mm"",
    IF(OR(D482=""R-FFTop"", D482=""R-FFBottom"", D482=""R-FFSide""),
        IF(REGEXMATCH(C482,""(?i)Profiled.*Top|Top.*Profiled""),""pfft"",
        IF(REGEXMATCH(C482,""(?i)Profiled.*Bottom|Bottom.*Profiled""),""pffb"",
    "&amp;"    IF(REGEXMATCH(C482,""(?i)Square""),""sff"",""""))),
    IF(REGEXMATCH(D482,""(?i)-Rivets""),""Rvt"",
    IF(REGEXMATCH(D482,""(?i)Silicone""),""300ml"",
    IF(REGEXMATCH(D482,""(?i)R-Butyl""),""300ml"",
    IF(REGEXMATCH(D482,""(?i)Fix""),""GenFix"","&amp;"
    IF(AND(REGEXMATCH(C482,""(?i)Timber""), REGEXMATCH(D482,""(?i)Timber"")),""tp"",
    IF(AND(REGEXMATCH(C482,""(?i)Vent G1275""), REGEXMATCH(D482,""(?i)Comb FIller"")),""CFV1275"",
    IF(REGEXMATCH(C482,""(?i)DPC""),""dpc"",
    IF(REGEXMATCH(C482,"""&amp;"(?i)Concealed Clips""),""ConClips"",
    IF(REGEXMATCH(D482,""(?i)-Takeoff ea""),""Takeoff ea"",
    IF(REGEXMATCH(D482,""(?i)-Takeoff LM""),""Takeoff LM"",
    IF(REGEXMATCH(D482,""(?i)-Takeoff m2""),""Takeoff m2"",
    IF(D482=""R-TU/TD"",""TU/TD"","""""&amp;")))))))))))))))))
  )))"),"Rvt")</f>
        <v>Rvt</v>
      </c>
      <c r="C482" s="734" t="s">
        <v>100</v>
      </c>
      <c r="D482" s="124" t="s">
        <v>101</v>
      </c>
      <c r="E482" s="687">
        <f>E480</f>
        <v>0.4</v>
      </c>
      <c r="F482" s="721"/>
      <c r="G482" s="225"/>
      <c r="H482" s="700" t="str">
        <f>IFERROR(__xludf.DUMMYFUNCTION("IFERROR(REGEXEXTRACT(C482, ""(\d*\.\d+)mm""), """")"),"")</f>
        <v/>
      </c>
      <c r="I482" s="700"/>
      <c r="J482" s="126" t="s">
        <v>87</v>
      </c>
      <c r="K482" s="126" t="str">
        <f>IFERROR(
  IF(B482="", "", VLOOKUP(B482, Data!$B$2:$K$905, 7, FALSE)),
  ""
)</f>
        <v/>
      </c>
      <c r="L482" s="704"/>
      <c r="M482" s="150">
        <f>ROUNDUP(((M480/5.7)+1)*(E482/0.05),0)</f>
        <v>38</v>
      </c>
      <c r="N482" s="151">
        <f t="shared" si="363"/>
        <v>1</v>
      </c>
      <c r="O482" s="169">
        <v>1.0</v>
      </c>
      <c r="P482" s="134">
        <v>1.0</v>
      </c>
      <c r="Q482" s="168">
        <f t="shared" si="359"/>
        <v>38</v>
      </c>
      <c r="R482" s="136" t="str">
        <f>IFERROR(
  IF(B482="", "", VLOOKUP(B482, Data!$B$2:$K$905, 9, FALSE)),
  ""
)</f>
        <v/>
      </c>
      <c r="S482" s="152">
        <f t="shared" si="360"/>
        <v>0</v>
      </c>
      <c r="T482" s="690"/>
      <c r="U482" s="136" t="str">
        <f>IFERROR(
  IF(B482="", "", VLOOKUP(B482, Data!$B$2:$K$905, 10, FALSE)),
  ""
)
</f>
        <v/>
      </c>
      <c r="V482" s="691"/>
      <c r="W482" s="140">
        <f t="shared" si="361"/>
        <v>0</v>
      </c>
      <c r="X482" s="692"/>
      <c r="Y482" s="595"/>
      <c r="Z482" s="595"/>
      <c r="AA482" s="595"/>
      <c r="AB482" s="354">
        <f t="shared" si="362"/>
        <v>0</v>
      </c>
      <c r="AC482" s="181"/>
      <c r="AD482" s="625"/>
      <c r="AE482" s="626"/>
      <c r="AF482" s="696"/>
      <c r="AG482" s="697"/>
      <c r="AH482" s="629"/>
      <c r="AI482" s="187"/>
      <c r="AJ482" s="630"/>
      <c r="AK482" s="630"/>
      <c r="AL482" s="595"/>
      <c r="AM482" s="595"/>
      <c r="AN482" s="595"/>
      <c r="AO482" s="595"/>
      <c r="AP482" s="595"/>
      <c r="AQ482" s="595"/>
      <c r="AR482" s="595"/>
      <c r="AS482" s="595"/>
      <c r="AT482" s="595"/>
      <c r="AU482" s="595"/>
      <c r="AV482" s="595"/>
      <c r="AW482" s="595"/>
      <c r="AX482" s="595"/>
      <c r="AY482" s="595"/>
      <c r="AZ482" s="595"/>
      <c r="BA482" s="595"/>
      <c r="BB482" s="595"/>
      <c r="BC482" s="595"/>
      <c r="BD482" s="595"/>
      <c r="BE482" s="595"/>
      <c r="BF482" s="595"/>
      <c r="BG482" s="595"/>
      <c r="BH482" s="595"/>
      <c r="BI482" s="651"/>
      <c r="BJ482" s="651"/>
      <c r="BK482" s="651"/>
      <c r="BL482" s="651"/>
      <c r="BM482" s="651"/>
      <c r="BN482" s="651"/>
      <c r="BO482" s="651"/>
      <c r="BP482" s="651"/>
      <c r="BQ482" s="651"/>
      <c r="BR482" s="651"/>
      <c r="BS482" s="651"/>
      <c r="BT482" s="651"/>
    </row>
    <row r="483">
      <c r="A483" s="631"/>
      <c r="B483" s="154" t="str">
        <f>IFERROR(__xludf.DUMMYFUNCTION("IFERROR(
  IF(C483="""","""",
    IF(OR(REGEXMATCH(D483,""(?i)-Flashing""), REGEXMATCH(D483,""(?i)-EavesGut""), REGEXMATCH(D483,""(?i)Valley"")),
        ""DR"" &amp;
        TEXT(
            ROUNDUP(
                MIN(
                    VALUE(MID(C483, "&amp;"FIND(""("",C483)+1, FIND(""/"",C483)-FIND(""("",C483)-1)),
                    1200
                ) / 50, 0
            ) * 50, ""0""
        ) &amp;
        MID(C483, FIND(""/"",C483)+1, FIND("")"",C483)-FIND(""/"",C483)-1) &amp;
        TEXT(H483*100,""0"") &amp;"&amp;"
        I483,
    IF(AND(D483=""Roof Sheet"", REGEXMATCH(C483,""(?i)KS\d{4}[A-Z]{2}"")),
       REGEXEXTRACT(C483,""(?i)KS\d{4}[A-Z]{2}""),
    IF(AND(REGEXMATCH(D483,""(?i)-DP""), REGEXMATCH(C483,""(?i)Downpipe"")),
       ""dp"" &amp; REGEXEXTRACT(C483,""("&amp;"\d+)"") &amp; ""mm"",
    IF(AND(REGEXMATCH(D483,""(?i)Bracket""), REGEXMATCH(C483,""(?i)Bracket"")),
       ""Brkt"" &amp; REGEXEXTRACT(C483,""(\d+)"") &amp; ""mm"",
    IF(AND(REGEXMATCH(D483,""(?i)-OP""), REGEXMATCH(C483,""(?i)pops"")),
       ""op"" &amp; REGEXEXTRAC"&amp;"T(C483,""(\d+)"") &amp; ""mm"",
    IF(OR(D483=""R-FFTop"", D483=""R-FFBottom"", D483=""R-FFSide""),
        IF(REGEXMATCH(C483,""(?i)Profiled.*Top|Top.*Profiled""),""pfft"",
        IF(REGEXMATCH(C483,""(?i)Profiled.*Bottom|Bottom.*Profiled""),""pffb"",
    "&amp;"    IF(REGEXMATCH(C483,""(?i)Square""),""sff"",""""))),
    IF(REGEXMATCH(D483,""(?i)-Rivets""),""Rvt"",
    IF(REGEXMATCH(D483,""(?i)Silicone""),""300ml"",
    IF(REGEXMATCH(D483,""(?i)R-Butyl""),""300ml"",
    IF(REGEXMATCH(D483,""(?i)Fix""),""GenFix"","&amp;"
    IF(AND(REGEXMATCH(C483,""(?i)Timber""), REGEXMATCH(D483,""(?i)Timber"")),""tp"",
    IF(AND(REGEXMATCH(C483,""(?i)Vent G1275""), REGEXMATCH(D483,""(?i)Comb FIller"")),""CFV1275"",
    IF(REGEXMATCH(C483,""(?i)DPC""),""dpc"",
    IF(REGEXMATCH(C483,"""&amp;"(?i)Concealed Clips""),""ConClips"",
    IF(REGEXMATCH(D483,""(?i)-Takeoff ea""),""Takeoff ea"",
    IF(REGEXMATCH(D483,""(?i)-Takeoff LM""),""Takeoff LM"",
    IF(REGEXMATCH(D483,""(?i)-Takeoff m2""),""Takeoff m2"",
    IF(D483=""R-TU/TD"",""TU/TD"","""""&amp;")))))))))))))))))
  )))"),"GenFix")</f>
        <v>GenFix</v>
      </c>
      <c r="C483" s="698" t="s">
        <v>102</v>
      </c>
      <c r="D483" s="124" t="s">
        <v>103</v>
      </c>
      <c r="E483" s="722"/>
      <c r="F483" s="721"/>
      <c r="G483" s="158"/>
      <c r="H483" s="700"/>
      <c r="I483" s="700"/>
      <c r="J483" s="126" t="s">
        <v>87</v>
      </c>
      <c r="K483" s="126" t="str">
        <f>IFERROR(
  IF(B483="", "", VLOOKUP(B483, Data!$B$2:$K$905, 7, FALSE)),
  ""
)</f>
        <v/>
      </c>
      <c r="L483" s="712"/>
      <c r="M483" s="150">
        <f>ROUNDUP(M480/0.6,0)+1</f>
        <v>36</v>
      </c>
      <c r="N483" s="151">
        <f t="shared" si="363"/>
        <v>1</v>
      </c>
      <c r="O483" s="169">
        <v>1.0</v>
      </c>
      <c r="P483" s="156">
        <v>2.0</v>
      </c>
      <c r="Q483" s="168">
        <f t="shared" si="359"/>
        <v>72</v>
      </c>
      <c r="R483" s="136" t="str">
        <f>IFERROR(
  IF(B483="", "", VLOOKUP(B483, Data!$B$2:$K$905, 9, FALSE)),
  ""
)</f>
        <v/>
      </c>
      <c r="S483" s="152">
        <f t="shared" si="360"/>
        <v>0</v>
      </c>
      <c r="T483" s="690"/>
      <c r="U483" s="136" t="str">
        <f>IFERROR(
  IF(B483="", "", VLOOKUP(B483, Data!$B$2:$K$905, 10, FALSE)),
  ""
)
</f>
        <v/>
      </c>
      <c r="V483" s="691"/>
      <c r="W483" s="140">
        <f t="shared" si="361"/>
        <v>0</v>
      </c>
      <c r="X483" s="692"/>
      <c r="Y483" s="595"/>
      <c r="Z483" s="595"/>
      <c r="AA483" s="595"/>
      <c r="AB483" s="354">
        <f t="shared" si="362"/>
        <v>0</v>
      </c>
      <c r="AC483" s="181"/>
      <c r="AD483" s="625"/>
      <c r="AE483" s="626"/>
      <c r="AF483" s="696"/>
      <c r="AG483" s="697"/>
      <c r="AH483" s="629"/>
      <c r="AI483" s="187"/>
      <c r="AJ483" s="630"/>
      <c r="AK483" s="630"/>
      <c r="AL483" s="595"/>
      <c r="AM483" s="595"/>
      <c r="AN483" s="595"/>
      <c r="AO483" s="595"/>
      <c r="AP483" s="595"/>
      <c r="AQ483" s="595"/>
      <c r="AR483" s="595"/>
      <c r="AS483" s="595"/>
      <c r="AT483" s="595"/>
      <c r="AU483" s="595"/>
      <c r="AV483" s="595"/>
      <c r="AW483" s="595"/>
      <c r="AX483" s="595"/>
      <c r="AY483" s="595"/>
      <c r="AZ483" s="595"/>
      <c r="BA483" s="595"/>
      <c r="BB483" s="595"/>
      <c r="BC483" s="595"/>
      <c r="BD483" s="595"/>
      <c r="BE483" s="595"/>
      <c r="BF483" s="595"/>
      <c r="BG483" s="595"/>
      <c r="BH483" s="595"/>
      <c r="BI483" s="651"/>
      <c r="BJ483" s="651"/>
      <c r="BK483" s="651"/>
      <c r="BL483" s="651"/>
      <c r="BM483" s="651"/>
      <c r="BN483" s="651"/>
      <c r="BO483" s="651"/>
      <c r="BP483" s="651"/>
      <c r="BQ483" s="651"/>
      <c r="BR483" s="651"/>
      <c r="BS483" s="651"/>
      <c r="BT483" s="651"/>
    </row>
    <row r="484">
      <c r="A484" s="631"/>
      <c r="B484" s="154" t="str">
        <f>IFERROR(__xludf.DUMMYFUNCTION("IFERROR(
  IF(C484="""","""",
    IF(OR(REGEXMATCH(D484,""(?i)-Flashing""), REGEXMATCH(D484,""(?i)-EavesGut""), REGEXMATCH(D484,""(?i)Valley"")),
        ""DR"" &amp;
        TEXT(
            ROUNDUP(
                MIN(
                    VALUE(MID(C484, "&amp;"FIND(""("",C484)+1, FIND(""/"",C484)-FIND(""("",C484)-1)),
                    1200
                ) / 50, 0
            ) * 50, ""0""
        ) &amp;
        MID(C484, FIND(""/"",C484)+1, FIND("")"",C484)-FIND(""/"",C484)-1) &amp;
        TEXT(H484*100,""0"") &amp;"&amp;"
        I484,
    IF(AND(D484=""Roof Sheet"", REGEXMATCH(C484,""(?i)KS\d{4}[A-Z]{2}"")),
       REGEXEXTRACT(C484,""(?i)KS\d{4}[A-Z]{2}""),
    IF(AND(REGEXMATCH(D484,""(?i)-DP""), REGEXMATCH(C484,""(?i)Downpipe"")),
       ""dp"" &amp; REGEXEXTRACT(C484,""("&amp;"\d+)"") &amp; ""mm"",
    IF(AND(REGEXMATCH(D484,""(?i)Bracket""), REGEXMATCH(C484,""(?i)Bracket"")),
       ""Brkt"" &amp; REGEXEXTRACT(C484,""(\d+)"") &amp; ""mm"",
    IF(AND(REGEXMATCH(D484,""(?i)-OP""), REGEXMATCH(C484,""(?i)pops"")),
       ""op"" &amp; REGEXEXTRAC"&amp;"T(C484,""(\d+)"") &amp; ""mm"",
    IF(OR(D484=""R-FFTop"", D484=""R-FFBottom"", D484=""R-FFSide""),
        IF(REGEXMATCH(C484,""(?i)Profiled.*Top|Top.*Profiled""),""pfft"",
        IF(REGEXMATCH(C484,""(?i)Profiled.*Bottom|Bottom.*Profiled""),""pffb"",
    "&amp;"    IF(REGEXMATCH(C484,""(?i)Square""),""sff"",""""))),
    IF(REGEXMATCH(D484,""(?i)-Rivets""),""Rvt"",
    IF(REGEXMATCH(D484,""(?i)Silicone""),""300ml"",
    IF(REGEXMATCH(D484,""(?i)R-Butyl""),""300ml"",
    IF(REGEXMATCH(D484,""(?i)Fix""),""GenFix"","&amp;"
    IF(AND(REGEXMATCH(C484,""(?i)Timber""), REGEXMATCH(D484,""(?i)Timber"")),""tp"",
    IF(AND(REGEXMATCH(C484,""(?i)Vent G1275""), REGEXMATCH(D484,""(?i)Comb FIller"")),""CFV1275"",
    IF(REGEXMATCH(C484,""(?i)DPC""),""dpc"",
    IF(REGEXMATCH(C484,"""&amp;"(?i)Concealed Clips""),""ConClips"",
    IF(REGEXMATCH(D484,""(?i)-Takeoff ea""),""Takeoff ea"",
    IF(REGEXMATCH(D484,""(?i)-Takeoff LM""),""Takeoff LM"",
    IF(REGEXMATCH(D484,""(?i)-Takeoff m2""),""Takeoff m2"",
    IF(D484=""R-TU/TD"",""TU/TD"","""""&amp;")))))))))))))))))
  )))"),"pfft")</f>
        <v>pfft</v>
      </c>
      <c r="C484" s="225" t="s">
        <v>104</v>
      </c>
      <c r="D484" s="202" t="s">
        <v>105</v>
      </c>
      <c r="E484" s="722"/>
      <c r="F484" s="721"/>
      <c r="G484" s="158"/>
      <c r="H484" s="700"/>
      <c r="I484" s="700"/>
      <c r="J484" s="126" t="s">
        <v>87</v>
      </c>
      <c r="K484" s="126" t="str">
        <f>IFERROR(
  IF(B484="", "", VLOOKUP(B484, Data!$B$2:$K$905, 7, FALSE)),
  ""
)</f>
        <v/>
      </c>
      <c r="L484" s="712"/>
      <c r="M484" s="150">
        <f>M480</f>
        <v>20.71</v>
      </c>
      <c r="N484" s="151">
        <f t="shared" si="363"/>
        <v>1</v>
      </c>
      <c r="O484" s="169">
        <v>1.0</v>
      </c>
      <c r="P484" s="156">
        <v>1.0</v>
      </c>
      <c r="Q484" s="168">
        <f t="shared" si="359"/>
        <v>20.71</v>
      </c>
      <c r="R484" s="136" t="str">
        <f>IFERROR(
  IF(B484="", "", VLOOKUP(B484, Data!$B$2:$K$905, 9, FALSE)),
  ""
)</f>
        <v/>
      </c>
      <c r="S484" s="152">
        <f t="shared" si="360"/>
        <v>0</v>
      </c>
      <c r="T484" s="690"/>
      <c r="U484" s="136" t="str">
        <f>IFERROR(
  IF(B484="", "", VLOOKUP(B484, Data!$B$2:$K$905, 10, FALSE)),
  ""
)
</f>
        <v/>
      </c>
      <c r="V484" s="691"/>
      <c r="W484" s="140">
        <f t="shared" si="361"/>
        <v>0</v>
      </c>
      <c r="X484" s="692"/>
      <c r="Y484" s="595"/>
      <c r="Z484" s="595"/>
      <c r="AA484" s="595"/>
      <c r="AB484" s="354">
        <f t="shared" si="362"/>
        <v>0</v>
      </c>
      <c r="AC484" s="181"/>
      <c r="AD484" s="625"/>
      <c r="AE484" s="626"/>
      <c r="AF484" s="696"/>
      <c r="AG484" s="628"/>
      <c r="AH484" s="629"/>
      <c r="AI484" s="187"/>
      <c r="AJ484" s="630"/>
      <c r="AK484" s="630"/>
      <c r="AL484" s="595"/>
      <c r="AM484" s="595"/>
      <c r="AN484" s="595"/>
      <c r="AO484" s="595"/>
      <c r="AP484" s="595"/>
      <c r="AQ484" s="595"/>
      <c r="AR484" s="595"/>
      <c r="AS484" s="595"/>
      <c r="AT484" s="595"/>
      <c r="AU484" s="595"/>
      <c r="AV484" s="595"/>
      <c r="AW484" s="595"/>
      <c r="AX484" s="595"/>
      <c r="AY484" s="595"/>
      <c r="AZ484" s="595"/>
      <c r="BA484" s="595"/>
      <c r="BB484" s="595"/>
      <c r="BC484" s="595"/>
      <c r="BD484" s="595"/>
      <c r="BE484" s="595"/>
      <c r="BF484" s="595"/>
      <c r="BG484" s="595"/>
      <c r="BH484" s="595"/>
      <c r="BI484" s="651"/>
      <c r="BJ484" s="651"/>
      <c r="BK484" s="651"/>
      <c r="BL484" s="651"/>
      <c r="BM484" s="651"/>
      <c r="BN484" s="651"/>
      <c r="BO484" s="651"/>
      <c r="BP484" s="651"/>
      <c r="BQ484" s="651"/>
      <c r="BR484" s="651"/>
      <c r="BS484" s="651"/>
      <c r="BT484" s="651"/>
    </row>
    <row r="485">
      <c r="A485" s="631"/>
      <c r="B485" s="154" t="str">
        <f>IFERROR(__xludf.DUMMYFUNCTION("IFERROR(
  IF(C485="""","""",
    IF(OR(REGEXMATCH(D485,""(?i)-Flashing""), REGEXMATCH(D485,""(?i)-EavesGut""), REGEXMATCH(D485,""(?i)Valley"")),
        ""DR"" &amp;
        TEXT(
            ROUNDUP(
                MIN(
                    VALUE(MID(C485, "&amp;"FIND(""("",C485)+1, FIND(""/"",C485)-FIND(""("",C485)-1)),
                    1200
                ) / 50, 0
            ) * 50, ""0""
        ) &amp;
        MID(C485, FIND(""/"",C485)+1, FIND("")"",C485)-FIND(""/"",C485)-1) &amp;
        TEXT(H485*100,""0"") &amp;"&amp;"
        I485,
    IF(AND(D485=""Roof Sheet"", REGEXMATCH(C485,""(?i)KS\d{4}[A-Z]{2}"")),
       REGEXEXTRACT(C485,""(?i)KS\d{4}[A-Z]{2}""),
    IF(AND(REGEXMATCH(D485,""(?i)-DP""), REGEXMATCH(C485,""(?i)Downpipe"")),
       ""dp"" &amp; REGEXEXTRACT(C485,""("&amp;"\d+)"") &amp; ""mm"",
    IF(AND(REGEXMATCH(D485,""(?i)Bracket""), REGEXMATCH(C485,""(?i)Bracket"")),
       ""Brkt"" &amp; REGEXEXTRACT(C485,""(\d+)"") &amp; ""mm"",
    IF(AND(REGEXMATCH(D485,""(?i)-OP""), REGEXMATCH(C485,""(?i)pops"")),
       ""op"" &amp; REGEXEXTRAC"&amp;"T(C485,""(\d+)"") &amp; ""mm"",
    IF(OR(D485=""R-FFTop"", D485=""R-FFBottom"", D485=""R-FFSide""),
        IF(REGEXMATCH(C485,""(?i)Profiled.*Top|Top.*Profiled""),""pfft"",
        IF(REGEXMATCH(C485,""(?i)Profiled.*Bottom|Bottom.*Profiled""),""pffb"",
    "&amp;"    IF(REGEXMATCH(C485,""(?i)Square""),""sff"",""""))),
    IF(REGEXMATCH(D485,""(?i)-Rivets""),""Rvt"",
    IF(REGEXMATCH(D485,""(?i)Silicone""),""300ml"",
    IF(REGEXMATCH(D485,""(?i)R-Butyl""),""300ml"",
    IF(REGEXMATCH(D485,""(?i)Fix""),""GenFix"","&amp;"
    IF(AND(REGEXMATCH(C485,""(?i)Timber""), REGEXMATCH(D485,""(?i)Timber"")),""tp"",
    IF(AND(REGEXMATCH(C485,""(?i)Vent G1275""), REGEXMATCH(D485,""(?i)Comb FIller"")),""CFV1275"",
    IF(REGEXMATCH(C485,""(?i)DPC""),""dpc"",
    IF(REGEXMATCH(C485,"""&amp;"(?i)Concealed Clips""),""ConClips"",
    IF(REGEXMATCH(D485,""(?i)-Takeoff ea""),""Takeoff ea"",
    IF(REGEXMATCH(D485,""(?i)-Takeoff LM""),""Takeoff LM"",
    IF(REGEXMATCH(D485,""(?i)-Takeoff m2""),""Takeoff m2"",
    IF(D485=""R-TU/TD"",""TU/TD"","""""&amp;")))))))))))))))))
  )))"),"TU/TD")</f>
        <v>TU/TD</v>
      </c>
      <c r="C485" s="123" t="s">
        <v>446</v>
      </c>
      <c r="D485" s="686" t="s">
        <v>107</v>
      </c>
      <c r="E485" s="722"/>
      <c r="F485" s="721"/>
      <c r="G485" s="158"/>
      <c r="H485" s="700"/>
      <c r="I485" s="700"/>
      <c r="J485" s="126" t="s">
        <v>87</v>
      </c>
      <c r="K485" s="126" t="str">
        <f>IFERROR(
  IF(B485="", "", VLOOKUP(B485, Data!$B$2:$K$905, 7, FALSE)),
  ""
)</f>
        <v/>
      </c>
      <c r="L485" s="704"/>
      <c r="M485" s="150">
        <f>M480</f>
        <v>20.71</v>
      </c>
      <c r="N485" s="151">
        <f t="shared" si="363"/>
        <v>1</v>
      </c>
      <c r="O485" s="169">
        <v>1.0</v>
      </c>
      <c r="P485" s="156">
        <v>1.0</v>
      </c>
      <c r="Q485" s="168">
        <f t="shared" si="359"/>
        <v>20.71</v>
      </c>
      <c r="R485" s="136" t="str">
        <f>IFERROR(
  IF(B485="", "", VLOOKUP(B485, Data!$B$2:$K$905, 9, FALSE)),
  ""
)</f>
        <v/>
      </c>
      <c r="S485" s="152">
        <f t="shared" si="360"/>
        <v>0</v>
      </c>
      <c r="T485" s="690"/>
      <c r="U485" s="136" t="str">
        <f>IFERROR(
  IF(B485="", "", VLOOKUP(B485, Data!$B$2:$K$905, 10, FALSE)),
  ""
)
</f>
        <v/>
      </c>
      <c r="V485" s="691"/>
      <c r="W485" s="140">
        <f t="shared" si="361"/>
        <v>0</v>
      </c>
      <c r="X485" s="692"/>
      <c r="Y485" s="595"/>
      <c r="Z485" s="595"/>
      <c r="AA485" s="595"/>
      <c r="AB485" s="354">
        <f t="shared" si="362"/>
        <v>0</v>
      </c>
      <c r="AC485" s="181"/>
      <c r="AD485" s="625"/>
      <c r="AE485" s="626"/>
      <c r="AF485" s="696"/>
      <c r="AG485" s="628"/>
      <c r="AH485" s="629"/>
      <c r="AI485" s="187"/>
      <c r="AJ485" s="630"/>
      <c r="AK485" s="630"/>
      <c r="AL485" s="595"/>
      <c r="AM485" s="595"/>
      <c r="AN485" s="595"/>
      <c r="AO485" s="595"/>
      <c r="AP485" s="595"/>
      <c r="AQ485" s="595"/>
      <c r="AR485" s="595"/>
      <c r="AS485" s="595"/>
      <c r="AT485" s="595"/>
      <c r="AU485" s="595"/>
      <c r="AV485" s="595"/>
      <c r="AW485" s="595"/>
      <c r="AX485" s="595"/>
      <c r="AY485" s="595"/>
      <c r="AZ485" s="595"/>
      <c r="BA485" s="595"/>
      <c r="BB485" s="595"/>
      <c r="BC485" s="595"/>
      <c r="BD485" s="595"/>
      <c r="BE485" s="595"/>
      <c r="BF485" s="595"/>
      <c r="BG485" s="595"/>
      <c r="BH485" s="595"/>
      <c r="BI485" s="651"/>
      <c r="BJ485" s="651"/>
      <c r="BK485" s="651"/>
      <c r="BL485" s="651"/>
      <c r="BM485" s="651"/>
      <c r="BN485" s="651"/>
      <c r="BO485" s="651"/>
      <c r="BP485" s="651"/>
      <c r="BQ485" s="651"/>
      <c r="BR485" s="651"/>
      <c r="BS485" s="651"/>
      <c r="BT485" s="651"/>
    </row>
    <row r="486">
      <c r="A486" s="631"/>
      <c r="B486" s="154"/>
      <c r="C486" s="734"/>
      <c r="D486" s="124"/>
      <c r="E486" s="722"/>
      <c r="F486" s="721"/>
      <c r="G486" s="158"/>
      <c r="H486" s="700"/>
      <c r="I486" s="700"/>
      <c r="J486" s="126"/>
      <c r="K486" s="126"/>
      <c r="L486" s="712"/>
      <c r="M486" s="150"/>
      <c r="N486" s="151"/>
      <c r="O486" s="169"/>
      <c r="P486" s="134"/>
      <c r="Q486" s="168"/>
      <c r="R486" s="136" t="str">
        <f>IFERROR(
  IF(B486="", "", VLOOKUP(B486, Data!$B$2:$K$905, 9, FALSE)),
  ""
)</f>
        <v/>
      </c>
      <c r="S486" s="152"/>
      <c r="T486" s="690"/>
      <c r="U486" s="136" t="str">
        <f>IFERROR(
  IF(B486="", "", VLOOKUP(B486, Data!$B$2:$K$905, 10, FALSE)),
  ""
)
</f>
        <v/>
      </c>
      <c r="V486" s="691"/>
      <c r="W486" s="140"/>
      <c r="X486" s="692"/>
      <c r="Y486" s="595"/>
      <c r="Z486" s="595"/>
      <c r="AA486" s="595"/>
      <c r="AB486" s="354">
        <f t="shared" si="362"/>
        <v>0</v>
      </c>
      <c r="AC486" s="181"/>
      <c r="AD486" s="625"/>
      <c r="AE486" s="626"/>
      <c r="AF486" s="696"/>
      <c r="AG486" s="697"/>
      <c r="AH486" s="629"/>
      <c r="AI486" s="187"/>
      <c r="AJ486" s="630"/>
      <c r="AK486" s="630"/>
      <c r="AL486" s="595"/>
      <c r="AM486" s="595"/>
      <c r="AN486" s="595"/>
      <c r="AO486" s="595"/>
      <c r="AP486" s="595"/>
      <c r="AQ486" s="595"/>
      <c r="AR486" s="595"/>
      <c r="AS486" s="595"/>
      <c r="AT486" s="595"/>
      <c r="AU486" s="595"/>
      <c r="AV486" s="595"/>
      <c r="AW486" s="595"/>
      <c r="AX486" s="595"/>
      <c r="AY486" s="595"/>
      <c r="AZ486" s="595"/>
      <c r="BA486" s="595"/>
      <c r="BB486" s="595"/>
      <c r="BC486" s="595"/>
      <c r="BD486" s="595"/>
      <c r="BE486" s="595"/>
      <c r="BF486" s="595"/>
      <c r="BG486" s="595"/>
      <c r="BH486" s="595"/>
      <c r="BI486" s="651"/>
      <c r="BJ486" s="651"/>
      <c r="BK486" s="651"/>
      <c r="BL486" s="651"/>
      <c r="BM486" s="651"/>
      <c r="BN486" s="651"/>
      <c r="BO486" s="651"/>
      <c r="BP486" s="651"/>
      <c r="BQ486" s="651"/>
      <c r="BR486" s="651"/>
      <c r="BS486" s="651"/>
      <c r="BT486" s="651"/>
    </row>
    <row r="487">
      <c r="A487" s="631">
        <v>1.0</v>
      </c>
      <c r="B487" s="727"/>
      <c r="C487" s="157" t="s">
        <v>452</v>
      </c>
      <c r="D487" s="678"/>
      <c r="E487" s="676"/>
      <c r="F487" s="677"/>
      <c r="G487" s="678"/>
      <c r="H487" s="678"/>
      <c r="I487" s="678"/>
      <c r="J487" s="678"/>
      <c r="K487" s="678" t="s">
        <v>42</v>
      </c>
      <c r="L487" s="106">
        <f>Q487</f>
        <v>9.032378561</v>
      </c>
      <c r="M487" s="679" t="s">
        <v>42</v>
      </c>
      <c r="N487" s="680"/>
      <c r="O487" s="679"/>
      <c r="P487" s="678"/>
      <c r="Q487" s="106">
        <f>Q488</f>
        <v>9.032378561</v>
      </c>
      <c r="R487" s="681" t="str">
        <f>IFERROR(
  IF(B487="", "", VLOOKUP(B487, Data!$B$2:$K$905, 9, FALSE)),
  ""
)</f>
        <v/>
      </c>
      <c r="S487" s="682">
        <f>IFERROR(T487/Q487, 0)</f>
        <v>0</v>
      </c>
      <c r="T487" s="109">
        <f>SUM(S488:S496)</f>
        <v>0</v>
      </c>
      <c r="U487" s="681" t="str">
        <f>IFERROR(
  IF(B487="", "", VLOOKUP(B487, Data!$B$2:$K$905, 10, FALSE)),
  ""
)
</f>
        <v/>
      </c>
      <c r="V487" s="109">
        <f>W487/Q487</f>
        <v>0</v>
      </c>
      <c r="W487" s="110">
        <f>SUM(W488:W496)</f>
        <v>0</v>
      </c>
      <c r="X487" s="111" t="str">
        <f>W487/$AC$758/$W$765/$X$755</f>
        <v>#REF!</v>
      </c>
      <c r="Y487" s="112" t="b">
        <f>(T487+W487)=(SUM(AB488:AB496))</f>
        <v>1</v>
      </c>
      <c r="Z487" s="113">
        <f>(T487+W487)-(SUM(AB488:AB496))</f>
        <v>0</v>
      </c>
      <c r="AA487" s="595"/>
      <c r="AB487" s="595"/>
      <c r="AC487" s="181"/>
      <c r="AD487" s="114">
        <f>W487+T487</f>
        <v>0</v>
      </c>
      <c r="AE487" s="115">
        <f>AD487</f>
        <v>0</v>
      </c>
      <c r="AF487" s="116" t="str">
        <f>AE487/$AE$733</f>
        <v>#REF!</v>
      </c>
      <c r="AG487" s="683" t="str">
        <f>AF487*$AG$740</f>
        <v>#REF!</v>
      </c>
      <c r="AH487" s="118" t="str">
        <f>AF487*$AG$743</f>
        <v>#REF!</v>
      </c>
      <c r="AI487" s="187"/>
      <c r="AJ487" s="119" t="str">
        <f>ROUND(AK487/L487,2)</f>
        <v>#REF!</v>
      </c>
      <c r="AK487" s="119" t="str">
        <f>ROUND(AH487+AG487+AD487,2)</f>
        <v>#REF!</v>
      </c>
      <c r="AL487" s="595"/>
      <c r="AM487" s="595"/>
      <c r="AN487" s="595"/>
      <c r="AO487" s="595"/>
      <c r="AP487" s="595"/>
      <c r="AQ487" s="595"/>
      <c r="AR487" s="595"/>
      <c r="AS487" s="595"/>
      <c r="AT487" s="595"/>
      <c r="AU487" s="595"/>
      <c r="AV487" s="595"/>
      <c r="AW487" s="595"/>
      <c r="AX487" s="595"/>
      <c r="AY487" s="595"/>
      <c r="AZ487" s="595"/>
      <c r="BA487" s="595"/>
      <c r="BB487" s="595"/>
      <c r="BC487" s="595"/>
      <c r="BD487" s="595"/>
      <c r="BE487" s="595"/>
      <c r="BF487" s="595"/>
      <c r="BG487" s="595"/>
      <c r="BH487" s="595"/>
      <c r="BI487" s="651"/>
      <c r="BJ487" s="651"/>
      <c r="BK487" s="651"/>
      <c r="BL487" s="651"/>
      <c r="BM487" s="651"/>
      <c r="BN487" s="651"/>
      <c r="BO487" s="651"/>
      <c r="BP487" s="651"/>
      <c r="BQ487" s="651"/>
      <c r="BR487" s="651"/>
      <c r="BS487" s="651"/>
      <c r="BT487" s="651"/>
    </row>
    <row r="488">
      <c r="A488" s="703" t="s">
        <v>444</v>
      </c>
      <c r="B488" s="154" t="str">
        <f>IFERROR(__xludf.DUMMYFUNCTION("IFERROR(
  IF(C488="""","""",
    IF(OR(REGEXMATCH(D488,""(?i)-Flashing""), REGEXMATCH(D488,""(?i)-EavesGut""), REGEXMATCH(D488,""(?i)Valley"")),
        ""DR"" &amp;
        TEXT(
            ROUNDUP(
                VALUE(MID(C488, FIND(""("",C488)+1, FIND("&amp;"""/"",C488)-FIND(""("",C488)-1)) / 50,
            0) * 50, ""0""
        ) &amp;
        MID(C488, FIND(""/"",C488)+1, FIND("")"",C488)-FIND(""/"",C488)-1) &amp;
        TEXT(H488*100,""0"") &amp;
        I488,
    IF(AND(D488=""Roof Sheet"", REGEXMATCH(C488,""(?i)K"&amp;"S\d{4}[A-Z]{2}"")),
       REGEXEXTRACT(C488,""(?i)KS\d{4}[A-Z]{2}""),
    IF(AND(REGEXMATCH(D488,""(?i)-DP""), REGEXMATCH(C488,""(?i)Downpipe"")),
       ""dp"" &amp; REGEXEXTRACT(C488,""(\d+)"") &amp; ""mm"",
    IF(AND(REGEXMATCH(D488,""(?i)Bracket""), REGEXMA"&amp;"TCH(C488,""(?i)Bracket"")),
       ""Brkt"" &amp; REGEXEXTRACT(C488,""(\d+)"") &amp; ""mm"",
    IF(AND(REGEXMATCH(D488,""(?i)-OP""), REGEXMATCH(C488,""(?i)pops"")),
       ""op"" &amp; REGEXEXTRACT(C488,""(\d+)"") &amp; ""mm"",
    IF(OR(D488=""R-FFTop"", D488=""R-FFBot"&amp;"tom"", D488=""R-FFSide""),
        IF(REGEXMATCH(C488,""(?i)Profiled.*Top|Top.*Profiled""),""pfft"",
        IF(REGEXMATCH(C488,""(?i)Profiled.*Bottom|Bottom.*Profiled""),""pffb"",
        IF(REGEXMATCH(C488,""(?i)Square""),""sff"",""""))),
    IF(REGEXMA"&amp;"TCH(D488,""(?i)-Rivets""),""Rvt"",
    IF(REGEXMATCH(D488,""(?i)Silicone""),""300ml"",
    IF(REGEXMATCH(D488,""(?i)R-Butyl""),""300ml"",
    IF(REGEXMATCH(D488,""(?i)Fix""),""GenFix"",
    IF(AND(REGEXMATCH(C488,""(?i)Timber""), REGEXMATCH(D488,""(?i)Tim"&amp;"ber"")),""tp"",
    IF(AND(REGEXMATCH(C488,""(?i)Vent G1275""), REGEXMATCH(D488,""(?i)Comb FIller"")),""CFV1275"",
    IF(REGEXMATCH(C488,""(?i)DPC""),""dpc"",
    IF(REGEXMATCH(C488,""(?i)Concealed Clips""),""ConClips"",
    IF(REGEXMATCH(D488,""(?i)-Tak"&amp;"eoff ea""),""Takeoff ea"",
    IF(REGEXMATCH(D488,""(?i)-Takeoff LM""),""Takeoff LM"",
    IF(REGEXMATCH(D488,""(?i)-Takeoff m2""),""Takeoff m2"",
    IF(D488=""R-TU/TD"",""TU/TD"","""")))))))))))))))))
  )))"),"DR8003B55Mag")</f>
        <v>DR8003B55Mag</v>
      </c>
      <c r="C488" s="158" t="s">
        <v>502</v>
      </c>
      <c r="D488" s="124" t="s">
        <v>96</v>
      </c>
      <c r="E488" s="687">
        <f>VALUE(MID(C488, FIND("(", C488)+1, FIND("/", C488)-FIND("(", C488)-1)) / 1000</f>
        <v>0.78</v>
      </c>
      <c r="F488" s="688"/>
      <c r="G488" s="689" t="s">
        <v>539</v>
      </c>
      <c r="H488" s="128" t="str">
        <f>IFERROR(__xludf.DUMMYFUNCTION("IFERROR(REGEXEXTRACT(C488, ""(\d*\.\d+)mm""), """")"),"0.55")</f>
        <v>0.55</v>
      </c>
      <c r="I488" s="128" t="s">
        <v>97</v>
      </c>
      <c r="J488" s="126" t="s">
        <v>14</v>
      </c>
      <c r="K488" s="126" t="str">
        <f>IFERROR(
  IF(B488="", "", VLOOKUP(B488, Data!$B$2:$K$905, 7, FALSE)),
  ""
)</f>
        <v/>
      </c>
      <c r="L488" s="704"/>
      <c r="M488" s="730">
        <v>9.02</v>
      </c>
      <c r="N488" s="151">
        <f>IFERROR(__xludf.DUMMYFUNCTION("IF(
  AND(
    IFERROR(REGEXEXTRACT(C488,""@\s*(\d+(?:\.\d+)?)\s*deg""),"""")&lt;&gt;"""",
    F488&lt;&gt;""""
  ),
  ""Pls Confirm °"",
  IF(
    IFERROR(REGEXEXTRACT(C488,""@\s*(\d+(?:\.\d+)?)\s*deg""),"""")&lt;&gt;"""",
    1/COS(RADIANS(REGEXEXTRACT(C488,""@\s*(\d+(?:"&amp;"\.\d+)?)\s*deg""))),
    IF(
      F488&lt;&gt;"""",
      IF(
        ISNUMBER(SEARCH(""|"",F488)),
        1/COS(
          ATAN(
            TAN(RADIANS(VALUE(INDEX(SPLIT(F488,""|""),1)))) *
            TAN(RADIANS(VALUE(INDEX(SPLIT(F488,""|""),2))))
       "&amp;"     /
            SQRT(
              TAN(RADIANS(VALUE(INDEX(SPLIT(F488,""|""),1))))^2 +
              TAN(RADIANS(VALUE(INDEX(SPLIT(F488,""|""),2))))^2
            )
          )
        ),
        1/COS(RADIANS(VALUE(F488)))
      ),
      1
    )
  )
"&amp;")"),1.001372345997921)</f>
        <v>1.001372346</v>
      </c>
      <c r="O488" s="169">
        <v>1.0</v>
      </c>
      <c r="P488" s="134">
        <v>1.0</v>
      </c>
      <c r="Q488" s="168">
        <f t="shared" ref="Q488:Q492" si="364">M488*N488*O488*P488</f>
        <v>9.032378561</v>
      </c>
      <c r="R488" s="136" t="str">
        <f>IFERROR(
  IF(B488="", "", VLOOKUP(B488, Data!$B$2:$K$905, 9, FALSE)),
  ""
)</f>
        <v/>
      </c>
      <c r="S488" s="152">
        <f t="shared" ref="S488:S492" si="365">R488*Q488</f>
        <v>0</v>
      </c>
      <c r="T488" s="690"/>
      <c r="U488" s="136" t="str">
        <f>IFERROR(
  IF(B488="", "", VLOOKUP(B488, Data!$B$2:$K$905, 10, FALSE)),
  ""
)
</f>
        <v/>
      </c>
      <c r="V488" s="691"/>
      <c r="W488" s="140">
        <f t="shared" ref="W488:W492" si="366">U488*Q488</f>
        <v>0</v>
      </c>
      <c r="X488" s="692"/>
      <c r="Y488" s="693"/>
      <c r="Z488" s="731"/>
      <c r="AA488" s="595"/>
      <c r="AB488" s="354">
        <f t="shared" ref="AB488:AB492" si="367">W488+S488</f>
        <v>0</v>
      </c>
      <c r="AC488" s="181"/>
      <c r="AD488" s="625"/>
      <c r="AE488" s="626"/>
      <c r="AF488" s="696"/>
      <c r="AG488" s="697"/>
      <c r="AH488" s="629"/>
      <c r="AI488" s="187"/>
      <c r="AJ488" s="630"/>
      <c r="AK488" s="630"/>
      <c r="AL488" s="595"/>
      <c r="AM488" s="595"/>
      <c r="AN488" s="595"/>
      <c r="AO488" s="595"/>
      <c r="AP488" s="595"/>
      <c r="AQ488" s="595"/>
      <c r="AR488" s="595"/>
      <c r="AS488" s="595"/>
      <c r="AT488" s="595"/>
      <c r="AU488" s="595"/>
      <c r="AV488" s="595"/>
      <c r="AW488" s="595"/>
      <c r="AX488" s="595"/>
      <c r="AY488" s="595"/>
      <c r="AZ488" s="595"/>
      <c r="BA488" s="595"/>
      <c r="BB488" s="595"/>
      <c r="BC488" s="595"/>
      <c r="BD488" s="595"/>
      <c r="BE488" s="595"/>
      <c r="BF488" s="595"/>
      <c r="BG488" s="595"/>
      <c r="BH488" s="595"/>
      <c r="BI488" s="651"/>
      <c r="BJ488" s="651"/>
      <c r="BK488" s="651"/>
      <c r="BL488" s="651"/>
      <c r="BM488" s="651"/>
      <c r="BN488" s="651"/>
      <c r="BO488" s="651"/>
      <c r="BP488" s="651"/>
      <c r="BQ488" s="651"/>
      <c r="BR488" s="651"/>
      <c r="BS488" s="651"/>
      <c r="BT488" s="651"/>
    </row>
    <row r="489">
      <c r="A489" s="684"/>
      <c r="B489" s="154" t="str">
        <f>IFERROR(__xludf.DUMMYFUNCTION("IFERROR(
  IF(C489="""","""",
    IF(OR(REGEXMATCH(D489,""(?i)-Flashing""), REGEXMATCH(D489,""(?i)-EavesGut""), REGEXMATCH(D489,""(?i)Valley"")),
        ""DR"" &amp;
        TEXT(
            ROUNDUP(
                MIN(
                    VALUE(MID(C489, "&amp;"FIND(""("",C489)+1, FIND(""/"",C489)-FIND(""("",C489)-1)),
                    1200
                ) / 50, 0
            ) * 50, ""0""
        ) &amp;
        MID(C489, FIND(""/"",C489)+1, FIND("")"",C489)-FIND(""/"",C489)-1) &amp;
        TEXT(H489*100,""0"") &amp;"&amp;"
        I489,
    IF(AND(D489=""Roof Sheet"", REGEXMATCH(C489,""(?i)KS\d{4}[A-Z]{2}"")),
       REGEXEXTRACT(C489,""(?i)KS\d{4}[A-Z]{2}""),
    IF(AND(REGEXMATCH(D489,""(?i)-DP""), REGEXMATCH(C489,""(?i)Downpipe"")),
       ""dp"" &amp; REGEXEXTRACT(C489,""("&amp;"\d+)"") &amp; ""mm"",
    IF(AND(REGEXMATCH(D489,""(?i)Bracket""), REGEXMATCH(C489,""(?i)Bracket"")),
       ""Brkt"" &amp; REGEXEXTRACT(C489,""(\d+)"") &amp; ""mm"",
    IF(AND(REGEXMATCH(D489,""(?i)-OP""), REGEXMATCH(C489,""(?i)pops"")),
       ""op"" &amp; REGEXEXTRAC"&amp;"T(C489,""(\d+)"") &amp; ""mm"",
    IF(OR(D489=""R-FFTop"", D489=""R-FFBottom"", D489=""R-FFSide""),
        IF(REGEXMATCH(C489,""(?i)Profiled.*Top|Top.*Profiled""),""pfft"",
        IF(REGEXMATCH(C489,""(?i)Profiled.*Bottom|Bottom.*Profiled""),""pffb"",
    "&amp;"    IF(REGEXMATCH(C489,""(?i)Square""),""sff"",""""))),
    IF(REGEXMATCH(D489,""(?i)-Rivets""),""Rvt"",
    IF(REGEXMATCH(D489,""(?i)Silicone""),""300ml"",
    IF(REGEXMATCH(D489,""(?i)R-Butyl""),""300ml"",
    IF(REGEXMATCH(D489,""(?i)Fix""),""GenFix"","&amp;"
    IF(AND(REGEXMATCH(C489,""(?i)Timber""), REGEXMATCH(D489,""(?i)Timber"")),""tp"",
    IF(AND(REGEXMATCH(C489,""(?i)Vent G1275""), REGEXMATCH(D489,""(?i)Comb FIller"")),""CFV1275"",
    IF(REGEXMATCH(C489,""(?i)DPC""),""dpc"",
    IF(REGEXMATCH(C489,"""&amp;"(?i)Concealed Clips""),""ConClips"",
    IF(REGEXMATCH(D489,""(?i)-Takeoff ea""),""Takeoff ea"",
    IF(REGEXMATCH(D489,""(?i)-Takeoff LM""),""Takeoff LM"",
    IF(REGEXMATCH(D489,""(?i)-Takeoff m2""),""Takeoff m2"",
    IF(D489=""R-TU/TD"",""TU/TD"","""""&amp;")))))))))))))))))
  )))"),"300ml")</f>
        <v>300ml</v>
      </c>
      <c r="C489" s="225" t="s">
        <v>98</v>
      </c>
      <c r="D489" s="124" t="s">
        <v>99</v>
      </c>
      <c r="E489" s="687">
        <f>E488</f>
        <v>0.78</v>
      </c>
      <c r="F489" s="699"/>
      <c r="G489" s="700"/>
      <c r="H489" s="700" t="str">
        <f>IFERROR(__xludf.DUMMYFUNCTION("IFERROR(REGEXEXTRACT(C489, ""(\d*\.\d+)mm""), """")"),"")</f>
        <v/>
      </c>
      <c r="I489" s="700"/>
      <c r="J489" s="126" t="s">
        <v>87</v>
      </c>
      <c r="K489" s="126" t="str">
        <f>IFERROR(
  IF(B489="", "", VLOOKUP(B489, Data!$B$2:$K$905, 7, FALSE)),
  ""
)</f>
        <v/>
      </c>
      <c r="L489" s="704"/>
      <c r="M489" s="150">
        <f>(ROUNDDOWN((M488/5.7)+2,0)*E489)/8</f>
        <v>0.2925</v>
      </c>
      <c r="N489" s="151">
        <f t="shared" ref="N489:N496" si="368">if(B489="","",(if(N488="",N487,N488)))</f>
        <v>1.001372346</v>
      </c>
      <c r="O489" s="169">
        <v>1.0</v>
      </c>
      <c r="P489" s="134">
        <v>1.0</v>
      </c>
      <c r="Q489" s="168">
        <f t="shared" si="364"/>
        <v>0.2929014112</v>
      </c>
      <c r="R489" s="136" t="str">
        <f>IFERROR(
  IF(B489="", "", VLOOKUP(B489, Data!$B$2:$K$905, 9, FALSE)),
  ""
)</f>
        <v/>
      </c>
      <c r="S489" s="152">
        <f t="shared" si="365"/>
        <v>0</v>
      </c>
      <c r="T489" s="690"/>
      <c r="U489" s="681" t="str">
        <f>IFERROR(
  IF(B489="", "", VLOOKUP(B489, Data!$B$2:$K$905, 10, FALSE)),
  ""
)
</f>
        <v/>
      </c>
      <c r="V489" s="691"/>
      <c r="W489" s="140">
        <f t="shared" si="366"/>
        <v>0</v>
      </c>
      <c r="X489" s="692"/>
      <c r="Y489" s="595"/>
      <c r="Z489" s="595"/>
      <c r="AA489" s="595"/>
      <c r="AB489" s="354">
        <f t="shared" si="367"/>
        <v>0</v>
      </c>
      <c r="AC489" s="181"/>
      <c r="AD489" s="625"/>
      <c r="AE489" s="626"/>
      <c r="AF489" s="696"/>
      <c r="AG489" s="697"/>
      <c r="AH489" s="629"/>
      <c r="AI489" s="187"/>
      <c r="AJ489" s="630"/>
      <c r="AK489" s="630"/>
      <c r="AL489" s="595"/>
      <c r="AM489" s="595"/>
      <c r="AN489" s="595"/>
      <c r="AO489" s="595"/>
      <c r="AP489" s="595"/>
      <c r="AQ489" s="595"/>
      <c r="AR489" s="595"/>
      <c r="AS489" s="595"/>
      <c r="AT489" s="595"/>
      <c r="AU489" s="595"/>
      <c r="AV489" s="595"/>
      <c r="AW489" s="595"/>
      <c r="AX489" s="595"/>
      <c r="AY489" s="595"/>
      <c r="AZ489" s="595"/>
      <c r="BA489" s="595"/>
      <c r="BB489" s="595"/>
      <c r="BC489" s="595"/>
      <c r="BD489" s="595"/>
      <c r="BE489" s="595"/>
      <c r="BF489" s="595"/>
      <c r="BG489" s="595"/>
      <c r="BH489" s="595"/>
      <c r="BI489" s="651"/>
      <c r="BJ489" s="651"/>
      <c r="BK489" s="651"/>
      <c r="BL489" s="651"/>
      <c r="BM489" s="651"/>
      <c r="BN489" s="651"/>
      <c r="BO489" s="651"/>
      <c r="BP489" s="651"/>
      <c r="BQ489" s="651"/>
      <c r="BR489" s="651"/>
      <c r="BS489" s="651"/>
      <c r="BT489" s="651"/>
    </row>
    <row r="490">
      <c r="A490" s="684"/>
      <c r="B490" s="154" t="str">
        <f>IFERROR(__xludf.DUMMYFUNCTION("IFERROR(
  IF(C490="""","""",
    IF(OR(REGEXMATCH(D490,""(?i)-Flashing""), REGEXMATCH(D490,""(?i)-EavesGut""), REGEXMATCH(D490,""(?i)Valley"")),
        ""DR"" &amp;
        TEXT(
            ROUNDUP(
                MIN(
                    VALUE(MID(C490, "&amp;"FIND(""("",C490)+1, FIND(""/"",C490)-FIND(""("",C490)-1)),
                    1200
                ) / 50, 0
            ) * 50, ""0""
        ) &amp;
        MID(C490, FIND(""/"",C490)+1, FIND("")"",C490)-FIND(""/"",C490)-1) &amp;
        TEXT(H490*100,""0"") &amp;"&amp;"
        I490,
    IF(AND(D490=""Roof Sheet"", REGEXMATCH(C490,""(?i)KS\d{4}[A-Z]{2}"")),
       REGEXEXTRACT(C490,""(?i)KS\d{4}[A-Z]{2}""),
    IF(AND(REGEXMATCH(D490,""(?i)-DP""), REGEXMATCH(C490,""(?i)Downpipe"")),
       ""dp"" &amp; REGEXEXTRACT(C490,""("&amp;"\d+)"") &amp; ""mm"",
    IF(AND(REGEXMATCH(D490,""(?i)Bracket""), REGEXMATCH(C490,""(?i)Bracket"")),
       ""Brkt"" &amp; REGEXEXTRACT(C490,""(\d+)"") &amp; ""mm"",
    IF(AND(REGEXMATCH(D490,""(?i)-OP""), REGEXMATCH(C490,""(?i)pops"")),
       ""op"" &amp; REGEXEXTRAC"&amp;"T(C490,""(\d+)"") &amp; ""mm"",
    IF(OR(D490=""R-FFTop"", D490=""R-FFBottom"", D490=""R-FFSide""),
        IF(REGEXMATCH(C490,""(?i)Profiled.*Top|Top.*Profiled""),""pfft"",
        IF(REGEXMATCH(C490,""(?i)Profiled.*Bottom|Bottom.*Profiled""),""pffb"",
    "&amp;"    IF(REGEXMATCH(C490,""(?i)Square""),""sff"",""""))),
    IF(REGEXMATCH(D490,""(?i)-Rivets""),""Rvt"",
    IF(REGEXMATCH(D490,""(?i)Silicone""),""300ml"",
    IF(REGEXMATCH(D490,""(?i)R-Butyl""),""300ml"",
    IF(REGEXMATCH(D490,""(?i)Fix""),""GenFix"","&amp;"
    IF(AND(REGEXMATCH(C490,""(?i)Timber""), REGEXMATCH(D490,""(?i)Timber"")),""tp"",
    IF(AND(REGEXMATCH(C490,""(?i)Vent G1275""), REGEXMATCH(D490,""(?i)Comb FIller"")),""CFV1275"",
    IF(REGEXMATCH(C490,""(?i)DPC""),""dpc"",
    IF(REGEXMATCH(C490,"""&amp;"(?i)Concealed Clips""),""ConClips"",
    IF(REGEXMATCH(D490,""(?i)-Takeoff ea""),""Takeoff ea"",
    IF(REGEXMATCH(D490,""(?i)-Takeoff LM""),""Takeoff LM"",
    IF(REGEXMATCH(D490,""(?i)-Takeoff m2""),""Takeoff m2"",
    IF(D490=""R-TU/TD"",""TU/TD"","""""&amp;")))))))))))))))))
  )))"),"Rvt")</f>
        <v>Rvt</v>
      </c>
      <c r="C490" s="225" t="s">
        <v>100</v>
      </c>
      <c r="D490" s="124" t="s">
        <v>101</v>
      </c>
      <c r="E490" s="687">
        <f>E488</f>
        <v>0.78</v>
      </c>
      <c r="F490" s="699"/>
      <c r="G490" s="700"/>
      <c r="H490" s="700" t="str">
        <f>IFERROR(__xludf.DUMMYFUNCTION("IFERROR(REGEXEXTRACT(C490, ""(\d*\.\d+)mm""), """")"),"")</f>
        <v/>
      </c>
      <c r="I490" s="700"/>
      <c r="J490" s="126" t="s">
        <v>87</v>
      </c>
      <c r="K490" s="126" t="str">
        <f>IFERROR(
  IF(B490="", "", VLOOKUP(B490, Data!$B$2:$K$905, 7, FALSE)),
  ""
)</f>
        <v/>
      </c>
      <c r="L490" s="704"/>
      <c r="M490" s="150">
        <f>ROUNDUP(((M488/5.7)+1)*(E490/0.05),0)</f>
        <v>41</v>
      </c>
      <c r="N490" s="151">
        <f t="shared" si="368"/>
        <v>1.001372346</v>
      </c>
      <c r="O490" s="169">
        <v>1.0</v>
      </c>
      <c r="P490" s="134">
        <v>1.0</v>
      </c>
      <c r="Q490" s="168">
        <f t="shared" si="364"/>
        <v>41.05626619</v>
      </c>
      <c r="R490" s="136" t="str">
        <f>IFERROR(
  IF(B490="", "", VLOOKUP(B490, Data!$B$2:$K$905, 9, FALSE)),
  ""
)</f>
        <v/>
      </c>
      <c r="S490" s="152">
        <f t="shared" si="365"/>
        <v>0</v>
      </c>
      <c r="T490" s="690"/>
      <c r="U490" s="681" t="str">
        <f>IFERROR(
  IF(B490="", "", VLOOKUP(B490, Data!$B$2:$K$905, 10, FALSE)),
  ""
)
</f>
        <v/>
      </c>
      <c r="V490" s="691"/>
      <c r="W490" s="140">
        <f t="shared" si="366"/>
        <v>0</v>
      </c>
      <c r="X490" s="692"/>
      <c r="Y490" s="595"/>
      <c r="Z490" s="595"/>
      <c r="AA490" s="595"/>
      <c r="AB490" s="354">
        <f t="shared" si="367"/>
        <v>0</v>
      </c>
      <c r="AC490" s="181"/>
      <c r="AD490" s="625"/>
      <c r="AE490" s="626"/>
      <c r="AF490" s="696"/>
      <c r="AG490" s="697"/>
      <c r="AH490" s="629"/>
      <c r="AI490" s="187"/>
      <c r="AJ490" s="630"/>
      <c r="AK490" s="630"/>
      <c r="AL490" s="595"/>
      <c r="AM490" s="595"/>
      <c r="AN490" s="595"/>
      <c r="AO490" s="595"/>
      <c r="AP490" s="595"/>
      <c r="AQ490" s="595"/>
      <c r="AR490" s="595"/>
      <c r="AS490" s="595"/>
      <c r="AT490" s="595"/>
      <c r="AU490" s="595"/>
      <c r="AV490" s="595"/>
      <c r="AW490" s="595"/>
      <c r="AX490" s="595"/>
      <c r="AY490" s="595"/>
      <c r="AZ490" s="595"/>
      <c r="BA490" s="595"/>
      <c r="BB490" s="595"/>
      <c r="BC490" s="595"/>
      <c r="BD490" s="595"/>
      <c r="BE490" s="595"/>
      <c r="BF490" s="595"/>
      <c r="BG490" s="595"/>
      <c r="BH490" s="595"/>
      <c r="BI490" s="651"/>
      <c r="BJ490" s="651"/>
      <c r="BK490" s="651"/>
      <c r="BL490" s="651"/>
      <c r="BM490" s="651"/>
      <c r="BN490" s="651"/>
      <c r="BO490" s="651"/>
      <c r="BP490" s="651"/>
      <c r="BQ490" s="651"/>
      <c r="BR490" s="651"/>
      <c r="BS490" s="651"/>
      <c r="BT490" s="651"/>
    </row>
    <row r="491">
      <c r="A491" s="684"/>
      <c r="B491" s="154" t="str">
        <f>IFERROR(__xludf.DUMMYFUNCTION("IFERROR(
  IF(C491="""","""",
    IF(OR(REGEXMATCH(D491,""(?i)-Flashing""), REGEXMATCH(D491,""(?i)-EavesGut""), REGEXMATCH(D491,""(?i)Valley"")),
        ""DR"" &amp;
        TEXT(
            ROUNDUP(
                MIN(
                    VALUE(MID(C491, "&amp;"FIND(""("",C491)+1, FIND(""/"",C491)-FIND(""("",C491)-1)),
                    1200
                ) / 50, 0
            ) * 50, ""0""
        ) &amp;
        MID(C491, FIND(""/"",C491)+1, FIND("")"",C491)-FIND(""/"",C491)-1) &amp;
        TEXT(H491*100,""0"") &amp;"&amp;"
        I491,
    IF(AND(D491=""Roof Sheet"", REGEXMATCH(C491,""(?i)KS\d{4}[A-Z]{2}"")),
       REGEXEXTRACT(C491,""(?i)KS\d{4}[A-Z]{2}""),
    IF(AND(REGEXMATCH(D491,""(?i)-DP""), REGEXMATCH(C491,""(?i)Downpipe"")),
       ""dp"" &amp; REGEXEXTRACT(C491,""("&amp;"\d+)"") &amp; ""mm"",
    IF(AND(REGEXMATCH(D491,""(?i)Bracket""), REGEXMATCH(C491,""(?i)Bracket"")),
       ""Brkt"" &amp; REGEXEXTRACT(C491,""(\d+)"") &amp; ""mm"",
    IF(AND(REGEXMATCH(D491,""(?i)-OP""), REGEXMATCH(C491,""(?i)pops"")),
       ""op"" &amp; REGEXEXTRAC"&amp;"T(C491,""(\d+)"") &amp; ""mm"",
    IF(OR(D491=""R-FFTop"", D491=""R-FFBottom"", D491=""R-FFSide""),
        IF(REGEXMATCH(C491,""(?i)Profiled.*Top|Top.*Profiled""),""pfft"",
        IF(REGEXMATCH(C491,""(?i)Profiled.*Bottom|Bottom.*Profiled""),""pffb"",
    "&amp;"    IF(REGEXMATCH(C491,""(?i)Square""),""sff"",""""))),
    IF(REGEXMATCH(D491,""(?i)-Rivets""),""Rvt"",
    IF(REGEXMATCH(D491,""(?i)Silicone""),""300ml"",
    IF(REGEXMATCH(D491,""(?i)R-Butyl""),""300ml"",
    IF(REGEXMATCH(D491,""(?i)Fix""),""GenFix"","&amp;"
    IF(AND(REGEXMATCH(C491,""(?i)Timber""), REGEXMATCH(D491,""(?i)Timber"")),""tp"",
    IF(AND(REGEXMATCH(C491,""(?i)Vent G1275""), REGEXMATCH(D491,""(?i)Comb FIller"")),""CFV1275"",
    IF(REGEXMATCH(C491,""(?i)DPC""),""dpc"",
    IF(REGEXMATCH(C491,"""&amp;"(?i)Concealed Clips""),""ConClips"",
    IF(REGEXMATCH(D491,""(?i)-Takeoff ea""),""Takeoff ea"",
    IF(REGEXMATCH(D491,""(?i)-Takeoff LM""),""Takeoff LM"",
    IF(REGEXMATCH(D491,""(?i)-Takeoff m2""),""Takeoff m2"",
    IF(D491=""R-TU/TD"",""TU/TD"","""""&amp;")))))))))))))))))
  )))"),"GenFix")</f>
        <v>GenFix</v>
      </c>
      <c r="C491" s="158" t="s">
        <v>102</v>
      </c>
      <c r="D491" s="124" t="s">
        <v>103</v>
      </c>
      <c r="E491" s="722"/>
      <c r="F491" s="699"/>
      <c r="G491" s="701"/>
      <c r="H491" s="700"/>
      <c r="I491" s="700"/>
      <c r="J491" s="126" t="s">
        <v>87</v>
      </c>
      <c r="K491" s="126" t="str">
        <f>IFERROR(
  IF(B491="", "", VLOOKUP(B491, Data!$B$2:$K$905, 7, FALSE)),
  ""
)</f>
        <v/>
      </c>
      <c r="L491" s="712"/>
      <c r="M491" s="150">
        <f>ROUNDUP(M488/0.6,0)+1</f>
        <v>17</v>
      </c>
      <c r="N491" s="151">
        <f t="shared" si="368"/>
        <v>1.001372346</v>
      </c>
      <c r="O491" s="169">
        <v>1.0</v>
      </c>
      <c r="P491" s="134">
        <v>2.0</v>
      </c>
      <c r="Q491" s="168">
        <f t="shared" si="364"/>
        <v>34.04665976</v>
      </c>
      <c r="R491" s="136" t="str">
        <f>IFERROR(
  IF(B491="", "", VLOOKUP(B491, Data!$B$2:$K$905, 9, FALSE)),
  ""
)</f>
        <v/>
      </c>
      <c r="S491" s="152">
        <f t="shared" si="365"/>
        <v>0</v>
      </c>
      <c r="T491" s="690"/>
      <c r="U491" s="681" t="str">
        <f>IFERROR(
  IF(B491="", "", VLOOKUP(B491, Data!$B$2:$K$905, 10, FALSE)),
  ""
)
</f>
        <v/>
      </c>
      <c r="V491" s="691"/>
      <c r="W491" s="140">
        <f t="shared" si="366"/>
        <v>0</v>
      </c>
      <c r="X491" s="692"/>
      <c r="Y491" s="595"/>
      <c r="Z491" s="595"/>
      <c r="AA491" s="595"/>
      <c r="AB491" s="354">
        <f t="shared" si="367"/>
        <v>0</v>
      </c>
      <c r="AC491" s="181"/>
      <c r="AD491" s="625"/>
      <c r="AE491" s="626"/>
      <c r="AF491" s="696"/>
      <c r="AG491" s="697"/>
      <c r="AH491" s="629"/>
      <c r="AI491" s="187"/>
      <c r="AJ491" s="630"/>
      <c r="AK491" s="630"/>
      <c r="AL491" s="595"/>
      <c r="AM491" s="595"/>
      <c r="AN491" s="595"/>
      <c r="AO491" s="595"/>
      <c r="AP491" s="595"/>
      <c r="AQ491" s="595"/>
      <c r="AR491" s="595"/>
      <c r="AS491" s="595"/>
      <c r="AT491" s="595"/>
      <c r="AU491" s="595"/>
      <c r="AV491" s="595"/>
      <c r="AW491" s="595"/>
      <c r="AX491" s="595"/>
      <c r="AY491" s="595"/>
      <c r="AZ491" s="595"/>
      <c r="BA491" s="595"/>
      <c r="BB491" s="595"/>
      <c r="BC491" s="595"/>
      <c r="BD491" s="595"/>
      <c r="BE491" s="595"/>
      <c r="BF491" s="595"/>
      <c r="BG491" s="595"/>
      <c r="BH491" s="595"/>
      <c r="BI491" s="651"/>
      <c r="BJ491" s="651"/>
      <c r="BK491" s="651"/>
      <c r="BL491" s="651"/>
      <c r="BM491" s="651"/>
      <c r="BN491" s="651"/>
      <c r="BO491" s="651"/>
      <c r="BP491" s="651"/>
      <c r="BQ491" s="651"/>
      <c r="BR491" s="651"/>
      <c r="BS491" s="651"/>
      <c r="BT491" s="651"/>
    </row>
    <row r="492">
      <c r="A492" s="684"/>
      <c r="B492" s="154" t="str">
        <f>IFERROR(__xludf.DUMMYFUNCTION("IFERROR(
  IF(C492="""","""",
    IF(OR(REGEXMATCH(D492,""(?i)-Flashing""), REGEXMATCH(D492,""(?i)-EavesGut""), REGEXMATCH(D492,""(?i)Valley"")),
        ""DR"" &amp;
        TEXT(
            ROUNDUP(
                MIN(
                    VALUE(MID(C492, "&amp;"FIND(""("",C492)+1, FIND(""/"",C492)-FIND(""("",C492)-1)),
                    1200
                ) / 50, 0
            ) * 50, ""0""
        ) &amp;
        MID(C492, FIND(""/"",C492)+1, FIND("")"",C492)-FIND(""/"",C492)-1) &amp;
        TEXT(H492*100,""0"") &amp;"&amp;"
        I492,
    IF(AND(D492=""Roof Sheet"", REGEXMATCH(C492,""(?i)KS\d{4}[A-Z]{2}"")),
       REGEXEXTRACT(C492,""(?i)KS\d{4}[A-Z]{2}""),
    IF(AND(REGEXMATCH(D492,""(?i)-DP""), REGEXMATCH(C492,""(?i)Downpipe"")),
       ""dp"" &amp; REGEXEXTRACT(C492,""("&amp;"\d+)"") &amp; ""mm"",
    IF(AND(REGEXMATCH(D492,""(?i)Bracket""), REGEXMATCH(C492,""(?i)Bracket"")),
       ""Brkt"" &amp; REGEXEXTRACT(C492,""(\d+)"") &amp; ""mm"",
    IF(AND(REGEXMATCH(D492,""(?i)-OP""), REGEXMATCH(C492,""(?i)pops"")),
       ""op"" &amp; REGEXEXTRAC"&amp;"T(C492,""(\d+)"") &amp; ""mm"",
    IF(OR(D492=""R-FFTop"", D492=""R-FFBottom"", D492=""R-FFSide""),
        IF(REGEXMATCH(C492,""(?i)Profiled.*Top|Top.*Profiled""),""pfft"",
        IF(REGEXMATCH(C492,""(?i)Profiled.*Bottom|Bottom.*Profiled""),""pffb"",
    "&amp;"    IF(REGEXMATCH(C492,""(?i)Square""),""sff"",""""))),
    IF(REGEXMATCH(D492,""(?i)-Rivets""),""Rvt"",
    IF(REGEXMATCH(D492,""(?i)Silicone""),""300ml"",
    IF(REGEXMATCH(D492,""(?i)R-Butyl""),""300ml"",
    IF(REGEXMATCH(D492,""(?i)Fix""),""GenFix"","&amp;"
    IF(AND(REGEXMATCH(C492,""(?i)Timber""), REGEXMATCH(D492,""(?i)Timber"")),""tp"",
    IF(AND(REGEXMATCH(C492,""(?i)Vent G1275""), REGEXMATCH(D492,""(?i)Comb FIller"")),""CFV1275"",
    IF(REGEXMATCH(C492,""(?i)DPC""),""dpc"",
    IF(REGEXMATCH(C492,"""&amp;"(?i)Concealed Clips""),""ConClips"",
    IF(REGEXMATCH(D492,""(?i)-Takeoff ea""),""Takeoff ea"",
    IF(REGEXMATCH(D492,""(?i)-Takeoff LM""),""Takeoff LM"",
    IF(REGEXMATCH(D492,""(?i)-Takeoff m2""),""Takeoff m2"",
    IF(D492=""R-TU/TD"",""TU/TD"","""""&amp;")))))))))))))))))
  )))"),"sff")</f>
        <v>sff</v>
      </c>
      <c r="C492" s="225" t="s">
        <v>454</v>
      </c>
      <c r="D492" s="124" t="s">
        <v>105</v>
      </c>
      <c r="E492" s="722"/>
      <c r="F492" s="699"/>
      <c r="G492" s="701"/>
      <c r="H492" s="700"/>
      <c r="I492" s="700"/>
      <c r="J492" s="126" t="s">
        <v>87</v>
      </c>
      <c r="K492" s="126" t="str">
        <f>IFERROR(
  IF(B492="", "", VLOOKUP(B492, Data!$B$2:$K$905, 7, FALSE)),
  ""
)</f>
        <v/>
      </c>
      <c r="L492" s="712"/>
      <c r="M492" s="150">
        <f>M488</f>
        <v>9.02</v>
      </c>
      <c r="N492" s="151">
        <f t="shared" si="368"/>
        <v>1.001372346</v>
      </c>
      <c r="O492" s="169">
        <v>1.0</v>
      </c>
      <c r="P492" s="134">
        <v>1.0</v>
      </c>
      <c r="Q492" s="168">
        <f t="shared" si="364"/>
        <v>9.032378561</v>
      </c>
      <c r="R492" s="136" t="str">
        <f>IFERROR(
  IF(B492="", "", VLOOKUP(B492, Data!$B$2:$K$905, 9, FALSE)),
  ""
)</f>
        <v/>
      </c>
      <c r="S492" s="152">
        <f t="shared" si="365"/>
        <v>0</v>
      </c>
      <c r="T492" s="690"/>
      <c r="U492" s="136" t="str">
        <f>IFERROR(
  IF(B492="", "", VLOOKUP(B492, Data!$B$2:$K$905, 10, FALSE)),
  ""
)
</f>
        <v/>
      </c>
      <c r="V492" s="691"/>
      <c r="W492" s="140">
        <f t="shared" si="366"/>
        <v>0</v>
      </c>
      <c r="X492" s="692"/>
      <c r="Y492" s="595"/>
      <c r="Z492" s="595"/>
      <c r="AA492" s="595"/>
      <c r="AB492" s="354">
        <f t="shared" si="367"/>
        <v>0</v>
      </c>
      <c r="AC492" s="181"/>
      <c r="AD492" s="625"/>
      <c r="AE492" s="626"/>
      <c r="AF492" s="696"/>
      <c r="AG492" s="697"/>
      <c r="AH492" s="629"/>
      <c r="AI492" s="187"/>
      <c r="AJ492" s="630"/>
      <c r="AK492" s="630"/>
      <c r="AL492" s="595"/>
      <c r="AM492" s="595"/>
      <c r="AN492" s="595"/>
      <c r="AO492" s="595"/>
      <c r="AP492" s="595"/>
      <c r="AQ492" s="595"/>
      <c r="AR492" s="595"/>
      <c r="AS492" s="595"/>
      <c r="AT492" s="595"/>
      <c r="AU492" s="595"/>
      <c r="AV492" s="595"/>
      <c r="AW492" s="595"/>
      <c r="AX492" s="595"/>
      <c r="AY492" s="595"/>
      <c r="AZ492" s="595"/>
      <c r="BA492" s="595"/>
      <c r="BB492" s="595"/>
      <c r="BC492" s="595"/>
      <c r="BD492" s="595"/>
      <c r="BE492" s="595"/>
      <c r="BF492" s="595"/>
      <c r="BG492" s="595"/>
      <c r="BH492" s="595"/>
      <c r="BI492" s="651"/>
      <c r="BJ492" s="651"/>
      <c r="BK492" s="651"/>
      <c r="BL492" s="651"/>
      <c r="BM492" s="651"/>
      <c r="BN492" s="651"/>
      <c r="BO492" s="651"/>
      <c r="BP492" s="651"/>
      <c r="BQ492" s="651"/>
      <c r="BR492" s="651"/>
      <c r="BS492" s="651"/>
      <c r="BT492" s="651"/>
    </row>
    <row r="493">
      <c r="A493" s="684"/>
      <c r="B493" s="154"/>
      <c r="C493" s="700"/>
      <c r="D493" s="701"/>
      <c r="E493" s="722"/>
      <c r="F493" s="699"/>
      <c r="G493" s="701"/>
      <c r="H493" s="700"/>
      <c r="I493" s="700"/>
      <c r="J493" s="701"/>
      <c r="K493" s="701"/>
      <c r="L493" s="712"/>
      <c r="M493" s="704"/>
      <c r="N493" s="151" t="str">
        <f t="shared" si="368"/>
        <v/>
      </c>
      <c r="O493" s="712"/>
      <c r="P493" s="700"/>
      <c r="Q493" s="712"/>
      <c r="R493" s="681"/>
      <c r="S493" s="691"/>
      <c r="T493" s="690"/>
      <c r="U493" s="681"/>
      <c r="V493" s="691"/>
      <c r="W493" s="713"/>
      <c r="X493" s="692"/>
      <c r="Y493" s="595"/>
      <c r="Z493" s="595"/>
      <c r="AA493" s="595"/>
      <c r="AB493" s="595"/>
      <c r="AC493" s="181"/>
      <c r="AD493" s="625"/>
      <c r="AE493" s="626"/>
      <c r="AF493" s="696"/>
      <c r="AG493" s="697"/>
      <c r="AH493" s="629"/>
      <c r="AI493" s="187"/>
      <c r="AJ493" s="630"/>
      <c r="AK493" s="630"/>
      <c r="AL493" s="595"/>
      <c r="AM493" s="595"/>
      <c r="AN493" s="595"/>
      <c r="AO493" s="595"/>
      <c r="AP493" s="595"/>
      <c r="AQ493" s="595"/>
      <c r="AR493" s="595"/>
      <c r="AS493" s="595"/>
      <c r="AT493" s="595"/>
      <c r="AU493" s="595"/>
      <c r="AV493" s="595"/>
      <c r="AW493" s="595"/>
      <c r="AX493" s="595"/>
      <c r="AY493" s="595"/>
      <c r="AZ493" s="595"/>
      <c r="BA493" s="595"/>
      <c r="BB493" s="595"/>
      <c r="BC493" s="595"/>
      <c r="BD493" s="595"/>
      <c r="BE493" s="595"/>
      <c r="BF493" s="595"/>
      <c r="BG493" s="595"/>
      <c r="BH493" s="595"/>
      <c r="BI493" s="651"/>
      <c r="BJ493" s="651"/>
      <c r="BK493" s="651"/>
      <c r="BL493" s="651"/>
      <c r="BM493" s="651"/>
      <c r="BN493" s="651"/>
      <c r="BO493" s="651"/>
      <c r="BP493" s="651"/>
      <c r="BQ493" s="651"/>
      <c r="BR493" s="651"/>
      <c r="BS493" s="651"/>
      <c r="BT493" s="651"/>
    </row>
    <row r="494">
      <c r="A494" s="703" t="s">
        <v>444</v>
      </c>
      <c r="B494" s="154" t="s">
        <v>455</v>
      </c>
      <c r="C494" s="698" t="s">
        <v>456</v>
      </c>
      <c r="D494" s="686" t="s">
        <v>457</v>
      </c>
      <c r="E494" s="722"/>
      <c r="F494" s="699"/>
      <c r="G494" s="701"/>
      <c r="H494" s="700"/>
      <c r="I494" s="712"/>
      <c r="J494" s="701"/>
      <c r="K494" s="701"/>
      <c r="L494" s="712"/>
      <c r="M494" s="150">
        <f>ROUNDUP(M488/0.8,0)+1</f>
        <v>13</v>
      </c>
      <c r="N494" s="151">
        <f t="shared" si="368"/>
        <v>1.001372346</v>
      </c>
      <c r="O494" s="169">
        <v>1.0</v>
      </c>
      <c r="P494" s="134">
        <v>1.0</v>
      </c>
      <c r="Q494" s="168">
        <f t="shared" ref="Q494:Q495" si="369">M494*N494*O494*P494</f>
        <v>13.0178405</v>
      </c>
      <c r="R494" s="681" t="str">
        <f>IFERROR(
  IF(B494="", "", VLOOKUP(B494, Data!$B$2:$K$905, 9, FALSE)),
  ""
)</f>
        <v/>
      </c>
      <c r="S494" s="152">
        <f t="shared" ref="S494:S495" si="370">R494*Q494</f>
        <v>0</v>
      </c>
      <c r="T494" s="690"/>
      <c r="U494" s="681" t="str">
        <f>IFERROR(
  IF(B494="", "", VLOOKUP(B494, Data!$B$2:$K$905, 10, FALSE)),
  ""
)
</f>
        <v/>
      </c>
      <c r="V494" s="691"/>
      <c r="W494" s="140">
        <f t="shared" ref="W494:W495" si="371">U494*Q494</f>
        <v>0</v>
      </c>
      <c r="X494" s="692"/>
      <c r="Y494" s="595"/>
      <c r="Z494" s="595"/>
      <c r="AA494" s="595"/>
      <c r="AB494" s="595"/>
      <c r="AC494" s="181"/>
      <c r="AD494" s="625"/>
      <c r="AE494" s="626"/>
      <c r="AF494" s="696"/>
      <c r="AG494" s="697"/>
      <c r="AH494" s="629"/>
      <c r="AI494" s="187"/>
      <c r="AJ494" s="630"/>
      <c r="AK494" s="630"/>
      <c r="AL494" s="595"/>
      <c r="AM494" s="595"/>
      <c r="AN494" s="595"/>
      <c r="AO494" s="595"/>
      <c r="AP494" s="595"/>
      <c r="AQ494" s="595"/>
      <c r="AR494" s="595"/>
      <c r="AS494" s="595"/>
      <c r="AT494" s="595"/>
      <c r="AU494" s="595"/>
      <c r="AV494" s="595"/>
      <c r="AW494" s="595"/>
      <c r="AX494" s="595"/>
      <c r="AY494" s="595"/>
      <c r="AZ494" s="595"/>
      <c r="BA494" s="595"/>
      <c r="BB494" s="595"/>
      <c r="BC494" s="595"/>
      <c r="BD494" s="595"/>
      <c r="BE494" s="595"/>
      <c r="BF494" s="595"/>
      <c r="BG494" s="595"/>
      <c r="BH494" s="595"/>
      <c r="BI494" s="651"/>
      <c r="BJ494" s="651"/>
      <c r="BK494" s="651"/>
      <c r="BL494" s="651"/>
      <c r="BM494" s="651"/>
      <c r="BN494" s="651"/>
      <c r="BO494" s="651"/>
      <c r="BP494" s="651"/>
      <c r="BQ494" s="651"/>
      <c r="BR494" s="651"/>
      <c r="BS494" s="651"/>
      <c r="BT494" s="651"/>
    </row>
    <row r="495">
      <c r="A495" s="684"/>
      <c r="B495" s="154" t="str">
        <f>IFERROR(__xludf.DUMMYFUNCTION("IFERROR(
  IF(C495="""","""",
    IF(OR(REGEXMATCH(D495,""(?i)-Flashing""), REGEXMATCH(D495,""(?i)-EavesGut""), REGEXMATCH(D495,""(?i)Valley"")),
        ""DR"" &amp;
        TEXT(
            ROUNDUP(
                MIN(
                    VALUE(MID(C495, "&amp;"FIND(""("",C495)+1, FIND(""/"",C495)-FIND(""("",C495)-1)),
                    1200
                ) / 50, 0
            ) * 50, ""0""
        ) &amp;
        MID(C495, FIND(""/"",C495)+1, FIND("")"",C495)-FIND(""/"",C495)-1) &amp;
        TEXT(H495*100,""0"") &amp;"&amp;"
        I495,
    IF(AND(D495=""Roof Sheet"", REGEXMATCH(C495,""(?i)KS\d{4}[A-Z]{2}"")),
       REGEXEXTRACT(C495,""(?i)KS\d{4}[A-Z]{2}""),
    IF(AND(REGEXMATCH(D495,""(?i)-DP""), REGEXMATCH(C495,""(?i)Downpipe"")),
       ""dp"" &amp; REGEXEXTRACT(C495,""("&amp;"\d+)"") &amp; ""mm"",
    IF(AND(REGEXMATCH(D495,""(?i)Bracket""), REGEXMATCH(C495,""(?i)Bracket"")),
       ""Brkt"" &amp; REGEXEXTRACT(C495,""(\d+)"") &amp; ""mm"",
    IF(AND(REGEXMATCH(D495,""(?i)-OP""), REGEXMATCH(C495,""(?i)pops"")),
       ""op"" &amp; REGEXEXTRAC"&amp;"T(C495,""(\d+)"") &amp; ""mm"",
    IF(OR(D495=""R-FFTop"", D495=""R-FFBottom"", D495=""R-FFSide""),
        IF(REGEXMATCH(C495,""(?i)Profiled.*Top|Top.*Profiled""),""pfft"",
        IF(REGEXMATCH(C495,""(?i)Profiled.*Bottom|Bottom.*Profiled""),""pffb"",
    "&amp;"    IF(REGEXMATCH(C495,""(?i)Square""),""sff"",""""))),
    IF(REGEXMATCH(D495,""(?i)-Rivets""),""Rvt"",
    IF(REGEXMATCH(D495,""(?i)Silicone""),""300ml"",
    IF(REGEXMATCH(D495,""(?i)R-Butyl""),""300ml"",
    IF(REGEXMATCH(D495,""(?i)Fix""),""GenFix"","&amp;"
    IF(AND(REGEXMATCH(C495,""(?i)Timber""), REGEXMATCH(D495,""(?i)Timber"")),""tp"",
    IF(AND(REGEXMATCH(C495,""(?i)Vent G1275""), REGEXMATCH(D495,""(?i)Comb FIller"")),""CFV1275"",
    IF(REGEXMATCH(C495,""(?i)DPC""),""dpc"",
    IF(REGEXMATCH(C495,"""&amp;"(?i)Concealed Clips""),""ConClips"",
    IF(REGEXMATCH(D495,""(?i)-Takeoff ea""),""Takeoff ea"",
    IF(REGEXMATCH(D495,""(?i)-Takeoff LM""),""Takeoff LM"",
    IF(REGEXMATCH(D495,""(?i)-Takeoff m2""),""Takeoff m2"",
    IF(D495=""R-TU/TD"",""TU/TD"","""""&amp;")))))))))))))))))
  )))"),"GenFix")</f>
        <v>GenFix</v>
      </c>
      <c r="C495" s="698" t="s">
        <v>102</v>
      </c>
      <c r="D495" s="686" t="s">
        <v>103</v>
      </c>
      <c r="E495" s="722"/>
      <c r="F495" s="699"/>
      <c r="G495" s="701"/>
      <c r="H495" s="700"/>
      <c r="I495" s="712"/>
      <c r="J495" s="126" t="s">
        <v>87</v>
      </c>
      <c r="K495" s="126" t="str">
        <f>IFERROR(
  IF(B495="", "", VLOOKUP(B495, Data!$B$2:$K$905, 7, FALSE)),
  ""
)</f>
        <v/>
      </c>
      <c r="L495" s="712"/>
      <c r="M495" s="150">
        <f>ROUNDUP(M494/0.6,0)+1</f>
        <v>23</v>
      </c>
      <c r="N495" s="151">
        <f t="shared" si="368"/>
        <v>1.001372346</v>
      </c>
      <c r="O495" s="169">
        <v>1.0</v>
      </c>
      <c r="P495" s="134">
        <v>2.0</v>
      </c>
      <c r="Q495" s="168">
        <f t="shared" si="369"/>
        <v>46.06312792</v>
      </c>
      <c r="R495" s="136" t="str">
        <f>IFERROR(
  IF(B495="", "", VLOOKUP(B495, Data!$B$2:$K$905, 9, FALSE)),
  ""
)</f>
        <v/>
      </c>
      <c r="S495" s="152">
        <f t="shared" si="370"/>
        <v>0</v>
      </c>
      <c r="T495" s="690"/>
      <c r="U495" s="681" t="str">
        <f>IFERROR(
  IF(B495="", "", VLOOKUP(B495, Data!$B$2:$K$905, 10, FALSE)),
  ""
)
</f>
        <v/>
      </c>
      <c r="V495" s="691"/>
      <c r="W495" s="140">
        <f t="shared" si="371"/>
        <v>0</v>
      </c>
      <c r="X495" s="692"/>
      <c r="Y495" s="595"/>
      <c r="Z495" s="595"/>
      <c r="AA495" s="595"/>
      <c r="AB495" s="354">
        <f t="shared" ref="AB495:AB496" si="372">W495+S495</f>
        <v>0</v>
      </c>
      <c r="AC495" s="181"/>
      <c r="AD495" s="625"/>
      <c r="AE495" s="626"/>
      <c r="AF495" s="696"/>
      <c r="AG495" s="697"/>
      <c r="AH495" s="629"/>
      <c r="AI495" s="187"/>
      <c r="AJ495" s="630"/>
      <c r="AK495" s="630"/>
      <c r="AL495" s="595"/>
      <c r="AM495" s="595"/>
      <c r="AN495" s="595"/>
      <c r="AO495" s="595"/>
      <c r="AP495" s="595"/>
      <c r="AQ495" s="595"/>
      <c r="AR495" s="595"/>
      <c r="AS495" s="595"/>
      <c r="AT495" s="595"/>
      <c r="AU495" s="595"/>
      <c r="AV495" s="595"/>
      <c r="AW495" s="595"/>
      <c r="AX495" s="595"/>
      <c r="AY495" s="595"/>
      <c r="AZ495" s="595"/>
      <c r="BA495" s="595"/>
      <c r="BB495" s="595"/>
      <c r="BC495" s="595"/>
      <c r="BD495" s="595"/>
      <c r="BE495" s="595"/>
      <c r="BF495" s="595"/>
      <c r="BG495" s="595"/>
      <c r="BH495" s="595"/>
      <c r="BI495" s="651"/>
      <c r="BJ495" s="651"/>
      <c r="BK495" s="651"/>
      <c r="BL495" s="651"/>
      <c r="BM495" s="651"/>
      <c r="BN495" s="651"/>
      <c r="BO495" s="651"/>
      <c r="BP495" s="651"/>
      <c r="BQ495" s="651"/>
      <c r="BR495" s="651"/>
      <c r="BS495" s="651"/>
      <c r="BT495" s="651"/>
    </row>
    <row r="496">
      <c r="A496" s="684"/>
      <c r="B496" s="154"/>
      <c r="C496" s="701"/>
      <c r="D496" s="701"/>
      <c r="E496" s="722"/>
      <c r="F496" s="699"/>
      <c r="G496" s="700"/>
      <c r="H496" s="700"/>
      <c r="I496" s="700"/>
      <c r="J496" s="701"/>
      <c r="K496" s="701"/>
      <c r="L496" s="704"/>
      <c r="M496" s="704"/>
      <c r="N496" s="151" t="str">
        <f t="shared" si="368"/>
        <v/>
      </c>
      <c r="O496" s="712"/>
      <c r="P496" s="700"/>
      <c r="Q496" s="712"/>
      <c r="R496" s="681"/>
      <c r="S496" s="691"/>
      <c r="T496" s="690"/>
      <c r="U496" s="681"/>
      <c r="V496" s="691"/>
      <c r="W496" s="713"/>
      <c r="X496" s="692"/>
      <c r="Y496" s="693"/>
      <c r="Z496" s="731"/>
      <c r="AA496" s="595"/>
      <c r="AB496" s="354">
        <f t="shared" si="372"/>
        <v>0</v>
      </c>
      <c r="AC496" s="181"/>
      <c r="AD496" s="625"/>
      <c r="AE496" s="626"/>
      <c r="AF496" s="696"/>
      <c r="AG496" s="697"/>
      <c r="AH496" s="629"/>
      <c r="AI496" s="187"/>
      <c r="AJ496" s="630"/>
      <c r="AK496" s="630"/>
      <c r="AL496" s="595"/>
      <c r="AM496" s="595"/>
      <c r="AN496" s="595"/>
      <c r="AO496" s="595"/>
      <c r="AP496" s="595"/>
      <c r="AQ496" s="595"/>
      <c r="AR496" s="595"/>
      <c r="AS496" s="595"/>
      <c r="AT496" s="595"/>
      <c r="AU496" s="595"/>
      <c r="AV496" s="595"/>
      <c r="AW496" s="595"/>
      <c r="AX496" s="595"/>
      <c r="AY496" s="595"/>
      <c r="AZ496" s="595"/>
      <c r="BA496" s="595"/>
      <c r="BB496" s="595"/>
      <c r="BC496" s="595"/>
      <c r="BD496" s="595"/>
      <c r="BE496" s="595"/>
      <c r="BF496" s="595"/>
      <c r="BG496" s="595"/>
      <c r="BH496" s="595"/>
      <c r="BI496" s="651"/>
      <c r="BJ496" s="651"/>
      <c r="BK496" s="651"/>
      <c r="BL496" s="651"/>
      <c r="BM496" s="651"/>
      <c r="BN496" s="651"/>
      <c r="BO496" s="651"/>
      <c r="BP496" s="651"/>
      <c r="BQ496" s="651"/>
      <c r="BR496" s="651"/>
      <c r="BS496" s="651"/>
      <c r="BT496" s="651"/>
    </row>
    <row r="497">
      <c r="A497" s="631">
        <v>1.0</v>
      </c>
      <c r="B497" s="727"/>
      <c r="C497" s="103" t="s">
        <v>520</v>
      </c>
      <c r="D497" s="678"/>
      <c r="E497" s="676"/>
      <c r="F497" s="677"/>
      <c r="G497" s="157"/>
      <c r="H497" s="678"/>
      <c r="I497" s="678"/>
      <c r="J497" s="678"/>
      <c r="K497" s="678" t="s">
        <v>42</v>
      </c>
      <c r="L497" s="106">
        <f>Q497</f>
        <v>20.71</v>
      </c>
      <c r="M497" s="679" t="s">
        <v>42</v>
      </c>
      <c r="N497" s="680"/>
      <c r="O497" s="679"/>
      <c r="P497" s="678"/>
      <c r="Q497" s="106">
        <f>Q498</f>
        <v>20.71</v>
      </c>
      <c r="R497" s="136" t="str">
        <f>IFERROR(
  IF(B497="", "", VLOOKUP(B497, Data!$B$2:$K$905, 9, FALSE)),
  ""
)</f>
        <v/>
      </c>
      <c r="S497" s="682">
        <f>IFERROR(T497/Q497, 0)</f>
        <v>0</v>
      </c>
      <c r="T497" s="109">
        <f>SUM(S498:S504)</f>
        <v>0</v>
      </c>
      <c r="U497" s="136" t="str">
        <f>IFERROR(
  IF(B497="", "", VLOOKUP(B497, Data!$B$2:$K$905, 10, FALSE)),
  ""
)
</f>
        <v/>
      </c>
      <c r="V497" s="109">
        <f>W497/Q497</f>
        <v>0</v>
      </c>
      <c r="W497" s="110">
        <f>SUM(W498:W504)</f>
        <v>0</v>
      </c>
      <c r="X497" s="111" t="str">
        <f>W497/$AC$758/$W$765/$X$755</f>
        <v>#REF!</v>
      </c>
      <c r="Y497" s="112" t="b">
        <f>(T497+W497)=(SUM(AB498:AB504))</f>
        <v>1</v>
      </c>
      <c r="Z497" s="113">
        <f>(T497+W497)-(SUM(AB498:AB504))</f>
        <v>0</v>
      </c>
      <c r="AA497" s="595"/>
      <c r="AB497" s="595"/>
      <c r="AC497" s="181"/>
      <c r="AD497" s="114">
        <f>W497+T497</f>
        <v>0</v>
      </c>
      <c r="AE497" s="115">
        <f>AD497</f>
        <v>0</v>
      </c>
      <c r="AF497" s="116" t="str">
        <f>AE497/$AE$733</f>
        <v>#REF!</v>
      </c>
      <c r="AG497" s="683" t="str">
        <f>AF497*$AG$740</f>
        <v>#REF!</v>
      </c>
      <c r="AH497" s="118" t="str">
        <f>AF497*$AG$743</f>
        <v>#REF!</v>
      </c>
      <c r="AI497" s="187"/>
      <c r="AJ497" s="119" t="str">
        <f>ROUND(AK497/L497,2)</f>
        <v>#REF!</v>
      </c>
      <c r="AK497" s="119" t="str">
        <f>ROUND(AH497+AG497+AD497,2)</f>
        <v>#REF!</v>
      </c>
      <c r="AL497" s="595"/>
      <c r="AM497" s="595"/>
      <c r="AN497" s="595"/>
      <c r="AO497" s="595"/>
      <c r="AP497" s="595"/>
      <c r="AQ497" s="595"/>
      <c r="AR497" s="595"/>
      <c r="AS497" s="595"/>
      <c r="AT497" s="595"/>
      <c r="AU497" s="595"/>
      <c r="AV497" s="595"/>
      <c r="AW497" s="595"/>
      <c r="AX497" s="595"/>
      <c r="AY497" s="595"/>
      <c r="AZ497" s="595"/>
      <c r="BA497" s="595"/>
      <c r="BB497" s="595"/>
      <c r="BC497" s="595"/>
      <c r="BD497" s="595"/>
      <c r="BE497" s="595"/>
      <c r="BF497" s="595"/>
      <c r="BG497" s="595"/>
      <c r="BH497" s="595"/>
      <c r="BI497" s="651"/>
      <c r="BJ497" s="651"/>
      <c r="BK497" s="651"/>
      <c r="BL497" s="651"/>
      <c r="BM497" s="651"/>
      <c r="BN497" s="651"/>
      <c r="BO497" s="651"/>
      <c r="BP497" s="651"/>
      <c r="BQ497" s="651"/>
      <c r="BR497" s="651"/>
      <c r="BS497" s="651"/>
      <c r="BT497" s="651"/>
    </row>
    <row r="498">
      <c r="A498" s="716" t="s">
        <v>444</v>
      </c>
      <c r="B498" s="154" t="str">
        <f>IFERROR(__xludf.DUMMYFUNCTION("IFERROR(
  IF(C498="""","""",
    IF(OR(REGEXMATCH(D498,""(?i)-Flashing""), REGEXMATCH(D498,""(?i)-EavesGut""), REGEXMATCH(D498,""(?i)Valley"")),
        ""DR"" &amp;
        TEXT(
            ROUNDUP(
                VALUE(MID(C498, FIND(""("",C498)+1, FIND("&amp;"""/"",C498)-FIND(""("",C498)-1)) / 50,
            0) * 50, ""0""
        ) &amp;
        MID(C498, FIND(""/"",C498)+1, FIND("")"",C498)-FIND(""/"",C498)-1) &amp;
        TEXT(H498*100,""0"") &amp;
        I498,
    IF(AND(D498=""Roof Sheet"", REGEXMATCH(C498,""(?i)K"&amp;"S\d{4}[A-Z]{2}"")),
       REGEXEXTRACT(C498,""(?i)KS\d{4}[A-Z]{2}""),
    IF(AND(REGEXMATCH(D498,""(?i)-DP""), REGEXMATCH(C498,""(?i)Downpipe"")),
       ""dp"" &amp; REGEXEXTRACT(C498,""(\d+)"") &amp; ""mm"",
    IF(AND(REGEXMATCH(D498,""(?i)Bracket""), REGEXMA"&amp;"TCH(C498,""(?i)Bracket"")),
       ""Brkt"" &amp; REGEXEXTRACT(C498,""(\d+)"") &amp; ""mm"",
    IF(AND(REGEXMATCH(D498,""(?i)-OP""), REGEXMATCH(C498,""(?i)pops"")),
       ""op"" &amp; REGEXEXTRACT(C498,""(\d+)"") &amp; ""mm"",
    IF(OR(D498=""R-FFTop"", D498=""R-FFBot"&amp;"tom"", D498=""R-FFSide""),
        IF(REGEXMATCH(C498,""(?i)Profiled.*Top|Top.*Profiled""),""pfft"",
        IF(REGEXMATCH(C498,""(?i)Profiled.*Bottom|Bottom.*Profiled""),""pffb"",
        IF(REGEXMATCH(C498,""(?i)Square""),""sff"",""""))),
    IF(REGEXMA"&amp;"TCH(D498,""(?i)-Rivets""),""Rvt"",
    IF(REGEXMATCH(D498,""(?i)Silicone""),""300ml"",
    IF(REGEXMATCH(D498,""(?i)R-Butyl""),""300ml"",
    IF(REGEXMATCH(D498,""(?i)Fix""),""GenFix"",
    IF(AND(REGEXMATCH(C498,""(?i)Timber""), REGEXMATCH(D498,""(?i)Tim"&amp;"ber"")),""tp"",
    IF(AND(REGEXMATCH(C498,""(?i)Vent G1275""), REGEXMATCH(D498,""(?i)Comb FIller"")),""CFV1275"",
    IF(REGEXMATCH(C498,""(?i)DPC""),""dpc"",
    IF(REGEXMATCH(C498,""(?i)Concealed Clips""),""ConClips"",
    IF(REGEXMATCH(D498,""(?i)-Tak"&amp;"eoff ea""),""Takeoff ea"",
    IF(REGEXMATCH(D498,""(?i)-Takeoff LM""),""Takeoff LM"",
    IF(REGEXMATCH(D498,""(?i)-Takeoff m2""),""Takeoff m2"",
    IF(D498=""R-TU/TD"",""TU/TD"","""")))))))))))))))))
  )))"),"DR3003B55Mag")</f>
        <v>DR3003B55Mag</v>
      </c>
      <c r="C498" s="123" t="s">
        <v>521</v>
      </c>
      <c r="D498" s="124" t="s">
        <v>96</v>
      </c>
      <c r="E498" s="687">
        <f>VALUE(MID(C498, FIND("(", C498)+1, FIND("/", C498)-FIND("(", C498)-1)) / 1000</f>
        <v>0.3</v>
      </c>
      <c r="F498" s="688"/>
      <c r="G498" s="689" t="s">
        <v>539</v>
      </c>
      <c r="H498" s="128" t="str">
        <f>IFERROR(__xludf.DUMMYFUNCTION("IFERROR(REGEXEXTRACT(C498, ""(\d*\.\d+)mm""), """")"),"0.55")</f>
        <v>0.55</v>
      </c>
      <c r="I498" s="128" t="s">
        <v>97</v>
      </c>
      <c r="J498" s="126" t="s">
        <v>14</v>
      </c>
      <c r="K498" s="126" t="str">
        <f>IFERROR(
  IF(B498="", "", VLOOKUP(B498, Data!$B$2:$K$905, 7, FALSE)),
  ""
)</f>
        <v/>
      </c>
      <c r="L498" s="704"/>
      <c r="M498" s="150">
        <f>M507</f>
        <v>20.71</v>
      </c>
      <c r="N498" s="151">
        <f>IFERROR(__xludf.DUMMYFUNCTION("IF(
  AND(
    IFERROR(REGEXEXTRACT(C498,""@\s*(\d+(?:\.\d+)?)\s*deg""),"""")&lt;&gt;"""",
    F498&lt;&gt;""""
  ),
  ""Pls Confirm °"",
  IF(
    IFERROR(REGEXEXTRACT(C498,""@\s*(\d+(?:\.\d+)?)\s*deg""),"""")&lt;&gt;"""",
    1/COS(RADIANS(REGEXEXTRACT(C498,""@\s*(\d+(?:"&amp;"\.\d+)?)\s*deg""))),
    IF(
      F498&lt;&gt;"""",
      IF(
        ISNUMBER(SEARCH(""|"",F498)),
        1/COS(
          ATAN(
            TAN(RADIANS(VALUE(INDEX(SPLIT(F498,""|""),1)))) *
            TAN(RADIANS(VALUE(INDEX(SPLIT(F498,""|""),2))))
       "&amp;"     /
            SQRT(
              TAN(RADIANS(VALUE(INDEX(SPLIT(F498,""|""),1))))^2 +
              TAN(RADIANS(VALUE(INDEX(SPLIT(F498,""|""),2))))^2
            )
          )
        ),
        1/COS(RADIANS(VALUE(F498)))
      ),
      1
    )
  )
"&amp;")"),1.0)</f>
        <v>1</v>
      </c>
      <c r="O498" s="169">
        <v>1.0</v>
      </c>
      <c r="P498" s="134">
        <v>1.0</v>
      </c>
      <c r="Q498" s="168">
        <f t="shared" ref="Q498:Q501" si="373">M498*N498*O498*P498</f>
        <v>20.71</v>
      </c>
      <c r="R498" s="136" t="str">
        <f>IFERROR(
  IF(B498="", "", VLOOKUP(B498, Data!$B$2:$K$905, 9, FALSE)),
  ""
)</f>
        <v/>
      </c>
      <c r="S498" s="152">
        <f t="shared" ref="S498:S501" si="374">R498*Q498</f>
        <v>0</v>
      </c>
      <c r="T498" s="690"/>
      <c r="U498" s="136" t="str">
        <f>IFERROR(
  IF(B498="", "", VLOOKUP(B498, Data!$B$2:$K$905, 10, FALSE)),
  ""
)
</f>
        <v/>
      </c>
      <c r="V498" s="691"/>
      <c r="W498" s="140">
        <f t="shared" ref="W498:W501" si="375">U498*Q498</f>
        <v>0</v>
      </c>
      <c r="X498" s="692"/>
      <c r="Y498" s="693"/>
      <c r="Z498" s="731"/>
      <c r="AA498" s="595"/>
      <c r="AB498" s="354">
        <f t="shared" ref="AB498:AB504" si="376">W498+S498</f>
        <v>0</v>
      </c>
      <c r="AC498" s="181"/>
      <c r="AD498" s="625"/>
      <c r="AE498" s="626"/>
      <c r="AF498" s="696"/>
      <c r="AG498" s="697"/>
      <c r="AH498" s="629"/>
      <c r="AI498" s="187"/>
      <c r="AJ498" s="630"/>
      <c r="AK498" s="630"/>
      <c r="AL498" s="595"/>
      <c r="AM498" s="595"/>
      <c r="AN498" s="595"/>
      <c r="AO498" s="595"/>
      <c r="AP498" s="595"/>
      <c r="AQ498" s="595"/>
      <c r="AR498" s="595"/>
      <c r="AS498" s="595"/>
      <c r="AT498" s="595"/>
      <c r="AU498" s="595"/>
      <c r="AV498" s="595"/>
      <c r="AW498" s="595"/>
      <c r="AX498" s="595"/>
      <c r="AY498" s="595"/>
      <c r="AZ498" s="595"/>
      <c r="BA498" s="595"/>
      <c r="BB498" s="595"/>
      <c r="BC498" s="595"/>
      <c r="BD498" s="595"/>
      <c r="BE498" s="595"/>
      <c r="BF498" s="595"/>
      <c r="BG498" s="595"/>
      <c r="BH498" s="595"/>
      <c r="BI498" s="651"/>
      <c r="BJ498" s="651"/>
      <c r="BK498" s="651"/>
      <c r="BL498" s="651"/>
      <c r="BM498" s="651"/>
      <c r="BN498" s="651"/>
      <c r="BO498" s="651"/>
      <c r="BP498" s="651"/>
      <c r="BQ498" s="651"/>
      <c r="BR498" s="651"/>
      <c r="BS498" s="651"/>
      <c r="BT498" s="651"/>
    </row>
    <row r="499">
      <c r="A499" s="631"/>
      <c r="B499" s="154" t="str">
        <f>IFERROR(__xludf.DUMMYFUNCTION("IFERROR(
  IF(C499="""","""",
    IF(OR(REGEXMATCH(D499,""(?i)-Flashing""), REGEXMATCH(D499,""(?i)-EavesGut""), REGEXMATCH(D499,""(?i)Valley"")),
        ""DR"" &amp;
        TEXT(
            ROUNDUP(
                MIN(
                    VALUE(MID(C499, "&amp;"FIND(""("",C499)+1, FIND(""/"",C499)-FIND(""("",C499)-1)),
                    1200
                ) / 50, 0
            ) * 50, ""0""
        ) &amp;
        MID(C499, FIND(""/"",C499)+1, FIND("")"",C499)-FIND(""/"",C499)-1) &amp;
        TEXT(H499*100,""0"") &amp;"&amp;"
        I499,
    IF(AND(D499=""Roof Sheet"", REGEXMATCH(C499,""(?i)KS\d{4}[A-Z]{2}"")),
       REGEXEXTRACT(C499,""(?i)KS\d{4}[A-Z]{2}""),
    IF(AND(REGEXMATCH(D499,""(?i)-DP""), REGEXMATCH(C499,""(?i)Downpipe"")),
       ""dp"" &amp; REGEXEXTRACT(C499,""("&amp;"\d+)"") &amp; ""mm"",
    IF(AND(REGEXMATCH(D499,""(?i)Bracket""), REGEXMATCH(C499,""(?i)Bracket"")),
       ""Brkt"" &amp; REGEXEXTRACT(C499,""(\d+)"") &amp; ""mm"",
    IF(AND(REGEXMATCH(D499,""(?i)-OP""), REGEXMATCH(C499,""(?i)pops"")),
       ""op"" &amp; REGEXEXTRAC"&amp;"T(C499,""(\d+)"") &amp; ""mm"",
    IF(OR(D499=""R-FFTop"", D499=""R-FFBottom"", D499=""R-FFSide""),
        IF(REGEXMATCH(C499,""(?i)Profiled.*Top|Top.*Profiled""),""pfft"",
        IF(REGEXMATCH(C499,""(?i)Profiled.*Bottom|Bottom.*Profiled""),""pffb"",
    "&amp;"    IF(REGEXMATCH(C499,""(?i)Square""),""sff"",""""))),
    IF(REGEXMATCH(D499,""(?i)-Rivets""),""Rvt"",
    IF(REGEXMATCH(D499,""(?i)Silicone""),""300ml"",
    IF(REGEXMATCH(D499,""(?i)R-Butyl""),""300ml"",
    IF(REGEXMATCH(D499,""(?i)Fix""),""GenFix"","&amp;"
    IF(AND(REGEXMATCH(C499,""(?i)Timber""), REGEXMATCH(D499,""(?i)Timber"")),""tp"",
    IF(AND(REGEXMATCH(C499,""(?i)Vent G1275""), REGEXMATCH(D499,""(?i)Comb FIller"")),""CFV1275"",
    IF(REGEXMATCH(C499,""(?i)DPC""),""dpc"",
    IF(REGEXMATCH(C499,"""&amp;"(?i)Concealed Clips""),""ConClips"",
    IF(REGEXMATCH(D499,""(?i)-Takeoff ea""),""Takeoff ea"",
    IF(REGEXMATCH(D499,""(?i)-Takeoff LM""),""Takeoff LM"",
    IF(REGEXMATCH(D499,""(?i)-Takeoff m2""),""Takeoff m2"",
    IF(D499=""R-TU/TD"",""TU/TD"","""""&amp;")))))))))))))))))
  )))"),"300ml")</f>
        <v>300ml</v>
      </c>
      <c r="C499" s="734" t="s">
        <v>98</v>
      </c>
      <c r="D499" s="124" t="s">
        <v>99</v>
      </c>
      <c r="E499" s="687">
        <f>E498</f>
        <v>0.3</v>
      </c>
      <c r="F499" s="699"/>
      <c r="G499" s="225"/>
      <c r="H499" s="700" t="str">
        <f>IFERROR(__xludf.DUMMYFUNCTION("IFERROR(REGEXEXTRACT(C499, ""(\d*\.\d+)mm""), """")"),"")</f>
        <v/>
      </c>
      <c r="I499" s="700"/>
      <c r="J499" s="126" t="s">
        <v>87</v>
      </c>
      <c r="K499" s="126" t="str">
        <f>IFERROR(
  IF(B499="", "", VLOOKUP(B499, Data!$B$2:$K$905, 7, FALSE)),
  ""
)</f>
        <v/>
      </c>
      <c r="L499" s="704"/>
      <c r="M499" s="150">
        <f>(ROUNDDOWN((M498/5.7)+2,0)*E499)/8</f>
        <v>0.1875</v>
      </c>
      <c r="N499" s="151">
        <f t="shared" ref="N499:N504" si="377">if(B499="","",(if(N498="",N497,N498)))</f>
        <v>1</v>
      </c>
      <c r="O499" s="169">
        <v>1.0</v>
      </c>
      <c r="P499" s="134">
        <v>1.0</v>
      </c>
      <c r="Q499" s="168">
        <f t="shared" si="373"/>
        <v>0.1875</v>
      </c>
      <c r="R499" s="136" t="str">
        <f>IFERROR(
  IF(B499="", "", VLOOKUP(B499, Data!$B$2:$K$905, 9, FALSE)),
  ""
)</f>
        <v/>
      </c>
      <c r="S499" s="152">
        <f t="shared" si="374"/>
        <v>0</v>
      </c>
      <c r="T499" s="690"/>
      <c r="U499" s="136" t="str">
        <f>IFERROR(
  IF(B499="", "", VLOOKUP(B499, Data!$B$2:$K$905, 10, FALSE)),
  ""
)
</f>
        <v/>
      </c>
      <c r="V499" s="691"/>
      <c r="W499" s="140">
        <f t="shared" si="375"/>
        <v>0</v>
      </c>
      <c r="X499" s="692"/>
      <c r="Y499" s="595"/>
      <c r="Z499" s="595"/>
      <c r="AA499" s="595"/>
      <c r="AB499" s="354">
        <f t="shared" si="376"/>
        <v>0</v>
      </c>
      <c r="AC499" s="181"/>
      <c r="AD499" s="625"/>
      <c r="AE499" s="626"/>
      <c r="AF499" s="696"/>
      <c r="AG499" s="697"/>
      <c r="AH499" s="629"/>
      <c r="AI499" s="187"/>
      <c r="AJ499" s="630"/>
      <c r="AK499" s="630"/>
      <c r="AL499" s="595"/>
      <c r="AM499" s="595"/>
      <c r="AN499" s="595"/>
      <c r="AO499" s="595"/>
      <c r="AP499" s="595"/>
      <c r="AQ499" s="595"/>
      <c r="AR499" s="595"/>
      <c r="AS499" s="595"/>
      <c r="AT499" s="595"/>
      <c r="AU499" s="595"/>
      <c r="AV499" s="595"/>
      <c r="AW499" s="595"/>
      <c r="AX499" s="595"/>
      <c r="AY499" s="595"/>
      <c r="AZ499" s="595"/>
      <c r="BA499" s="595"/>
      <c r="BB499" s="595"/>
      <c r="BC499" s="595"/>
      <c r="BD499" s="595"/>
      <c r="BE499" s="595"/>
      <c r="BF499" s="595"/>
      <c r="BG499" s="595"/>
      <c r="BH499" s="595"/>
      <c r="BI499" s="651"/>
      <c r="BJ499" s="651"/>
      <c r="BK499" s="651"/>
      <c r="BL499" s="651"/>
      <c r="BM499" s="651"/>
      <c r="BN499" s="651"/>
      <c r="BO499" s="651"/>
      <c r="BP499" s="651"/>
      <c r="BQ499" s="651"/>
      <c r="BR499" s="651"/>
      <c r="BS499" s="651"/>
      <c r="BT499" s="651"/>
    </row>
    <row r="500">
      <c r="A500" s="631"/>
      <c r="B500" s="154" t="str">
        <f>IFERROR(__xludf.DUMMYFUNCTION("IFERROR(
  IF(C500="""","""",
    IF(OR(REGEXMATCH(D500,""(?i)-Flashing""), REGEXMATCH(D500,""(?i)-EavesGut""), REGEXMATCH(D500,""(?i)Valley"")),
        ""DR"" &amp;
        TEXT(
            ROUNDUP(
                MIN(
                    VALUE(MID(C500, "&amp;"FIND(""("",C500)+1, FIND(""/"",C500)-FIND(""("",C500)-1)),
                    1200
                ) / 50, 0
            ) * 50, ""0""
        ) &amp;
        MID(C500, FIND(""/"",C500)+1, FIND("")"",C500)-FIND(""/"",C500)-1) &amp;
        TEXT(H500*100,""0"") &amp;"&amp;"
        I500,
    IF(AND(D500=""Roof Sheet"", REGEXMATCH(C500,""(?i)KS\d{4}[A-Z]{2}"")),
       REGEXEXTRACT(C500,""(?i)KS\d{4}[A-Z]{2}""),
    IF(AND(REGEXMATCH(D500,""(?i)-DP""), REGEXMATCH(C500,""(?i)Downpipe"")),
       ""dp"" &amp; REGEXEXTRACT(C500,""("&amp;"\d+)"") &amp; ""mm"",
    IF(AND(REGEXMATCH(D500,""(?i)Bracket""), REGEXMATCH(C500,""(?i)Bracket"")),
       ""Brkt"" &amp; REGEXEXTRACT(C500,""(\d+)"") &amp; ""mm"",
    IF(AND(REGEXMATCH(D500,""(?i)-OP""), REGEXMATCH(C500,""(?i)pops"")),
       ""op"" &amp; REGEXEXTRAC"&amp;"T(C500,""(\d+)"") &amp; ""mm"",
    IF(OR(D500=""R-FFTop"", D500=""R-FFBottom"", D500=""R-FFSide""),
        IF(REGEXMATCH(C500,""(?i)Profiled.*Top|Top.*Profiled""),""pfft"",
        IF(REGEXMATCH(C500,""(?i)Profiled.*Bottom|Bottom.*Profiled""),""pffb"",
    "&amp;"    IF(REGEXMATCH(C500,""(?i)Square""),""sff"",""""))),
    IF(REGEXMATCH(D500,""(?i)-Rivets""),""Rvt"",
    IF(REGEXMATCH(D500,""(?i)Silicone""),""300ml"",
    IF(REGEXMATCH(D500,""(?i)R-Butyl""),""300ml"",
    IF(REGEXMATCH(D500,""(?i)Fix""),""GenFix"","&amp;"
    IF(AND(REGEXMATCH(C500,""(?i)Timber""), REGEXMATCH(D500,""(?i)Timber"")),""tp"",
    IF(AND(REGEXMATCH(C500,""(?i)Vent G1275""), REGEXMATCH(D500,""(?i)Comb FIller"")),""CFV1275"",
    IF(REGEXMATCH(C500,""(?i)DPC""),""dpc"",
    IF(REGEXMATCH(C500,"""&amp;"(?i)Concealed Clips""),""ConClips"",
    IF(REGEXMATCH(D500,""(?i)-Takeoff ea""),""Takeoff ea"",
    IF(REGEXMATCH(D500,""(?i)-Takeoff LM""),""Takeoff LM"",
    IF(REGEXMATCH(D500,""(?i)-Takeoff m2""),""Takeoff m2"",
    IF(D500=""R-TU/TD"",""TU/TD"","""""&amp;")))))))))))))))))
  )))"),"Rvt")</f>
        <v>Rvt</v>
      </c>
      <c r="C500" s="734" t="s">
        <v>100</v>
      </c>
      <c r="D500" s="124" t="s">
        <v>101</v>
      </c>
      <c r="E500" s="687">
        <f>E498</f>
        <v>0.3</v>
      </c>
      <c r="F500" s="699"/>
      <c r="G500" s="225"/>
      <c r="H500" s="700" t="str">
        <f>IFERROR(__xludf.DUMMYFUNCTION("IFERROR(REGEXEXTRACT(C500, ""(\d*\.\d+)mm""), """")"),"")</f>
        <v/>
      </c>
      <c r="I500" s="700"/>
      <c r="J500" s="126" t="s">
        <v>87</v>
      </c>
      <c r="K500" s="126" t="str">
        <f>IFERROR(
  IF(B500="", "", VLOOKUP(B500, Data!$B$2:$K$905, 7, FALSE)),
  ""
)</f>
        <v/>
      </c>
      <c r="L500" s="704"/>
      <c r="M500" s="150">
        <f>ROUNDUP(((M498/5.7)+1)*(E500/0.05),0)</f>
        <v>28</v>
      </c>
      <c r="N500" s="151">
        <f t="shared" si="377"/>
        <v>1</v>
      </c>
      <c r="O500" s="169">
        <v>1.0</v>
      </c>
      <c r="P500" s="134">
        <v>1.0</v>
      </c>
      <c r="Q500" s="168">
        <f t="shared" si="373"/>
        <v>28</v>
      </c>
      <c r="R500" s="136" t="str">
        <f>IFERROR(
  IF(B500="", "", VLOOKUP(B500, Data!$B$2:$K$905, 9, FALSE)),
  ""
)</f>
        <v/>
      </c>
      <c r="S500" s="152">
        <f t="shared" si="374"/>
        <v>0</v>
      </c>
      <c r="T500" s="690"/>
      <c r="U500" s="136" t="str">
        <f>IFERROR(
  IF(B500="", "", VLOOKUP(B500, Data!$B$2:$K$905, 10, FALSE)),
  ""
)
</f>
        <v/>
      </c>
      <c r="V500" s="691"/>
      <c r="W500" s="140">
        <f t="shared" si="375"/>
        <v>0</v>
      </c>
      <c r="X500" s="692"/>
      <c r="Y500" s="595"/>
      <c r="Z500" s="595"/>
      <c r="AA500" s="595"/>
      <c r="AB500" s="354">
        <f t="shared" si="376"/>
        <v>0</v>
      </c>
      <c r="AC500" s="181"/>
      <c r="AD500" s="625"/>
      <c r="AE500" s="626"/>
      <c r="AF500" s="696"/>
      <c r="AG500" s="697"/>
      <c r="AH500" s="629"/>
      <c r="AI500" s="187"/>
      <c r="AJ500" s="630"/>
      <c r="AK500" s="630"/>
      <c r="AL500" s="595"/>
      <c r="AM500" s="595"/>
      <c r="AN500" s="595"/>
      <c r="AO500" s="595"/>
      <c r="AP500" s="595"/>
      <c r="AQ500" s="595"/>
      <c r="AR500" s="595"/>
      <c r="AS500" s="595"/>
      <c r="AT500" s="595"/>
      <c r="AU500" s="595"/>
      <c r="AV500" s="595"/>
      <c r="AW500" s="595"/>
      <c r="AX500" s="595"/>
      <c r="AY500" s="595"/>
      <c r="AZ500" s="595"/>
      <c r="BA500" s="595"/>
      <c r="BB500" s="595"/>
      <c r="BC500" s="595"/>
      <c r="BD500" s="595"/>
      <c r="BE500" s="595"/>
      <c r="BF500" s="595"/>
      <c r="BG500" s="595"/>
      <c r="BH500" s="595"/>
      <c r="BI500" s="651"/>
      <c r="BJ500" s="651"/>
      <c r="BK500" s="651"/>
      <c r="BL500" s="651"/>
      <c r="BM500" s="651"/>
      <c r="BN500" s="651"/>
      <c r="BO500" s="651"/>
      <c r="BP500" s="651"/>
      <c r="BQ500" s="651"/>
      <c r="BR500" s="651"/>
      <c r="BS500" s="651"/>
      <c r="BT500" s="651"/>
    </row>
    <row r="501">
      <c r="A501" s="631"/>
      <c r="B501" s="154" t="str">
        <f>IFERROR(__xludf.DUMMYFUNCTION("IFERROR(
  IF(C501="""","""",
    IF(OR(REGEXMATCH(D501,""(?i)-Flashing""), REGEXMATCH(D501,""(?i)-EavesGut""), REGEXMATCH(D501,""(?i)Valley"")),
        ""DR"" &amp;
        TEXT(
            ROUNDUP(
                MIN(
                    VALUE(MID(C501, "&amp;"FIND(""("",C501)+1, FIND(""/"",C501)-FIND(""("",C501)-1)),
                    1200
                ) / 50, 0
            ) * 50, ""0""
        ) &amp;
        MID(C501, FIND(""/"",C501)+1, FIND("")"",C501)-FIND(""/"",C501)-1) &amp;
        TEXT(H501*100,""0"") &amp;"&amp;"
        I501,
    IF(AND(D501=""Roof Sheet"", REGEXMATCH(C501,""(?i)KS\d{4}[A-Z]{2}"")),
       REGEXEXTRACT(C501,""(?i)KS\d{4}[A-Z]{2}""),
    IF(AND(REGEXMATCH(D501,""(?i)-DP""), REGEXMATCH(C501,""(?i)Downpipe"")),
       ""dp"" &amp; REGEXEXTRACT(C501,""("&amp;"\d+)"") &amp; ""mm"",
    IF(AND(REGEXMATCH(D501,""(?i)Bracket""), REGEXMATCH(C501,""(?i)Bracket"")),
       ""Brkt"" &amp; REGEXEXTRACT(C501,""(\d+)"") &amp; ""mm"",
    IF(AND(REGEXMATCH(D501,""(?i)-OP""), REGEXMATCH(C501,""(?i)pops"")),
       ""op"" &amp; REGEXEXTRAC"&amp;"T(C501,""(\d+)"") &amp; ""mm"",
    IF(OR(D501=""R-FFTop"", D501=""R-FFBottom"", D501=""R-FFSide""),
        IF(REGEXMATCH(C501,""(?i)Profiled.*Top|Top.*Profiled""),""pfft"",
        IF(REGEXMATCH(C501,""(?i)Profiled.*Bottom|Bottom.*Profiled""),""pffb"",
    "&amp;"    IF(REGEXMATCH(C501,""(?i)Square""),""sff"",""""))),
    IF(REGEXMATCH(D501,""(?i)-Rivets""),""Rvt"",
    IF(REGEXMATCH(D501,""(?i)Silicone""),""300ml"",
    IF(REGEXMATCH(D501,""(?i)R-Butyl""),""300ml"",
    IF(REGEXMATCH(D501,""(?i)Fix""),""GenFix"","&amp;"
    IF(AND(REGEXMATCH(C501,""(?i)Timber""), REGEXMATCH(D501,""(?i)Timber"")),""tp"",
    IF(AND(REGEXMATCH(C501,""(?i)Vent G1275""), REGEXMATCH(D501,""(?i)Comb FIller"")),""CFV1275"",
    IF(REGEXMATCH(C501,""(?i)DPC""),""dpc"",
    IF(REGEXMATCH(C501,"""&amp;"(?i)Concealed Clips""),""ConClips"",
    IF(REGEXMATCH(D501,""(?i)-Takeoff ea""),""Takeoff ea"",
    IF(REGEXMATCH(D501,""(?i)-Takeoff LM""),""Takeoff LM"",
    IF(REGEXMATCH(D501,""(?i)-Takeoff m2""),""Takeoff m2"",
    IF(D501=""R-TU/TD"",""TU/TD"","""""&amp;")))))))))))))))))
  )))"),"GenFix")</f>
        <v>GenFix</v>
      </c>
      <c r="C501" s="698" t="s">
        <v>102</v>
      </c>
      <c r="D501" s="124" t="s">
        <v>103</v>
      </c>
      <c r="E501" s="722"/>
      <c r="F501" s="699"/>
      <c r="G501" s="158"/>
      <c r="H501" s="700"/>
      <c r="I501" s="700"/>
      <c r="J501" s="126" t="s">
        <v>87</v>
      </c>
      <c r="K501" s="126" t="str">
        <f>IFERROR(
  IF(B501="", "", VLOOKUP(B501, Data!$B$2:$K$905, 7, FALSE)),
  ""
)</f>
        <v/>
      </c>
      <c r="L501" s="712"/>
      <c r="M501" s="150">
        <f>ROUNDUP(M498/0.6,0)+1</f>
        <v>36</v>
      </c>
      <c r="N501" s="151">
        <f t="shared" si="377"/>
        <v>1</v>
      </c>
      <c r="O501" s="169">
        <v>1.0</v>
      </c>
      <c r="P501" s="134">
        <v>2.0</v>
      </c>
      <c r="Q501" s="168">
        <f t="shared" si="373"/>
        <v>72</v>
      </c>
      <c r="R501" s="136" t="str">
        <f>IFERROR(
  IF(B501="", "", VLOOKUP(B501, Data!$B$2:$K$905, 9, FALSE)),
  ""
)</f>
        <v/>
      </c>
      <c r="S501" s="152">
        <f t="shared" si="374"/>
        <v>0</v>
      </c>
      <c r="T501" s="690"/>
      <c r="U501" s="136" t="str">
        <f>IFERROR(
  IF(B501="", "", VLOOKUP(B501, Data!$B$2:$K$905, 10, FALSE)),
  ""
)
</f>
        <v/>
      </c>
      <c r="V501" s="691"/>
      <c r="W501" s="140">
        <f t="shared" si="375"/>
        <v>0</v>
      </c>
      <c r="X501" s="692"/>
      <c r="Y501" s="595"/>
      <c r="Z501" s="595"/>
      <c r="AA501" s="595"/>
      <c r="AB501" s="354">
        <f t="shared" si="376"/>
        <v>0</v>
      </c>
      <c r="AC501" s="181"/>
      <c r="AD501" s="625"/>
      <c r="AE501" s="626"/>
      <c r="AF501" s="696"/>
      <c r="AG501" s="697"/>
      <c r="AH501" s="629"/>
      <c r="AI501" s="187"/>
      <c r="AJ501" s="630"/>
      <c r="AK501" s="630"/>
      <c r="AL501" s="595"/>
      <c r="AM501" s="595"/>
      <c r="AN501" s="595"/>
      <c r="AO501" s="595"/>
      <c r="AP501" s="595"/>
      <c r="AQ501" s="595"/>
      <c r="AR501" s="595"/>
      <c r="AS501" s="595"/>
      <c r="AT501" s="595"/>
      <c r="AU501" s="595"/>
      <c r="AV501" s="595"/>
      <c r="AW501" s="595"/>
      <c r="AX501" s="595"/>
      <c r="AY501" s="595"/>
      <c r="AZ501" s="595"/>
      <c r="BA501" s="595"/>
      <c r="BB501" s="595"/>
      <c r="BC501" s="595"/>
      <c r="BD501" s="595"/>
      <c r="BE501" s="595"/>
      <c r="BF501" s="595"/>
      <c r="BG501" s="595"/>
      <c r="BH501" s="595"/>
      <c r="BI501" s="651"/>
      <c r="BJ501" s="651"/>
      <c r="BK501" s="651"/>
      <c r="BL501" s="651"/>
      <c r="BM501" s="651"/>
      <c r="BN501" s="651"/>
      <c r="BO501" s="651"/>
      <c r="BP501" s="651"/>
      <c r="BQ501" s="651"/>
      <c r="BR501" s="651"/>
      <c r="BS501" s="651"/>
      <c r="BT501" s="651"/>
    </row>
    <row r="502">
      <c r="A502" s="631"/>
      <c r="B502" s="154"/>
      <c r="C502" s="698"/>
      <c r="D502" s="124"/>
      <c r="E502" s="722"/>
      <c r="F502" s="699"/>
      <c r="G502" s="158"/>
      <c r="H502" s="700"/>
      <c r="I502" s="700"/>
      <c r="J502" s="126"/>
      <c r="K502" s="126"/>
      <c r="L502" s="712"/>
      <c r="M502" s="150"/>
      <c r="N502" s="151" t="str">
        <f t="shared" si="377"/>
        <v/>
      </c>
      <c r="O502" s="169"/>
      <c r="P502" s="134"/>
      <c r="Q502" s="168"/>
      <c r="R502" s="136"/>
      <c r="S502" s="152"/>
      <c r="T502" s="690"/>
      <c r="U502" s="136"/>
      <c r="V502" s="691"/>
      <c r="W502" s="140"/>
      <c r="X502" s="692"/>
      <c r="Y502" s="595"/>
      <c r="Z502" s="595"/>
      <c r="AA502" s="595"/>
      <c r="AB502" s="354">
        <f t="shared" si="376"/>
        <v>0</v>
      </c>
      <c r="AC502" s="181"/>
      <c r="AD502" s="625"/>
      <c r="AE502" s="626"/>
      <c r="AF502" s="696"/>
      <c r="AG502" s="697"/>
      <c r="AH502" s="629"/>
      <c r="AI502" s="187"/>
      <c r="AJ502" s="630"/>
      <c r="AK502" s="630"/>
      <c r="AL502" s="595"/>
      <c r="AM502" s="595"/>
      <c r="AN502" s="595"/>
      <c r="AO502" s="595"/>
      <c r="AP502" s="595"/>
      <c r="AQ502" s="595"/>
      <c r="AR502" s="595"/>
      <c r="AS502" s="595"/>
      <c r="AT502" s="595"/>
      <c r="AU502" s="595"/>
      <c r="AV502" s="595"/>
      <c r="AW502" s="595"/>
      <c r="AX502" s="595"/>
      <c r="AY502" s="595"/>
      <c r="AZ502" s="595"/>
      <c r="BA502" s="595"/>
      <c r="BB502" s="595"/>
      <c r="BC502" s="595"/>
      <c r="BD502" s="595"/>
      <c r="BE502" s="595"/>
      <c r="BF502" s="595"/>
      <c r="BG502" s="595"/>
      <c r="BH502" s="595"/>
      <c r="BI502" s="651"/>
      <c r="BJ502" s="651"/>
      <c r="BK502" s="651"/>
      <c r="BL502" s="651"/>
      <c r="BM502" s="651"/>
      <c r="BN502" s="651"/>
      <c r="BO502" s="651"/>
      <c r="BP502" s="651"/>
      <c r="BQ502" s="651"/>
      <c r="BR502" s="651"/>
      <c r="BS502" s="651"/>
      <c r="BT502" s="651"/>
    </row>
    <row r="503">
      <c r="A503" s="716" t="s">
        <v>435</v>
      </c>
      <c r="B503" s="122" t="s">
        <v>128</v>
      </c>
      <c r="C503" s="123" t="s">
        <v>464</v>
      </c>
      <c r="D503" s="148" t="s">
        <v>130</v>
      </c>
      <c r="E503" s="722"/>
      <c r="F503" s="699"/>
      <c r="G503" s="158"/>
      <c r="H503" s="700"/>
      <c r="I503" s="700"/>
      <c r="J503" s="126" t="s">
        <v>87</v>
      </c>
      <c r="K503" s="126" t="str">
        <f>IFERROR(
  IF(B503="", "", VLOOKUP(B503, Data!$B$2:$K$905, 7, FALSE)),
  ""
)</f>
        <v/>
      </c>
      <c r="L503" s="712"/>
      <c r="M503" s="150">
        <f>M498</f>
        <v>20.71</v>
      </c>
      <c r="N503" s="151">
        <f t="shared" si="377"/>
        <v>1</v>
      </c>
      <c r="O503" s="169">
        <v>1.0</v>
      </c>
      <c r="P503" s="156">
        <v>1.0</v>
      </c>
      <c r="Q503" s="168">
        <f>M503*N503*O503*P503</f>
        <v>20.71</v>
      </c>
      <c r="R503" s="136" t="str">
        <f>IFERROR(
  IF(B503="", "", VLOOKUP(B503, Data!$B$2:$K$905, 9, FALSE)),
  ""
)</f>
        <v/>
      </c>
      <c r="S503" s="152">
        <f>R503*Q503</f>
        <v>0</v>
      </c>
      <c r="T503" s="690"/>
      <c r="U503" s="136" t="str">
        <f>IFERROR(
  IF(B503="", "", VLOOKUP(B503, Data!$B$2:$K$905, 10, FALSE)),
  ""
)
</f>
        <v/>
      </c>
      <c r="V503" s="691"/>
      <c r="W503" s="140">
        <f>U503*Q503</f>
        <v>0</v>
      </c>
      <c r="X503" s="692"/>
      <c r="Y503" s="595"/>
      <c r="Z503" s="595"/>
      <c r="AA503" s="595"/>
      <c r="AB503" s="354">
        <f t="shared" si="376"/>
        <v>0</v>
      </c>
      <c r="AC503" s="181"/>
      <c r="AD503" s="625"/>
      <c r="AE503" s="626"/>
      <c r="AF503" s="696"/>
      <c r="AG503" s="697"/>
      <c r="AH503" s="629"/>
      <c r="AI503" s="187"/>
      <c r="AJ503" s="630"/>
      <c r="AK503" s="630"/>
      <c r="AL503" s="595"/>
      <c r="AM503" s="595"/>
      <c r="AN503" s="595"/>
      <c r="AO503" s="595"/>
      <c r="AP503" s="595"/>
      <c r="AQ503" s="595"/>
      <c r="AR503" s="595"/>
      <c r="AS503" s="595"/>
      <c r="AT503" s="595"/>
      <c r="AU503" s="595"/>
      <c r="AV503" s="595"/>
      <c r="AW503" s="595"/>
      <c r="AX503" s="595"/>
      <c r="AY503" s="595"/>
      <c r="AZ503" s="595"/>
      <c r="BA503" s="595"/>
      <c r="BB503" s="595"/>
      <c r="BC503" s="595"/>
      <c r="BD503" s="595"/>
      <c r="BE503" s="595"/>
      <c r="BF503" s="595"/>
      <c r="BG503" s="595"/>
      <c r="BH503" s="595"/>
      <c r="BI503" s="651"/>
      <c r="BJ503" s="651"/>
      <c r="BK503" s="651"/>
      <c r="BL503" s="651"/>
      <c r="BM503" s="651"/>
      <c r="BN503" s="651"/>
      <c r="BO503" s="651"/>
      <c r="BP503" s="651"/>
      <c r="BQ503" s="651"/>
      <c r="BR503" s="651"/>
      <c r="BS503" s="651"/>
      <c r="BT503" s="651"/>
    </row>
    <row r="504">
      <c r="A504" s="631"/>
      <c r="B504" s="154"/>
      <c r="C504" s="734"/>
      <c r="D504" s="124"/>
      <c r="E504" s="722"/>
      <c r="F504" s="699"/>
      <c r="G504" s="158"/>
      <c r="H504" s="700"/>
      <c r="I504" s="700"/>
      <c r="J504" s="126"/>
      <c r="K504" s="126"/>
      <c r="L504" s="712"/>
      <c r="M504" s="150"/>
      <c r="N504" s="151" t="str">
        <f t="shared" si="377"/>
        <v/>
      </c>
      <c r="O504" s="169"/>
      <c r="P504" s="134"/>
      <c r="Q504" s="168"/>
      <c r="R504" s="136" t="str">
        <f>IFERROR(
  IF(B504="", "", VLOOKUP(B504, Data!$B$2:$K$905, 9, FALSE)),
  ""
)</f>
        <v/>
      </c>
      <c r="S504" s="152"/>
      <c r="T504" s="690"/>
      <c r="U504" s="136" t="str">
        <f>IFERROR(
  IF(B504="", "", VLOOKUP(B504, Data!$B$2:$K$905, 10, FALSE)),
  ""
)
</f>
        <v/>
      </c>
      <c r="V504" s="691"/>
      <c r="W504" s="140"/>
      <c r="X504" s="692"/>
      <c r="Y504" s="595"/>
      <c r="Z504" s="595"/>
      <c r="AA504" s="595"/>
      <c r="AB504" s="354">
        <f t="shared" si="376"/>
        <v>0</v>
      </c>
      <c r="AC504" s="181"/>
      <c r="AD504" s="625"/>
      <c r="AE504" s="626"/>
      <c r="AF504" s="696"/>
      <c r="AG504" s="697"/>
      <c r="AH504" s="629"/>
      <c r="AI504" s="187"/>
      <c r="AJ504" s="630"/>
      <c r="AK504" s="630"/>
      <c r="AL504" s="595"/>
      <c r="AM504" s="595"/>
      <c r="AN504" s="595"/>
      <c r="AO504" s="595"/>
      <c r="AP504" s="595"/>
      <c r="AQ504" s="595"/>
      <c r="AR504" s="595"/>
      <c r="AS504" s="595"/>
      <c r="AT504" s="595"/>
      <c r="AU504" s="595"/>
      <c r="AV504" s="595"/>
      <c r="AW504" s="595"/>
      <c r="AX504" s="595"/>
      <c r="AY504" s="595"/>
      <c r="AZ504" s="595"/>
      <c r="BA504" s="595"/>
      <c r="BB504" s="595"/>
      <c r="BC504" s="595"/>
      <c r="BD504" s="595"/>
      <c r="BE504" s="595"/>
      <c r="BF504" s="595"/>
      <c r="BG504" s="595"/>
      <c r="BH504" s="595"/>
      <c r="BI504" s="651"/>
      <c r="BJ504" s="651"/>
      <c r="BK504" s="651"/>
      <c r="BL504" s="651"/>
      <c r="BM504" s="651"/>
      <c r="BN504" s="651"/>
      <c r="BO504" s="651"/>
      <c r="BP504" s="651"/>
      <c r="BQ504" s="651"/>
      <c r="BR504" s="651"/>
      <c r="BS504" s="651"/>
      <c r="BT504" s="651"/>
    </row>
    <row r="505">
      <c r="A505" s="631">
        <v>1.0</v>
      </c>
      <c r="B505" s="764" t="s">
        <v>425</v>
      </c>
      <c r="C505" s="89" t="s">
        <v>477</v>
      </c>
      <c r="D505" s="656"/>
      <c r="E505" s="654"/>
      <c r="F505" s="655"/>
      <c r="G505" s="656"/>
      <c r="H505" s="656"/>
      <c r="I505" s="656"/>
      <c r="J505" s="656"/>
      <c r="K505" s="656" t="s">
        <v>42</v>
      </c>
      <c r="L505" s="658"/>
      <c r="M505" s="658" t="s">
        <v>42</v>
      </c>
      <c r="N505" s="659"/>
      <c r="O505" s="658"/>
      <c r="P505" s="656"/>
      <c r="Q505" s="658"/>
      <c r="R505" s="681" t="str">
        <f>IFERROR(
  IF(B505="", "", VLOOKUP(B505, Data!$B$2:$K$905, 9, FALSE)),
  ""
)</f>
        <v/>
      </c>
      <c r="S505" s="662"/>
      <c r="T505" s="661"/>
      <c r="U505" s="681" t="str">
        <f>IFERROR(
  IF(B505="", "", VLOOKUP(B505, Data!$B$2:$K$905, 10, FALSE)),
  ""
)
</f>
        <v/>
      </c>
      <c r="V505" s="662"/>
      <c r="W505" s="663"/>
      <c r="X505" s="692"/>
      <c r="Y505" s="595"/>
      <c r="Z505" s="595"/>
      <c r="AA505" s="595"/>
      <c r="AB505" s="595"/>
      <c r="AC505" s="181"/>
      <c r="AD505" s="625"/>
      <c r="AE505" s="626"/>
      <c r="AF505" s="696"/>
      <c r="AG505" s="697"/>
      <c r="AH505" s="629"/>
      <c r="AI505" s="187"/>
      <c r="AJ505" s="630"/>
      <c r="AK505" s="630"/>
      <c r="AL505" s="595"/>
      <c r="AM505" s="595"/>
      <c r="AN505" s="595"/>
      <c r="AO505" s="595"/>
      <c r="AP505" s="595"/>
      <c r="AQ505" s="595"/>
      <c r="AR505" s="595"/>
      <c r="AS505" s="595"/>
      <c r="AT505" s="595"/>
      <c r="AU505" s="595"/>
      <c r="AV505" s="595"/>
      <c r="AW505" s="595"/>
      <c r="AX505" s="595"/>
      <c r="AY505" s="595"/>
      <c r="AZ505" s="595"/>
      <c r="BA505" s="595"/>
      <c r="BB505" s="595"/>
      <c r="BC505" s="595"/>
      <c r="BD505" s="595"/>
      <c r="BE505" s="595"/>
      <c r="BF505" s="595"/>
      <c r="BG505" s="595"/>
      <c r="BH505" s="595"/>
      <c r="BI505" s="651"/>
      <c r="BJ505" s="651"/>
      <c r="BK505" s="651"/>
      <c r="BL505" s="651"/>
      <c r="BM505" s="651"/>
      <c r="BN505" s="651"/>
      <c r="BO505" s="651"/>
      <c r="BP505" s="651"/>
      <c r="BQ505" s="651"/>
      <c r="BR505" s="651"/>
      <c r="BS505" s="651"/>
      <c r="BT505" s="651"/>
    </row>
    <row r="506">
      <c r="A506" s="631">
        <v>1.0</v>
      </c>
      <c r="B506" s="727"/>
      <c r="C506" s="103" t="s">
        <v>522</v>
      </c>
      <c r="D506" s="678"/>
      <c r="E506" s="676"/>
      <c r="F506" s="677"/>
      <c r="G506" s="678"/>
      <c r="H506" s="678"/>
      <c r="I506" s="678"/>
      <c r="J506" s="678"/>
      <c r="K506" s="678" t="s">
        <v>42</v>
      </c>
      <c r="L506" s="106">
        <f>Q506</f>
        <v>20.71</v>
      </c>
      <c r="M506" s="679" t="s">
        <v>42</v>
      </c>
      <c r="N506" s="680"/>
      <c r="O506" s="679"/>
      <c r="P506" s="678"/>
      <c r="Q506" s="106">
        <f>Q507</f>
        <v>20.71</v>
      </c>
      <c r="R506" s="681" t="str">
        <f>IFERROR(
  IF(B506="", "", VLOOKUP(B506, Data!$B$2:$K$905, 9, FALSE)),
  ""
)</f>
        <v/>
      </c>
      <c r="S506" s="682">
        <f>IFERROR(T506/Q506, 0)</f>
        <v>0</v>
      </c>
      <c r="T506" s="109">
        <f>SUM(S507:S517)</f>
        <v>0</v>
      </c>
      <c r="U506" s="681" t="str">
        <f>IFERROR(
  IF(B506="", "", VLOOKUP(B506, Data!$B$2:$K$905, 10, FALSE)),
  ""
)
</f>
        <v/>
      </c>
      <c r="V506" s="109">
        <f>W506/Q506</f>
        <v>0</v>
      </c>
      <c r="W506" s="110">
        <f>SUM(W507:W517)</f>
        <v>0</v>
      </c>
      <c r="X506" s="111" t="str">
        <f>W506/$AC$758/$W$765/$X$755</f>
        <v>#REF!</v>
      </c>
      <c r="Y506" s="112" t="b">
        <f>(T506+W506)=(SUM(AB507:AB517))</f>
        <v>1</v>
      </c>
      <c r="Z506" s="222">
        <f>(T506+W506)-(SUM(AB507:AB517))</f>
        <v>0</v>
      </c>
      <c r="AA506" s="595"/>
      <c r="AB506" s="595"/>
      <c r="AC506" s="181"/>
      <c r="AD506" s="114">
        <f>W506+T506</f>
        <v>0</v>
      </c>
      <c r="AE506" s="115">
        <f>AD506</f>
        <v>0</v>
      </c>
      <c r="AF506" s="116" t="str">
        <f>AE506/$AE$733</f>
        <v>#REF!</v>
      </c>
      <c r="AG506" s="683" t="str">
        <f>AF506*$AG$740</f>
        <v>#REF!</v>
      </c>
      <c r="AH506" s="118" t="str">
        <f>AF506*$AG$743</f>
        <v>#REF!</v>
      </c>
      <c r="AI506" s="187"/>
      <c r="AJ506" s="119" t="str">
        <f>ROUND(AK506/L506,2)</f>
        <v>#REF!</v>
      </c>
      <c r="AK506" s="119" t="str">
        <f>ROUND(AH506+AG506+AD506,2)</f>
        <v>#REF!</v>
      </c>
      <c r="AL506" s="595"/>
      <c r="AM506" s="595"/>
      <c r="AN506" s="595"/>
      <c r="AO506" s="595"/>
      <c r="AP506" s="595"/>
      <c r="AQ506" s="595"/>
      <c r="AR506" s="595"/>
      <c r="AS506" s="595"/>
      <c r="AT506" s="595"/>
      <c r="AU506" s="595"/>
      <c r="AV506" s="595"/>
      <c r="AW506" s="595"/>
      <c r="AX506" s="595"/>
      <c r="AY506" s="595"/>
      <c r="AZ506" s="595"/>
      <c r="BA506" s="595"/>
      <c r="BB506" s="595"/>
      <c r="BC506" s="595"/>
      <c r="BD506" s="595"/>
      <c r="BE506" s="595"/>
      <c r="BF506" s="595"/>
      <c r="BG506" s="595"/>
      <c r="BH506" s="595"/>
      <c r="BI506" s="651"/>
      <c r="BJ506" s="651"/>
      <c r="BK506" s="651"/>
      <c r="BL506" s="651"/>
      <c r="BM506" s="651"/>
      <c r="BN506" s="651"/>
      <c r="BO506" s="651"/>
      <c r="BP506" s="651"/>
      <c r="BQ506" s="651"/>
      <c r="BR506" s="651"/>
      <c r="BS506" s="651"/>
      <c r="BT506" s="651"/>
    </row>
    <row r="507">
      <c r="A507" s="703" t="s">
        <v>479</v>
      </c>
      <c r="B507" s="154" t="s">
        <v>480</v>
      </c>
      <c r="C507" s="223" t="s">
        <v>481</v>
      </c>
      <c r="D507" s="124" t="s">
        <v>120</v>
      </c>
      <c r="E507" s="687">
        <f>VALUE(MID(C507, FIND("(", C507)+1, FIND("/", C507)-FIND("(", C507)-1)) / 1000</f>
        <v>0.67</v>
      </c>
      <c r="F507" s="721"/>
      <c r="G507" s="689" t="s">
        <v>539</v>
      </c>
      <c r="H507" s="700" t="str">
        <f>IFERROR(__xludf.DUMMYFUNCTION("IFERROR(REGEXEXTRACT(C507, ""(\d*\.\d+)mm""), """")"),"")</f>
        <v/>
      </c>
      <c r="I507" s="128" t="s">
        <v>97</v>
      </c>
      <c r="J507" s="126" t="s">
        <v>14</v>
      </c>
      <c r="K507" s="126" t="str">
        <f>IFERROR(
  IF(B507="", "", VLOOKUP(B507, Data!$B$2:$K$905, 7, FALSE)),
  ""
)</f>
        <v/>
      </c>
      <c r="L507" s="712"/>
      <c r="M507" s="730">
        <v>20.71</v>
      </c>
      <c r="N507" s="151">
        <f>IFERROR(__xludf.DUMMYFUNCTION("IF(B507="""", """", IFERROR(1 / COS(RADIANS(REGEXEXTRACT(F507,""(\d+)""))), 1))"),1.0)</f>
        <v>1</v>
      </c>
      <c r="O507" s="169">
        <v>1.0</v>
      </c>
      <c r="P507" s="134">
        <v>1.0</v>
      </c>
      <c r="Q507" s="168">
        <f t="shared" ref="Q507:Q513" si="378">M507*N507*O507*P507</f>
        <v>20.71</v>
      </c>
      <c r="R507" s="136" t="str">
        <f>IFERROR(
  IF(B507="", "", VLOOKUP(B507, Data!$B$2:$K$905, 9, FALSE)),
  ""
)</f>
        <v/>
      </c>
      <c r="S507" s="152">
        <f t="shared" ref="S507:S513" si="379">R507*Q507</f>
        <v>0</v>
      </c>
      <c r="T507" s="690"/>
      <c r="U507" s="136" t="str">
        <f>IFERROR(
  IF(B507="", "", VLOOKUP(B507, Data!$B$2:$K$905, 10, FALSE)),
  ""
)
</f>
        <v/>
      </c>
      <c r="V507" s="691"/>
      <c r="W507" s="140">
        <f t="shared" ref="W507:W513" si="380">U507*Q507</f>
        <v>0</v>
      </c>
      <c r="X507" s="692"/>
      <c r="Y507" s="595"/>
      <c r="Z507" s="595"/>
      <c r="AA507" s="595"/>
      <c r="AB507" s="354">
        <f t="shared" ref="AB507:AB513" si="381">W507+S507</f>
        <v>0</v>
      </c>
      <c r="AC507" s="181"/>
      <c r="AD507" s="705"/>
      <c r="AE507" s="706"/>
      <c r="AF507" s="707"/>
      <c r="AG507" s="708"/>
      <c r="AH507" s="709"/>
      <c r="AI507" s="187"/>
      <c r="AJ507" s="710"/>
      <c r="AK507" s="710"/>
      <c r="AL507" s="595"/>
      <c r="AM507" s="595"/>
      <c r="AN507" s="595"/>
      <c r="AO507" s="595"/>
      <c r="AP507" s="595"/>
      <c r="AQ507" s="595"/>
      <c r="AR507" s="595"/>
      <c r="AS507" s="595"/>
      <c r="AT507" s="595"/>
      <c r="AU507" s="595"/>
      <c r="AV507" s="595"/>
      <c r="AW507" s="595"/>
      <c r="AX507" s="595"/>
      <c r="AY507" s="595"/>
      <c r="AZ507" s="595"/>
      <c r="BA507" s="595"/>
      <c r="BB507" s="595"/>
      <c r="BC507" s="595"/>
      <c r="BD507" s="595"/>
      <c r="BE507" s="595"/>
      <c r="BF507" s="595"/>
      <c r="BG507" s="595"/>
      <c r="BH507" s="595"/>
      <c r="BI507" s="651"/>
      <c r="BJ507" s="651"/>
      <c r="BK507" s="651"/>
      <c r="BL507" s="651"/>
      <c r="BM507" s="651"/>
      <c r="BN507" s="651"/>
      <c r="BO507" s="651"/>
      <c r="BP507" s="651"/>
      <c r="BQ507" s="651"/>
      <c r="BR507" s="651"/>
      <c r="BS507" s="651"/>
      <c r="BT507" s="651"/>
    </row>
    <row r="508">
      <c r="A508" s="684"/>
      <c r="B508" s="154" t="str">
        <f>IFERROR(__xludf.DUMMYFUNCTION("IFERROR(
  IF(C508="""","""",
    IF(OR(REGEXMATCH(D508,""(?i)-Flashing""), REGEXMATCH(D508,""(?i)-EavesGut""), REGEXMATCH(D508,""(?i)Valley"")),
        ""DR"" &amp;
        TEXT(
            ROUNDUP(
                MIN(
                    VALUE(MID(C508, "&amp;"FIND(""("",C508)+1, FIND(""/"",C508)-FIND(""("",C508)-1)),
                    1200
                ) / 50, 0
            ) * 50, ""0""
        ) &amp;
        MID(C508, FIND(""/"",C508)+1, FIND("")"",C508)-FIND(""/"",C508)-1) &amp;
        TEXT(H508*100,""0"") &amp;"&amp;"
        I508,
    IF(AND(D508=""Roof Sheet"", REGEXMATCH(C508,""(?i)KS\d{4}[A-Z]{2}"")),
       REGEXEXTRACT(C508,""(?i)KS\d{4}[A-Z]{2}""),
    IF(AND(REGEXMATCH(D508,""(?i)-DP""), REGEXMATCH(C508,""(?i)Downpipe"")),
       ""dp"" &amp; REGEXEXTRACT(C508,""("&amp;"\d+)"") &amp; ""mm"",
    IF(AND(REGEXMATCH(D508,""(?i)Bracket""), REGEXMATCH(C508,""(?i)Bracket"")),
       ""Brkt"" &amp; REGEXEXTRACT(C508,""(\d+)"") &amp; ""mm"",
    IF(AND(REGEXMATCH(D508,""(?i)-OP""), REGEXMATCH(C508,""(?i)pops"")),
       ""op"" &amp; REGEXEXTRAC"&amp;"T(C508,""(\d+)"") &amp; ""mm"",
    IF(OR(D508=""R-FFTop"", D508=""R-FFBottom"", D508=""R-FFSide""),
        IF(REGEXMATCH(C508,""(?i)Profiled.*Top|Top.*Profiled""),""pfft"",
        IF(REGEXMATCH(C508,""(?i)Profiled.*Bottom|Bottom.*Profiled""),""pffb"",
    "&amp;"    IF(REGEXMATCH(C508,""(?i)Square""),""sff"",""""))),
    IF(REGEXMATCH(D508,""(?i)-Rivets""),""Rvt"",
    IF(REGEXMATCH(D508,""(?i)Silicone""),""300ml"",
    IF(REGEXMATCH(D508,""(?i)R-Butyl""),""300ml"",
    IF(REGEXMATCH(D508,""(?i)Fix""),""GenFix"","&amp;"
    IF(AND(REGEXMATCH(C508,""(?i)Timber""), REGEXMATCH(D508,""(?i)Timber"")),""tp"",
    IF(AND(REGEXMATCH(C508,""(?i)Vent G1275""), REGEXMATCH(D508,""(?i)Comb FIller"")),""CFV1275"",
    IF(REGEXMATCH(C508,""(?i)DPC""),""dpc"",
    IF(REGEXMATCH(C508,"""&amp;"(?i)Concealed Clips""),""ConClips"",
    IF(REGEXMATCH(D508,""(?i)-Takeoff ea""),""Takeoff ea"",
    IF(REGEXMATCH(D508,""(?i)-Takeoff LM""),""Takeoff LM"",
    IF(REGEXMATCH(D508,""(?i)-Takeoff m2""),""Takeoff m2"",
    IF(D508=""R-TU/TD"",""TU/TD"","""""&amp;")))))))))))))))))
  )))"),"300ml")</f>
        <v>300ml</v>
      </c>
      <c r="C508" s="225" t="s">
        <v>98</v>
      </c>
      <c r="D508" s="124" t="s">
        <v>99</v>
      </c>
      <c r="E508" s="687">
        <f>E507</f>
        <v>0.67</v>
      </c>
      <c r="F508" s="721"/>
      <c r="G508" s="701"/>
      <c r="H508" s="700"/>
      <c r="I508" s="700"/>
      <c r="J508" s="126" t="s">
        <v>87</v>
      </c>
      <c r="K508" s="126" t="str">
        <f>IFERROR(
  IF(B508="", "", VLOOKUP(B508, Data!$B$2:$K$905, 7, FALSE)),
  ""
)</f>
        <v/>
      </c>
      <c r="L508" s="712"/>
      <c r="M508" s="150">
        <f>(ROUNDDOWN((M507/5.7)+2,0)*E508)/8</f>
        <v>0.41875</v>
      </c>
      <c r="N508" s="151">
        <f>IFERROR(__xludf.DUMMYFUNCTION("IF(B508="""", """", IFERROR(1 / COS(RADIANS(REGEXEXTRACT(F508,""(\d+)""))), 1))"),1.0)</f>
        <v>1</v>
      </c>
      <c r="O508" s="169">
        <v>1.0</v>
      </c>
      <c r="P508" s="134">
        <v>1.0</v>
      </c>
      <c r="Q508" s="168">
        <f t="shared" si="378"/>
        <v>0.41875</v>
      </c>
      <c r="R508" s="136" t="str">
        <f>IFERROR(
  IF(B508="", "", VLOOKUP(B508, Data!$B$2:$K$905, 9, FALSE)),
  ""
)</f>
        <v/>
      </c>
      <c r="S508" s="152">
        <f t="shared" si="379"/>
        <v>0</v>
      </c>
      <c r="T508" s="690"/>
      <c r="U508" s="681" t="str">
        <f>IFERROR(
  IF(B508="", "", VLOOKUP(B508, Data!$B$2:$K$905, 10, FALSE)),
  ""
)
</f>
        <v/>
      </c>
      <c r="V508" s="691"/>
      <c r="W508" s="140">
        <f t="shared" si="380"/>
        <v>0</v>
      </c>
      <c r="X508" s="692"/>
      <c r="Y508" s="595"/>
      <c r="Z508" s="595"/>
      <c r="AA508" s="595"/>
      <c r="AB508" s="354">
        <f t="shared" si="381"/>
        <v>0</v>
      </c>
      <c r="AC508" s="181"/>
      <c r="AD508" s="625"/>
      <c r="AE508" s="626"/>
      <c r="AF508" s="696"/>
      <c r="AG508" s="697"/>
      <c r="AH508" s="629"/>
      <c r="AI508" s="187"/>
      <c r="AJ508" s="630"/>
      <c r="AK508" s="630"/>
      <c r="AL508" s="595"/>
      <c r="AM508" s="595"/>
      <c r="AN508" s="595"/>
      <c r="AO508" s="595"/>
      <c r="AP508" s="595"/>
      <c r="AQ508" s="595"/>
      <c r="AR508" s="595"/>
      <c r="AS508" s="595"/>
      <c r="AT508" s="595"/>
      <c r="AU508" s="595"/>
      <c r="AV508" s="595"/>
      <c r="AW508" s="595"/>
      <c r="AX508" s="595"/>
      <c r="AY508" s="595"/>
      <c r="AZ508" s="595"/>
      <c r="BA508" s="595"/>
      <c r="BB508" s="595"/>
      <c r="BC508" s="595"/>
      <c r="BD508" s="595"/>
      <c r="BE508" s="595"/>
      <c r="BF508" s="595"/>
      <c r="BG508" s="595"/>
      <c r="BH508" s="595"/>
      <c r="BI508" s="651"/>
      <c r="BJ508" s="651"/>
      <c r="BK508" s="651"/>
      <c r="BL508" s="651"/>
      <c r="BM508" s="651"/>
      <c r="BN508" s="651"/>
      <c r="BO508" s="651"/>
      <c r="BP508" s="651"/>
      <c r="BQ508" s="651"/>
      <c r="BR508" s="651"/>
      <c r="BS508" s="651"/>
      <c r="BT508" s="651"/>
    </row>
    <row r="509">
      <c r="A509" s="684"/>
      <c r="B509" s="154" t="str">
        <f>IFERROR(__xludf.DUMMYFUNCTION("IFERROR(
  IF(C509="""","""",
    IF(OR(REGEXMATCH(D509,""(?i)-Flashing""), REGEXMATCH(D509,""(?i)-EavesGut""), REGEXMATCH(D509,""(?i)Valley"")),
        ""DR"" &amp;
        TEXT(
            ROUNDUP(
                MIN(
                    VALUE(MID(C509, "&amp;"FIND(""("",C509)+1, FIND(""/"",C509)-FIND(""("",C509)-1)),
                    1200
                ) / 50, 0
            ) * 50, ""0""
        ) &amp;
        MID(C509, FIND(""/"",C509)+1, FIND("")"",C509)-FIND(""/"",C509)-1) &amp;
        TEXT(H509*100,""0"") &amp;"&amp;"
        I509,
    IF(AND(D509=""Roof Sheet"", REGEXMATCH(C509,""(?i)KS\d{4}[A-Z]{2}"")),
       REGEXEXTRACT(C509,""(?i)KS\d{4}[A-Z]{2}""),
    IF(AND(REGEXMATCH(D509,""(?i)-DP""), REGEXMATCH(C509,""(?i)Downpipe"")),
       ""dp"" &amp; REGEXEXTRACT(C509,""("&amp;"\d+)"") &amp; ""mm"",
    IF(AND(REGEXMATCH(D509,""(?i)Bracket""), REGEXMATCH(C509,""(?i)Bracket"")),
       ""Brkt"" &amp; REGEXEXTRACT(C509,""(\d+)"") &amp; ""mm"",
    IF(AND(REGEXMATCH(D509,""(?i)-OP""), REGEXMATCH(C509,""(?i)pops"")),
       ""op"" &amp; REGEXEXTRAC"&amp;"T(C509,""(\d+)"") &amp; ""mm"",
    IF(OR(D509=""R-FFTop"", D509=""R-FFBottom"", D509=""R-FFSide""),
        IF(REGEXMATCH(C509,""(?i)Profiled.*Top|Top.*Profiled""),""pfft"",
        IF(REGEXMATCH(C509,""(?i)Profiled.*Bottom|Bottom.*Profiled""),""pffb"",
    "&amp;"    IF(REGEXMATCH(C509,""(?i)Square""),""sff"",""""))),
    IF(REGEXMATCH(D509,""(?i)-Rivets""),""Rvt"",
    IF(REGEXMATCH(D509,""(?i)Silicone""),""300ml"",
    IF(REGEXMATCH(D509,""(?i)R-Butyl""),""300ml"",
    IF(REGEXMATCH(D509,""(?i)Fix""),""GenFix"","&amp;"
    IF(AND(REGEXMATCH(C509,""(?i)Timber""), REGEXMATCH(D509,""(?i)Timber"")),""tp"",
    IF(AND(REGEXMATCH(C509,""(?i)Vent G1275""), REGEXMATCH(D509,""(?i)Comb FIller"")),""CFV1275"",
    IF(REGEXMATCH(C509,""(?i)DPC""),""dpc"",
    IF(REGEXMATCH(C509,"""&amp;"(?i)Concealed Clips""),""ConClips"",
    IF(REGEXMATCH(D509,""(?i)-Takeoff ea""),""Takeoff ea"",
    IF(REGEXMATCH(D509,""(?i)-Takeoff LM""),""Takeoff LM"",
    IF(REGEXMATCH(D509,""(?i)-Takeoff m2""),""Takeoff m2"",
    IF(D509=""R-TU/TD"",""TU/TD"","""""&amp;")))))))))))))))))
  )))"),"Rvt")</f>
        <v>Rvt</v>
      </c>
      <c r="C509" s="225" t="s">
        <v>100</v>
      </c>
      <c r="D509" s="124" t="s">
        <v>101</v>
      </c>
      <c r="E509" s="687">
        <f>E507</f>
        <v>0.67</v>
      </c>
      <c r="F509" s="721"/>
      <c r="G509" s="701"/>
      <c r="H509" s="700"/>
      <c r="I509" s="700"/>
      <c r="J509" s="126" t="s">
        <v>87</v>
      </c>
      <c r="K509" s="126" t="str">
        <f>IFERROR(
  IF(B509="", "", VLOOKUP(B509, Data!$B$2:$K$905, 7, FALSE)),
  ""
)</f>
        <v/>
      </c>
      <c r="L509" s="712"/>
      <c r="M509" s="150">
        <f>ROUNDUP(((M507/5.7)+1)*(E509/0.05),0)</f>
        <v>63</v>
      </c>
      <c r="N509" s="151">
        <f>IFERROR(__xludf.DUMMYFUNCTION("IF(B509="""", """", IFERROR(1 / COS(RADIANS(REGEXEXTRACT(F509,""(\d+)""))), 1))"),1.0)</f>
        <v>1</v>
      </c>
      <c r="O509" s="169">
        <v>1.0</v>
      </c>
      <c r="P509" s="134">
        <v>1.0</v>
      </c>
      <c r="Q509" s="168">
        <f t="shared" si="378"/>
        <v>63</v>
      </c>
      <c r="R509" s="136" t="str">
        <f>IFERROR(
  IF(B509="", "", VLOOKUP(B509, Data!$B$2:$K$905, 9, FALSE)),
  ""
)</f>
        <v/>
      </c>
      <c r="S509" s="152">
        <f t="shared" si="379"/>
        <v>0</v>
      </c>
      <c r="T509" s="690"/>
      <c r="U509" s="681" t="str">
        <f>IFERROR(
  IF(B509="", "", VLOOKUP(B509, Data!$B$2:$K$905, 10, FALSE)),
  ""
)
</f>
        <v/>
      </c>
      <c r="V509" s="691"/>
      <c r="W509" s="140">
        <f t="shared" si="380"/>
        <v>0</v>
      </c>
      <c r="X509" s="692"/>
      <c r="Y509" s="595"/>
      <c r="Z509" s="595"/>
      <c r="AA509" s="595"/>
      <c r="AB509" s="354">
        <f t="shared" si="381"/>
        <v>0</v>
      </c>
      <c r="AC509" s="181"/>
      <c r="AD509" s="625"/>
      <c r="AE509" s="626"/>
      <c r="AF509" s="696"/>
      <c r="AG509" s="697"/>
      <c r="AH509" s="629"/>
      <c r="AI509" s="187"/>
      <c r="AJ509" s="630"/>
      <c r="AK509" s="630"/>
      <c r="AL509" s="595"/>
      <c r="AM509" s="595"/>
      <c r="AN509" s="595"/>
      <c r="AO509" s="595"/>
      <c r="AP509" s="595"/>
      <c r="AQ509" s="595"/>
      <c r="AR509" s="595"/>
      <c r="AS509" s="595"/>
      <c r="AT509" s="595"/>
      <c r="AU509" s="595"/>
      <c r="AV509" s="595"/>
      <c r="AW509" s="595"/>
      <c r="AX509" s="595"/>
      <c r="AY509" s="595"/>
      <c r="AZ509" s="595"/>
      <c r="BA509" s="595"/>
      <c r="BB509" s="595"/>
      <c r="BC509" s="595"/>
      <c r="BD509" s="595"/>
      <c r="BE509" s="595"/>
      <c r="BF509" s="595"/>
      <c r="BG509" s="595"/>
      <c r="BH509" s="595"/>
      <c r="BI509" s="651"/>
      <c r="BJ509" s="651"/>
      <c r="BK509" s="651"/>
      <c r="BL509" s="651"/>
      <c r="BM509" s="651"/>
      <c r="BN509" s="651"/>
      <c r="BO509" s="651"/>
      <c r="BP509" s="651"/>
      <c r="BQ509" s="651"/>
      <c r="BR509" s="651"/>
      <c r="BS509" s="651"/>
      <c r="BT509" s="651"/>
    </row>
    <row r="510">
      <c r="A510" s="703" t="s">
        <v>479</v>
      </c>
      <c r="B510" s="154" t="s">
        <v>482</v>
      </c>
      <c r="C510" s="158" t="s">
        <v>483</v>
      </c>
      <c r="D510" s="124" t="s">
        <v>122</v>
      </c>
      <c r="E510" s="687">
        <f>IFERROR(__xludf.DUMMYFUNCTION("IFERROR(REGEXEXTRACT(C510,""@\s*(\d+(?:\.\d+)?)\s*mm"")/1000,"""")"),0.6)</f>
        <v>0.6</v>
      </c>
      <c r="F510" s="699"/>
      <c r="G510" s="701"/>
      <c r="H510" s="700"/>
      <c r="I510" s="700"/>
      <c r="J510" s="126" t="s">
        <v>87</v>
      </c>
      <c r="K510" s="126" t="str">
        <f>IFERROR(
  IF(B510="", "", VLOOKUP(B510, Data!$B$2:$K$905, 7, FALSE)),
  ""
)</f>
        <v/>
      </c>
      <c r="L510" s="704"/>
      <c r="M510" s="150">
        <f>ROUNDUP(M507/E510,0)+1</f>
        <v>36</v>
      </c>
      <c r="N510" s="151">
        <f>IFERROR(__xludf.DUMMYFUNCTION("IF(B510="""", """", IFERROR(1 / COS(RADIANS(REGEXEXTRACT(F510,""(\d+)""))), 1))"),1.0)</f>
        <v>1</v>
      </c>
      <c r="O510" s="169">
        <v>1.0</v>
      </c>
      <c r="P510" s="134">
        <v>1.0</v>
      </c>
      <c r="Q510" s="168">
        <f t="shared" si="378"/>
        <v>36</v>
      </c>
      <c r="R510" s="136" t="str">
        <f>IFERROR(
  IF(B510="", "", VLOOKUP(B510, Data!$B$2:$K$905, 9, FALSE)),
  ""
)</f>
        <v/>
      </c>
      <c r="S510" s="152">
        <f t="shared" si="379"/>
        <v>0</v>
      </c>
      <c r="T510" s="690"/>
      <c r="U510" s="681" t="str">
        <f>IFERROR(
  IF(B510="", "", VLOOKUP(B510, Data!$B$2:$K$905, 10, FALSE)),
  ""
)
</f>
        <v/>
      </c>
      <c r="V510" s="691"/>
      <c r="W510" s="140">
        <f t="shared" si="380"/>
        <v>0</v>
      </c>
      <c r="X510" s="692"/>
      <c r="Y510" s="595"/>
      <c r="Z510" s="595"/>
      <c r="AA510" s="595"/>
      <c r="AB510" s="354">
        <f t="shared" si="381"/>
        <v>0</v>
      </c>
      <c r="AC510" s="181"/>
      <c r="AD510" s="625"/>
      <c r="AE510" s="626"/>
      <c r="AF510" s="696"/>
      <c r="AG510" s="697"/>
      <c r="AH510" s="629"/>
      <c r="AI510" s="187"/>
      <c r="AJ510" s="630"/>
      <c r="AK510" s="630"/>
      <c r="AL510" s="595"/>
      <c r="AM510" s="595"/>
      <c r="AN510" s="595"/>
      <c r="AO510" s="595"/>
      <c r="AP510" s="595"/>
      <c r="AQ510" s="595"/>
      <c r="AR510" s="595"/>
      <c r="AS510" s="595"/>
      <c r="AT510" s="595"/>
      <c r="AU510" s="595"/>
      <c r="AV510" s="595"/>
      <c r="AW510" s="595"/>
      <c r="AX510" s="595"/>
      <c r="AY510" s="595"/>
      <c r="AZ510" s="595"/>
      <c r="BA510" s="595"/>
      <c r="BB510" s="595"/>
      <c r="BC510" s="595"/>
      <c r="BD510" s="595"/>
      <c r="BE510" s="595"/>
      <c r="BF510" s="595"/>
      <c r="BG510" s="595"/>
      <c r="BH510" s="595"/>
      <c r="BI510" s="651"/>
      <c r="BJ510" s="651"/>
      <c r="BK510" s="651"/>
      <c r="BL510" s="651"/>
      <c r="BM510" s="651"/>
      <c r="BN510" s="651"/>
      <c r="BO510" s="651"/>
      <c r="BP510" s="651"/>
      <c r="BQ510" s="651"/>
      <c r="BR510" s="651"/>
      <c r="BS510" s="651"/>
      <c r="BT510" s="651"/>
    </row>
    <row r="511">
      <c r="A511" s="684"/>
      <c r="B511" s="154" t="str">
        <f>IFERROR(__xludf.DUMMYFUNCTION("IFERROR(
  IF(C511="""","""",
    IF(OR(REGEXMATCH(D511,""(?i)-Flashing""), REGEXMATCH(D511,""(?i)-EavesGut""), REGEXMATCH(D511,""(?i)Valley"")),
        ""DR"" &amp;
        TEXT(
            ROUNDUP(
                MIN(
                    VALUE(MID(C511, "&amp;"FIND(""("",C511)+1, FIND(""/"",C511)-FIND(""("",C511)-1)),
                    1200
                ) / 50, 0
            ) * 50, ""0""
        ) &amp;
        MID(C511, FIND(""/"",C511)+1, FIND("")"",C511)-FIND(""/"",C511)-1) &amp;
        TEXT(H511*100,""0"") &amp;"&amp;"
        I511,
    IF(AND(D511=""Roof Sheet"", REGEXMATCH(C511,""(?i)KS\d{4}[A-Z]{2}"")),
       REGEXEXTRACT(C511,""(?i)KS\d{4}[A-Z]{2}""),
    IF(AND(REGEXMATCH(D511,""(?i)-DP""), REGEXMATCH(C511,""(?i)Downpipe"")),
       ""dp"" &amp; REGEXEXTRACT(C511,""("&amp;"\d+)"") &amp; ""mm"",
    IF(AND(REGEXMATCH(D511,""(?i)Bracket""), REGEXMATCH(C511,""(?i)Bracket"")),
       ""Brkt"" &amp; REGEXEXTRACT(C511,""(\d+)"") &amp; ""mm"",
    IF(AND(REGEXMATCH(D511,""(?i)-OP""), REGEXMATCH(C511,""(?i)pops"")),
       ""op"" &amp; REGEXEXTRAC"&amp;"T(C511,""(\d+)"") &amp; ""mm"",
    IF(OR(D511=""R-FFTop"", D511=""R-FFBottom"", D511=""R-FFSide""),
        IF(REGEXMATCH(C511,""(?i)Profiled.*Top|Top.*Profiled""),""pfft"",
        IF(REGEXMATCH(C511,""(?i)Profiled.*Bottom|Bottom.*Profiled""),""pffb"",
    "&amp;"    IF(REGEXMATCH(C511,""(?i)Square""),""sff"",""""))),
    IF(REGEXMATCH(D511,""(?i)-Rivets""),""Rvt"",
    IF(REGEXMATCH(D511,""(?i)Silicone""),""300ml"",
    IF(REGEXMATCH(D511,""(?i)R-Butyl""),""300ml"",
    IF(REGEXMATCH(D511,""(?i)Fix""),""GenFix"","&amp;"
    IF(AND(REGEXMATCH(C511,""(?i)Timber""), REGEXMATCH(D511,""(?i)Timber"")),""tp"",
    IF(AND(REGEXMATCH(C511,""(?i)Vent G1275""), REGEXMATCH(D511,""(?i)Comb FIller"")),""CFV1275"",
    IF(REGEXMATCH(C511,""(?i)DPC""),""dpc"",
    IF(REGEXMATCH(C511,"""&amp;"(?i)Concealed Clips""),""ConClips"",
    IF(REGEXMATCH(D511,""(?i)-Takeoff ea""),""Takeoff ea"",
    IF(REGEXMATCH(D511,""(?i)-Takeoff LM""),""Takeoff LM"",
    IF(REGEXMATCH(D511,""(?i)-Takeoff m2""),""Takeoff m2"",
    IF(D511=""R-TU/TD"",""TU/TD"","""""&amp;")))))))))))))))))
  )))"),"GenFix")</f>
        <v>GenFix</v>
      </c>
      <c r="C511" s="158" t="s">
        <v>102</v>
      </c>
      <c r="D511" s="124" t="s">
        <v>123</v>
      </c>
      <c r="E511" s="687">
        <v>2.0</v>
      </c>
      <c r="F511" s="699"/>
      <c r="G511" s="701"/>
      <c r="H511" s="700"/>
      <c r="I511" s="700"/>
      <c r="J511" s="126" t="s">
        <v>87</v>
      </c>
      <c r="K511" s="126" t="str">
        <f>IFERROR(
  IF(B511="", "", VLOOKUP(B511, Data!$B$2:$K$905, 7, FALSE)),
  ""
)</f>
        <v/>
      </c>
      <c r="L511" s="704"/>
      <c r="M511" s="150">
        <f>ROUNDUP(M510*E511,0)+1</f>
        <v>73</v>
      </c>
      <c r="N511" s="151">
        <f>IFERROR(__xludf.DUMMYFUNCTION("IF(B511="""", """", IFERROR(1 / COS(RADIANS(REGEXEXTRACT(F511,""(\d+)""))), 1))"),1.0)</f>
        <v>1</v>
      </c>
      <c r="O511" s="169">
        <v>1.0</v>
      </c>
      <c r="P511" s="134">
        <v>1.0</v>
      </c>
      <c r="Q511" s="168">
        <f t="shared" si="378"/>
        <v>73</v>
      </c>
      <c r="R511" s="136" t="str">
        <f>IFERROR(
  IF(B511="", "", VLOOKUP(B511, Data!$B$2:$K$905, 9, FALSE)),
  ""
)</f>
        <v/>
      </c>
      <c r="S511" s="152">
        <f t="shared" si="379"/>
        <v>0</v>
      </c>
      <c r="T511" s="690"/>
      <c r="U511" s="681" t="str">
        <f>IFERROR(
  IF(B511="", "", VLOOKUP(B511, Data!$B$2:$K$905, 10, FALSE)),
  ""
)
</f>
        <v/>
      </c>
      <c r="V511" s="691"/>
      <c r="W511" s="140">
        <f t="shared" si="380"/>
        <v>0</v>
      </c>
      <c r="X511" s="692"/>
      <c r="Y511" s="595"/>
      <c r="Z511" s="595"/>
      <c r="AA511" s="595"/>
      <c r="AB511" s="354">
        <f t="shared" si="381"/>
        <v>0</v>
      </c>
      <c r="AC511" s="181"/>
      <c r="AD511" s="625"/>
      <c r="AE511" s="626"/>
      <c r="AF511" s="696"/>
      <c r="AG511" s="697"/>
      <c r="AH511" s="629"/>
      <c r="AI511" s="187"/>
      <c r="AJ511" s="630"/>
      <c r="AK511" s="630"/>
      <c r="AL511" s="595"/>
      <c r="AM511" s="595"/>
      <c r="AN511" s="595"/>
      <c r="AO511" s="595"/>
      <c r="AP511" s="595"/>
      <c r="AQ511" s="595"/>
      <c r="AR511" s="595"/>
      <c r="AS511" s="595"/>
      <c r="AT511" s="595"/>
      <c r="AU511" s="595"/>
      <c r="AV511" s="595"/>
      <c r="AW511" s="595"/>
      <c r="AX511" s="595"/>
      <c r="AY511" s="595"/>
      <c r="AZ511" s="595"/>
      <c r="BA511" s="595"/>
      <c r="BB511" s="595"/>
      <c r="BC511" s="595"/>
      <c r="BD511" s="595"/>
      <c r="BE511" s="595"/>
      <c r="BF511" s="595"/>
      <c r="BG511" s="595"/>
      <c r="BH511" s="595"/>
      <c r="BI511" s="651"/>
      <c r="BJ511" s="651"/>
      <c r="BK511" s="651"/>
      <c r="BL511" s="651"/>
      <c r="BM511" s="651"/>
      <c r="BN511" s="651"/>
      <c r="BO511" s="651"/>
      <c r="BP511" s="651"/>
      <c r="BQ511" s="651"/>
      <c r="BR511" s="651"/>
      <c r="BS511" s="651"/>
      <c r="BT511" s="651"/>
    </row>
    <row r="512">
      <c r="A512" s="684"/>
      <c r="B512" s="154" t="str">
        <f>IFERROR(__xludf.DUMMYFUNCTION("IFERROR(
  IF(C512="""","""",
    IF(OR(REGEXMATCH(D512,""(?i)-Flashing""), REGEXMATCH(D512,""(?i)-EavesGut""), REGEXMATCH(D512,""(?i)Valley"")),
        ""DR"" &amp;
        TEXT(
            ROUNDUP(
                MIN(
                    VALUE(MID(C512, "&amp;"FIND(""("",C512)+1, FIND(""/"",C512)-FIND(""("",C512)-1)),
                    1200
                ) / 50, 0
            ) * 50, ""0""
        ) &amp;
        MID(C512, FIND(""/"",C512)+1, FIND("")"",C512)-FIND(""/"",C512)-1) &amp;
        TEXT(H512*100,""0"") &amp;"&amp;"
        I512,
    IF(AND(D512=""Roof Sheet"", REGEXMATCH(C512,""(?i)KS\d{4}[A-Z]{2}"")),
       REGEXEXTRACT(C512,""(?i)KS\d{4}[A-Z]{2}""),
    IF(AND(REGEXMATCH(D512,""(?i)-DP""), REGEXMATCH(C512,""(?i)Downpipe"")),
       ""dp"" &amp; REGEXEXTRACT(C512,""("&amp;"\d+)"") &amp; ""mm"",
    IF(AND(REGEXMATCH(D512,""(?i)Bracket""), REGEXMATCH(C512,""(?i)Bracket"")),
       ""Brkt"" &amp; REGEXEXTRACT(C512,""(\d+)"") &amp; ""mm"",
    IF(AND(REGEXMATCH(D512,""(?i)-OP""), REGEXMATCH(C512,""(?i)pops"")),
       ""op"" &amp; REGEXEXTRAC"&amp;"T(C512,""(\d+)"") &amp; ""mm"",
    IF(OR(D512=""R-FFTop"", D512=""R-FFBottom"", D512=""R-FFSide""),
        IF(REGEXMATCH(C512,""(?i)Profiled.*Top|Top.*Profiled""),""pfft"",
        IF(REGEXMATCH(C512,""(?i)Profiled.*Bottom|Bottom.*Profiled""),""pffb"",
    "&amp;"    IF(REGEXMATCH(C512,""(?i)Square""),""sff"",""""))),
    IF(REGEXMATCH(D512,""(?i)-Rivets""),""Rvt"",
    IF(REGEXMATCH(D512,""(?i)Silicone""),""300ml"",
    IF(REGEXMATCH(D512,""(?i)R-Butyl""),""300ml"",
    IF(REGEXMATCH(D512,""(?i)Fix""),""GenFix"","&amp;"
    IF(AND(REGEXMATCH(C512,""(?i)Timber""), REGEXMATCH(D512,""(?i)Timber"")),""tp"",
    IF(AND(REGEXMATCH(C512,""(?i)Vent G1275""), REGEXMATCH(D512,""(?i)Comb FIller"")),""CFV1275"",
    IF(REGEXMATCH(C512,""(?i)DPC""),""dpc"",
    IF(REGEXMATCH(C512,"""&amp;"(?i)Concealed Clips""),""ConClips"",
    IF(REGEXMATCH(D512,""(?i)-Takeoff ea""),""Takeoff ea"",
    IF(REGEXMATCH(D512,""(?i)-Takeoff LM""),""Takeoff LM"",
    IF(REGEXMATCH(D512,""(?i)-Takeoff m2""),""Takeoff m2"",
    IF(D512=""R-TU/TD"",""TU/TD"","""""&amp;")))))))))))))))))
  )))"),"pffb")</f>
        <v>pffb</v>
      </c>
      <c r="C512" s="158" t="s">
        <v>125</v>
      </c>
      <c r="D512" s="124" t="s">
        <v>126</v>
      </c>
      <c r="E512" s="722"/>
      <c r="F512" s="699"/>
      <c r="G512" s="701"/>
      <c r="H512" s="700"/>
      <c r="I512" s="700"/>
      <c r="J512" s="126" t="s">
        <v>87</v>
      </c>
      <c r="K512" s="126" t="str">
        <f>IFERROR(
  IF(B512="", "", VLOOKUP(B512, Data!$B$2:$K$905, 7, FALSE)),
  ""
)</f>
        <v/>
      </c>
      <c r="L512" s="704"/>
      <c r="M512" s="150">
        <f>M507</f>
        <v>20.71</v>
      </c>
      <c r="N512" s="151">
        <f>IFERROR(__xludf.DUMMYFUNCTION("IF(B512="""", """", IFERROR(1 / COS(RADIANS(REGEXEXTRACT(F512,""(\d+)""))), 1))"),1.0)</f>
        <v>1</v>
      </c>
      <c r="O512" s="169">
        <v>1.0</v>
      </c>
      <c r="P512" s="134">
        <v>1.0</v>
      </c>
      <c r="Q512" s="168">
        <f t="shared" si="378"/>
        <v>20.71</v>
      </c>
      <c r="R512" s="136" t="str">
        <f>IFERROR(
  IF(B512="", "", VLOOKUP(B512, Data!$B$2:$K$905, 9, FALSE)),
  ""
)</f>
        <v/>
      </c>
      <c r="S512" s="152">
        <f t="shared" si="379"/>
        <v>0</v>
      </c>
      <c r="T512" s="690"/>
      <c r="U512" s="136" t="str">
        <f>IFERROR(
  IF(B512="", "", VLOOKUP(B512, Data!$B$2:$K$905, 10, FALSE)),
  ""
)
</f>
        <v/>
      </c>
      <c r="V512" s="691"/>
      <c r="W512" s="140">
        <f t="shared" si="380"/>
        <v>0</v>
      </c>
      <c r="X512" s="692"/>
      <c r="Y512" s="595"/>
      <c r="Z512" s="595"/>
      <c r="AA512" s="595"/>
      <c r="AB512" s="354">
        <f t="shared" si="381"/>
        <v>0</v>
      </c>
      <c r="AC512" s="181"/>
      <c r="AD512" s="625"/>
      <c r="AE512" s="626"/>
      <c r="AF512" s="696"/>
      <c r="AG512" s="697"/>
      <c r="AH512" s="629"/>
      <c r="AI512" s="187"/>
      <c r="AJ512" s="630"/>
      <c r="AK512" s="630"/>
      <c r="AL512" s="595"/>
      <c r="AM512" s="595"/>
      <c r="AN512" s="595"/>
      <c r="AO512" s="595"/>
      <c r="AP512" s="595"/>
      <c r="AQ512" s="595"/>
      <c r="AR512" s="595"/>
      <c r="AS512" s="595"/>
      <c r="AT512" s="595"/>
      <c r="AU512" s="595"/>
      <c r="AV512" s="595"/>
      <c r="AW512" s="595"/>
      <c r="AX512" s="595"/>
      <c r="AY512" s="595"/>
      <c r="AZ512" s="595"/>
      <c r="BA512" s="595"/>
      <c r="BB512" s="595"/>
      <c r="BC512" s="595"/>
      <c r="BD512" s="595"/>
      <c r="BE512" s="595"/>
      <c r="BF512" s="595"/>
      <c r="BG512" s="595"/>
      <c r="BH512" s="595"/>
      <c r="BI512" s="651"/>
      <c r="BJ512" s="651"/>
      <c r="BK512" s="651"/>
      <c r="BL512" s="651"/>
      <c r="BM512" s="651"/>
      <c r="BN512" s="651"/>
      <c r="BO512" s="651"/>
      <c r="BP512" s="651"/>
      <c r="BQ512" s="651"/>
      <c r="BR512" s="651"/>
      <c r="BS512" s="651"/>
      <c r="BT512" s="651"/>
    </row>
    <row r="513">
      <c r="A513" s="684"/>
      <c r="B513" s="154" t="str">
        <f>IFERROR(__xludf.DUMMYFUNCTION("IFERROR(
  IF(C513="""","""",
    IF(OR(REGEXMATCH(D513,""(?i)-Flashing""), REGEXMATCH(D513,""(?i)-EavesGut""), REGEXMATCH(D513,""(?i)Valley"")),
        ""DR"" &amp;
        TEXT(
            ROUNDUP(
                MIN(
                    VALUE(MID(C513, "&amp;"FIND(""("",C513)+1, FIND(""/"",C513)-FIND(""("",C513)-1)),
                    1200
                ) / 50, 0
            ) * 50, ""0""
        ) &amp;
        MID(C513, FIND(""/"",C513)+1, FIND("")"",C513)-FIND(""/"",C513)-1) &amp;
        TEXT(H513*100,""0"") &amp;"&amp;"
        I513,
    IF(AND(D513=""Roof Sheet"", REGEXMATCH(C513,""(?i)KS\d{4}[A-Z]{2}"")),
       REGEXEXTRACT(C513,""(?i)KS\d{4}[A-Z]{2}""),
    IF(AND(REGEXMATCH(D513,""(?i)-DP""), REGEXMATCH(C513,""(?i)Downpipe"")),
       ""dp"" &amp; REGEXEXTRACT(C513,""("&amp;"\d+)"") &amp; ""mm"",
    IF(AND(REGEXMATCH(D513,""(?i)Bracket""), REGEXMATCH(C513,""(?i)Bracket"")),
       ""Brkt"" &amp; REGEXEXTRACT(C513,""(\d+)"") &amp; ""mm"",
    IF(AND(REGEXMATCH(D513,""(?i)-OP""), REGEXMATCH(C513,""(?i)pops"")),
       ""op"" &amp; REGEXEXTRAC"&amp;"T(C513,""(\d+)"") &amp; ""mm"",
    IF(OR(D513=""R-FFTop"", D513=""R-FFBottom"", D513=""R-FFSide""),
        IF(REGEXMATCH(C513,""(?i)Profiled.*Top|Top.*Profiled""),""pfft"",
        IF(REGEXMATCH(C513,""(?i)Profiled.*Bottom|Bottom.*Profiled""),""pffb"",
    "&amp;"    IF(REGEXMATCH(C513,""(?i)Square""),""sff"",""""))),
    IF(REGEXMATCH(D513,""(?i)-Rivets""),""Rvt"",
    IF(REGEXMATCH(D513,""(?i)Silicone""),""300ml"",
    IF(REGEXMATCH(D513,""(?i)R-Butyl""),""300ml"",
    IF(REGEXMATCH(D513,""(?i)Fix""),""GenFix"","&amp;"
    IF(AND(REGEXMATCH(C513,""(?i)Timber""), REGEXMATCH(D513,""(?i)Timber"")),""tp"",
    IF(AND(REGEXMATCH(C513,""(?i)Vent G1275""), REGEXMATCH(D513,""(?i)Comb FIller"")),""CFV1275"",
    IF(REGEXMATCH(C513,""(?i)DPC""),""dpc"",
    IF(REGEXMATCH(C513,"""&amp;"(?i)Concealed Clips""),""ConClips"",
    IF(REGEXMATCH(D513,""(?i)-Takeoff ea""),""Takeoff ea"",
    IF(REGEXMATCH(D513,""(?i)-Takeoff LM""),""Takeoff LM"",
    IF(REGEXMATCH(D513,""(?i)-Takeoff m2""),""Takeoff m2"",
    IF(D513=""R-TU/TD"",""TU/TD"","""""&amp;")))))))))))))))))
  )))"),"TU/TD")</f>
        <v>TU/TD</v>
      </c>
      <c r="C513" s="158" t="s">
        <v>446</v>
      </c>
      <c r="D513" s="124" t="s">
        <v>107</v>
      </c>
      <c r="E513" s="722"/>
      <c r="F513" s="699"/>
      <c r="G513" s="701"/>
      <c r="H513" s="700"/>
      <c r="I513" s="700"/>
      <c r="J513" s="126" t="s">
        <v>87</v>
      </c>
      <c r="K513" s="126" t="str">
        <f>IFERROR(
  IF(B513="", "", VLOOKUP(B513, Data!$B$2:$K$905, 7, FALSE)),
  ""
)</f>
        <v/>
      </c>
      <c r="L513" s="704"/>
      <c r="M513" s="150">
        <f>M507</f>
        <v>20.71</v>
      </c>
      <c r="N513" s="151">
        <f>IFERROR(__xludf.DUMMYFUNCTION("IF(B513="""", """", IFERROR(1 / COS(RADIANS(REGEXEXTRACT(F513,""(\d+)""))), 1))"),1.0)</f>
        <v>1</v>
      </c>
      <c r="O513" s="169">
        <v>1.0</v>
      </c>
      <c r="P513" s="134">
        <v>1.0</v>
      </c>
      <c r="Q513" s="168">
        <f t="shared" si="378"/>
        <v>20.71</v>
      </c>
      <c r="R513" s="681" t="str">
        <f>IFERROR(
  IF(B513="", "", VLOOKUP(B513, Data!$B$2:$K$905, 9, FALSE)),
  ""
)</f>
        <v/>
      </c>
      <c r="S513" s="152">
        <f t="shared" si="379"/>
        <v>0</v>
      </c>
      <c r="T513" s="690"/>
      <c r="U513" s="136" t="str">
        <f>IFERROR(
  IF(B513="", "", VLOOKUP(B513, Data!$B$2:$K$905, 10, FALSE)),
  ""
)
</f>
        <v/>
      </c>
      <c r="V513" s="691"/>
      <c r="W513" s="140">
        <f t="shared" si="380"/>
        <v>0</v>
      </c>
      <c r="X513" s="692"/>
      <c r="Y513" s="595"/>
      <c r="Z513" s="595"/>
      <c r="AA513" s="595"/>
      <c r="AB513" s="354">
        <f t="shared" si="381"/>
        <v>0</v>
      </c>
      <c r="AC513" s="181"/>
      <c r="AD513" s="625"/>
      <c r="AE513" s="626"/>
      <c r="AF513" s="696"/>
      <c r="AG513" s="697"/>
      <c r="AH513" s="629"/>
      <c r="AI513" s="187"/>
      <c r="AJ513" s="630"/>
      <c r="AK513" s="630"/>
      <c r="AL513" s="595"/>
      <c r="AM513" s="595"/>
      <c r="AN513" s="595"/>
      <c r="AO513" s="595"/>
      <c r="AP513" s="595"/>
      <c r="AQ513" s="595"/>
      <c r="AR513" s="595"/>
      <c r="AS513" s="595"/>
      <c r="AT513" s="595"/>
      <c r="AU513" s="595"/>
      <c r="AV513" s="595"/>
      <c r="AW513" s="595"/>
      <c r="AX513" s="595"/>
      <c r="AY513" s="595"/>
      <c r="AZ513" s="595"/>
      <c r="BA513" s="595"/>
      <c r="BB513" s="595"/>
      <c r="BC513" s="595"/>
      <c r="BD513" s="595"/>
      <c r="BE513" s="595"/>
      <c r="BF513" s="595"/>
      <c r="BG513" s="595"/>
      <c r="BH513" s="595"/>
      <c r="BI513" s="651"/>
      <c r="BJ513" s="651"/>
      <c r="BK513" s="651"/>
      <c r="BL513" s="651"/>
      <c r="BM513" s="651"/>
      <c r="BN513" s="651"/>
      <c r="BO513" s="651"/>
      <c r="BP513" s="651"/>
      <c r="BQ513" s="651"/>
      <c r="BR513" s="651"/>
      <c r="BS513" s="651"/>
      <c r="BT513" s="651"/>
    </row>
    <row r="514">
      <c r="A514" s="684"/>
      <c r="B514" s="154"/>
      <c r="C514" s="701"/>
      <c r="D514" s="701"/>
      <c r="E514" s="722"/>
      <c r="F514" s="699"/>
      <c r="G514" s="701"/>
      <c r="H514" s="700"/>
      <c r="I514" s="700"/>
      <c r="J514" s="701"/>
      <c r="K514" s="701"/>
      <c r="L514" s="704"/>
      <c r="M514" s="704"/>
      <c r="N514" s="711"/>
      <c r="O514" s="712"/>
      <c r="P514" s="700"/>
      <c r="Q514" s="712"/>
      <c r="R514" s="681" t="str">
        <f>IFERROR(
  IF(B514="", "", VLOOKUP(B514, Data!$B$2:$K$905, 9, FALSE)),
  ""
)</f>
        <v/>
      </c>
      <c r="S514" s="691"/>
      <c r="T514" s="690"/>
      <c r="U514" s="136" t="str">
        <f>IFERROR(
  IF(B514="", "", VLOOKUP(B514, Data!$B$2:$K$905, 10, FALSE)),
  ""
)
</f>
        <v/>
      </c>
      <c r="V514" s="691"/>
      <c r="W514" s="713"/>
      <c r="X514" s="692"/>
      <c r="Y514" s="595"/>
      <c r="Z514" s="595"/>
      <c r="AA514" s="595"/>
      <c r="AB514" s="595"/>
      <c r="AC514" s="181"/>
      <c r="AD514" s="625"/>
      <c r="AE514" s="626"/>
      <c r="AF514" s="696"/>
      <c r="AG514" s="697"/>
      <c r="AH514" s="629"/>
      <c r="AI514" s="187"/>
      <c r="AJ514" s="630"/>
      <c r="AK514" s="630"/>
      <c r="AL514" s="595"/>
      <c r="AM514" s="595"/>
      <c r="AN514" s="595"/>
      <c r="AO514" s="595"/>
      <c r="AP514" s="595"/>
      <c r="AQ514" s="595"/>
      <c r="AR514" s="595"/>
      <c r="AS514" s="595"/>
      <c r="AT514" s="595"/>
      <c r="AU514" s="595"/>
      <c r="AV514" s="595"/>
      <c r="AW514" s="595"/>
      <c r="AX514" s="595"/>
      <c r="AY514" s="595"/>
      <c r="AZ514" s="595"/>
      <c r="BA514" s="595"/>
      <c r="BB514" s="595"/>
      <c r="BC514" s="595"/>
      <c r="BD514" s="595"/>
      <c r="BE514" s="595"/>
      <c r="BF514" s="595"/>
      <c r="BG514" s="595"/>
      <c r="BH514" s="595"/>
      <c r="BI514" s="651"/>
      <c r="BJ514" s="651"/>
      <c r="BK514" s="651"/>
      <c r="BL514" s="651"/>
      <c r="BM514" s="651"/>
      <c r="BN514" s="651"/>
      <c r="BO514" s="651"/>
      <c r="BP514" s="651"/>
      <c r="BQ514" s="651"/>
      <c r="BR514" s="651"/>
      <c r="BS514" s="651"/>
      <c r="BT514" s="651"/>
    </row>
    <row r="515">
      <c r="A515" s="684"/>
      <c r="B515" s="154" t="s">
        <v>131</v>
      </c>
      <c r="C515" s="225" t="s">
        <v>132</v>
      </c>
      <c r="D515" s="124" t="s">
        <v>484</v>
      </c>
      <c r="E515" s="722"/>
      <c r="F515" s="721"/>
      <c r="G515" s="701"/>
      <c r="H515" s="700"/>
      <c r="I515" s="700"/>
      <c r="J515" s="126" t="s">
        <v>87</v>
      </c>
      <c r="K515" s="126" t="str">
        <f>IFERROR(
  IF(B515="", "", VLOOKUP(B515, Data!$B$2:$K$905, 7, FALSE)),
  ""
)</f>
        <v/>
      </c>
      <c r="L515" s="712"/>
      <c r="M515" s="150">
        <v>1.0</v>
      </c>
      <c r="N515" s="151">
        <f>IFERROR(__xludf.DUMMYFUNCTION("IF(B515="""", """", IFERROR(1 / COS(RADIANS(REGEXEXTRACT(F515,""(\d+)""))), 1))"),1.0)</f>
        <v>1</v>
      </c>
      <c r="O515" s="169">
        <v>1.0</v>
      </c>
      <c r="P515" s="134">
        <v>1.0</v>
      </c>
      <c r="Q515" s="168">
        <f t="shared" ref="Q515:Q516" si="382">M515*N515*O515*P515</f>
        <v>1</v>
      </c>
      <c r="R515" s="136" t="str">
        <f>IFERROR(
  IF(B515="", "", VLOOKUP(B515, Data!$B$2:$K$905, 9, FALSE)),
  ""
)</f>
        <v/>
      </c>
      <c r="S515" s="152">
        <f t="shared" ref="S515:S516" si="383">R515*Q515</f>
        <v>0</v>
      </c>
      <c r="T515" s="690"/>
      <c r="U515" s="136" t="str">
        <f>IFERROR(
  IF(B515="", "", VLOOKUP(B515, Data!$B$2:$K$905, 10, FALSE)),
  ""
)
</f>
        <v/>
      </c>
      <c r="V515" s="691"/>
      <c r="W515" s="140">
        <f t="shared" ref="W515:W516" si="384">U515*Q515</f>
        <v>0</v>
      </c>
      <c r="X515" s="692"/>
      <c r="Y515" s="595"/>
      <c r="Z515" s="595"/>
      <c r="AA515" s="595"/>
      <c r="AB515" s="354">
        <f t="shared" ref="AB515:AB516" si="385">W515+S515</f>
        <v>0</v>
      </c>
      <c r="AC515" s="181"/>
      <c r="AD515" s="625"/>
      <c r="AE515" s="626"/>
      <c r="AF515" s="696"/>
      <c r="AG515" s="697"/>
      <c r="AH515" s="629"/>
      <c r="AI515" s="187"/>
      <c r="AJ515" s="630"/>
      <c r="AK515" s="630"/>
      <c r="AL515" s="595"/>
      <c r="AM515" s="595"/>
      <c r="AN515" s="595"/>
      <c r="AO515" s="595"/>
      <c r="AP515" s="595"/>
      <c r="AQ515" s="595"/>
      <c r="AR515" s="595"/>
      <c r="AS515" s="595"/>
      <c r="AT515" s="595"/>
      <c r="AU515" s="595"/>
      <c r="AV515" s="595"/>
      <c r="AW515" s="595"/>
      <c r="AX515" s="595"/>
      <c r="AY515" s="595"/>
      <c r="AZ515" s="595"/>
      <c r="BA515" s="595"/>
      <c r="BB515" s="595"/>
      <c r="BC515" s="595"/>
      <c r="BD515" s="595"/>
      <c r="BE515" s="595"/>
      <c r="BF515" s="595"/>
      <c r="BG515" s="595"/>
      <c r="BH515" s="595"/>
      <c r="BI515" s="651"/>
      <c r="BJ515" s="651"/>
      <c r="BK515" s="651"/>
      <c r="BL515" s="651"/>
      <c r="BM515" s="651"/>
      <c r="BN515" s="651"/>
      <c r="BO515" s="651"/>
      <c r="BP515" s="651"/>
      <c r="BQ515" s="651"/>
      <c r="BR515" s="651"/>
      <c r="BS515" s="651"/>
      <c r="BT515" s="651"/>
    </row>
    <row r="516">
      <c r="A516" s="684"/>
      <c r="B516" s="154" t="s">
        <v>134</v>
      </c>
      <c r="C516" s="225" t="s">
        <v>135</v>
      </c>
      <c r="D516" s="124" t="s">
        <v>484</v>
      </c>
      <c r="E516" s="722"/>
      <c r="F516" s="721"/>
      <c r="G516" s="701"/>
      <c r="H516" s="700"/>
      <c r="I516" s="700"/>
      <c r="J516" s="126" t="s">
        <v>87</v>
      </c>
      <c r="K516" s="126" t="str">
        <f>IFERROR(
  IF(B516="", "", VLOOKUP(B516, Data!$B$2:$K$905, 7, FALSE)),
  ""
)</f>
        <v/>
      </c>
      <c r="L516" s="712"/>
      <c r="M516" s="150">
        <v>1.0</v>
      </c>
      <c r="N516" s="151">
        <f>IFERROR(__xludf.DUMMYFUNCTION("IF(B516="""", """", IFERROR(1 / COS(RADIANS(REGEXEXTRACT(F516,""(\d+)""))), 1))"),1.0)</f>
        <v>1</v>
      </c>
      <c r="O516" s="169">
        <v>1.0</v>
      </c>
      <c r="P516" s="134">
        <v>1.0</v>
      </c>
      <c r="Q516" s="168">
        <f t="shared" si="382"/>
        <v>1</v>
      </c>
      <c r="R516" s="136" t="str">
        <f>IFERROR(
  IF(B516="", "", VLOOKUP(B516, Data!$B$2:$K$905, 9, FALSE)),
  ""
)</f>
        <v/>
      </c>
      <c r="S516" s="152">
        <f t="shared" si="383"/>
        <v>0</v>
      </c>
      <c r="T516" s="690"/>
      <c r="U516" s="136" t="str">
        <f>IFERROR(
  IF(B516="", "", VLOOKUP(B516, Data!$B$2:$K$905, 10, FALSE)),
  ""
)
</f>
        <v/>
      </c>
      <c r="V516" s="691"/>
      <c r="W516" s="140">
        <f t="shared" si="384"/>
        <v>0</v>
      </c>
      <c r="X516" s="692"/>
      <c r="Y516" s="595"/>
      <c r="Z516" s="595"/>
      <c r="AA516" s="595"/>
      <c r="AB516" s="354">
        <f t="shared" si="385"/>
        <v>0</v>
      </c>
      <c r="AC516" s="181"/>
      <c r="AD516" s="625"/>
      <c r="AE516" s="626"/>
      <c r="AF516" s="696"/>
      <c r="AG516" s="697"/>
      <c r="AH516" s="629"/>
      <c r="AI516" s="187"/>
      <c r="AJ516" s="630"/>
      <c r="AK516" s="630"/>
      <c r="AL516" s="595"/>
      <c r="AM516" s="595"/>
      <c r="AN516" s="595"/>
      <c r="AO516" s="595"/>
      <c r="AP516" s="595"/>
      <c r="AQ516" s="595"/>
      <c r="AR516" s="595"/>
      <c r="AS516" s="595"/>
      <c r="AT516" s="595"/>
      <c r="AU516" s="595"/>
      <c r="AV516" s="595"/>
      <c r="AW516" s="595"/>
      <c r="AX516" s="595"/>
      <c r="AY516" s="595"/>
      <c r="AZ516" s="595"/>
      <c r="BA516" s="595"/>
      <c r="BB516" s="595"/>
      <c r="BC516" s="595"/>
      <c r="BD516" s="595"/>
      <c r="BE516" s="595"/>
      <c r="BF516" s="595"/>
      <c r="BG516" s="595"/>
      <c r="BH516" s="595"/>
      <c r="BI516" s="651"/>
      <c r="BJ516" s="651"/>
      <c r="BK516" s="651"/>
      <c r="BL516" s="651"/>
      <c r="BM516" s="651"/>
      <c r="BN516" s="651"/>
      <c r="BO516" s="651"/>
      <c r="BP516" s="651"/>
      <c r="BQ516" s="651"/>
      <c r="BR516" s="651"/>
      <c r="BS516" s="651"/>
      <c r="BT516" s="651"/>
    </row>
    <row r="517">
      <c r="A517" s="684"/>
      <c r="B517" s="154"/>
      <c r="C517" s="700"/>
      <c r="D517" s="700"/>
      <c r="E517" s="722"/>
      <c r="F517" s="721"/>
      <c r="G517" s="701"/>
      <c r="H517" s="700"/>
      <c r="I517" s="700"/>
      <c r="J517" s="701"/>
      <c r="K517" s="701" t="str">
        <f>IFERROR(
  IF(B517="", "", VLOOKUP(B517, Data!$B$2:$K$905, 7, FALSE)),
  ""
)</f>
        <v/>
      </c>
      <c r="L517" s="712"/>
      <c r="M517" s="704" t="s">
        <v>42</v>
      </c>
      <c r="N517" s="711" t="str">
        <f>IFERROR(__xludf.DUMMYFUNCTION("IF(B517="""", """", IFERROR(1 / COS(RADIANS(REGEXEXTRACT(F517,""(\d+)""))), 1))"),"")</f>
        <v/>
      </c>
      <c r="O517" s="712"/>
      <c r="P517" s="700"/>
      <c r="Q517" s="712"/>
      <c r="R517" s="681" t="str">
        <f>IFERROR(
  IF(B517="", "", VLOOKUP(B517, Data!$B$2:$K$905, 9, FALSE)),
  ""
)</f>
        <v/>
      </c>
      <c r="S517" s="691"/>
      <c r="T517" s="690"/>
      <c r="U517" s="136" t="str">
        <f>IFERROR(
  IF(B517="", "", VLOOKUP(B517, Data!$B$2:$K$905, 10, FALSE)),
  ""
)
</f>
        <v/>
      </c>
      <c r="V517" s="691"/>
      <c r="W517" s="713"/>
      <c r="X517" s="692"/>
      <c r="Y517" s="595"/>
      <c r="Z517" s="595"/>
      <c r="AA517" s="595"/>
      <c r="AB517" s="595"/>
      <c r="AC517" s="181"/>
      <c r="AD517" s="625"/>
      <c r="AE517" s="626"/>
      <c r="AF517" s="696"/>
      <c r="AG517" s="697"/>
      <c r="AH517" s="629"/>
      <c r="AI517" s="187"/>
      <c r="AJ517" s="630"/>
      <c r="AK517" s="630"/>
      <c r="AL517" s="595"/>
      <c r="AM517" s="595"/>
      <c r="AN517" s="595"/>
      <c r="AO517" s="595"/>
      <c r="AP517" s="595"/>
      <c r="AQ517" s="595"/>
      <c r="AR517" s="595"/>
      <c r="AS517" s="595"/>
      <c r="AT517" s="595"/>
      <c r="AU517" s="595"/>
      <c r="AV517" s="595"/>
      <c r="AW517" s="595"/>
      <c r="AX517" s="595"/>
      <c r="AY517" s="595"/>
      <c r="AZ517" s="595"/>
      <c r="BA517" s="595"/>
      <c r="BB517" s="595"/>
      <c r="BC517" s="595"/>
      <c r="BD517" s="595"/>
      <c r="BE517" s="595"/>
      <c r="BF517" s="595"/>
      <c r="BG517" s="595"/>
      <c r="BH517" s="595"/>
      <c r="BI517" s="651"/>
      <c r="BJ517" s="651"/>
      <c r="BK517" s="651"/>
      <c r="BL517" s="651"/>
      <c r="BM517" s="651"/>
      <c r="BN517" s="651"/>
      <c r="BO517" s="651"/>
      <c r="BP517" s="651"/>
      <c r="BQ517" s="651"/>
      <c r="BR517" s="651"/>
      <c r="BS517" s="651"/>
      <c r="BT517" s="651"/>
    </row>
    <row r="518">
      <c r="A518" s="631">
        <v>1.0</v>
      </c>
      <c r="B518" s="764" t="s">
        <v>425</v>
      </c>
      <c r="C518" s="89" t="s">
        <v>136</v>
      </c>
      <c r="D518" s="172"/>
      <c r="E518" s="654"/>
      <c r="F518" s="655"/>
      <c r="G518" s="656"/>
      <c r="H518" s="656"/>
      <c r="I518" s="656"/>
      <c r="J518" s="656"/>
      <c r="K518" s="656" t="s">
        <v>42</v>
      </c>
      <c r="L518" s="658"/>
      <c r="M518" s="658" t="s">
        <v>42</v>
      </c>
      <c r="N518" s="659"/>
      <c r="O518" s="658"/>
      <c r="P518" s="656"/>
      <c r="Q518" s="658"/>
      <c r="R518" s="681" t="str">
        <f>IFERROR(
  IF(B518="", "", VLOOKUP(B518, Data!$B$2:$K$905, 9, FALSE)),
  ""
)</f>
        <v/>
      </c>
      <c r="S518" s="662"/>
      <c r="T518" s="661"/>
      <c r="U518" s="136" t="str">
        <f>IFERROR(
  IF(B518="", "", VLOOKUP(B518, Data!$B$2:$K$905, 10, FALSE)),
  ""
)
</f>
        <v/>
      </c>
      <c r="V518" s="662"/>
      <c r="W518" s="663"/>
      <c r="X518" s="692"/>
      <c r="Y518" s="595"/>
      <c r="Z518" s="595"/>
      <c r="AA518" s="595"/>
      <c r="AB518" s="595"/>
      <c r="AC518" s="181"/>
      <c r="AD518" s="625"/>
      <c r="AE518" s="626"/>
      <c r="AF518" s="696"/>
      <c r="AG518" s="697"/>
      <c r="AH518" s="629"/>
      <c r="AI518" s="187"/>
      <c r="AJ518" s="630"/>
      <c r="AK518" s="630"/>
      <c r="AL518" s="595"/>
      <c r="AM518" s="595"/>
      <c r="AN518" s="595"/>
      <c r="AO518" s="595"/>
      <c r="AP518" s="595"/>
      <c r="AQ518" s="595"/>
      <c r="AR518" s="595"/>
      <c r="AS518" s="595"/>
      <c r="AT518" s="595"/>
      <c r="AU518" s="595"/>
      <c r="AV518" s="595"/>
      <c r="AW518" s="595"/>
      <c r="AX518" s="595"/>
      <c r="AY518" s="595"/>
      <c r="AZ518" s="595"/>
      <c r="BA518" s="595"/>
      <c r="BB518" s="595"/>
      <c r="BC518" s="595"/>
      <c r="BD518" s="595"/>
      <c r="BE518" s="595"/>
      <c r="BF518" s="595"/>
      <c r="BG518" s="595"/>
      <c r="BH518" s="595"/>
      <c r="BI518" s="651"/>
      <c r="BJ518" s="651"/>
      <c r="BK518" s="651"/>
      <c r="BL518" s="651"/>
      <c r="BM518" s="651"/>
      <c r="BN518" s="651"/>
      <c r="BO518" s="651"/>
      <c r="BP518" s="651"/>
      <c r="BQ518" s="651"/>
      <c r="BR518" s="651"/>
      <c r="BS518" s="651"/>
      <c r="BT518" s="651"/>
    </row>
    <row r="519">
      <c r="A519" s="631">
        <v>1.0</v>
      </c>
      <c r="B519" s="727"/>
      <c r="C519" s="103" t="s">
        <v>541</v>
      </c>
      <c r="D519" s="678"/>
      <c r="E519" s="676"/>
      <c r="F519" s="677"/>
      <c r="G519" s="678"/>
      <c r="H519" s="678"/>
      <c r="I519" s="678"/>
      <c r="J519" s="678"/>
      <c r="K519" s="678" t="s">
        <v>42</v>
      </c>
      <c r="L519" s="106">
        <f>Q519</f>
        <v>7.2</v>
      </c>
      <c r="M519" s="679" t="s">
        <v>42</v>
      </c>
      <c r="N519" s="680"/>
      <c r="O519" s="679"/>
      <c r="P519" s="678"/>
      <c r="Q519" s="106">
        <f>Q520</f>
        <v>7.2</v>
      </c>
      <c r="R519" s="681" t="str">
        <f>IFERROR(
  IF(B519="", "", VLOOKUP(B519, Data!$B$2:$K$905, 9, FALSE)),
  ""
)</f>
        <v/>
      </c>
      <c r="S519" s="682">
        <f>IFERROR(T519/Q519, 0)</f>
        <v>0</v>
      </c>
      <c r="T519" s="109">
        <f>SUM(S520:S526)</f>
        <v>0</v>
      </c>
      <c r="U519" s="136" t="str">
        <f>IFERROR(
  IF(B519="", "", VLOOKUP(B519, Data!$B$2:$K$905, 10, FALSE)),
  ""
)
</f>
        <v/>
      </c>
      <c r="V519" s="109">
        <f>W519/Q519</f>
        <v>0</v>
      </c>
      <c r="W519" s="110">
        <f>SUM(W520:W526)</f>
        <v>0</v>
      </c>
      <c r="X519" s="111" t="str">
        <f>W519/$AC$758/$W$765/$X$755</f>
        <v>#REF!</v>
      </c>
      <c r="Y519" s="112" t="b">
        <f>(T519+W519)=(SUM(AB520:AB526))</f>
        <v>1</v>
      </c>
      <c r="Z519" s="113">
        <f>(T519+W519)-(SUM(AB520:AB525))</f>
        <v>0</v>
      </c>
      <c r="AA519" s="595"/>
      <c r="AB519" s="595"/>
      <c r="AC519" s="181"/>
      <c r="AD519" s="114">
        <f>W519+T519</f>
        <v>0</v>
      </c>
      <c r="AE519" s="115">
        <f>AD519</f>
        <v>0</v>
      </c>
      <c r="AF519" s="116" t="str">
        <f>AE519/$AE$733</f>
        <v>#REF!</v>
      </c>
      <c r="AG519" s="683" t="str">
        <f>AF519*$AG$740</f>
        <v>#REF!</v>
      </c>
      <c r="AH519" s="118" t="str">
        <f>AF519*$AG$743</f>
        <v>#REF!</v>
      </c>
      <c r="AI519" s="187"/>
      <c r="AJ519" s="119" t="str">
        <f>ROUND(AK519/L519,2)</f>
        <v>#REF!</v>
      </c>
      <c r="AK519" s="119" t="str">
        <f>ROUND(AH519+AG519+AD519,2)</f>
        <v>#REF!</v>
      </c>
      <c r="AL519" s="595"/>
      <c r="AM519" s="595"/>
      <c r="AN519" s="595"/>
      <c r="AO519" s="595"/>
      <c r="AP519" s="595"/>
      <c r="AQ519" s="595"/>
      <c r="AR519" s="595"/>
      <c r="AS519" s="595"/>
      <c r="AT519" s="595"/>
      <c r="AU519" s="595"/>
      <c r="AV519" s="595"/>
      <c r="AW519" s="595"/>
      <c r="AX519" s="595"/>
      <c r="AY519" s="595"/>
      <c r="AZ519" s="595"/>
      <c r="BA519" s="595"/>
      <c r="BB519" s="595"/>
      <c r="BC519" s="595"/>
      <c r="BD519" s="595"/>
      <c r="BE519" s="595"/>
      <c r="BF519" s="595"/>
      <c r="BG519" s="595"/>
      <c r="BH519" s="595"/>
      <c r="BI519" s="651"/>
      <c r="BJ519" s="651"/>
      <c r="BK519" s="651"/>
      <c r="BL519" s="651"/>
      <c r="BM519" s="651"/>
      <c r="BN519" s="651"/>
      <c r="BO519" s="651"/>
      <c r="BP519" s="651"/>
      <c r="BQ519" s="651"/>
      <c r="BR519" s="651"/>
      <c r="BS519" s="651"/>
      <c r="BT519" s="651"/>
    </row>
    <row r="520">
      <c r="A520" s="716" t="s">
        <v>491</v>
      </c>
      <c r="B520" s="154" t="str">
        <f>IFERROR(__xludf.DUMMYFUNCTION("IFERROR(
  IF(C520="""","""",
    IF(OR(REGEXMATCH(D520,""(?i)-Flashing""), REGEXMATCH(D520,""(?i)-EavesGut""), REGEXMATCH(D520,""(?i)Valley"")),
        ""DR"" &amp;
        TEXT(
            ROUNDUP(
                MIN(
                    VALUE(MID(C520, "&amp;"FIND(""("",C520)+1, FIND(""/"",C520)-FIND(""("",C520)-1)),
                    1200
                ) / 50, 0
            ) * 50, ""0""
        ) &amp;
        MID(C520, FIND(""/"",C520)+1, FIND("")"",C520)-FIND(""/"",C520)-1) &amp;
        TEXT(H520*100,""0"") &amp;"&amp;"
        I520,
    IF(AND(D520=""Roof Sheet"", REGEXMATCH(C520,""(?i)KS\d{4}[A-Z]{2}"")),
       REGEXEXTRACT(C520,""(?i)KS\d{4}[A-Z]{2}""),
    IF(AND(REGEXMATCH(D520,""(?i)-DP""), REGEXMATCH(C520,""(?i)Downpipe"")),
       ""dp"" &amp; REGEXEXTRACT(C520,""("&amp;"\d+)"") &amp; ""mm"",
    IF(AND(REGEXMATCH(D520,""(?i)Bracket""), REGEXMATCH(C520,""(?i)Bracket"")),
       ""Brkt"" &amp; REGEXEXTRACT(C520,""(\d+)"") &amp; ""mm"",
    IF(AND(REGEXMATCH(D520,""(?i)-OP""), REGEXMATCH(C520,""(?i)pops"")),
       ""op"" &amp; REGEXEXTRAC"&amp;"T(C520,""(\d+)"") &amp; ""mm"",
    IF(OR(D520=""R-FFTop"", D520=""R-FFBottom"", D520=""R-FFSide""),
        IF(REGEXMATCH(C520,""(?i)Profiled.*Top|Top.*Profiled""),""pfft"",
        IF(REGEXMATCH(C520,""(?i)Profiled.*Bottom|Bottom.*Profiled""),""pffb"",
    "&amp;"    IF(REGEXMATCH(C520,""(?i)Square""),""sff"",""""))),
    IF(REGEXMATCH(D520,""(?i)-Rivets""),""Rvt"",
    IF(REGEXMATCH(D520,""(?i)Silicone|Seal""),""300ml"",
    IF(REGEXMATCH(D520,""(?i)R-Butyl""),""300ml"",
    IF(REGEXMATCH(D520,""(?i)Fix""),""GenF"&amp;"ix"",
    IF(AND(REGEXMATCH(C520,""(?i)Timber""), REGEXMATCH(D520,""(?i)Timber"")),""tp"",
    IF(AND(REGEXMATCH(C520,""(?i)Vent G1275""), REGEXMATCH(D520,""(?i)Comb FIller"")),""CFV1275"",
    IF(REGEXMATCH(C520,""(?i)DPC""),""dpc"",
    IF(REGEXMATCH(C5"&amp;"20,""(?i)Concealed Clips""),""ConClips"",
    IF(REGEXMATCH(D520,""(?i)-Takeoff ea""),""Takeoff ea"",
    IF(REGEXMATCH(D520,""(?i)-Takeoff LM""),""Takeoff LM"",
    IF(REGEXMATCH(D520,""(?i)-Takeoff m2""),""Takeoff m2"",
    IF(D520=""R-TU/TD"",""TU/TD"""&amp;","""")))))))))))))))))
  )))"),"dp150mm")</f>
        <v>dp150mm</v>
      </c>
      <c r="C520" s="123" t="s">
        <v>138</v>
      </c>
      <c r="D520" s="124" t="s">
        <v>139</v>
      </c>
      <c r="E520" s="725"/>
      <c r="F520" s="699"/>
      <c r="G520" s="689" t="s">
        <v>539</v>
      </c>
      <c r="H520" s="700"/>
      <c r="I520" s="700"/>
      <c r="J520" s="126" t="s">
        <v>14</v>
      </c>
      <c r="K520" s="126" t="str">
        <f>IFERROR(
  IF(B520="", "", VLOOKUP(B520, Data!$B$2:$K$905, 7, FALSE)),
  ""
)</f>
        <v/>
      </c>
      <c r="L520" s="131">
        <v>2.0</v>
      </c>
      <c r="M520" s="150">
        <f t="shared" ref="M520:M521" si="386">L520</f>
        <v>2</v>
      </c>
      <c r="N520" s="156">
        <v>1.8</v>
      </c>
      <c r="O520" s="759">
        <v>2.0</v>
      </c>
      <c r="P520" s="156">
        <v>1.0</v>
      </c>
      <c r="Q520" s="242">
        <f t="shared" ref="Q520:Q521" si="387">M520*N520*O520*P520</f>
        <v>7.2</v>
      </c>
      <c r="R520" s="136" t="str">
        <f>IFERROR(
  IF(B520="", "", VLOOKUP(B520, Data!$B$2:$K$905, 9, FALSE)),
  ""
)</f>
        <v/>
      </c>
      <c r="S520" s="152">
        <f t="shared" ref="S520:S521" si="388">R520*Q520</f>
        <v>0</v>
      </c>
      <c r="T520" s="690"/>
      <c r="U520" s="136" t="str">
        <f>IFERROR(
  IF(B520="", "", VLOOKUP(B520, Data!$B$2:$K$905, 10, FALSE)),
  ""
)
</f>
        <v/>
      </c>
      <c r="V520" s="691"/>
      <c r="W520" s="140">
        <f t="shared" ref="W520:W521" si="389">U520*Q520</f>
        <v>0</v>
      </c>
      <c r="X520" s="693"/>
      <c r="Y520" s="595"/>
      <c r="Z520" s="595"/>
      <c r="AA520" s="595"/>
      <c r="AB520" s="354">
        <f t="shared" ref="AB520:AB525" si="390">W520+S520</f>
        <v>0</v>
      </c>
      <c r="AC520" s="181"/>
      <c r="AD520" s="625"/>
      <c r="AE520" s="626"/>
      <c r="AF520" s="696"/>
      <c r="AG520" s="697"/>
      <c r="AH520" s="629"/>
      <c r="AI520" s="187"/>
      <c r="AJ520" s="630"/>
      <c r="AK520" s="630"/>
      <c r="AL520" s="595"/>
      <c r="AM520" s="595"/>
      <c r="AN520" s="595"/>
      <c r="AO520" s="595"/>
      <c r="AP520" s="595"/>
      <c r="AQ520" s="595"/>
      <c r="AR520" s="595"/>
      <c r="AS520" s="595"/>
      <c r="AT520" s="595"/>
      <c r="AU520" s="595"/>
      <c r="AV520" s="595"/>
      <c r="AW520" s="595"/>
      <c r="AX520" s="595"/>
      <c r="AY520" s="595"/>
      <c r="AZ520" s="595"/>
      <c r="BA520" s="595"/>
      <c r="BB520" s="595"/>
      <c r="BC520" s="595"/>
      <c r="BD520" s="595"/>
      <c r="BE520" s="595"/>
      <c r="BF520" s="595"/>
      <c r="BG520" s="595"/>
      <c r="BH520" s="595"/>
      <c r="BI520" s="651"/>
      <c r="BJ520" s="651"/>
      <c r="BK520" s="651"/>
      <c r="BL520" s="651"/>
      <c r="BM520" s="651"/>
      <c r="BN520" s="651"/>
      <c r="BO520" s="651"/>
      <c r="BP520" s="651"/>
      <c r="BQ520" s="651"/>
      <c r="BR520" s="651"/>
      <c r="BS520" s="651"/>
      <c r="BT520" s="651"/>
    </row>
    <row r="521">
      <c r="A521" s="716" t="s">
        <v>491</v>
      </c>
      <c r="B521" s="154" t="str">
        <f>IFERROR(__xludf.DUMMYFUNCTION("IFERROR(
  IF(C521="""","""",
    IF(OR(REGEXMATCH(D521,""(?i)-Flashing""), REGEXMATCH(D521,""(?i)-EavesGut""), REGEXMATCH(D521,""(?i)Valley"")),
        ""DR"" &amp;
        TEXT(
            ROUNDUP(
                MIN(
                    VALUE(MID(C521, "&amp;"FIND(""("",C521)+1, FIND(""/"",C521)-FIND(""("",C521)-1)),
                    1200
                ) / 50, 0
            ) * 50, ""0""
        ) &amp;
        MID(C521, FIND(""/"",C521)+1, FIND("")"",C521)-FIND(""/"",C521)-1) &amp;
        TEXT(H521*100,""0"") &amp;"&amp;"
        I521,
    IF(AND(D521=""Roof Sheet"", REGEXMATCH(C521,""(?i)KS\d{4}[A-Z]{2}"")),
       REGEXEXTRACT(C521,""(?i)KS\d{4}[A-Z]{2}""),
    IF(AND(REGEXMATCH(D521,""(?i)-DP""), REGEXMATCH(C521,""(?i)Downpipe"")),
       ""dp"" &amp; REGEXEXTRACT(C521,""("&amp;"\d+)"") &amp; ""mm"",
    IF(AND(REGEXMATCH(D521,""(?i)Bracket""), REGEXMATCH(C521,""(?i)Bracket"")),
       ""Brkt"" &amp; REGEXEXTRACT(C521,""(\d+)"") &amp; ""mm"",
    IF(AND(REGEXMATCH(D521,""(?i)-OP""), REGEXMATCH(C521,""(?i)pops"")),
       ""op"" &amp; REGEXEXTRAC"&amp;"T(C521,""(\d+)"") &amp; ""mm"",
    IF(OR(D521=""R-FFTop"", D521=""R-FFBottom"", D521=""R-FFSide""),
        IF(REGEXMATCH(C521,""(?i)Profiled.*Top|Top.*Profiled""),""pfft"",
        IF(REGEXMATCH(C521,""(?i)Profiled.*Bottom|Bottom.*Profiled""),""pffb"",
    "&amp;"    IF(REGEXMATCH(C521,""(?i)Square""),""sff"",""""))),
    IF(REGEXMATCH(D521,""(?i)-Rivets""),""Rvt"",
    IF(REGEXMATCH(D521,""(?i)Silicone|Seal""),""300ml"",
    IF(REGEXMATCH(D521,""(?i)R-Butyl""),""300ml"",
    IF(REGEXMATCH(D521,""(?i)Fix""),""GenF"&amp;"ix"",
    IF(AND(REGEXMATCH(C521,""(?i)Timber""), REGEXMATCH(D521,""(?i)Timber"")),""tp"",
    IF(AND(REGEXMATCH(C521,""(?i)Vent G1275""), REGEXMATCH(D521,""(?i)Comb FIller"")),""CFV1275"",
    IF(REGEXMATCH(C521,""(?i)DPC""),""dpc"",
    IF(REGEXMATCH(C5"&amp;"21,""(?i)Concealed Clips""),""ConClips"",
    IF(REGEXMATCH(D521,""(?i)-Takeoff ea""),""Takeoff ea"",
    IF(REGEXMATCH(D521,""(?i)-Takeoff LM""),""Takeoff LM"",
    IF(REGEXMATCH(D521,""(?i)-Takeoff m2""),""Takeoff m2"",
    IF(D521=""R-TU/TD"",""TU/TD"""&amp;","""")))))))))))))))))
  )))"),"Brkt150mm")</f>
        <v>Brkt150mm</v>
      </c>
      <c r="C521" s="123" t="s">
        <v>140</v>
      </c>
      <c r="D521" s="124" t="s">
        <v>141</v>
      </c>
      <c r="E521" s="725"/>
      <c r="F521" s="699"/>
      <c r="G521" s="701"/>
      <c r="H521" s="700"/>
      <c r="I521" s="700"/>
      <c r="J521" s="126" t="s">
        <v>87</v>
      </c>
      <c r="K521" s="126" t="str">
        <f>IFERROR(
  IF(B521="", "", VLOOKUP(B521, Data!$B$2:$K$905, 7, FALSE)),
  ""
)</f>
        <v/>
      </c>
      <c r="L521" s="135">
        <f>L520</f>
        <v>2</v>
      </c>
      <c r="M521" s="150">
        <f t="shared" si="386"/>
        <v>2</v>
      </c>
      <c r="N521" s="151">
        <v>1.0</v>
      </c>
      <c r="O521" s="169">
        <f>O520</f>
        <v>2</v>
      </c>
      <c r="P521" s="134">
        <v>1.0</v>
      </c>
      <c r="Q521" s="242">
        <f t="shared" si="387"/>
        <v>4</v>
      </c>
      <c r="R521" s="136" t="str">
        <f>IFERROR(
  IF(B521="", "", VLOOKUP(B521, Data!$B$2:$K$905, 9, FALSE)),
  ""
)</f>
        <v/>
      </c>
      <c r="S521" s="152">
        <f t="shared" si="388"/>
        <v>0</v>
      </c>
      <c r="T521" s="690"/>
      <c r="U521" s="136" t="str">
        <f>IFERROR(
  IF(B521="", "", VLOOKUP(B521, Data!$B$2:$K$905, 10, FALSE)),
  ""
)
</f>
        <v/>
      </c>
      <c r="V521" s="691"/>
      <c r="W521" s="140">
        <f t="shared" si="389"/>
        <v>0</v>
      </c>
      <c r="X521" s="692"/>
      <c r="Y521" s="595"/>
      <c r="Z521" s="595"/>
      <c r="AA521" s="595"/>
      <c r="AB521" s="354">
        <f t="shared" si="390"/>
        <v>0</v>
      </c>
      <c r="AC521" s="181"/>
      <c r="AD521" s="625"/>
      <c r="AE521" s="626"/>
      <c r="AF521" s="696"/>
      <c r="AG521" s="697"/>
      <c r="AH521" s="629"/>
      <c r="AI521" s="187"/>
      <c r="AJ521" s="630"/>
      <c r="AK521" s="630"/>
      <c r="AL521" s="595"/>
      <c r="AM521" s="595"/>
      <c r="AN521" s="595"/>
      <c r="AO521" s="595"/>
      <c r="AP521" s="595"/>
      <c r="AQ521" s="595"/>
      <c r="AR521" s="595"/>
      <c r="AS521" s="595"/>
      <c r="AT521" s="595"/>
      <c r="AU521" s="595"/>
      <c r="AV521" s="595"/>
      <c r="AW521" s="595"/>
      <c r="AX521" s="595"/>
      <c r="AY521" s="595"/>
      <c r="AZ521" s="595"/>
      <c r="BA521" s="595"/>
      <c r="BB521" s="595"/>
      <c r="BC521" s="595"/>
      <c r="BD521" s="595"/>
      <c r="BE521" s="595"/>
      <c r="BF521" s="595"/>
      <c r="BG521" s="595"/>
      <c r="BH521" s="595"/>
      <c r="BI521" s="651"/>
      <c r="BJ521" s="651"/>
      <c r="BK521" s="651"/>
      <c r="BL521" s="651"/>
      <c r="BM521" s="651"/>
      <c r="BN521" s="651"/>
      <c r="BO521" s="651"/>
      <c r="BP521" s="651"/>
      <c r="BQ521" s="651"/>
      <c r="BR521" s="651"/>
      <c r="BS521" s="651"/>
      <c r="BT521" s="651"/>
    </row>
    <row r="522">
      <c r="A522" s="631"/>
      <c r="B522" s="154" t="str">
        <f>IFERROR(__xludf.DUMMYFUNCTION("IFERROR(
  IF(C522="""","""",
    IF(OR(REGEXMATCH(D522,""(?i)-Flashing""), REGEXMATCH(D522,""(?i)-EavesGut""), REGEXMATCH(D522,""(?i)Valley"")),
        ""DR"" &amp;
        TEXT(
            ROUNDUP(
                MIN(
                    VALUE(MID(C522, "&amp;"FIND(""("",C522)+1, FIND(""/"",C522)-FIND(""("",C522)-1)),
                    1200
                ) / 50, 0
            ) * 50, ""0""
        ) &amp;
        MID(C522, FIND(""/"",C522)+1, FIND("")"",C522)-FIND(""/"",C522)-1) &amp;
        TEXT(H522*100,""0"") &amp;"&amp;"
        I522,
    IF(AND(D522=""Roof Sheet"", REGEXMATCH(C522,""(?i)KS\d{4}[A-Z]{2}"")),
       REGEXEXTRACT(C522,""(?i)KS\d{4}[A-Z]{2}""),
    IF(AND(REGEXMATCH(D522,""(?i)-DP""), REGEXMATCH(C522,""(?i)Downpipe"")),
       ""dp"" &amp; REGEXEXTRACT(C522,""("&amp;"\d+)"") &amp; ""mm"",
    IF(AND(REGEXMATCH(D522,""(?i)Bracket""), REGEXMATCH(C522,""(?i)Bracket"")),
       ""Brkt"" &amp; REGEXEXTRACT(C522,""(\d+)"") &amp; ""mm"",
    IF(AND(REGEXMATCH(D522,""(?i)-OP""), REGEXMATCH(C522,""(?i)pops"")),
       ""op"" &amp; REGEXEXTRAC"&amp;"T(C522,""(\d+)"") &amp; ""mm"",
    IF(OR(D522=""R-FFTop"", D522=""R-FFBottom"", D522=""R-FFSide""),
        IF(REGEXMATCH(C522,""(?i)Profiled.*Top|Top.*Profiled""),""pfft"",
        IF(REGEXMATCH(C522,""(?i)Profiled.*Bottom|Bottom.*Profiled""),""pffb"",
    "&amp;"    IF(REGEXMATCH(C522,""(?i)Square""),""sff"",""""))),
    IF(REGEXMATCH(D522,""(?i)-Rivets""),""Rvt"",
    IF(REGEXMATCH(D522,""(?i)Silicone|Seal""),""300ml"",
    IF(REGEXMATCH(D522,""(?i)R-Butyl""),""300ml"",
    IF(REGEXMATCH(D522,""(?i)Fix""),""GenF"&amp;"ix"",
    IF(AND(REGEXMATCH(C522,""(?i)Timber""), REGEXMATCH(D522,""(?i)Timber"")),""tp"",
    IF(AND(REGEXMATCH(C522,""(?i)Vent G1275""), REGEXMATCH(D522,""(?i)Comb FIller"")),""CFV1275"",
    IF(REGEXMATCH(C522,""(?i)DPC""),""dpc"",
    IF(REGEXMATCH(C5"&amp;"22,""(?i)Concealed Clips""),""ConClips"",
    IF(REGEXMATCH(D522,""(?i)-Takeoff ea""),""Takeoff ea"",
    IF(REGEXMATCH(D522,""(?i)-Takeoff LM""),""Takeoff LM"",
    IF(REGEXMATCH(D522,""(?i)-Takeoff m2""),""Takeoff m2"",
    IF(D522=""R-TU/TD"",""TU/TD"""&amp;","""")))))))))))))))))
  )))"),"")</f>
        <v/>
      </c>
      <c r="C522" s="701"/>
      <c r="D522" s="701"/>
      <c r="E522" s="722"/>
      <c r="F522" s="699"/>
      <c r="G522" s="701"/>
      <c r="H522" s="700"/>
      <c r="I522" s="700"/>
      <c r="J522" s="701"/>
      <c r="K522" s="701" t="str">
        <f>IFERROR(
  IF(B522="", "", VLOOKUP(B522, Data!$B$2:$K$905, 7, FALSE)),
  ""
)</f>
        <v/>
      </c>
      <c r="L522" s="704"/>
      <c r="M522" s="704" t="s">
        <v>42</v>
      </c>
      <c r="N522" s="711" t="str">
        <f>IFERROR(__xludf.DUMMYFUNCTION("IF(B522="""", """", IFERROR(1 / COS(RADIANS(REGEXEXTRACT(F522,""(\d+)""))), 1))"),"")</f>
        <v/>
      </c>
      <c r="O522" s="712"/>
      <c r="P522" s="700"/>
      <c r="Q522" s="712"/>
      <c r="R522" s="681" t="str">
        <f>IFERROR(
  IF(B522="", "", VLOOKUP(B522, Data!$B$2:$K$905, 9, FALSE)),
  ""
)</f>
        <v/>
      </c>
      <c r="S522" s="691"/>
      <c r="T522" s="690"/>
      <c r="U522" s="136" t="str">
        <f>IFERROR(
  IF(B522="", "", VLOOKUP(B522, Data!$B$2:$K$905, 10, FALSE)),
  ""
)
</f>
        <v/>
      </c>
      <c r="V522" s="691"/>
      <c r="W522" s="713"/>
      <c r="X522" s="692"/>
      <c r="Y522" s="595"/>
      <c r="Z522" s="595"/>
      <c r="AA522" s="595"/>
      <c r="AB522" s="354">
        <f t="shared" si="390"/>
        <v>0</v>
      </c>
      <c r="AC522" s="181"/>
      <c r="AD522" s="625"/>
      <c r="AE522" s="626"/>
      <c r="AF522" s="696"/>
      <c r="AG522" s="697"/>
      <c r="AH522" s="629"/>
      <c r="AI522" s="187"/>
      <c r="AJ522" s="630"/>
      <c r="AK522" s="630"/>
      <c r="AL522" s="595"/>
      <c r="AM522" s="595"/>
      <c r="AN522" s="595"/>
      <c r="AO522" s="595"/>
      <c r="AP522" s="595"/>
      <c r="AQ522" s="595"/>
      <c r="AR522" s="595"/>
      <c r="AS522" s="595"/>
      <c r="AT522" s="595"/>
      <c r="AU522" s="595"/>
      <c r="AV522" s="595"/>
      <c r="AW522" s="595"/>
      <c r="AX522" s="595"/>
      <c r="AY522" s="595"/>
      <c r="AZ522" s="595"/>
      <c r="BA522" s="595"/>
      <c r="BB522" s="595"/>
      <c r="BC522" s="595"/>
      <c r="BD522" s="595"/>
      <c r="BE522" s="595"/>
      <c r="BF522" s="595"/>
      <c r="BG522" s="595"/>
      <c r="BH522" s="595"/>
      <c r="BI522" s="651"/>
      <c r="BJ522" s="651"/>
      <c r="BK522" s="651"/>
      <c r="BL522" s="651"/>
      <c r="BM522" s="651"/>
      <c r="BN522" s="651"/>
      <c r="BO522" s="651"/>
      <c r="BP522" s="651"/>
      <c r="BQ522" s="651"/>
      <c r="BR522" s="651"/>
      <c r="BS522" s="651"/>
      <c r="BT522" s="651"/>
    </row>
    <row r="523">
      <c r="A523" s="716" t="s">
        <v>491</v>
      </c>
      <c r="B523" s="154" t="str">
        <f>IFERROR(__xludf.DUMMYFUNCTION("IFERROR(
  IF(C523="""","""",
    IF(OR(REGEXMATCH(D523,""(?i)-Flashing""), REGEXMATCH(D523,""(?i)-EavesGut""), REGEXMATCH(D523,""(?i)Valley"")),
        ""DR"" &amp;
        TEXT(
            ROUNDUP(
                MIN(
                    VALUE(MID(C523, "&amp;"FIND(""("",C523)+1, FIND(""/"",C523)-FIND(""("",C523)-1)),
                    1200
                ) / 50, 0
            ) * 50, ""0""
        ) &amp;
        MID(C523, FIND(""/"",C523)+1, FIND("")"",C523)-FIND(""/"",C523)-1) &amp;
        TEXT(H523*100,""0"") &amp;"&amp;"
        I523,
    IF(AND(D523=""Roof Sheet"", REGEXMATCH(C523,""(?i)KS\d{4}[A-Z]{2}"")),
       REGEXEXTRACT(C523,""(?i)KS\d{4}[A-Z]{2}""),
    IF(AND(REGEXMATCH(D523,""(?i)-DP""), REGEXMATCH(C523,""(?i)Downpipe"")),
       ""dp"" &amp; REGEXEXTRACT(C523,""("&amp;"\d+)"") &amp; ""mm"",
    IF(AND(REGEXMATCH(D523,""(?i)Bracket""), REGEXMATCH(C523,""(?i)Bracket"")),
       ""Brkt"" &amp; REGEXEXTRACT(C523,""(\d+)"") &amp; ""mm"",
    IF(AND(REGEXMATCH(D523,""(?i)-OP""), REGEXMATCH(C523,""(?i)pops"")),
       ""op"" &amp; REGEXEXTRAC"&amp;"T(C523,""(\d+)"") &amp; ""mm"",
    IF(OR(D523=""R-FFTop"", D523=""R-FFBottom"", D523=""R-FFSide""),
        IF(REGEXMATCH(C523,""(?i)Profiled.*Top|Top.*Profiled""),""pfft"",
        IF(REGEXMATCH(C523,""(?i)Profiled.*Bottom|Bottom.*Profiled""),""pffb"",
    "&amp;"    IF(REGEXMATCH(C523,""(?i)Square""),""sff"",""""))),
    IF(REGEXMATCH(D523,""(?i)-Rivets""),""Rvt"",
    IF(REGEXMATCH(D523,""(?i)Silicone|Seal""),""300ml"",
    IF(REGEXMATCH(D523,""(?i)R-Butyl""),""300ml"",
    IF(REGEXMATCH(D523,""(?i)Fix""),""GenF"&amp;"ix"",
    IF(AND(REGEXMATCH(C523,""(?i)Timber""), REGEXMATCH(D523,""(?i)Timber"")),""tp"",
    IF(AND(REGEXMATCH(C523,""(?i)Vent G1275""), REGEXMATCH(D523,""(?i)Comb FIller"")),""CFV1275"",
    IF(REGEXMATCH(C523,""(?i)DPC""),""dpc"",
    IF(REGEXMATCH(C5"&amp;"23,""(?i)Concealed Clips""),""ConClips"",
    IF(REGEXMATCH(D523,""(?i)-Takeoff ea""),""Takeoff ea"",
    IF(REGEXMATCH(D523,""(?i)-Takeoff LM""),""Takeoff LM"",
    IF(REGEXMATCH(D523,""(?i)-Takeoff m2""),""Takeoff m2"",
    IF(D523=""R-TU/TD"",""TU/TD"""&amp;","""")))))))))))))))))
  )))"),"op150mm")</f>
        <v>op150mm</v>
      </c>
      <c r="C523" s="123" t="s">
        <v>142</v>
      </c>
      <c r="D523" s="124" t="s">
        <v>143</v>
      </c>
      <c r="E523" s="687">
        <f>IFERROR(__xludf.DUMMYFUNCTION("IF(REGEXMATCH(C523, ""\d+mmØ""), VALUE(REGEXEXTRACT(C523, ""(\d+)mmØ""))/1000, """")
"),0.15)</f>
        <v>0.15</v>
      </c>
      <c r="F523" s="699"/>
      <c r="G523" s="701"/>
      <c r="H523" s="700"/>
      <c r="I523" s="700"/>
      <c r="J523" s="126" t="s">
        <v>87</v>
      </c>
      <c r="K523" s="126" t="str">
        <f>IFERROR(
  IF(B523="", "", VLOOKUP(B523, Data!$B$2:$K$905, 7, FALSE)),
  ""
)</f>
        <v/>
      </c>
      <c r="L523" s="704"/>
      <c r="M523" s="150">
        <v>1.0</v>
      </c>
      <c r="N523" s="151">
        <f>IFERROR(__xludf.DUMMYFUNCTION("IF(B523="""", """", IFERROR(1 / COS(RADIANS(REGEXEXTRACT(F523,""(\d+)""))), 1))"),1.0)</f>
        <v>1</v>
      </c>
      <c r="O523" s="169">
        <f>L521</f>
        <v>2</v>
      </c>
      <c r="P523" s="134">
        <v>1.0</v>
      </c>
      <c r="Q523" s="242">
        <f t="shared" ref="Q523:Q525" si="391">M523*N523*O523*P523</f>
        <v>2</v>
      </c>
      <c r="R523" s="136" t="str">
        <f>IFERROR(
  IF(B523="", "", VLOOKUP(B523, Data!$B$2:$K$905, 9, FALSE)),
  ""
)</f>
        <v/>
      </c>
      <c r="S523" s="152">
        <f t="shared" ref="S523:S525" si="392">R523*Q523</f>
        <v>0</v>
      </c>
      <c r="T523" s="690"/>
      <c r="U523" s="136" t="str">
        <f>IFERROR(
  IF(B523="", "", VLOOKUP(B523, Data!$B$2:$K$905, 10, FALSE)),
  ""
)
</f>
        <v/>
      </c>
      <c r="V523" s="691"/>
      <c r="W523" s="140">
        <f t="shared" ref="W523:W525" si="393">U523*Q523</f>
        <v>0</v>
      </c>
      <c r="X523" s="692"/>
      <c r="Y523" s="595"/>
      <c r="Z523" s="595"/>
      <c r="AA523" s="595"/>
      <c r="AB523" s="354">
        <f t="shared" si="390"/>
        <v>0</v>
      </c>
      <c r="AC523" s="181"/>
      <c r="AD523" s="625"/>
      <c r="AE523" s="626"/>
      <c r="AF523" s="696"/>
      <c r="AG523" s="697"/>
      <c r="AH523" s="629"/>
      <c r="AI523" s="187"/>
      <c r="AJ523" s="630"/>
      <c r="AK523" s="630"/>
      <c r="AL523" s="595"/>
      <c r="AM523" s="595"/>
      <c r="AN523" s="595"/>
      <c r="AO523" s="595"/>
      <c r="AP523" s="595"/>
      <c r="AQ523" s="595"/>
      <c r="AR523" s="595"/>
      <c r="AS523" s="595"/>
      <c r="AT523" s="595"/>
      <c r="AU523" s="595"/>
      <c r="AV523" s="595"/>
      <c r="AW523" s="595"/>
      <c r="AX523" s="595"/>
      <c r="AY523" s="595"/>
      <c r="AZ523" s="595"/>
      <c r="BA523" s="595"/>
      <c r="BB523" s="595"/>
      <c r="BC523" s="595"/>
      <c r="BD523" s="595"/>
      <c r="BE523" s="595"/>
      <c r="BF523" s="595"/>
      <c r="BG523" s="595"/>
      <c r="BH523" s="595"/>
      <c r="BI523" s="651"/>
      <c r="BJ523" s="651"/>
      <c r="BK523" s="651"/>
      <c r="BL523" s="651"/>
      <c r="BM523" s="651"/>
      <c r="BN523" s="651"/>
      <c r="BO523" s="651"/>
      <c r="BP523" s="651"/>
      <c r="BQ523" s="651"/>
      <c r="BR523" s="651"/>
      <c r="BS523" s="651"/>
      <c r="BT523" s="651"/>
    </row>
    <row r="524">
      <c r="A524" s="631"/>
      <c r="B524" s="154" t="str">
        <f>IFERROR(__xludf.DUMMYFUNCTION("IFERROR(
  IF(C524="""","""",
    IF(OR(REGEXMATCH(D524,""(?i)-Flashing""), REGEXMATCH(D524,""(?i)-EavesGut""), REGEXMATCH(D524,""(?i)Valley"")),
        ""DR"" &amp;
        TEXT(
            ROUNDUP(
                MIN(
                    VALUE(MID(C524, "&amp;"FIND(""("",C524)+1, FIND(""/"",C524)-FIND(""("",C524)-1)),
                    1200
                ) / 50, 0
            ) * 50, ""0""
        ) &amp;
        MID(C524, FIND(""/"",C524)+1, FIND("")"",C524)-FIND(""/"",C524)-1) &amp;
        TEXT(H524*100,""0"") &amp;"&amp;"
        I524,
    IF(AND(D524=""Roof Sheet"", REGEXMATCH(C524,""(?i)KS\d{4}[A-Z]{2}"")),
       REGEXEXTRACT(C524,""(?i)KS\d{4}[A-Z]{2}""),
    IF(AND(REGEXMATCH(D524,""(?i)-DP""), REGEXMATCH(C524,""(?i)Downpipe"")),
       ""dp"" &amp; REGEXEXTRACT(C524,""("&amp;"\d+)"") &amp; ""mm"",
    IF(AND(REGEXMATCH(D524,""(?i)Bracket""), REGEXMATCH(C524,""(?i)Bracket"")),
       ""Brkt"" &amp; REGEXEXTRACT(C524,""(\d+)"") &amp; ""mm"",
    IF(AND(REGEXMATCH(D524,""(?i)-OP""), REGEXMATCH(C524,""(?i)pops"")),
       ""op"" &amp; REGEXEXTRAC"&amp;"T(C524,""(\d+)"") &amp; ""mm"",
    IF(OR(D524=""R-FFTop"", D524=""R-FFBottom"", D524=""R-FFSide""),
        IF(REGEXMATCH(C524,""(?i)Profiled.*Top|Top.*Profiled""),""pfft"",
        IF(REGEXMATCH(C524,""(?i)Profiled.*Bottom|Bottom.*Profiled""),""pffb"",
    "&amp;"    IF(REGEXMATCH(C524,""(?i)Square""),""sff"",""""))),
    IF(REGEXMATCH(D524,""(?i)-Rivets""),""Rvt"",
    IF(REGEXMATCH(D524,""(?i)Silicone|Seal""),""300ml"",
    IF(REGEXMATCH(D524,""(?i)R-Butyl""),""300ml"",
    IF(REGEXMATCH(D524,""(?i)Fix""),""GenF"&amp;"ix"",
    IF(AND(REGEXMATCH(C524,""(?i)Timber""), REGEXMATCH(D524,""(?i)Timber"")),""tp"",
    IF(AND(REGEXMATCH(C524,""(?i)Vent G1275""), REGEXMATCH(D524,""(?i)Comb FIller"")),""CFV1275"",
    IF(REGEXMATCH(C524,""(?i)DPC""),""dpc"",
    IF(REGEXMATCH(C5"&amp;"24,""(?i)Concealed Clips""),""ConClips"",
    IF(REGEXMATCH(D524,""(?i)-Takeoff ea""),""Takeoff ea"",
    IF(REGEXMATCH(D524,""(?i)-Takeoff LM""),""Takeoff LM"",
    IF(REGEXMATCH(D524,""(?i)-Takeoff m2""),""Takeoff m2"",
    IF(D524=""R-TU/TD"",""TU/TD"""&amp;","""")))))))))))))))))
  )))"),"300ml")</f>
        <v>300ml</v>
      </c>
      <c r="C524" s="225" t="s">
        <v>98</v>
      </c>
      <c r="D524" s="124" t="s">
        <v>388</v>
      </c>
      <c r="E524" s="687">
        <f>E523</f>
        <v>0.15</v>
      </c>
      <c r="F524" s="699"/>
      <c r="G524" s="701"/>
      <c r="H524" s="700"/>
      <c r="I524" s="700"/>
      <c r="J524" s="126" t="s">
        <v>87</v>
      </c>
      <c r="K524" s="126" t="str">
        <f>IFERROR(
  IF(B524="", "", VLOOKUP(B524, Data!$B$2:$K$905, 7, FALSE)),
  ""
)</f>
        <v/>
      </c>
      <c r="L524" s="704"/>
      <c r="M524" s="150">
        <f>ROUNDUP(3.14*E524,0)/8</f>
        <v>0.125</v>
      </c>
      <c r="N524" s="151">
        <f>IFERROR(__xludf.DUMMYFUNCTION("IF(B524="""", """", IFERROR(1 / COS(RADIANS(REGEXEXTRACT(F524,""(\d+)""))), 1))"),1.0)</f>
        <v>1</v>
      </c>
      <c r="O524" s="169">
        <f>O523</f>
        <v>2</v>
      </c>
      <c r="P524" s="134">
        <v>1.0</v>
      </c>
      <c r="Q524" s="242">
        <f t="shared" si="391"/>
        <v>0.25</v>
      </c>
      <c r="R524" s="136" t="str">
        <f>IFERROR(
  IF(B524="", "", VLOOKUP(B524, Data!$B$2:$K$905, 9, FALSE)),
  ""
)</f>
        <v/>
      </c>
      <c r="S524" s="152">
        <f t="shared" si="392"/>
        <v>0</v>
      </c>
      <c r="T524" s="690"/>
      <c r="U524" s="136" t="str">
        <f>IFERROR(
  IF(B524="", "", VLOOKUP(B524, Data!$B$2:$K$905, 10, FALSE)),
  ""
)
</f>
        <v/>
      </c>
      <c r="V524" s="691"/>
      <c r="W524" s="140">
        <f t="shared" si="393"/>
        <v>0</v>
      </c>
      <c r="X524" s="692"/>
      <c r="Y524" s="595"/>
      <c r="Z524" s="595"/>
      <c r="AA524" s="595"/>
      <c r="AB524" s="354">
        <f t="shared" si="390"/>
        <v>0</v>
      </c>
      <c r="AC524" s="181"/>
      <c r="AD524" s="625"/>
      <c r="AE524" s="626"/>
      <c r="AF524" s="696"/>
      <c r="AG524" s="697"/>
      <c r="AH524" s="629"/>
      <c r="AI524" s="187"/>
      <c r="AJ524" s="630"/>
      <c r="AK524" s="630"/>
      <c r="AL524" s="595"/>
      <c r="AM524" s="595"/>
      <c r="AN524" s="595"/>
      <c r="AO524" s="595"/>
      <c r="AP524" s="595"/>
      <c r="AQ524" s="595"/>
      <c r="AR524" s="595"/>
      <c r="AS524" s="595"/>
      <c r="AT524" s="595"/>
      <c r="AU524" s="595"/>
      <c r="AV524" s="595"/>
      <c r="AW524" s="595"/>
      <c r="AX524" s="595"/>
      <c r="AY524" s="595"/>
      <c r="AZ524" s="595"/>
      <c r="BA524" s="595"/>
      <c r="BB524" s="595"/>
      <c r="BC524" s="595"/>
      <c r="BD524" s="595"/>
      <c r="BE524" s="595"/>
      <c r="BF524" s="595"/>
      <c r="BG524" s="595"/>
      <c r="BH524" s="595"/>
      <c r="BI524" s="651"/>
      <c r="BJ524" s="651"/>
      <c r="BK524" s="651"/>
      <c r="BL524" s="651"/>
      <c r="BM524" s="651"/>
      <c r="BN524" s="651"/>
      <c r="BO524" s="651"/>
      <c r="BP524" s="651"/>
      <c r="BQ524" s="651"/>
      <c r="BR524" s="651"/>
      <c r="BS524" s="651"/>
      <c r="BT524" s="651"/>
    </row>
    <row r="525">
      <c r="A525" s="631"/>
      <c r="B525" s="154" t="str">
        <f>IFERROR(__xludf.DUMMYFUNCTION("IFERROR(
  IF(C525="""","""",
    IF(OR(REGEXMATCH(D525,""(?i)-Flashing""), REGEXMATCH(D525,""(?i)-EavesGut""), REGEXMATCH(D525,""(?i)Valley"")),
        ""DR"" &amp;
        TEXT(
            ROUNDUP(
                MIN(
                    VALUE(MID(C525, "&amp;"FIND(""("",C525)+1, FIND(""/"",C525)-FIND(""("",C525)-1)),
                    1200
                ) / 50, 0
            ) * 50, ""0""
        ) &amp;
        MID(C525, FIND(""/"",C525)+1, FIND("")"",C525)-FIND(""/"",C525)-1) &amp;
        TEXT(H525*100,""0"") &amp;"&amp;"
        I525,
    IF(AND(D525=""Roof Sheet"", REGEXMATCH(C525,""(?i)KS\d{4}[A-Z]{2}"")),
       REGEXEXTRACT(C525,""(?i)KS\d{4}[A-Z]{2}""),
    IF(AND(REGEXMATCH(D525,""(?i)-DP""), REGEXMATCH(C525,""(?i)Downpipe"")),
       ""dp"" &amp; REGEXEXTRACT(C525,""("&amp;"\d+)"") &amp; ""mm"",
    IF(AND(REGEXMATCH(D525,""(?i)Bracket""), REGEXMATCH(C525,""(?i)Bracket"")),
       ""Brkt"" &amp; REGEXEXTRACT(C525,""(\d+)"") &amp; ""mm"",
    IF(AND(REGEXMATCH(D525,""(?i)-OP""), REGEXMATCH(C525,""(?i)pops"")),
       ""op"" &amp; REGEXEXTRAC"&amp;"T(C525,""(\d+)"") &amp; ""mm"",
    IF(OR(D525=""R-FFTop"", D525=""R-FFBottom"", D525=""R-FFSide""),
        IF(REGEXMATCH(C525,""(?i)Profiled.*Top|Top.*Profiled""),""pfft"",
        IF(REGEXMATCH(C525,""(?i)Profiled.*Bottom|Bottom.*Profiled""),""pffb"",
    "&amp;"    IF(REGEXMATCH(C525,""(?i)Square""),""sff"",""""))),
    IF(REGEXMATCH(D525,""(?i)-Rivets""),""Rvt"",
    IF(REGEXMATCH(D525,""(?i)Silicone|Seal""),""300ml"",
    IF(REGEXMATCH(D525,""(?i)R-Butyl""),""300ml"",
    IF(REGEXMATCH(D525,""(?i)Fix""),""GenF"&amp;"ix"",
    IF(AND(REGEXMATCH(C525,""(?i)Timber""), REGEXMATCH(D525,""(?i)Timber"")),""tp"",
    IF(AND(REGEXMATCH(C525,""(?i)Vent G1275""), REGEXMATCH(D525,""(?i)Comb FIller"")),""CFV1275"",
    IF(REGEXMATCH(C525,""(?i)DPC""),""dpc"",
    IF(REGEXMATCH(C5"&amp;"25,""(?i)Concealed Clips""),""ConClips"",
    IF(REGEXMATCH(D525,""(?i)-Takeoff ea""),""Takeoff ea"",
    IF(REGEXMATCH(D525,""(?i)-Takeoff LM""),""Takeoff LM"",
    IF(REGEXMATCH(D525,""(?i)-Takeoff m2""),""Takeoff m2"",
    IF(D525=""R-TU/TD"",""TU/TD"""&amp;","""")))))))))))))))))
  )))"),"GenFix")</f>
        <v>GenFix</v>
      </c>
      <c r="C525" s="225" t="s">
        <v>102</v>
      </c>
      <c r="D525" s="124" t="s">
        <v>144</v>
      </c>
      <c r="E525" s="687">
        <f>E523</f>
        <v>0.15</v>
      </c>
      <c r="F525" s="699"/>
      <c r="G525" s="701"/>
      <c r="H525" s="700"/>
      <c r="I525" s="700"/>
      <c r="J525" s="126" t="s">
        <v>87</v>
      </c>
      <c r="K525" s="126" t="str">
        <f>IFERROR(
  IF(B525="", "", VLOOKUP(B525, Data!$B$2:$K$905, 7, FALSE)),
  ""
)</f>
        <v/>
      </c>
      <c r="L525" s="704"/>
      <c r="M525" s="150">
        <f>ROUNDUP(3.14*E525,0)/0.05</f>
        <v>20</v>
      </c>
      <c r="N525" s="151">
        <f>IFERROR(__xludf.DUMMYFUNCTION("IF(B525="""", """", IFERROR(1 / COS(RADIANS(REGEXEXTRACT(F525,""(\d+)""))), 1))"),1.0)</f>
        <v>1</v>
      </c>
      <c r="O525" s="169">
        <f>O523</f>
        <v>2</v>
      </c>
      <c r="P525" s="134">
        <v>1.0</v>
      </c>
      <c r="Q525" s="242">
        <f t="shared" si="391"/>
        <v>40</v>
      </c>
      <c r="R525" s="136" t="str">
        <f>IFERROR(
  IF(B525="", "", VLOOKUP(B525, Data!$B$2:$K$905, 9, FALSE)),
  ""
)</f>
        <v/>
      </c>
      <c r="S525" s="152">
        <f t="shared" si="392"/>
        <v>0</v>
      </c>
      <c r="T525" s="690"/>
      <c r="U525" s="136" t="str">
        <f>IFERROR(
  IF(B525="", "", VLOOKUP(B525, Data!$B$2:$K$905, 10, FALSE)),
  ""
)
</f>
        <v/>
      </c>
      <c r="V525" s="691"/>
      <c r="W525" s="140">
        <f t="shared" si="393"/>
        <v>0</v>
      </c>
      <c r="X525" s="692"/>
      <c r="Y525" s="595"/>
      <c r="Z525" s="595"/>
      <c r="AA525" s="595"/>
      <c r="AB525" s="354">
        <f t="shared" si="390"/>
        <v>0</v>
      </c>
      <c r="AC525" s="181"/>
      <c r="AD525" s="625"/>
      <c r="AE525" s="626"/>
      <c r="AF525" s="696"/>
      <c r="AG525" s="697"/>
      <c r="AH525" s="629"/>
      <c r="AI525" s="187"/>
      <c r="AJ525" s="630"/>
      <c r="AK525" s="630"/>
      <c r="AL525" s="595"/>
      <c r="AM525" s="595"/>
      <c r="AN525" s="595"/>
      <c r="AO525" s="595"/>
      <c r="AP525" s="595"/>
      <c r="AQ525" s="595"/>
      <c r="AR525" s="595"/>
      <c r="AS525" s="595"/>
      <c r="AT525" s="595"/>
      <c r="AU525" s="595"/>
      <c r="AV525" s="595"/>
      <c r="AW525" s="595"/>
      <c r="AX525" s="595"/>
      <c r="AY525" s="595"/>
      <c r="AZ525" s="595"/>
      <c r="BA525" s="595"/>
      <c r="BB525" s="595"/>
      <c r="BC525" s="595"/>
      <c r="BD525" s="595"/>
      <c r="BE525" s="595"/>
      <c r="BF525" s="595"/>
      <c r="BG525" s="595"/>
      <c r="BH525" s="595"/>
      <c r="BI525" s="651"/>
      <c r="BJ525" s="651"/>
      <c r="BK525" s="651"/>
      <c r="BL525" s="651"/>
      <c r="BM525" s="651"/>
      <c r="BN525" s="651"/>
      <c r="BO525" s="651"/>
      <c r="BP525" s="651"/>
      <c r="BQ525" s="651"/>
      <c r="BR525" s="651"/>
      <c r="BS525" s="651"/>
      <c r="BT525" s="651"/>
    </row>
    <row r="526">
      <c r="A526" s="631"/>
      <c r="B526" s="154"/>
      <c r="C526" s="700"/>
      <c r="D526" s="701"/>
      <c r="E526" s="722"/>
      <c r="F526" s="699"/>
      <c r="G526" s="701"/>
      <c r="H526" s="700"/>
      <c r="I526" s="700"/>
      <c r="J526" s="701"/>
      <c r="K526" s="701"/>
      <c r="L526" s="704"/>
      <c r="M526" s="704"/>
      <c r="N526" s="711"/>
      <c r="O526" s="712"/>
      <c r="P526" s="700"/>
      <c r="Q526" s="712"/>
      <c r="R526" s="681" t="str">
        <f>IFERROR(
  IF(B526="", "", VLOOKUP(B526, Data!$B$2:$K$905, 9, FALSE)),
  ""
)</f>
        <v/>
      </c>
      <c r="S526" s="691"/>
      <c r="T526" s="690"/>
      <c r="U526" s="136" t="str">
        <f>IFERROR(
  IF(B526="", "", VLOOKUP(B526, Data!$B$2:$K$905, 10, FALSE)),
  ""
)
</f>
        <v/>
      </c>
      <c r="V526" s="691"/>
      <c r="W526" s="713"/>
      <c r="X526" s="692"/>
      <c r="Y526" s="595"/>
      <c r="Z526" s="595"/>
      <c r="AA526" s="595"/>
      <c r="AB526" s="595"/>
      <c r="AC526" s="181"/>
      <c r="AD526" s="625"/>
      <c r="AE526" s="626"/>
      <c r="AF526" s="696"/>
      <c r="AG526" s="697"/>
      <c r="AH526" s="629"/>
      <c r="AI526" s="187"/>
      <c r="AJ526" s="630"/>
      <c r="AK526" s="630"/>
      <c r="AL526" s="595"/>
      <c r="AM526" s="595"/>
      <c r="AN526" s="595"/>
      <c r="AO526" s="595"/>
      <c r="AP526" s="595"/>
      <c r="AQ526" s="595"/>
      <c r="AR526" s="595"/>
      <c r="AS526" s="595"/>
      <c r="AT526" s="595"/>
      <c r="AU526" s="595"/>
      <c r="AV526" s="595"/>
      <c r="AW526" s="595"/>
      <c r="AX526" s="595"/>
      <c r="AY526" s="595"/>
      <c r="AZ526" s="595"/>
      <c r="BA526" s="595"/>
      <c r="BB526" s="595"/>
      <c r="BC526" s="595"/>
      <c r="BD526" s="595"/>
      <c r="BE526" s="595"/>
      <c r="BF526" s="595"/>
      <c r="BG526" s="595"/>
      <c r="BH526" s="595"/>
      <c r="BI526" s="651"/>
      <c r="BJ526" s="651"/>
      <c r="BK526" s="651"/>
      <c r="BL526" s="651"/>
      <c r="BM526" s="651"/>
      <c r="BN526" s="651"/>
      <c r="BO526" s="651"/>
      <c r="BP526" s="651"/>
      <c r="BQ526" s="651"/>
      <c r="BR526" s="651"/>
      <c r="BS526" s="651"/>
      <c r="BT526" s="651"/>
    </row>
    <row r="527">
      <c r="A527" s="631">
        <v>1.0</v>
      </c>
      <c r="B527" s="761" t="s">
        <v>423</v>
      </c>
      <c r="C527" s="251" t="s">
        <v>542</v>
      </c>
      <c r="D527" s="633"/>
      <c r="E527" s="634"/>
      <c r="F527" s="635"/>
      <c r="G527" s="633"/>
      <c r="H527" s="633"/>
      <c r="I527" s="637"/>
      <c r="J527" s="633"/>
      <c r="K527" s="633"/>
      <c r="L527" s="637"/>
      <c r="M527" s="637"/>
      <c r="N527" s="639"/>
      <c r="O527" s="637"/>
      <c r="P527" s="633"/>
      <c r="Q527" s="640"/>
      <c r="R527" s="681" t="str">
        <f>IFERROR(
  IF(B527="", "", VLOOKUP(B527, Data!$B$2:$K$905, 9, FALSE)),
  ""
)</f>
        <v/>
      </c>
      <c r="S527" s="642"/>
      <c r="T527" s="640"/>
      <c r="U527" s="681" t="str">
        <f>IFERROR(
  IF(B527="", "", VLOOKUP(B527, Data!$B$2:$K$905, 10, FALSE)),
  ""
)
</f>
        <v/>
      </c>
      <c r="V527" s="642"/>
      <c r="W527" s="643"/>
      <c r="X527" s="762"/>
      <c r="Y527" s="649"/>
      <c r="Z527" s="649"/>
      <c r="AA527" s="649"/>
      <c r="AB527" s="649"/>
      <c r="AC527" s="602"/>
      <c r="AD527" s="644"/>
      <c r="AE527" s="645"/>
      <c r="AF527" s="646"/>
      <c r="AG527" s="763"/>
      <c r="AH527" s="648"/>
      <c r="AI527" s="649"/>
      <c r="AJ527" s="650"/>
      <c r="AK527" s="650"/>
      <c r="AL527" s="595"/>
      <c r="AM527" s="595"/>
      <c r="AN527" s="595"/>
      <c r="AO527" s="595"/>
      <c r="AP527" s="595"/>
      <c r="AQ527" s="595"/>
      <c r="AR527" s="595"/>
      <c r="AS527" s="595"/>
      <c r="AT527" s="595"/>
      <c r="AU527" s="595"/>
      <c r="AV527" s="595"/>
      <c r="AW527" s="595"/>
      <c r="AX527" s="595"/>
      <c r="AY527" s="595"/>
      <c r="AZ527" s="595"/>
      <c r="BA527" s="595"/>
      <c r="BB527" s="595"/>
      <c r="BC527" s="595"/>
      <c r="BD527" s="595"/>
      <c r="BE527" s="595"/>
      <c r="BF527" s="595"/>
      <c r="BG527" s="595"/>
      <c r="BH527" s="595"/>
      <c r="BI527" s="651"/>
      <c r="BJ527" s="651"/>
      <c r="BK527" s="651"/>
      <c r="BL527" s="651"/>
      <c r="BM527" s="651"/>
      <c r="BN527" s="651"/>
      <c r="BO527" s="651"/>
      <c r="BP527" s="651"/>
      <c r="BQ527" s="651"/>
      <c r="BR527" s="651"/>
      <c r="BS527" s="651"/>
      <c r="BT527" s="651"/>
    </row>
    <row r="528">
      <c r="A528" s="631">
        <v>1.0</v>
      </c>
      <c r="B528" s="764" t="s">
        <v>425</v>
      </c>
      <c r="C528" s="780" t="s">
        <v>543</v>
      </c>
      <c r="D528" s="653"/>
      <c r="E528" s="654"/>
      <c r="F528" s="655"/>
      <c r="G528" s="656"/>
      <c r="H528" s="656"/>
      <c r="I528" s="658"/>
      <c r="J528" s="656"/>
      <c r="K528" s="656"/>
      <c r="L528" s="658"/>
      <c r="M528" s="658"/>
      <c r="N528" s="659"/>
      <c r="O528" s="658"/>
      <c r="P528" s="656"/>
      <c r="Q528" s="658"/>
      <c r="R528" s="681" t="str">
        <f>IFERROR(
  IF(B528="", "", VLOOKUP(B528, Data!$B$2:$K$905, 9, FALSE)),
  ""
)</f>
        <v/>
      </c>
      <c r="S528" s="662"/>
      <c r="T528" s="661"/>
      <c r="U528" s="681" t="str">
        <f>IFERROR(
  IF(B528="", "", VLOOKUP(B528, Data!$B$2:$K$905, 10, FALSE)),
  ""
)
</f>
        <v/>
      </c>
      <c r="V528" s="662"/>
      <c r="W528" s="663"/>
      <c r="X528" s="664"/>
      <c r="Y528" s="665"/>
      <c r="Z528" s="665"/>
      <c r="AA528" s="665"/>
      <c r="AB528" s="665"/>
      <c r="AC528" s="667"/>
      <c r="AD528" s="668"/>
      <c r="AE528" s="669"/>
      <c r="AF528" s="670"/>
      <c r="AG528" s="715"/>
      <c r="AH528" s="672"/>
      <c r="AI528" s="665"/>
      <c r="AJ528" s="673"/>
      <c r="AK528" s="673"/>
      <c r="AL528" s="595"/>
      <c r="AM528" s="595"/>
      <c r="AN528" s="595"/>
      <c r="AO528" s="595"/>
      <c r="AP528" s="595"/>
      <c r="AQ528" s="595"/>
      <c r="AR528" s="595"/>
      <c r="AS528" s="595"/>
      <c r="AT528" s="595"/>
      <c r="AU528" s="595"/>
      <c r="AV528" s="595"/>
      <c r="AW528" s="595"/>
      <c r="AX528" s="595"/>
      <c r="AY528" s="595"/>
      <c r="AZ528" s="595"/>
      <c r="BA528" s="595"/>
      <c r="BB528" s="595"/>
      <c r="BC528" s="595"/>
      <c r="BD528" s="595"/>
      <c r="BE528" s="595"/>
      <c r="BF528" s="595"/>
      <c r="BG528" s="595"/>
      <c r="BH528" s="595"/>
      <c r="BI528" s="651"/>
      <c r="BJ528" s="651"/>
      <c r="BK528" s="651"/>
      <c r="BL528" s="651"/>
      <c r="BM528" s="651"/>
      <c r="BN528" s="651"/>
      <c r="BO528" s="651"/>
      <c r="BP528" s="651"/>
      <c r="BQ528" s="651"/>
      <c r="BR528" s="651"/>
      <c r="BS528" s="651"/>
      <c r="BT528" s="651"/>
    </row>
    <row r="529">
      <c r="A529" s="631">
        <v>1.0</v>
      </c>
      <c r="B529" s="727"/>
      <c r="C529" s="103" t="s">
        <v>544</v>
      </c>
      <c r="D529" s="675"/>
      <c r="E529" s="676"/>
      <c r="F529" s="677"/>
      <c r="G529" s="678"/>
      <c r="H529" s="678"/>
      <c r="I529" s="679"/>
      <c r="J529" s="678"/>
      <c r="K529" s="678"/>
      <c r="L529" s="106" t="str">
        <f>Q529</f>
        <v>#REF!</v>
      </c>
      <c r="M529" s="679"/>
      <c r="N529" s="680"/>
      <c r="O529" s="679"/>
      <c r="P529" s="678"/>
      <c r="Q529" s="106" t="str">
        <f>Q530+Q536+Q540</f>
        <v>#REF!</v>
      </c>
      <c r="R529" s="681" t="str">
        <f>IFERROR(
  IF(B529="", "", VLOOKUP(B529, Data!$B$2:$K$905, 9, FALSE)),
  ""
)</f>
        <v/>
      </c>
      <c r="S529" s="682">
        <f>IFERROR(T529/Q529, 0)</f>
        <v>0</v>
      </c>
      <c r="T529" s="109" t="str">
        <f>SUM(S530:S546)</f>
        <v>#REF!</v>
      </c>
      <c r="U529" s="681" t="str">
        <f>IFERROR(
  IF(B529="", "", VLOOKUP(B529, Data!$B$2:$K$905, 10, FALSE)),
  ""
)
</f>
        <v/>
      </c>
      <c r="V529" s="109" t="str">
        <f>iferror(W529/Q529,"")</f>
        <v/>
      </c>
      <c r="W529" s="110" t="str">
        <f>SUM(W530:W546)</f>
        <v>#REF!</v>
      </c>
      <c r="X529" s="111" t="str">
        <f>W529/$AC$758/$W$765/$X$755</f>
        <v>#REF!</v>
      </c>
      <c r="Y529" s="112" t="str">
        <f>(T529+W529)=(SUM(AB530:AB546))</f>
        <v>#REF!</v>
      </c>
      <c r="Z529" s="113" t="str">
        <f>(T529+W529)-(SUM(AB530:AB546))</f>
        <v>#REF!</v>
      </c>
      <c r="AA529" s="595"/>
      <c r="AB529" s="595"/>
      <c r="AC529" s="181"/>
      <c r="AD529" s="114" t="str">
        <f>W529+T529</f>
        <v>#REF!</v>
      </c>
      <c r="AE529" s="115" t="str">
        <f>AD529</f>
        <v>#REF!</v>
      </c>
      <c r="AF529" s="116" t="str">
        <f>AE529/$AE$733</f>
        <v>#REF!</v>
      </c>
      <c r="AG529" s="683" t="str">
        <f>AF529*$AG$740</f>
        <v>#REF!</v>
      </c>
      <c r="AH529" s="118" t="str">
        <f>AF529*$AG$743</f>
        <v>#REF!</v>
      </c>
      <c r="AI529" s="187"/>
      <c r="AJ529" s="119" t="str">
        <f>ROUND(AK529/L529,2)</f>
        <v>#REF!</v>
      </c>
      <c r="AK529" s="119" t="str">
        <f>ROUND(AH529+AG529+AD529,2)</f>
        <v>#REF!</v>
      </c>
      <c r="AL529" s="595"/>
      <c r="AM529" s="595"/>
      <c r="AN529" s="595"/>
      <c r="AO529" s="595"/>
      <c r="AP529" s="595"/>
      <c r="AQ529" s="595"/>
      <c r="AR529" s="595"/>
      <c r="AS529" s="595"/>
      <c r="AT529" s="595"/>
      <c r="AU529" s="595"/>
      <c r="AV529" s="595"/>
      <c r="AW529" s="595"/>
      <c r="AX529" s="595"/>
      <c r="AY529" s="595"/>
      <c r="AZ529" s="595"/>
      <c r="BA529" s="595"/>
      <c r="BB529" s="595"/>
      <c r="BC529" s="595"/>
      <c r="BD529" s="595"/>
      <c r="BE529" s="595"/>
      <c r="BF529" s="595"/>
      <c r="BG529" s="595"/>
      <c r="BH529" s="595"/>
      <c r="BI529" s="651"/>
      <c r="BJ529" s="651"/>
      <c r="BK529" s="651"/>
      <c r="BL529" s="651"/>
      <c r="BM529" s="651"/>
      <c r="BN529" s="651"/>
      <c r="BO529" s="651"/>
      <c r="BP529" s="651"/>
      <c r="BQ529" s="651"/>
      <c r="BR529" s="651"/>
      <c r="BS529" s="651"/>
      <c r="BT529" s="651"/>
    </row>
    <row r="530">
      <c r="A530" s="631"/>
      <c r="B530" s="765" t="s">
        <v>545</v>
      </c>
      <c r="C530" s="123" t="s">
        <v>546</v>
      </c>
      <c r="D530" s="148" t="s">
        <v>149</v>
      </c>
      <c r="E530" s="687" t="str">
        <f>IFERROR(__xludf.DUMMYFUNCTION("IF($B$15:$B1411="""","""",
  VLOOKUP(
    $B$15:$B1411,
    QUERY(
      IMPORTRANGE(""1Ag27m9YF5mMfJh2E6NipJDFvPLlDI1p-s_1XEnzMHcc"",""Merge!F2:R""),
      ""select Col1, Col11"",
      0
    ),
    2,
    FALSE
  )
)
"),"#REF!")</f>
        <v>#REF!</v>
      </c>
      <c r="F530" s="699"/>
      <c r="G530" s="689" t="s">
        <v>547</v>
      </c>
      <c r="H530" s="128" t="str">
        <f>IFERROR(__xludf.DUMMYFUNCTION("IFERROR(REGEXEXTRACT(C530, ""(\d*\.\d+)mm""), """")"),"0.55")</f>
        <v>0.55</v>
      </c>
      <c r="I530" s="704"/>
      <c r="J530" s="126" t="s">
        <v>14</v>
      </c>
      <c r="K530" s="126" t="str">
        <f>IFERROR(
  IF(B530="", "", VLOOKUP(B530, Data!$B$2:$K$905, 7, FALSE)),
  ""
)</f>
        <v/>
      </c>
      <c r="L530" s="135">
        <f>901.34+
997.88+
907.75</f>
        <v>2806.97</v>
      </c>
      <c r="M530" s="150" t="str">
        <f>L530*E530</f>
        <v>#REF!</v>
      </c>
      <c r="N530" s="151">
        <f>IFERROR(__xludf.DUMMYFUNCTION("IF(B530="""", """", IFERROR(1 / COS(RADIANS(REGEXEXTRACT(F530,""(\d+)""))), 1))"),1.0)</f>
        <v>1</v>
      </c>
      <c r="O530" s="169">
        <v>1.0</v>
      </c>
      <c r="P530" s="134">
        <v>1.0</v>
      </c>
      <c r="Q530" s="135" t="str">
        <f t="shared" ref="Q530:Q534" si="394">M530*N530*O530*P530</f>
        <v>#REF!</v>
      </c>
      <c r="R530" s="681" t="str">
        <f>IFERROR(
  IF(B530="", "", VLOOKUP(B530, Data!$B$2:$K$905, 9, FALSE)),
  ""
)</f>
        <v/>
      </c>
      <c r="S530" s="152" t="str">
        <f t="shared" ref="S530:S534" si="395">R530*Q530</f>
        <v>#REF!</v>
      </c>
      <c r="T530" s="690"/>
      <c r="U530" s="136" t="str">
        <f>IFERROR(
  IF(B530="", "", VLOOKUP(B530, Data!$B$2:$K$905, 10, FALSE)),
  ""
)
</f>
        <v/>
      </c>
      <c r="V530" s="691"/>
      <c r="W530" s="140" t="str">
        <f t="shared" ref="W530:W534" si="396">U530*Q530</f>
        <v>#REF!</v>
      </c>
      <c r="X530" s="692"/>
      <c r="Y530" s="693"/>
      <c r="Z530" s="694"/>
      <c r="AA530" s="695"/>
      <c r="AB530" s="354" t="str">
        <f t="shared" ref="AB530:AB542" si="397">W530+S530</f>
        <v>#REF!</v>
      </c>
      <c r="AC530" s="181"/>
      <c r="AD530" s="625"/>
      <c r="AE530" s="626"/>
      <c r="AF530" s="696"/>
      <c r="AG530" s="697"/>
      <c r="AH530" s="629"/>
      <c r="AI530" s="187"/>
      <c r="AJ530" s="630"/>
      <c r="AK530" s="630"/>
      <c r="AL530" s="595"/>
      <c r="AM530" s="595"/>
      <c r="AN530" s="595"/>
      <c r="AO530" s="595"/>
      <c r="AP530" s="595"/>
      <c r="AQ530" s="595"/>
      <c r="AR530" s="595"/>
      <c r="AS530" s="595"/>
      <c r="AT530" s="595"/>
      <c r="AU530" s="595"/>
      <c r="AV530" s="595"/>
      <c r="AW530" s="595"/>
      <c r="AX530" s="595"/>
      <c r="AY530" s="595"/>
      <c r="AZ530" s="595"/>
      <c r="BA530" s="595"/>
      <c r="BB530" s="595"/>
      <c r="BC530" s="595"/>
      <c r="BD530" s="595"/>
      <c r="BE530" s="595"/>
      <c r="BF530" s="595"/>
      <c r="BG530" s="595"/>
      <c r="BH530" s="595"/>
      <c r="BI530" s="651"/>
      <c r="BJ530" s="651"/>
      <c r="BK530" s="651"/>
      <c r="BL530" s="651"/>
      <c r="BM530" s="651"/>
      <c r="BN530" s="651"/>
      <c r="BO530" s="651"/>
      <c r="BP530" s="651"/>
      <c r="BQ530" s="651"/>
      <c r="BR530" s="651"/>
      <c r="BS530" s="651"/>
      <c r="BT530" s="651"/>
    </row>
    <row r="531">
      <c r="A531" s="631"/>
      <c r="B531" s="765" t="s">
        <v>430</v>
      </c>
      <c r="C531" s="698" t="s">
        <v>431</v>
      </c>
      <c r="D531" s="148" t="s">
        <v>548</v>
      </c>
      <c r="E531" s="687">
        <v>1.2</v>
      </c>
      <c r="F531" s="699"/>
      <c r="G531" s="700"/>
      <c r="H531" s="700" t="str">
        <f>IFERROR(__xludf.DUMMYFUNCTION("IFERROR(REGEXEXTRACT(C531, ""(\d*\.\d+)mm""), """")"),"")</f>
        <v/>
      </c>
      <c r="I531" s="704"/>
      <c r="J531" s="126" t="s">
        <v>87</v>
      </c>
      <c r="K531" s="126" t="str">
        <f>IFERROR(
  IF(B531="", "", VLOOKUP(B531, Data!$B$2:$K$905, 7, FALSE)),
  ""
)</f>
        <v/>
      </c>
      <c r="L531" s="704"/>
      <c r="M531" s="150">
        <f>roundup(L530/E531,0)+1</f>
        <v>2341</v>
      </c>
      <c r="N531" s="151">
        <f t="shared" ref="N531:N534" si="398">N530</f>
        <v>1</v>
      </c>
      <c r="O531" s="169">
        <v>1.0</v>
      </c>
      <c r="P531" s="134">
        <v>1.0</v>
      </c>
      <c r="Q531" s="135">
        <f t="shared" si="394"/>
        <v>2341</v>
      </c>
      <c r="R531" s="681" t="str">
        <f>IFERROR(
  IF(B531="", "", VLOOKUP(B531, Data!$B$2:$K$905, 9, FALSE)),
  ""
)</f>
        <v/>
      </c>
      <c r="S531" s="152">
        <f t="shared" si="395"/>
        <v>0</v>
      </c>
      <c r="T531" s="690"/>
      <c r="U531" s="136" t="str">
        <f>IFERROR(
  IF(B531="", "", VLOOKUP(B531, Data!$B$2:$K$905, 10, FALSE)),
  ""
)
</f>
        <v/>
      </c>
      <c r="V531" s="691"/>
      <c r="W531" s="140">
        <f t="shared" si="396"/>
        <v>0</v>
      </c>
      <c r="X531" s="692"/>
      <c r="Y531" s="693"/>
      <c r="Z531" s="694"/>
      <c r="AA531" s="695"/>
      <c r="AB531" s="354">
        <f t="shared" si="397"/>
        <v>0</v>
      </c>
      <c r="AC531" s="181"/>
      <c r="AD531" s="625"/>
      <c r="AE531" s="626"/>
      <c r="AF531" s="696"/>
      <c r="AG531" s="697"/>
      <c r="AH531" s="629"/>
      <c r="AI531" s="187"/>
      <c r="AJ531" s="630"/>
      <c r="AK531" s="630"/>
      <c r="AL531" s="595"/>
      <c r="AM531" s="595"/>
      <c r="AN531" s="595"/>
      <c r="AO531" s="595"/>
      <c r="AP531" s="595"/>
      <c r="AQ531" s="595"/>
      <c r="AR531" s="595"/>
      <c r="AS531" s="595"/>
      <c r="AT531" s="595"/>
      <c r="AU531" s="595"/>
      <c r="AV531" s="595"/>
      <c r="AW531" s="595"/>
      <c r="AX531" s="595"/>
      <c r="AY531" s="595"/>
      <c r="AZ531" s="595"/>
      <c r="BA531" s="595"/>
      <c r="BB531" s="595"/>
      <c r="BC531" s="595"/>
      <c r="BD531" s="595"/>
      <c r="BE531" s="595"/>
      <c r="BF531" s="595"/>
      <c r="BG531" s="595"/>
      <c r="BH531" s="595"/>
      <c r="BI531" s="651"/>
      <c r="BJ531" s="651"/>
      <c r="BK531" s="651"/>
      <c r="BL531" s="651"/>
      <c r="BM531" s="651"/>
      <c r="BN531" s="651"/>
      <c r="BO531" s="651"/>
      <c r="BP531" s="651"/>
      <c r="BQ531" s="651"/>
      <c r="BR531" s="651"/>
      <c r="BS531" s="651"/>
      <c r="BT531" s="651"/>
    </row>
    <row r="532">
      <c r="A532" s="631"/>
      <c r="B532" s="765" t="s">
        <v>433</v>
      </c>
      <c r="C532" s="702" t="s">
        <v>434</v>
      </c>
      <c r="D532" s="148" t="s">
        <v>153</v>
      </c>
      <c r="E532" s="722"/>
      <c r="F532" s="699"/>
      <c r="G532" s="700"/>
      <c r="H532" s="700"/>
      <c r="I532" s="704"/>
      <c r="J532" s="126" t="s">
        <v>87</v>
      </c>
      <c r="K532" s="126" t="str">
        <f>IFERROR(
  IF(B532="", "", VLOOKUP(B532, Data!$B$2:$K$905, 7, FALSE)),
  ""
)</f>
        <v/>
      </c>
      <c r="L532" s="704"/>
      <c r="M532" s="150">
        <f>M531*2</f>
        <v>4682</v>
      </c>
      <c r="N532" s="151">
        <f t="shared" si="398"/>
        <v>1</v>
      </c>
      <c r="O532" s="169">
        <v>1.0</v>
      </c>
      <c r="P532" s="134">
        <v>1.0</v>
      </c>
      <c r="Q532" s="135">
        <f t="shared" si="394"/>
        <v>4682</v>
      </c>
      <c r="R532" s="136" t="str">
        <f>IFERROR(
  IF(B532="", "", VLOOKUP(B532, Data!$B$2:$K$905, 9, FALSE)),
  ""
)</f>
        <v/>
      </c>
      <c r="S532" s="152">
        <f t="shared" si="395"/>
        <v>0</v>
      </c>
      <c r="T532" s="690"/>
      <c r="U532" s="136" t="str">
        <f>IFERROR(
  IF(B532="", "", VLOOKUP(B532, Data!$B$2:$K$905, 10, FALSE)),
  ""
)
</f>
        <v/>
      </c>
      <c r="V532" s="691"/>
      <c r="W532" s="140">
        <f t="shared" si="396"/>
        <v>0</v>
      </c>
      <c r="X532" s="692"/>
      <c r="Y532" s="693"/>
      <c r="Z532" s="694"/>
      <c r="AA532" s="695"/>
      <c r="AB532" s="354">
        <f t="shared" si="397"/>
        <v>0</v>
      </c>
      <c r="AC532" s="181"/>
      <c r="AD532" s="625"/>
      <c r="AE532" s="626"/>
      <c r="AF532" s="696"/>
      <c r="AG532" s="697"/>
      <c r="AH532" s="629"/>
      <c r="AI532" s="187"/>
      <c r="AJ532" s="630"/>
      <c r="AK532" s="630"/>
      <c r="AL532" s="595"/>
      <c r="AM532" s="595"/>
      <c r="AN532" s="595"/>
      <c r="AO532" s="595"/>
      <c r="AP532" s="595"/>
      <c r="AQ532" s="595"/>
      <c r="AR532" s="595"/>
      <c r="AS532" s="595"/>
      <c r="AT532" s="595"/>
      <c r="AU532" s="595"/>
      <c r="AV532" s="595"/>
      <c r="AW532" s="595"/>
      <c r="AX532" s="595"/>
      <c r="AY532" s="595"/>
      <c r="AZ532" s="595"/>
      <c r="BA532" s="595"/>
      <c r="BB532" s="595"/>
      <c r="BC532" s="595"/>
      <c r="BD532" s="595"/>
      <c r="BE532" s="595"/>
      <c r="BF532" s="595"/>
      <c r="BG532" s="595"/>
      <c r="BH532" s="595"/>
      <c r="BI532" s="651"/>
      <c r="BJ532" s="651"/>
      <c r="BK532" s="651"/>
      <c r="BL532" s="651"/>
      <c r="BM532" s="651"/>
      <c r="BN532" s="651"/>
      <c r="BO532" s="651"/>
      <c r="BP532" s="651"/>
      <c r="BQ532" s="651"/>
      <c r="BR532" s="651"/>
      <c r="BS532" s="651"/>
      <c r="BT532" s="651"/>
    </row>
    <row r="533">
      <c r="A533" s="631"/>
      <c r="B533" s="765" t="str">
        <f>IFERROR(__xludf.DUMMYFUNCTION("IFERROR(
  IF(C533="""","""",
    IF(OR(REGEXMATCH(D533,""(?i)-Flashing""), REGEXMATCH(D533,""(?i)-EavesGut""), REGEXMATCH(D533,""(?i)Valley"")),
        ""DR"" &amp;
        TEXT(
            ROUNDUP(
                MIN(
                    VALUE(MID(C533, "&amp;"FIND(""("",C533)+1, FIND(""/"",C533)-FIND(""("",C533)-1)),
                    1200
                ) / 50, 0
            ) * 50, ""0""
        ) &amp;
        MID(C533, FIND(""/"",C533)+1, FIND("")"",C533)-FIND(""/"",C533)-1) &amp;
        TEXT(H533*100,""0"") &amp;"&amp;"
        I533,
    IF(AND(D533=""Roof Sheet"", REGEXMATCH(C533,""(?i)KS\d{4}[A-Z]{2}"")),
       REGEXEXTRACT(C533,""(?i)KS\d{4}[A-Z]{2}""),
    IF(AND(REGEXMATCH(D533,""(?i)-DP""), REGEXMATCH(C533,""(?i)Downpipe"")),
       ""dp"" &amp; REGEXEXTRACT(C533,""("&amp;"\d+)"") &amp; ""mm"",
    IF(AND(REGEXMATCH(D533,""(?i)Bracket""), REGEXMATCH(C533,""(?i)Bracket"")),
       ""Brkt"" &amp; REGEXEXTRACT(C533,""(\d+)"") &amp; ""mm"",
    IF(AND(REGEXMATCH(D533,""(?i)-OP""), REGEXMATCH(C533,""(?i)pops"")),
       ""op"" &amp; REGEXEXTRAC"&amp;"T(C533,""(\d+)"") &amp; ""mm"",
    IF(OR(D533=""R-FFTop"", D533=""R-FFBottom"", D533=""R-FFSide""),
        IF(REGEXMATCH(C533,""(?i)Profiled.*Top|Top.*Profiled""),""pfft"",
        IF(REGEXMATCH(C533,""(?i)Profiled.*Bottom|Bottom.*Profiled""),""pffb"",
    "&amp;"    IF(REGEXMATCH(C533,""(?i)Square""),""sff"",""""))),
    IF(OR(D533=""W-FFTop"", D533=""W-FFBottom"", D533=""W-FFSide""),
        IF(REGEXMATCH(C533,""(?i)Profiled.*Top|Top.*Profiled""),""pfft"",
        IF(REGEXMATCH(C533,""(?i)Profiled.*Bottom|Bottom"&amp;".*Profiled""),""pffb"",
        IF(REGEXMATCH(C533,""(?i)Square""),""sff"",""""))),
    IF(REGEXMATCH(D533,""(?i)-Rivets""),""Rvt"",
    IF(REGEXMATCH(D533,""(?i)Silicone""),""300ml"",
    IF(REGEXMATCH(D533,""(?i)R-Butyl""),""300ml"",
    IF(REGEXMATCH(D"&amp;"533,""(?i)Fix""),""GenFix"",
    IF(AND(REGEXMATCH(C533,""(?i)Timber""), REGEXMATCH(D533,""(?i)Timber"")),""tp"",
    IF(AND(REGEXMATCH(C533,""(?i)Vent G1275""), REGEXMATCH(D533,""(?i)Comb FIller"")),""CFV1275"",
    IF(REGEXMATCH(C533,""(?i)DPC""),""dpc"&amp;""",
    IF(REGEXMATCH(C533,""(?i)Concealed Clips""),""ConClips"",
    IF(REGEXMATCH(D533,""(?i)-Takeoff ea""),""Takeoff ea"",
    IF(REGEXMATCH(D533,""(?i)-Takeoff LM""),""Takeoff LM"",
    IF(REGEXMATCH(D533,""(?i)-Takeoff m2""),""Takeoff m2"",
    IF(D5"&amp;"33=""R-TU/TD"",""TU/TD"",
    IF(D533=""W-TU/TD"",""TU/TD"","""")))))))))))))))))
  )))))"),"pfft")</f>
        <v>pfft</v>
      </c>
      <c r="C533" s="702" t="s">
        <v>104</v>
      </c>
      <c r="D533" s="148" t="s">
        <v>335</v>
      </c>
      <c r="E533" s="722"/>
      <c r="F533" s="699"/>
      <c r="G533" s="700"/>
      <c r="H533" s="700"/>
      <c r="I533" s="704"/>
      <c r="J533" s="126" t="s">
        <v>87</v>
      </c>
      <c r="K533" s="126" t="str">
        <f>IFERROR(
  IF(B533="", "", VLOOKUP(B533, Data!$B$2:$K$905, 7, FALSE)),
  ""
)</f>
        <v/>
      </c>
      <c r="L533" s="704"/>
      <c r="M533" s="150">
        <v>205.15</v>
      </c>
      <c r="N533" s="151">
        <f t="shared" si="398"/>
        <v>1</v>
      </c>
      <c r="O533" s="169">
        <v>1.0</v>
      </c>
      <c r="P533" s="134">
        <v>1.0</v>
      </c>
      <c r="Q533" s="135">
        <f t="shared" si="394"/>
        <v>205.15</v>
      </c>
      <c r="R533" s="136" t="str">
        <f>IFERROR(
  IF(B533="", "", VLOOKUP(B533, Data!$B$2:$K$905, 9, FALSE)),
  ""
)</f>
        <v/>
      </c>
      <c r="S533" s="152">
        <f t="shared" si="395"/>
        <v>0</v>
      </c>
      <c r="T533" s="690"/>
      <c r="U533" s="136" t="str">
        <f>IFERROR(
  IF(B533="", "", VLOOKUP(B533, Data!$B$2:$K$905, 10, FALSE)),
  ""
)
</f>
        <v/>
      </c>
      <c r="V533" s="691"/>
      <c r="W533" s="140">
        <f t="shared" si="396"/>
        <v>0</v>
      </c>
      <c r="X533" s="692"/>
      <c r="Y533" s="693"/>
      <c r="Z533" s="694"/>
      <c r="AA533" s="695"/>
      <c r="AB533" s="354">
        <f t="shared" si="397"/>
        <v>0</v>
      </c>
      <c r="AC533" s="181"/>
      <c r="AD533" s="705"/>
      <c r="AE533" s="706"/>
      <c r="AF533" s="707"/>
      <c r="AG533" s="708"/>
      <c r="AH533" s="709"/>
      <c r="AI533" s="187"/>
      <c r="AJ533" s="710"/>
      <c r="AK533" s="710"/>
      <c r="AL533" s="595"/>
      <c r="AM533" s="595"/>
      <c r="AN533" s="595"/>
      <c r="AO533" s="595"/>
      <c r="AP533" s="595"/>
      <c r="AQ533" s="595"/>
      <c r="AR533" s="595"/>
      <c r="AS533" s="595"/>
      <c r="AT533" s="595"/>
      <c r="AU533" s="595"/>
      <c r="AV533" s="595"/>
      <c r="AW533" s="595"/>
      <c r="AX533" s="595"/>
      <c r="AY533" s="595"/>
      <c r="AZ533" s="595"/>
      <c r="BA533" s="595"/>
      <c r="BB533" s="595"/>
      <c r="BC533" s="595"/>
      <c r="BD533" s="595"/>
      <c r="BE533" s="595"/>
      <c r="BF533" s="595"/>
      <c r="BG533" s="595"/>
      <c r="BH533" s="595"/>
      <c r="BI533" s="651"/>
      <c r="BJ533" s="651"/>
      <c r="BK533" s="651"/>
      <c r="BL533" s="651"/>
      <c r="BM533" s="651"/>
      <c r="BN533" s="651"/>
      <c r="BO533" s="651"/>
      <c r="BP533" s="651"/>
      <c r="BQ533" s="651"/>
      <c r="BR533" s="651"/>
      <c r="BS533" s="651"/>
      <c r="BT533" s="651"/>
    </row>
    <row r="534">
      <c r="A534" s="631"/>
      <c r="B534" s="765" t="str">
        <f>IFERROR(__xludf.DUMMYFUNCTION("IFERROR(
  IF(C534="""","""",
    IF(OR(REGEXMATCH(D534,""(?i)-Flashing""), REGEXMATCH(D534,""(?i)-EavesGut""), REGEXMATCH(D534,""(?i)Valley"")),
        ""DR"" &amp;
        TEXT(
            ROUNDUP(
                MIN(
                    VALUE(MID(C534, "&amp;"FIND(""("",C534)+1, FIND(""/"",C534)-FIND(""("",C534)-1)),
                    1200
                ) / 50, 0
            ) * 50, ""0""
        ) &amp;
        MID(C534, FIND(""/"",C534)+1, FIND("")"",C534)-FIND(""/"",C534)-1) &amp;
        TEXT(H534*100,""0"") &amp;"&amp;"
        I534,
    IF(AND(D534=""Roof Sheet"", REGEXMATCH(C534,""(?i)KS\d{4}[A-Z]{2}"")),
       REGEXEXTRACT(C534,""(?i)KS\d{4}[A-Z]{2}""),
    IF(AND(REGEXMATCH(D534,""(?i)-DP""), REGEXMATCH(C534,""(?i)Downpipe"")),
       ""dp"" &amp; REGEXEXTRACT(C534,""("&amp;"\d+)"") &amp; ""mm"",
    IF(AND(REGEXMATCH(D534,""(?i)Bracket""), REGEXMATCH(C534,""(?i)Bracket"")),
       ""Brkt"" &amp; REGEXEXTRACT(C534,""(\d+)"") &amp; ""mm"",
    IF(AND(REGEXMATCH(D534,""(?i)-OP""), REGEXMATCH(C534,""(?i)pops"")),
       ""op"" &amp; REGEXEXTRAC"&amp;"T(C534,""(\d+)"") &amp; ""mm"",
    IF(OR(D534=""R-FFTop"", D534=""R-FFBottom"", D534=""R-FFSide""),
        IF(REGEXMATCH(C534,""(?i)Profiled.*Top|Top.*Profiled""),""pfft"",
        IF(REGEXMATCH(C534,""(?i)Profiled.*Bottom|Bottom.*Profiled""),""pffb"",
    "&amp;"    IF(REGEXMATCH(C534,""(?i)Square""),""sff"",""""))),
    IF(OR(D534=""W-FFTop"", D534=""W-FFBottom"", D534=""W-FFSide""),
        IF(REGEXMATCH(C534,""(?i)Profiled.*Top|Top.*Profiled""),""pfft"",
        IF(REGEXMATCH(C534,""(?i)Profiled.*Bottom|Bottom"&amp;".*Profiled""),""pffb"",
        IF(REGEXMATCH(C534,""(?i)Square""),""sff"",""""))),
    IF(REGEXMATCH(D534,""(?i)-Rivets""),""Rvt"",
    IF(REGEXMATCH(D534,""(?i)Silicone""),""300ml"",
    IF(REGEXMATCH(D534,""(?i)R-Butyl""),""300ml"",
    IF(REGEXMATCH(D"&amp;"534,""(?i)Fix""),""GenFix"",
    IF(AND(REGEXMATCH(C534,""(?i)Timber""), REGEXMATCH(D534,""(?i)Timber"")),""tp"",
    IF(AND(REGEXMATCH(C534,""(?i)Vent G1275""), REGEXMATCH(D534,""(?i)Comb FIller"")),""CFV1275"",
    IF(REGEXMATCH(C534,""(?i)DPC""),""dpc"&amp;""",
    IF(REGEXMATCH(C534,""(?i)Concealed Clips""),""ConClips"",
    IF(REGEXMATCH(D534,""(?i)-Takeoff ea""),""Takeoff ea"",
    IF(REGEXMATCH(D534,""(?i)-Takeoff LM""),""Takeoff LM"",
    IF(REGEXMATCH(D534,""(?i)-Takeoff m2""),""Takeoff m2"",
    IF(D5"&amp;"34=""R-TU/TD"",""TU/TD"",
    IF(D534=""W-TU/TD"",""TU/TD"","""")))))))))))))))))
  )))))"),"pffb")</f>
        <v>pffb</v>
      </c>
      <c r="C534" s="702" t="s">
        <v>125</v>
      </c>
      <c r="D534" s="148" t="s">
        <v>338</v>
      </c>
      <c r="E534" s="722"/>
      <c r="F534" s="699"/>
      <c r="G534" s="700"/>
      <c r="H534" s="700"/>
      <c r="I534" s="704"/>
      <c r="J534" s="126" t="s">
        <v>87</v>
      </c>
      <c r="K534" s="126" t="str">
        <f>IFERROR(
  IF(B534="", "", VLOOKUP(B534, Data!$B$2:$K$905, 7, FALSE)),
  ""
)</f>
        <v/>
      </c>
      <c r="L534" s="704"/>
      <c r="M534" s="150">
        <v>205.15</v>
      </c>
      <c r="N534" s="151">
        <f t="shared" si="398"/>
        <v>1</v>
      </c>
      <c r="O534" s="169">
        <v>1.0</v>
      </c>
      <c r="P534" s="134">
        <v>1.0</v>
      </c>
      <c r="Q534" s="135">
        <f t="shared" si="394"/>
        <v>205.15</v>
      </c>
      <c r="R534" s="136" t="str">
        <f>IFERROR(
  IF(B534="", "", VLOOKUP(B534, Data!$B$2:$K$905, 9, FALSE)),
  ""
)</f>
        <v/>
      </c>
      <c r="S534" s="152">
        <f t="shared" si="395"/>
        <v>0</v>
      </c>
      <c r="T534" s="690"/>
      <c r="U534" s="136" t="str">
        <f>IFERROR(
  IF(B534="", "", VLOOKUP(B534, Data!$B$2:$K$905, 10, FALSE)),
  ""
)
</f>
        <v/>
      </c>
      <c r="V534" s="691"/>
      <c r="W534" s="140">
        <f t="shared" si="396"/>
        <v>0</v>
      </c>
      <c r="X534" s="692"/>
      <c r="Y534" s="693"/>
      <c r="Z534" s="694"/>
      <c r="AA534" s="695"/>
      <c r="AB534" s="354">
        <f t="shared" si="397"/>
        <v>0</v>
      </c>
      <c r="AC534" s="181"/>
      <c r="AD534" s="705"/>
      <c r="AE534" s="706"/>
      <c r="AF534" s="707"/>
      <c r="AG534" s="708"/>
      <c r="AH534" s="709"/>
      <c r="AI534" s="187"/>
      <c r="AJ534" s="710"/>
      <c r="AK534" s="710"/>
      <c r="AL534" s="595"/>
      <c r="AM534" s="595"/>
      <c r="AN534" s="595"/>
      <c r="AO534" s="595"/>
      <c r="AP534" s="595"/>
      <c r="AQ534" s="595"/>
      <c r="AR534" s="595"/>
      <c r="AS534" s="595"/>
      <c r="AT534" s="595"/>
      <c r="AU534" s="595"/>
      <c r="AV534" s="595"/>
      <c r="AW534" s="595"/>
      <c r="AX534" s="595"/>
      <c r="AY534" s="595"/>
      <c r="AZ534" s="595"/>
      <c r="BA534" s="595"/>
      <c r="BB534" s="595"/>
      <c r="BC534" s="595"/>
      <c r="BD534" s="595"/>
      <c r="BE534" s="595"/>
      <c r="BF534" s="595"/>
      <c r="BG534" s="595"/>
      <c r="BH534" s="595"/>
      <c r="BI534" s="651"/>
      <c r="BJ534" s="651"/>
      <c r="BK534" s="651"/>
      <c r="BL534" s="651"/>
      <c r="BM534" s="651"/>
      <c r="BN534" s="651"/>
      <c r="BO534" s="651"/>
      <c r="BP534" s="651"/>
      <c r="BQ534" s="651"/>
      <c r="BR534" s="651"/>
      <c r="BS534" s="651"/>
      <c r="BT534" s="651"/>
    </row>
    <row r="535">
      <c r="A535" s="631"/>
      <c r="B535" s="765"/>
      <c r="C535" s="702"/>
      <c r="D535" s="148"/>
      <c r="E535" s="722"/>
      <c r="F535" s="699"/>
      <c r="G535" s="700"/>
      <c r="H535" s="700"/>
      <c r="I535" s="704"/>
      <c r="J535" s="126"/>
      <c r="K535" s="126"/>
      <c r="L535" s="704"/>
      <c r="M535" s="150"/>
      <c r="N535" s="151"/>
      <c r="O535" s="169"/>
      <c r="P535" s="134"/>
      <c r="Q535" s="135"/>
      <c r="R535" s="136" t="str">
        <f>IFERROR(
  IF(B535="", "", VLOOKUP(B535, Data!$B$2:$K$905, 9, FALSE)),
  ""
)</f>
        <v/>
      </c>
      <c r="S535" s="152"/>
      <c r="T535" s="690"/>
      <c r="U535" s="136" t="str">
        <f>IFERROR(
  IF(B535="", "", VLOOKUP(B535, Data!$B$2:$K$905, 10, FALSE)),
  ""
)
</f>
        <v/>
      </c>
      <c r="V535" s="691"/>
      <c r="W535" s="140"/>
      <c r="X535" s="692"/>
      <c r="Y535" s="693"/>
      <c r="Z535" s="694"/>
      <c r="AA535" s="695"/>
      <c r="AB535" s="354">
        <f t="shared" si="397"/>
        <v>0</v>
      </c>
      <c r="AC535" s="181"/>
      <c r="AD535" s="705"/>
      <c r="AE535" s="706"/>
      <c r="AF535" s="707"/>
      <c r="AG535" s="708"/>
      <c r="AH535" s="709"/>
      <c r="AI535" s="187"/>
      <c r="AJ535" s="710"/>
      <c r="AK535" s="710"/>
      <c r="AL535" s="595"/>
      <c r="AM535" s="595"/>
      <c r="AN535" s="595"/>
      <c r="AO535" s="595"/>
      <c r="AP535" s="595"/>
      <c r="AQ535" s="595"/>
      <c r="AR535" s="595"/>
      <c r="AS535" s="595"/>
      <c r="AT535" s="595"/>
      <c r="AU535" s="595"/>
      <c r="AV535" s="595"/>
      <c r="AW535" s="595"/>
      <c r="AX535" s="595"/>
      <c r="AY535" s="595"/>
      <c r="AZ535" s="595"/>
      <c r="BA535" s="595"/>
      <c r="BB535" s="595"/>
      <c r="BC535" s="595"/>
      <c r="BD535" s="595"/>
      <c r="BE535" s="595"/>
      <c r="BF535" s="595"/>
      <c r="BG535" s="595"/>
      <c r="BH535" s="595"/>
      <c r="BI535" s="651"/>
      <c r="BJ535" s="651"/>
      <c r="BK535" s="651"/>
      <c r="BL535" s="651"/>
      <c r="BM535" s="651"/>
      <c r="BN535" s="651"/>
      <c r="BO535" s="651"/>
      <c r="BP535" s="651"/>
      <c r="BQ535" s="651"/>
      <c r="BR535" s="651"/>
      <c r="BS535" s="651"/>
      <c r="BT535" s="651"/>
    </row>
    <row r="536">
      <c r="A536" s="631"/>
      <c r="B536" s="765" t="s">
        <v>545</v>
      </c>
      <c r="C536" s="123" t="s">
        <v>549</v>
      </c>
      <c r="D536" s="686" t="s">
        <v>149</v>
      </c>
      <c r="E536" s="687" t="str">
        <f>IFERROR(__xludf.DUMMYFUNCTION("IF($B$15:$B1413="""","""",
  VLOOKUP(
    $B$15:$B1413,
    QUERY(
      IMPORTRANGE(""1Ag27m9YF5mMfJh2E6NipJDFvPLlDI1p-s_1XEnzMHcc"",""Merge!F2:R""),
      ""select Col1, Col11"",
      0
    ),
    2,
    FALSE
  )
)
"),"#REF!")</f>
        <v>#REF!</v>
      </c>
      <c r="F536" s="699"/>
      <c r="G536" s="149" t="s">
        <v>547</v>
      </c>
      <c r="H536" s="128" t="str">
        <f>IFERROR(__xludf.DUMMYFUNCTION("IFERROR(REGEXEXTRACT(C536, ""(\d*\.\d+)mm""), """")"),"0.55")</f>
        <v>0.55</v>
      </c>
      <c r="I536" s="704"/>
      <c r="J536" s="126" t="s">
        <v>14</v>
      </c>
      <c r="K536" s="126" t="str">
        <f>IFERROR(
  IF(B536="", "", VLOOKUP(B536, Data!$B$2:$K$905, 7, FALSE)),
  ""
)</f>
        <v/>
      </c>
      <c r="L536" s="135">
        <f>689.94+
1136.2+
1229.93</f>
        <v>3056.07</v>
      </c>
      <c r="M536" s="150" t="str">
        <f>L536*E536</f>
        <v>#REF!</v>
      </c>
      <c r="N536" s="151">
        <f>IFERROR(__xludf.DUMMYFUNCTION("IF(B536="""", """", IFERROR(1 / COS(RADIANS(REGEXEXTRACT(F536,""(\d+)""))), 1))"),1.0)</f>
        <v>1</v>
      </c>
      <c r="O536" s="169">
        <v>1.0</v>
      </c>
      <c r="P536" s="134">
        <v>1.0</v>
      </c>
      <c r="Q536" s="135" t="str">
        <f t="shared" ref="Q536:Q538" si="399">M536*N536*O536*P536</f>
        <v>#REF!</v>
      </c>
      <c r="R536" s="136" t="str">
        <f>IFERROR(
  IF(B536="", "", VLOOKUP(B536, Data!$B$2:$K$905, 9, FALSE)),
  ""
)</f>
        <v/>
      </c>
      <c r="S536" s="152" t="str">
        <f t="shared" ref="S536:S538" si="400">R536*Q536</f>
        <v>#REF!</v>
      </c>
      <c r="T536" s="690"/>
      <c r="U536" s="136" t="str">
        <f>IFERROR(
  IF(B536="", "", VLOOKUP(B536, Data!$B$2:$K$905, 10, FALSE)),
  ""
)
</f>
        <v/>
      </c>
      <c r="V536" s="691"/>
      <c r="W536" s="140" t="str">
        <f t="shared" ref="W536:W538" si="401">U536*Q536</f>
        <v>#REF!</v>
      </c>
      <c r="X536" s="692"/>
      <c r="Y536" s="693"/>
      <c r="Z536" s="694"/>
      <c r="AA536" s="695"/>
      <c r="AB536" s="354" t="str">
        <f t="shared" si="397"/>
        <v>#REF!</v>
      </c>
      <c r="AC536" s="181"/>
      <c r="AD536" s="625"/>
      <c r="AE536" s="626"/>
      <c r="AF536" s="696"/>
      <c r="AG536" s="697"/>
      <c r="AH536" s="629"/>
      <c r="AI536" s="187"/>
      <c r="AJ536" s="630"/>
      <c r="AK536" s="630"/>
      <c r="AL536" s="595"/>
      <c r="AM536" s="595"/>
      <c r="AN536" s="595"/>
      <c r="AO536" s="595"/>
      <c r="AP536" s="595"/>
      <c r="AQ536" s="595"/>
      <c r="AR536" s="595"/>
      <c r="AS536" s="595"/>
      <c r="AT536" s="595"/>
      <c r="AU536" s="595"/>
      <c r="AV536" s="595"/>
      <c r="AW536" s="595"/>
      <c r="AX536" s="595"/>
      <c r="AY536" s="595"/>
      <c r="AZ536" s="595"/>
      <c r="BA536" s="595"/>
      <c r="BB536" s="595"/>
      <c r="BC536" s="595"/>
      <c r="BD536" s="595"/>
      <c r="BE536" s="595"/>
      <c r="BF536" s="595"/>
      <c r="BG536" s="595"/>
      <c r="BH536" s="595"/>
      <c r="BI536" s="651"/>
      <c r="BJ536" s="651"/>
      <c r="BK536" s="651"/>
      <c r="BL536" s="651"/>
      <c r="BM536" s="651"/>
      <c r="BN536" s="651"/>
      <c r="BO536" s="651"/>
      <c r="BP536" s="651"/>
      <c r="BQ536" s="651"/>
      <c r="BR536" s="651"/>
      <c r="BS536" s="651"/>
      <c r="BT536" s="651"/>
    </row>
    <row r="537">
      <c r="A537" s="631"/>
      <c r="B537" s="765" t="s">
        <v>430</v>
      </c>
      <c r="C537" s="698" t="s">
        <v>431</v>
      </c>
      <c r="D537" s="686" t="s">
        <v>548</v>
      </c>
      <c r="E537" s="687">
        <v>1.2</v>
      </c>
      <c r="F537" s="699"/>
      <c r="G537" s="700"/>
      <c r="H537" s="700" t="str">
        <f>IFERROR(__xludf.DUMMYFUNCTION("IFERROR(REGEXEXTRACT(C537, ""(\d*\.\d+)mm""), """")"),"")</f>
        <v/>
      </c>
      <c r="I537" s="704"/>
      <c r="J537" s="126" t="s">
        <v>87</v>
      </c>
      <c r="K537" s="126" t="str">
        <f>IFERROR(
  IF(B537="", "", VLOOKUP(B537, Data!$B$2:$K$905, 7, FALSE)),
  ""
)</f>
        <v/>
      </c>
      <c r="L537" s="704"/>
      <c r="M537" s="150">
        <f>roundup(L536/E537,0)+1</f>
        <v>2548</v>
      </c>
      <c r="N537" s="151">
        <f t="shared" ref="N537:N538" si="402">N536</f>
        <v>1</v>
      </c>
      <c r="O537" s="169">
        <v>1.0</v>
      </c>
      <c r="P537" s="134">
        <v>1.0</v>
      </c>
      <c r="Q537" s="135">
        <f t="shared" si="399"/>
        <v>2548</v>
      </c>
      <c r="R537" s="136" t="str">
        <f>IFERROR(
  IF(B537="", "", VLOOKUP(B537, Data!$B$2:$K$905, 9, FALSE)),
  ""
)</f>
        <v/>
      </c>
      <c r="S537" s="152">
        <f t="shared" si="400"/>
        <v>0</v>
      </c>
      <c r="T537" s="690"/>
      <c r="U537" s="136" t="str">
        <f>IFERROR(
  IF(B537="", "", VLOOKUP(B537, Data!$B$2:$K$905, 10, FALSE)),
  ""
)
</f>
        <v/>
      </c>
      <c r="V537" s="691"/>
      <c r="W537" s="140">
        <f t="shared" si="401"/>
        <v>0</v>
      </c>
      <c r="X537" s="692"/>
      <c r="Y537" s="693"/>
      <c r="Z537" s="694"/>
      <c r="AA537" s="695"/>
      <c r="AB537" s="354">
        <f t="shared" si="397"/>
        <v>0</v>
      </c>
      <c r="AC537" s="181"/>
      <c r="AD537" s="625"/>
      <c r="AE537" s="626"/>
      <c r="AF537" s="696"/>
      <c r="AG537" s="697"/>
      <c r="AH537" s="629"/>
      <c r="AI537" s="187"/>
      <c r="AJ537" s="630"/>
      <c r="AK537" s="630"/>
      <c r="AL537" s="595"/>
      <c r="AM537" s="595"/>
      <c r="AN537" s="595"/>
      <c r="AO537" s="595"/>
      <c r="AP537" s="595"/>
      <c r="AQ537" s="595"/>
      <c r="AR537" s="595"/>
      <c r="AS537" s="595"/>
      <c r="AT537" s="595"/>
      <c r="AU537" s="595"/>
      <c r="AV537" s="595"/>
      <c r="AW537" s="595"/>
      <c r="AX537" s="595"/>
      <c r="AY537" s="595"/>
      <c r="AZ537" s="595"/>
      <c r="BA537" s="595"/>
      <c r="BB537" s="595"/>
      <c r="BC537" s="595"/>
      <c r="BD537" s="595"/>
      <c r="BE537" s="595"/>
      <c r="BF537" s="595"/>
      <c r="BG537" s="595"/>
      <c r="BH537" s="595"/>
      <c r="BI537" s="651"/>
      <c r="BJ537" s="651"/>
      <c r="BK537" s="651"/>
      <c r="BL537" s="651"/>
      <c r="BM537" s="651"/>
      <c r="BN537" s="651"/>
      <c r="BO537" s="651"/>
      <c r="BP537" s="651"/>
      <c r="BQ537" s="651"/>
      <c r="BR537" s="651"/>
      <c r="BS537" s="651"/>
      <c r="BT537" s="651"/>
    </row>
    <row r="538">
      <c r="A538" s="631"/>
      <c r="B538" s="765" t="s">
        <v>433</v>
      </c>
      <c r="C538" s="702" t="s">
        <v>434</v>
      </c>
      <c r="D538" s="686" t="s">
        <v>153</v>
      </c>
      <c r="E538" s="722"/>
      <c r="F538" s="699"/>
      <c r="G538" s="700"/>
      <c r="H538" s="700"/>
      <c r="I538" s="704"/>
      <c r="J538" s="126" t="s">
        <v>87</v>
      </c>
      <c r="K538" s="126" t="str">
        <f>IFERROR(
  IF(B538="", "", VLOOKUP(B538, Data!$B$2:$K$905, 7, FALSE)),
  ""
)</f>
        <v/>
      </c>
      <c r="L538" s="704"/>
      <c r="M538" s="150">
        <f>M537*2</f>
        <v>5096</v>
      </c>
      <c r="N538" s="151">
        <f t="shared" si="402"/>
        <v>1</v>
      </c>
      <c r="O538" s="169">
        <v>1.0</v>
      </c>
      <c r="P538" s="134">
        <v>1.0</v>
      </c>
      <c r="Q538" s="135">
        <f t="shared" si="399"/>
        <v>5096</v>
      </c>
      <c r="R538" s="136" t="str">
        <f>IFERROR(
  IF(B538="", "", VLOOKUP(B538, Data!$B$2:$K$905, 9, FALSE)),
  ""
)</f>
        <v/>
      </c>
      <c r="S538" s="152">
        <f t="shared" si="400"/>
        <v>0</v>
      </c>
      <c r="T538" s="690"/>
      <c r="U538" s="136" t="str">
        <f>IFERROR(
  IF(B538="", "", VLOOKUP(B538, Data!$B$2:$K$905, 10, FALSE)),
  ""
)
</f>
        <v/>
      </c>
      <c r="V538" s="691"/>
      <c r="W538" s="140">
        <f t="shared" si="401"/>
        <v>0</v>
      </c>
      <c r="X538" s="692"/>
      <c r="Y538" s="693"/>
      <c r="Z538" s="694"/>
      <c r="AA538" s="695"/>
      <c r="AB538" s="354">
        <f t="shared" si="397"/>
        <v>0</v>
      </c>
      <c r="AC538" s="181"/>
      <c r="AD538" s="625"/>
      <c r="AE538" s="626"/>
      <c r="AF538" s="696"/>
      <c r="AG538" s="697"/>
      <c r="AH538" s="629"/>
      <c r="AI538" s="187"/>
      <c r="AJ538" s="630"/>
      <c r="AK538" s="630"/>
      <c r="AL538" s="595"/>
      <c r="AM538" s="595"/>
      <c r="AN538" s="595"/>
      <c r="AO538" s="595"/>
      <c r="AP538" s="595"/>
      <c r="AQ538" s="595"/>
      <c r="AR538" s="595"/>
      <c r="AS538" s="595"/>
      <c r="AT538" s="595"/>
      <c r="AU538" s="595"/>
      <c r="AV538" s="595"/>
      <c r="AW538" s="595"/>
      <c r="AX538" s="595"/>
      <c r="AY538" s="595"/>
      <c r="AZ538" s="595"/>
      <c r="BA538" s="595"/>
      <c r="BB538" s="595"/>
      <c r="BC538" s="595"/>
      <c r="BD538" s="595"/>
      <c r="BE538" s="595"/>
      <c r="BF538" s="595"/>
      <c r="BG538" s="595"/>
      <c r="BH538" s="595"/>
      <c r="BI538" s="651"/>
      <c r="BJ538" s="651"/>
      <c r="BK538" s="651"/>
      <c r="BL538" s="651"/>
      <c r="BM538" s="651"/>
      <c r="BN538" s="651"/>
      <c r="BO538" s="651"/>
      <c r="BP538" s="651"/>
      <c r="BQ538" s="651"/>
      <c r="BR538" s="651"/>
      <c r="BS538" s="651"/>
      <c r="BT538" s="651"/>
    </row>
    <row r="539">
      <c r="A539" s="631"/>
      <c r="B539" s="765"/>
      <c r="C539" s="702"/>
      <c r="D539" s="148"/>
      <c r="E539" s="722"/>
      <c r="F539" s="699"/>
      <c r="G539" s="700"/>
      <c r="H539" s="700"/>
      <c r="I539" s="704"/>
      <c r="J539" s="126"/>
      <c r="K539" s="126"/>
      <c r="L539" s="704"/>
      <c r="M539" s="150"/>
      <c r="N539" s="151"/>
      <c r="O539" s="169"/>
      <c r="P539" s="134"/>
      <c r="Q539" s="135"/>
      <c r="R539" s="136" t="str">
        <f>IFERROR(
  IF(B539="", "", VLOOKUP(B539, Data!$B$2:$K$905, 9, FALSE)),
  ""
)</f>
        <v/>
      </c>
      <c r="S539" s="152"/>
      <c r="T539" s="690"/>
      <c r="U539" s="136" t="str">
        <f>IFERROR(
  IF(B539="", "", VLOOKUP(B539, Data!$B$2:$K$905, 10, FALSE)),
  ""
)
</f>
        <v/>
      </c>
      <c r="V539" s="691"/>
      <c r="W539" s="140"/>
      <c r="X539" s="692"/>
      <c r="Y539" s="693"/>
      <c r="Z539" s="694"/>
      <c r="AA539" s="695"/>
      <c r="AB539" s="354">
        <f t="shared" si="397"/>
        <v>0</v>
      </c>
      <c r="AC539" s="181"/>
      <c r="AD539" s="705"/>
      <c r="AE539" s="706"/>
      <c r="AF539" s="707"/>
      <c r="AG539" s="708"/>
      <c r="AH539" s="709"/>
      <c r="AI539" s="187"/>
      <c r="AJ539" s="710"/>
      <c r="AK539" s="710"/>
      <c r="AL539" s="595"/>
      <c r="AM539" s="595"/>
      <c r="AN539" s="595"/>
      <c r="AO539" s="595"/>
      <c r="AP539" s="595"/>
      <c r="AQ539" s="595"/>
      <c r="AR539" s="595"/>
      <c r="AS539" s="595"/>
      <c r="AT539" s="595"/>
      <c r="AU539" s="595"/>
      <c r="AV539" s="595"/>
      <c r="AW539" s="595"/>
      <c r="AX539" s="595"/>
      <c r="AY539" s="595"/>
      <c r="AZ539" s="595"/>
      <c r="BA539" s="595"/>
      <c r="BB539" s="595"/>
      <c r="BC539" s="595"/>
      <c r="BD539" s="595"/>
      <c r="BE539" s="595"/>
      <c r="BF539" s="595"/>
      <c r="BG539" s="595"/>
      <c r="BH539" s="595"/>
      <c r="BI539" s="651"/>
      <c r="BJ539" s="651"/>
      <c r="BK539" s="651"/>
      <c r="BL539" s="651"/>
      <c r="BM539" s="651"/>
      <c r="BN539" s="651"/>
      <c r="BO539" s="651"/>
      <c r="BP539" s="651"/>
      <c r="BQ539" s="651"/>
      <c r="BR539" s="651"/>
      <c r="BS539" s="651"/>
      <c r="BT539" s="651"/>
    </row>
    <row r="540">
      <c r="A540" s="631"/>
      <c r="B540" s="765" t="s">
        <v>545</v>
      </c>
      <c r="C540" s="123" t="s">
        <v>550</v>
      </c>
      <c r="D540" s="686" t="s">
        <v>149</v>
      </c>
      <c r="E540" s="687" t="str">
        <f>IFERROR(__xludf.DUMMYFUNCTION("IF($B$15:$B1413="""","""",
  VLOOKUP(
    $B$15:$B1413,
    QUERY(
      IMPORTRANGE(""1Ag27m9YF5mMfJh2E6NipJDFvPLlDI1p-s_1XEnzMHcc"",""Merge!F2:R""),
      ""select Col1, Col11"",
      0
    ),
    2,
    FALSE
  )
)
"),"#REF!")</f>
        <v>#REF!</v>
      </c>
      <c r="F540" s="699"/>
      <c r="G540" s="149" t="s">
        <v>547</v>
      </c>
      <c r="H540" s="128" t="str">
        <f>IFERROR(__xludf.DUMMYFUNCTION("IFERROR(REGEXEXTRACT(C540, ""(\d*\.\d+)mm""), """")"),"0.55")</f>
        <v>0.55</v>
      </c>
      <c r="I540" s="704"/>
      <c r="J540" s="126" t="s">
        <v>14</v>
      </c>
      <c r="K540" s="126" t="str">
        <f>IFERROR(
  IF(B540="", "", VLOOKUP(B540, Data!$B$2:$K$905, 7, FALSE)),
  ""
)</f>
        <v/>
      </c>
      <c r="L540" s="135">
        <f>83.38</f>
        <v>83.38</v>
      </c>
      <c r="M540" s="150" t="str">
        <f>L540*E540</f>
        <v>#REF!</v>
      </c>
      <c r="N540" s="151">
        <f>IFERROR(__xludf.DUMMYFUNCTION("IF(B540="""", """", IFERROR(1 / COS(RADIANS(REGEXEXTRACT(F540,""(\d+)""))), 1))"),1.0)</f>
        <v>1</v>
      </c>
      <c r="O540" s="169">
        <v>1.0</v>
      </c>
      <c r="P540" s="134">
        <v>1.0</v>
      </c>
      <c r="Q540" s="135" t="str">
        <f t="shared" ref="Q540:Q542" si="403">M540*N540*O540*P540</f>
        <v>#REF!</v>
      </c>
      <c r="R540" s="136" t="str">
        <f>IFERROR(
  IF(B540="", "", VLOOKUP(B540, Data!$B$2:$K$905, 9, FALSE)),
  ""
)</f>
        <v/>
      </c>
      <c r="S540" s="152" t="str">
        <f t="shared" ref="S540:S542" si="404">R540*Q540</f>
        <v>#REF!</v>
      </c>
      <c r="T540" s="690"/>
      <c r="U540" s="136" t="str">
        <f>IFERROR(
  IF(B540="", "", VLOOKUP(B540, Data!$B$2:$K$905, 10, FALSE)),
  ""
)
</f>
        <v/>
      </c>
      <c r="V540" s="691"/>
      <c r="W540" s="140" t="str">
        <f t="shared" ref="W540:W542" si="405">U540*Q540</f>
        <v>#REF!</v>
      </c>
      <c r="X540" s="692"/>
      <c r="Y540" s="693"/>
      <c r="Z540" s="694"/>
      <c r="AA540" s="695"/>
      <c r="AB540" s="354" t="str">
        <f t="shared" si="397"/>
        <v>#REF!</v>
      </c>
      <c r="AC540" s="181"/>
      <c r="AD540" s="625"/>
      <c r="AE540" s="626"/>
      <c r="AF540" s="696"/>
      <c r="AG540" s="697"/>
      <c r="AH540" s="629"/>
      <c r="AI540" s="187"/>
      <c r="AJ540" s="630"/>
      <c r="AK540" s="630"/>
      <c r="AL540" s="595"/>
      <c r="AM540" s="595"/>
      <c r="AN540" s="595"/>
      <c r="AO540" s="595"/>
      <c r="AP540" s="595"/>
      <c r="AQ540" s="595"/>
      <c r="AR540" s="595"/>
      <c r="AS540" s="595"/>
      <c r="AT540" s="595"/>
      <c r="AU540" s="595"/>
      <c r="AV540" s="595"/>
      <c r="AW540" s="595"/>
      <c r="AX540" s="595"/>
      <c r="AY540" s="595"/>
      <c r="AZ540" s="595"/>
      <c r="BA540" s="595"/>
      <c r="BB540" s="595"/>
      <c r="BC540" s="595"/>
      <c r="BD540" s="595"/>
      <c r="BE540" s="595"/>
      <c r="BF540" s="595"/>
      <c r="BG540" s="595"/>
      <c r="BH540" s="595"/>
      <c r="BI540" s="651"/>
      <c r="BJ540" s="651"/>
      <c r="BK540" s="651"/>
      <c r="BL540" s="651"/>
      <c r="BM540" s="651"/>
      <c r="BN540" s="651"/>
      <c r="BO540" s="651"/>
      <c r="BP540" s="651"/>
      <c r="BQ540" s="651"/>
      <c r="BR540" s="651"/>
      <c r="BS540" s="651"/>
      <c r="BT540" s="651"/>
    </row>
    <row r="541">
      <c r="A541" s="631"/>
      <c r="B541" s="765" t="s">
        <v>430</v>
      </c>
      <c r="C541" s="698" t="s">
        <v>431</v>
      </c>
      <c r="D541" s="686" t="s">
        <v>548</v>
      </c>
      <c r="E541" s="687">
        <v>1.2</v>
      </c>
      <c r="F541" s="699"/>
      <c r="G541" s="700"/>
      <c r="H541" s="700" t="str">
        <f>IFERROR(__xludf.DUMMYFUNCTION("IFERROR(REGEXEXTRACT(C541, ""(\d*\.\d+)mm""), """")"),"")</f>
        <v/>
      </c>
      <c r="I541" s="704"/>
      <c r="J541" s="126" t="s">
        <v>87</v>
      </c>
      <c r="K541" s="126" t="str">
        <f>IFERROR(
  IF(B541="", "", VLOOKUP(B541, Data!$B$2:$K$905, 7, FALSE)),
  ""
)</f>
        <v/>
      </c>
      <c r="L541" s="704"/>
      <c r="M541" s="150">
        <f>roundup(L540/E541,0)+1</f>
        <v>71</v>
      </c>
      <c r="N541" s="151">
        <f t="shared" ref="N541:N542" si="406">N540</f>
        <v>1</v>
      </c>
      <c r="O541" s="169">
        <v>1.0</v>
      </c>
      <c r="P541" s="134">
        <v>1.0</v>
      </c>
      <c r="Q541" s="135">
        <f t="shared" si="403"/>
        <v>71</v>
      </c>
      <c r="R541" s="136" t="str">
        <f>IFERROR(
  IF(B541="", "", VLOOKUP(B541, Data!$B$2:$K$905, 9, FALSE)),
  ""
)</f>
        <v/>
      </c>
      <c r="S541" s="152">
        <f t="shared" si="404"/>
        <v>0</v>
      </c>
      <c r="T541" s="690"/>
      <c r="U541" s="136" t="str">
        <f>IFERROR(
  IF(B541="", "", VLOOKUP(B541, Data!$B$2:$K$905, 10, FALSE)),
  ""
)
</f>
        <v/>
      </c>
      <c r="V541" s="691"/>
      <c r="W541" s="140">
        <f t="shared" si="405"/>
        <v>0</v>
      </c>
      <c r="X541" s="692"/>
      <c r="Y541" s="693"/>
      <c r="Z541" s="694"/>
      <c r="AA541" s="695"/>
      <c r="AB541" s="354">
        <f t="shared" si="397"/>
        <v>0</v>
      </c>
      <c r="AC541" s="181"/>
      <c r="AD541" s="625"/>
      <c r="AE541" s="626"/>
      <c r="AF541" s="696"/>
      <c r="AG541" s="697"/>
      <c r="AH541" s="629"/>
      <c r="AI541" s="187"/>
      <c r="AJ541" s="630"/>
      <c r="AK541" s="630"/>
      <c r="AL541" s="595"/>
      <c r="AM541" s="595"/>
      <c r="AN541" s="595"/>
      <c r="AO541" s="595"/>
      <c r="AP541" s="595"/>
      <c r="AQ541" s="595"/>
      <c r="AR541" s="595"/>
      <c r="AS541" s="595"/>
      <c r="AT541" s="595"/>
      <c r="AU541" s="595"/>
      <c r="AV541" s="595"/>
      <c r="AW541" s="595"/>
      <c r="AX541" s="595"/>
      <c r="AY541" s="595"/>
      <c r="AZ541" s="595"/>
      <c r="BA541" s="595"/>
      <c r="BB541" s="595"/>
      <c r="BC541" s="595"/>
      <c r="BD541" s="595"/>
      <c r="BE541" s="595"/>
      <c r="BF541" s="595"/>
      <c r="BG541" s="595"/>
      <c r="BH541" s="595"/>
      <c r="BI541" s="651"/>
      <c r="BJ541" s="651"/>
      <c r="BK541" s="651"/>
      <c r="BL541" s="651"/>
      <c r="BM541" s="651"/>
      <c r="BN541" s="651"/>
      <c r="BO541" s="651"/>
      <c r="BP541" s="651"/>
      <c r="BQ541" s="651"/>
      <c r="BR541" s="651"/>
      <c r="BS541" s="651"/>
      <c r="BT541" s="651"/>
    </row>
    <row r="542">
      <c r="A542" s="631"/>
      <c r="B542" s="765" t="s">
        <v>433</v>
      </c>
      <c r="C542" s="702" t="s">
        <v>434</v>
      </c>
      <c r="D542" s="686" t="s">
        <v>153</v>
      </c>
      <c r="E542" s="722"/>
      <c r="F542" s="699"/>
      <c r="G542" s="700"/>
      <c r="H542" s="700"/>
      <c r="I542" s="704"/>
      <c r="J542" s="126" t="s">
        <v>87</v>
      </c>
      <c r="K542" s="126" t="str">
        <f>IFERROR(
  IF(B542="", "", VLOOKUP(B542, Data!$B$2:$K$905, 7, FALSE)),
  ""
)</f>
        <v/>
      </c>
      <c r="L542" s="704"/>
      <c r="M542" s="150">
        <f>M541*2</f>
        <v>142</v>
      </c>
      <c r="N542" s="151">
        <f t="shared" si="406"/>
        <v>1</v>
      </c>
      <c r="O542" s="169">
        <v>1.0</v>
      </c>
      <c r="P542" s="134">
        <v>1.0</v>
      </c>
      <c r="Q542" s="135">
        <f t="shared" si="403"/>
        <v>142</v>
      </c>
      <c r="R542" s="136" t="str">
        <f>IFERROR(
  IF(B542="", "", VLOOKUP(B542, Data!$B$2:$K$905, 9, FALSE)),
  ""
)</f>
        <v/>
      </c>
      <c r="S542" s="152">
        <f t="shared" si="404"/>
        <v>0</v>
      </c>
      <c r="T542" s="690"/>
      <c r="U542" s="136" t="str">
        <f>IFERROR(
  IF(B542="", "", VLOOKUP(B542, Data!$B$2:$K$905, 10, FALSE)),
  ""
)
</f>
        <v/>
      </c>
      <c r="V542" s="691"/>
      <c r="W542" s="140">
        <f t="shared" si="405"/>
        <v>0</v>
      </c>
      <c r="X542" s="692"/>
      <c r="Y542" s="693"/>
      <c r="Z542" s="694"/>
      <c r="AA542" s="695"/>
      <c r="AB542" s="354">
        <f t="shared" si="397"/>
        <v>0</v>
      </c>
      <c r="AC542" s="181"/>
      <c r="AD542" s="625"/>
      <c r="AE542" s="626"/>
      <c r="AF542" s="696"/>
      <c r="AG542" s="697"/>
      <c r="AH542" s="629"/>
      <c r="AI542" s="187"/>
      <c r="AJ542" s="630"/>
      <c r="AK542" s="630"/>
      <c r="AL542" s="595"/>
      <c r="AM542" s="595"/>
      <c r="AN542" s="595"/>
      <c r="AO542" s="595"/>
      <c r="AP542" s="595"/>
      <c r="AQ542" s="595"/>
      <c r="AR542" s="595"/>
      <c r="AS542" s="595"/>
      <c r="AT542" s="595"/>
      <c r="AU542" s="595"/>
      <c r="AV542" s="595"/>
      <c r="AW542" s="595"/>
      <c r="AX542" s="595"/>
      <c r="AY542" s="595"/>
      <c r="AZ542" s="595"/>
      <c r="BA542" s="595"/>
      <c r="BB542" s="595"/>
      <c r="BC542" s="595"/>
      <c r="BD542" s="595"/>
      <c r="BE542" s="595"/>
      <c r="BF542" s="595"/>
      <c r="BG542" s="595"/>
      <c r="BH542" s="595"/>
      <c r="BI542" s="651"/>
      <c r="BJ542" s="651"/>
      <c r="BK542" s="651"/>
      <c r="BL542" s="651"/>
      <c r="BM542" s="651"/>
      <c r="BN542" s="651"/>
      <c r="BO542" s="651"/>
      <c r="BP542" s="651"/>
      <c r="BQ542" s="651"/>
      <c r="BR542" s="651"/>
      <c r="BS542" s="651"/>
      <c r="BT542" s="651"/>
    </row>
    <row r="543">
      <c r="A543" s="631"/>
      <c r="B543" s="765"/>
      <c r="C543" s="123"/>
      <c r="D543" s="148"/>
      <c r="E543" s="687"/>
      <c r="F543" s="699"/>
      <c r="G543" s="149"/>
      <c r="H543" s="128"/>
      <c r="I543" s="704"/>
      <c r="J543" s="126"/>
      <c r="K543" s="126"/>
      <c r="L543" s="135"/>
      <c r="M543" s="150"/>
      <c r="N543" s="151"/>
      <c r="O543" s="169"/>
      <c r="P543" s="134"/>
      <c r="Q543" s="135"/>
      <c r="R543" s="136" t="str">
        <f>IFERROR(
  IF(B543="", "", VLOOKUP(B543, Data!$B$2:$K$905, 9, FALSE)),
  ""
)</f>
        <v/>
      </c>
      <c r="S543" s="152"/>
      <c r="T543" s="690"/>
      <c r="U543" s="136" t="str">
        <f>IFERROR(
  IF(B543="", "", VLOOKUP(B543, Data!$B$2:$K$905, 10, FALSE)),
  ""
)
</f>
        <v/>
      </c>
      <c r="V543" s="691"/>
      <c r="W543" s="140"/>
      <c r="X543" s="692"/>
      <c r="Y543" s="693"/>
      <c r="Z543" s="694"/>
      <c r="AA543" s="695"/>
      <c r="AB543" s="354"/>
      <c r="AC543" s="181"/>
      <c r="AD543" s="625"/>
      <c r="AE543" s="626"/>
      <c r="AF543" s="696"/>
      <c r="AG543" s="697"/>
      <c r="AH543" s="629"/>
      <c r="AI543" s="187"/>
      <c r="AJ543" s="630"/>
      <c r="AK543" s="630"/>
      <c r="AL543" s="595"/>
      <c r="AM543" s="595"/>
      <c r="AN543" s="595"/>
      <c r="AO543" s="595"/>
      <c r="AP543" s="595"/>
      <c r="AQ543" s="595"/>
      <c r="AR543" s="595"/>
      <c r="AS543" s="595"/>
      <c r="AT543" s="595"/>
      <c r="AU543" s="595"/>
      <c r="AV543" s="595"/>
      <c r="AW543" s="595"/>
      <c r="AX543" s="595"/>
      <c r="AY543" s="595"/>
      <c r="AZ543" s="595"/>
      <c r="BA543" s="595"/>
      <c r="BB543" s="595"/>
      <c r="BC543" s="595"/>
      <c r="BD543" s="595"/>
      <c r="BE543" s="595"/>
      <c r="BF543" s="595"/>
      <c r="BG543" s="595"/>
      <c r="BH543" s="595"/>
      <c r="BI543" s="651"/>
      <c r="BJ543" s="651"/>
      <c r="BK543" s="651"/>
      <c r="BL543" s="651"/>
      <c r="BM543" s="651"/>
      <c r="BN543" s="651"/>
      <c r="BO543" s="651"/>
      <c r="BP543" s="651"/>
      <c r="BQ543" s="651"/>
      <c r="BR543" s="651"/>
      <c r="BS543" s="651"/>
      <c r="BT543" s="651"/>
    </row>
    <row r="544">
      <c r="A544" s="631"/>
      <c r="B544" s="154" t="str">
        <f>IFERROR(__xludf.DUMMYFUNCTION("IFERROR(
  IF(C544="""","""",
    IF(OR(REGEXMATCH(D544,""(?i)-Flashing""), REGEXMATCH(D544,""(?i)-EavesGut""), REGEXMATCH(D544,""(?i)Valley"")),
        ""DR"" &amp;
        TEXT(
            ROUNDUP(
                MIN(
                    VALUE(MID(C544, "&amp;"FIND(""("",C544)+1, FIND(""/"",C544)-FIND(""("",C544)-1)),
                    1200
                ) / 50, 0
            ) * 50, ""0""
        ) &amp;
        MID(C544, FIND(""/"",C544)+1, FIND("")"",C544)-FIND(""/"",C544)-1) &amp;
        TEXT(H544*100,""0"") &amp;"&amp;"
        I544,
    IF(AND(D544=""Roof Sheet"", REGEXMATCH(C544,""(?i)KS\d{4}[A-Z]{2}"")),
       REGEXEXTRACT(C544,""(?i)KS\d{4}[A-Z]{2}""),
    IF(AND(REGEXMATCH(D544,""(?i)-DP""), REGEXMATCH(C544,""(?i)Downpipe"")),
       ""dp"" &amp; REGEXEXTRACT(C544,""("&amp;"\d+)"") &amp; ""mm"",
    IF(AND(REGEXMATCH(D544,""(?i)Bracket""), REGEXMATCH(C544,""(?i)Bracket"")),
       ""Brkt"" &amp; REGEXEXTRACT(C544,""(\d+)"") &amp; ""mm"",
    IF(AND(REGEXMATCH(D544,""(?i)-OP""), REGEXMATCH(C544,""(?i)pops"")),
       ""op"" &amp; REGEXEXTRAC"&amp;"T(C544,""(\d+)"") &amp; ""mm"",
    IF(OR(D544=""R-FFTop"", D544=""R-FFBottom"", D544=""R-FFSide""),
        IF(REGEXMATCH(C544,""(?i)Profiled.*Top|Top.*Profiled""),""pfft"",
        IF(REGEXMATCH(C544,""(?i)Profiled.*Bottom|Bottom.*Profiled""),""pffb"",
    "&amp;"    IF(REGEXMATCH(C544,""(?i)Square""),""sff"",""""))),
    IF(OR(D544=""W-FFTop"", D544=""W-FFBottom"", D544=""W-FFSide""),
        IF(REGEXMATCH(C544,""(?i)Profiled.*Top|Top.*Profiled""),""pfft"",
        IF(REGEXMATCH(C544,""(?i)Profiled.*Bottom|Bottom"&amp;".*Profiled""),""pffb"",
        IF(REGEXMATCH(C544,""(?i)Square""),""sff"",""""))),
    IF(REGEXMATCH(D544,""(?i)-Rivets""),""Rvt"",
    IF(REGEXMATCH(D544,""(?i)Silicone""),""300ml"",
    IF(REGEXMATCH(D544,""(?i)R-Butyl""),""300ml"",
    IF(REGEXMATCH(D"&amp;"544,""(?i)Fix""),""GenFix"",
    IF(AND(REGEXMATCH(C544,""(?i)Timber""), REGEXMATCH(D544,""(?i)Timber"")),""tp"",
    IF(AND(REGEXMATCH(C544,""(?i)Vent G1275""), REGEXMATCH(D544,""(?i)Comb FIller"")),""CFV1275"",
    IF(REGEXMATCH(C544,""(?i)DPC""),""dpc"&amp;""",
    IF(REGEXMATCH(C544,""(?i)Concealed Clips""),""ConClips"",
    IF(REGEXMATCH(D544,""(?i)-Takeoff ea""),""Takeoff ea"",
    IF(REGEXMATCH(D544,""(?i)-Takeoff LM""),""Takeoff LM"",
    IF(REGEXMATCH(D544,""(?i)-Takeoff m2""),""Takeoff m2"",
    IF(D5"&amp;"44=""R-TU/TD"",""TU/TD"",
    IF(D544=""W-TU/TD"",""TU/TD"","""")))))))))))))))))
  )))))"),"pfft")</f>
        <v>pfft</v>
      </c>
      <c r="C544" s="123" t="s">
        <v>104</v>
      </c>
      <c r="D544" s="148" t="s">
        <v>335</v>
      </c>
      <c r="E544" s="687"/>
      <c r="F544" s="699"/>
      <c r="G544" s="149"/>
      <c r="H544" s="128"/>
      <c r="I544" s="704"/>
      <c r="J544" s="126" t="s">
        <v>87</v>
      </c>
      <c r="K544" s="126" t="str">
        <f>IFERROR(
  IF(B544="", "", VLOOKUP(B544, Data!$B$2:$K$905, 7, FALSE)),
  ""
)</f>
        <v/>
      </c>
      <c r="L544" s="135"/>
      <c r="M544" s="150">
        <v>425.9</v>
      </c>
      <c r="N544" s="151">
        <f>IFERROR(__xludf.DUMMYFUNCTION("IF(B544="""", """", IFERROR(1 / COS(RADIANS(REGEXEXTRACT(F544,""(\d+)""))), 1))"),1.0)</f>
        <v>1</v>
      </c>
      <c r="O544" s="169">
        <v>1.0</v>
      </c>
      <c r="P544" s="156">
        <v>1.0</v>
      </c>
      <c r="Q544" s="135">
        <f t="shared" ref="Q544:Q545" si="407">M544*N544*O544*P544</f>
        <v>425.9</v>
      </c>
      <c r="R544" s="136" t="str">
        <f>IFERROR(
  IF(B544="", "", VLOOKUP(B544, Data!$B$2:$K$905, 9, FALSE)),
  ""
)</f>
        <v/>
      </c>
      <c r="S544" s="152">
        <f t="shared" ref="S544:S545" si="408">R544*Q544</f>
        <v>0</v>
      </c>
      <c r="T544" s="690"/>
      <c r="U544" s="136" t="str">
        <f>IFERROR(
  IF(B544="", "", VLOOKUP(B544, Data!$B$2:$K$905, 10, FALSE)),
  ""
)
</f>
        <v/>
      </c>
      <c r="V544" s="691"/>
      <c r="W544" s="140">
        <f t="shared" ref="W544:W545" si="409">U544*Q544</f>
        <v>0</v>
      </c>
      <c r="X544" s="692"/>
      <c r="Y544" s="693"/>
      <c r="Z544" s="694"/>
      <c r="AA544" s="695"/>
      <c r="AB544" s="354">
        <f t="shared" ref="AB544:AB545" si="410">W544+S544</f>
        <v>0</v>
      </c>
      <c r="AC544" s="181"/>
      <c r="AD544" s="625"/>
      <c r="AE544" s="626"/>
      <c r="AF544" s="696"/>
      <c r="AG544" s="697"/>
      <c r="AH544" s="629"/>
      <c r="AI544" s="187"/>
      <c r="AJ544" s="630"/>
      <c r="AK544" s="630"/>
      <c r="AL544" s="595"/>
      <c r="AM544" s="595"/>
      <c r="AN544" s="595"/>
      <c r="AO544" s="595"/>
      <c r="AP544" s="595"/>
      <c r="AQ544" s="595"/>
      <c r="AR544" s="595"/>
      <c r="AS544" s="595"/>
      <c r="AT544" s="595"/>
      <c r="AU544" s="595"/>
      <c r="AV544" s="595"/>
      <c r="AW544" s="595"/>
      <c r="AX544" s="595"/>
      <c r="AY544" s="595"/>
      <c r="AZ544" s="595"/>
      <c r="BA544" s="595"/>
      <c r="BB544" s="595"/>
      <c r="BC544" s="595"/>
      <c r="BD544" s="595"/>
      <c r="BE544" s="595"/>
      <c r="BF544" s="595"/>
      <c r="BG544" s="595"/>
      <c r="BH544" s="595"/>
      <c r="BI544" s="651"/>
      <c r="BJ544" s="651"/>
      <c r="BK544" s="651"/>
      <c r="BL544" s="651"/>
      <c r="BM544" s="651"/>
      <c r="BN544" s="651"/>
      <c r="BO544" s="651"/>
      <c r="BP544" s="651"/>
      <c r="BQ544" s="651"/>
      <c r="BR544" s="651"/>
      <c r="BS544" s="651"/>
      <c r="BT544" s="651"/>
    </row>
    <row r="545">
      <c r="A545" s="631"/>
      <c r="B545" s="154" t="str">
        <f>IFERROR(__xludf.DUMMYFUNCTION("IFERROR(
  IF(C545="""","""",
    IF(OR(REGEXMATCH(D545,""(?i)-Flashing""), REGEXMATCH(D545,""(?i)-EavesGut""), REGEXMATCH(D545,""(?i)Valley"")),
        ""DR"" &amp;
        TEXT(
            ROUNDUP(
                MIN(
                    VALUE(MID(C545, "&amp;"FIND(""("",C545)+1, FIND(""/"",C545)-FIND(""("",C545)-1)),
                    1200
                ) / 50, 0
            ) * 50, ""0""
        ) &amp;
        MID(C545, FIND(""/"",C545)+1, FIND("")"",C545)-FIND(""/"",C545)-1) &amp;
        TEXT(H545*100,""0"") &amp;"&amp;"
        I545,
    IF(AND(D545=""Roof Sheet"", REGEXMATCH(C545,""(?i)KS\d{4}[A-Z]{2}"")),
       REGEXEXTRACT(C545,""(?i)KS\d{4}[A-Z]{2}""),
    IF(AND(REGEXMATCH(D545,""(?i)-DP""), REGEXMATCH(C545,""(?i)Downpipe"")),
       ""dp"" &amp; REGEXEXTRACT(C545,""("&amp;"\d+)"") &amp; ""mm"",
    IF(AND(REGEXMATCH(D545,""(?i)Bracket""), REGEXMATCH(C545,""(?i)Bracket"")),
       ""Brkt"" &amp; REGEXEXTRACT(C545,""(\d+)"") &amp; ""mm"",
    IF(AND(REGEXMATCH(D545,""(?i)-OP""), REGEXMATCH(C545,""(?i)pops"")),
       ""op"" &amp; REGEXEXTRAC"&amp;"T(C545,""(\d+)"") &amp; ""mm"",
    IF(OR(D545=""R-FFTop"", D545=""R-FFBottom"", D545=""R-FFSide""),
        IF(REGEXMATCH(C545,""(?i)Profiled.*Top|Top.*Profiled""),""pfft"",
        IF(REGEXMATCH(C545,""(?i)Profiled.*Bottom|Bottom.*Profiled""),""pffb"",
    "&amp;"    IF(REGEXMATCH(C545,""(?i)Square""),""sff"",""""))),
    IF(OR(D545=""W-FFTop"", D545=""W-FFBottom"", D545=""W-FFSide""),
        IF(REGEXMATCH(C545,""(?i)Profiled.*Top|Top.*Profiled""),""pfft"",
        IF(REGEXMATCH(C545,""(?i)Profiled.*Bottom|Bottom"&amp;".*Profiled""),""pffb"",
        IF(REGEXMATCH(C545,""(?i)Square""),""sff"",""""))),
    IF(REGEXMATCH(D545,""(?i)-Rivets""),""Rvt"",
    IF(REGEXMATCH(D545,""(?i)Silicone""),""300ml"",
    IF(REGEXMATCH(D545,""(?i)R-Butyl""),""300ml"",
    IF(REGEXMATCH(D"&amp;"545,""(?i)Fix""),""GenFix"",
    IF(AND(REGEXMATCH(C545,""(?i)Timber""), REGEXMATCH(D545,""(?i)Timber"")),""tp"",
    IF(AND(REGEXMATCH(C545,""(?i)Vent G1275""), REGEXMATCH(D545,""(?i)Comb FIller"")),""CFV1275"",
    IF(REGEXMATCH(C545,""(?i)DPC""),""dpc"&amp;""",
    IF(REGEXMATCH(C545,""(?i)Concealed Clips""),""ConClips"",
    IF(REGEXMATCH(D545,""(?i)-Takeoff ea""),""Takeoff ea"",
    IF(REGEXMATCH(D545,""(?i)-Takeoff LM""),""Takeoff LM"",
    IF(REGEXMATCH(D545,""(?i)-Takeoff m2""),""Takeoff m2"",
    IF(D5"&amp;"45=""R-TU/TD"",""TU/TD"",
    IF(D545=""W-TU/TD"",""TU/TD"","""")))))))))))))))))
  )))))"),"TU/TD")</f>
        <v>TU/TD</v>
      </c>
      <c r="C545" s="123" t="s">
        <v>446</v>
      </c>
      <c r="D545" s="148" t="s">
        <v>355</v>
      </c>
      <c r="E545" s="687"/>
      <c r="F545" s="699"/>
      <c r="G545" s="149"/>
      <c r="H545" s="128"/>
      <c r="I545" s="704"/>
      <c r="J545" s="126" t="s">
        <v>87</v>
      </c>
      <c r="K545" s="126" t="str">
        <f>IFERROR(
  IF(B545="", "", VLOOKUP(B545, Data!$B$2:$K$905, 7, FALSE)),
  ""
)</f>
        <v/>
      </c>
      <c r="L545" s="135"/>
      <c r="M545" s="150">
        <f>M544</f>
        <v>425.9</v>
      </c>
      <c r="N545" s="151">
        <f>IFERROR(__xludf.DUMMYFUNCTION("IF(B545="""", """", IFERROR(1 / COS(RADIANS(REGEXEXTRACT(F545,""(\d+)""))), 1))"),1.0)</f>
        <v>1</v>
      </c>
      <c r="O545" s="169">
        <v>1.0</v>
      </c>
      <c r="P545" s="156">
        <v>1.0</v>
      </c>
      <c r="Q545" s="135">
        <f t="shared" si="407"/>
        <v>425.9</v>
      </c>
      <c r="R545" s="136" t="str">
        <f>IFERROR(
  IF(B545="", "", VLOOKUP(B545, Data!$B$2:$K$905, 9, FALSE)),
  ""
)</f>
        <v/>
      </c>
      <c r="S545" s="152">
        <f t="shared" si="408"/>
        <v>0</v>
      </c>
      <c r="T545" s="690"/>
      <c r="U545" s="136" t="str">
        <f>IFERROR(
  IF(B545="", "", VLOOKUP(B545, Data!$B$2:$K$905, 10, FALSE)),
  ""
)
</f>
        <v/>
      </c>
      <c r="V545" s="691"/>
      <c r="W545" s="140">
        <f t="shared" si="409"/>
        <v>0</v>
      </c>
      <c r="X545" s="692"/>
      <c r="Y545" s="693"/>
      <c r="Z545" s="694"/>
      <c r="AA545" s="695"/>
      <c r="AB545" s="354">
        <f t="shared" si="410"/>
        <v>0</v>
      </c>
      <c r="AC545" s="181"/>
      <c r="AD545" s="625"/>
      <c r="AE545" s="626"/>
      <c r="AF545" s="696"/>
      <c r="AG545" s="697"/>
      <c r="AH545" s="629"/>
      <c r="AI545" s="187"/>
      <c r="AJ545" s="630"/>
      <c r="AK545" s="630"/>
      <c r="AL545" s="595"/>
      <c r="AM545" s="595"/>
      <c r="AN545" s="595"/>
      <c r="AO545" s="595"/>
      <c r="AP545" s="595"/>
      <c r="AQ545" s="595"/>
      <c r="AR545" s="595"/>
      <c r="AS545" s="595"/>
      <c r="AT545" s="595"/>
      <c r="AU545" s="595"/>
      <c r="AV545" s="595"/>
      <c r="AW545" s="595"/>
      <c r="AX545" s="595"/>
      <c r="AY545" s="595"/>
      <c r="AZ545" s="595"/>
      <c r="BA545" s="595"/>
      <c r="BB545" s="595"/>
      <c r="BC545" s="595"/>
      <c r="BD545" s="595"/>
      <c r="BE545" s="595"/>
      <c r="BF545" s="595"/>
      <c r="BG545" s="595"/>
      <c r="BH545" s="595"/>
      <c r="BI545" s="651"/>
      <c r="BJ545" s="651"/>
      <c r="BK545" s="651"/>
      <c r="BL545" s="651"/>
      <c r="BM545" s="651"/>
      <c r="BN545" s="651"/>
      <c r="BO545" s="651"/>
      <c r="BP545" s="651"/>
      <c r="BQ545" s="651"/>
      <c r="BR545" s="651"/>
      <c r="BS545" s="651"/>
      <c r="BT545" s="651"/>
    </row>
    <row r="546">
      <c r="A546" s="631"/>
      <c r="B546" s="154"/>
      <c r="C546" s="123"/>
      <c r="D546" s="148"/>
      <c r="E546" s="687"/>
      <c r="F546" s="699"/>
      <c r="G546" s="149"/>
      <c r="H546" s="128"/>
      <c r="I546" s="704"/>
      <c r="J546" s="126"/>
      <c r="K546" s="126"/>
      <c r="L546" s="135"/>
      <c r="M546" s="135"/>
      <c r="N546" s="151"/>
      <c r="O546" s="169"/>
      <c r="P546" s="134"/>
      <c r="Q546" s="135"/>
      <c r="R546" s="136" t="str">
        <f>IFERROR(
  IF(B546="", "", VLOOKUP(B546, Data!$B$2:$K$905, 9, FALSE)),
  ""
)</f>
        <v/>
      </c>
      <c r="S546" s="152"/>
      <c r="T546" s="690"/>
      <c r="U546" s="136" t="str">
        <f>IFERROR(
  IF(B546="", "", VLOOKUP(B546, Data!$B$2:$K$905, 10, FALSE)),
  ""
)
</f>
        <v/>
      </c>
      <c r="V546" s="691"/>
      <c r="W546" s="140"/>
      <c r="X546" s="692"/>
      <c r="Y546" s="693"/>
      <c r="Z546" s="694"/>
      <c r="AA546" s="695"/>
      <c r="AB546" s="354"/>
      <c r="AC546" s="181"/>
      <c r="AD546" s="625"/>
      <c r="AE546" s="626"/>
      <c r="AF546" s="696"/>
      <c r="AG546" s="697"/>
      <c r="AH546" s="629"/>
      <c r="AI546" s="187"/>
      <c r="AJ546" s="630"/>
      <c r="AK546" s="630"/>
      <c r="AL546" s="595"/>
      <c r="AM546" s="595"/>
      <c r="AN546" s="595"/>
      <c r="AO546" s="595"/>
      <c r="AP546" s="595"/>
      <c r="AQ546" s="595"/>
      <c r="AR546" s="595"/>
      <c r="AS546" s="595"/>
      <c r="AT546" s="595"/>
      <c r="AU546" s="595"/>
      <c r="AV546" s="595"/>
      <c r="AW546" s="595"/>
      <c r="AX546" s="595"/>
      <c r="AY546" s="595"/>
      <c r="AZ546" s="595"/>
      <c r="BA546" s="595"/>
      <c r="BB546" s="595"/>
      <c r="BC546" s="595"/>
      <c r="BD546" s="595"/>
      <c r="BE546" s="595"/>
      <c r="BF546" s="595"/>
      <c r="BG546" s="595"/>
      <c r="BH546" s="595"/>
      <c r="BI546" s="651"/>
      <c r="BJ546" s="651"/>
      <c r="BK546" s="651"/>
      <c r="BL546" s="651"/>
      <c r="BM546" s="651"/>
      <c r="BN546" s="651"/>
      <c r="BO546" s="651"/>
      <c r="BP546" s="651"/>
      <c r="BQ546" s="651"/>
      <c r="BR546" s="651"/>
      <c r="BS546" s="651"/>
      <c r="BT546" s="651"/>
    </row>
    <row r="547">
      <c r="A547" s="631">
        <v>1.0</v>
      </c>
      <c r="B547" s="727"/>
      <c r="C547" s="103" t="s">
        <v>551</v>
      </c>
      <c r="D547" s="675"/>
      <c r="E547" s="676"/>
      <c r="F547" s="677"/>
      <c r="G547" s="678"/>
      <c r="H547" s="678"/>
      <c r="I547" s="679"/>
      <c r="J547" s="678"/>
      <c r="K547" s="678"/>
      <c r="L547" s="106">
        <f>Q547</f>
        <v>251.811</v>
      </c>
      <c r="M547" s="679"/>
      <c r="N547" s="680"/>
      <c r="O547" s="679"/>
      <c r="P547" s="678"/>
      <c r="Q547" s="106">
        <f>Q548</f>
        <v>251.811</v>
      </c>
      <c r="R547" s="136" t="str">
        <f>IFERROR(
  IF(B547="", "", VLOOKUP(B547, Data!$B$2:$K$905, 9, FALSE)),
  ""
)</f>
        <v/>
      </c>
      <c r="S547" s="682">
        <f>IFERROR(T547/Q547, 0)</f>
        <v>0</v>
      </c>
      <c r="T547" s="109">
        <f>SUM(S548:S553)</f>
        <v>0</v>
      </c>
      <c r="U547" s="136" t="str">
        <f>IFERROR(
  IF(B547="", "", VLOOKUP(B547, Data!$B$2:$K$905, 10, FALSE)),
  ""
)
</f>
        <v/>
      </c>
      <c r="V547" s="109">
        <f>iferror(W547/Q547,"")</f>
        <v>0</v>
      </c>
      <c r="W547" s="110">
        <f>SUM(W548:W553)</f>
        <v>0</v>
      </c>
      <c r="X547" s="111" t="str">
        <f>W547/$AC$758/$W$765/$X$755</f>
        <v>#REF!</v>
      </c>
      <c r="Y547" s="112" t="b">
        <f>(T547+W547)=(SUM(AB548:AB553))</f>
        <v>1</v>
      </c>
      <c r="Z547" s="113">
        <f>(T547+W547)-(SUM(AB548:AB553))</f>
        <v>0</v>
      </c>
      <c r="AA547" s="595"/>
      <c r="AB547" s="595"/>
      <c r="AC547" s="181"/>
      <c r="AD547" s="114">
        <f>W547+T547</f>
        <v>0</v>
      </c>
      <c r="AE547" s="115">
        <f>AD547</f>
        <v>0</v>
      </c>
      <c r="AF547" s="116" t="str">
        <f>AE547/$AE$733</f>
        <v>#REF!</v>
      </c>
      <c r="AG547" s="683" t="str">
        <f>AF547*$AG$740</f>
        <v>#REF!</v>
      </c>
      <c r="AH547" s="118" t="str">
        <f>AF547*$AG$743</f>
        <v>#REF!</v>
      </c>
      <c r="AI547" s="187"/>
      <c r="AJ547" s="119" t="str">
        <f>ROUND(AK547/L547,2)</f>
        <v>#REF!</v>
      </c>
      <c r="AK547" s="119" t="str">
        <f>ROUND(AH547+AG547+AD547,2)</f>
        <v>#REF!</v>
      </c>
      <c r="AL547" s="595"/>
      <c r="AM547" s="595"/>
      <c r="AN547" s="595"/>
      <c r="AO547" s="595"/>
      <c r="AP547" s="595"/>
      <c r="AQ547" s="595"/>
      <c r="AR547" s="595"/>
      <c r="AS547" s="595"/>
      <c r="AT547" s="595"/>
      <c r="AU547" s="595"/>
      <c r="AV547" s="595"/>
      <c r="AW547" s="595"/>
      <c r="AX547" s="595"/>
      <c r="AY547" s="595"/>
      <c r="AZ547" s="595"/>
      <c r="BA547" s="595"/>
      <c r="BB547" s="595"/>
      <c r="BC547" s="595"/>
      <c r="BD547" s="595"/>
      <c r="BE547" s="595"/>
      <c r="BF547" s="595"/>
      <c r="BG547" s="595"/>
      <c r="BH547" s="595"/>
      <c r="BI547" s="651"/>
      <c r="BJ547" s="651"/>
      <c r="BK547" s="651"/>
      <c r="BL547" s="651"/>
      <c r="BM547" s="651"/>
      <c r="BN547" s="651"/>
      <c r="BO547" s="651"/>
      <c r="BP547" s="651"/>
      <c r="BQ547" s="651"/>
      <c r="BR547" s="651"/>
      <c r="BS547" s="651"/>
      <c r="BT547" s="651"/>
    </row>
    <row r="548">
      <c r="A548" s="631"/>
      <c r="B548" s="154" t="s">
        <v>552</v>
      </c>
      <c r="C548" s="123" t="s">
        <v>553</v>
      </c>
      <c r="D548" s="148" t="s">
        <v>314</v>
      </c>
      <c r="E548" s="687">
        <v>0.63</v>
      </c>
      <c r="F548" s="699"/>
      <c r="G548" s="149" t="s">
        <v>547</v>
      </c>
      <c r="H548" s="128" t="str">
        <f>IFERROR(__xludf.DUMMYFUNCTION("IFERROR(REGEXEXTRACT(C548, ""(\d*\.\d+)mm""), """")"),"")</f>
        <v/>
      </c>
      <c r="I548" s="704"/>
      <c r="J548" s="126" t="s">
        <v>14</v>
      </c>
      <c r="K548" s="126" t="str">
        <f>IFERROR(
  IF(B548="", "", VLOOKUP(B548, Data!$B$2:$K$905, 7, FALSE)),
  ""
)</f>
        <v/>
      </c>
      <c r="L548" s="135">
        <f>102.62+
266.76+30.32</f>
        <v>399.7</v>
      </c>
      <c r="M548" s="135">
        <f>L548*E548</f>
        <v>251.811</v>
      </c>
      <c r="N548" s="151">
        <f>IFERROR(__xludf.DUMMYFUNCTION("IF(B548="""", """", IFERROR(1 / COS(RADIANS(REGEXEXTRACT(F548,""(\d+)""))), 1))"),1.0)</f>
        <v>1</v>
      </c>
      <c r="O548" s="169">
        <v>1.0</v>
      </c>
      <c r="P548" s="134">
        <v>1.0</v>
      </c>
      <c r="Q548" s="135">
        <f t="shared" ref="Q548:Q552" si="411">M548*N548*O548*P548</f>
        <v>251.811</v>
      </c>
      <c r="R548" s="136" t="str">
        <f>IFERROR(
  IF(B548="", "", VLOOKUP(B548, Data!$B$2:$K$905, 9, FALSE)),
  ""
)</f>
        <v/>
      </c>
      <c r="S548" s="152">
        <f t="shared" ref="S548:S552" si="412">R548*Q548</f>
        <v>0</v>
      </c>
      <c r="T548" s="690"/>
      <c r="U548" s="136" t="str">
        <f>IFERROR(
  IF(B548="", "", VLOOKUP(B548, Data!$B$2:$K$905, 10, FALSE)),
  ""
)
</f>
        <v/>
      </c>
      <c r="V548" s="691"/>
      <c r="W548" s="140">
        <f t="shared" ref="W548:W552" si="413">U548*Q548</f>
        <v>0</v>
      </c>
      <c r="X548" s="692"/>
      <c r="Y548" s="693"/>
      <c r="Z548" s="694"/>
      <c r="AA548" s="695"/>
      <c r="AB548" s="354">
        <f t="shared" ref="AB548:AB553" si="414">W548+S548</f>
        <v>0</v>
      </c>
      <c r="AC548" s="181"/>
      <c r="AD548" s="625"/>
      <c r="AE548" s="626"/>
      <c r="AF548" s="696"/>
      <c r="AG548" s="697"/>
      <c r="AH548" s="629"/>
      <c r="AI548" s="187"/>
      <c r="AJ548" s="630"/>
      <c r="AK548" s="630"/>
      <c r="AL548" s="595"/>
      <c r="AM548" s="595"/>
      <c r="AN548" s="595"/>
      <c r="AO548" s="595"/>
      <c r="AP548" s="595"/>
      <c r="AQ548" s="595"/>
      <c r="AR548" s="595"/>
      <c r="AS548" s="595"/>
      <c r="AT548" s="595"/>
      <c r="AU548" s="595"/>
      <c r="AV548" s="595"/>
      <c r="AW548" s="595"/>
      <c r="AX548" s="595"/>
      <c r="AY548" s="595"/>
      <c r="AZ548" s="595"/>
      <c r="BA548" s="595"/>
      <c r="BB548" s="595"/>
      <c r="BC548" s="595"/>
      <c r="BD548" s="595"/>
      <c r="BE548" s="595"/>
      <c r="BF548" s="595"/>
      <c r="BG548" s="595"/>
      <c r="BH548" s="595"/>
      <c r="BI548" s="651"/>
      <c r="BJ548" s="651"/>
      <c r="BK548" s="651"/>
      <c r="BL548" s="651"/>
      <c r="BM548" s="651"/>
      <c r="BN548" s="651"/>
      <c r="BO548" s="651"/>
      <c r="BP548" s="651"/>
      <c r="BQ548" s="651"/>
      <c r="BR548" s="651"/>
      <c r="BS548" s="651"/>
      <c r="BT548" s="651"/>
    </row>
    <row r="549">
      <c r="A549" s="631"/>
      <c r="B549" s="154" t="s">
        <v>554</v>
      </c>
      <c r="C549" s="698" t="str">
        <f>IFERROR(__xludf.DUMMYFUNCTION("IF($B$15:$B1060="""","""",
  VLOOKUP(
    $B$15:$B1060,
    QUERY(
      IMPORTRANGE(""1Ag27m9YF5mMfJh2E6NipJDFvPLlDI1p-s_1XEnzMHcc"",""Merge!F2:R""),
      ""select Col1, Col4"",
      0
    ),
    2,
    FALSE
  )
)
"),"#REF!")</f>
        <v>#REF!</v>
      </c>
      <c r="D549" s="148" t="s">
        <v>328</v>
      </c>
      <c r="E549" s="722"/>
      <c r="F549" s="699"/>
      <c r="G549" s="700"/>
      <c r="H549" s="700" t="str">
        <f>IFERROR(__xludf.DUMMYFUNCTION("IFERROR(REGEXEXTRACT(C549, ""(\d*\.\d+)mm""), """")"),"")</f>
        <v/>
      </c>
      <c r="I549" s="704"/>
      <c r="J549" s="126" t="s">
        <v>87</v>
      </c>
      <c r="K549" s="126" t="str">
        <f>IFERROR(
  IF(B549="", "", VLOOKUP(B549, Data!$B$2:$K$905, 7, FALSE)),
  ""
)</f>
        <v/>
      </c>
      <c r="L549" s="704"/>
      <c r="M549" s="150">
        <f>roundup(M548*6,0)+1</f>
        <v>1512</v>
      </c>
      <c r="N549" s="151">
        <f t="shared" ref="N549:N552" si="415">N548</f>
        <v>1</v>
      </c>
      <c r="O549" s="169">
        <v>1.0</v>
      </c>
      <c r="P549" s="134">
        <v>1.0</v>
      </c>
      <c r="Q549" s="135">
        <f t="shared" si="411"/>
        <v>1512</v>
      </c>
      <c r="R549" s="136" t="str">
        <f>IFERROR(
  IF(B549="", "", VLOOKUP(B549, Data!$B$2:$K$905, 9, FALSE)),
  ""
)</f>
        <v/>
      </c>
      <c r="S549" s="152">
        <f t="shared" si="412"/>
        <v>0</v>
      </c>
      <c r="T549" s="690"/>
      <c r="U549" s="136" t="str">
        <f>IFERROR(
  IF(B549="", "", VLOOKUP(B549, Data!$B$2:$K$905, 10, FALSE)),
  ""
)
</f>
        <v/>
      </c>
      <c r="V549" s="691"/>
      <c r="W549" s="140">
        <f t="shared" si="413"/>
        <v>0</v>
      </c>
      <c r="X549" s="692"/>
      <c r="Y549" s="693"/>
      <c r="Z549" s="694"/>
      <c r="AA549" s="695"/>
      <c r="AB549" s="354">
        <f t="shared" si="414"/>
        <v>0</v>
      </c>
      <c r="AC549" s="181"/>
      <c r="AD549" s="625"/>
      <c r="AE549" s="626"/>
      <c r="AF549" s="696"/>
      <c r="AG549" s="697"/>
      <c r="AH549" s="629"/>
      <c r="AI549" s="187"/>
      <c r="AJ549" s="630"/>
      <c r="AK549" s="630"/>
      <c r="AL549" s="595"/>
      <c r="AM549" s="595"/>
      <c r="AN549" s="595"/>
      <c r="AO549" s="595"/>
      <c r="AP549" s="595"/>
      <c r="AQ549" s="595"/>
      <c r="AR549" s="595"/>
      <c r="AS549" s="595"/>
      <c r="AT549" s="595"/>
      <c r="AU549" s="595"/>
      <c r="AV549" s="595"/>
      <c r="AW549" s="595"/>
      <c r="AX549" s="595"/>
      <c r="AY549" s="595"/>
      <c r="AZ549" s="595"/>
      <c r="BA549" s="595"/>
      <c r="BB549" s="595"/>
      <c r="BC549" s="595"/>
      <c r="BD549" s="595"/>
      <c r="BE549" s="595"/>
      <c r="BF549" s="595"/>
      <c r="BG549" s="595"/>
      <c r="BH549" s="595"/>
      <c r="BI549" s="651"/>
      <c r="BJ549" s="651"/>
      <c r="BK549" s="651"/>
      <c r="BL549" s="651"/>
      <c r="BM549" s="651"/>
      <c r="BN549" s="651"/>
      <c r="BO549" s="651"/>
      <c r="BP549" s="651"/>
      <c r="BQ549" s="651"/>
      <c r="BR549" s="651"/>
      <c r="BS549" s="651"/>
      <c r="BT549" s="651"/>
    </row>
    <row r="550">
      <c r="A550" s="716" t="s">
        <v>435</v>
      </c>
      <c r="B550" s="154" t="s">
        <v>555</v>
      </c>
      <c r="C550" s="698" t="str">
        <f>IFERROR(__xludf.DUMMYFUNCTION("IF($B$15:$B1061="""","""",
  VLOOKUP(
    $B$15:$B1061,
    QUERY(
      IMPORTRANGE(""1Ag27m9YF5mMfJh2E6NipJDFvPLlDI1p-s_1XEnzMHcc"",""Merge!F2:R""),
      ""select Col1, Col4"",
      0
    ),
    2,
    FALSE
  )
)
"),"#REF!")</f>
        <v>#REF!</v>
      </c>
      <c r="D550" s="148" t="s">
        <v>333</v>
      </c>
      <c r="E550" s="722"/>
      <c r="F550" s="699"/>
      <c r="G550" s="700"/>
      <c r="H550" s="700"/>
      <c r="I550" s="704"/>
      <c r="J550" s="126" t="s">
        <v>87</v>
      </c>
      <c r="K550" s="126" t="str">
        <f>IFERROR(
  IF(B550="", "", VLOOKUP(B550, Data!$B$2:$K$905, 7, FALSE)),
  ""
)</f>
        <v/>
      </c>
      <c r="L550" s="704"/>
      <c r="M550" s="730">
        <v>432.32</v>
      </c>
      <c r="N550" s="151">
        <f t="shared" si="415"/>
        <v>1</v>
      </c>
      <c r="O550" s="169">
        <v>1.0</v>
      </c>
      <c r="P550" s="134">
        <v>1.0</v>
      </c>
      <c r="Q550" s="135">
        <f t="shared" si="411"/>
        <v>432.32</v>
      </c>
      <c r="R550" s="136" t="str">
        <f>IFERROR(
  IF(B550="", "", VLOOKUP(B550, Data!$B$2:$K$905, 9, FALSE)),
  ""
)</f>
        <v/>
      </c>
      <c r="S550" s="152">
        <f t="shared" si="412"/>
        <v>0</v>
      </c>
      <c r="T550" s="690"/>
      <c r="U550" s="136" t="str">
        <f>IFERROR(
  IF(B550="", "", VLOOKUP(B550, Data!$B$2:$K$905, 10, FALSE)),
  ""
)
</f>
        <v/>
      </c>
      <c r="V550" s="691"/>
      <c r="W550" s="140">
        <f t="shared" si="413"/>
        <v>0</v>
      </c>
      <c r="X550" s="692"/>
      <c r="Y550" s="693"/>
      <c r="Z550" s="694"/>
      <c r="AA550" s="695"/>
      <c r="AB550" s="354">
        <f t="shared" si="414"/>
        <v>0</v>
      </c>
      <c r="AC550" s="181"/>
      <c r="AD550" s="625"/>
      <c r="AE550" s="626"/>
      <c r="AF550" s="696"/>
      <c r="AG550" s="697"/>
      <c r="AH550" s="629"/>
      <c r="AI550" s="187"/>
      <c r="AJ550" s="630"/>
      <c r="AK550" s="630"/>
      <c r="AL550" s="595"/>
      <c r="AM550" s="595"/>
      <c r="AN550" s="595"/>
      <c r="AO550" s="595"/>
      <c r="AP550" s="595"/>
      <c r="AQ550" s="595"/>
      <c r="AR550" s="595"/>
      <c r="AS550" s="595"/>
      <c r="AT550" s="595"/>
      <c r="AU550" s="595"/>
      <c r="AV550" s="595"/>
      <c r="AW550" s="595"/>
      <c r="AX550" s="595"/>
      <c r="AY550" s="595"/>
      <c r="AZ550" s="595"/>
      <c r="BA550" s="595"/>
      <c r="BB550" s="595"/>
      <c r="BC550" s="595"/>
      <c r="BD550" s="595"/>
      <c r="BE550" s="595"/>
      <c r="BF550" s="595"/>
      <c r="BG550" s="595"/>
      <c r="BH550" s="595"/>
      <c r="BI550" s="651"/>
      <c r="BJ550" s="651"/>
      <c r="BK550" s="651"/>
      <c r="BL550" s="651"/>
      <c r="BM550" s="651"/>
      <c r="BN550" s="651"/>
      <c r="BO550" s="651"/>
      <c r="BP550" s="651"/>
      <c r="BQ550" s="651"/>
      <c r="BR550" s="651"/>
      <c r="BS550" s="651"/>
      <c r="BT550" s="651"/>
    </row>
    <row r="551">
      <c r="A551" s="716" t="s">
        <v>435</v>
      </c>
      <c r="B551" s="154" t="s">
        <v>556</v>
      </c>
      <c r="C551" s="698" t="str">
        <f>IFERROR(__xludf.DUMMYFUNCTION("IF($B$15:$B1062="""","""",
  VLOOKUP(
    $B$15:$B1062,
    QUERY(
      IMPORTRANGE(""1Ag27m9YF5mMfJh2E6NipJDFvPLlDI1p-s_1XEnzMHcc"",""Merge!F2:R""),
      ""select Col1, Col4"",
      0
    ),
    2,
    FALSE
  )
)
"),"#REF!")</f>
        <v>#REF!</v>
      </c>
      <c r="D551" s="148" t="s">
        <v>330</v>
      </c>
      <c r="E551" s="722"/>
      <c r="F551" s="699"/>
      <c r="G551" s="700"/>
      <c r="H551" s="700"/>
      <c r="I551" s="704"/>
      <c r="J551" s="126" t="s">
        <v>87</v>
      </c>
      <c r="K551" s="126" t="str">
        <f>IFERROR(
  IF(B551="", "", VLOOKUP(B551, Data!$B$2:$K$905, 7, FALSE)),
  ""
)</f>
        <v/>
      </c>
      <c r="L551" s="704"/>
      <c r="M551" s="150">
        <f>ROUNDUP(M550/0.6,0)+1</f>
        <v>722</v>
      </c>
      <c r="N551" s="151">
        <f t="shared" si="415"/>
        <v>1</v>
      </c>
      <c r="O551" s="169">
        <v>1.0</v>
      </c>
      <c r="P551" s="134">
        <v>1.0</v>
      </c>
      <c r="Q551" s="135">
        <f t="shared" si="411"/>
        <v>722</v>
      </c>
      <c r="R551" s="136" t="str">
        <f>IFERROR(
  IF(B551="", "", VLOOKUP(B551, Data!$B$2:$K$905, 9, FALSE)),
  ""
)</f>
        <v/>
      </c>
      <c r="S551" s="152">
        <f t="shared" si="412"/>
        <v>0</v>
      </c>
      <c r="T551" s="690"/>
      <c r="U551" s="136" t="str">
        <f>IFERROR(
  IF(B551="", "", VLOOKUP(B551, Data!$B$2:$K$905, 10, FALSE)),
  ""
)
</f>
        <v/>
      </c>
      <c r="V551" s="691"/>
      <c r="W551" s="140">
        <f t="shared" si="413"/>
        <v>0</v>
      </c>
      <c r="X551" s="692"/>
      <c r="Y551" s="693"/>
      <c r="Z551" s="694"/>
      <c r="AA551" s="695"/>
      <c r="AB551" s="354">
        <f t="shared" si="414"/>
        <v>0</v>
      </c>
      <c r="AC551" s="181"/>
      <c r="AD551" s="625"/>
      <c r="AE551" s="626"/>
      <c r="AF551" s="696"/>
      <c r="AG551" s="697"/>
      <c r="AH551" s="629"/>
      <c r="AI551" s="187"/>
      <c r="AJ551" s="630"/>
      <c r="AK551" s="630"/>
      <c r="AL551" s="595"/>
      <c r="AM551" s="595"/>
      <c r="AN551" s="595"/>
      <c r="AO551" s="595"/>
      <c r="AP551" s="595"/>
      <c r="AQ551" s="595"/>
      <c r="AR551" s="595"/>
      <c r="AS551" s="595"/>
      <c r="AT551" s="595"/>
      <c r="AU551" s="595"/>
      <c r="AV551" s="595"/>
      <c r="AW551" s="595"/>
      <c r="AX551" s="595"/>
      <c r="AY551" s="595"/>
      <c r="AZ551" s="595"/>
      <c r="BA551" s="595"/>
      <c r="BB551" s="595"/>
      <c r="BC551" s="595"/>
      <c r="BD551" s="595"/>
      <c r="BE551" s="595"/>
      <c r="BF551" s="595"/>
      <c r="BG551" s="595"/>
      <c r="BH551" s="595"/>
      <c r="BI551" s="651"/>
      <c r="BJ551" s="651"/>
      <c r="BK551" s="651"/>
      <c r="BL551" s="651"/>
      <c r="BM551" s="651"/>
      <c r="BN551" s="651"/>
      <c r="BO551" s="651"/>
      <c r="BP551" s="651"/>
      <c r="BQ551" s="651"/>
      <c r="BR551" s="651"/>
      <c r="BS551" s="651"/>
      <c r="BT551" s="651"/>
    </row>
    <row r="552">
      <c r="A552" s="716" t="s">
        <v>435</v>
      </c>
      <c r="B552" s="154" t="s">
        <v>557</v>
      </c>
      <c r="C552" s="698" t="str">
        <f>IFERROR(__xludf.DUMMYFUNCTION("IF($B$15:$B1063="""","""",
  VLOOKUP(
    $B$15:$B1063,
    QUERY(
      IMPORTRANGE(""1Ag27m9YF5mMfJh2E6NipJDFvPLlDI1p-s_1XEnzMHcc"",""Merge!F2:R""),
      ""select Col1, Col4"",
      0
    ),
    2,
    FALSE
  )
)
"),"#REF!")</f>
        <v>#REF!</v>
      </c>
      <c r="D552" s="148" t="s">
        <v>325</v>
      </c>
      <c r="E552" s="722"/>
      <c r="F552" s="699"/>
      <c r="G552" s="700"/>
      <c r="H552" s="700"/>
      <c r="I552" s="704"/>
      <c r="J552" s="126" t="s">
        <v>87</v>
      </c>
      <c r="K552" s="126" t="str">
        <f>IFERROR(
  IF(B552="", "", VLOOKUP(B552, Data!$B$2:$K$905, 7, FALSE)),
  ""
)</f>
        <v/>
      </c>
      <c r="L552" s="704"/>
      <c r="M552" s="150">
        <f>58.07+
124.47+7.14+6.51</f>
        <v>196.19</v>
      </c>
      <c r="N552" s="151">
        <f t="shared" si="415"/>
        <v>1</v>
      </c>
      <c r="O552" s="169">
        <v>1.0</v>
      </c>
      <c r="P552" s="134">
        <v>1.0</v>
      </c>
      <c r="Q552" s="135">
        <f t="shared" si="411"/>
        <v>196.19</v>
      </c>
      <c r="R552" s="136" t="str">
        <f>IFERROR(
  IF(B552="", "", VLOOKUP(B552, Data!$B$2:$K$905, 9, FALSE)),
  ""
)</f>
        <v/>
      </c>
      <c r="S552" s="152">
        <f t="shared" si="412"/>
        <v>0</v>
      </c>
      <c r="T552" s="690"/>
      <c r="U552" s="781" t="str">
        <f>IFERROR(
  IF(B552="", "", VLOOKUP(B552, Data!$B$2:$K$905, 10, FALSE)),
  ""
)
</f>
        <v/>
      </c>
      <c r="V552" s="691"/>
      <c r="W552" s="140">
        <f t="shared" si="413"/>
        <v>0</v>
      </c>
      <c r="X552" s="692"/>
      <c r="Y552" s="693"/>
      <c r="Z552" s="694"/>
      <c r="AA552" s="695"/>
      <c r="AB552" s="354">
        <f t="shared" si="414"/>
        <v>0</v>
      </c>
      <c r="AC552" s="181"/>
      <c r="AD552" s="625"/>
      <c r="AE552" s="626"/>
      <c r="AF552" s="696"/>
      <c r="AG552" s="697"/>
      <c r="AH552" s="629"/>
      <c r="AI552" s="187"/>
      <c r="AJ552" s="630"/>
      <c r="AK552" s="630"/>
      <c r="AL552" s="595"/>
      <c r="AM552" s="595"/>
      <c r="AN552" s="595"/>
      <c r="AO552" s="595"/>
      <c r="AP552" s="595"/>
      <c r="AQ552" s="595"/>
      <c r="AR552" s="595"/>
      <c r="AS552" s="595"/>
      <c r="AT552" s="595"/>
      <c r="AU552" s="595"/>
      <c r="AV552" s="595"/>
      <c r="AW552" s="595"/>
      <c r="AX552" s="595"/>
      <c r="AY552" s="595"/>
      <c r="AZ552" s="595"/>
      <c r="BA552" s="595"/>
      <c r="BB552" s="595"/>
      <c r="BC552" s="595"/>
      <c r="BD552" s="595"/>
      <c r="BE552" s="595"/>
      <c r="BF552" s="595"/>
      <c r="BG552" s="595"/>
      <c r="BH552" s="595"/>
      <c r="BI552" s="651"/>
      <c r="BJ552" s="651"/>
      <c r="BK552" s="651"/>
      <c r="BL552" s="651"/>
      <c r="BM552" s="651"/>
      <c r="BN552" s="651"/>
      <c r="BO552" s="651"/>
      <c r="BP552" s="651"/>
      <c r="BQ552" s="651"/>
      <c r="BR552" s="651"/>
      <c r="BS552" s="651"/>
      <c r="BT552" s="651"/>
    </row>
    <row r="553">
      <c r="A553" s="631"/>
      <c r="B553" s="154"/>
      <c r="C553" s="702"/>
      <c r="D553" s="702"/>
      <c r="E553" s="722"/>
      <c r="F553" s="699"/>
      <c r="G553" s="700"/>
      <c r="H553" s="700"/>
      <c r="I553" s="704"/>
      <c r="J553" s="701"/>
      <c r="K553" s="701"/>
      <c r="L553" s="704"/>
      <c r="M553" s="704"/>
      <c r="N553" s="711"/>
      <c r="O553" s="712"/>
      <c r="P553" s="700"/>
      <c r="Q553" s="704"/>
      <c r="R553" s="681"/>
      <c r="S553" s="691"/>
      <c r="T553" s="690"/>
      <c r="U553" s="681" t="str">
        <f>IFERROR(
  IF(B553="", "", VLOOKUP(B553, Data!$B$2:$K$905, 10, FALSE)),
  ""
)
</f>
        <v/>
      </c>
      <c r="V553" s="691"/>
      <c r="W553" s="713"/>
      <c r="X553" s="692"/>
      <c r="Y553" s="693"/>
      <c r="Z553" s="694"/>
      <c r="AA553" s="695"/>
      <c r="AB553" s="354">
        <f t="shared" si="414"/>
        <v>0</v>
      </c>
      <c r="AC553" s="181"/>
      <c r="AD553" s="705"/>
      <c r="AE553" s="706"/>
      <c r="AF553" s="707"/>
      <c r="AG553" s="708"/>
      <c r="AH553" s="709"/>
      <c r="AI553" s="187"/>
      <c r="AJ553" s="710"/>
      <c r="AK553" s="710"/>
      <c r="AL553" s="595"/>
      <c r="AM553" s="595"/>
      <c r="AN553" s="595"/>
      <c r="AO553" s="595"/>
      <c r="AP553" s="595"/>
      <c r="AQ553" s="595"/>
      <c r="AR553" s="595"/>
      <c r="AS553" s="595"/>
      <c r="AT553" s="595"/>
      <c r="AU553" s="595"/>
      <c r="AV553" s="595"/>
      <c r="AW553" s="595"/>
      <c r="AX553" s="595"/>
      <c r="AY553" s="595"/>
      <c r="AZ553" s="595"/>
      <c r="BA553" s="595"/>
      <c r="BB553" s="595"/>
      <c r="BC553" s="595"/>
      <c r="BD553" s="595"/>
      <c r="BE553" s="595"/>
      <c r="BF553" s="595"/>
      <c r="BG553" s="595"/>
      <c r="BH553" s="595"/>
      <c r="BI553" s="651"/>
      <c r="BJ553" s="651"/>
      <c r="BK553" s="651"/>
      <c r="BL553" s="651"/>
      <c r="BM553" s="651"/>
      <c r="BN553" s="651"/>
      <c r="BO553" s="651"/>
      <c r="BP553" s="651"/>
      <c r="BQ553" s="651"/>
      <c r="BR553" s="651"/>
      <c r="BS553" s="651"/>
      <c r="BT553" s="651"/>
    </row>
    <row r="554">
      <c r="A554" s="631">
        <v>1.0</v>
      </c>
      <c r="B554" s="764" t="s">
        <v>425</v>
      </c>
      <c r="C554" s="780" t="s">
        <v>78</v>
      </c>
      <c r="D554" s="656"/>
      <c r="E554" s="654"/>
      <c r="F554" s="655"/>
      <c r="G554" s="656"/>
      <c r="H554" s="656"/>
      <c r="I554" s="658"/>
      <c r="J554" s="656"/>
      <c r="K554" s="656" t="s">
        <v>42</v>
      </c>
      <c r="L554" s="658"/>
      <c r="M554" s="658"/>
      <c r="N554" s="659"/>
      <c r="O554" s="658"/>
      <c r="P554" s="656"/>
      <c r="Q554" s="658"/>
      <c r="R554" s="681" t="str">
        <f>IFERROR(
  IF(B554="", "", VLOOKUP(B554, Data!$B$2:$K$905, 9, FALSE)),
  ""
)</f>
        <v/>
      </c>
      <c r="S554" s="662"/>
      <c r="T554" s="661"/>
      <c r="U554" s="681" t="str">
        <f>IFERROR(
  IF(B554="", "", VLOOKUP(B554, Data!$B$2:$K$905, 10, FALSE)),
  ""
)
</f>
        <v/>
      </c>
      <c r="V554" s="662"/>
      <c r="W554" s="663"/>
      <c r="X554" s="664"/>
      <c r="Y554" s="595"/>
      <c r="Z554" s="595"/>
      <c r="AA554" s="595"/>
      <c r="AB554" s="595"/>
      <c r="AC554" s="181"/>
      <c r="AD554" s="668"/>
      <c r="AE554" s="669"/>
      <c r="AF554" s="670"/>
      <c r="AG554" s="715"/>
      <c r="AH554" s="672"/>
      <c r="AI554" s="187"/>
      <c r="AJ554" s="673"/>
      <c r="AK554" s="673"/>
      <c r="AL554" s="595"/>
      <c r="AM554" s="595"/>
      <c r="AN554" s="595"/>
      <c r="AO554" s="595"/>
      <c r="AP554" s="595"/>
      <c r="AQ554" s="595"/>
      <c r="AR554" s="595"/>
      <c r="AS554" s="595"/>
      <c r="AT554" s="595"/>
      <c r="AU554" s="595"/>
      <c r="AV554" s="595"/>
      <c r="AW554" s="595"/>
      <c r="AX554" s="595"/>
      <c r="AY554" s="595"/>
      <c r="AZ554" s="595"/>
      <c r="BA554" s="595"/>
      <c r="BB554" s="595"/>
      <c r="BC554" s="595"/>
      <c r="BD554" s="595"/>
      <c r="BE554" s="595"/>
      <c r="BF554" s="595"/>
      <c r="BG554" s="595"/>
      <c r="BH554" s="595"/>
      <c r="BI554" s="651"/>
      <c r="BJ554" s="651"/>
      <c r="BK554" s="651"/>
      <c r="BL554" s="651"/>
      <c r="BM554" s="651"/>
      <c r="BN554" s="651"/>
      <c r="BO554" s="651"/>
      <c r="BP554" s="651"/>
      <c r="BQ554" s="651"/>
      <c r="BR554" s="651"/>
      <c r="BS554" s="651"/>
      <c r="BT554" s="651"/>
    </row>
    <row r="555">
      <c r="A555" s="631">
        <v>1.0</v>
      </c>
      <c r="B555" s="727"/>
      <c r="C555" s="769" t="s">
        <v>79</v>
      </c>
      <c r="D555" s="678"/>
      <c r="E555" s="676"/>
      <c r="F555" s="677"/>
      <c r="G555" s="678"/>
      <c r="H555" s="678"/>
      <c r="I555" s="679"/>
      <c r="J555" s="678"/>
      <c r="K555" s="678" t="s">
        <v>42</v>
      </c>
      <c r="L555" s="106" t="str">
        <f>Q555</f>
        <v>#REF!</v>
      </c>
      <c r="M555" s="679"/>
      <c r="N555" s="680"/>
      <c r="O555" s="679"/>
      <c r="P555" s="678"/>
      <c r="Q555" s="106" t="str">
        <f>Q556</f>
        <v>#REF!</v>
      </c>
      <c r="R555" s="681" t="str">
        <f>IFERROR(
  IF(B555="", "", VLOOKUP(B555, Data!$B$2:$K$905, 9, FALSE)),
  ""
)</f>
        <v/>
      </c>
      <c r="S555" s="682">
        <f>IFERROR(T555/Q555, 0)</f>
        <v>0</v>
      </c>
      <c r="T555" s="109" t="str">
        <f>SUM(S556:S558)</f>
        <v>#REF!</v>
      </c>
      <c r="U555" s="681" t="str">
        <f>IFERROR(
  IF(B555="", "", VLOOKUP(B555, Data!$B$2:$K$905, 10, FALSE)),
  ""
)
</f>
        <v/>
      </c>
      <c r="V555" s="109" t="str">
        <f>iferror(W555/Q555,"")</f>
        <v/>
      </c>
      <c r="W555" s="110" t="str">
        <f>SUM(W556:W558)</f>
        <v>#REF!</v>
      </c>
      <c r="X555" s="111" t="str">
        <f>W555/$AC$758/$W$765/$X$755</f>
        <v>#REF!</v>
      </c>
      <c r="Y555" s="112" t="str">
        <f>(T555+W555)=(SUM(AB556:AB558))</f>
        <v>#REF!</v>
      </c>
      <c r="Z555" s="113" t="str">
        <f>(T555+W555)-(SUM(AB556:AB558))</f>
        <v>#REF!</v>
      </c>
      <c r="AA555" s="595"/>
      <c r="AB555" s="595"/>
      <c r="AC555" s="181"/>
      <c r="AD555" s="114" t="str">
        <f>W555+T555</f>
        <v>#REF!</v>
      </c>
      <c r="AE555" s="115" t="str">
        <f>AD555</f>
        <v>#REF!</v>
      </c>
      <c r="AF555" s="116" t="str">
        <f>AE555/$AE$733</f>
        <v>#REF!</v>
      </c>
      <c r="AG555" s="683" t="str">
        <f>AF555*$AG$740</f>
        <v>#REF!</v>
      </c>
      <c r="AH555" s="118" t="str">
        <f>AF555*$AG$743</f>
        <v>#REF!</v>
      </c>
      <c r="AI555" s="187"/>
      <c r="AJ555" s="119" t="str">
        <f>ROUND(AK555/L555,2)</f>
        <v>#REF!</v>
      </c>
      <c r="AK555" s="119" t="str">
        <f>ROUND(AH555+AG555+AD555,2)</f>
        <v>#REF!</v>
      </c>
      <c r="AL555" s="595"/>
      <c r="AM555" s="595"/>
      <c r="AN555" s="595"/>
      <c r="AO555" s="595"/>
      <c r="AP555" s="595"/>
      <c r="AQ555" s="595"/>
      <c r="AR555" s="595"/>
      <c r="AS555" s="595"/>
      <c r="AT555" s="595"/>
      <c r="AU555" s="595"/>
      <c r="AV555" s="595"/>
      <c r="AW555" s="595"/>
      <c r="AX555" s="595"/>
      <c r="AY555" s="595"/>
      <c r="AZ555" s="595"/>
      <c r="BA555" s="595"/>
      <c r="BB555" s="595"/>
      <c r="BC555" s="595"/>
      <c r="BD555" s="595"/>
      <c r="BE555" s="595"/>
      <c r="BF555" s="595"/>
      <c r="BG555" s="595"/>
      <c r="BH555" s="595"/>
      <c r="BI555" s="651"/>
      <c r="BJ555" s="651"/>
      <c r="BK555" s="651"/>
      <c r="BL555" s="651"/>
      <c r="BM555" s="651"/>
      <c r="BN555" s="651"/>
      <c r="BO555" s="651"/>
      <c r="BP555" s="651"/>
      <c r="BQ555" s="651"/>
      <c r="BR555" s="651"/>
      <c r="BS555" s="651"/>
      <c r="BT555" s="651"/>
    </row>
    <row r="556">
      <c r="A556" s="716" t="s">
        <v>435</v>
      </c>
      <c r="B556" s="154" t="s">
        <v>441</v>
      </c>
      <c r="C556" s="698" t="s">
        <v>442</v>
      </c>
      <c r="D556" s="239" t="s">
        <v>154</v>
      </c>
      <c r="E556" s="687" t="str">
        <f>IFERROR(__xludf.DUMMYFUNCTION("IF($B$15:$B1012="""","""",
  VLOOKUP(
    $B$15:$B1012,
    QUERY(
      IMPORTRANGE(""1Ag27m9YF5mMfJh2E6NipJDFvPLlDI1p-s_1XEnzMHcc"",""Merge!F2:R""),
      ""select Col1, Col11"",
      0
    ),
    2,
    FALSE
  )
)
"),"#REF!")</f>
        <v>#REF!</v>
      </c>
      <c r="F556" s="721"/>
      <c r="G556" s="689" t="s">
        <v>547</v>
      </c>
      <c r="H556" s="700" t="str">
        <f>IFERROR(__xludf.DUMMYFUNCTION("IFERROR(REGEXEXTRACT(C556, ""(\d*\.\d+)mm""), """")"),"")</f>
        <v/>
      </c>
      <c r="I556" s="712"/>
      <c r="J556" s="126" t="s">
        <v>14</v>
      </c>
      <c r="K556" s="126" t="str">
        <f>IFERROR(
  IF(B556="", "", VLOOKUP(B556, Data!$B$2:$K$905, 7, FALSE)),
  ""
)</f>
        <v/>
      </c>
      <c r="L556" s="135" t="str">
        <f>Q529</f>
        <v>#REF!</v>
      </c>
      <c r="M556" s="150" t="str">
        <f>((L556)/(E556-0.15))*0.15+(L556)</f>
        <v>#REF!</v>
      </c>
      <c r="N556" s="151">
        <f>IFERROR(__xludf.DUMMYFUNCTION("IF(B556="""", """", IFERROR(1 / COS(RADIANS(REGEXEXTRACT(F556,""(\d+)""))), 1))"),1.0)</f>
        <v>1</v>
      </c>
      <c r="O556" s="169">
        <v>1.0</v>
      </c>
      <c r="P556" s="134">
        <v>1.0</v>
      </c>
      <c r="Q556" s="135" t="str">
        <f t="shared" ref="Q556:Q557" si="416">M556*N556*O556*P556</f>
        <v>#REF!</v>
      </c>
      <c r="R556" s="136" t="str">
        <f>IFERROR(
  IF(B556="", "", VLOOKUP(B556, Data!$B$2:$K$905, 9, FALSE)),
  ""
)</f>
        <v/>
      </c>
      <c r="S556" s="152" t="str">
        <f t="shared" ref="S556:S557" si="417">R556*Q556</f>
        <v>#REF!</v>
      </c>
      <c r="T556" s="690"/>
      <c r="U556" s="136" t="str">
        <f>IFERROR(
  IF(B556="", "", VLOOKUP(B556, Data!$B$2:$K$905, 10, FALSE)),
  ""
)
</f>
        <v/>
      </c>
      <c r="V556" s="691"/>
      <c r="W556" s="140" t="str">
        <f t="shared" ref="W556:W557" si="418">U556*Q556</f>
        <v>#REF!</v>
      </c>
      <c r="X556" s="692"/>
      <c r="Y556" s="595"/>
      <c r="Z556" s="595"/>
      <c r="AA556" s="595"/>
      <c r="AB556" s="354" t="str">
        <f t="shared" ref="AB556:AB558" si="419">W556+S556</f>
        <v>#REF!</v>
      </c>
      <c r="AC556" s="181"/>
      <c r="AD556" s="625"/>
      <c r="AE556" s="626"/>
      <c r="AF556" s="696"/>
      <c r="AG556" s="697"/>
      <c r="AH556" s="629"/>
      <c r="AI556" s="187"/>
      <c r="AJ556" s="630"/>
      <c r="AK556" s="630"/>
      <c r="AL556" s="595"/>
      <c r="AM556" s="595"/>
      <c r="AN556" s="595"/>
      <c r="AO556" s="595"/>
      <c r="AP556" s="595"/>
      <c r="AQ556" s="595"/>
      <c r="AR556" s="595"/>
      <c r="AS556" s="595"/>
      <c r="AT556" s="595"/>
      <c r="AU556" s="595"/>
      <c r="AV556" s="595"/>
      <c r="AW556" s="595"/>
      <c r="AX556" s="595"/>
      <c r="AY556" s="595"/>
      <c r="AZ556" s="595"/>
      <c r="BA556" s="595"/>
      <c r="BB556" s="595"/>
      <c r="BC556" s="595"/>
      <c r="BD556" s="595"/>
      <c r="BE556" s="595"/>
      <c r="BF556" s="595"/>
      <c r="BG556" s="595"/>
      <c r="BH556" s="595"/>
      <c r="BI556" s="651"/>
      <c r="BJ556" s="651"/>
      <c r="BK556" s="651"/>
      <c r="BL556" s="651"/>
      <c r="BM556" s="651"/>
      <c r="BN556" s="651"/>
      <c r="BO556" s="651"/>
      <c r="BP556" s="651"/>
      <c r="BQ556" s="651"/>
      <c r="BR556" s="651"/>
      <c r="BS556" s="651"/>
      <c r="BT556" s="651"/>
    </row>
    <row r="557">
      <c r="A557" s="716" t="s">
        <v>435</v>
      </c>
      <c r="B557" s="768" t="s">
        <v>84</v>
      </c>
      <c r="C557" s="734" t="s">
        <v>85</v>
      </c>
      <c r="D557" s="239" t="s">
        <v>155</v>
      </c>
      <c r="E557" s="720" t="str">
        <f>E556</f>
        <v>#REF!</v>
      </c>
      <c r="F557" s="721"/>
      <c r="G557" s="700"/>
      <c r="H557" s="128" t="str">
        <f>IFERROR(__xludf.DUMMYFUNCTION("IF($B$15:$B1012="""","""",
  VLOOKUP(
    $B$15:$B1012,
    QUERY(
      IMPORTRANGE(""1Ag27m9YF5mMfJh2E6NipJDFvPLlDI1p-s_1XEnzMHcc"",""Merge!F2:R""),
      ""select Col1, Col11"",
      0
    ),
    2,
    FALSE
  )
)
"),"#REF!")</f>
        <v>#REF!</v>
      </c>
      <c r="I557" s="712"/>
      <c r="J557" s="126" t="s">
        <v>87</v>
      </c>
      <c r="K557" s="126" t="str">
        <f>IFERROR(
  IF(B557="", "", VLOOKUP(B557, Data!$B$2:$K$905, 7, FALSE)),
  ""
)</f>
        <v/>
      </c>
      <c r="L557" s="712"/>
      <c r="M557" s="169" t="str">
        <f>M556/E557/H557</f>
        <v>#REF!</v>
      </c>
      <c r="N557" s="151">
        <f>N556</f>
        <v>1</v>
      </c>
      <c r="O557" s="169">
        <v>1.0</v>
      </c>
      <c r="P557" s="134">
        <v>1.0</v>
      </c>
      <c r="Q557" s="135" t="str">
        <f t="shared" si="416"/>
        <v>#REF!</v>
      </c>
      <c r="R557" s="136" t="str">
        <f>IFERROR(
  IF(B557="", "", VLOOKUP(B557, Data!$B$2:$K$905, 9, FALSE)),
  ""
)</f>
        <v/>
      </c>
      <c r="S557" s="152" t="str">
        <f t="shared" si="417"/>
        <v>#REF!</v>
      </c>
      <c r="T557" s="690"/>
      <c r="U557" s="681" t="str">
        <f>IFERROR(
  IF(B557="", "", VLOOKUP(B557, Data!$B$2:$K$905, 10, FALSE)),
  ""
)
</f>
        <v/>
      </c>
      <c r="V557" s="691"/>
      <c r="W557" s="140" t="str">
        <f t="shared" si="418"/>
        <v>#REF!</v>
      </c>
      <c r="X557" s="692"/>
      <c r="Y557" s="693"/>
      <c r="Z557" s="694"/>
      <c r="AA557" s="595"/>
      <c r="AB557" s="354" t="str">
        <f t="shared" si="419"/>
        <v>#REF!</v>
      </c>
      <c r="AC557" s="181"/>
      <c r="AD557" s="625"/>
      <c r="AE557" s="626"/>
      <c r="AF557" s="696"/>
      <c r="AG557" s="697"/>
      <c r="AH557" s="629"/>
      <c r="AI557" s="187"/>
      <c r="AJ557" s="630"/>
      <c r="AK557" s="630"/>
      <c r="AL557" s="595"/>
      <c r="AM557" s="595"/>
      <c r="AN557" s="595"/>
      <c r="AO557" s="595"/>
      <c r="AP557" s="595"/>
      <c r="AQ557" s="595"/>
      <c r="AR557" s="595"/>
      <c r="AS557" s="595"/>
      <c r="AT557" s="595"/>
      <c r="AU557" s="595"/>
      <c r="AV557" s="595"/>
      <c r="AW557" s="595"/>
      <c r="AX557" s="595"/>
      <c r="AY557" s="595"/>
      <c r="AZ557" s="595"/>
      <c r="BA557" s="595"/>
      <c r="BB557" s="595"/>
      <c r="BC557" s="595"/>
      <c r="BD557" s="595"/>
      <c r="BE557" s="595"/>
      <c r="BF557" s="595"/>
      <c r="BG557" s="595"/>
      <c r="BH557" s="595"/>
      <c r="BI557" s="651"/>
      <c r="BJ557" s="651"/>
      <c r="BK557" s="651"/>
      <c r="BL557" s="651"/>
      <c r="BM557" s="651"/>
      <c r="BN557" s="651"/>
      <c r="BO557" s="651"/>
      <c r="BP557" s="651"/>
      <c r="BQ557" s="651"/>
      <c r="BR557" s="651"/>
      <c r="BS557" s="651"/>
      <c r="BT557" s="651"/>
    </row>
    <row r="558">
      <c r="A558" s="631"/>
      <c r="B558" s="154"/>
      <c r="C558" s="702"/>
      <c r="D558" s="701"/>
      <c r="E558" s="722"/>
      <c r="F558" s="699"/>
      <c r="G558" s="700"/>
      <c r="H558" s="700"/>
      <c r="I558" s="712"/>
      <c r="J558" s="701"/>
      <c r="K558" s="701" t="str">
        <f>IFERROR(
  IF(B558="", "", VLOOKUP(B558, Data!$B$2:$K$905, 7, FALSE)),
  ""
)</f>
        <v/>
      </c>
      <c r="L558" s="704"/>
      <c r="M558" s="704"/>
      <c r="N558" s="711" t="str">
        <f>IFERROR(__xludf.DUMMYFUNCTION("IF(B558="""", """", IFERROR(1 / COS(RADIANS(REGEXEXTRACT(F558,""(\d+)""))), 1))"),"")</f>
        <v/>
      </c>
      <c r="O558" s="712"/>
      <c r="P558" s="700"/>
      <c r="Q558" s="704"/>
      <c r="R558" s="681" t="str">
        <f>IFERROR(
  IF(B558="", "", VLOOKUP(B558, Data!$B$2:$K$905, 9, FALSE)),
  ""
)</f>
        <v/>
      </c>
      <c r="S558" s="691"/>
      <c r="T558" s="690"/>
      <c r="U558" s="681" t="str">
        <f>IFERROR(
  IF(B558="", "", VLOOKUP(B558, Data!$B$2:$K$905, 10, FALSE)),
  ""
)
</f>
        <v/>
      </c>
      <c r="V558" s="691"/>
      <c r="W558" s="713"/>
      <c r="X558" s="692"/>
      <c r="Y558" s="595"/>
      <c r="Z558" s="595"/>
      <c r="AA558" s="595"/>
      <c r="AB558" s="354">
        <f t="shared" si="419"/>
        <v>0</v>
      </c>
      <c r="AC558" s="181"/>
      <c r="AD558" s="625"/>
      <c r="AE558" s="626"/>
      <c r="AF558" s="696"/>
      <c r="AG558" s="697"/>
      <c r="AH558" s="629"/>
      <c r="AI558" s="187"/>
      <c r="AJ558" s="630"/>
      <c r="AK558" s="630"/>
      <c r="AL558" s="595"/>
      <c r="AM558" s="595"/>
      <c r="AN558" s="595"/>
      <c r="AO558" s="595"/>
      <c r="AP558" s="595"/>
      <c r="AQ558" s="595"/>
      <c r="AR558" s="595"/>
      <c r="AS558" s="595"/>
      <c r="AT558" s="595"/>
      <c r="AU558" s="595"/>
      <c r="AV558" s="595"/>
      <c r="AW558" s="595"/>
      <c r="AX558" s="595"/>
      <c r="AY558" s="595"/>
      <c r="AZ558" s="595"/>
      <c r="BA558" s="595"/>
      <c r="BB558" s="595"/>
      <c r="BC558" s="595"/>
      <c r="BD558" s="595"/>
      <c r="BE558" s="595"/>
      <c r="BF558" s="595"/>
      <c r="BG558" s="595"/>
      <c r="BH558" s="595"/>
      <c r="BI558" s="651"/>
      <c r="BJ558" s="651"/>
      <c r="BK558" s="651"/>
      <c r="BL558" s="651"/>
      <c r="BM558" s="651"/>
      <c r="BN558" s="651"/>
      <c r="BO558" s="651"/>
      <c r="BP558" s="651"/>
      <c r="BQ558" s="651"/>
      <c r="BR558" s="651"/>
      <c r="BS558" s="651"/>
      <c r="BT558" s="651"/>
    </row>
    <row r="559">
      <c r="A559" s="631">
        <v>1.0</v>
      </c>
      <c r="B559" s="764" t="s">
        <v>425</v>
      </c>
      <c r="C559" s="780" t="s">
        <v>93</v>
      </c>
      <c r="D559" s="172"/>
      <c r="E559" s="654"/>
      <c r="F559" s="655"/>
      <c r="G559" s="656"/>
      <c r="H559" s="656"/>
      <c r="I559" s="658"/>
      <c r="J559" s="656"/>
      <c r="K559" s="656" t="s">
        <v>42</v>
      </c>
      <c r="L559" s="658"/>
      <c r="M559" s="658" t="s">
        <v>42</v>
      </c>
      <c r="N559" s="659"/>
      <c r="O559" s="658"/>
      <c r="P559" s="656"/>
      <c r="Q559" s="658"/>
      <c r="R559" s="681" t="str">
        <f>IFERROR(
  IF(B559="", "", VLOOKUP(B559, Data!$B$2:$K$905, 9, FALSE)),
  ""
)</f>
        <v/>
      </c>
      <c r="S559" s="662"/>
      <c r="T559" s="661"/>
      <c r="U559" s="681" t="str">
        <f>IFERROR(
  IF(B559="", "", VLOOKUP(B559, Data!$B$2:$K$905, 10, FALSE)),
  ""
)
</f>
        <v/>
      </c>
      <c r="V559" s="662"/>
      <c r="W559" s="663"/>
      <c r="X559" s="692"/>
      <c r="Y559" s="595"/>
      <c r="Z559" s="595"/>
      <c r="AA559" s="595"/>
      <c r="AB559" s="595"/>
      <c r="AC559" s="181"/>
      <c r="AD559" s="625"/>
      <c r="AE559" s="626"/>
      <c r="AF559" s="696"/>
      <c r="AG559" s="697"/>
      <c r="AH559" s="629"/>
      <c r="AI559" s="187"/>
      <c r="AJ559" s="630"/>
      <c r="AK559" s="630"/>
      <c r="AL559" s="595"/>
      <c r="AM559" s="595"/>
      <c r="AN559" s="595"/>
      <c r="AO559" s="595"/>
      <c r="AP559" s="595"/>
      <c r="AQ559" s="595"/>
      <c r="AR559" s="595"/>
      <c r="AS559" s="595"/>
      <c r="AT559" s="595"/>
      <c r="AU559" s="595"/>
      <c r="AV559" s="595"/>
      <c r="AW559" s="595"/>
      <c r="AX559" s="595"/>
      <c r="AY559" s="595"/>
      <c r="AZ559" s="595"/>
      <c r="BA559" s="595"/>
      <c r="BB559" s="595"/>
      <c r="BC559" s="595"/>
      <c r="BD559" s="595"/>
      <c r="BE559" s="595"/>
      <c r="BF559" s="595"/>
      <c r="BG559" s="595"/>
      <c r="BH559" s="595"/>
      <c r="BI559" s="651"/>
      <c r="BJ559" s="651"/>
      <c r="BK559" s="651"/>
      <c r="BL559" s="651"/>
      <c r="BM559" s="651"/>
      <c r="BN559" s="651"/>
      <c r="BO559" s="651"/>
      <c r="BP559" s="651"/>
      <c r="BQ559" s="651"/>
      <c r="BR559" s="651"/>
      <c r="BS559" s="651"/>
      <c r="BT559" s="651"/>
    </row>
    <row r="560">
      <c r="A560" s="631">
        <v>1.0</v>
      </c>
      <c r="B560" s="727"/>
      <c r="C560" s="769" t="s">
        <v>558</v>
      </c>
      <c r="D560" s="678"/>
      <c r="E560" s="676"/>
      <c r="F560" s="677"/>
      <c r="G560" s="678"/>
      <c r="H560" s="678"/>
      <c r="I560" s="679"/>
      <c r="J560" s="678"/>
      <c r="K560" s="678" t="s">
        <v>42</v>
      </c>
      <c r="L560" s="106">
        <f>Q560</f>
        <v>17.3</v>
      </c>
      <c r="M560" s="679" t="s">
        <v>42</v>
      </c>
      <c r="N560" s="680"/>
      <c r="O560" s="679"/>
      <c r="P560" s="678"/>
      <c r="Q560" s="106">
        <f>Q561</f>
        <v>17.3</v>
      </c>
      <c r="R560" s="681" t="str">
        <f>IFERROR(
  IF(B560="", "", VLOOKUP(B560, Data!$B$2:$K$905, 9, FALSE)),
  ""
)</f>
        <v/>
      </c>
      <c r="S560" s="682">
        <f>IFERROR(T560/Q560, 0)</f>
        <v>0</v>
      </c>
      <c r="T560" s="109">
        <f>SUM(S561:S566)</f>
        <v>0</v>
      </c>
      <c r="U560" s="681" t="str">
        <f>IFERROR(
  IF(B560="", "", VLOOKUP(B560, Data!$B$2:$K$905, 10, FALSE)),
  ""
)
</f>
        <v/>
      </c>
      <c r="V560" s="109">
        <f>W560/Q560</f>
        <v>0</v>
      </c>
      <c r="W560" s="110">
        <f>SUM(W561:W566)</f>
        <v>0</v>
      </c>
      <c r="X560" s="111" t="str">
        <f>W560/$AC$758/$W$765/$X$755</f>
        <v>#REF!</v>
      </c>
      <c r="Y560" s="112" t="b">
        <f>(T560+W560)=(SUM(AB561:AB566))</f>
        <v>1</v>
      </c>
      <c r="Z560" s="222">
        <f>(T560+W560)-(SUM(AB561:AB566))</f>
        <v>0</v>
      </c>
      <c r="AA560" s="595"/>
      <c r="AB560" s="595"/>
      <c r="AC560" s="181"/>
      <c r="AD560" s="114">
        <f>W560+T560</f>
        <v>0</v>
      </c>
      <c r="AE560" s="115">
        <f>AD560</f>
        <v>0</v>
      </c>
      <c r="AF560" s="116" t="str">
        <f>AE560/$AE$733</f>
        <v>#REF!</v>
      </c>
      <c r="AG560" s="683" t="str">
        <f>AF560*$AG$740</f>
        <v>#REF!</v>
      </c>
      <c r="AH560" s="118" t="str">
        <f>AF560*$AG$743</f>
        <v>#REF!</v>
      </c>
      <c r="AI560" s="187"/>
      <c r="AJ560" s="119" t="str">
        <f>ROUND(AK560/L560,2)</f>
        <v>#REF!</v>
      </c>
      <c r="AK560" s="119" t="str">
        <f>ROUND(AH560+AG560+AD560,2)</f>
        <v>#REF!</v>
      </c>
      <c r="AL560" s="595"/>
      <c r="AM560" s="595"/>
      <c r="AN560" s="595"/>
      <c r="AO560" s="595"/>
      <c r="AP560" s="595"/>
      <c r="AQ560" s="595"/>
      <c r="AR560" s="595"/>
      <c r="AS560" s="595"/>
      <c r="AT560" s="595"/>
      <c r="AU560" s="595"/>
      <c r="AV560" s="595"/>
      <c r="AW560" s="595"/>
      <c r="AX560" s="595"/>
      <c r="AY560" s="595"/>
      <c r="AZ560" s="595"/>
      <c r="BA560" s="595"/>
      <c r="BB560" s="595"/>
      <c r="BC560" s="595"/>
      <c r="BD560" s="595"/>
      <c r="BE560" s="595"/>
      <c r="BF560" s="595"/>
      <c r="BG560" s="595"/>
      <c r="BH560" s="595"/>
      <c r="BI560" s="651"/>
      <c r="BJ560" s="651"/>
      <c r="BK560" s="651"/>
      <c r="BL560" s="651"/>
      <c r="BM560" s="651"/>
      <c r="BN560" s="651"/>
      <c r="BO560" s="651"/>
      <c r="BP560" s="651"/>
      <c r="BQ560" s="651"/>
      <c r="BR560" s="651"/>
      <c r="BS560" s="651"/>
      <c r="BT560" s="651"/>
    </row>
    <row r="561">
      <c r="A561" s="703" t="s">
        <v>444</v>
      </c>
      <c r="B561" s="154" t="str">
        <f>IFERROR(__xludf.DUMMYFUNCTION("IFERROR(
  IF(C561="""","""",
    IF(OR(REGEXMATCH(D561,""(?i)-Flashing""), REGEXMATCH(D561,""(?i)-EavesGut""), REGEXMATCH(D561,""(?i)Valley"")),
        ""DR"" &amp;
        TEXT(
            ROUNDUP(
                MIN(
                    VALUE(MID(C561, "&amp;"FIND(""("",C561)+1, FIND(""/"",C561)-FIND(""("",C561)-1)),
                    1200
                ) / 50, 0
            ) * 50, ""0""
        ) &amp;
        MID(C561, FIND(""/"",C561)+1, FIND("")"",C561)-FIND(""/"",C561)-1) &amp;
        TEXT(H561*100,""0"") &amp;"&amp;"
        I561,
    IF(AND(D561=""Roof Sheet"", REGEXMATCH(C561,""(?i)KS\d{4}[A-Z]{2}"")),
       REGEXEXTRACT(C561,""(?i)KS\d{4}[A-Z]{2}""),
    IF(AND(REGEXMATCH(D561,""(?i)-DP""), REGEXMATCH(C561,""(?i)Downpipe"")),
       ""dp"" &amp; REGEXEXTRACT(C561,""("&amp;"\d+)"") &amp; ""mm"",
    IF(AND(REGEXMATCH(D561,""(?i)Bracket""), REGEXMATCH(C561,""(?i)Bracket"")),
       ""Brkt"" &amp; REGEXEXTRACT(C561,""(\d+)"") &amp; ""mm"",
    IF(AND(REGEXMATCH(D561,""(?i)-OP""), REGEXMATCH(C561,""(?i)pops"")),
       ""op"" &amp; REGEXEXTRAC"&amp;"T(C561,""(\d+)"") &amp; ""mm"",
    IF(OR(D561=""R-FFTop"", D561=""R-FFBottom"", D561=""R-FFSide""),
        IF(REGEXMATCH(C561,""(?i)Profiled.*Top|Top.*Profiled""),""pfft"",
        IF(REGEXMATCH(C561,""(?i)Profiled.*Bottom|Bottom.*Profiled""),""pffb"",
    "&amp;"    IF(REGEXMATCH(C561,""(?i)Square""),""sff"",""""))),
    IF(REGEXMATCH(D561,""(?i)-Rivets""),""Rvt"",
    IF(REGEXMATCH(D561,""(?i)Silicone""),""300ml"",
    IF(REGEXMATCH(D561,""(?i)R-Butyl""),""300ml"",
    IF(REGEXMATCH(D561,""(?i)Fix""),""GenFix"","&amp;"
    IF(AND(REGEXMATCH(C561,""(?i)Timber""), REGEXMATCH(D561,""(?i)Timber"")),""tp"",
    IF(AND(REGEXMATCH(C561,""(?i)Vent G1275""), REGEXMATCH(D561,""(?i)Comb FIller"")),""CFV1275"",
    IF(REGEXMATCH(C561,""(?i)DPC""),""dpc"",
    IF(REGEXMATCH(C561,"""&amp;"(?i)Concealed Clips""),""ConClips"",
    IF(REGEXMATCH(D561,""(?i)-Takeoff ea""),""Takeoff ea"",
    IF(REGEXMATCH(D561,""(?i)-Takeoff LM""),""Takeoff LM"",
    IF(REGEXMATCH(D561,""(?i)-Takeoff m2""),""Takeoff m2"",
    IF(D561=""R-TU/TD"",""TU/TD"","""""&amp;")))))))))))))))))
  )))"),"DR5503B55Mag")</f>
        <v>DR5503B55Mag</v>
      </c>
      <c r="C561" s="698" t="s">
        <v>559</v>
      </c>
      <c r="D561" s="124" t="s">
        <v>161</v>
      </c>
      <c r="E561" s="687">
        <f>VALUE(MID(C561, FIND("(", C561)+1, FIND("/", C561)-FIND("(", C561)-1)) / 1000</f>
        <v>0.53</v>
      </c>
      <c r="F561" s="688"/>
      <c r="G561" s="689" t="s">
        <v>547</v>
      </c>
      <c r="H561" s="128" t="str">
        <f>IFERROR(__xludf.DUMMYFUNCTION("IFERROR(REGEXEXTRACT(C561, ""(\d*\.\d+)mm""), """")"),"0.55")</f>
        <v>0.55</v>
      </c>
      <c r="I561" s="168" t="s">
        <v>97</v>
      </c>
      <c r="J561" s="126" t="s">
        <v>14</v>
      </c>
      <c r="K561" s="126" t="str">
        <f>IFERROR(
  IF(B561="", "", VLOOKUP(B561, Data!$B$2:$K$905, 7, FALSE)),
  ""
)</f>
        <v/>
      </c>
      <c r="L561" s="704"/>
      <c r="M561" s="730">
        <v>17.3</v>
      </c>
      <c r="N561" s="151">
        <f>IFERROR(__xludf.DUMMYFUNCTION("IF(
  AND(
    IFERROR(REGEXEXTRACT(C561,""@\s*(\d+(?:\.\d+)?)\s*deg""),"""")&lt;&gt;"""",
    F561&lt;&gt;""""
  ),
  ""Pls Confirm °"",
  IF(
    IFERROR(REGEXEXTRACT(C561,""@\s*(\d+(?:\.\d+)?)\s*deg""),"""")&lt;&gt;"""",
    1/COS(RADIANS(REGEXEXTRACT(C561,""@\s*(\d+(?:"&amp;"\.\d+)?)\s*deg""))),
    IF(
      F561&lt;&gt;"""",
      IF(
        ISNUMBER(SEARCH(""|"",F561)),
        1/COS(
          ATAN(
            TAN(RADIANS(VALUE(INDEX(SPLIT(F561,""|""),1)))) *
            TAN(RADIANS(VALUE(INDEX(SPLIT(F561,""|""),2))))
       "&amp;"     /
            SQRT(
              TAN(RADIANS(VALUE(INDEX(SPLIT(F561,""|""),1))))^2 +
              TAN(RADIANS(VALUE(INDEX(SPLIT(F561,""|""),2))))^2
            )
          )
        ),
        1/COS(RADIANS(VALUE(F561)))
      ),
      1
    )
  )
"&amp;")"),1.0)</f>
        <v>1</v>
      </c>
      <c r="O561" s="169">
        <v>1.0</v>
      </c>
      <c r="P561" s="134">
        <v>1.0</v>
      </c>
      <c r="Q561" s="168">
        <f t="shared" ref="Q561:Q565" si="420">M561*N561*O561*P561</f>
        <v>17.3</v>
      </c>
      <c r="R561" s="136" t="str">
        <f>IFERROR(
  IF(B561="", "", VLOOKUP(B561, Data!$B$2:$K$905, 9, FALSE)),
  ""
)</f>
        <v/>
      </c>
      <c r="S561" s="152">
        <f t="shared" ref="S561:S565" si="421">R561*Q561</f>
        <v>0</v>
      </c>
      <c r="T561" s="690"/>
      <c r="U561" s="136" t="str">
        <f>IFERROR(
  IF(B561="", "", VLOOKUP(B561, Data!$B$2:$K$905, 10, FALSE)),
  ""
)
</f>
        <v/>
      </c>
      <c r="V561" s="691"/>
      <c r="W561" s="140">
        <f t="shared" ref="W561:W565" si="422">U561*Q561</f>
        <v>0</v>
      </c>
      <c r="X561" s="692"/>
      <c r="Y561" s="693"/>
      <c r="Z561" s="731"/>
      <c r="AA561" s="595"/>
      <c r="AB561" s="354">
        <f t="shared" ref="AB561:AB566" si="423">W561+S561</f>
        <v>0</v>
      </c>
      <c r="AC561" s="181"/>
      <c r="AD561" s="625"/>
      <c r="AE561" s="626"/>
      <c r="AF561" s="696"/>
      <c r="AG561" s="697"/>
      <c r="AH561" s="629"/>
      <c r="AI561" s="187"/>
      <c r="AJ561" s="630"/>
      <c r="AK561" s="630"/>
      <c r="AL561" s="595"/>
      <c r="AM561" s="595"/>
      <c r="AN561" s="595"/>
      <c r="AO561" s="595"/>
      <c r="AP561" s="595"/>
      <c r="AQ561" s="595"/>
      <c r="AR561" s="595"/>
      <c r="AS561" s="595"/>
      <c r="AT561" s="595"/>
      <c r="AU561" s="595"/>
      <c r="AV561" s="595"/>
      <c r="AW561" s="595"/>
      <c r="AX561" s="595"/>
      <c r="AY561" s="595"/>
      <c r="AZ561" s="595"/>
      <c r="BA561" s="595"/>
      <c r="BB561" s="595"/>
      <c r="BC561" s="595"/>
      <c r="BD561" s="595"/>
      <c r="BE561" s="595"/>
      <c r="BF561" s="595"/>
      <c r="BG561" s="595"/>
      <c r="BH561" s="595"/>
      <c r="BI561" s="651"/>
      <c r="BJ561" s="651"/>
      <c r="BK561" s="651"/>
      <c r="BL561" s="651"/>
      <c r="BM561" s="651"/>
      <c r="BN561" s="651"/>
      <c r="BO561" s="651"/>
      <c r="BP561" s="651"/>
      <c r="BQ561" s="651"/>
      <c r="BR561" s="651"/>
      <c r="BS561" s="651"/>
      <c r="BT561" s="651"/>
    </row>
    <row r="562">
      <c r="A562" s="684"/>
      <c r="B562" s="154" t="str">
        <f>IFERROR(__xludf.DUMMYFUNCTION("IFERROR(
  IF(C562="""","""",
    IF(OR(REGEXMATCH(D562,""(?i)-Flashing""), REGEXMATCH(D562,""(?i)-EavesGut""), REGEXMATCH(D562,""(?i)Valley"")),
        ""DR"" &amp;
        TEXT(
            ROUNDUP(
                MIN(
                    VALUE(MID(C562, "&amp;"FIND(""("",C562)+1, FIND(""/"",C562)-FIND(""("",C562)-1)),
                    1200
                ) / 50, 0
            ) * 50, ""0""
        ) &amp;
        MID(C562, FIND(""/"",C562)+1, FIND("")"",C562)-FIND(""/"",C562)-1) &amp;
        TEXT(H562*100,""0"") &amp;"&amp;"
        I562,
    IF(AND(D562=""Roof Sheet"", REGEXMATCH(C562,""(?i)KS\d{4}[A-Z]{2}"")),
       REGEXEXTRACT(C562,""(?i)KS\d{4}[A-Z]{2}""),
    IF(AND(REGEXMATCH(D562,""(?i)-DP""), REGEXMATCH(C562,""(?i)Downpipe"")),
       ""dp"" &amp; REGEXEXTRACT(C562,""("&amp;"\d+)"") &amp; ""mm"",
    IF(AND(REGEXMATCH(D562,""(?i)Bracket""), REGEXMATCH(C562,""(?i)Bracket"")),
       ""Brkt"" &amp; REGEXEXTRACT(C562,""(\d+)"") &amp; ""mm"",
    IF(AND(REGEXMATCH(D562,""(?i)-OP""), REGEXMATCH(C562,""(?i)pops"")),
       ""op"" &amp; REGEXEXTRAC"&amp;"T(C562,""(\d+)"") &amp; ""mm"",
    IF(OR(D562=""R-FFTop"", D562=""R-FFBottom"", D562=""R-FFSide""),
        IF(REGEXMATCH(C562,""(?i)Profiled.*Top|Top.*Profiled""),""pfft"",
        IF(REGEXMATCH(C562,""(?i)Profiled.*Bottom|Bottom.*Profiled""),""pffb"",
    "&amp;"    IF(REGEXMATCH(C562,""(?i)Square""),""sff"",""""))),
    IF(REGEXMATCH(D562,""(?i)-Rivets""),""Rvt"",
    IF(REGEXMATCH(D562,""(?i)Silicone""),""300ml"",
    IF(REGEXMATCH(D562,""(?i)R-Butyl""),""300ml"",
    IF(REGEXMATCH(D562,""(?i)Fix""),""GenFix"","&amp;"
    IF(AND(REGEXMATCH(C562,""(?i)Timber""), REGEXMATCH(D562,""(?i)Timber"")),""tp"",
    IF(AND(REGEXMATCH(C562,""(?i)Vent G1275""), REGEXMATCH(D562,""(?i)Comb FIller"")),""CFV1275"",
    IF(REGEXMATCH(C562,""(?i)DPC""),""dpc"",
    IF(REGEXMATCH(C562,"""&amp;"(?i)Concealed Clips""),""ConClips"",
    IF(REGEXMATCH(D562,""(?i)-Takeoff ea""),""Takeoff ea"",
    IF(REGEXMATCH(D562,""(?i)-Takeoff LM""),""Takeoff LM"",
    IF(REGEXMATCH(D562,""(?i)-Takeoff m2""),""Takeoff m2"",
    IF(D562=""R-TU/TD"",""TU/TD"","""""&amp;")))))))))))))))))
  )))"),"300ml")</f>
        <v>300ml</v>
      </c>
      <c r="C562" s="734" t="s">
        <v>98</v>
      </c>
      <c r="D562" s="124" t="s">
        <v>162</v>
      </c>
      <c r="E562" s="687">
        <f>E561</f>
        <v>0.53</v>
      </c>
      <c r="F562" s="699"/>
      <c r="G562" s="700"/>
      <c r="H562" s="700" t="str">
        <f>IFERROR(__xludf.DUMMYFUNCTION("IFERROR(REGEXEXTRACT(C562, ""(\d*\.\d+)mm""), """")"),"")</f>
        <v/>
      </c>
      <c r="I562" s="712"/>
      <c r="J562" s="126" t="s">
        <v>87</v>
      </c>
      <c r="K562" s="126" t="str">
        <f>IFERROR(
  IF(B562="", "", VLOOKUP(B562, Data!$B$2:$K$905, 7, FALSE)),
  ""
)</f>
        <v/>
      </c>
      <c r="L562" s="704"/>
      <c r="M562" s="150">
        <f>(ROUNDDOWN((M561/5.7)+2,0)*E562)/8</f>
        <v>0.33125</v>
      </c>
      <c r="N562" s="151">
        <f t="shared" ref="N562:N566" si="424">if(B562="","",(if(N561="",N560,N561)))</f>
        <v>1</v>
      </c>
      <c r="O562" s="169">
        <v>1.0</v>
      </c>
      <c r="P562" s="134">
        <v>1.0</v>
      </c>
      <c r="Q562" s="168">
        <f t="shared" si="420"/>
        <v>0.33125</v>
      </c>
      <c r="R562" s="136" t="str">
        <f>IFERROR(
  IF(B562="", "", VLOOKUP(B562, Data!$B$2:$K$905, 9, FALSE)),
  ""
)</f>
        <v/>
      </c>
      <c r="S562" s="152">
        <f t="shared" si="421"/>
        <v>0</v>
      </c>
      <c r="T562" s="690"/>
      <c r="U562" s="681" t="str">
        <f>IFERROR(
  IF(B562="", "", VLOOKUP(B562, Data!$B$2:$K$905, 10, FALSE)),
  ""
)
</f>
        <v/>
      </c>
      <c r="V562" s="691"/>
      <c r="W562" s="140">
        <f t="shared" si="422"/>
        <v>0</v>
      </c>
      <c r="X562" s="692"/>
      <c r="Y562" s="595"/>
      <c r="Z562" s="595"/>
      <c r="AA562" s="595"/>
      <c r="AB562" s="354">
        <f t="shared" si="423"/>
        <v>0</v>
      </c>
      <c r="AC562" s="181"/>
      <c r="AD562" s="625"/>
      <c r="AE562" s="626"/>
      <c r="AF562" s="696"/>
      <c r="AG562" s="697"/>
      <c r="AH562" s="629"/>
      <c r="AI562" s="187"/>
      <c r="AJ562" s="630"/>
      <c r="AK562" s="630"/>
      <c r="AL562" s="595"/>
      <c r="AM562" s="595"/>
      <c r="AN562" s="595"/>
      <c r="AO562" s="595"/>
      <c r="AP562" s="595"/>
      <c r="AQ562" s="595"/>
      <c r="AR562" s="595"/>
      <c r="AS562" s="595"/>
      <c r="AT562" s="595"/>
      <c r="AU562" s="595"/>
      <c r="AV562" s="595"/>
      <c r="AW562" s="595"/>
      <c r="AX562" s="595"/>
      <c r="AY562" s="595"/>
      <c r="AZ562" s="595"/>
      <c r="BA562" s="595"/>
      <c r="BB562" s="595"/>
      <c r="BC562" s="595"/>
      <c r="BD562" s="595"/>
      <c r="BE562" s="595"/>
      <c r="BF562" s="595"/>
      <c r="BG562" s="595"/>
      <c r="BH562" s="595"/>
      <c r="BI562" s="651"/>
      <c r="BJ562" s="651"/>
      <c r="BK562" s="651"/>
      <c r="BL562" s="651"/>
      <c r="BM562" s="651"/>
      <c r="BN562" s="651"/>
      <c r="BO562" s="651"/>
      <c r="BP562" s="651"/>
      <c r="BQ562" s="651"/>
      <c r="BR562" s="651"/>
      <c r="BS562" s="651"/>
      <c r="BT562" s="651"/>
    </row>
    <row r="563">
      <c r="A563" s="684"/>
      <c r="B563" s="154" t="str">
        <f>IFERROR(__xludf.DUMMYFUNCTION("IFERROR(
  IF(C563="""","""",
    IF(OR(REGEXMATCH(D563,""(?i)-Flashing""), REGEXMATCH(D563,""(?i)-EavesGut""), REGEXMATCH(D563,""(?i)Valley"")),
        ""DR"" &amp;
        TEXT(
            ROUNDUP(
                MIN(
                    VALUE(MID(C563, "&amp;"FIND(""("",C563)+1, FIND(""/"",C563)-FIND(""("",C563)-1)),
                    1200
                ) / 50, 0
            ) * 50, ""0""
        ) &amp;
        MID(C563, FIND(""/"",C563)+1, FIND("")"",C563)-FIND(""/"",C563)-1) &amp;
        TEXT(H563*100,""0"") &amp;"&amp;"
        I563,
    IF(AND(D563=""Roof Sheet"", REGEXMATCH(C563,""(?i)KS\d{4}[A-Z]{2}"")),
       REGEXEXTRACT(C563,""(?i)KS\d{4}[A-Z]{2}""),
    IF(AND(REGEXMATCH(D563,""(?i)-DP""), REGEXMATCH(C563,""(?i)Downpipe"")),
       ""dp"" &amp; REGEXEXTRACT(C563,""("&amp;"\d+)"") &amp; ""mm"",
    IF(AND(REGEXMATCH(D563,""(?i)Bracket""), REGEXMATCH(C563,""(?i)Bracket"")),
       ""Brkt"" &amp; REGEXEXTRACT(C563,""(\d+)"") &amp; ""mm"",
    IF(AND(REGEXMATCH(D563,""(?i)-OP""), REGEXMATCH(C563,""(?i)pops"")),
       ""op"" &amp; REGEXEXTRAC"&amp;"T(C563,""(\d+)"") &amp; ""mm"",
    IF(OR(D563=""R-FFTop"", D563=""R-FFBottom"", D563=""R-FFSide""),
        IF(REGEXMATCH(C563,""(?i)Profiled.*Top|Top.*Profiled""),""pfft"",
        IF(REGEXMATCH(C563,""(?i)Profiled.*Bottom|Bottom.*Profiled""),""pffb"",
    "&amp;"    IF(REGEXMATCH(C563,""(?i)Square""),""sff"",""""))),
    IF(REGEXMATCH(D563,""(?i)-Rivets""),""Rvt"",
    IF(REGEXMATCH(D563,""(?i)Silicone""),""300ml"",
    IF(REGEXMATCH(D563,""(?i)R-Butyl""),""300ml"",
    IF(REGEXMATCH(D563,""(?i)Fix""),""GenFix"","&amp;"
    IF(AND(REGEXMATCH(C563,""(?i)Timber""), REGEXMATCH(D563,""(?i)Timber"")),""tp"",
    IF(AND(REGEXMATCH(C563,""(?i)Vent G1275""), REGEXMATCH(D563,""(?i)Comb FIller"")),""CFV1275"",
    IF(REGEXMATCH(C563,""(?i)DPC""),""dpc"",
    IF(REGEXMATCH(C563,"""&amp;"(?i)Concealed Clips""),""ConClips"",
    IF(REGEXMATCH(D563,""(?i)-Takeoff ea""),""Takeoff ea"",
    IF(REGEXMATCH(D563,""(?i)-Takeoff LM""),""Takeoff LM"",
    IF(REGEXMATCH(D563,""(?i)-Takeoff m2""),""Takeoff m2"",
    IF(D563=""R-TU/TD"",""TU/TD"","""""&amp;")))))))))))))))))
  )))"),"Rvt")</f>
        <v>Rvt</v>
      </c>
      <c r="C563" s="734" t="s">
        <v>100</v>
      </c>
      <c r="D563" s="124" t="s">
        <v>163</v>
      </c>
      <c r="E563" s="687">
        <f>E561</f>
        <v>0.53</v>
      </c>
      <c r="F563" s="699"/>
      <c r="G563" s="700"/>
      <c r="H563" s="700" t="str">
        <f>IFERROR(__xludf.DUMMYFUNCTION("IFERROR(REGEXEXTRACT(C563, ""(\d*\.\d+)mm""), """")"),"")</f>
        <v/>
      </c>
      <c r="I563" s="712"/>
      <c r="J563" s="126" t="s">
        <v>87</v>
      </c>
      <c r="K563" s="126" t="str">
        <f>IFERROR(
  IF(B563="", "", VLOOKUP(B563, Data!$B$2:$K$905, 7, FALSE)),
  ""
)</f>
        <v/>
      </c>
      <c r="L563" s="704"/>
      <c r="M563" s="150">
        <f>ROUNDUP(((M561/5.7)+1)*(E563/0.05),0)</f>
        <v>43</v>
      </c>
      <c r="N563" s="151">
        <f t="shared" si="424"/>
        <v>1</v>
      </c>
      <c r="O563" s="169">
        <v>1.0</v>
      </c>
      <c r="P563" s="134">
        <v>1.0</v>
      </c>
      <c r="Q563" s="168">
        <f t="shared" si="420"/>
        <v>43</v>
      </c>
      <c r="R563" s="136" t="str">
        <f>IFERROR(
  IF(B563="", "", VLOOKUP(B563, Data!$B$2:$K$905, 9, FALSE)),
  ""
)</f>
        <v/>
      </c>
      <c r="S563" s="152">
        <f t="shared" si="421"/>
        <v>0</v>
      </c>
      <c r="T563" s="690"/>
      <c r="U563" s="681" t="str">
        <f>IFERROR(
  IF(B563="", "", VLOOKUP(B563, Data!$B$2:$K$905, 10, FALSE)),
  ""
)
</f>
        <v/>
      </c>
      <c r="V563" s="691"/>
      <c r="W563" s="140">
        <f t="shared" si="422"/>
        <v>0</v>
      </c>
      <c r="X563" s="692"/>
      <c r="Y563" s="595"/>
      <c r="Z563" s="595"/>
      <c r="AA563" s="595"/>
      <c r="AB563" s="354">
        <f t="shared" si="423"/>
        <v>0</v>
      </c>
      <c r="AC563" s="181"/>
      <c r="AD563" s="625"/>
      <c r="AE563" s="626"/>
      <c r="AF563" s="696"/>
      <c r="AG563" s="697"/>
      <c r="AH563" s="629"/>
      <c r="AI563" s="187"/>
      <c r="AJ563" s="630"/>
      <c r="AK563" s="630"/>
      <c r="AL563" s="595"/>
      <c r="AM563" s="595"/>
      <c r="AN563" s="595"/>
      <c r="AO563" s="595"/>
      <c r="AP563" s="595"/>
      <c r="AQ563" s="595"/>
      <c r="AR563" s="595"/>
      <c r="AS563" s="595"/>
      <c r="AT563" s="595"/>
      <c r="AU563" s="595"/>
      <c r="AV563" s="595"/>
      <c r="AW563" s="595"/>
      <c r="AX563" s="595"/>
      <c r="AY563" s="595"/>
      <c r="AZ563" s="595"/>
      <c r="BA563" s="595"/>
      <c r="BB563" s="595"/>
      <c r="BC563" s="595"/>
      <c r="BD563" s="595"/>
      <c r="BE563" s="595"/>
      <c r="BF563" s="595"/>
      <c r="BG563" s="595"/>
      <c r="BH563" s="595"/>
      <c r="BI563" s="651"/>
      <c r="BJ563" s="651"/>
      <c r="BK563" s="651"/>
      <c r="BL563" s="651"/>
      <c r="BM563" s="651"/>
      <c r="BN563" s="651"/>
      <c r="BO563" s="651"/>
      <c r="BP563" s="651"/>
      <c r="BQ563" s="651"/>
      <c r="BR563" s="651"/>
      <c r="BS563" s="651"/>
      <c r="BT563" s="651"/>
    </row>
    <row r="564">
      <c r="A564" s="684"/>
      <c r="B564" s="154" t="str">
        <f>IFERROR(__xludf.DUMMYFUNCTION("IFERROR(
  IF(C564="""","""",
    IF(OR(REGEXMATCH(D564,""(?i)-Flashing""), REGEXMATCH(D564,""(?i)-EavesGut""), REGEXMATCH(D564,""(?i)Valley"")),
        ""DR"" &amp;
        TEXT(
            ROUNDUP(
                MIN(
                    VALUE(MID(C564, "&amp;"FIND(""("",C564)+1, FIND(""/"",C564)-FIND(""("",C564)-1)),
                    1200
                ) / 50, 0
            ) * 50, ""0""
        ) &amp;
        MID(C564, FIND(""/"",C564)+1, FIND("")"",C564)-FIND(""/"",C564)-1) &amp;
        TEXT(H564*100,""0"") &amp;"&amp;"
        I564,
    IF(AND(D564=""Roof Sheet"", REGEXMATCH(C564,""(?i)KS\d{4}[A-Z]{2}"")),
       REGEXEXTRACT(C564,""(?i)KS\d{4}[A-Z]{2}""),
    IF(AND(REGEXMATCH(D564,""(?i)-DP""), REGEXMATCH(C564,""(?i)Downpipe"")),
       ""dp"" &amp; REGEXEXTRACT(C564,""("&amp;"\d+)"") &amp; ""mm"",
    IF(AND(REGEXMATCH(D564,""(?i)Bracket""), REGEXMATCH(C564,""(?i)Bracket"")),
       ""Brkt"" &amp; REGEXEXTRACT(C564,""(\d+)"") &amp; ""mm"",
    IF(AND(REGEXMATCH(D564,""(?i)-OP""), REGEXMATCH(C564,""(?i)pops"")),
       ""op"" &amp; REGEXEXTRAC"&amp;"T(C564,""(\d+)"") &amp; ""mm"",
    IF(OR(D564=""R-FFTop"", D564=""R-FFBottom"", D564=""R-FFSide""),
        IF(REGEXMATCH(C564,""(?i)Profiled.*Top|Top.*Profiled""),""pfft"",
        IF(REGEXMATCH(C564,""(?i)Profiled.*Bottom|Bottom.*Profiled""),""pffb"",
    "&amp;"    IF(REGEXMATCH(C564,""(?i)Square""),""sff"",""""))),
    IF(REGEXMATCH(D564,""(?i)-Rivets""),""Rvt"",
    IF(REGEXMATCH(D564,""(?i)Silicone""),""300ml"",
    IF(REGEXMATCH(D564,""(?i)R-Butyl""),""300ml"",
    IF(REGEXMATCH(D564,""(?i)Fix""),""GenFix"","&amp;"
    IF(AND(REGEXMATCH(C564,""(?i)Timber""), REGEXMATCH(D564,""(?i)Timber"")),""tp"",
    IF(AND(REGEXMATCH(C564,""(?i)Vent G1275""), REGEXMATCH(D564,""(?i)Comb FIller"")),""CFV1275"",
    IF(REGEXMATCH(C564,""(?i)DPC""),""dpc"",
    IF(REGEXMATCH(C564,"""&amp;"(?i)Concealed Clips""),""ConClips"",
    IF(REGEXMATCH(D564,""(?i)-Takeoff ea""),""Takeoff ea"",
    IF(REGEXMATCH(D564,""(?i)-Takeoff LM""),""Takeoff LM"",
    IF(REGEXMATCH(D564,""(?i)-Takeoff m2""),""Takeoff m2"",
    IF(D564=""R-TU/TD"",""TU/TD"","""""&amp;")))))))))))))))))
  )))"),"GenFix")</f>
        <v>GenFix</v>
      </c>
      <c r="C564" s="698" t="s">
        <v>102</v>
      </c>
      <c r="D564" s="124" t="s">
        <v>164</v>
      </c>
      <c r="E564" s="722"/>
      <c r="F564" s="699"/>
      <c r="G564" s="701"/>
      <c r="H564" s="700"/>
      <c r="I564" s="712"/>
      <c r="J564" s="126" t="s">
        <v>87</v>
      </c>
      <c r="K564" s="126" t="str">
        <f>IFERROR(
  IF(B564="", "", VLOOKUP(B564, Data!$B$2:$K$905, 7, FALSE)),
  ""
)</f>
        <v/>
      </c>
      <c r="L564" s="712"/>
      <c r="M564" s="150">
        <f>ROUNDUP(M561/0.6,0)+1</f>
        <v>30</v>
      </c>
      <c r="N564" s="151">
        <f t="shared" si="424"/>
        <v>1</v>
      </c>
      <c r="O564" s="169">
        <v>1.0</v>
      </c>
      <c r="P564" s="134">
        <v>2.0</v>
      </c>
      <c r="Q564" s="168">
        <f t="shared" si="420"/>
        <v>60</v>
      </c>
      <c r="R564" s="136" t="str">
        <f>IFERROR(
  IF(B564="", "", VLOOKUP(B564, Data!$B$2:$K$905, 9, FALSE)),
  ""
)</f>
        <v/>
      </c>
      <c r="S564" s="152">
        <f t="shared" si="421"/>
        <v>0</v>
      </c>
      <c r="T564" s="690"/>
      <c r="U564" s="681" t="str">
        <f>IFERROR(
  IF(B564="", "", VLOOKUP(B564, Data!$B$2:$K$905, 10, FALSE)),
  ""
)
</f>
        <v/>
      </c>
      <c r="V564" s="691"/>
      <c r="W564" s="140">
        <f t="shared" si="422"/>
        <v>0</v>
      </c>
      <c r="X564" s="692"/>
      <c r="Y564" s="595"/>
      <c r="Z564" s="595"/>
      <c r="AA564" s="595"/>
      <c r="AB564" s="354">
        <f t="shared" si="423"/>
        <v>0</v>
      </c>
      <c r="AC564" s="181"/>
      <c r="AD564" s="625"/>
      <c r="AE564" s="626"/>
      <c r="AF564" s="696"/>
      <c r="AG564" s="697"/>
      <c r="AH564" s="629"/>
      <c r="AI564" s="187"/>
      <c r="AJ564" s="630"/>
      <c r="AK564" s="630"/>
      <c r="AL564" s="595"/>
      <c r="AM564" s="595"/>
      <c r="AN564" s="595"/>
      <c r="AO564" s="595"/>
      <c r="AP564" s="595"/>
      <c r="AQ564" s="595"/>
      <c r="AR564" s="595"/>
      <c r="AS564" s="595"/>
      <c r="AT564" s="595"/>
      <c r="AU564" s="595"/>
      <c r="AV564" s="595"/>
      <c r="AW564" s="595"/>
      <c r="AX564" s="595"/>
      <c r="AY564" s="595"/>
      <c r="AZ564" s="595"/>
      <c r="BA564" s="595"/>
      <c r="BB564" s="595"/>
      <c r="BC564" s="595"/>
      <c r="BD564" s="595"/>
      <c r="BE564" s="595"/>
      <c r="BF564" s="595"/>
      <c r="BG564" s="595"/>
      <c r="BH564" s="595"/>
      <c r="BI564" s="651"/>
      <c r="BJ564" s="651"/>
      <c r="BK564" s="651"/>
      <c r="BL564" s="651"/>
      <c r="BM564" s="651"/>
      <c r="BN564" s="651"/>
      <c r="BO564" s="651"/>
      <c r="BP564" s="651"/>
      <c r="BQ564" s="651"/>
      <c r="BR564" s="651"/>
      <c r="BS564" s="651"/>
      <c r="BT564" s="651"/>
    </row>
    <row r="565">
      <c r="A565" s="684"/>
      <c r="B565" s="154" t="str">
        <f>IFERROR(__xludf.DUMMYFUNCTION("IFERROR(
  IF(C565="""","""",
    IF(OR(REGEXMATCH(D565,""(?i)-Flashing""), REGEXMATCH(D565,""(?i)-EavesGut""), REGEXMATCH(D565,""(?i)Valley"")),
        ""DR"" &amp;
        TEXT(
            ROUNDUP(
                MIN(
                    VALUE(MID(C565, "&amp;"FIND(""("",C565)+1, FIND(""/"",C565)-FIND(""("",C565)-1)),
                    1200
                ) / 50, 0
            ) * 50, ""0""
        ) &amp;
        MID(C565, FIND(""/"",C565)+1, FIND("")"",C565)-FIND(""/"",C565)-1) &amp;
        TEXT(H565*100,""0"") &amp;"&amp;"
        I565,
    IF(AND(D565=""Roof Sheet"", REGEXMATCH(C565,""(?i)KS\d{4}[A-Z]{2}"")),
       REGEXEXTRACT(C565,""(?i)KS\d{4}[A-Z]{2}""),
    IF(AND(REGEXMATCH(D565,""(?i)-DP""), REGEXMATCH(C565,""(?i)Downpipe"")),
       ""dp"" &amp; REGEXEXTRACT(C565,""("&amp;"\d+)"") &amp; ""mm"",
    IF(AND(REGEXMATCH(D565,""(?i)Bracket""), REGEXMATCH(C565,""(?i)Bracket"")),
       ""Brkt"" &amp; REGEXEXTRACT(C565,""(\d+)"") &amp; ""mm"",
    IF(AND(REGEXMATCH(D565,""(?i)-OP""), REGEXMATCH(C565,""(?i)pops"")),
       ""op"" &amp; REGEXEXTRAC"&amp;"T(C565,""(\d+)"") &amp; ""mm"",
    IF(OR(D565=""R-FFTop"", D565=""R-FFBottom"", D565=""R-FFSide""),
        IF(REGEXMATCH(C565,""(?i)Profiled.*Top|Top.*Profiled""),""pfft"",
        IF(REGEXMATCH(C565,""(?i)Profiled.*Bottom|Bottom.*Profiled""),""pffb"",
    "&amp;"    IF(REGEXMATCH(C565,""(?i)Square""),""sff"",""""))),
    IF(OR(D565=""W-FFTop"", D565=""W-FFBottom"", D565=""W-FFSide""),
        IF(REGEXMATCH(C565,""(?i)Profiled.*Top|Top.*Profiled""),""pfft"",
        IF(REGEXMATCH(C565,""(?i)Profiled.*Bottom|Bottom"&amp;".*Profiled""),""pffb"",
        IF(REGEXMATCH(C565,""(?i)Square""),""sff"",""""))),
    IF(REGEXMATCH(D565,""(?i)-Rivets""),""Rvt"",
    IF(REGEXMATCH(D565,""(?i)Silicone""),""300ml"",
    IF(REGEXMATCH(D565,""(?i)R-Butyl""),""300ml"",
    IF(REGEXMATCH(D"&amp;"565,""(?i)Fix""),""GenFix"",
    IF(AND(REGEXMATCH(C565,""(?i)Timber""), REGEXMATCH(D565,""(?i)Timber"")),""tp"",
    IF(AND(REGEXMATCH(C565,""(?i)Vent G1275""), REGEXMATCH(D565,""(?i)Comb FIller"")),""CFV1275"",
    IF(REGEXMATCH(C565,""(?i)DPC""),""dpc"&amp;""",
    IF(REGEXMATCH(C565,""(?i)Concealed Clips""),""ConClips"",
    IF(REGEXMATCH(D565,""(?i)-Takeoff ea""),""Takeoff ea"",
    IF(REGEXMATCH(D565,""(?i)-Takeoff LM""),""Takeoff LM"",
    IF(REGEXMATCH(D565,""(?i)-Takeoff m2""),""Takeoff m2"",
    IF(D5"&amp;"65=""R-TU/TD"",""TU/TD"",
    IF(D565=""W-TU/TD"",""TU/TD"","""")))))))))))))))))
  )))))"),"sff")</f>
        <v>sff</v>
      </c>
      <c r="C565" s="698" t="s">
        <v>454</v>
      </c>
      <c r="D565" s="124" t="s">
        <v>340</v>
      </c>
      <c r="E565" s="722"/>
      <c r="F565" s="699"/>
      <c r="G565" s="701"/>
      <c r="H565" s="700"/>
      <c r="I565" s="712"/>
      <c r="J565" s="126" t="s">
        <v>87</v>
      </c>
      <c r="K565" s="126" t="str">
        <f>IFERROR(
  IF(B565="", "", VLOOKUP(B565, Data!$B$2:$K$905, 7, FALSE)),
  ""
)</f>
        <v/>
      </c>
      <c r="L565" s="712"/>
      <c r="M565" s="150">
        <f>M561</f>
        <v>17.3</v>
      </c>
      <c r="N565" s="151">
        <f t="shared" si="424"/>
        <v>1</v>
      </c>
      <c r="O565" s="169">
        <v>1.0</v>
      </c>
      <c r="P565" s="134">
        <v>2.0</v>
      </c>
      <c r="Q565" s="168">
        <f t="shared" si="420"/>
        <v>34.6</v>
      </c>
      <c r="R565" s="136" t="str">
        <f>IFERROR(
  IF(B565="", "", VLOOKUP(B565, Data!$B$2:$K$905, 9, FALSE)),
  ""
)</f>
        <v/>
      </c>
      <c r="S565" s="152">
        <f t="shared" si="421"/>
        <v>0</v>
      </c>
      <c r="T565" s="690"/>
      <c r="U565" s="136" t="str">
        <f>IFERROR(
  IF(B565="", "", VLOOKUP(B565, Data!$B$2:$K$905, 10, FALSE)),
  ""
)
</f>
        <v/>
      </c>
      <c r="V565" s="691"/>
      <c r="W565" s="140">
        <f t="shared" si="422"/>
        <v>0</v>
      </c>
      <c r="X565" s="692"/>
      <c r="Y565" s="595"/>
      <c r="Z565" s="595"/>
      <c r="AA565" s="595"/>
      <c r="AB565" s="354">
        <f t="shared" si="423"/>
        <v>0</v>
      </c>
      <c r="AC565" s="181"/>
      <c r="AD565" s="625"/>
      <c r="AE565" s="626"/>
      <c r="AF565" s="696"/>
      <c r="AG565" s="697"/>
      <c r="AH565" s="629"/>
      <c r="AI565" s="187"/>
      <c r="AJ565" s="630"/>
      <c r="AK565" s="630"/>
      <c r="AL565" s="595"/>
      <c r="AM565" s="595"/>
      <c r="AN565" s="595"/>
      <c r="AO565" s="595"/>
      <c r="AP565" s="595"/>
      <c r="AQ565" s="595"/>
      <c r="AR565" s="595"/>
      <c r="AS565" s="595"/>
      <c r="AT565" s="595"/>
      <c r="AU565" s="595"/>
      <c r="AV565" s="595"/>
      <c r="AW565" s="595"/>
      <c r="AX565" s="595"/>
      <c r="AY565" s="595"/>
      <c r="AZ565" s="595"/>
      <c r="BA565" s="595"/>
      <c r="BB565" s="595"/>
      <c r="BC565" s="595"/>
      <c r="BD565" s="595"/>
      <c r="BE565" s="595"/>
      <c r="BF565" s="595"/>
      <c r="BG565" s="595"/>
      <c r="BH565" s="595"/>
      <c r="BI565" s="651"/>
      <c r="BJ565" s="651"/>
      <c r="BK565" s="651"/>
      <c r="BL565" s="651"/>
      <c r="BM565" s="651"/>
      <c r="BN565" s="651"/>
      <c r="BO565" s="651"/>
      <c r="BP565" s="651"/>
      <c r="BQ565" s="651"/>
      <c r="BR565" s="651"/>
      <c r="BS565" s="651"/>
      <c r="BT565" s="651"/>
    </row>
    <row r="566">
      <c r="A566" s="684"/>
      <c r="B566" s="154"/>
      <c r="C566" s="758"/>
      <c r="D566" s="701"/>
      <c r="E566" s="722"/>
      <c r="F566" s="699"/>
      <c r="G566" s="701"/>
      <c r="H566" s="700"/>
      <c r="I566" s="712"/>
      <c r="J566" s="701"/>
      <c r="K566" s="701"/>
      <c r="L566" s="712"/>
      <c r="M566" s="704"/>
      <c r="N566" s="151" t="str">
        <f t="shared" si="424"/>
        <v/>
      </c>
      <c r="O566" s="712"/>
      <c r="P566" s="700"/>
      <c r="Q566" s="712"/>
      <c r="R566" s="681" t="str">
        <f>IFERROR(
  IF(B566="", "", VLOOKUP(B566, Data!$B$2:$K$905, 9, FALSE)),
  ""
)</f>
        <v/>
      </c>
      <c r="S566" s="691"/>
      <c r="T566" s="690"/>
      <c r="U566" s="681" t="str">
        <f>IFERROR(
  IF(B566="", "", VLOOKUP(B566, Data!$B$2:$K$905, 10, FALSE)),
  ""
)
</f>
        <v/>
      </c>
      <c r="V566" s="691"/>
      <c r="W566" s="713"/>
      <c r="X566" s="692"/>
      <c r="Y566" s="595"/>
      <c r="Z566" s="595"/>
      <c r="AA566" s="595"/>
      <c r="AB566" s="354">
        <f t="shared" si="423"/>
        <v>0</v>
      </c>
      <c r="AC566" s="181"/>
      <c r="AD566" s="625"/>
      <c r="AE566" s="626"/>
      <c r="AF566" s="696"/>
      <c r="AG566" s="697"/>
      <c r="AH566" s="629"/>
      <c r="AI566" s="187"/>
      <c r="AJ566" s="630"/>
      <c r="AK566" s="630"/>
      <c r="AL566" s="595"/>
      <c r="AM566" s="595"/>
      <c r="AN566" s="595"/>
      <c r="AO566" s="595"/>
      <c r="AP566" s="595"/>
      <c r="AQ566" s="595"/>
      <c r="AR566" s="595"/>
      <c r="AS566" s="595"/>
      <c r="AT566" s="595"/>
      <c r="AU566" s="595"/>
      <c r="AV566" s="595"/>
      <c r="AW566" s="595"/>
      <c r="AX566" s="595"/>
      <c r="AY566" s="595"/>
      <c r="AZ566" s="595"/>
      <c r="BA566" s="595"/>
      <c r="BB566" s="595"/>
      <c r="BC566" s="595"/>
      <c r="BD566" s="595"/>
      <c r="BE566" s="595"/>
      <c r="BF566" s="595"/>
      <c r="BG566" s="595"/>
      <c r="BH566" s="595"/>
      <c r="BI566" s="651"/>
      <c r="BJ566" s="651"/>
      <c r="BK566" s="651"/>
      <c r="BL566" s="651"/>
      <c r="BM566" s="651"/>
      <c r="BN566" s="651"/>
      <c r="BO566" s="651"/>
      <c r="BP566" s="651"/>
      <c r="BQ566" s="651"/>
      <c r="BR566" s="651"/>
      <c r="BS566" s="651"/>
      <c r="BT566" s="651"/>
    </row>
    <row r="567">
      <c r="A567" s="631">
        <v>1.0</v>
      </c>
      <c r="B567" s="727"/>
      <c r="C567" s="769" t="s">
        <v>560</v>
      </c>
      <c r="D567" s="678"/>
      <c r="E567" s="676"/>
      <c r="F567" s="677"/>
      <c r="G567" s="678"/>
      <c r="H567" s="678"/>
      <c r="I567" s="679"/>
      <c r="J567" s="678"/>
      <c r="K567" s="678" t="s">
        <v>42</v>
      </c>
      <c r="L567" s="106">
        <f>Q567</f>
        <v>3</v>
      </c>
      <c r="M567" s="679" t="s">
        <v>42</v>
      </c>
      <c r="N567" s="680"/>
      <c r="O567" s="679"/>
      <c r="P567" s="678"/>
      <c r="Q567" s="106">
        <f>Q568</f>
        <v>3</v>
      </c>
      <c r="R567" s="681" t="str">
        <f>IFERROR(
  IF(B567="", "", VLOOKUP(B567, Data!$B$2:$K$905, 9, FALSE)),
  ""
)</f>
        <v/>
      </c>
      <c r="S567" s="682">
        <f>IFERROR(T567/Q567, 0)</f>
        <v>0</v>
      </c>
      <c r="T567" s="109">
        <f>SUM(S568:S573)</f>
        <v>0</v>
      </c>
      <c r="U567" s="681" t="str">
        <f>IFERROR(
  IF(B567="", "", VLOOKUP(B567, Data!$B$2:$K$905, 10, FALSE)),
  ""
)
</f>
        <v/>
      </c>
      <c r="V567" s="109">
        <f>W567/Q567</f>
        <v>0</v>
      </c>
      <c r="W567" s="110">
        <f>SUM(W568:W573)</f>
        <v>0</v>
      </c>
      <c r="X567" s="111" t="str">
        <f>W567/$AC$758/$W$765/$X$755</f>
        <v>#REF!</v>
      </c>
      <c r="Y567" s="112" t="b">
        <f>(T567+W567)=(SUM(AB568:AB573))</f>
        <v>1</v>
      </c>
      <c r="Z567" s="222">
        <f>(T567+W567)-(SUM(AB568:AB573))</f>
        <v>0</v>
      </c>
      <c r="AA567" s="595"/>
      <c r="AB567" s="595"/>
      <c r="AC567" s="181"/>
      <c r="AD567" s="114">
        <f>W567+T567</f>
        <v>0</v>
      </c>
      <c r="AE567" s="115">
        <f>AD567</f>
        <v>0</v>
      </c>
      <c r="AF567" s="116" t="str">
        <f>AE567/$AE$733</f>
        <v>#REF!</v>
      </c>
      <c r="AG567" s="683" t="str">
        <f>AF567*$AG$740</f>
        <v>#REF!</v>
      </c>
      <c r="AH567" s="118" t="str">
        <f>AF567*$AG$743</f>
        <v>#REF!</v>
      </c>
      <c r="AI567" s="187"/>
      <c r="AJ567" s="119" t="str">
        <f>ROUND(AK567/L567,2)</f>
        <v>#REF!</v>
      </c>
      <c r="AK567" s="119" t="str">
        <f>ROUND(AH567+AG567+AD567,2)</f>
        <v>#REF!</v>
      </c>
      <c r="AL567" s="595"/>
      <c r="AM567" s="595"/>
      <c r="AN567" s="595"/>
      <c r="AO567" s="595"/>
      <c r="AP567" s="595"/>
      <c r="AQ567" s="595"/>
      <c r="AR567" s="595"/>
      <c r="AS567" s="595"/>
      <c r="AT567" s="595"/>
      <c r="AU567" s="595"/>
      <c r="AV567" s="595"/>
      <c r="AW567" s="595"/>
      <c r="AX567" s="595"/>
      <c r="AY567" s="595"/>
      <c r="AZ567" s="595"/>
      <c r="BA567" s="595"/>
      <c r="BB567" s="595"/>
      <c r="BC567" s="595"/>
      <c r="BD567" s="595"/>
      <c r="BE567" s="595"/>
      <c r="BF567" s="595"/>
      <c r="BG567" s="595"/>
      <c r="BH567" s="595"/>
      <c r="BI567" s="651"/>
      <c r="BJ567" s="651"/>
      <c r="BK567" s="651"/>
      <c r="BL567" s="651"/>
      <c r="BM567" s="651"/>
      <c r="BN567" s="651"/>
      <c r="BO567" s="651"/>
      <c r="BP567" s="651"/>
      <c r="BQ567" s="651"/>
      <c r="BR567" s="651"/>
      <c r="BS567" s="651"/>
      <c r="BT567" s="651"/>
    </row>
    <row r="568">
      <c r="A568" s="703" t="s">
        <v>444</v>
      </c>
      <c r="B568" s="154" t="str">
        <f>IFERROR(__xludf.DUMMYFUNCTION("IFERROR(
  IF(C568="""","""",
    IF(OR(REGEXMATCH(D568,""(?i)-Flashing""), REGEXMATCH(D568,""(?i)-EavesGut""), REGEXMATCH(D568,""(?i)Valley"")),
        ""DR"" &amp;
        TEXT(
            ROUNDUP(
                MIN(
                    VALUE(MID(C568, "&amp;"FIND(""("",C568)+1, FIND(""/"",C568)-FIND(""("",C568)-1)),
                    1200
                ) / 50, 0
            ) * 50, ""0""
        ) &amp;
        MID(C568, FIND(""/"",C568)+1, FIND("")"",C568)-FIND(""/"",C568)-1) &amp;
        TEXT(H568*100,""0"") &amp;"&amp;"
        I568,
    IF(AND(D568=""Roof Sheet"", REGEXMATCH(C568,""(?i)KS\d{4}[A-Z]{2}"")),
       REGEXEXTRACT(C568,""(?i)KS\d{4}[A-Z]{2}""),
    IF(AND(REGEXMATCH(D568,""(?i)-DP""), REGEXMATCH(C568,""(?i)Downpipe"")),
       ""dp"" &amp; REGEXEXTRACT(C568,""("&amp;"\d+)"") &amp; ""mm"",
    IF(AND(REGEXMATCH(D568,""(?i)Bracket""), REGEXMATCH(C568,""(?i)Bracket"")),
       ""Brkt"" &amp; REGEXEXTRACT(C568,""(\d+)"") &amp; ""mm"",
    IF(AND(REGEXMATCH(D568,""(?i)-OP""), REGEXMATCH(C568,""(?i)pops"")),
       ""op"" &amp; REGEXEXTRAC"&amp;"T(C568,""(\d+)"") &amp; ""mm"",
    IF(OR(D568=""R-FFTop"", D568=""R-FFBottom"", D568=""R-FFSide""),
        IF(REGEXMATCH(C568,""(?i)Profiled.*Top|Top.*Profiled""),""pfft"",
        IF(REGEXMATCH(C568,""(?i)Profiled.*Bottom|Bottom.*Profiled""),""pffb"",
    "&amp;"    IF(REGEXMATCH(C568,""(?i)Square""),""sff"",""""))),
    IF(REGEXMATCH(D568,""(?i)-Rivets""),""Rvt"",
    IF(REGEXMATCH(D568,""(?i)Silicone""),""300ml"",
    IF(REGEXMATCH(D568,""(?i)R-Butyl""),""300ml"",
    IF(REGEXMATCH(D568,""(?i)Fix""),""GenFix"","&amp;"
    IF(AND(REGEXMATCH(C568,""(?i)Timber""), REGEXMATCH(D568,""(?i)Timber"")),""tp"",
    IF(AND(REGEXMATCH(C568,""(?i)Vent G1275""), REGEXMATCH(D568,""(?i)Comb FIller"")),""CFV1275"",
    IF(REGEXMATCH(C568,""(?i)DPC""),""dpc"",
    IF(REGEXMATCH(C568,"""&amp;"(?i)Concealed Clips""),""ConClips"",
    IF(REGEXMATCH(D568,""(?i)-Takeoff ea""),""Takeoff ea"",
    IF(REGEXMATCH(D568,""(?i)-Takeoff LM""),""Takeoff LM"",
    IF(REGEXMATCH(D568,""(?i)-Takeoff m2""),""Takeoff m2"",
    IF(D568=""R-TU/TD"",""TU/TD"","""""&amp;")))))))))))))))))
  )))"),"DR5004B55Mag")</f>
        <v>DR5004B55Mag</v>
      </c>
      <c r="C568" s="698" t="s">
        <v>561</v>
      </c>
      <c r="D568" s="124" t="s">
        <v>161</v>
      </c>
      <c r="E568" s="687">
        <f>VALUE(MID(C568, FIND("(", C568)+1, FIND("/", C568)-FIND("(", C568)-1)) / 1000</f>
        <v>0.48</v>
      </c>
      <c r="F568" s="688"/>
      <c r="G568" s="689" t="s">
        <v>547</v>
      </c>
      <c r="H568" s="128" t="str">
        <f>IFERROR(__xludf.DUMMYFUNCTION("IFERROR(REGEXEXTRACT(C568, ""(\d*\.\d+)mm""), """")"),"0.55")</f>
        <v>0.55</v>
      </c>
      <c r="I568" s="168" t="s">
        <v>97</v>
      </c>
      <c r="J568" s="126" t="s">
        <v>14</v>
      </c>
      <c r="K568" s="126" t="str">
        <f>IFERROR(
  IF(B568="", "", VLOOKUP(B568, Data!$B$2:$K$905, 7, FALSE)),
  ""
)</f>
        <v/>
      </c>
      <c r="L568" s="704"/>
      <c r="M568" s="730">
        <v>3.0</v>
      </c>
      <c r="N568" s="151">
        <f>IFERROR(__xludf.DUMMYFUNCTION("IF(
  AND(
    IFERROR(REGEXEXTRACT(C568,""@\s*(\d+(?:\.\d+)?)\s*deg""),"""")&lt;&gt;"""",
    F568&lt;&gt;""""
  ),
  ""Pls Confirm °"",
  IF(
    IFERROR(REGEXEXTRACT(C568,""@\s*(\d+(?:\.\d+)?)\s*deg""),"""")&lt;&gt;"""",
    1/COS(RADIANS(REGEXEXTRACT(C568,""@\s*(\d+(?:"&amp;"\.\d+)?)\s*deg""))),
    IF(
      F568&lt;&gt;"""",
      IF(
        ISNUMBER(SEARCH(""|"",F568)),
        1/COS(
          ATAN(
            TAN(RADIANS(VALUE(INDEX(SPLIT(F568,""|""),1)))) *
            TAN(RADIANS(VALUE(INDEX(SPLIT(F568,""|""),2))))
       "&amp;"     /
            SQRT(
              TAN(RADIANS(VALUE(INDEX(SPLIT(F568,""|""),1))))^2 +
              TAN(RADIANS(VALUE(INDEX(SPLIT(F568,""|""),2))))^2
            )
          )
        ),
        1/COS(RADIANS(VALUE(F568)))
      ),
      1
    )
  )
"&amp;")"),1.0)</f>
        <v>1</v>
      </c>
      <c r="O568" s="169">
        <v>1.0</v>
      </c>
      <c r="P568" s="134">
        <v>1.0</v>
      </c>
      <c r="Q568" s="168">
        <f t="shared" ref="Q568:Q572" si="425">M568*N568*O568*P568</f>
        <v>3</v>
      </c>
      <c r="R568" s="136" t="str">
        <f>IFERROR(
  IF(B568="", "", VLOOKUP(B568, Data!$B$2:$K$905, 9, FALSE)),
  ""
)</f>
        <v/>
      </c>
      <c r="S568" s="152">
        <f t="shared" ref="S568:S572" si="426">R568*Q568</f>
        <v>0</v>
      </c>
      <c r="T568" s="690"/>
      <c r="U568" s="136" t="str">
        <f>IFERROR(
  IF(B568="", "", VLOOKUP(B568, Data!$B$2:$K$905, 10, FALSE)),
  ""
)
</f>
        <v/>
      </c>
      <c r="V568" s="691"/>
      <c r="W568" s="140">
        <f t="shared" ref="W568:W572" si="427">U568*Q568</f>
        <v>0</v>
      </c>
      <c r="X568" s="692"/>
      <c r="Y568" s="693"/>
      <c r="Z568" s="731"/>
      <c r="AA568" s="595"/>
      <c r="AB568" s="354">
        <f t="shared" ref="AB568:AB573" si="428">W568+S568</f>
        <v>0</v>
      </c>
      <c r="AC568" s="181"/>
      <c r="AD568" s="625"/>
      <c r="AE568" s="626"/>
      <c r="AF568" s="696"/>
      <c r="AG568" s="697"/>
      <c r="AH568" s="629"/>
      <c r="AI568" s="187"/>
      <c r="AJ568" s="630"/>
      <c r="AK568" s="630"/>
      <c r="AL568" s="595"/>
      <c r="AM568" s="595"/>
      <c r="AN568" s="595"/>
      <c r="AO568" s="595"/>
      <c r="AP568" s="595"/>
      <c r="AQ568" s="595"/>
      <c r="AR568" s="595"/>
      <c r="AS568" s="595"/>
      <c r="AT568" s="595"/>
      <c r="AU568" s="595"/>
      <c r="AV568" s="595"/>
      <c r="AW568" s="595"/>
      <c r="AX568" s="595"/>
      <c r="AY568" s="595"/>
      <c r="AZ568" s="595"/>
      <c r="BA568" s="595"/>
      <c r="BB568" s="595"/>
      <c r="BC568" s="595"/>
      <c r="BD568" s="595"/>
      <c r="BE568" s="595"/>
      <c r="BF568" s="595"/>
      <c r="BG568" s="595"/>
      <c r="BH568" s="595"/>
      <c r="BI568" s="651"/>
      <c r="BJ568" s="651"/>
      <c r="BK568" s="651"/>
      <c r="BL568" s="651"/>
      <c r="BM568" s="651"/>
      <c r="BN568" s="651"/>
      <c r="BO568" s="651"/>
      <c r="BP568" s="651"/>
      <c r="BQ568" s="651"/>
      <c r="BR568" s="651"/>
      <c r="BS568" s="651"/>
      <c r="BT568" s="651"/>
    </row>
    <row r="569">
      <c r="A569" s="684"/>
      <c r="B569" s="154" t="str">
        <f>IFERROR(__xludf.DUMMYFUNCTION("IFERROR(
  IF(C569="""","""",
    IF(OR(REGEXMATCH(D569,""(?i)-Flashing""), REGEXMATCH(D569,""(?i)-EavesGut""), REGEXMATCH(D569,""(?i)Valley"")),
        ""DR"" &amp;
        TEXT(
            ROUNDUP(
                MIN(
                    VALUE(MID(C569, "&amp;"FIND(""("",C569)+1, FIND(""/"",C569)-FIND(""("",C569)-1)),
                    1200
                ) / 50, 0
            ) * 50, ""0""
        ) &amp;
        MID(C569, FIND(""/"",C569)+1, FIND("")"",C569)-FIND(""/"",C569)-1) &amp;
        TEXT(H569*100,""0"") &amp;"&amp;"
        I569,
    IF(AND(D569=""Roof Sheet"", REGEXMATCH(C569,""(?i)KS\d{4}[A-Z]{2}"")),
       REGEXEXTRACT(C569,""(?i)KS\d{4}[A-Z]{2}""),
    IF(AND(REGEXMATCH(D569,""(?i)-DP""), REGEXMATCH(C569,""(?i)Downpipe"")),
       ""dp"" &amp; REGEXEXTRACT(C569,""("&amp;"\d+)"") &amp; ""mm"",
    IF(AND(REGEXMATCH(D569,""(?i)Bracket""), REGEXMATCH(C569,""(?i)Bracket"")),
       ""Brkt"" &amp; REGEXEXTRACT(C569,""(\d+)"") &amp; ""mm"",
    IF(AND(REGEXMATCH(D569,""(?i)-OP""), REGEXMATCH(C569,""(?i)pops"")),
       ""op"" &amp; REGEXEXTRAC"&amp;"T(C569,""(\d+)"") &amp; ""mm"",
    IF(OR(D569=""R-FFTop"", D569=""R-FFBottom"", D569=""R-FFSide""),
        IF(REGEXMATCH(C569,""(?i)Profiled.*Top|Top.*Profiled""),""pfft"",
        IF(REGEXMATCH(C569,""(?i)Profiled.*Bottom|Bottom.*Profiled""),""pffb"",
    "&amp;"    IF(REGEXMATCH(C569,""(?i)Square""),""sff"",""""))),
    IF(REGEXMATCH(D569,""(?i)-Rivets""),""Rvt"",
    IF(REGEXMATCH(D569,""(?i)Silicone""),""300ml"",
    IF(REGEXMATCH(D569,""(?i)R-Butyl""),""300ml"",
    IF(REGEXMATCH(D569,""(?i)Fix""),""GenFix"","&amp;"
    IF(AND(REGEXMATCH(C569,""(?i)Timber""), REGEXMATCH(D569,""(?i)Timber"")),""tp"",
    IF(AND(REGEXMATCH(C569,""(?i)Vent G1275""), REGEXMATCH(D569,""(?i)Comb FIller"")),""CFV1275"",
    IF(REGEXMATCH(C569,""(?i)DPC""),""dpc"",
    IF(REGEXMATCH(C569,"""&amp;"(?i)Concealed Clips""),""ConClips"",
    IF(REGEXMATCH(D569,""(?i)-Takeoff ea""),""Takeoff ea"",
    IF(REGEXMATCH(D569,""(?i)-Takeoff LM""),""Takeoff LM"",
    IF(REGEXMATCH(D569,""(?i)-Takeoff m2""),""Takeoff m2"",
    IF(D569=""R-TU/TD"",""TU/TD"","""""&amp;")))))))))))))))))
  )))"),"300ml")</f>
        <v>300ml</v>
      </c>
      <c r="C569" s="734" t="s">
        <v>98</v>
      </c>
      <c r="D569" s="124" t="s">
        <v>162</v>
      </c>
      <c r="E569" s="687">
        <f>E568</f>
        <v>0.48</v>
      </c>
      <c r="F569" s="699"/>
      <c r="G569" s="700"/>
      <c r="H569" s="700" t="str">
        <f>IFERROR(__xludf.DUMMYFUNCTION("IFERROR(REGEXEXTRACT(C569, ""(\d*\.\d+)mm""), """")"),"")</f>
        <v/>
      </c>
      <c r="I569" s="712"/>
      <c r="J569" s="126" t="s">
        <v>87</v>
      </c>
      <c r="K569" s="126" t="str">
        <f>IFERROR(
  IF(B569="", "", VLOOKUP(B569, Data!$B$2:$K$905, 7, FALSE)),
  ""
)</f>
        <v/>
      </c>
      <c r="L569" s="704"/>
      <c r="M569" s="150">
        <f>(ROUNDDOWN((M568/5.7)+2,0)*E569)/8</f>
        <v>0.12</v>
      </c>
      <c r="N569" s="151">
        <f t="shared" ref="N569:N573" si="429">if(B569="","",(if(N568="",N567,N568)))</f>
        <v>1</v>
      </c>
      <c r="O569" s="169">
        <v>1.0</v>
      </c>
      <c r="P569" s="134">
        <v>1.0</v>
      </c>
      <c r="Q569" s="168">
        <f t="shared" si="425"/>
        <v>0.12</v>
      </c>
      <c r="R569" s="136" t="str">
        <f>IFERROR(
  IF(B569="", "", VLOOKUP(B569, Data!$B$2:$K$905, 9, FALSE)),
  ""
)</f>
        <v/>
      </c>
      <c r="S569" s="152">
        <f t="shared" si="426"/>
        <v>0</v>
      </c>
      <c r="T569" s="690"/>
      <c r="U569" s="681" t="str">
        <f>IFERROR(
  IF(B569="", "", VLOOKUP(B569, Data!$B$2:$K$905, 10, FALSE)),
  ""
)
</f>
        <v/>
      </c>
      <c r="V569" s="691"/>
      <c r="W569" s="140">
        <f t="shared" si="427"/>
        <v>0</v>
      </c>
      <c r="X569" s="692"/>
      <c r="Y569" s="595"/>
      <c r="Z569" s="595"/>
      <c r="AA569" s="595"/>
      <c r="AB569" s="354">
        <f t="shared" si="428"/>
        <v>0</v>
      </c>
      <c r="AC569" s="181"/>
      <c r="AD569" s="625"/>
      <c r="AE569" s="626"/>
      <c r="AF569" s="696"/>
      <c r="AG569" s="697"/>
      <c r="AH569" s="629"/>
      <c r="AI569" s="187"/>
      <c r="AJ569" s="630"/>
      <c r="AK569" s="630"/>
      <c r="AL569" s="595"/>
      <c r="AM569" s="595"/>
      <c r="AN569" s="595"/>
      <c r="AO569" s="595"/>
      <c r="AP569" s="595"/>
      <c r="AQ569" s="595"/>
      <c r="AR569" s="595"/>
      <c r="AS569" s="595"/>
      <c r="AT569" s="595"/>
      <c r="AU569" s="595"/>
      <c r="AV569" s="595"/>
      <c r="AW569" s="595"/>
      <c r="AX569" s="595"/>
      <c r="AY569" s="595"/>
      <c r="AZ569" s="595"/>
      <c r="BA569" s="595"/>
      <c r="BB569" s="595"/>
      <c r="BC569" s="595"/>
      <c r="BD569" s="595"/>
      <c r="BE569" s="595"/>
      <c r="BF569" s="595"/>
      <c r="BG569" s="595"/>
      <c r="BH569" s="595"/>
      <c r="BI569" s="651"/>
      <c r="BJ569" s="651"/>
      <c r="BK569" s="651"/>
      <c r="BL569" s="651"/>
      <c r="BM569" s="651"/>
      <c r="BN569" s="651"/>
      <c r="BO569" s="651"/>
      <c r="BP569" s="651"/>
      <c r="BQ569" s="651"/>
      <c r="BR569" s="651"/>
      <c r="BS569" s="651"/>
      <c r="BT569" s="651"/>
    </row>
    <row r="570">
      <c r="A570" s="684"/>
      <c r="B570" s="154" t="str">
        <f>IFERROR(__xludf.DUMMYFUNCTION("IFERROR(
  IF(C570="""","""",
    IF(OR(REGEXMATCH(D570,""(?i)-Flashing""), REGEXMATCH(D570,""(?i)-EavesGut""), REGEXMATCH(D570,""(?i)Valley"")),
        ""DR"" &amp;
        TEXT(
            ROUNDUP(
                MIN(
                    VALUE(MID(C570, "&amp;"FIND(""("",C570)+1, FIND(""/"",C570)-FIND(""("",C570)-1)),
                    1200
                ) / 50, 0
            ) * 50, ""0""
        ) &amp;
        MID(C570, FIND(""/"",C570)+1, FIND("")"",C570)-FIND(""/"",C570)-1) &amp;
        TEXT(H570*100,""0"") &amp;"&amp;"
        I570,
    IF(AND(D570=""Roof Sheet"", REGEXMATCH(C570,""(?i)KS\d{4}[A-Z]{2}"")),
       REGEXEXTRACT(C570,""(?i)KS\d{4}[A-Z]{2}""),
    IF(AND(REGEXMATCH(D570,""(?i)-DP""), REGEXMATCH(C570,""(?i)Downpipe"")),
       ""dp"" &amp; REGEXEXTRACT(C570,""("&amp;"\d+)"") &amp; ""mm"",
    IF(AND(REGEXMATCH(D570,""(?i)Bracket""), REGEXMATCH(C570,""(?i)Bracket"")),
       ""Brkt"" &amp; REGEXEXTRACT(C570,""(\d+)"") &amp; ""mm"",
    IF(AND(REGEXMATCH(D570,""(?i)-OP""), REGEXMATCH(C570,""(?i)pops"")),
       ""op"" &amp; REGEXEXTRAC"&amp;"T(C570,""(\d+)"") &amp; ""mm"",
    IF(OR(D570=""R-FFTop"", D570=""R-FFBottom"", D570=""R-FFSide""),
        IF(REGEXMATCH(C570,""(?i)Profiled.*Top|Top.*Profiled""),""pfft"",
        IF(REGEXMATCH(C570,""(?i)Profiled.*Bottom|Bottom.*Profiled""),""pffb"",
    "&amp;"    IF(REGEXMATCH(C570,""(?i)Square""),""sff"",""""))),
    IF(REGEXMATCH(D570,""(?i)-Rivets""),""Rvt"",
    IF(REGEXMATCH(D570,""(?i)Silicone""),""300ml"",
    IF(REGEXMATCH(D570,""(?i)R-Butyl""),""300ml"",
    IF(REGEXMATCH(D570,""(?i)Fix""),""GenFix"","&amp;"
    IF(AND(REGEXMATCH(C570,""(?i)Timber""), REGEXMATCH(D570,""(?i)Timber"")),""tp"",
    IF(AND(REGEXMATCH(C570,""(?i)Vent G1275""), REGEXMATCH(D570,""(?i)Comb FIller"")),""CFV1275"",
    IF(REGEXMATCH(C570,""(?i)DPC""),""dpc"",
    IF(REGEXMATCH(C570,"""&amp;"(?i)Concealed Clips""),""ConClips"",
    IF(REGEXMATCH(D570,""(?i)-Takeoff ea""),""Takeoff ea"",
    IF(REGEXMATCH(D570,""(?i)-Takeoff LM""),""Takeoff LM"",
    IF(REGEXMATCH(D570,""(?i)-Takeoff m2""),""Takeoff m2"",
    IF(D570=""R-TU/TD"",""TU/TD"","""""&amp;")))))))))))))))))
  )))"),"Rvt")</f>
        <v>Rvt</v>
      </c>
      <c r="C570" s="734" t="s">
        <v>100</v>
      </c>
      <c r="D570" s="124" t="s">
        <v>163</v>
      </c>
      <c r="E570" s="687">
        <f>E568</f>
        <v>0.48</v>
      </c>
      <c r="F570" s="699"/>
      <c r="G570" s="700"/>
      <c r="H570" s="700" t="str">
        <f>IFERROR(__xludf.DUMMYFUNCTION("IFERROR(REGEXEXTRACT(C570, ""(\d*\.\d+)mm""), """")"),"")</f>
        <v/>
      </c>
      <c r="I570" s="712"/>
      <c r="J570" s="126" t="s">
        <v>87</v>
      </c>
      <c r="K570" s="126" t="str">
        <f>IFERROR(
  IF(B570="", "", VLOOKUP(B570, Data!$B$2:$K$905, 7, FALSE)),
  ""
)</f>
        <v/>
      </c>
      <c r="L570" s="704"/>
      <c r="M570" s="150">
        <f>ROUNDUP(((M568/5.7)+1)*(E570/0.05),0)</f>
        <v>15</v>
      </c>
      <c r="N570" s="151">
        <f t="shared" si="429"/>
        <v>1</v>
      </c>
      <c r="O570" s="169">
        <v>1.0</v>
      </c>
      <c r="P570" s="134">
        <v>1.0</v>
      </c>
      <c r="Q570" s="168">
        <f t="shared" si="425"/>
        <v>15</v>
      </c>
      <c r="R570" s="136" t="str">
        <f>IFERROR(
  IF(B570="", "", VLOOKUP(B570, Data!$B$2:$K$905, 9, FALSE)),
  ""
)</f>
        <v/>
      </c>
      <c r="S570" s="152">
        <f t="shared" si="426"/>
        <v>0</v>
      </c>
      <c r="T570" s="690"/>
      <c r="U570" s="681" t="str">
        <f>IFERROR(
  IF(B570="", "", VLOOKUP(B570, Data!$B$2:$K$905, 10, FALSE)),
  ""
)
</f>
        <v/>
      </c>
      <c r="V570" s="691"/>
      <c r="W570" s="140">
        <f t="shared" si="427"/>
        <v>0</v>
      </c>
      <c r="X570" s="692"/>
      <c r="Y570" s="595"/>
      <c r="Z570" s="595"/>
      <c r="AA570" s="595"/>
      <c r="AB570" s="354">
        <f t="shared" si="428"/>
        <v>0</v>
      </c>
      <c r="AC570" s="181"/>
      <c r="AD570" s="625"/>
      <c r="AE570" s="626"/>
      <c r="AF570" s="696"/>
      <c r="AG570" s="697"/>
      <c r="AH570" s="629"/>
      <c r="AI570" s="187"/>
      <c r="AJ570" s="630"/>
      <c r="AK570" s="630"/>
      <c r="AL570" s="595"/>
      <c r="AM570" s="595"/>
      <c r="AN570" s="595"/>
      <c r="AO570" s="595"/>
      <c r="AP570" s="595"/>
      <c r="AQ570" s="595"/>
      <c r="AR570" s="595"/>
      <c r="AS570" s="595"/>
      <c r="AT570" s="595"/>
      <c r="AU570" s="595"/>
      <c r="AV570" s="595"/>
      <c r="AW570" s="595"/>
      <c r="AX570" s="595"/>
      <c r="AY570" s="595"/>
      <c r="AZ570" s="595"/>
      <c r="BA570" s="595"/>
      <c r="BB570" s="595"/>
      <c r="BC570" s="595"/>
      <c r="BD570" s="595"/>
      <c r="BE570" s="595"/>
      <c r="BF570" s="595"/>
      <c r="BG570" s="595"/>
      <c r="BH570" s="595"/>
      <c r="BI570" s="651"/>
      <c r="BJ570" s="651"/>
      <c r="BK570" s="651"/>
      <c r="BL570" s="651"/>
      <c r="BM570" s="651"/>
      <c r="BN570" s="651"/>
      <c r="BO570" s="651"/>
      <c r="BP570" s="651"/>
      <c r="BQ570" s="651"/>
      <c r="BR570" s="651"/>
      <c r="BS570" s="651"/>
      <c r="BT570" s="651"/>
    </row>
    <row r="571">
      <c r="A571" s="684"/>
      <c r="B571" s="154" t="str">
        <f>IFERROR(__xludf.DUMMYFUNCTION("IFERROR(
  IF(C571="""","""",
    IF(OR(REGEXMATCH(D571,""(?i)-Flashing""), REGEXMATCH(D571,""(?i)-EavesGut""), REGEXMATCH(D571,""(?i)Valley"")),
        ""DR"" &amp;
        TEXT(
            ROUNDUP(
                MIN(
                    VALUE(MID(C571, "&amp;"FIND(""("",C571)+1, FIND(""/"",C571)-FIND(""("",C571)-1)),
                    1200
                ) / 50, 0
            ) * 50, ""0""
        ) &amp;
        MID(C571, FIND(""/"",C571)+1, FIND("")"",C571)-FIND(""/"",C571)-1) &amp;
        TEXT(H571*100,""0"") &amp;"&amp;"
        I571,
    IF(AND(D571=""Roof Sheet"", REGEXMATCH(C571,""(?i)KS\d{4}[A-Z]{2}"")),
       REGEXEXTRACT(C571,""(?i)KS\d{4}[A-Z]{2}""),
    IF(AND(REGEXMATCH(D571,""(?i)-DP""), REGEXMATCH(C571,""(?i)Downpipe"")),
       ""dp"" &amp; REGEXEXTRACT(C571,""("&amp;"\d+)"") &amp; ""mm"",
    IF(AND(REGEXMATCH(D571,""(?i)Bracket""), REGEXMATCH(C571,""(?i)Bracket"")),
       ""Brkt"" &amp; REGEXEXTRACT(C571,""(\d+)"") &amp; ""mm"",
    IF(AND(REGEXMATCH(D571,""(?i)-OP""), REGEXMATCH(C571,""(?i)pops"")),
       ""op"" &amp; REGEXEXTRAC"&amp;"T(C571,""(\d+)"") &amp; ""mm"",
    IF(OR(D571=""R-FFTop"", D571=""R-FFBottom"", D571=""R-FFSide""),
        IF(REGEXMATCH(C571,""(?i)Profiled.*Top|Top.*Profiled""),""pfft"",
        IF(REGEXMATCH(C571,""(?i)Profiled.*Bottom|Bottom.*Profiled""),""pffb"",
    "&amp;"    IF(REGEXMATCH(C571,""(?i)Square""),""sff"",""""))),
    IF(REGEXMATCH(D571,""(?i)-Rivets""),""Rvt"",
    IF(REGEXMATCH(D571,""(?i)Silicone""),""300ml"",
    IF(REGEXMATCH(D571,""(?i)R-Butyl""),""300ml"",
    IF(REGEXMATCH(D571,""(?i)Fix""),""GenFix"","&amp;"
    IF(AND(REGEXMATCH(C571,""(?i)Timber""), REGEXMATCH(D571,""(?i)Timber"")),""tp"",
    IF(AND(REGEXMATCH(C571,""(?i)Vent G1275""), REGEXMATCH(D571,""(?i)Comb FIller"")),""CFV1275"",
    IF(REGEXMATCH(C571,""(?i)DPC""),""dpc"",
    IF(REGEXMATCH(C571,"""&amp;"(?i)Concealed Clips""),""ConClips"",
    IF(REGEXMATCH(D571,""(?i)-Takeoff ea""),""Takeoff ea"",
    IF(REGEXMATCH(D571,""(?i)-Takeoff LM""),""Takeoff LM"",
    IF(REGEXMATCH(D571,""(?i)-Takeoff m2""),""Takeoff m2"",
    IF(D571=""R-TU/TD"",""TU/TD"","""""&amp;")))))))))))))))))
  )))"),"GenFix")</f>
        <v>GenFix</v>
      </c>
      <c r="C571" s="698" t="s">
        <v>102</v>
      </c>
      <c r="D571" s="124" t="s">
        <v>164</v>
      </c>
      <c r="E571" s="722"/>
      <c r="F571" s="699"/>
      <c r="G571" s="701"/>
      <c r="H571" s="700"/>
      <c r="I571" s="712"/>
      <c r="J571" s="126" t="s">
        <v>87</v>
      </c>
      <c r="K571" s="126" t="str">
        <f>IFERROR(
  IF(B571="", "", VLOOKUP(B571, Data!$B$2:$K$905, 7, FALSE)),
  ""
)</f>
        <v/>
      </c>
      <c r="L571" s="712"/>
      <c r="M571" s="150">
        <f>ROUNDUP(M568/0.6,0)+1</f>
        <v>6</v>
      </c>
      <c r="N571" s="151">
        <f t="shared" si="429"/>
        <v>1</v>
      </c>
      <c r="O571" s="169">
        <v>1.0</v>
      </c>
      <c r="P571" s="134">
        <v>2.0</v>
      </c>
      <c r="Q571" s="168">
        <f t="shared" si="425"/>
        <v>12</v>
      </c>
      <c r="R571" s="136" t="str">
        <f>IFERROR(
  IF(B571="", "", VLOOKUP(B571, Data!$B$2:$K$905, 9, FALSE)),
  ""
)</f>
        <v/>
      </c>
      <c r="S571" s="152">
        <f t="shared" si="426"/>
        <v>0</v>
      </c>
      <c r="T571" s="690"/>
      <c r="U571" s="681" t="str">
        <f>IFERROR(
  IF(B571="", "", VLOOKUP(B571, Data!$B$2:$K$905, 10, FALSE)),
  ""
)
</f>
        <v/>
      </c>
      <c r="V571" s="691"/>
      <c r="W571" s="140">
        <f t="shared" si="427"/>
        <v>0</v>
      </c>
      <c r="X571" s="692"/>
      <c r="Y571" s="595"/>
      <c r="Z571" s="595"/>
      <c r="AA571" s="595"/>
      <c r="AB571" s="354">
        <f t="shared" si="428"/>
        <v>0</v>
      </c>
      <c r="AC571" s="181"/>
      <c r="AD571" s="625"/>
      <c r="AE571" s="626"/>
      <c r="AF571" s="696"/>
      <c r="AG571" s="697"/>
      <c r="AH571" s="629"/>
      <c r="AI571" s="187"/>
      <c r="AJ571" s="630"/>
      <c r="AK571" s="630"/>
      <c r="AL571" s="595"/>
      <c r="AM571" s="595"/>
      <c r="AN571" s="595"/>
      <c r="AO571" s="595"/>
      <c r="AP571" s="595"/>
      <c r="AQ571" s="595"/>
      <c r="AR571" s="595"/>
      <c r="AS571" s="595"/>
      <c r="AT571" s="595"/>
      <c r="AU571" s="595"/>
      <c r="AV571" s="595"/>
      <c r="AW571" s="595"/>
      <c r="AX571" s="595"/>
      <c r="AY571" s="595"/>
      <c r="AZ571" s="595"/>
      <c r="BA571" s="595"/>
      <c r="BB571" s="595"/>
      <c r="BC571" s="595"/>
      <c r="BD571" s="595"/>
      <c r="BE571" s="595"/>
      <c r="BF571" s="595"/>
      <c r="BG571" s="595"/>
      <c r="BH571" s="595"/>
      <c r="BI571" s="651"/>
      <c r="BJ571" s="651"/>
      <c r="BK571" s="651"/>
      <c r="BL571" s="651"/>
      <c r="BM571" s="651"/>
      <c r="BN571" s="651"/>
      <c r="BO571" s="651"/>
      <c r="BP571" s="651"/>
      <c r="BQ571" s="651"/>
      <c r="BR571" s="651"/>
      <c r="BS571" s="651"/>
      <c r="BT571" s="651"/>
    </row>
    <row r="572">
      <c r="A572" s="684"/>
      <c r="B572" s="154" t="str">
        <f>IFERROR(__xludf.DUMMYFUNCTION("IFERROR(
  IF(C572="""","""",
    IF(OR(REGEXMATCH(D572,""(?i)-Flashing""), REGEXMATCH(D572,""(?i)-EavesGut""), REGEXMATCH(D572,""(?i)Valley"")),
        ""DR"" &amp;
        TEXT(
            ROUNDUP(
                MIN(
                    VALUE(MID(C572, "&amp;"FIND(""("",C572)+1, FIND(""/"",C572)-FIND(""("",C572)-1)),
                    1200
                ) / 50, 0
            ) * 50, ""0""
        ) &amp;
        MID(C572, FIND(""/"",C572)+1, FIND("")"",C572)-FIND(""/"",C572)-1) &amp;
        TEXT(H572*100,""0"") &amp;"&amp;"
        I572,
    IF(AND(D572=""Roof Sheet"", REGEXMATCH(C572,""(?i)KS\d{4}[A-Z]{2}"")),
       REGEXEXTRACT(C572,""(?i)KS\d{4}[A-Z]{2}""),
    IF(AND(REGEXMATCH(D572,""(?i)-DP""), REGEXMATCH(C572,""(?i)Downpipe"")),
       ""dp"" &amp; REGEXEXTRACT(C572,""("&amp;"\d+)"") &amp; ""mm"",
    IF(AND(REGEXMATCH(D572,""(?i)Bracket""), REGEXMATCH(C572,""(?i)Bracket"")),
       ""Brkt"" &amp; REGEXEXTRACT(C572,""(\d+)"") &amp; ""mm"",
    IF(AND(REGEXMATCH(D572,""(?i)-OP""), REGEXMATCH(C572,""(?i)pops"")),
       ""op"" &amp; REGEXEXTRAC"&amp;"T(C572,""(\d+)"") &amp; ""mm"",
    IF(OR(D572=""R-FFTop"", D572=""R-FFBottom"", D572=""R-FFSide""),
        IF(REGEXMATCH(C572,""(?i)Profiled.*Top|Top.*Profiled""),""pfft"",
        IF(REGEXMATCH(C572,""(?i)Profiled.*Bottom|Bottom.*Profiled""),""pffb"",
    "&amp;"    IF(REGEXMATCH(C572,""(?i)Square""),""sff"",""""))),
    IF(OR(D572=""W-FFTop"", D572=""W-FFBottom"", D572=""W-FFSide""),
        IF(REGEXMATCH(C572,""(?i)Profiled.*Top|Top.*Profiled""),""pfft"",
        IF(REGEXMATCH(C572,""(?i)Profiled.*Bottom|Bottom"&amp;".*Profiled""),""pffb"",
        IF(REGEXMATCH(C572,""(?i)Square""),""sff"",""""))),
    IF(REGEXMATCH(D572,""(?i)-Rivets""),""Rvt"",
    IF(REGEXMATCH(D572,""(?i)Silicone""),""300ml"",
    IF(REGEXMATCH(D572,""(?i)R-Butyl""),""300ml"",
    IF(REGEXMATCH(D"&amp;"572,""(?i)Fix""),""GenFix"",
    IF(AND(REGEXMATCH(C572,""(?i)Timber""), REGEXMATCH(D572,""(?i)Timber"")),""tp"",
    IF(AND(REGEXMATCH(C572,""(?i)Vent G1275""), REGEXMATCH(D572,""(?i)Comb FIller"")),""CFV1275"",
    IF(REGEXMATCH(C572,""(?i)DPC""),""dpc"&amp;""",
    IF(REGEXMATCH(C572,""(?i)Concealed Clips""),""ConClips"",
    IF(REGEXMATCH(D572,""(?i)-Takeoff ea""),""Takeoff ea"",
    IF(REGEXMATCH(D572,""(?i)-Takeoff LM""),""Takeoff LM"",
    IF(REGEXMATCH(D572,""(?i)-Takeoff m2""),""Takeoff m2"",
    IF(D5"&amp;"72=""R-TU/TD"",""TU/TD"",
    IF(D572=""W-TU/TD"",""TU/TD"","""")))))))))))))))))
  )))))"),"sff")</f>
        <v>sff</v>
      </c>
      <c r="C572" s="698" t="s">
        <v>454</v>
      </c>
      <c r="D572" s="124" t="s">
        <v>340</v>
      </c>
      <c r="E572" s="722"/>
      <c r="F572" s="699"/>
      <c r="G572" s="701"/>
      <c r="H572" s="700"/>
      <c r="I572" s="712"/>
      <c r="J572" s="126" t="s">
        <v>87</v>
      </c>
      <c r="K572" s="126" t="str">
        <f>IFERROR(
  IF(B572="", "", VLOOKUP(B572, Data!$B$2:$K$905, 7, FALSE)),
  ""
)</f>
        <v/>
      </c>
      <c r="L572" s="712"/>
      <c r="M572" s="150">
        <f>M568</f>
        <v>3</v>
      </c>
      <c r="N572" s="151">
        <f t="shared" si="429"/>
        <v>1</v>
      </c>
      <c r="O572" s="169">
        <v>1.0</v>
      </c>
      <c r="P572" s="134">
        <v>2.0</v>
      </c>
      <c r="Q572" s="168">
        <f t="shared" si="425"/>
        <v>6</v>
      </c>
      <c r="R572" s="136" t="str">
        <f>IFERROR(
  IF(B572="", "", VLOOKUP(B572, Data!$B$2:$K$905, 9, FALSE)),
  ""
)</f>
        <v/>
      </c>
      <c r="S572" s="152">
        <f t="shared" si="426"/>
        <v>0</v>
      </c>
      <c r="T572" s="690"/>
      <c r="U572" s="136" t="str">
        <f>IFERROR(
  IF(B572="", "", VLOOKUP(B572, Data!$B$2:$K$905, 10, FALSE)),
  ""
)
</f>
        <v/>
      </c>
      <c r="V572" s="691"/>
      <c r="W572" s="140">
        <f t="shared" si="427"/>
        <v>0</v>
      </c>
      <c r="X572" s="692"/>
      <c r="Y572" s="595"/>
      <c r="Z572" s="595"/>
      <c r="AA572" s="595"/>
      <c r="AB572" s="354">
        <f t="shared" si="428"/>
        <v>0</v>
      </c>
      <c r="AC572" s="181"/>
      <c r="AD572" s="625"/>
      <c r="AE572" s="626"/>
      <c r="AF572" s="696"/>
      <c r="AG572" s="697"/>
      <c r="AH572" s="629"/>
      <c r="AI572" s="187"/>
      <c r="AJ572" s="630"/>
      <c r="AK572" s="630"/>
      <c r="AL572" s="595"/>
      <c r="AM572" s="595"/>
      <c r="AN572" s="595"/>
      <c r="AO572" s="595"/>
      <c r="AP572" s="595"/>
      <c r="AQ572" s="595"/>
      <c r="AR572" s="595"/>
      <c r="AS572" s="595"/>
      <c r="AT572" s="595"/>
      <c r="AU572" s="595"/>
      <c r="AV572" s="595"/>
      <c r="AW572" s="595"/>
      <c r="AX572" s="595"/>
      <c r="AY572" s="595"/>
      <c r="AZ572" s="595"/>
      <c r="BA572" s="595"/>
      <c r="BB572" s="595"/>
      <c r="BC572" s="595"/>
      <c r="BD572" s="595"/>
      <c r="BE572" s="595"/>
      <c r="BF572" s="595"/>
      <c r="BG572" s="595"/>
      <c r="BH572" s="595"/>
      <c r="BI572" s="651"/>
      <c r="BJ572" s="651"/>
      <c r="BK572" s="651"/>
      <c r="BL572" s="651"/>
      <c r="BM572" s="651"/>
      <c r="BN572" s="651"/>
      <c r="BO572" s="651"/>
      <c r="BP572" s="651"/>
      <c r="BQ572" s="651"/>
      <c r="BR572" s="651"/>
      <c r="BS572" s="651"/>
      <c r="BT572" s="651"/>
    </row>
    <row r="573">
      <c r="A573" s="684"/>
      <c r="B573" s="154"/>
      <c r="C573" s="758"/>
      <c r="D573" s="701"/>
      <c r="E573" s="722"/>
      <c r="F573" s="699"/>
      <c r="G573" s="701"/>
      <c r="H573" s="700"/>
      <c r="I573" s="712"/>
      <c r="J573" s="701"/>
      <c r="K573" s="701"/>
      <c r="L573" s="712"/>
      <c r="M573" s="704"/>
      <c r="N573" s="151" t="str">
        <f t="shared" si="429"/>
        <v/>
      </c>
      <c r="O573" s="712"/>
      <c r="P573" s="700"/>
      <c r="Q573" s="712"/>
      <c r="R573" s="681" t="str">
        <f>IFERROR(
  IF(B573="", "", VLOOKUP(B573, Data!$B$2:$K$905, 9, FALSE)),
  ""
)</f>
        <v/>
      </c>
      <c r="S573" s="691"/>
      <c r="T573" s="690"/>
      <c r="U573" s="681" t="str">
        <f>IFERROR(
  IF(B573="", "", VLOOKUP(B573, Data!$B$2:$K$905, 10, FALSE)),
  ""
)
</f>
        <v/>
      </c>
      <c r="V573" s="691"/>
      <c r="W573" s="713"/>
      <c r="X573" s="692"/>
      <c r="Y573" s="595"/>
      <c r="Z573" s="595"/>
      <c r="AA573" s="595"/>
      <c r="AB573" s="354">
        <f t="shared" si="428"/>
        <v>0</v>
      </c>
      <c r="AC573" s="181"/>
      <c r="AD573" s="625"/>
      <c r="AE573" s="626"/>
      <c r="AF573" s="696"/>
      <c r="AG573" s="697"/>
      <c r="AH573" s="629"/>
      <c r="AI573" s="187"/>
      <c r="AJ573" s="630"/>
      <c r="AK573" s="630"/>
      <c r="AL573" s="595"/>
      <c r="AM573" s="595"/>
      <c r="AN573" s="595"/>
      <c r="AO573" s="595"/>
      <c r="AP573" s="595"/>
      <c r="AQ573" s="595"/>
      <c r="AR573" s="595"/>
      <c r="AS573" s="595"/>
      <c r="AT573" s="595"/>
      <c r="AU573" s="595"/>
      <c r="AV573" s="595"/>
      <c r="AW573" s="595"/>
      <c r="AX573" s="595"/>
      <c r="AY573" s="595"/>
      <c r="AZ573" s="595"/>
      <c r="BA573" s="595"/>
      <c r="BB573" s="595"/>
      <c r="BC573" s="595"/>
      <c r="BD573" s="595"/>
      <c r="BE573" s="595"/>
      <c r="BF573" s="595"/>
      <c r="BG573" s="595"/>
      <c r="BH573" s="595"/>
      <c r="BI573" s="651"/>
      <c r="BJ573" s="651"/>
      <c r="BK573" s="651"/>
      <c r="BL573" s="651"/>
      <c r="BM573" s="651"/>
      <c r="BN573" s="651"/>
      <c r="BO573" s="651"/>
      <c r="BP573" s="651"/>
      <c r="BQ573" s="651"/>
      <c r="BR573" s="651"/>
      <c r="BS573" s="651"/>
      <c r="BT573" s="651"/>
    </row>
    <row r="574">
      <c r="A574" s="631">
        <v>1.0</v>
      </c>
      <c r="B574" s="727"/>
      <c r="C574" s="769" t="s">
        <v>562</v>
      </c>
      <c r="D574" s="678"/>
      <c r="E574" s="676"/>
      <c r="F574" s="677"/>
      <c r="G574" s="678"/>
      <c r="H574" s="678"/>
      <c r="I574" s="679"/>
      <c r="J574" s="678"/>
      <c r="K574" s="678" t="s">
        <v>42</v>
      </c>
      <c r="L574" s="106">
        <f>Q574</f>
        <v>425.72</v>
      </c>
      <c r="M574" s="679" t="s">
        <v>42</v>
      </c>
      <c r="N574" s="680"/>
      <c r="O574" s="679"/>
      <c r="P574" s="678"/>
      <c r="Q574" s="106">
        <f>Q575</f>
        <v>425.72</v>
      </c>
      <c r="R574" s="681" t="str">
        <f>IFERROR(
  IF(B574="", "", VLOOKUP(B574, Data!$B$2:$K$905, 9, FALSE)),
  ""
)</f>
        <v/>
      </c>
      <c r="S574" s="682">
        <f>IFERROR(T574/Q574, 0)</f>
        <v>0</v>
      </c>
      <c r="T574" s="109">
        <f>SUM(S575:S579)</f>
        <v>0</v>
      </c>
      <c r="U574" s="681" t="str">
        <f>IFERROR(
  IF(B574="", "", VLOOKUP(B574, Data!$B$2:$K$905, 10, FALSE)),
  ""
)
</f>
        <v/>
      </c>
      <c r="V574" s="109">
        <f>W574/Q574</f>
        <v>0</v>
      </c>
      <c r="W574" s="110">
        <f>SUM(W575:W579)</f>
        <v>0</v>
      </c>
      <c r="X574" s="111" t="str">
        <f>W574/$AC$758/$W$765/$X$755</f>
        <v>#REF!</v>
      </c>
      <c r="Y574" s="112" t="b">
        <f>(T574+W574)=(SUM(AB575:AB579))</f>
        <v>1</v>
      </c>
      <c r="Z574" s="222">
        <f>(T574+W574)-(SUM(AB575:AB579))</f>
        <v>0</v>
      </c>
      <c r="AA574" s="595"/>
      <c r="AB574" s="595"/>
      <c r="AC574" s="181"/>
      <c r="AD574" s="114">
        <f>W574+T574</f>
        <v>0</v>
      </c>
      <c r="AE574" s="115">
        <f>AD574</f>
        <v>0</v>
      </c>
      <c r="AF574" s="116" t="str">
        <f>AE574/$AE$733</f>
        <v>#REF!</v>
      </c>
      <c r="AG574" s="683" t="str">
        <f>AF574*$AG$740</f>
        <v>#REF!</v>
      </c>
      <c r="AH574" s="118" t="str">
        <f>AF574*$AG$743</f>
        <v>#REF!</v>
      </c>
      <c r="AI574" s="187"/>
      <c r="AJ574" s="119" t="str">
        <f>ROUND(AK574/L574,2)</f>
        <v>#REF!</v>
      </c>
      <c r="AK574" s="119" t="str">
        <f>ROUND(AH574+AG574+AD574,2)</f>
        <v>#REF!</v>
      </c>
      <c r="AL574" s="595"/>
      <c r="AM574" s="595"/>
      <c r="AN574" s="595"/>
      <c r="AO574" s="595"/>
      <c r="AP574" s="595"/>
      <c r="AQ574" s="595"/>
      <c r="AR574" s="595"/>
      <c r="AS574" s="595"/>
      <c r="AT574" s="595"/>
      <c r="AU574" s="595"/>
      <c r="AV574" s="595"/>
      <c r="AW574" s="595"/>
      <c r="AX574" s="595"/>
      <c r="AY574" s="595"/>
      <c r="AZ574" s="595"/>
      <c r="BA574" s="595"/>
      <c r="BB574" s="595"/>
      <c r="BC574" s="595"/>
      <c r="BD574" s="595"/>
      <c r="BE574" s="595"/>
      <c r="BF574" s="595"/>
      <c r="BG574" s="595"/>
      <c r="BH574" s="595"/>
      <c r="BI574" s="651"/>
      <c r="BJ574" s="651"/>
      <c r="BK574" s="651"/>
      <c r="BL574" s="651"/>
      <c r="BM574" s="651"/>
      <c r="BN574" s="651"/>
      <c r="BO574" s="651"/>
      <c r="BP574" s="651"/>
      <c r="BQ574" s="651"/>
      <c r="BR574" s="651"/>
      <c r="BS574" s="651"/>
      <c r="BT574" s="651"/>
    </row>
    <row r="575">
      <c r="A575" s="703" t="s">
        <v>444</v>
      </c>
      <c r="B575" s="154" t="str">
        <f>IFERROR(__xludf.DUMMYFUNCTION("IFERROR(
  IF(C575="""","""",
    IF(OR(REGEXMATCH(D575,""(?i)-Flashing""), REGEXMATCH(D575,""(?i)-EavesGut""), REGEXMATCH(D575,""(?i)Valley"")),
        ""DR"" &amp;
        TEXT(
            ROUNDUP(
                MIN(
                    VALUE(MID(C575, "&amp;"FIND(""("",C575)+1, FIND(""/"",C575)-FIND(""("",C575)-1)),
                    1200
                ) / 50, 0
            ) * 50, ""0""
        ) &amp;
        MID(C575, FIND(""/"",C575)+1, FIND("")"",C575)-FIND(""/"",C575)-1) &amp;
        TEXT(H575*100,""0"") &amp;"&amp;"
        I575,
    IF(AND(D575=""Roof Sheet"", REGEXMATCH(C575,""(?i)KS\d{4}[A-Z]{2}"")),
       REGEXEXTRACT(C575,""(?i)KS\d{4}[A-Z]{2}""),
    IF(AND(REGEXMATCH(D575,""(?i)-DP""), REGEXMATCH(C575,""(?i)Downpipe"")),
       ""dp"" &amp; REGEXEXTRACT(C575,""("&amp;"\d+)"") &amp; ""mm"",
    IF(AND(REGEXMATCH(D575,""(?i)Bracket""), REGEXMATCH(C575,""(?i)Bracket"")),
       ""Brkt"" &amp; REGEXEXTRACT(C575,""(\d+)"") &amp; ""mm"",
    IF(AND(REGEXMATCH(D575,""(?i)-OP""), REGEXMATCH(C575,""(?i)pops"")),
       ""op"" &amp; REGEXEXTRAC"&amp;"T(C575,""(\d+)"") &amp; ""mm"",
    IF(OR(D575=""R-FFTop"", D575=""R-FFBottom"", D575=""R-FFSide""),
        IF(REGEXMATCH(C575,""(?i)Profiled.*Top|Top.*Profiled""),""pfft"",
        IF(REGEXMATCH(C575,""(?i)Profiled.*Bottom|Bottom.*Profiled""),""pffb"",
    "&amp;"    IF(REGEXMATCH(C575,""(?i)Square""),""sff"",""""))),
    IF(REGEXMATCH(D575,""(?i)-Rivets""),""Rvt"",
    IF(REGEXMATCH(D575,""(?i)Silicone""),""300ml"",
    IF(REGEXMATCH(D575,""(?i)R-Butyl""),""300ml"",
    IF(REGEXMATCH(D575,""(?i)Fix""),""GenFix"","&amp;"
    IF(AND(REGEXMATCH(C575,""(?i)Timber""), REGEXMATCH(D575,""(?i)Timber"")),""tp"",
    IF(AND(REGEXMATCH(C575,""(?i)Vent G1275""), REGEXMATCH(D575,""(?i)Comb FIller"")),""CFV1275"",
    IF(REGEXMATCH(C575,""(?i)DPC""),""dpc"",
    IF(REGEXMATCH(C575,"""&amp;"(?i)Concealed Clips""),""ConClips"",
    IF(REGEXMATCH(D575,""(?i)-Takeoff ea""),""Takeoff ea"",
    IF(REGEXMATCH(D575,""(?i)-Takeoff LM""),""Takeoff LM"",
    IF(REGEXMATCH(D575,""(?i)-Takeoff m2""),""Takeoff m2"",
    IF(D575=""R-TU/TD"",""TU/TD"","""""&amp;")))))))))))))))))
  )))"),"DR3003B55Mag")</f>
        <v>DR3003B55Mag</v>
      </c>
      <c r="C575" s="698" t="s">
        <v>563</v>
      </c>
      <c r="D575" s="124" t="s">
        <v>161</v>
      </c>
      <c r="E575" s="687">
        <f>VALUE(MID(C575, FIND("(", C575)+1, FIND("/", C575)-FIND("(", C575)-1)) / 1000</f>
        <v>0.27</v>
      </c>
      <c r="F575" s="688"/>
      <c r="G575" s="689" t="s">
        <v>547</v>
      </c>
      <c r="H575" s="128" t="str">
        <f>IFERROR(__xludf.DUMMYFUNCTION("IFERROR(REGEXEXTRACT(C575, ""(\d*\.\d+)mm""), """")"),"0.55")</f>
        <v>0.55</v>
      </c>
      <c r="I575" s="168" t="s">
        <v>97</v>
      </c>
      <c r="J575" s="126" t="s">
        <v>14</v>
      </c>
      <c r="K575" s="126" t="str">
        <f>IFERROR(
  IF(B575="", "", VLOOKUP(B575, Data!$B$2:$K$905, 7, FALSE)),
  ""
)</f>
        <v/>
      </c>
      <c r="L575" s="704"/>
      <c r="M575" s="730">
        <v>425.72</v>
      </c>
      <c r="N575" s="151">
        <f>IFERROR(__xludf.DUMMYFUNCTION("IF(
  AND(
    IFERROR(REGEXEXTRACT(C575,""@\s*(\d+(?:\.\d+)?)\s*deg""),"""")&lt;&gt;"""",
    F575&lt;&gt;""""
  ),
  ""Pls Confirm °"",
  IF(
    IFERROR(REGEXEXTRACT(C575,""@\s*(\d+(?:\.\d+)?)\s*deg""),"""")&lt;&gt;"""",
    1/COS(RADIANS(REGEXEXTRACT(C575,""@\s*(\d+(?:"&amp;"\.\d+)?)\s*deg""))),
    IF(
      F575&lt;&gt;"""",
      IF(
        ISNUMBER(SEARCH(""|"",F575)),
        1/COS(
          ATAN(
            TAN(RADIANS(VALUE(INDEX(SPLIT(F575,""|""),1)))) *
            TAN(RADIANS(VALUE(INDEX(SPLIT(F575,""|""),2))))
       "&amp;"     /
            SQRT(
              TAN(RADIANS(VALUE(INDEX(SPLIT(F575,""|""),1))))^2 +
              TAN(RADIANS(VALUE(INDEX(SPLIT(F575,""|""),2))))^2
            )
          )
        ),
        1/COS(RADIANS(VALUE(F575)))
      ),
      1
    )
  )
"&amp;")"),1.0)</f>
        <v>1</v>
      </c>
      <c r="O575" s="169">
        <v>1.0</v>
      </c>
      <c r="P575" s="134">
        <v>1.0</v>
      </c>
      <c r="Q575" s="168">
        <f t="shared" ref="Q575:Q578" si="430">M575*N575*O575*P575</f>
        <v>425.72</v>
      </c>
      <c r="R575" s="136" t="str">
        <f>IFERROR(
  IF(B575="", "", VLOOKUP(B575, Data!$B$2:$K$905, 9, FALSE)),
  ""
)</f>
        <v/>
      </c>
      <c r="S575" s="152">
        <f t="shared" ref="S575:S578" si="431">R575*Q575</f>
        <v>0</v>
      </c>
      <c r="T575" s="690"/>
      <c r="U575" s="136" t="str">
        <f>IFERROR(
  IF(B575="", "", VLOOKUP(B575, Data!$B$2:$K$905, 10, FALSE)),
  ""
)
</f>
        <v/>
      </c>
      <c r="V575" s="691"/>
      <c r="W575" s="140">
        <f t="shared" ref="W575:W578" si="432">U575*Q575</f>
        <v>0</v>
      </c>
      <c r="X575" s="692"/>
      <c r="Y575" s="693"/>
      <c r="Z575" s="731"/>
      <c r="AA575" s="595"/>
      <c r="AB575" s="354">
        <f t="shared" ref="AB575:AB579" si="433">W575+S575</f>
        <v>0</v>
      </c>
      <c r="AC575" s="181"/>
      <c r="AD575" s="625"/>
      <c r="AE575" s="626"/>
      <c r="AF575" s="696"/>
      <c r="AG575" s="697"/>
      <c r="AH575" s="629"/>
      <c r="AI575" s="187"/>
      <c r="AJ575" s="630"/>
      <c r="AK575" s="630"/>
      <c r="AL575" s="595"/>
      <c r="AM575" s="595"/>
      <c r="AN575" s="595"/>
      <c r="AO575" s="595"/>
      <c r="AP575" s="595"/>
      <c r="AQ575" s="595"/>
      <c r="AR575" s="595"/>
      <c r="AS575" s="595"/>
      <c r="AT575" s="595"/>
      <c r="AU575" s="595"/>
      <c r="AV575" s="595"/>
      <c r="AW575" s="595"/>
      <c r="AX575" s="595"/>
      <c r="AY575" s="595"/>
      <c r="AZ575" s="595"/>
      <c r="BA575" s="595"/>
      <c r="BB575" s="595"/>
      <c r="BC575" s="595"/>
      <c r="BD575" s="595"/>
      <c r="BE575" s="595"/>
      <c r="BF575" s="595"/>
      <c r="BG575" s="595"/>
      <c r="BH575" s="595"/>
      <c r="BI575" s="651"/>
      <c r="BJ575" s="651"/>
      <c r="BK575" s="651"/>
      <c r="BL575" s="651"/>
      <c r="BM575" s="651"/>
      <c r="BN575" s="651"/>
      <c r="BO575" s="651"/>
      <c r="BP575" s="651"/>
      <c r="BQ575" s="651"/>
      <c r="BR575" s="651"/>
      <c r="BS575" s="651"/>
      <c r="BT575" s="651"/>
    </row>
    <row r="576">
      <c r="A576" s="684"/>
      <c r="B576" s="154" t="str">
        <f>IFERROR(__xludf.DUMMYFUNCTION("IFERROR(
  IF(C576="""","""",
    IF(OR(REGEXMATCH(D576,""(?i)-Flashing""), REGEXMATCH(D576,""(?i)-EavesGut""), REGEXMATCH(D576,""(?i)Valley"")),
        ""DR"" &amp;
        TEXT(
            ROUNDUP(
                MIN(
                    VALUE(MID(C576, "&amp;"FIND(""("",C576)+1, FIND(""/"",C576)-FIND(""("",C576)-1)),
                    1200
                ) / 50, 0
            ) * 50, ""0""
        ) &amp;
        MID(C576, FIND(""/"",C576)+1, FIND("")"",C576)-FIND(""/"",C576)-1) &amp;
        TEXT(H576*100,""0"") &amp;"&amp;"
        I576,
    IF(AND(D576=""Roof Sheet"", REGEXMATCH(C576,""(?i)KS\d{4}[A-Z]{2}"")),
       REGEXEXTRACT(C576,""(?i)KS\d{4}[A-Z]{2}""),
    IF(AND(REGEXMATCH(D576,""(?i)-DP""), REGEXMATCH(C576,""(?i)Downpipe"")),
       ""dp"" &amp; REGEXEXTRACT(C576,""("&amp;"\d+)"") &amp; ""mm"",
    IF(AND(REGEXMATCH(D576,""(?i)Bracket""), REGEXMATCH(C576,""(?i)Bracket"")),
       ""Brkt"" &amp; REGEXEXTRACT(C576,""(\d+)"") &amp; ""mm"",
    IF(AND(REGEXMATCH(D576,""(?i)-OP""), REGEXMATCH(C576,""(?i)pops"")),
       ""op"" &amp; REGEXEXTRAC"&amp;"T(C576,""(\d+)"") &amp; ""mm"",
    IF(OR(D576=""R-FFTop"", D576=""R-FFBottom"", D576=""R-FFSide""),
        IF(REGEXMATCH(C576,""(?i)Profiled.*Top|Top.*Profiled""),""pfft"",
        IF(REGEXMATCH(C576,""(?i)Profiled.*Bottom|Bottom.*Profiled""),""pffb"",
    "&amp;"    IF(REGEXMATCH(C576,""(?i)Square""),""sff"",""""))),
    IF(REGEXMATCH(D576,""(?i)-Rivets""),""Rvt"",
    IF(REGEXMATCH(D576,""(?i)Silicone""),""300ml"",
    IF(REGEXMATCH(D576,""(?i)R-Butyl""),""300ml"",
    IF(REGEXMATCH(D576,""(?i)Fix""),""GenFix"","&amp;"
    IF(AND(REGEXMATCH(C576,""(?i)Timber""), REGEXMATCH(D576,""(?i)Timber"")),""tp"",
    IF(AND(REGEXMATCH(C576,""(?i)Vent G1275""), REGEXMATCH(D576,""(?i)Comb FIller"")),""CFV1275"",
    IF(REGEXMATCH(C576,""(?i)DPC""),""dpc"",
    IF(REGEXMATCH(C576,"""&amp;"(?i)Concealed Clips""),""ConClips"",
    IF(REGEXMATCH(D576,""(?i)-Takeoff ea""),""Takeoff ea"",
    IF(REGEXMATCH(D576,""(?i)-Takeoff LM""),""Takeoff LM"",
    IF(REGEXMATCH(D576,""(?i)-Takeoff m2""),""Takeoff m2"",
    IF(D576=""R-TU/TD"",""TU/TD"","""""&amp;")))))))))))))))))
  )))"),"300ml")</f>
        <v>300ml</v>
      </c>
      <c r="C576" s="734" t="s">
        <v>98</v>
      </c>
      <c r="D576" s="124" t="s">
        <v>162</v>
      </c>
      <c r="E576" s="687">
        <f>E575</f>
        <v>0.27</v>
      </c>
      <c r="F576" s="699"/>
      <c r="G576" s="700"/>
      <c r="H576" s="700" t="str">
        <f>IFERROR(__xludf.DUMMYFUNCTION("IFERROR(REGEXEXTRACT(C576, ""(\d*\.\d+)mm""), """")"),"")</f>
        <v/>
      </c>
      <c r="I576" s="712"/>
      <c r="J576" s="126" t="s">
        <v>87</v>
      </c>
      <c r="K576" s="126" t="str">
        <f>IFERROR(
  IF(B576="", "", VLOOKUP(B576, Data!$B$2:$K$905, 7, FALSE)),
  ""
)</f>
        <v/>
      </c>
      <c r="L576" s="704"/>
      <c r="M576" s="150">
        <f>(ROUNDDOWN((M575/5.7)+2,0)*E576)/8</f>
        <v>2.565</v>
      </c>
      <c r="N576" s="151">
        <f t="shared" ref="N576:N579" si="434">if(B576="","",(if(N575="",N574,N575)))</f>
        <v>1</v>
      </c>
      <c r="O576" s="169">
        <v>1.0</v>
      </c>
      <c r="P576" s="134">
        <v>1.0</v>
      </c>
      <c r="Q576" s="168">
        <f t="shared" si="430"/>
        <v>2.565</v>
      </c>
      <c r="R576" s="136" t="str">
        <f>IFERROR(
  IF(B576="", "", VLOOKUP(B576, Data!$B$2:$K$905, 9, FALSE)),
  ""
)</f>
        <v/>
      </c>
      <c r="S576" s="152">
        <f t="shared" si="431"/>
        <v>0</v>
      </c>
      <c r="T576" s="690"/>
      <c r="U576" s="681" t="str">
        <f>IFERROR(
  IF(B576="", "", VLOOKUP(B576, Data!$B$2:$K$905, 10, FALSE)),
  ""
)
</f>
        <v/>
      </c>
      <c r="V576" s="691"/>
      <c r="W576" s="140">
        <f t="shared" si="432"/>
        <v>0</v>
      </c>
      <c r="X576" s="692"/>
      <c r="Y576" s="595"/>
      <c r="Z576" s="595"/>
      <c r="AA576" s="595"/>
      <c r="AB576" s="354">
        <f t="shared" si="433"/>
        <v>0</v>
      </c>
      <c r="AC576" s="181"/>
      <c r="AD576" s="625"/>
      <c r="AE576" s="626"/>
      <c r="AF576" s="696"/>
      <c r="AG576" s="697"/>
      <c r="AH576" s="629"/>
      <c r="AI576" s="187"/>
      <c r="AJ576" s="630"/>
      <c r="AK576" s="630"/>
      <c r="AL576" s="595"/>
      <c r="AM576" s="595"/>
      <c r="AN576" s="595"/>
      <c r="AO576" s="595"/>
      <c r="AP576" s="595"/>
      <c r="AQ576" s="595"/>
      <c r="AR576" s="595"/>
      <c r="AS576" s="595"/>
      <c r="AT576" s="595"/>
      <c r="AU576" s="595"/>
      <c r="AV576" s="595"/>
      <c r="AW576" s="595"/>
      <c r="AX576" s="595"/>
      <c r="AY576" s="595"/>
      <c r="AZ576" s="595"/>
      <c r="BA576" s="595"/>
      <c r="BB576" s="595"/>
      <c r="BC576" s="595"/>
      <c r="BD576" s="595"/>
      <c r="BE576" s="595"/>
      <c r="BF576" s="595"/>
      <c r="BG576" s="595"/>
      <c r="BH576" s="595"/>
      <c r="BI576" s="651"/>
      <c r="BJ576" s="651"/>
      <c r="BK576" s="651"/>
      <c r="BL576" s="651"/>
      <c r="BM576" s="651"/>
      <c r="BN576" s="651"/>
      <c r="BO576" s="651"/>
      <c r="BP576" s="651"/>
      <c r="BQ576" s="651"/>
      <c r="BR576" s="651"/>
      <c r="BS576" s="651"/>
      <c r="BT576" s="651"/>
    </row>
    <row r="577">
      <c r="A577" s="684"/>
      <c r="B577" s="154" t="str">
        <f>IFERROR(__xludf.DUMMYFUNCTION("IFERROR(
  IF(C577="""","""",
    IF(OR(REGEXMATCH(D577,""(?i)-Flashing""), REGEXMATCH(D577,""(?i)-EavesGut""), REGEXMATCH(D577,""(?i)Valley"")),
        ""DR"" &amp;
        TEXT(
            ROUNDUP(
                MIN(
                    VALUE(MID(C577, "&amp;"FIND(""("",C577)+1, FIND(""/"",C577)-FIND(""("",C577)-1)),
                    1200
                ) / 50, 0
            ) * 50, ""0""
        ) &amp;
        MID(C577, FIND(""/"",C577)+1, FIND("")"",C577)-FIND(""/"",C577)-1) &amp;
        TEXT(H577*100,""0"") &amp;"&amp;"
        I577,
    IF(AND(D577=""Roof Sheet"", REGEXMATCH(C577,""(?i)KS\d{4}[A-Z]{2}"")),
       REGEXEXTRACT(C577,""(?i)KS\d{4}[A-Z]{2}""),
    IF(AND(REGEXMATCH(D577,""(?i)-DP""), REGEXMATCH(C577,""(?i)Downpipe"")),
       ""dp"" &amp; REGEXEXTRACT(C577,""("&amp;"\d+)"") &amp; ""mm"",
    IF(AND(REGEXMATCH(D577,""(?i)Bracket""), REGEXMATCH(C577,""(?i)Bracket"")),
       ""Brkt"" &amp; REGEXEXTRACT(C577,""(\d+)"") &amp; ""mm"",
    IF(AND(REGEXMATCH(D577,""(?i)-OP""), REGEXMATCH(C577,""(?i)pops"")),
       ""op"" &amp; REGEXEXTRAC"&amp;"T(C577,""(\d+)"") &amp; ""mm"",
    IF(OR(D577=""R-FFTop"", D577=""R-FFBottom"", D577=""R-FFSide""),
        IF(REGEXMATCH(C577,""(?i)Profiled.*Top|Top.*Profiled""),""pfft"",
        IF(REGEXMATCH(C577,""(?i)Profiled.*Bottom|Bottom.*Profiled""),""pffb"",
    "&amp;"    IF(REGEXMATCH(C577,""(?i)Square""),""sff"",""""))),
    IF(REGEXMATCH(D577,""(?i)-Rivets""),""Rvt"",
    IF(REGEXMATCH(D577,""(?i)Silicone""),""300ml"",
    IF(REGEXMATCH(D577,""(?i)R-Butyl""),""300ml"",
    IF(REGEXMATCH(D577,""(?i)Fix""),""GenFix"","&amp;"
    IF(AND(REGEXMATCH(C577,""(?i)Timber""), REGEXMATCH(D577,""(?i)Timber"")),""tp"",
    IF(AND(REGEXMATCH(C577,""(?i)Vent G1275""), REGEXMATCH(D577,""(?i)Comb FIller"")),""CFV1275"",
    IF(REGEXMATCH(C577,""(?i)DPC""),""dpc"",
    IF(REGEXMATCH(C577,"""&amp;"(?i)Concealed Clips""),""ConClips"",
    IF(REGEXMATCH(D577,""(?i)-Takeoff ea""),""Takeoff ea"",
    IF(REGEXMATCH(D577,""(?i)-Takeoff LM""),""Takeoff LM"",
    IF(REGEXMATCH(D577,""(?i)-Takeoff m2""),""Takeoff m2"",
    IF(D577=""R-TU/TD"",""TU/TD"","""""&amp;")))))))))))))))))
  )))"),"Rvt")</f>
        <v>Rvt</v>
      </c>
      <c r="C577" s="734" t="s">
        <v>100</v>
      </c>
      <c r="D577" s="124" t="s">
        <v>163</v>
      </c>
      <c r="E577" s="687">
        <f>E575</f>
        <v>0.27</v>
      </c>
      <c r="F577" s="699"/>
      <c r="G577" s="700"/>
      <c r="H577" s="700" t="str">
        <f>IFERROR(__xludf.DUMMYFUNCTION("IFERROR(REGEXEXTRACT(C577, ""(\d*\.\d+)mm""), """")"),"")</f>
        <v/>
      </c>
      <c r="I577" s="712"/>
      <c r="J577" s="126" t="s">
        <v>87</v>
      </c>
      <c r="K577" s="126" t="str">
        <f>IFERROR(
  IF(B577="", "", VLOOKUP(B577, Data!$B$2:$K$905, 7, FALSE)),
  ""
)</f>
        <v/>
      </c>
      <c r="L577" s="704"/>
      <c r="M577" s="150">
        <f>ROUNDUP(((M575/5.7)+1)*(E577/0.05),0)</f>
        <v>409</v>
      </c>
      <c r="N577" s="151">
        <f t="shared" si="434"/>
        <v>1</v>
      </c>
      <c r="O577" s="169">
        <v>1.0</v>
      </c>
      <c r="P577" s="134">
        <v>1.0</v>
      </c>
      <c r="Q577" s="168">
        <f t="shared" si="430"/>
        <v>409</v>
      </c>
      <c r="R577" s="136" t="str">
        <f>IFERROR(
  IF(B577="", "", VLOOKUP(B577, Data!$B$2:$K$905, 9, FALSE)),
  ""
)</f>
        <v/>
      </c>
      <c r="S577" s="152">
        <f t="shared" si="431"/>
        <v>0</v>
      </c>
      <c r="T577" s="690"/>
      <c r="U577" s="681" t="str">
        <f>IFERROR(
  IF(B577="", "", VLOOKUP(B577, Data!$B$2:$K$905, 10, FALSE)),
  ""
)
</f>
        <v/>
      </c>
      <c r="V577" s="691"/>
      <c r="W577" s="140">
        <f t="shared" si="432"/>
        <v>0</v>
      </c>
      <c r="X577" s="692"/>
      <c r="Y577" s="595"/>
      <c r="Z577" s="595"/>
      <c r="AA577" s="595"/>
      <c r="AB577" s="354">
        <f t="shared" si="433"/>
        <v>0</v>
      </c>
      <c r="AC577" s="181"/>
      <c r="AD577" s="625"/>
      <c r="AE577" s="626"/>
      <c r="AF577" s="696"/>
      <c r="AG577" s="697"/>
      <c r="AH577" s="629"/>
      <c r="AI577" s="187"/>
      <c r="AJ577" s="630"/>
      <c r="AK577" s="630"/>
      <c r="AL577" s="595"/>
      <c r="AM577" s="595"/>
      <c r="AN577" s="595"/>
      <c r="AO577" s="595"/>
      <c r="AP577" s="595"/>
      <c r="AQ577" s="595"/>
      <c r="AR577" s="595"/>
      <c r="AS577" s="595"/>
      <c r="AT577" s="595"/>
      <c r="AU577" s="595"/>
      <c r="AV577" s="595"/>
      <c r="AW577" s="595"/>
      <c r="AX577" s="595"/>
      <c r="AY577" s="595"/>
      <c r="AZ577" s="595"/>
      <c r="BA577" s="595"/>
      <c r="BB577" s="595"/>
      <c r="BC577" s="595"/>
      <c r="BD577" s="595"/>
      <c r="BE577" s="595"/>
      <c r="BF577" s="595"/>
      <c r="BG577" s="595"/>
      <c r="BH577" s="595"/>
      <c r="BI577" s="651"/>
      <c r="BJ577" s="651"/>
      <c r="BK577" s="651"/>
      <c r="BL577" s="651"/>
      <c r="BM577" s="651"/>
      <c r="BN577" s="651"/>
      <c r="BO577" s="651"/>
      <c r="BP577" s="651"/>
      <c r="BQ577" s="651"/>
      <c r="BR577" s="651"/>
      <c r="BS577" s="651"/>
      <c r="BT577" s="651"/>
    </row>
    <row r="578">
      <c r="A578" s="684"/>
      <c r="B578" s="154" t="str">
        <f>IFERROR(__xludf.DUMMYFUNCTION("IFERROR(
  IF(C578="""","""",
    IF(OR(REGEXMATCH(D578,""(?i)-Flashing""), REGEXMATCH(D578,""(?i)-EavesGut""), REGEXMATCH(D578,""(?i)Valley"")),
        ""DR"" &amp;
        TEXT(
            ROUNDUP(
                MIN(
                    VALUE(MID(C578, "&amp;"FIND(""("",C578)+1, FIND(""/"",C578)-FIND(""("",C578)-1)),
                    1200
                ) / 50, 0
            ) * 50, ""0""
        ) &amp;
        MID(C578, FIND(""/"",C578)+1, FIND("")"",C578)-FIND(""/"",C578)-1) &amp;
        TEXT(H578*100,""0"") &amp;"&amp;"
        I578,
    IF(AND(D578=""Roof Sheet"", REGEXMATCH(C578,""(?i)KS\d{4}[A-Z]{2}"")),
       REGEXEXTRACT(C578,""(?i)KS\d{4}[A-Z]{2}""),
    IF(AND(REGEXMATCH(D578,""(?i)-DP""), REGEXMATCH(C578,""(?i)Downpipe"")),
       ""dp"" &amp; REGEXEXTRACT(C578,""("&amp;"\d+)"") &amp; ""mm"",
    IF(AND(REGEXMATCH(D578,""(?i)Bracket""), REGEXMATCH(C578,""(?i)Bracket"")),
       ""Brkt"" &amp; REGEXEXTRACT(C578,""(\d+)"") &amp; ""mm"",
    IF(AND(REGEXMATCH(D578,""(?i)-OP""), REGEXMATCH(C578,""(?i)pops"")),
       ""op"" &amp; REGEXEXTRAC"&amp;"T(C578,""(\d+)"") &amp; ""mm"",
    IF(OR(D578=""R-FFTop"", D578=""R-FFBottom"", D578=""R-FFSide""),
        IF(REGEXMATCH(C578,""(?i)Profiled.*Top|Top.*Profiled""),""pfft"",
        IF(REGEXMATCH(C578,""(?i)Profiled.*Bottom|Bottom.*Profiled""),""pffb"",
    "&amp;"    IF(REGEXMATCH(C578,""(?i)Square""),""sff"",""""))),
    IF(REGEXMATCH(D578,""(?i)-Rivets""),""Rvt"",
    IF(REGEXMATCH(D578,""(?i)Silicone""),""300ml"",
    IF(REGEXMATCH(D578,""(?i)R-Butyl""),""300ml"",
    IF(REGEXMATCH(D578,""(?i)Fix""),""GenFix"","&amp;"
    IF(AND(REGEXMATCH(C578,""(?i)Timber""), REGEXMATCH(D578,""(?i)Timber"")),""tp"",
    IF(AND(REGEXMATCH(C578,""(?i)Vent G1275""), REGEXMATCH(D578,""(?i)Comb FIller"")),""CFV1275"",
    IF(REGEXMATCH(C578,""(?i)DPC""),""dpc"",
    IF(REGEXMATCH(C578,"""&amp;"(?i)Concealed Clips""),""ConClips"",
    IF(REGEXMATCH(D578,""(?i)-Takeoff ea""),""Takeoff ea"",
    IF(REGEXMATCH(D578,""(?i)-Takeoff LM""),""Takeoff LM"",
    IF(REGEXMATCH(D578,""(?i)-Takeoff m2""),""Takeoff m2"",
    IF(D578=""R-TU/TD"",""TU/TD"","""""&amp;")))))))))))))))))
  )))"),"GenFix")</f>
        <v>GenFix</v>
      </c>
      <c r="C578" s="698" t="s">
        <v>102</v>
      </c>
      <c r="D578" s="124" t="s">
        <v>164</v>
      </c>
      <c r="E578" s="722"/>
      <c r="F578" s="699"/>
      <c r="G578" s="701"/>
      <c r="H578" s="700"/>
      <c r="I578" s="712"/>
      <c r="J578" s="126" t="s">
        <v>87</v>
      </c>
      <c r="K578" s="126" t="str">
        <f>IFERROR(
  IF(B578="", "", VLOOKUP(B578, Data!$B$2:$K$905, 7, FALSE)),
  ""
)</f>
        <v/>
      </c>
      <c r="L578" s="712"/>
      <c r="M578" s="150">
        <f>ROUNDUP(M575/0.6,0)+1</f>
        <v>711</v>
      </c>
      <c r="N578" s="151">
        <f t="shared" si="434"/>
        <v>1</v>
      </c>
      <c r="O578" s="169">
        <v>1.0</v>
      </c>
      <c r="P578" s="134">
        <v>1.0</v>
      </c>
      <c r="Q578" s="168">
        <f t="shared" si="430"/>
        <v>711</v>
      </c>
      <c r="R578" s="136" t="str">
        <f>IFERROR(
  IF(B578="", "", VLOOKUP(B578, Data!$B$2:$K$905, 9, FALSE)),
  ""
)</f>
        <v/>
      </c>
      <c r="S578" s="152">
        <f t="shared" si="431"/>
        <v>0</v>
      </c>
      <c r="T578" s="690"/>
      <c r="U578" s="681" t="str">
        <f>IFERROR(
  IF(B578="", "", VLOOKUP(B578, Data!$B$2:$K$905, 10, FALSE)),
  ""
)
</f>
        <v/>
      </c>
      <c r="V578" s="691"/>
      <c r="W578" s="140">
        <f t="shared" si="432"/>
        <v>0</v>
      </c>
      <c r="X578" s="692"/>
      <c r="Y578" s="595"/>
      <c r="Z578" s="595"/>
      <c r="AA578" s="595"/>
      <c r="AB578" s="354">
        <f t="shared" si="433"/>
        <v>0</v>
      </c>
      <c r="AC578" s="181"/>
      <c r="AD578" s="625"/>
      <c r="AE578" s="626"/>
      <c r="AF578" s="696"/>
      <c r="AG578" s="697"/>
      <c r="AH578" s="629"/>
      <c r="AI578" s="187"/>
      <c r="AJ578" s="630"/>
      <c r="AK578" s="630"/>
      <c r="AL578" s="595"/>
      <c r="AM578" s="595"/>
      <c r="AN578" s="595"/>
      <c r="AO578" s="595"/>
      <c r="AP578" s="595"/>
      <c r="AQ578" s="595"/>
      <c r="AR578" s="595"/>
      <c r="AS578" s="595"/>
      <c r="AT578" s="595"/>
      <c r="AU578" s="595"/>
      <c r="AV578" s="595"/>
      <c r="AW578" s="595"/>
      <c r="AX578" s="595"/>
      <c r="AY578" s="595"/>
      <c r="AZ578" s="595"/>
      <c r="BA578" s="595"/>
      <c r="BB578" s="595"/>
      <c r="BC578" s="595"/>
      <c r="BD578" s="595"/>
      <c r="BE578" s="595"/>
      <c r="BF578" s="595"/>
      <c r="BG578" s="595"/>
      <c r="BH578" s="595"/>
      <c r="BI578" s="651"/>
      <c r="BJ578" s="651"/>
      <c r="BK578" s="651"/>
      <c r="BL578" s="651"/>
      <c r="BM578" s="651"/>
      <c r="BN578" s="651"/>
      <c r="BO578" s="651"/>
      <c r="BP578" s="651"/>
      <c r="BQ578" s="651"/>
      <c r="BR578" s="651"/>
      <c r="BS578" s="651"/>
      <c r="BT578" s="651"/>
    </row>
    <row r="579">
      <c r="A579" s="684"/>
      <c r="B579" s="154"/>
      <c r="C579" s="758"/>
      <c r="D579" s="701"/>
      <c r="E579" s="722"/>
      <c r="F579" s="699"/>
      <c r="G579" s="701"/>
      <c r="H579" s="700"/>
      <c r="I579" s="712"/>
      <c r="J579" s="701"/>
      <c r="K579" s="701"/>
      <c r="L579" s="712"/>
      <c r="M579" s="704"/>
      <c r="N579" s="151" t="str">
        <f t="shared" si="434"/>
        <v/>
      </c>
      <c r="O579" s="712"/>
      <c r="P579" s="700"/>
      <c r="Q579" s="712"/>
      <c r="R579" s="681" t="str">
        <f>IFERROR(
  IF(B579="", "", VLOOKUP(B579, Data!$B$2:$K$905, 9, FALSE)),
  ""
)</f>
        <v/>
      </c>
      <c r="S579" s="691"/>
      <c r="T579" s="690"/>
      <c r="U579" s="681" t="str">
        <f>IFERROR(
  IF(B579="", "", VLOOKUP(B579, Data!$B$2:$K$905, 10, FALSE)),
  ""
)
</f>
        <v/>
      </c>
      <c r="V579" s="691"/>
      <c r="W579" s="713"/>
      <c r="X579" s="692"/>
      <c r="Y579" s="595"/>
      <c r="Z579" s="595"/>
      <c r="AA579" s="595"/>
      <c r="AB579" s="354">
        <f t="shared" si="433"/>
        <v>0</v>
      </c>
      <c r="AC579" s="181"/>
      <c r="AD579" s="625"/>
      <c r="AE579" s="626"/>
      <c r="AF579" s="696"/>
      <c r="AG579" s="697"/>
      <c r="AH579" s="629"/>
      <c r="AI579" s="187"/>
      <c r="AJ579" s="630"/>
      <c r="AK579" s="630"/>
      <c r="AL579" s="595"/>
      <c r="AM579" s="595"/>
      <c r="AN579" s="595"/>
      <c r="AO579" s="595"/>
      <c r="AP579" s="595"/>
      <c r="AQ579" s="595"/>
      <c r="AR579" s="595"/>
      <c r="AS579" s="595"/>
      <c r="AT579" s="595"/>
      <c r="AU579" s="595"/>
      <c r="AV579" s="595"/>
      <c r="AW579" s="595"/>
      <c r="AX579" s="595"/>
      <c r="AY579" s="595"/>
      <c r="AZ579" s="595"/>
      <c r="BA579" s="595"/>
      <c r="BB579" s="595"/>
      <c r="BC579" s="595"/>
      <c r="BD579" s="595"/>
      <c r="BE579" s="595"/>
      <c r="BF579" s="595"/>
      <c r="BG579" s="595"/>
      <c r="BH579" s="595"/>
      <c r="BI579" s="651"/>
      <c r="BJ579" s="651"/>
      <c r="BK579" s="651"/>
      <c r="BL579" s="651"/>
      <c r="BM579" s="651"/>
      <c r="BN579" s="651"/>
      <c r="BO579" s="651"/>
      <c r="BP579" s="651"/>
      <c r="BQ579" s="651"/>
      <c r="BR579" s="651"/>
      <c r="BS579" s="651"/>
      <c r="BT579" s="651"/>
    </row>
    <row r="580">
      <c r="A580" s="631">
        <v>1.0</v>
      </c>
      <c r="B580" s="727"/>
      <c r="C580" s="103" t="s">
        <v>564</v>
      </c>
      <c r="D580" s="678"/>
      <c r="E580" s="676"/>
      <c r="F580" s="677"/>
      <c r="G580" s="678"/>
      <c r="H580" s="678"/>
      <c r="I580" s="679"/>
      <c r="J580" s="678"/>
      <c r="K580" s="678" t="s">
        <v>42</v>
      </c>
      <c r="L580" s="106">
        <f>Q580</f>
        <v>6</v>
      </c>
      <c r="M580" s="679" t="s">
        <v>42</v>
      </c>
      <c r="N580" s="680"/>
      <c r="O580" s="679"/>
      <c r="P580" s="678"/>
      <c r="Q580" s="106">
        <f>Q581</f>
        <v>6</v>
      </c>
      <c r="R580" s="681" t="str">
        <f>IFERROR(
  IF(B580="", "", VLOOKUP(B580, Data!$B$2:$K$905, 9, FALSE)),
  ""
)</f>
        <v/>
      </c>
      <c r="S580" s="682">
        <f>IFERROR(T580/Q580, 0)</f>
        <v>0</v>
      </c>
      <c r="T580" s="109">
        <f>SUM(S581:S587)</f>
        <v>0</v>
      </c>
      <c r="U580" s="681" t="str">
        <f>IFERROR(
  IF(B580="", "", VLOOKUP(B580, Data!$B$2:$K$905, 10, FALSE)),
  ""
)
</f>
        <v/>
      </c>
      <c r="V580" s="109">
        <f>W580/Q580</f>
        <v>0</v>
      </c>
      <c r="W580" s="110">
        <f>SUM(W581:W587)</f>
        <v>0</v>
      </c>
      <c r="X580" s="111" t="str">
        <f>W580/$AC$758/$W$765/$X$755</f>
        <v>#REF!</v>
      </c>
      <c r="Y580" s="112" t="b">
        <f>(T580+W580)=(SUM(AB581:AB587))</f>
        <v>1</v>
      </c>
      <c r="Z580" s="222">
        <f>(T580+W580)-(SUM(AB581:AB587))</f>
        <v>0</v>
      </c>
      <c r="AA580" s="595"/>
      <c r="AB580" s="595"/>
      <c r="AC580" s="181"/>
      <c r="AD580" s="114">
        <f>W580+T580</f>
        <v>0</v>
      </c>
      <c r="AE580" s="115">
        <f>AD580</f>
        <v>0</v>
      </c>
      <c r="AF580" s="116" t="str">
        <f>AE580/$AE$733</f>
        <v>#REF!</v>
      </c>
      <c r="AG580" s="683" t="str">
        <f>AF580*$AG$740</f>
        <v>#REF!</v>
      </c>
      <c r="AH580" s="118" t="str">
        <f>AF580*$AG$743</f>
        <v>#REF!</v>
      </c>
      <c r="AI580" s="187"/>
      <c r="AJ580" s="119" t="str">
        <f>ROUND(AK580/L580,2)</f>
        <v>#REF!</v>
      </c>
      <c r="AK580" s="119" t="str">
        <f>ROUND(AH580+AG580+AD580,2)</f>
        <v>#REF!</v>
      </c>
      <c r="AL580" s="595"/>
      <c r="AM580" s="595"/>
      <c r="AN580" s="595"/>
      <c r="AO580" s="595"/>
      <c r="AP580" s="595"/>
      <c r="AQ580" s="595"/>
      <c r="AR580" s="595"/>
      <c r="AS580" s="595"/>
      <c r="AT580" s="595"/>
      <c r="AU580" s="595"/>
      <c r="AV580" s="595"/>
      <c r="AW580" s="595"/>
      <c r="AX580" s="595"/>
      <c r="AY580" s="595"/>
      <c r="AZ580" s="595"/>
      <c r="BA580" s="595"/>
      <c r="BB580" s="595"/>
      <c r="BC580" s="595"/>
      <c r="BD580" s="595"/>
      <c r="BE580" s="595"/>
      <c r="BF580" s="595"/>
      <c r="BG580" s="595"/>
      <c r="BH580" s="595"/>
      <c r="BI580" s="651"/>
      <c r="BJ580" s="651"/>
      <c r="BK580" s="651"/>
      <c r="BL580" s="651"/>
      <c r="BM580" s="651"/>
      <c r="BN580" s="651"/>
      <c r="BO580" s="651"/>
      <c r="BP580" s="651"/>
      <c r="BQ580" s="651"/>
      <c r="BR580" s="651"/>
      <c r="BS580" s="651"/>
      <c r="BT580" s="651"/>
    </row>
    <row r="581">
      <c r="A581" s="703" t="s">
        <v>444</v>
      </c>
      <c r="B581" s="154" t="str">
        <f>IFERROR(__xludf.DUMMYFUNCTION("IFERROR(
  IF(C581="""","""",
    IF(OR(REGEXMATCH(D581,""(?i)-Flashing""), REGEXMATCH(D581,""(?i)-EavesGut""), REGEXMATCH(D581,""(?i)Valley"")),
        ""DR"" &amp;
        TEXT(
            ROUNDUP(
                MIN(
                    VALUE(MID(C581, "&amp;"FIND(""("",C581)+1, FIND(""/"",C581)-FIND(""("",C581)-1)),
                    1200
                ) / 50, 0
            ) * 50, ""0""
        ) &amp;
        MID(C581, FIND(""/"",C581)+1, FIND("")"",C581)-FIND(""/"",C581)-1) &amp;
        TEXT(H581*100,""0"") &amp;"&amp;"
        I581,
    IF(AND(D581=""Roof Sheet"", REGEXMATCH(C581,""(?i)KS\d{4}[A-Z]{2}"")),
       REGEXEXTRACT(C581,""(?i)KS\d{4}[A-Z]{2}""),
    IF(AND(REGEXMATCH(D581,""(?i)-DP""), REGEXMATCH(C581,""(?i)Downpipe"")),
       ""dp"" &amp; REGEXEXTRACT(C581,""("&amp;"\d+)"") &amp; ""mm"",
    IF(AND(REGEXMATCH(D581,""(?i)Bracket""), REGEXMATCH(C581,""(?i)Bracket"")),
       ""Brkt"" &amp; REGEXEXTRACT(C581,""(\d+)"") &amp; ""mm"",
    IF(AND(REGEXMATCH(D581,""(?i)-OP""), REGEXMATCH(C581,""(?i)pops"")),
       ""op"" &amp; REGEXEXTRAC"&amp;"T(C581,""(\d+)"") &amp; ""mm"",
    IF(OR(D581=""R-FFTop"", D581=""R-FFBottom"", D581=""R-FFSide""),
        IF(REGEXMATCH(C581,""(?i)Profiled.*Top|Top.*Profiled""),""pfft"",
        IF(REGEXMATCH(C581,""(?i)Profiled.*Bottom|Bottom.*Profiled""),""pffb"",
    "&amp;"    IF(REGEXMATCH(C581,""(?i)Square""),""sff"",""""))),
    IF(REGEXMATCH(D581,""(?i)-Rivets""),""Rvt"",
    IF(REGEXMATCH(D581,""(?i)Silicone""),""300ml"",
    IF(REGEXMATCH(D581,""(?i)R-Butyl""),""300ml"",
    IF(REGEXMATCH(D581,""(?i)Fix""),""GenFix"","&amp;"
    IF(AND(REGEXMATCH(C581,""(?i)Timber""), REGEXMATCH(D581,""(?i)Timber"")),""tp"",
    IF(AND(REGEXMATCH(C581,""(?i)Vent G1275""), REGEXMATCH(D581,""(?i)Comb FIller"")),""CFV1275"",
    IF(REGEXMATCH(C581,""(?i)DPC""),""dpc"",
    IF(REGEXMATCH(C581,"""&amp;"(?i)Concealed Clips""),""ConClips"",
    IF(REGEXMATCH(D581,""(?i)-Takeoff ea""),""Takeoff ea"",
    IF(REGEXMATCH(D581,""(?i)-Takeoff LM""),""Takeoff LM"",
    IF(REGEXMATCH(D581,""(?i)-Takeoff m2""),""Takeoff m2"",
    IF(D581=""R-TU/TD"",""TU/TD"","""""&amp;")))))))))))))))))
  )))"),"DR6006B55Mag")</f>
        <v>DR6006B55Mag</v>
      </c>
      <c r="C581" s="698" t="s">
        <v>565</v>
      </c>
      <c r="D581" s="686" t="s">
        <v>161</v>
      </c>
      <c r="E581" s="687">
        <f>VALUE(MID(C581, FIND("(", C581)+1, FIND("/", C581)-FIND("(", C581)-1)) / 1000</f>
        <v>0.6</v>
      </c>
      <c r="F581" s="688"/>
      <c r="G581" s="689" t="s">
        <v>547</v>
      </c>
      <c r="H581" s="700" t="str">
        <f>IFERROR(__xludf.DUMMYFUNCTION("IFERROR(REGEXEXTRACT(C581, ""(\d*\.\d+)mm""), """")"),"0.55")</f>
        <v>0.55</v>
      </c>
      <c r="I581" s="712" t="s">
        <v>97</v>
      </c>
      <c r="J581" s="126" t="s">
        <v>14</v>
      </c>
      <c r="K581" s="126" t="str">
        <f>IFERROR(
  IF(B581="", "", VLOOKUP(B581, Data!$B$2:$K$905, 7, FALSE)),
  ""
)</f>
        <v/>
      </c>
      <c r="L581" s="712"/>
      <c r="M581" s="150">
        <v>6.0</v>
      </c>
      <c r="N581" s="151">
        <f>IFERROR(__xludf.DUMMYFUNCTION("IF(
  AND(
    IFERROR(REGEXEXTRACT(C581,""@\s*(\d+(?:\.\d+)?)\s*deg""),"""")&lt;&gt;"""",
    F581&lt;&gt;""""
  ),
  ""Pls Confirm °"",
  IF(
    IFERROR(REGEXEXTRACT(C581,""@\s*(\d+(?:\.\d+)?)\s*deg""),"""")&lt;&gt;"""",
    1/COS(RADIANS(REGEXEXTRACT(C581,""@\s*(\d+(?:"&amp;"\.\d+)?)\s*deg""))),
    IF(
      F581&lt;&gt;"""",
      IF(
        ISNUMBER(SEARCH(""|"",F581)),
        1/COS(
          ATAN(
            TAN(RADIANS(VALUE(INDEX(SPLIT(F581,""|""),1)))) *
            TAN(RADIANS(VALUE(INDEX(SPLIT(F581,""|""),2))))
       "&amp;"     /
            SQRT(
              TAN(RADIANS(VALUE(INDEX(SPLIT(F581,""|""),1))))^2 +
              TAN(RADIANS(VALUE(INDEX(SPLIT(F581,""|""),2))))^2
            )
          )
        ),
        1/COS(RADIANS(VALUE(F581)))
      ),
      1
    )
  )
"&amp;")"),1.0)</f>
        <v>1</v>
      </c>
      <c r="O581" s="169">
        <v>1.0</v>
      </c>
      <c r="P581" s="134">
        <v>1.0</v>
      </c>
      <c r="Q581" s="168">
        <f t="shared" ref="Q581:Q586" si="435">M581*N581*O581*P581</f>
        <v>6</v>
      </c>
      <c r="R581" s="136" t="str">
        <f>IFERROR(
  IF(B581="", "", VLOOKUP(B581, Data!$B$2:$K$905, 9, FALSE)),
  ""
)</f>
        <v/>
      </c>
      <c r="S581" s="152">
        <f t="shared" ref="S581:S586" si="436">R581*Q581</f>
        <v>0</v>
      </c>
      <c r="T581" s="690"/>
      <c r="U581" s="681" t="str">
        <f>IFERROR(
  IF(B581="", "", VLOOKUP(B581, Data!$B$2:$K$905, 10, FALSE)),
  ""
)
</f>
        <v/>
      </c>
      <c r="V581" s="691"/>
      <c r="W581" s="140">
        <f t="shared" ref="W581:W586" si="437">U581*Q581</f>
        <v>0</v>
      </c>
      <c r="X581" s="692"/>
      <c r="Y581" s="595"/>
      <c r="Z581" s="595"/>
      <c r="AA581" s="595"/>
      <c r="AB581" s="354">
        <f t="shared" ref="AB581:AB587" si="438">W581+S581</f>
        <v>0</v>
      </c>
      <c r="AC581" s="181"/>
      <c r="AD581" s="625"/>
      <c r="AE581" s="626"/>
      <c r="AF581" s="696"/>
      <c r="AG581" s="697"/>
      <c r="AH581" s="629"/>
      <c r="AI581" s="187"/>
      <c r="AJ581" s="630"/>
      <c r="AK581" s="630"/>
      <c r="AL581" s="595"/>
      <c r="AM581" s="595"/>
      <c r="AN581" s="595"/>
      <c r="AO581" s="595"/>
      <c r="AP581" s="595"/>
      <c r="AQ581" s="595"/>
      <c r="AR581" s="595"/>
      <c r="AS581" s="595"/>
      <c r="AT581" s="595"/>
      <c r="AU581" s="595"/>
      <c r="AV581" s="595"/>
      <c r="AW581" s="595"/>
      <c r="AX581" s="595"/>
      <c r="AY581" s="595"/>
      <c r="AZ581" s="595"/>
      <c r="BA581" s="595"/>
      <c r="BB581" s="595"/>
      <c r="BC581" s="595"/>
      <c r="BD581" s="595"/>
      <c r="BE581" s="595"/>
      <c r="BF581" s="595"/>
      <c r="BG581" s="595"/>
      <c r="BH581" s="595"/>
      <c r="BI581" s="651"/>
      <c r="BJ581" s="651"/>
      <c r="BK581" s="651"/>
      <c r="BL581" s="651"/>
      <c r="BM581" s="651"/>
      <c r="BN581" s="651"/>
      <c r="BO581" s="651"/>
      <c r="BP581" s="651"/>
      <c r="BQ581" s="651"/>
      <c r="BR581" s="651"/>
      <c r="BS581" s="651"/>
      <c r="BT581" s="651"/>
    </row>
    <row r="582">
      <c r="A582" s="631"/>
      <c r="B582" s="154" t="str">
        <f>IFERROR(__xludf.DUMMYFUNCTION("IFERROR(
  IF(C582="""","""",
    IF(OR(REGEXMATCH(D582,""(?i)-Flashing""), REGEXMATCH(D582,""(?i)-EavesGut""), REGEXMATCH(D582,""(?i)Valley"")),
        ""DR"" &amp;
        TEXT(
            ROUNDUP(
                MIN(
                    VALUE(MID(C582, "&amp;"FIND(""("",C582)+1, FIND(""/"",C582)-FIND(""("",C582)-1)),
                    1200
                ) / 50, 0
            ) * 50, ""0""
        ) &amp;
        MID(C582, FIND(""/"",C582)+1, FIND("")"",C582)-FIND(""/"",C582)-1) &amp;
        TEXT(H582*100,""0"") &amp;"&amp;"
        I582,
    IF(AND(D582=""Roof Sheet"", REGEXMATCH(C582,""(?i)KS\d{4}[A-Z]{2}"")),
       REGEXEXTRACT(C582,""(?i)KS\d{4}[A-Z]{2}""),
    IF(AND(REGEXMATCH(D582,""(?i)-DP""), REGEXMATCH(C582,""(?i)Downpipe"")),
       ""dp"" &amp; REGEXEXTRACT(C582,""("&amp;"\d+)"") &amp; ""mm"",
    IF(AND(REGEXMATCH(D582,""(?i)Bracket""), REGEXMATCH(C582,""(?i)Bracket"")),
       ""Brkt"" &amp; REGEXEXTRACT(C582,""(\d+)"") &amp; ""mm"",
    IF(AND(REGEXMATCH(D582,""(?i)-OP""), REGEXMATCH(C582,""(?i)pops"")),
       ""op"" &amp; REGEXEXTRAC"&amp;"T(C582,""(\d+)"") &amp; ""mm"",
    IF(OR(D582=""R-FFTop"", D582=""R-FFBottom"", D582=""R-FFSide""),
        IF(REGEXMATCH(C582,""(?i)Profiled.*Top|Top.*Profiled""),""pfft"",
        IF(REGEXMATCH(C582,""(?i)Profiled.*Bottom|Bottom.*Profiled""),""pffb"",
    "&amp;"    IF(REGEXMATCH(C582,""(?i)Square""),""sff"",""""))),
    IF(REGEXMATCH(D582,""(?i)-Rivets""),""Rvt"",
    IF(REGEXMATCH(D582,""(?i)Silicone""),""300ml"",
    IF(REGEXMATCH(D582,""(?i)R-Butyl""),""300ml"",
    IF(REGEXMATCH(D582,""(?i)Fix""),""GenFix"","&amp;"
    IF(AND(REGEXMATCH(C582,""(?i)Timber""), REGEXMATCH(D582,""(?i)Timber"")),""tp"",
    IF(AND(REGEXMATCH(C582,""(?i)Vent G1275""), REGEXMATCH(D582,""(?i)Comb FIller"")),""CFV1275"",
    IF(REGEXMATCH(C582,""(?i)DPC""),""dpc"",
    IF(REGEXMATCH(C582,"""&amp;"(?i)Concealed Clips""),""ConClips"",
    IF(REGEXMATCH(D582,""(?i)-Takeoff ea""),""Takeoff ea"",
    IF(REGEXMATCH(D582,""(?i)-Takeoff LM""),""Takeoff LM"",
    IF(REGEXMATCH(D582,""(?i)-Takeoff m2""),""Takeoff m2"",
    IF(D582=""R-TU/TD"",""TU/TD"","""""&amp;")))))))))))))))))
  )))"),"300ml")</f>
        <v>300ml</v>
      </c>
      <c r="C582" s="698" t="s">
        <v>98</v>
      </c>
      <c r="D582" s="148" t="s">
        <v>162</v>
      </c>
      <c r="E582" s="687">
        <f>E581</f>
        <v>0.6</v>
      </c>
      <c r="F582" s="699"/>
      <c r="G582" s="701"/>
      <c r="H582" s="700" t="str">
        <f>IFERROR(__xludf.DUMMYFUNCTION("IFERROR(REGEXEXTRACT(C582, ""(\d*\.\d+)mm""), """")"),"")</f>
        <v/>
      </c>
      <c r="I582" s="712"/>
      <c r="J582" s="126" t="s">
        <v>87</v>
      </c>
      <c r="K582" s="126" t="str">
        <f>IFERROR(
  IF(B582="", "", VLOOKUP(B582, Data!$B$2:$K$905, 7, FALSE)),
  ""
)</f>
        <v/>
      </c>
      <c r="L582" s="712"/>
      <c r="M582" s="150">
        <f>(ROUNDDOWN((M581/5.7)+2,0)*E582)/8</f>
        <v>0.225</v>
      </c>
      <c r="N582" s="151">
        <f t="shared" ref="N582:N587" si="439">if(B582="","",(if(N581="",N580,N581)))</f>
        <v>1</v>
      </c>
      <c r="O582" s="169">
        <v>1.0</v>
      </c>
      <c r="P582" s="134">
        <v>1.0</v>
      </c>
      <c r="Q582" s="168">
        <f t="shared" si="435"/>
        <v>0.225</v>
      </c>
      <c r="R582" s="136" t="str">
        <f>IFERROR(
  IF(B582="", "", VLOOKUP(B582, Data!$B$2:$K$905, 9, FALSE)),
  ""
)</f>
        <v/>
      </c>
      <c r="S582" s="152">
        <f t="shared" si="436"/>
        <v>0</v>
      </c>
      <c r="T582" s="690"/>
      <c r="U582" s="681" t="str">
        <f>IFERROR(
  IF(B582="", "", VLOOKUP(B582, Data!$B$2:$K$905, 10, FALSE)),
  ""
)
</f>
        <v/>
      </c>
      <c r="V582" s="691"/>
      <c r="W582" s="140">
        <f t="shared" si="437"/>
        <v>0</v>
      </c>
      <c r="X582" s="692"/>
      <c r="Y582" s="595"/>
      <c r="Z582" s="595"/>
      <c r="AA582" s="595"/>
      <c r="AB582" s="354">
        <f t="shared" si="438"/>
        <v>0</v>
      </c>
      <c r="AC582" s="181"/>
      <c r="AD582" s="625"/>
      <c r="AE582" s="626"/>
      <c r="AF582" s="696"/>
      <c r="AG582" s="697"/>
      <c r="AH582" s="629"/>
      <c r="AI582" s="187"/>
      <c r="AJ582" s="630"/>
      <c r="AK582" s="630"/>
      <c r="AL582" s="595"/>
      <c r="AM582" s="595"/>
      <c r="AN582" s="595"/>
      <c r="AO582" s="595"/>
      <c r="AP582" s="595"/>
      <c r="AQ582" s="595"/>
      <c r="AR582" s="595"/>
      <c r="AS582" s="595"/>
      <c r="AT582" s="595"/>
      <c r="AU582" s="595"/>
      <c r="AV582" s="595"/>
      <c r="AW582" s="595"/>
      <c r="AX582" s="595"/>
      <c r="AY582" s="595"/>
      <c r="AZ582" s="595"/>
      <c r="BA582" s="595"/>
      <c r="BB582" s="595"/>
      <c r="BC582" s="595"/>
      <c r="BD582" s="595"/>
      <c r="BE582" s="595"/>
      <c r="BF582" s="595"/>
      <c r="BG582" s="595"/>
      <c r="BH582" s="595"/>
      <c r="BI582" s="651"/>
      <c r="BJ582" s="651"/>
      <c r="BK582" s="651"/>
      <c r="BL582" s="651"/>
      <c r="BM582" s="651"/>
      <c r="BN582" s="651"/>
      <c r="BO582" s="651"/>
      <c r="BP582" s="651"/>
      <c r="BQ582" s="651"/>
      <c r="BR582" s="651"/>
      <c r="BS582" s="651"/>
      <c r="BT582" s="651"/>
    </row>
    <row r="583">
      <c r="A583" s="631"/>
      <c r="B583" s="154" t="str">
        <f>IFERROR(__xludf.DUMMYFUNCTION("IFERROR(
  IF(C583="""","""",
    IF(OR(REGEXMATCH(D583,""(?i)-Flashing""), REGEXMATCH(D583,""(?i)-EavesGut""), REGEXMATCH(D583,""(?i)Valley"")),
        ""DR"" &amp;
        TEXT(
            ROUNDUP(
                MIN(
                    VALUE(MID(C583, "&amp;"FIND(""("",C583)+1, FIND(""/"",C583)-FIND(""("",C583)-1)),
                    1200
                ) / 50, 0
            ) * 50, ""0""
        ) &amp;
        MID(C583, FIND(""/"",C583)+1, FIND("")"",C583)-FIND(""/"",C583)-1) &amp;
        TEXT(H583*100,""0"") &amp;"&amp;"
        I583,
    IF(AND(D583=""Roof Sheet"", REGEXMATCH(C583,""(?i)KS\d{4}[A-Z]{2}"")),
       REGEXEXTRACT(C583,""(?i)KS\d{4}[A-Z]{2}""),
    IF(AND(REGEXMATCH(D583,""(?i)-DP""), REGEXMATCH(C583,""(?i)Downpipe"")),
       ""dp"" &amp; REGEXEXTRACT(C583,""("&amp;"\d+)"") &amp; ""mm"",
    IF(AND(REGEXMATCH(D583,""(?i)Bracket""), REGEXMATCH(C583,""(?i)Bracket"")),
       ""Brkt"" &amp; REGEXEXTRACT(C583,""(\d+)"") &amp; ""mm"",
    IF(AND(REGEXMATCH(D583,""(?i)-OP""), REGEXMATCH(C583,""(?i)pops"")),
       ""op"" &amp; REGEXEXTRAC"&amp;"T(C583,""(\d+)"") &amp; ""mm"",
    IF(OR(D583=""R-FFTop"", D583=""R-FFBottom"", D583=""R-FFSide""),
        IF(REGEXMATCH(C583,""(?i)Profiled.*Top|Top.*Profiled""),""pfft"",
        IF(REGEXMATCH(C583,""(?i)Profiled.*Bottom|Bottom.*Profiled""),""pffb"",
    "&amp;"    IF(REGEXMATCH(C583,""(?i)Square""),""sff"",""""))),
    IF(REGEXMATCH(D583,""(?i)-Rivets""),""Rvt"",
    IF(REGEXMATCH(D583,""(?i)Silicone""),""300ml"",
    IF(REGEXMATCH(D583,""(?i)R-Butyl""),""300ml"",
    IF(REGEXMATCH(D583,""(?i)Fix""),""GenFix"","&amp;"
    IF(AND(REGEXMATCH(C583,""(?i)Timber""), REGEXMATCH(D583,""(?i)Timber"")),""tp"",
    IF(AND(REGEXMATCH(C583,""(?i)Vent G1275""), REGEXMATCH(D583,""(?i)Comb FIller"")),""CFV1275"",
    IF(REGEXMATCH(C583,""(?i)DPC""),""dpc"",
    IF(REGEXMATCH(C583,"""&amp;"(?i)Concealed Clips""),""ConClips"",
    IF(REGEXMATCH(D583,""(?i)-Takeoff ea""),""Takeoff ea"",
    IF(REGEXMATCH(D583,""(?i)-Takeoff LM""),""Takeoff LM"",
    IF(REGEXMATCH(D583,""(?i)-Takeoff m2""),""Takeoff m2"",
    IF(D583=""R-TU/TD"",""TU/TD"","""""&amp;")))))))))))))))))
  )))"),"Rvt")</f>
        <v>Rvt</v>
      </c>
      <c r="C583" s="698" t="s">
        <v>100</v>
      </c>
      <c r="D583" s="148" t="s">
        <v>163</v>
      </c>
      <c r="E583" s="687">
        <f>E581</f>
        <v>0.6</v>
      </c>
      <c r="F583" s="699"/>
      <c r="G583" s="701"/>
      <c r="H583" s="700" t="str">
        <f>IFERROR(__xludf.DUMMYFUNCTION("IFERROR(REGEXEXTRACT(C583, ""(\d*\.\d+)mm""), """")"),"")</f>
        <v/>
      </c>
      <c r="I583" s="712"/>
      <c r="J583" s="126" t="s">
        <v>87</v>
      </c>
      <c r="K583" s="126" t="str">
        <f>IFERROR(
  IF(B583="", "", VLOOKUP(B583, Data!$B$2:$K$905, 7, FALSE)),
  ""
)</f>
        <v/>
      </c>
      <c r="L583" s="712"/>
      <c r="M583" s="150">
        <f>ROUNDUP(((M581/5.7)+1)*(E583/0.05),0)</f>
        <v>25</v>
      </c>
      <c r="N583" s="151">
        <f t="shared" si="439"/>
        <v>1</v>
      </c>
      <c r="O583" s="169">
        <v>1.0</v>
      </c>
      <c r="P583" s="134">
        <v>1.0</v>
      </c>
      <c r="Q583" s="168">
        <f t="shared" si="435"/>
        <v>25</v>
      </c>
      <c r="R583" s="136" t="str">
        <f>IFERROR(
  IF(B583="", "", VLOOKUP(B583, Data!$B$2:$K$905, 9, FALSE)),
  ""
)</f>
        <v/>
      </c>
      <c r="S583" s="152">
        <f t="shared" si="436"/>
        <v>0</v>
      </c>
      <c r="T583" s="690"/>
      <c r="U583" s="681" t="str">
        <f>IFERROR(
  IF(B583="", "", VLOOKUP(B583, Data!$B$2:$K$905, 10, FALSE)),
  ""
)
</f>
        <v/>
      </c>
      <c r="V583" s="691"/>
      <c r="W583" s="140">
        <f t="shared" si="437"/>
        <v>0</v>
      </c>
      <c r="X583" s="692"/>
      <c r="Y583" s="595"/>
      <c r="Z583" s="595"/>
      <c r="AA583" s="595"/>
      <c r="AB583" s="354">
        <f t="shared" si="438"/>
        <v>0</v>
      </c>
      <c r="AC583" s="181"/>
      <c r="AD583" s="625"/>
      <c r="AE583" s="626"/>
      <c r="AF583" s="696"/>
      <c r="AG583" s="697"/>
      <c r="AH583" s="629"/>
      <c r="AI583" s="187"/>
      <c r="AJ583" s="630"/>
      <c r="AK583" s="630"/>
      <c r="AL583" s="595"/>
      <c r="AM583" s="595"/>
      <c r="AN583" s="595"/>
      <c r="AO583" s="595"/>
      <c r="AP583" s="595"/>
      <c r="AQ583" s="595"/>
      <c r="AR583" s="595"/>
      <c r="AS583" s="595"/>
      <c r="AT583" s="595"/>
      <c r="AU583" s="595"/>
      <c r="AV583" s="595"/>
      <c r="AW583" s="595"/>
      <c r="AX583" s="595"/>
      <c r="AY583" s="595"/>
      <c r="AZ583" s="595"/>
      <c r="BA583" s="595"/>
      <c r="BB583" s="595"/>
      <c r="BC583" s="595"/>
      <c r="BD583" s="595"/>
      <c r="BE583" s="595"/>
      <c r="BF583" s="595"/>
      <c r="BG583" s="595"/>
      <c r="BH583" s="595"/>
      <c r="BI583" s="651"/>
      <c r="BJ583" s="651"/>
      <c r="BK583" s="651"/>
      <c r="BL583" s="651"/>
      <c r="BM583" s="651"/>
      <c r="BN583" s="651"/>
      <c r="BO583" s="651"/>
      <c r="BP583" s="651"/>
      <c r="BQ583" s="651"/>
      <c r="BR583" s="651"/>
      <c r="BS583" s="651"/>
      <c r="BT583" s="651"/>
    </row>
    <row r="584">
      <c r="A584" s="631"/>
      <c r="B584" s="154" t="str">
        <f>IFERROR(__xludf.DUMMYFUNCTION("IFERROR(
  IF(C584="""","""",
    IF(OR(REGEXMATCH(D584,""(?i)-Flashing""), REGEXMATCH(D584,""(?i)-EavesGut""), REGEXMATCH(D584,""(?i)Valley"")),
        ""DR"" &amp;
        TEXT(
            ROUNDUP(
                MIN(
                    VALUE(MID(C584, "&amp;"FIND(""("",C584)+1, FIND(""/"",C584)-FIND(""("",C584)-1)),
                    1200
                ) / 50, 0
            ) * 50, ""0""
        ) &amp;
        MID(C584, FIND(""/"",C584)+1, FIND("")"",C584)-FIND(""/"",C584)-1) &amp;
        TEXT(H584*100,""0"") &amp;"&amp;"
        I584,
    IF(AND(D584=""Roof Sheet"", REGEXMATCH(C584,""(?i)KS\d{4}[A-Z]{2}"")),
       REGEXEXTRACT(C584,""(?i)KS\d{4}[A-Z]{2}""),
    IF(AND(REGEXMATCH(D584,""(?i)-DP""), REGEXMATCH(C584,""(?i)Downpipe"")),
       ""dp"" &amp; REGEXEXTRACT(C584,""("&amp;"\d+)"") &amp; ""mm"",
    IF(AND(REGEXMATCH(D584,""(?i)Bracket""), REGEXMATCH(C584,""(?i)Bracket"")),
       ""Brkt"" &amp; REGEXEXTRACT(C584,""(\d+)"") &amp; ""mm"",
    IF(AND(REGEXMATCH(D584,""(?i)-OP""), REGEXMATCH(C584,""(?i)pops"")),
       ""op"" &amp; REGEXEXTRAC"&amp;"T(C584,""(\d+)"") &amp; ""mm"",
    IF(OR(D584=""R-FFTop"", D584=""R-FFBottom"", D584=""R-FFSide""),
        IF(REGEXMATCH(C584,""(?i)Profiled.*Top|Top.*Profiled""),""pfft"",
        IF(REGEXMATCH(C584,""(?i)Profiled.*Bottom|Bottom.*Profiled""),""pffb"",
    "&amp;"    IF(REGEXMATCH(C584,""(?i)Square""),""sff"",""""))),
    IF(REGEXMATCH(D584,""(?i)-Rivets""),""Rvt"",
    IF(REGEXMATCH(D584,""(?i)Silicone""),""300ml"",
    IF(REGEXMATCH(D584,""(?i)R-Butyl""),""300ml"",
    IF(REGEXMATCH(D584,""(?i)Fix""),""GenFix"","&amp;"
    IF(AND(REGEXMATCH(C584,""(?i)Timber""), REGEXMATCH(D584,""(?i)Timber"")),""tp"",
    IF(AND(REGEXMATCH(C584,""(?i)Vent G1275""), REGEXMATCH(D584,""(?i)Comb FIller"")),""CFV1275"",
    IF(REGEXMATCH(C584,""(?i)DPC""),""dpc"",
    IF(REGEXMATCH(C584,"""&amp;"(?i)Concealed Clips""),""ConClips"",
    IF(REGEXMATCH(D584,""(?i)-Takeoff ea""),""Takeoff ea"",
    IF(REGEXMATCH(D584,""(?i)-Takeoff LM""),""Takeoff LM"",
    IF(REGEXMATCH(D584,""(?i)-Takeoff m2""),""Takeoff m2"",
    IF(D584=""R-TU/TD"",""TU/TD"","""""&amp;")))))))))))))))))
  )))"),"GenFix")</f>
        <v>GenFix</v>
      </c>
      <c r="C584" s="698" t="s">
        <v>102</v>
      </c>
      <c r="D584" s="148" t="s">
        <v>164</v>
      </c>
      <c r="E584" s="687"/>
      <c r="F584" s="699"/>
      <c r="G584" s="701"/>
      <c r="H584" s="700"/>
      <c r="I584" s="712"/>
      <c r="J584" s="126" t="s">
        <v>87</v>
      </c>
      <c r="K584" s="126" t="str">
        <f>IFERROR(
  IF(B584="", "", VLOOKUP(B584, Data!$B$2:$K$905, 7, FALSE)),
  ""
)</f>
        <v/>
      </c>
      <c r="L584" s="712"/>
      <c r="M584" s="150">
        <f>ROUNDUP(M581/0.6,0)+1</f>
        <v>11</v>
      </c>
      <c r="N584" s="151">
        <f t="shared" si="439"/>
        <v>1</v>
      </c>
      <c r="O584" s="169">
        <v>1.0</v>
      </c>
      <c r="P584" s="134">
        <v>2.0</v>
      </c>
      <c r="Q584" s="168">
        <f t="shared" si="435"/>
        <v>22</v>
      </c>
      <c r="R584" s="136" t="str">
        <f>IFERROR(
  IF(B584="", "", VLOOKUP(B584, Data!$B$2:$K$905, 9, FALSE)),
  ""
)</f>
        <v/>
      </c>
      <c r="S584" s="152">
        <f t="shared" si="436"/>
        <v>0</v>
      </c>
      <c r="T584" s="690"/>
      <c r="U584" s="681" t="str">
        <f>IFERROR(
  IF(B584="", "", VLOOKUP(B584, Data!$B$2:$K$905, 10, FALSE)),
  ""
)
</f>
        <v/>
      </c>
      <c r="V584" s="691"/>
      <c r="W584" s="140">
        <f t="shared" si="437"/>
        <v>0</v>
      </c>
      <c r="X584" s="692"/>
      <c r="Y584" s="595"/>
      <c r="Z584" s="595"/>
      <c r="AA584" s="595"/>
      <c r="AB584" s="354">
        <f t="shared" si="438"/>
        <v>0</v>
      </c>
      <c r="AC584" s="181"/>
      <c r="AD584" s="625"/>
      <c r="AE584" s="626"/>
      <c r="AF584" s="696"/>
      <c r="AG584" s="697"/>
      <c r="AH584" s="629"/>
      <c r="AI584" s="187"/>
      <c r="AJ584" s="630"/>
      <c r="AK584" s="630"/>
      <c r="AL584" s="595"/>
      <c r="AM584" s="595"/>
      <c r="AN584" s="595"/>
      <c r="AO584" s="595"/>
      <c r="AP584" s="595"/>
      <c r="AQ584" s="595"/>
      <c r="AR584" s="595"/>
      <c r="AS584" s="595"/>
      <c r="AT584" s="595"/>
      <c r="AU584" s="595"/>
      <c r="AV584" s="595"/>
      <c r="AW584" s="595"/>
      <c r="AX584" s="595"/>
      <c r="AY584" s="595"/>
      <c r="AZ584" s="595"/>
      <c r="BA584" s="595"/>
      <c r="BB584" s="595"/>
      <c r="BC584" s="595"/>
      <c r="BD584" s="595"/>
      <c r="BE584" s="595"/>
      <c r="BF584" s="595"/>
      <c r="BG584" s="595"/>
      <c r="BH584" s="595"/>
      <c r="BI584" s="651"/>
      <c r="BJ584" s="651"/>
      <c r="BK584" s="651"/>
      <c r="BL584" s="651"/>
      <c r="BM584" s="651"/>
      <c r="BN584" s="651"/>
      <c r="BO584" s="651"/>
      <c r="BP584" s="651"/>
      <c r="BQ584" s="651"/>
      <c r="BR584" s="651"/>
      <c r="BS584" s="651"/>
      <c r="BT584" s="651"/>
    </row>
    <row r="585">
      <c r="A585" s="631"/>
      <c r="B585" s="154" t="str">
        <f>IFERROR(__xludf.DUMMYFUNCTION("IFERROR(
  IF(C585="""","""",
    IF(OR(REGEXMATCH(D585,""(?i)-Flashing""), REGEXMATCH(D585,""(?i)-EavesGut""), REGEXMATCH(D585,""(?i)Valley"")),
        ""DR"" &amp;
        TEXT(
            ROUNDUP(
                MIN(
                    VALUE(MID(C585, "&amp;"FIND(""("",C585)+1, FIND(""/"",C585)-FIND(""("",C585)-1)),
                    1200
                ) / 50, 0
            ) * 50, ""0""
        ) &amp;
        MID(C585, FIND(""/"",C585)+1, FIND("")"",C585)-FIND(""/"",C585)-1) &amp;
        TEXT(H585*100,""0"") &amp;"&amp;"
        I585,
    IF(AND(D585=""Roof Sheet"", REGEXMATCH(C585,""(?i)KS\d{4}[A-Z]{2}"")),
       REGEXEXTRACT(C585,""(?i)KS\d{4}[A-Z]{2}""),
    IF(AND(REGEXMATCH(D585,""(?i)-DP""), REGEXMATCH(C585,""(?i)Downpipe"")),
       ""dp"" &amp; REGEXEXTRACT(C585,""("&amp;"\d+)"") &amp; ""mm"",
    IF(AND(REGEXMATCH(D585,""(?i)Bracket""), REGEXMATCH(C585,""(?i)Bracket"")),
       ""Brkt"" &amp; REGEXEXTRACT(C585,""(\d+)"") &amp; ""mm"",
    IF(AND(REGEXMATCH(D585,""(?i)-OP""), REGEXMATCH(C585,""(?i)pops"")),
       ""op"" &amp; REGEXEXTRAC"&amp;"T(C585,""(\d+)"") &amp; ""mm"",
    IF(OR(D585=""R-FFTop"", D585=""R-FFBottom"", D585=""R-FFSide""),
        IF(REGEXMATCH(C585,""(?i)Profiled.*Top|Top.*Profiled""),""pfft"",
        IF(REGEXMATCH(C585,""(?i)Profiled.*Bottom|Bottom.*Profiled""),""pffb"",
    "&amp;"    IF(REGEXMATCH(C585,""(?i)Square""),""sff"",""""))),
    IF(OR(D585=""W-FFTop"", D585=""W-FFBottom"", D585=""W-FFSide""),
        IF(REGEXMATCH(C585,""(?i)Profiled.*Top|Top.*Profiled""),""pfft"",
        IF(REGEXMATCH(C585,""(?i)Profiled.*Bottom|Bottom"&amp;".*Profiled""),""pffb"",
        IF(REGEXMATCH(C585,""(?i)Square""),""sff"",""""))),
    IF(REGEXMATCH(D585,""(?i)-Rivets""),""Rvt"",
    IF(REGEXMATCH(D585,""(?i)Silicone""),""300ml"",
    IF(REGEXMATCH(D585,""(?i)R-Butyl""),""300ml"",
    IF(REGEXMATCH(D"&amp;"585,""(?i)Fix""),""GenFix"",
    IF(AND(REGEXMATCH(C585,""(?i)Timber""), REGEXMATCH(D585,""(?i)Timber"")),""tp"",
    IF(AND(REGEXMATCH(C585,""(?i)Vent G1275""), REGEXMATCH(D585,""(?i)Comb FIller"")),""CFV1275"",
    IF(REGEXMATCH(C585,""(?i)DPC""),""dpc"&amp;""",
    IF(REGEXMATCH(C585,""(?i)Concealed Clips""),""ConClips"",
    IF(REGEXMATCH(D585,""(?i)-Takeoff ea""),""Takeoff ea"",
    IF(REGEXMATCH(D585,""(?i)-Takeoff LM""),""Takeoff LM"",
    IF(REGEXMATCH(D585,""(?i)-Takeoff m2""),""Takeoff m2"",
    IF(D5"&amp;"85=""R-TU/TD"",""TU/TD"",
    IF(D585=""W-TU/TD"",""TU/TD"","""")))))))))))))))))
  )))))"),"pfft")</f>
        <v>pfft</v>
      </c>
      <c r="C585" s="698" t="s">
        <v>104</v>
      </c>
      <c r="D585" s="148" t="s">
        <v>335</v>
      </c>
      <c r="E585" s="687"/>
      <c r="F585" s="699"/>
      <c r="G585" s="701"/>
      <c r="H585" s="700"/>
      <c r="I585" s="712"/>
      <c r="J585" s="126" t="s">
        <v>87</v>
      </c>
      <c r="K585" s="126" t="str">
        <f>IFERROR(
  IF(B585="", "", VLOOKUP(B585, Data!$B$2:$K$905, 7, FALSE)),
  ""
)</f>
        <v/>
      </c>
      <c r="L585" s="712"/>
      <c r="M585" s="150">
        <f>M581</f>
        <v>6</v>
      </c>
      <c r="N585" s="151">
        <f t="shared" si="439"/>
        <v>1</v>
      </c>
      <c r="O585" s="169">
        <v>1.0</v>
      </c>
      <c r="P585" s="134">
        <v>1.0</v>
      </c>
      <c r="Q585" s="168">
        <f t="shared" si="435"/>
        <v>6</v>
      </c>
      <c r="R585" s="136" t="str">
        <f>IFERROR(
  IF(B585="", "", VLOOKUP(B585, Data!$B$2:$K$905, 9, FALSE)),
  ""
)</f>
        <v/>
      </c>
      <c r="S585" s="152">
        <f t="shared" si="436"/>
        <v>0</v>
      </c>
      <c r="T585" s="690"/>
      <c r="U585" s="681" t="str">
        <f>IFERROR(
  IF(B585="", "", VLOOKUP(B585, Data!$B$2:$K$905, 10, FALSE)),
  ""
)
</f>
        <v/>
      </c>
      <c r="V585" s="691"/>
      <c r="W585" s="140">
        <f t="shared" si="437"/>
        <v>0</v>
      </c>
      <c r="X585" s="692"/>
      <c r="Y585" s="595"/>
      <c r="Z585" s="595"/>
      <c r="AA585" s="595"/>
      <c r="AB585" s="354">
        <f t="shared" si="438"/>
        <v>0</v>
      </c>
      <c r="AC585" s="181"/>
      <c r="AD585" s="625"/>
      <c r="AE585" s="626"/>
      <c r="AF585" s="696"/>
      <c r="AG585" s="697"/>
      <c r="AH585" s="629"/>
      <c r="AI585" s="187"/>
      <c r="AJ585" s="630"/>
      <c r="AK585" s="630"/>
      <c r="AL585" s="595"/>
      <c r="AM585" s="595"/>
      <c r="AN585" s="595"/>
      <c r="AO585" s="595"/>
      <c r="AP585" s="595"/>
      <c r="AQ585" s="595"/>
      <c r="AR585" s="595"/>
      <c r="AS585" s="595"/>
      <c r="AT585" s="595"/>
      <c r="AU585" s="595"/>
      <c r="AV585" s="595"/>
      <c r="AW585" s="595"/>
      <c r="AX585" s="595"/>
      <c r="AY585" s="595"/>
      <c r="AZ585" s="595"/>
      <c r="BA585" s="595"/>
      <c r="BB585" s="595"/>
      <c r="BC585" s="595"/>
      <c r="BD585" s="595"/>
      <c r="BE585" s="595"/>
      <c r="BF585" s="595"/>
      <c r="BG585" s="595"/>
      <c r="BH585" s="595"/>
      <c r="BI585" s="651"/>
      <c r="BJ585" s="651"/>
      <c r="BK585" s="651"/>
      <c r="BL585" s="651"/>
      <c r="BM585" s="651"/>
      <c r="BN585" s="651"/>
      <c r="BO585" s="651"/>
      <c r="BP585" s="651"/>
      <c r="BQ585" s="651"/>
      <c r="BR585" s="651"/>
      <c r="BS585" s="651"/>
      <c r="BT585" s="651"/>
    </row>
    <row r="586">
      <c r="A586" s="631"/>
      <c r="B586" s="154" t="str">
        <f>IFERROR(__xludf.DUMMYFUNCTION("IFERROR(
  IF(C586="""","""",
    IF(OR(REGEXMATCH(D586,""(?i)-Flashing""), REGEXMATCH(D586,""(?i)-EavesGut""), REGEXMATCH(D586,""(?i)Valley"")),
        ""DR"" &amp;
        TEXT(
            ROUNDUP(
                MIN(
                    VALUE(MID(C586, "&amp;"FIND(""("",C586)+1, FIND(""/"",C586)-FIND(""("",C586)-1)),
                    1200
                ) / 50, 0
            ) * 50, ""0""
        ) &amp;
        MID(C586, FIND(""/"",C586)+1, FIND("")"",C586)-FIND(""/"",C586)-1) &amp;
        TEXT(H586*100,""0"") &amp;"&amp;"
        I586,
    IF(AND(D586=""Roof Sheet"", REGEXMATCH(C586,""(?i)KS\d{4}[A-Z]{2}"")),
       REGEXEXTRACT(C586,""(?i)KS\d{4}[A-Z]{2}""),
    IF(AND(REGEXMATCH(D586,""(?i)-DP""), REGEXMATCH(C586,""(?i)Downpipe"")),
       ""dp"" &amp; REGEXEXTRACT(C586,""("&amp;"\d+)"") &amp; ""mm"",
    IF(AND(REGEXMATCH(D586,""(?i)Bracket""), REGEXMATCH(C586,""(?i)Bracket"")),
       ""Brkt"" &amp; REGEXEXTRACT(C586,""(\d+)"") &amp; ""mm"",
    IF(AND(REGEXMATCH(D586,""(?i)-OP""), REGEXMATCH(C586,""(?i)pops"")),
       ""op"" &amp; REGEXEXTRAC"&amp;"T(C586,""(\d+)"") &amp; ""mm"",
    IF(OR(D586=""R-FFTop"", D586=""R-FFBottom"", D586=""R-FFSide""),
        IF(REGEXMATCH(C586,""(?i)Profiled.*Top|Top.*Profiled""),""pfft"",
        IF(REGEXMATCH(C586,""(?i)Profiled.*Bottom|Bottom.*Profiled""),""pffb"",
    "&amp;"    IF(REGEXMATCH(C586,""(?i)Square""),""sff"",""""))),
    IF(OR(D586=""W-FFTop"", D586=""W-FFBottom"", D586=""W-FFSide""),
        IF(REGEXMATCH(C586,""(?i)Profiled.*Top|Top.*Profiled""),""pfft"",
        IF(REGEXMATCH(C586,""(?i)Profiled.*Bottom|Bottom"&amp;".*Profiled""),""pffb"",
        IF(REGEXMATCH(C586,""(?i)Square""),""sff"",""""))),
    IF(REGEXMATCH(D586,""(?i)-Rivets""),""Rvt"",
    IF(REGEXMATCH(D586,""(?i)Silicone""),""300ml"",
    IF(REGEXMATCH(D586,""(?i)R-Butyl""),""300ml"",
    IF(REGEXMATCH(D"&amp;"586,""(?i)Fix""),""GenFix"",
    IF(AND(REGEXMATCH(C586,""(?i)Timber""), REGEXMATCH(D586,""(?i)Timber"")),""tp"",
    IF(AND(REGEXMATCH(C586,""(?i)Vent G1275""), REGEXMATCH(D586,""(?i)Comb FIller"")),""CFV1275"",
    IF(REGEXMATCH(C586,""(?i)DPC""),""dpc"&amp;""",
    IF(REGEXMATCH(C586,""(?i)Concealed Clips""),""ConClips"",
    IF(REGEXMATCH(D586,""(?i)-Takeoff ea""),""Takeoff ea"",
    IF(REGEXMATCH(D586,""(?i)-Takeoff LM""),""Takeoff LM"",
    IF(REGEXMATCH(D586,""(?i)-Takeoff m2""),""Takeoff m2"",
    IF(D5"&amp;"86=""R-TU/TD"",""TU/TD"",
    IF(D586=""W-TU/TD"",""TU/TD"","""")))))))))))))))))
  )))))"),"TU/TD")</f>
        <v>TU/TD</v>
      </c>
      <c r="C586" s="698" t="s">
        <v>446</v>
      </c>
      <c r="D586" s="686" t="s">
        <v>355</v>
      </c>
      <c r="E586" s="687"/>
      <c r="F586" s="699"/>
      <c r="G586" s="701"/>
      <c r="H586" s="700"/>
      <c r="I586" s="712"/>
      <c r="J586" s="126" t="s">
        <v>87</v>
      </c>
      <c r="K586" s="126" t="str">
        <f>IFERROR(
  IF(B586="", "", VLOOKUP(B586, Data!$B$2:$K$905, 7, FALSE)),
  ""
)</f>
        <v/>
      </c>
      <c r="L586" s="704"/>
      <c r="M586" s="150">
        <f>M581</f>
        <v>6</v>
      </c>
      <c r="N586" s="151">
        <f t="shared" si="439"/>
        <v>1</v>
      </c>
      <c r="O586" s="169">
        <v>1.0</v>
      </c>
      <c r="P586" s="760">
        <v>1.0</v>
      </c>
      <c r="Q586" s="168">
        <f t="shared" si="435"/>
        <v>6</v>
      </c>
      <c r="R586" s="681" t="str">
        <f>IFERROR(
  IF(B586="", "", VLOOKUP(B586, Data!$B$2:$K$905, 9, FALSE)),
  ""
)</f>
        <v/>
      </c>
      <c r="S586" s="152">
        <f t="shared" si="436"/>
        <v>0</v>
      </c>
      <c r="T586" s="690"/>
      <c r="U586" s="136" t="str">
        <f>IFERROR(
  IF(B586="", "", VLOOKUP(B586, Data!$B$2:$K$905, 10, FALSE)),
  ""
)
</f>
        <v/>
      </c>
      <c r="V586" s="691"/>
      <c r="W586" s="140">
        <f t="shared" si="437"/>
        <v>0</v>
      </c>
      <c r="X586" s="692"/>
      <c r="Y586" s="595"/>
      <c r="Z586" s="595"/>
      <c r="AA586" s="595"/>
      <c r="AB586" s="354">
        <f t="shared" si="438"/>
        <v>0</v>
      </c>
      <c r="AC586" s="181"/>
      <c r="AD586" s="625"/>
      <c r="AE586" s="626"/>
      <c r="AF586" s="696"/>
      <c r="AG586" s="697"/>
      <c r="AH586" s="629"/>
      <c r="AI586" s="187"/>
      <c r="AJ586" s="630"/>
      <c r="AK586" s="630"/>
      <c r="AL586" s="595"/>
      <c r="AM586" s="595"/>
      <c r="AN586" s="595"/>
      <c r="AO586" s="595"/>
      <c r="AP586" s="595"/>
      <c r="AQ586" s="595"/>
      <c r="AR586" s="595"/>
      <c r="AS586" s="595"/>
      <c r="AT586" s="595"/>
      <c r="AU586" s="595"/>
      <c r="AV586" s="595"/>
      <c r="AW586" s="595"/>
      <c r="AX586" s="595"/>
      <c r="AY586" s="595"/>
      <c r="AZ586" s="595"/>
      <c r="BA586" s="595"/>
      <c r="BB586" s="595"/>
      <c r="BC586" s="595"/>
      <c r="BD586" s="595"/>
      <c r="BE586" s="595"/>
      <c r="BF586" s="595"/>
      <c r="BG586" s="595"/>
      <c r="BH586" s="595"/>
      <c r="BI586" s="651"/>
      <c r="BJ586" s="651"/>
      <c r="BK586" s="651"/>
      <c r="BL586" s="651"/>
      <c r="BM586" s="651"/>
      <c r="BN586" s="651"/>
      <c r="BO586" s="651"/>
      <c r="BP586" s="651"/>
      <c r="BQ586" s="651"/>
      <c r="BR586" s="651"/>
      <c r="BS586" s="651"/>
      <c r="BT586" s="651"/>
    </row>
    <row r="587">
      <c r="A587" s="631"/>
      <c r="B587" s="154"/>
      <c r="C587" s="758"/>
      <c r="D587" s="701"/>
      <c r="E587" s="687"/>
      <c r="F587" s="699"/>
      <c r="G587" s="701"/>
      <c r="H587" s="700"/>
      <c r="I587" s="712"/>
      <c r="J587" s="701"/>
      <c r="K587" s="701"/>
      <c r="L587" s="712"/>
      <c r="M587" s="704"/>
      <c r="N587" s="151" t="str">
        <f t="shared" si="439"/>
        <v/>
      </c>
      <c r="O587" s="712"/>
      <c r="P587" s="700"/>
      <c r="Q587" s="712"/>
      <c r="R587" s="681" t="str">
        <f>IFERROR(
  IF(B587="", "", VLOOKUP(B587, Data!$B$2:$K$905, 9, FALSE)),
  ""
)</f>
        <v/>
      </c>
      <c r="S587" s="691"/>
      <c r="T587" s="690"/>
      <c r="U587" s="681" t="str">
        <f>IFERROR(
  IF(B587="", "", VLOOKUP(B587, Data!$B$2:$K$905, 10, FALSE)),
  ""
)
</f>
        <v/>
      </c>
      <c r="V587" s="691"/>
      <c r="W587" s="713"/>
      <c r="X587" s="692"/>
      <c r="Y587" s="595"/>
      <c r="Z587" s="595"/>
      <c r="AA587" s="595"/>
      <c r="AB587" s="354">
        <f t="shared" si="438"/>
        <v>0</v>
      </c>
      <c r="AC587" s="181"/>
      <c r="AD587" s="625"/>
      <c r="AE587" s="626"/>
      <c r="AF587" s="696"/>
      <c r="AG587" s="697"/>
      <c r="AH587" s="629"/>
      <c r="AI587" s="187"/>
      <c r="AJ587" s="630"/>
      <c r="AK587" s="630"/>
      <c r="AL587" s="595"/>
      <c r="AM587" s="595"/>
      <c r="AN587" s="595"/>
      <c r="AO587" s="595"/>
      <c r="AP587" s="595"/>
      <c r="AQ587" s="595"/>
      <c r="AR587" s="595"/>
      <c r="AS587" s="595"/>
      <c r="AT587" s="595"/>
      <c r="AU587" s="595"/>
      <c r="AV587" s="595"/>
      <c r="AW587" s="595"/>
      <c r="AX587" s="595"/>
      <c r="AY587" s="595"/>
      <c r="AZ587" s="595"/>
      <c r="BA587" s="595"/>
      <c r="BB587" s="595"/>
      <c r="BC587" s="595"/>
      <c r="BD587" s="595"/>
      <c r="BE587" s="595"/>
      <c r="BF587" s="595"/>
      <c r="BG587" s="595"/>
      <c r="BH587" s="595"/>
      <c r="BI587" s="651"/>
      <c r="BJ587" s="651"/>
      <c r="BK587" s="651"/>
      <c r="BL587" s="651"/>
      <c r="BM587" s="651"/>
      <c r="BN587" s="651"/>
      <c r="BO587" s="651"/>
      <c r="BP587" s="651"/>
      <c r="BQ587" s="651"/>
      <c r="BR587" s="651"/>
      <c r="BS587" s="651"/>
      <c r="BT587" s="651"/>
    </row>
    <row r="588">
      <c r="A588" s="631">
        <v>1.0</v>
      </c>
      <c r="B588" s="727"/>
      <c r="C588" s="103" t="s">
        <v>566</v>
      </c>
      <c r="D588" s="678"/>
      <c r="E588" s="676"/>
      <c r="F588" s="677"/>
      <c r="G588" s="678"/>
      <c r="H588" s="678"/>
      <c r="I588" s="679"/>
      <c r="J588" s="678"/>
      <c r="K588" s="678" t="s">
        <v>42</v>
      </c>
      <c r="L588" s="106">
        <f>Q588</f>
        <v>9.04</v>
      </c>
      <c r="M588" s="679" t="s">
        <v>42</v>
      </c>
      <c r="N588" s="680"/>
      <c r="O588" s="679"/>
      <c r="P588" s="678"/>
      <c r="Q588" s="106">
        <f>Q589</f>
        <v>9.04</v>
      </c>
      <c r="R588" s="681" t="str">
        <f>IFERROR(
  IF(B588="", "", VLOOKUP(B588, Data!$B$2:$K$905, 9, FALSE)),
  ""
)</f>
        <v/>
      </c>
      <c r="S588" s="682">
        <f>IFERROR(T588/Q588, 0)</f>
        <v>0</v>
      </c>
      <c r="T588" s="109">
        <f>SUM(S589:S602)</f>
        <v>0</v>
      </c>
      <c r="U588" s="681" t="str">
        <f>IFERROR(
  IF(B588="", "", VLOOKUP(B588, Data!$B$2:$K$905, 10, FALSE)),
  ""
)
</f>
        <v/>
      </c>
      <c r="V588" s="109">
        <f>W588/Q588</f>
        <v>0</v>
      </c>
      <c r="W588" s="110">
        <f>SUM(W589:W602)</f>
        <v>0</v>
      </c>
      <c r="X588" s="111" t="str">
        <f>W588/$AC$758/$W$765/$X$755</f>
        <v>#REF!</v>
      </c>
      <c r="Y588" s="112" t="b">
        <f>(T588+W588)=(SUM(AB589:AB602))</f>
        <v>1</v>
      </c>
      <c r="Z588" s="222">
        <f>(T588+W588)-(SUM(AB589:AB602))</f>
        <v>0</v>
      </c>
      <c r="AA588" s="595"/>
      <c r="AB588" s="595"/>
      <c r="AC588" s="181"/>
      <c r="AD588" s="114">
        <f>W588+T588</f>
        <v>0</v>
      </c>
      <c r="AE588" s="115">
        <f>AD588</f>
        <v>0</v>
      </c>
      <c r="AF588" s="116" t="str">
        <f>AE588/$AE$733</f>
        <v>#REF!</v>
      </c>
      <c r="AG588" s="683" t="str">
        <f>AF588*$AG$740</f>
        <v>#REF!</v>
      </c>
      <c r="AH588" s="118" t="str">
        <f>AF588*$AG$743</f>
        <v>#REF!</v>
      </c>
      <c r="AI588" s="187"/>
      <c r="AJ588" s="119" t="str">
        <f>ROUND(AK588/L588,2)</f>
        <v>#REF!</v>
      </c>
      <c r="AK588" s="119" t="str">
        <f>ROUND(AH588+AG588+AD588,2)</f>
        <v>#REF!</v>
      </c>
      <c r="AL588" s="595"/>
      <c r="AM588" s="595"/>
      <c r="AN588" s="595"/>
      <c r="AO588" s="595"/>
      <c r="AP588" s="595"/>
      <c r="AQ588" s="595"/>
      <c r="AR588" s="595"/>
      <c r="AS588" s="595"/>
      <c r="AT588" s="595"/>
      <c r="AU588" s="595"/>
      <c r="AV588" s="595"/>
      <c r="AW588" s="595"/>
      <c r="AX588" s="595"/>
      <c r="AY588" s="595"/>
      <c r="AZ588" s="595"/>
      <c r="BA588" s="595"/>
      <c r="BB588" s="595"/>
      <c r="BC588" s="595"/>
      <c r="BD588" s="595"/>
      <c r="BE588" s="595"/>
      <c r="BF588" s="595"/>
      <c r="BG588" s="595"/>
      <c r="BH588" s="595"/>
      <c r="BI588" s="651"/>
      <c r="BJ588" s="651"/>
      <c r="BK588" s="651"/>
      <c r="BL588" s="651"/>
      <c r="BM588" s="651"/>
      <c r="BN588" s="651"/>
      <c r="BO588" s="651"/>
      <c r="BP588" s="651"/>
      <c r="BQ588" s="651"/>
      <c r="BR588" s="651"/>
      <c r="BS588" s="651"/>
      <c r="BT588" s="651"/>
    </row>
    <row r="589">
      <c r="A589" s="716" t="s">
        <v>444</v>
      </c>
      <c r="B589" s="154" t="str">
        <f>IFERROR(__xludf.DUMMYFUNCTION("IFERROR(
  IF(C589="""","""",
    IF(OR(REGEXMATCH(D589,""(?i)-Flashing""), REGEXMATCH(D589,""(?i)-EavesGut""), REGEXMATCH(D589,""(?i)Valley"")),
        ""DR"" &amp;
        TEXT(
            ROUNDUP(
                MIN(
                    VALUE(MID(C589, "&amp;"FIND(""("",C589)+1, FIND(""/"",C589)-FIND(""("",C589)-1)),
                    1200
                ) / 50, 0
            ) * 50, ""0""
        ) &amp;
        MID(C589, FIND(""/"",C589)+1, FIND("")"",C589)-FIND(""/"",C589)-1) &amp;
        TEXT(H589*100,""0"") &amp;"&amp;"
        I589,
    IF(AND(D589=""Roof Sheet"", REGEXMATCH(C589,""(?i)KS\d{4}[A-Z]{2}"")),
       REGEXEXTRACT(C589,""(?i)KS\d{4}[A-Z]{2}""),
    IF(AND(REGEXMATCH(D589,""(?i)-DP""), REGEXMATCH(C589,""(?i)Downpipe"")),
       ""dp"" &amp; REGEXEXTRACT(C589,""("&amp;"\d+)"") &amp; ""mm"",
    IF(AND(REGEXMATCH(D589,""(?i)Bracket""), REGEXMATCH(C589,""(?i)Bracket"")),
       ""Brkt"" &amp; REGEXEXTRACT(C589,""(\d+)"") &amp; ""mm"",
    IF(AND(REGEXMATCH(D589,""(?i)-OP""), REGEXMATCH(C589,""(?i)pops"")),
       ""op"" &amp; REGEXEXTRAC"&amp;"T(C589,""(\d+)"") &amp; ""mm"",
    IF(OR(D589=""R-FFTop"", D589=""R-FFBottom"", D589=""R-FFSide""),
        IF(REGEXMATCH(C589,""(?i)Profiled.*Top|Top.*Profiled""),""pfft"",
        IF(REGEXMATCH(C589,""(?i)Profiled.*Bottom|Bottom.*Profiled""),""pffb"",
    "&amp;"    IF(REGEXMATCH(C589,""(?i)Square""),""sff"",""""))),
    IF(REGEXMATCH(D589,""(?i)-Rivets""),""Rvt"",
    IF(REGEXMATCH(D589,""(?i)Silicone""),""300ml"",
    IF(REGEXMATCH(D589,""(?i)R-Butyl""),""300ml"",
    IF(REGEXMATCH(D589,""(?i)Fix""),""GenFix"","&amp;"
    IF(AND(REGEXMATCH(C589,""(?i)Timber""), REGEXMATCH(D589,""(?i)Timber"")),""tp"",
    IF(AND(REGEXMATCH(C589,""(?i)Vent G1275""), REGEXMATCH(D589,""(?i)Comb FIller"")),""CFV1275"",
    IF(REGEXMATCH(C589,""(?i)DPC""),""dpc"",
    IF(REGEXMATCH(C589,"""&amp;"(?i)Concealed Clips""),""ConClips"",
    IF(REGEXMATCH(D589,""(?i)-Takeoff ea""),""Takeoff ea"",
    IF(REGEXMATCH(D589,""(?i)-Takeoff LM""),""Takeoff LM"",
    IF(REGEXMATCH(D589,""(?i)-Takeoff m2""),""Takeoff m2"",
    IF(D589=""R-TU/TD"",""TU/TD"","""""&amp;")))))))))))))))))
  )))"),"DR4505B55Mag")</f>
        <v>DR4505B55Mag</v>
      </c>
      <c r="C589" s="123" t="s">
        <v>567</v>
      </c>
      <c r="D589" s="148" t="s">
        <v>161</v>
      </c>
      <c r="E589" s="687">
        <f>VALUE(MID(C589, FIND("(", C589)+1, FIND("/", C589)-FIND("(", C589)-1)) / 1000</f>
        <v>0.45</v>
      </c>
      <c r="F589" s="688"/>
      <c r="G589" s="689" t="s">
        <v>547</v>
      </c>
      <c r="H589" s="128" t="str">
        <f>IFERROR(__xludf.DUMMYFUNCTION("IFERROR(REGEXEXTRACT(C589, ""(\d*\.\d+)mm""), """")"),"0.55")</f>
        <v>0.55</v>
      </c>
      <c r="I589" s="168" t="s">
        <v>97</v>
      </c>
      <c r="J589" s="126" t="s">
        <v>14</v>
      </c>
      <c r="K589" s="126" t="str">
        <f>IFERROR(
  IF(B589="", "", VLOOKUP(B589, Data!$B$2:$K$905, 7, FALSE)),
  ""
)</f>
        <v/>
      </c>
      <c r="L589" s="704"/>
      <c r="M589" s="730">
        <v>9.04</v>
      </c>
      <c r="N589" s="151">
        <f>IFERROR(__xludf.DUMMYFUNCTION("IF(
  AND(
    IFERROR(REGEXEXTRACT(C589,""@\s*(\d+(?:\.\d+)?)\s*deg""),"""")&lt;&gt;"""",
    F589&lt;&gt;""""
  ),
  ""Pls Confirm °"",
  IF(
    IFERROR(REGEXEXTRACT(C589,""@\s*(\d+(?:\.\d+)?)\s*deg""),"""")&lt;&gt;"""",
    1/COS(RADIANS(REGEXEXTRACT(C589,""@\s*(\d+(?:"&amp;"\.\d+)?)\s*deg""))),
    IF(
      F589&lt;&gt;"""",
      IF(
        ISNUMBER(SEARCH(""|"",F589)),
        1/COS(
          ATAN(
            TAN(RADIANS(VALUE(INDEX(SPLIT(F589,""|""),1)))) *
            TAN(RADIANS(VALUE(INDEX(SPLIT(F589,""|""),2))))
       "&amp;"     /
            SQRT(
              TAN(RADIANS(VALUE(INDEX(SPLIT(F589,""|""),1))))^2 +
              TAN(RADIANS(VALUE(INDEX(SPLIT(F589,""|""),2))))^2
            )
          )
        ),
        1/COS(RADIANS(VALUE(F589)))
      ),
      1
    )
  )
"&amp;")"),1.0)</f>
        <v>1</v>
      </c>
      <c r="O589" s="169">
        <v>1.0</v>
      </c>
      <c r="P589" s="134">
        <v>1.0</v>
      </c>
      <c r="Q589" s="168">
        <f t="shared" ref="Q589:Q593" si="440">M589*N589*O589*P589</f>
        <v>9.04</v>
      </c>
      <c r="R589" s="136" t="str">
        <f>IFERROR(
  IF(B589="", "", VLOOKUP(B589, Data!$B$2:$K$905, 9, FALSE)),
  ""
)</f>
        <v/>
      </c>
      <c r="S589" s="152">
        <f t="shared" ref="S589:S593" si="441">R589*Q589</f>
        <v>0</v>
      </c>
      <c r="T589" s="690"/>
      <c r="U589" s="136" t="str">
        <f>IFERROR(
  IF(B589="", "", VLOOKUP(B589, Data!$B$2:$K$905, 10, FALSE)),
  ""
)
</f>
        <v/>
      </c>
      <c r="V589" s="691"/>
      <c r="W589" s="140">
        <f t="shared" ref="W589:W593" si="442">U589*Q589</f>
        <v>0</v>
      </c>
      <c r="X589" s="692"/>
      <c r="Y589" s="693"/>
      <c r="Z589" s="731"/>
      <c r="AA589" s="595"/>
      <c r="AB589" s="354">
        <f t="shared" ref="AB589:AB602" si="443">W589+S589</f>
        <v>0</v>
      </c>
      <c r="AC589" s="181"/>
      <c r="AD589" s="625"/>
      <c r="AE589" s="626"/>
      <c r="AF589" s="696"/>
      <c r="AG589" s="697"/>
      <c r="AH589" s="629"/>
      <c r="AI589" s="187"/>
      <c r="AJ589" s="630"/>
      <c r="AK589" s="630"/>
      <c r="AL589" s="595"/>
      <c r="AM589" s="595"/>
      <c r="AN589" s="595"/>
      <c r="AO589" s="595"/>
      <c r="AP589" s="595"/>
      <c r="AQ589" s="595"/>
      <c r="AR589" s="595"/>
      <c r="AS589" s="595"/>
      <c r="AT589" s="595"/>
      <c r="AU589" s="595"/>
      <c r="AV589" s="595"/>
      <c r="AW589" s="595"/>
      <c r="AX589" s="595"/>
      <c r="AY589" s="595"/>
      <c r="AZ589" s="595"/>
      <c r="BA589" s="595"/>
      <c r="BB589" s="595"/>
      <c r="BC589" s="595"/>
      <c r="BD589" s="595"/>
      <c r="BE589" s="595"/>
      <c r="BF589" s="595"/>
      <c r="BG589" s="595"/>
      <c r="BH589" s="595"/>
      <c r="BI589" s="651"/>
      <c r="BJ589" s="651"/>
      <c r="BK589" s="651"/>
      <c r="BL589" s="651"/>
      <c r="BM589" s="651"/>
      <c r="BN589" s="651"/>
      <c r="BO589" s="651"/>
      <c r="BP589" s="651"/>
      <c r="BQ589" s="651"/>
      <c r="BR589" s="651"/>
      <c r="BS589" s="651"/>
      <c r="BT589" s="651"/>
    </row>
    <row r="590">
      <c r="A590" s="631"/>
      <c r="B590" s="154" t="str">
        <f>IFERROR(__xludf.DUMMYFUNCTION("IFERROR(
  IF(C590="""","""",
    IF(OR(REGEXMATCH(D590,""(?i)-Flashing""), REGEXMATCH(D590,""(?i)-EavesGut""), REGEXMATCH(D590,""(?i)Valley"")),
        ""DR"" &amp;
        TEXT(
            ROUNDUP(
                MIN(
                    VALUE(MID(C590, "&amp;"FIND(""("",C590)+1, FIND(""/"",C590)-FIND(""("",C590)-1)),
                    1200
                ) / 50, 0
            ) * 50, ""0""
        ) &amp;
        MID(C590, FIND(""/"",C590)+1, FIND("")"",C590)-FIND(""/"",C590)-1) &amp;
        TEXT(H590*100,""0"") &amp;"&amp;"
        I590,
    IF(AND(D590=""Roof Sheet"", REGEXMATCH(C590,""(?i)KS\d{4}[A-Z]{2}"")),
       REGEXEXTRACT(C590,""(?i)KS\d{4}[A-Z]{2}""),
    IF(AND(REGEXMATCH(D590,""(?i)-DP""), REGEXMATCH(C590,""(?i)Downpipe"")),
       ""dp"" &amp; REGEXEXTRACT(C590,""("&amp;"\d+)"") &amp; ""mm"",
    IF(AND(REGEXMATCH(D590,""(?i)Bracket""), REGEXMATCH(C590,""(?i)Bracket"")),
       ""Brkt"" &amp; REGEXEXTRACT(C590,""(\d+)"") &amp; ""mm"",
    IF(AND(REGEXMATCH(D590,""(?i)-OP""), REGEXMATCH(C590,""(?i)pops"")),
       ""op"" &amp; REGEXEXTRAC"&amp;"T(C590,""(\d+)"") &amp; ""mm"",
    IF(OR(D590=""R-FFTop"", D590=""R-FFBottom"", D590=""R-FFSide""),
        IF(REGEXMATCH(C590,""(?i)Profiled.*Top|Top.*Profiled""),""pfft"",
        IF(REGEXMATCH(C590,""(?i)Profiled.*Bottom|Bottom.*Profiled""),""pffb"",
    "&amp;"    IF(REGEXMATCH(C590,""(?i)Square""),""sff"",""""))),
    IF(REGEXMATCH(D590,""(?i)-Rivets""),""Rvt"",
    IF(REGEXMATCH(D590,""(?i)Silicone""),""300ml"",
    IF(REGEXMATCH(D590,""(?i)R-Butyl""),""300ml"",
    IF(REGEXMATCH(D590,""(?i)Fix""),""GenFix"","&amp;"
    IF(AND(REGEXMATCH(C590,""(?i)Timber""), REGEXMATCH(D590,""(?i)Timber"")),""tp"",
    IF(AND(REGEXMATCH(C590,""(?i)Vent G1275""), REGEXMATCH(D590,""(?i)Comb FIller"")),""CFV1275"",
    IF(REGEXMATCH(C590,""(?i)DPC""),""dpc"",
    IF(REGEXMATCH(C590,"""&amp;"(?i)Concealed Clips""),""ConClips"",
    IF(REGEXMATCH(D590,""(?i)-Takeoff ea""),""Takeoff ea"",
    IF(REGEXMATCH(D590,""(?i)-Takeoff LM""),""Takeoff LM"",
    IF(REGEXMATCH(D590,""(?i)-Takeoff m2""),""Takeoff m2"",
    IF(D590=""R-TU/TD"",""TU/TD"","""""&amp;")))))))))))))))))
  )))"),"300ml")</f>
        <v>300ml</v>
      </c>
      <c r="C590" s="734" t="s">
        <v>98</v>
      </c>
      <c r="D590" s="148" t="s">
        <v>162</v>
      </c>
      <c r="E590" s="687">
        <f>E589</f>
        <v>0.45</v>
      </c>
      <c r="F590" s="699"/>
      <c r="G590" s="700"/>
      <c r="H590" s="700" t="str">
        <f>IFERROR(__xludf.DUMMYFUNCTION("IFERROR(REGEXEXTRACT(C590, ""(\d*\.\d+)mm""), """")"),"")</f>
        <v/>
      </c>
      <c r="I590" s="712"/>
      <c r="J590" s="126" t="s">
        <v>87</v>
      </c>
      <c r="K590" s="126" t="str">
        <f>IFERROR(
  IF(B590="", "", VLOOKUP(B590, Data!$B$2:$K$905, 7, FALSE)),
  ""
)</f>
        <v/>
      </c>
      <c r="L590" s="704"/>
      <c r="M590" s="150">
        <f>(ROUNDDOWN((M589/5.7)+2,0)*E590)/8</f>
        <v>0.16875</v>
      </c>
      <c r="N590" s="151">
        <f t="shared" ref="N590:N602" si="444">if(B590="","",(if(N589="",N588,N589)))</f>
        <v>1</v>
      </c>
      <c r="O590" s="169">
        <v>1.0</v>
      </c>
      <c r="P590" s="134">
        <v>1.0</v>
      </c>
      <c r="Q590" s="168">
        <f t="shared" si="440"/>
        <v>0.16875</v>
      </c>
      <c r="R590" s="136" t="str">
        <f>IFERROR(
  IF(B590="", "", VLOOKUP(B590, Data!$B$2:$K$905, 9, FALSE)),
  ""
)</f>
        <v/>
      </c>
      <c r="S590" s="152">
        <f t="shared" si="441"/>
        <v>0</v>
      </c>
      <c r="T590" s="690"/>
      <c r="U590" s="681" t="str">
        <f>IFERROR(
  IF(B590="", "", VLOOKUP(B590, Data!$B$2:$K$905, 10, FALSE)),
  ""
)
</f>
        <v/>
      </c>
      <c r="V590" s="691"/>
      <c r="W590" s="140">
        <f t="shared" si="442"/>
        <v>0</v>
      </c>
      <c r="X590" s="692"/>
      <c r="Y590" s="595"/>
      <c r="Z590" s="595"/>
      <c r="AA590" s="595"/>
      <c r="AB590" s="354">
        <f t="shared" si="443"/>
        <v>0</v>
      </c>
      <c r="AC590" s="181"/>
      <c r="AD590" s="625"/>
      <c r="AE590" s="626"/>
      <c r="AF590" s="696"/>
      <c r="AG590" s="697"/>
      <c r="AH590" s="629"/>
      <c r="AI590" s="187"/>
      <c r="AJ590" s="630"/>
      <c r="AK590" s="630"/>
      <c r="AL590" s="595"/>
      <c r="AM590" s="595"/>
      <c r="AN590" s="595"/>
      <c r="AO590" s="595"/>
      <c r="AP590" s="595"/>
      <c r="AQ590" s="595"/>
      <c r="AR590" s="595"/>
      <c r="AS590" s="595"/>
      <c r="AT590" s="595"/>
      <c r="AU590" s="595"/>
      <c r="AV590" s="595"/>
      <c r="AW590" s="595"/>
      <c r="AX590" s="595"/>
      <c r="AY590" s="595"/>
      <c r="AZ590" s="595"/>
      <c r="BA590" s="595"/>
      <c r="BB590" s="595"/>
      <c r="BC590" s="595"/>
      <c r="BD590" s="595"/>
      <c r="BE590" s="595"/>
      <c r="BF590" s="595"/>
      <c r="BG590" s="595"/>
      <c r="BH590" s="595"/>
      <c r="BI590" s="651"/>
      <c r="BJ590" s="651"/>
      <c r="BK590" s="651"/>
      <c r="BL590" s="651"/>
      <c r="BM590" s="651"/>
      <c r="BN590" s="651"/>
      <c r="BO590" s="651"/>
      <c r="BP590" s="651"/>
      <c r="BQ590" s="651"/>
      <c r="BR590" s="651"/>
      <c r="BS590" s="651"/>
      <c r="BT590" s="651"/>
    </row>
    <row r="591">
      <c r="A591" s="631"/>
      <c r="B591" s="154" t="str">
        <f>IFERROR(__xludf.DUMMYFUNCTION("IFERROR(
  IF(C591="""","""",
    IF(OR(REGEXMATCH(D591,""(?i)-Flashing""), REGEXMATCH(D591,""(?i)-EavesGut""), REGEXMATCH(D591,""(?i)Valley"")),
        ""DR"" &amp;
        TEXT(
            ROUNDUP(
                MIN(
                    VALUE(MID(C591, "&amp;"FIND(""("",C591)+1, FIND(""/"",C591)-FIND(""("",C591)-1)),
                    1200
                ) / 50, 0
            ) * 50, ""0""
        ) &amp;
        MID(C591, FIND(""/"",C591)+1, FIND("")"",C591)-FIND(""/"",C591)-1) &amp;
        TEXT(H591*100,""0"") &amp;"&amp;"
        I591,
    IF(AND(D591=""Roof Sheet"", REGEXMATCH(C591,""(?i)KS\d{4}[A-Z]{2}"")),
       REGEXEXTRACT(C591,""(?i)KS\d{4}[A-Z]{2}""),
    IF(AND(REGEXMATCH(D591,""(?i)-DP""), REGEXMATCH(C591,""(?i)Downpipe"")),
       ""dp"" &amp; REGEXEXTRACT(C591,""("&amp;"\d+)"") &amp; ""mm"",
    IF(AND(REGEXMATCH(D591,""(?i)Bracket""), REGEXMATCH(C591,""(?i)Bracket"")),
       ""Brkt"" &amp; REGEXEXTRACT(C591,""(\d+)"") &amp; ""mm"",
    IF(AND(REGEXMATCH(D591,""(?i)-OP""), REGEXMATCH(C591,""(?i)pops"")),
       ""op"" &amp; REGEXEXTRAC"&amp;"T(C591,""(\d+)"") &amp; ""mm"",
    IF(OR(D591=""R-FFTop"", D591=""R-FFBottom"", D591=""R-FFSide""),
        IF(REGEXMATCH(C591,""(?i)Profiled.*Top|Top.*Profiled""),""pfft"",
        IF(REGEXMATCH(C591,""(?i)Profiled.*Bottom|Bottom.*Profiled""),""pffb"",
    "&amp;"    IF(REGEXMATCH(C591,""(?i)Square""),""sff"",""""))),
    IF(REGEXMATCH(D591,""(?i)-Rivets""),""Rvt"",
    IF(REGEXMATCH(D591,""(?i)Silicone""),""300ml"",
    IF(REGEXMATCH(D591,""(?i)R-Butyl""),""300ml"",
    IF(REGEXMATCH(D591,""(?i)Fix""),""GenFix"","&amp;"
    IF(AND(REGEXMATCH(C591,""(?i)Timber""), REGEXMATCH(D591,""(?i)Timber"")),""tp"",
    IF(AND(REGEXMATCH(C591,""(?i)Vent G1275""), REGEXMATCH(D591,""(?i)Comb FIller"")),""CFV1275"",
    IF(REGEXMATCH(C591,""(?i)DPC""),""dpc"",
    IF(REGEXMATCH(C591,"""&amp;"(?i)Concealed Clips""),""ConClips"",
    IF(REGEXMATCH(D591,""(?i)-Takeoff ea""),""Takeoff ea"",
    IF(REGEXMATCH(D591,""(?i)-Takeoff LM""),""Takeoff LM"",
    IF(REGEXMATCH(D591,""(?i)-Takeoff m2""),""Takeoff m2"",
    IF(D591=""R-TU/TD"",""TU/TD"","""""&amp;")))))))))))))))))
  )))"),"Rvt")</f>
        <v>Rvt</v>
      </c>
      <c r="C591" s="734" t="s">
        <v>100</v>
      </c>
      <c r="D591" s="148" t="s">
        <v>163</v>
      </c>
      <c r="E591" s="687">
        <f>E589</f>
        <v>0.45</v>
      </c>
      <c r="F591" s="699"/>
      <c r="G591" s="700"/>
      <c r="H591" s="700" t="str">
        <f>IFERROR(__xludf.DUMMYFUNCTION("IFERROR(REGEXEXTRACT(C591, ""(\d*\.\d+)mm""), """")"),"")</f>
        <v/>
      </c>
      <c r="I591" s="712"/>
      <c r="J591" s="126" t="s">
        <v>87</v>
      </c>
      <c r="K591" s="126" t="str">
        <f>IFERROR(
  IF(B591="", "", VLOOKUP(B591, Data!$B$2:$K$905, 7, FALSE)),
  ""
)</f>
        <v/>
      </c>
      <c r="L591" s="704"/>
      <c r="M591" s="150">
        <f>ROUNDUP(((M589/5.7)+1)*(E591/0.05),0)</f>
        <v>24</v>
      </c>
      <c r="N591" s="151">
        <f t="shared" si="444"/>
        <v>1</v>
      </c>
      <c r="O591" s="169">
        <v>1.0</v>
      </c>
      <c r="P591" s="134">
        <v>1.0</v>
      </c>
      <c r="Q591" s="168">
        <f t="shared" si="440"/>
        <v>24</v>
      </c>
      <c r="R591" s="136" t="str">
        <f>IFERROR(
  IF(B591="", "", VLOOKUP(B591, Data!$B$2:$K$905, 9, FALSE)),
  ""
)</f>
        <v/>
      </c>
      <c r="S591" s="152">
        <f t="shared" si="441"/>
        <v>0</v>
      </c>
      <c r="T591" s="690"/>
      <c r="U591" s="681" t="str">
        <f>IFERROR(
  IF(B591="", "", VLOOKUP(B591, Data!$B$2:$K$905, 10, FALSE)),
  ""
)
</f>
        <v/>
      </c>
      <c r="V591" s="691"/>
      <c r="W591" s="140">
        <f t="shared" si="442"/>
        <v>0</v>
      </c>
      <c r="X591" s="692"/>
      <c r="Y591" s="595"/>
      <c r="Z591" s="595"/>
      <c r="AA591" s="595"/>
      <c r="AB591" s="354">
        <f t="shared" si="443"/>
        <v>0</v>
      </c>
      <c r="AC591" s="181"/>
      <c r="AD591" s="625"/>
      <c r="AE591" s="626"/>
      <c r="AF591" s="696"/>
      <c r="AG591" s="697"/>
      <c r="AH591" s="629"/>
      <c r="AI591" s="187"/>
      <c r="AJ591" s="630"/>
      <c r="AK591" s="630"/>
      <c r="AL591" s="595"/>
      <c r="AM591" s="595"/>
      <c r="AN591" s="595"/>
      <c r="AO591" s="595"/>
      <c r="AP591" s="595"/>
      <c r="AQ591" s="595"/>
      <c r="AR591" s="595"/>
      <c r="AS591" s="595"/>
      <c r="AT591" s="595"/>
      <c r="AU591" s="595"/>
      <c r="AV591" s="595"/>
      <c r="AW591" s="595"/>
      <c r="AX591" s="595"/>
      <c r="AY591" s="595"/>
      <c r="AZ591" s="595"/>
      <c r="BA591" s="595"/>
      <c r="BB591" s="595"/>
      <c r="BC591" s="595"/>
      <c r="BD591" s="595"/>
      <c r="BE591" s="595"/>
      <c r="BF591" s="595"/>
      <c r="BG591" s="595"/>
      <c r="BH591" s="595"/>
      <c r="BI591" s="651"/>
      <c r="BJ591" s="651"/>
      <c r="BK591" s="651"/>
      <c r="BL591" s="651"/>
      <c r="BM591" s="651"/>
      <c r="BN591" s="651"/>
      <c r="BO591" s="651"/>
      <c r="BP591" s="651"/>
      <c r="BQ591" s="651"/>
      <c r="BR591" s="651"/>
      <c r="BS591" s="651"/>
      <c r="BT591" s="651"/>
    </row>
    <row r="592">
      <c r="A592" s="631"/>
      <c r="B592" s="154" t="str">
        <f>IFERROR(__xludf.DUMMYFUNCTION("IFERROR(
  IF(C592="""","""",
    IF(OR(REGEXMATCH(D592,""(?i)-Flashing""), REGEXMATCH(D592,""(?i)-EavesGut""), REGEXMATCH(D592,""(?i)Valley"")),
        ""DR"" &amp;
        TEXT(
            ROUNDUP(
                MIN(
                    VALUE(MID(C592, "&amp;"FIND(""("",C592)+1, FIND(""/"",C592)-FIND(""("",C592)-1)),
                    1200
                ) / 50, 0
            ) * 50, ""0""
        ) &amp;
        MID(C592, FIND(""/"",C592)+1, FIND("")"",C592)-FIND(""/"",C592)-1) &amp;
        TEXT(H592*100,""0"") &amp;"&amp;"
        I592,
    IF(AND(D592=""Roof Sheet"", REGEXMATCH(C592,""(?i)KS\d{4}[A-Z]{2}"")),
       REGEXEXTRACT(C592,""(?i)KS\d{4}[A-Z]{2}""),
    IF(AND(REGEXMATCH(D592,""(?i)-DP""), REGEXMATCH(C592,""(?i)Downpipe"")),
       ""dp"" &amp; REGEXEXTRACT(C592,""("&amp;"\d+)"") &amp; ""mm"",
    IF(AND(REGEXMATCH(D592,""(?i)Bracket""), REGEXMATCH(C592,""(?i)Bracket"")),
       ""Brkt"" &amp; REGEXEXTRACT(C592,""(\d+)"") &amp; ""mm"",
    IF(AND(REGEXMATCH(D592,""(?i)-OP""), REGEXMATCH(C592,""(?i)pops"")),
       ""op"" &amp; REGEXEXTRAC"&amp;"T(C592,""(\d+)"") &amp; ""mm"",
    IF(OR(D592=""R-FFTop"", D592=""R-FFBottom"", D592=""R-FFSide""),
        IF(REGEXMATCH(C592,""(?i)Profiled.*Top|Top.*Profiled""),""pfft"",
        IF(REGEXMATCH(C592,""(?i)Profiled.*Bottom|Bottom.*Profiled""),""pffb"",
    "&amp;"    IF(REGEXMATCH(C592,""(?i)Square""),""sff"",""""))),
    IF(REGEXMATCH(D592,""(?i)-Rivets""),""Rvt"",
    IF(REGEXMATCH(D592,""(?i)Silicone""),""300ml"",
    IF(REGEXMATCH(D592,""(?i)R-Butyl""),""300ml"",
    IF(REGEXMATCH(D592,""(?i)Fix""),""GenFix"","&amp;"
    IF(AND(REGEXMATCH(C592,""(?i)Timber""), REGEXMATCH(D592,""(?i)Timber"")),""tp"",
    IF(AND(REGEXMATCH(C592,""(?i)Vent G1275""), REGEXMATCH(D592,""(?i)Comb FIller"")),""CFV1275"",
    IF(REGEXMATCH(C592,""(?i)DPC""),""dpc"",
    IF(REGEXMATCH(C592,"""&amp;"(?i)Concealed Clips""),""ConClips"",
    IF(REGEXMATCH(D592,""(?i)-Takeoff ea""),""Takeoff ea"",
    IF(REGEXMATCH(D592,""(?i)-Takeoff LM""),""Takeoff LM"",
    IF(REGEXMATCH(D592,""(?i)-Takeoff m2""),""Takeoff m2"",
    IF(D592=""R-TU/TD"",""TU/TD"","""""&amp;")))))))))))))))))
  )))"),"GenFix")</f>
        <v>GenFix</v>
      </c>
      <c r="C592" s="698" t="s">
        <v>102</v>
      </c>
      <c r="D592" s="148" t="s">
        <v>164</v>
      </c>
      <c r="E592" s="722"/>
      <c r="F592" s="699"/>
      <c r="G592" s="701"/>
      <c r="H592" s="700"/>
      <c r="I592" s="712"/>
      <c r="J592" s="126" t="s">
        <v>87</v>
      </c>
      <c r="K592" s="126" t="str">
        <f>IFERROR(
  IF(B592="", "", VLOOKUP(B592, Data!$B$2:$K$905, 7, FALSE)),
  ""
)</f>
        <v/>
      </c>
      <c r="L592" s="712"/>
      <c r="M592" s="150">
        <f>ROUNDUP(M589/0.6,0)+1</f>
        <v>17</v>
      </c>
      <c r="N592" s="151">
        <f t="shared" si="444"/>
        <v>1</v>
      </c>
      <c r="O592" s="169">
        <v>1.0</v>
      </c>
      <c r="P592" s="134">
        <v>2.0</v>
      </c>
      <c r="Q592" s="168">
        <f t="shared" si="440"/>
        <v>34</v>
      </c>
      <c r="R592" s="136" t="str">
        <f>IFERROR(
  IF(B592="", "", VLOOKUP(B592, Data!$B$2:$K$905, 9, FALSE)),
  ""
)</f>
        <v/>
      </c>
      <c r="S592" s="152">
        <f t="shared" si="441"/>
        <v>0</v>
      </c>
      <c r="T592" s="690"/>
      <c r="U592" s="681" t="str">
        <f>IFERROR(
  IF(B592="", "", VLOOKUP(B592, Data!$B$2:$K$905, 10, FALSE)),
  ""
)
</f>
        <v/>
      </c>
      <c r="V592" s="691"/>
      <c r="W592" s="140">
        <f t="shared" si="442"/>
        <v>0</v>
      </c>
      <c r="X592" s="692"/>
      <c r="Y592" s="595"/>
      <c r="Z592" s="595"/>
      <c r="AA592" s="595"/>
      <c r="AB592" s="354">
        <f t="shared" si="443"/>
        <v>0</v>
      </c>
      <c r="AC592" s="181"/>
      <c r="AD592" s="625"/>
      <c r="AE592" s="626"/>
      <c r="AF592" s="696"/>
      <c r="AG592" s="697"/>
      <c r="AH592" s="629"/>
      <c r="AI592" s="187"/>
      <c r="AJ592" s="630"/>
      <c r="AK592" s="630"/>
      <c r="AL592" s="595"/>
      <c r="AM592" s="595"/>
      <c r="AN592" s="595"/>
      <c r="AO592" s="595"/>
      <c r="AP592" s="595"/>
      <c r="AQ592" s="595"/>
      <c r="AR592" s="595"/>
      <c r="AS592" s="595"/>
      <c r="AT592" s="595"/>
      <c r="AU592" s="595"/>
      <c r="AV592" s="595"/>
      <c r="AW592" s="595"/>
      <c r="AX592" s="595"/>
      <c r="AY592" s="595"/>
      <c r="AZ592" s="595"/>
      <c r="BA592" s="595"/>
      <c r="BB592" s="595"/>
      <c r="BC592" s="595"/>
      <c r="BD592" s="595"/>
      <c r="BE592" s="595"/>
      <c r="BF592" s="595"/>
      <c r="BG592" s="595"/>
      <c r="BH592" s="595"/>
      <c r="BI592" s="651"/>
      <c r="BJ592" s="651"/>
      <c r="BK592" s="651"/>
      <c r="BL592" s="651"/>
      <c r="BM592" s="651"/>
      <c r="BN592" s="651"/>
      <c r="BO592" s="651"/>
      <c r="BP592" s="651"/>
      <c r="BQ592" s="651"/>
      <c r="BR592" s="651"/>
      <c r="BS592" s="651"/>
      <c r="BT592" s="651"/>
    </row>
    <row r="593">
      <c r="A593" s="631"/>
      <c r="B593" s="154" t="str">
        <f>IFERROR(__xludf.DUMMYFUNCTION("IFERROR(
  IF(C593="""","""",
    IF(OR(REGEXMATCH(D593,""(?i)-Flashing""), REGEXMATCH(D593,""(?i)-EavesGut""), REGEXMATCH(D593,""(?i)Valley"")),
        ""DR"" &amp;
        TEXT(
            ROUNDUP(
                MIN(
                    VALUE(MID(C593, "&amp;"FIND(""("",C593)+1, FIND(""/"",C593)-FIND(""("",C593)-1)),
                    1200
                ) / 50, 0
            ) * 50, ""0""
        ) &amp;
        MID(C593, FIND(""/"",C593)+1, FIND("")"",C593)-FIND(""/"",C593)-1) &amp;
        TEXT(H593*100,""0"") &amp;"&amp;"
        I593,
    IF(AND(D593=""Roof Sheet"", REGEXMATCH(C593,""(?i)KS\d{4}[A-Z]{2}"")),
       REGEXEXTRACT(C593,""(?i)KS\d{4}[A-Z]{2}""),
    IF(AND(REGEXMATCH(D593,""(?i)-DP""), REGEXMATCH(C593,""(?i)Downpipe"")),
       ""dp"" &amp; REGEXEXTRACT(C593,""("&amp;"\d+)"") &amp; ""mm"",
    IF(AND(REGEXMATCH(D593,""(?i)Bracket""), REGEXMATCH(C593,""(?i)Bracket"")),
       ""Brkt"" &amp; REGEXEXTRACT(C593,""(\d+)"") &amp; ""mm"",
    IF(AND(REGEXMATCH(D593,""(?i)-OP""), REGEXMATCH(C593,""(?i)pops"")),
       ""op"" &amp; REGEXEXTRAC"&amp;"T(C593,""(\d+)"") &amp; ""mm"",
    IF(OR(D593=""R-FFTop"", D593=""R-FFBottom"", D593=""R-FFSide""),
        IF(REGEXMATCH(C593,""(?i)Profiled.*Top|Top.*Profiled""),""pfft"",
        IF(REGEXMATCH(C593,""(?i)Profiled.*Bottom|Bottom.*Profiled""),""pffb"",
    "&amp;"    IF(REGEXMATCH(C593,""(?i)Square""),""sff"",""""))),
    IF(OR(D593=""W-FFTop"", D593=""W-FFBottom"", D593=""W-FFSide""),
        IF(REGEXMATCH(C593,""(?i)Profiled.*Top|Top.*Profiled""),""pfft"",
        IF(REGEXMATCH(C593,""(?i)Profiled.*Bottom|Bottom"&amp;".*Profiled""),""pffb"",
        IF(REGEXMATCH(C593,""(?i)Square""),""sff"",""""))),
    IF(REGEXMATCH(D593,""(?i)-Rivets""),""Rvt"",
    IF(REGEXMATCH(D593,""(?i)Silicone""),""300ml"",
    IF(REGEXMATCH(D593,""(?i)R-Butyl""),""300ml"",
    IF(REGEXMATCH(D"&amp;"593,""(?i)Fix""),""GenFix"",
    IF(AND(REGEXMATCH(C593,""(?i)Timber""), REGEXMATCH(D593,""(?i)Timber"")),""tp"",
    IF(AND(REGEXMATCH(C593,""(?i)Vent G1275""), REGEXMATCH(D593,""(?i)Comb FIller"")),""CFV1275"",
    IF(REGEXMATCH(C593,""(?i)DPC""),""dpc"&amp;""",
    IF(REGEXMATCH(C593,""(?i)Concealed Clips""),""ConClips"",
    IF(REGEXMATCH(D593,""(?i)-Takeoff ea""),""Takeoff ea"",
    IF(REGEXMATCH(D593,""(?i)-Takeoff LM""),""Takeoff LM"",
    IF(REGEXMATCH(D593,""(?i)-Takeoff m2""),""Takeoff m2"",
    IF(D5"&amp;"93=""R-TU/TD"",""TU/TD"",
    IF(D593=""W-TU/TD"",""TU/TD"","""")))))))))))))))))
  )))))"),"sff")</f>
        <v>sff</v>
      </c>
      <c r="C593" s="698" t="s">
        <v>454</v>
      </c>
      <c r="D593" s="148" t="s">
        <v>340</v>
      </c>
      <c r="E593" s="722"/>
      <c r="F593" s="699"/>
      <c r="G593" s="701"/>
      <c r="H593" s="700"/>
      <c r="I593" s="712"/>
      <c r="J593" s="126" t="s">
        <v>87</v>
      </c>
      <c r="K593" s="126" t="str">
        <f>IFERROR(
  IF(B593="", "", VLOOKUP(B593, Data!$B$2:$K$905, 7, FALSE)),
  ""
)</f>
        <v/>
      </c>
      <c r="L593" s="712"/>
      <c r="M593" s="150">
        <f>M589</f>
        <v>9.04</v>
      </c>
      <c r="N593" s="151">
        <f t="shared" si="444"/>
        <v>1</v>
      </c>
      <c r="O593" s="169">
        <v>1.0</v>
      </c>
      <c r="P593" s="134">
        <v>2.0</v>
      </c>
      <c r="Q593" s="168">
        <f t="shared" si="440"/>
        <v>18.08</v>
      </c>
      <c r="R593" s="136" t="str">
        <f>IFERROR(
  IF(B593="", "", VLOOKUP(B593, Data!$B$2:$K$905, 9, FALSE)),
  ""
)</f>
        <v/>
      </c>
      <c r="S593" s="152">
        <f t="shared" si="441"/>
        <v>0</v>
      </c>
      <c r="T593" s="690"/>
      <c r="U593" s="136" t="str">
        <f>IFERROR(
  IF(B593="", "", VLOOKUP(B593, Data!$B$2:$K$905, 10, FALSE)),
  ""
)
</f>
        <v/>
      </c>
      <c r="V593" s="691"/>
      <c r="W593" s="140">
        <f t="shared" si="442"/>
        <v>0</v>
      </c>
      <c r="X593" s="692"/>
      <c r="Y593" s="595"/>
      <c r="Z593" s="595"/>
      <c r="AA593" s="595"/>
      <c r="AB593" s="354">
        <f t="shared" si="443"/>
        <v>0</v>
      </c>
      <c r="AC593" s="181"/>
      <c r="AD593" s="625"/>
      <c r="AE593" s="626"/>
      <c r="AF593" s="696"/>
      <c r="AG593" s="697"/>
      <c r="AH593" s="629"/>
      <c r="AI593" s="187"/>
      <c r="AJ593" s="630"/>
      <c r="AK593" s="630"/>
      <c r="AL593" s="595"/>
      <c r="AM593" s="595"/>
      <c r="AN593" s="595"/>
      <c r="AO593" s="595"/>
      <c r="AP593" s="595"/>
      <c r="AQ593" s="595"/>
      <c r="AR593" s="595"/>
      <c r="AS593" s="595"/>
      <c r="AT593" s="595"/>
      <c r="AU593" s="595"/>
      <c r="AV593" s="595"/>
      <c r="AW593" s="595"/>
      <c r="AX593" s="595"/>
      <c r="AY593" s="595"/>
      <c r="AZ593" s="595"/>
      <c r="BA593" s="595"/>
      <c r="BB593" s="595"/>
      <c r="BC593" s="595"/>
      <c r="BD593" s="595"/>
      <c r="BE593" s="595"/>
      <c r="BF593" s="595"/>
      <c r="BG593" s="595"/>
      <c r="BH593" s="595"/>
      <c r="BI593" s="651"/>
      <c r="BJ593" s="651"/>
      <c r="BK593" s="651"/>
      <c r="BL593" s="651"/>
      <c r="BM593" s="651"/>
      <c r="BN593" s="651"/>
      <c r="BO593" s="651"/>
      <c r="BP593" s="651"/>
      <c r="BQ593" s="651"/>
      <c r="BR593" s="651"/>
      <c r="BS593" s="651"/>
      <c r="BT593" s="651"/>
    </row>
    <row r="594">
      <c r="A594" s="631"/>
      <c r="B594" s="154"/>
      <c r="C594" s="702"/>
      <c r="D594" s="148"/>
      <c r="E594" s="722"/>
      <c r="F594" s="699"/>
      <c r="G594" s="700"/>
      <c r="H594" s="700"/>
      <c r="I594" s="712"/>
      <c r="J594" s="701"/>
      <c r="K594" s="701"/>
      <c r="L594" s="704"/>
      <c r="M594" s="704"/>
      <c r="N594" s="151" t="str">
        <f t="shared" si="444"/>
        <v/>
      </c>
      <c r="O594" s="712"/>
      <c r="P594" s="700"/>
      <c r="Q594" s="712"/>
      <c r="R594" s="681"/>
      <c r="S594" s="691"/>
      <c r="T594" s="690"/>
      <c r="U594" s="681"/>
      <c r="V594" s="691"/>
      <c r="W594" s="713"/>
      <c r="X594" s="692"/>
      <c r="Y594" s="693"/>
      <c r="Z594" s="731"/>
      <c r="AA594" s="595"/>
      <c r="AB594" s="354">
        <f t="shared" si="443"/>
        <v>0</v>
      </c>
      <c r="AC594" s="181"/>
      <c r="AD594" s="625"/>
      <c r="AE594" s="626"/>
      <c r="AF594" s="696"/>
      <c r="AG594" s="697"/>
      <c r="AH594" s="629"/>
      <c r="AI594" s="187"/>
      <c r="AJ594" s="630"/>
      <c r="AK594" s="630"/>
      <c r="AL594" s="595"/>
      <c r="AM594" s="595"/>
      <c r="AN594" s="595"/>
      <c r="AO594" s="595"/>
      <c r="AP594" s="595"/>
      <c r="AQ594" s="595"/>
      <c r="AR594" s="595"/>
      <c r="AS594" s="595"/>
      <c r="AT594" s="595"/>
      <c r="AU594" s="595"/>
      <c r="AV594" s="595"/>
      <c r="AW594" s="595"/>
      <c r="AX594" s="595"/>
      <c r="AY594" s="595"/>
      <c r="AZ594" s="595"/>
      <c r="BA594" s="595"/>
      <c r="BB594" s="595"/>
      <c r="BC594" s="595"/>
      <c r="BD594" s="595"/>
      <c r="BE594" s="595"/>
      <c r="BF594" s="595"/>
      <c r="BG594" s="595"/>
      <c r="BH594" s="595"/>
      <c r="BI594" s="651"/>
      <c r="BJ594" s="651"/>
      <c r="BK594" s="651"/>
      <c r="BL594" s="651"/>
      <c r="BM594" s="651"/>
      <c r="BN594" s="651"/>
      <c r="BO594" s="651"/>
      <c r="BP594" s="651"/>
      <c r="BQ594" s="651"/>
      <c r="BR594" s="651"/>
      <c r="BS594" s="651"/>
      <c r="BT594" s="651"/>
    </row>
    <row r="595">
      <c r="A595" s="716" t="s">
        <v>444</v>
      </c>
      <c r="B595" s="154" t="str">
        <f>IFERROR(__xludf.DUMMYFUNCTION("IFERROR(
  IF(C595="""","""",
    IF(OR(REGEXMATCH(D595,""(?i)-Flashing""), REGEXMATCH(D595,""(?i)-EavesGut""), REGEXMATCH(D595,""(?i)Valley"")),
        ""DR"" &amp;
        TEXT(
            ROUNDUP(
                MIN(
                    VALUE(MID(C595, "&amp;"FIND(""("",C595)+1, FIND(""/"",C595)-FIND(""("",C595)-1)),
                    1200
                ) / 50, 0
            ) * 50, ""0""
        ) &amp;
        MID(C595, FIND(""/"",C595)+1, FIND("")"",C595)-FIND(""/"",C595)-1) &amp;
        TEXT(H595*100,""0"") &amp;"&amp;"
        I595,
    IF(AND(D595=""Roof Sheet"", REGEXMATCH(C595,""(?i)KS\d{4}[A-Z]{2}"")),
       REGEXEXTRACT(C595,""(?i)KS\d{4}[A-Z]{2}""),
    IF(AND(REGEXMATCH(D595,""(?i)-DP""), REGEXMATCH(C595,""(?i)Downpipe"")),
       ""dp"" &amp; REGEXEXTRACT(C595,""("&amp;"\d+)"") &amp; ""mm"",
    IF(AND(REGEXMATCH(D595,""(?i)Bracket""), REGEXMATCH(C595,""(?i)Bracket"")),
       ""Brkt"" &amp; REGEXEXTRACT(C595,""(\d+)"") &amp; ""mm"",
    IF(AND(REGEXMATCH(D595,""(?i)-OP""), REGEXMATCH(C595,""(?i)pops"")),
       ""op"" &amp; REGEXEXTRAC"&amp;"T(C595,""(\d+)"") &amp; ""mm"",
    IF(OR(D595=""R-FFTop"", D595=""R-FFBottom"", D595=""R-FFSide""),
        IF(REGEXMATCH(C595,""(?i)Profiled.*Top|Top.*Profiled""),""pfft"",
        IF(REGEXMATCH(C595,""(?i)Profiled.*Bottom|Bottom.*Profiled""),""pffb"",
    "&amp;"    IF(REGEXMATCH(C595,""(?i)Square""),""sff"",""""))),
    IF(REGEXMATCH(D595,""(?i)-Rivets""),""Rvt"",
    IF(REGEXMATCH(D595,""(?i)Silicone""),""300ml"",
    IF(REGEXMATCH(D595,""(?i)R-Butyl""),""300ml"",
    IF(REGEXMATCH(D595,""(?i)Fix""),""GenFix"","&amp;"
    IF(AND(REGEXMATCH(C595,""(?i)Timber""), REGEXMATCH(D595,""(?i)Timber"")),""tp"",
    IF(AND(REGEXMATCH(C595,""(?i)Vent G1275""), REGEXMATCH(D595,""(?i)Comb FIller"")),""CFV1275"",
    IF(REGEXMATCH(C595,""(?i)DPC""),""dpc"",
    IF(REGEXMATCH(C595,"""&amp;"(?i)Concealed Clips""),""ConClips"",
    IF(REGEXMATCH(D595,""(?i)-Takeoff ea""),""Takeoff ea"",
    IF(REGEXMATCH(D595,""(?i)-Takeoff LM""),""Takeoff LM"",
    IF(REGEXMATCH(D595,""(?i)-Takeoff m2""),""Takeoff m2"",
    IF(D595=""R-TU/TD"",""TU/TD"","""""&amp;")))))))))))))))))
  )))"),"DR1503B55Mag")</f>
        <v>DR1503B55Mag</v>
      </c>
      <c r="C595" s="123" t="s">
        <v>568</v>
      </c>
      <c r="D595" s="148" t="s">
        <v>161</v>
      </c>
      <c r="E595" s="687">
        <f>VALUE(MID(C595, FIND("(", C595)+1, FIND("/", C595)-FIND("(", C595)-1)) / 1000</f>
        <v>0.13</v>
      </c>
      <c r="F595" s="699"/>
      <c r="G595" s="689" t="s">
        <v>547</v>
      </c>
      <c r="H595" s="128" t="str">
        <f>IFERROR(__xludf.DUMMYFUNCTION("IFERROR(REGEXEXTRACT(C595, ""(\d*\.\d+)mm""), """")"),"0.55")</f>
        <v>0.55</v>
      </c>
      <c r="I595" s="168" t="s">
        <v>97</v>
      </c>
      <c r="J595" s="126" t="s">
        <v>14</v>
      </c>
      <c r="K595" s="126" t="str">
        <f>IFERROR(
  IF(B595="", "", VLOOKUP(B595, Data!$B$2:$K$905, 7, FALSE)),
  ""
)</f>
        <v/>
      </c>
      <c r="L595" s="704"/>
      <c r="M595" s="150">
        <f>M589</f>
        <v>9.04</v>
      </c>
      <c r="N595" s="151">
        <f t="shared" si="444"/>
        <v>1</v>
      </c>
      <c r="O595" s="169">
        <v>1.0</v>
      </c>
      <c r="P595" s="134">
        <v>1.0</v>
      </c>
      <c r="Q595" s="168">
        <f t="shared" ref="Q595:Q598" si="445">M595*N595*O595*P595</f>
        <v>9.04</v>
      </c>
      <c r="R595" s="136" t="str">
        <f>IFERROR(
  IF(B595="", "", VLOOKUP(B595, Data!$B$2:$K$905, 9, FALSE)),
  ""
)</f>
        <v/>
      </c>
      <c r="S595" s="152">
        <f t="shared" ref="S595:S598" si="446">R595*Q595</f>
        <v>0</v>
      </c>
      <c r="T595" s="690"/>
      <c r="U595" s="136" t="str">
        <f>IFERROR(
  IF(B595="", "", VLOOKUP(B595, Data!$B$2:$K$905, 10, FALSE)),
  ""
)
</f>
        <v/>
      </c>
      <c r="V595" s="691"/>
      <c r="W595" s="140">
        <f t="shared" ref="W595:W598" si="447">U595*Q595</f>
        <v>0</v>
      </c>
      <c r="X595" s="692"/>
      <c r="Y595" s="693"/>
      <c r="Z595" s="731"/>
      <c r="AA595" s="595"/>
      <c r="AB595" s="354">
        <f t="shared" si="443"/>
        <v>0</v>
      </c>
      <c r="AC595" s="181"/>
      <c r="AD595" s="625"/>
      <c r="AE595" s="626"/>
      <c r="AF595" s="696"/>
      <c r="AG595" s="697"/>
      <c r="AH595" s="629"/>
      <c r="AI595" s="187"/>
      <c r="AJ595" s="630"/>
      <c r="AK595" s="630"/>
      <c r="AL595" s="595"/>
      <c r="AM595" s="595"/>
      <c r="AN595" s="595"/>
      <c r="AO595" s="595"/>
      <c r="AP595" s="595"/>
      <c r="AQ595" s="595"/>
      <c r="AR595" s="595"/>
      <c r="AS595" s="595"/>
      <c r="AT595" s="595"/>
      <c r="AU595" s="595"/>
      <c r="AV595" s="595"/>
      <c r="AW595" s="595"/>
      <c r="AX595" s="595"/>
      <c r="AY595" s="595"/>
      <c r="AZ595" s="595"/>
      <c r="BA595" s="595"/>
      <c r="BB595" s="595"/>
      <c r="BC595" s="595"/>
      <c r="BD595" s="595"/>
      <c r="BE595" s="595"/>
      <c r="BF595" s="595"/>
      <c r="BG595" s="595"/>
      <c r="BH595" s="595"/>
      <c r="BI595" s="651"/>
      <c r="BJ595" s="651"/>
      <c r="BK595" s="651"/>
      <c r="BL595" s="651"/>
      <c r="BM595" s="651"/>
      <c r="BN595" s="651"/>
      <c r="BO595" s="651"/>
      <c r="BP595" s="651"/>
      <c r="BQ595" s="651"/>
      <c r="BR595" s="651"/>
      <c r="BS595" s="651"/>
      <c r="BT595" s="651"/>
    </row>
    <row r="596">
      <c r="A596" s="631"/>
      <c r="B596" s="154" t="str">
        <f>IFERROR(__xludf.DUMMYFUNCTION("IFERROR(
  IF(C596="""","""",
    IF(OR(REGEXMATCH(D596,""(?i)-Flashing""), REGEXMATCH(D596,""(?i)-EavesGut""), REGEXMATCH(D596,""(?i)Valley"")),
        ""DR"" &amp;
        TEXT(
            ROUNDUP(
                MIN(
                    VALUE(MID(C596, "&amp;"FIND(""("",C596)+1, FIND(""/"",C596)-FIND(""("",C596)-1)),
                    1200
                ) / 50, 0
            ) * 50, ""0""
        ) &amp;
        MID(C596, FIND(""/"",C596)+1, FIND("")"",C596)-FIND(""/"",C596)-1) &amp;
        TEXT(H596*100,""0"") &amp;"&amp;"
        I596,
    IF(AND(D596=""Roof Sheet"", REGEXMATCH(C596,""(?i)KS\d{4}[A-Z]{2}"")),
       REGEXEXTRACT(C596,""(?i)KS\d{4}[A-Z]{2}""),
    IF(AND(REGEXMATCH(D596,""(?i)-DP""), REGEXMATCH(C596,""(?i)Downpipe"")),
       ""dp"" &amp; REGEXEXTRACT(C596,""("&amp;"\d+)"") &amp; ""mm"",
    IF(AND(REGEXMATCH(D596,""(?i)Bracket""), REGEXMATCH(C596,""(?i)Bracket"")),
       ""Brkt"" &amp; REGEXEXTRACT(C596,""(\d+)"") &amp; ""mm"",
    IF(AND(REGEXMATCH(D596,""(?i)-OP""), REGEXMATCH(C596,""(?i)pops"")),
       ""op"" &amp; REGEXEXTRAC"&amp;"T(C596,""(\d+)"") &amp; ""mm"",
    IF(OR(D596=""R-FFTop"", D596=""R-FFBottom"", D596=""R-FFSide""),
        IF(REGEXMATCH(C596,""(?i)Profiled.*Top|Top.*Profiled""),""pfft"",
        IF(REGEXMATCH(C596,""(?i)Profiled.*Bottom|Bottom.*Profiled""),""pffb"",
    "&amp;"    IF(REGEXMATCH(C596,""(?i)Square""),""sff"",""""))),
    IF(REGEXMATCH(D596,""(?i)-Rivets""),""Rvt"",
    IF(REGEXMATCH(D596,""(?i)Silicone""),""300ml"",
    IF(REGEXMATCH(D596,""(?i)R-Butyl""),""300ml"",
    IF(REGEXMATCH(D596,""(?i)Fix""),""GenFix"","&amp;"
    IF(AND(REGEXMATCH(C596,""(?i)Timber""), REGEXMATCH(D596,""(?i)Timber"")),""tp"",
    IF(AND(REGEXMATCH(C596,""(?i)Vent G1275""), REGEXMATCH(D596,""(?i)Comb FIller"")),""CFV1275"",
    IF(REGEXMATCH(C596,""(?i)DPC""),""dpc"",
    IF(REGEXMATCH(C596,"""&amp;"(?i)Concealed Clips""),""ConClips"",
    IF(REGEXMATCH(D596,""(?i)-Takeoff ea""),""Takeoff ea"",
    IF(REGEXMATCH(D596,""(?i)-Takeoff LM""),""Takeoff LM"",
    IF(REGEXMATCH(D596,""(?i)-Takeoff m2""),""Takeoff m2"",
    IF(D596=""R-TU/TD"",""TU/TD"","""""&amp;")))))))))))))))))
  )))"),"300ml")</f>
        <v>300ml</v>
      </c>
      <c r="C596" s="734" t="s">
        <v>98</v>
      </c>
      <c r="D596" s="148" t="s">
        <v>162</v>
      </c>
      <c r="E596" s="687">
        <f>E595</f>
        <v>0.13</v>
      </c>
      <c r="F596" s="699"/>
      <c r="G596" s="700"/>
      <c r="H596" s="700" t="str">
        <f>IFERROR(__xludf.DUMMYFUNCTION("IFERROR(REGEXEXTRACT(C596, ""(\d*\.\d+)mm""), """")"),"")</f>
        <v/>
      </c>
      <c r="I596" s="712"/>
      <c r="J596" s="126" t="s">
        <v>87</v>
      </c>
      <c r="K596" s="126" t="str">
        <f>IFERROR(
  IF(B596="", "", VLOOKUP(B596, Data!$B$2:$K$905, 7, FALSE)),
  ""
)</f>
        <v/>
      </c>
      <c r="L596" s="704"/>
      <c r="M596" s="150">
        <f>(ROUNDDOWN((M595/5.7)+2,0)*E596)/8</f>
        <v>0.04875</v>
      </c>
      <c r="N596" s="151">
        <f t="shared" si="444"/>
        <v>1</v>
      </c>
      <c r="O596" s="169">
        <v>1.0</v>
      </c>
      <c r="P596" s="134">
        <v>1.0</v>
      </c>
      <c r="Q596" s="168">
        <f t="shared" si="445"/>
        <v>0.04875</v>
      </c>
      <c r="R596" s="136" t="str">
        <f>IFERROR(
  IF(B596="", "", VLOOKUP(B596, Data!$B$2:$K$905, 9, FALSE)),
  ""
)</f>
        <v/>
      </c>
      <c r="S596" s="152">
        <f t="shared" si="446"/>
        <v>0</v>
      </c>
      <c r="T596" s="690"/>
      <c r="U596" s="681" t="str">
        <f>IFERROR(
  IF(B596="", "", VLOOKUP(B596, Data!$B$2:$K$905, 10, FALSE)),
  ""
)
</f>
        <v/>
      </c>
      <c r="V596" s="691"/>
      <c r="W596" s="140">
        <f t="shared" si="447"/>
        <v>0</v>
      </c>
      <c r="X596" s="692"/>
      <c r="Y596" s="595"/>
      <c r="Z596" s="595"/>
      <c r="AA596" s="595"/>
      <c r="AB596" s="354">
        <f t="shared" si="443"/>
        <v>0</v>
      </c>
      <c r="AC596" s="181"/>
      <c r="AD596" s="625"/>
      <c r="AE596" s="626"/>
      <c r="AF596" s="696"/>
      <c r="AG596" s="697"/>
      <c r="AH596" s="629"/>
      <c r="AI596" s="187"/>
      <c r="AJ596" s="630"/>
      <c r="AK596" s="630"/>
      <c r="AL596" s="595"/>
      <c r="AM596" s="595"/>
      <c r="AN596" s="595"/>
      <c r="AO596" s="595"/>
      <c r="AP596" s="595"/>
      <c r="AQ596" s="595"/>
      <c r="AR596" s="595"/>
      <c r="AS596" s="595"/>
      <c r="AT596" s="595"/>
      <c r="AU596" s="595"/>
      <c r="AV596" s="595"/>
      <c r="AW596" s="595"/>
      <c r="AX596" s="595"/>
      <c r="AY596" s="595"/>
      <c r="AZ596" s="595"/>
      <c r="BA596" s="595"/>
      <c r="BB596" s="595"/>
      <c r="BC596" s="595"/>
      <c r="BD596" s="595"/>
      <c r="BE596" s="595"/>
      <c r="BF596" s="595"/>
      <c r="BG596" s="595"/>
      <c r="BH596" s="595"/>
      <c r="BI596" s="651"/>
      <c r="BJ596" s="651"/>
      <c r="BK596" s="651"/>
      <c r="BL596" s="651"/>
      <c r="BM596" s="651"/>
      <c r="BN596" s="651"/>
      <c r="BO596" s="651"/>
      <c r="BP596" s="651"/>
      <c r="BQ596" s="651"/>
      <c r="BR596" s="651"/>
      <c r="BS596" s="651"/>
      <c r="BT596" s="651"/>
    </row>
    <row r="597">
      <c r="A597" s="631"/>
      <c r="B597" s="154" t="str">
        <f>IFERROR(__xludf.DUMMYFUNCTION("IFERROR(
  IF(C597="""","""",
    IF(OR(REGEXMATCH(D597,""(?i)-Flashing""), REGEXMATCH(D597,""(?i)-EavesGut""), REGEXMATCH(D597,""(?i)Valley"")),
        ""DR"" &amp;
        TEXT(
            ROUNDUP(
                MIN(
                    VALUE(MID(C597, "&amp;"FIND(""("",C597)+1, FIND(""/"",C597)-FIND(""("",C597)-1)),
                    1200
                ) / 50, 0
            ) * 50, ""0""
        ) &amp;
        MID(C597, FIND(""/"",C597)+1, FIND("")"",C597)-FIND(""/"",C597)-1) &amp;
        TEXT(H597*100,""0"") &amp;"&amp;"
        I597,
    IF(AND(D597=""Roof Sheet"", REGEXMATCH(C597,""(?i)KS\d{4}[A-Z]{2}"")),
       REGEXEXTRACT(C597,""(?i)KS\d{4}[A-Z]{2}""),
    IF(AND(REGEXMATCH(D597,""(?i)-DP""), REGEXMATCH(C597,""(?i)Downpipe"")),
       ""dp"" &amp; REGEXEXTRACT(C597,""("&amp;"\d+)"") &amp; ""mm"",
    IF(AND(REGEXMATCH(D597,""(?i)Bracket""), REGEXMATCH(C597,""(?i)Bracket"")),
       ""Brkt"" &amp; REGEXEXTRACT(C597,""(\d+)"") &amp; ""mm"",
    IF(AND(REGEXMATCH(D597,""(?i)-OP""), REGEXMATCH(C597,""(?i)pops"")),
       ""op"" &amp; REGEXEXTRAC"&amp;"T(C597,""(\d+)"") &amp; ""mm"",
    IF(OR(D597=""R-FFTop"", D597=""R-FFBottom"", D597=""R-FFSide""),
        IF(REGEXMATCH(C597,""(?i)Profiled.*Top|Top.*Profiled""),""pfft"",
        IF(REGEXMATCH(C597,""(?i)Profiled.*Bottom|Bottom.*Profiled""),""pffb"",
    "&amp;"    IF(REGEXMATCH(C597,""(?i)Square""),""sff"",""""))),
    IF(REGEXMATCH(D597,""(?i)-Rivets""),""Rvt"",
    IF(REGEXMATCH(D597,""(?i)Silicone""),""300ml"",
    IF(REGEXMATCH(D597,""(?i)R-Butyl""),""300ml"",
    IF(REGEXMATCH(D597,""(?i)Fix""),""GenFix"","&amp;"
    IF(AND(REGEXMATCH(C597,""(?i)Timber""), REGEXMATCH(D597,""(?i)Timber"")),""tp"",
    IF(AND(REGEXMATCH(C597,""(?i)Vent G1275""), REGEXMATCH(D597,""(?i)Comb FIller"")),""CFV1275"",
    IF(REGEXMATCH(C597,""(?i)DPC""),""dpc"",
    IF(REGEXMATCH(C597,"""&amp;"(?i)Concealed Clips""),""ConClips"",
    IF(REGEXMATCH(D597,""(?i)-Takeoff ea""),""Takeoff ea"",
    IF(REGEXMATCH(D597,""(?i)-Takeoff LM""),""Takeoff LM"",
    IF(REGEXMATCH(D597,""(?i)-Takeoff m2""),""Takeoff m2"",
    IF(D597=""R-TU/TD"",""TU/TD"","""""&amp;")))))))))))))))))
  )))"),"Rvt")</f>
        <v>Rvt</v>
      </c>
      <c r="C597" s="734" t="s">
        <v>100</v>
      </c>
      <c r="D597" s="148" t="s">
        <v>163</v>
      </c>
      <c r="E597" s="687">
        <f>E595</f>
        <v>0.13</v>
      </c>
      <c r="F597" s="699"/>
      <c r="G597" s="700"/>
      <c r="H597" s="700" t="str">
        <f>IFERROR(__xludf.DUMMYFUNCTION("IFERROR(REGEXEXTRACT(C597, ""(\d*\.\d+)mm""), """")"),"")</f>
        <v/>
      </c>
      <c r="I597" s="712"/>
      <c r="J597" s="126" t="s">
        <v>87</v>
      </c>
      <c r="K597" s="126" t="str">
        <f>IFERROR(
  IF(B597="", "", VLOOKUP(B597, Data!$B$2:$K$905, 7, FALSE)),
  ""
)</f>
        <v/>
      </c>
      <c r="L597" s="704"/>
      <c r="M597" s="150">
        <f>ROUNDUP(((M595/5.7)+1)*(E597/0.05),0)</f>
        <v>7</v>
      </c>
      <c r="N597" s="151">
        <f t="shared" si="444"/>
        <v>1</v>
      </c>
      <c r="O597" s="169">
        <v>1.0</v>
      </c>
      <c r="P597" s="134">
        <v>1.0</v>
      </c>
      <c r="Q597" s="168">
        <f t="shared" si="445"/>
        <v>7</v>
      </c>
      <c r="R597" s="136" t="str">
        <f>IFERROR(
  IF(B597="", "", VLOOKUP(B597, Data!$B$2:$K$905, 9, FALSE)),
  ""
)</f>
        <v/>
      </c>
      <c r="S597" s="152">
        <f t="shared" si="446"/>
        <v>0</v>
      </c>
      <c r="T597" s="690"/>
      <c r="U597" s="681" t="str">
        <f>IFERROR(
  IF(B597="", "", VLOOKUP(B597, Data!$B$2:$K$905, 10, FALSE)),
  ""
)
</f>
        <v/>
      </c>
      <c r="V597" s="691"/>
      <c r="W597" s="140">
        <f t="shared" si="447"/>
        <v>0</v>
      </c>
      <c r="X597" s="692"/>
      <c r="Y597" s="595"/>
      <c r="Z597" s="595"/>
      <c r="AA597" s="595"/>
      <c r="AB597" s="354">
        <f t="shared" si="443"/>
        <v>0</v>
      </c>
      <c r="AC597" s="181"/>
      <c r="AD597" s="625"/>
      <c r="AE597" s="626"/>
      <c r="AF597" s="696"/>
      <c r="AG597" s="697"/>
      <c r="AH597" s="629"/>
      <c r="AI597" s="187"/>
      <c r="AJ597" s="630"/>
      <c r="AK597" s="630"/>
      <c r="AL597" s="595"/>
      <c r="AM597" s="595"/>
      <c r="AN597" s="595"/>
      <c r="AO597" s="595"/>
      <c r="AP597" s="595"/>
      <c r="AQ597" s="595"/>
      <c r="AR597" s="595"/>
      <c r="AS597" s="595"/>
      <c r="AT597" s="595"/>
      <c r="AU597" s="595"/>
      <c r="AV597" s="595"/>
      <c r="AW597" s="595"/>
      <c r="AX597" s="595"/>
      <c r="AY597" s="595"/>
      <c r="AZ597" s="595"/>
      <c r="BA597" s="595"/>
      <c r="BB597" s="595"/>
      <c r="BC597" s="595"/>
      <c r="BD597" s="595"/>
      <c r="BE597" s="595"/>
      <c r="BF597" s="595"/>
      <c r="BG597" s="595"/>
      <c r="BH597" s="595"/>
      <c r="BI597" s="651"/>
      <c r="BJ597" s="651"/>
      <c r="BK597" s="651"/>
      <c r="BL597" s="651"/>
      <c r="BM597" s="651"/>
      <c r="BN597" s="651"/>
      <c r="BO597" s="651"/>
      <c r="BP597" s="651"/>
      <c r="BQ597" s="651"/>
      <c r="BR597" s="651"/>
      <c r="BS597" s="651"/>
      <c r="BT597" s="651"/>
    </row>
    <row r="598">
      <c r="A598" s="631"/>
      <c r="B598" s="154" t="str">
        <f>IFERROR(__xludf.DUMMYFUNCTION("IFERROR(
  IF(C598="""","""",
    IF(OR(REGEXMATCH(D598,""(?i)-Flashing""), REGEXMATCH(D598,""(?i)-EavesGut""), REGEXMATCH(D598,""(?i)Valley"")),
        ""DR"" &amp;
        TEXT(
            ROUNDUP(
                MIN(
                    VALUE(MID(C598, "&amp;"FIND(""("",C598)+1, FIND(""/"",C598)-FIND(""("",C598)-1)),
                    1200
                ) / 50, 0
            ) * 50, ""0""
        ) &amp;
        MID(C598, FIND(""/"",C598)+1, FIND("")"",C598)-FIND(""/"",C598)-1) &amp;
        TEXT(H598*100,""0"") &amp;"&amp;"
        I598,
    IF(AND(D598=""Roof Sheet"", REGEXMATCH(C598,""(?i)KS\d{4}[A-Z]{2}"")),
       REGEXEXTRACT(C598,""(?i)KS\d{4}[A-Z]{2}""),
    IF(AND(REGEXMATCH(D598,""(?i)-DP""), REGEXMATCH(C598,""(?i)Downpipe"")),
       ""dp"" &amp; REGEXEXTRACT(C598,""("&amp;"\d+)"") &amp; ""mm"",
    IF(AND(REGEXMATCH(D598,""(?i)Bracket""), REGEXMATCH(C598,""(?i)Bracket"")),
       ""Brkt"" &amp; REGEXEXTRACT(C598,""(\d+)"") &amp; ""mm"",
    IF(AND(REGEXMATCH(D598,""(?i)-OP""), REGEXMATCH(C598,""(?i)pops"")),
       ""op"" &amp; REGEXEXTRAC"&amp;"T(C598,""(\d+)"") &amp; ""mm"",
    IF(OR(D598=""R-FFTop"", D598=""R-FFBottom"", D598=""R-FFSide""),
        IF(REGEXMATCH(C598,""(?i)Profiled.*Top|Top.*Profiled""),""pfft"",
        IF(REGEXMATCH(C598,""(?i)Profiled.*Bottom|Bottom.*Profiled""),""pffb"",
    "&amp;"    IF(REGEXMATCH(C598,""(?i)Square""),""sff"",""""))),
    IF(REGEXMATCH(D598,""(?i)-Rivets""),""Rvt"",
    IF(REGEXMATCH(D598,""(?i)Silicone""),""300ml"",
    IF(REGEXMATCH(D598,""(?i)R-Butyl""),""300ml"",
    IF(REGEXMATCH(D598,""(?i)Fix""),""GenFix"","&amp;"
    IF(AND(REGEXMATCH(C598,""(?i)Timber""), REGEXMATCH(D598,""(?i)Timber"")),""tp"",
    IF(AND(REGEXMATCH(C598,""(?i)Vent G1275""), REGEXMATCH(D598,""(?i)Comb FIller"")),""CFV1275"",
    IF(REGEXMATCH(C598,""(?i)DPC""),""dpc"",
    IF(REGEXMATCH(C598,"""&amp;"(?i)Concealed Clips""),""ConClips"",
    IF(REGEXMATCH(D598,""(?i)-Takeoff ea""),""Takeoff ea"",
    IF(REGEXMATCH(D598,""(?i)-Takeoff LM""),""Takeoff LM"",
    IF(REGEXMATCH(D598,""(?i)-Takeoff m2""),""Takeoff m2"",
    IF(D598=""R-TU/TD"",""TU/TD"","""""&amp;")))))))))))))))))
  )))"),"GenFix")</f>
        <v>GenFix</v>
      </c>
      <c r="C598" s="698" t="s">
        <v>102</v>
      </c>
      <c r="D598" s="148" t="s">
        <v>164</v>
      </c>
      <c r="E598" s="722"/>
      <c r="F598" s="699"/>
      <c r="G598" s="701"/>
      <c r="H598" s="700"/>
      <c r="I598" s="712"/>
      <c r="J598" s="126" t="s">
        <v>87</v>
      </c>
      <c r="K598" s="126" t="str">
        <f>IFERROR(
  IF(B598="", "", VLOOKUP(B598, Data!$B$2:$K$905, 7, FALSE)),
  ""
)</f>
        <v/>
      </c>
      <c r="L598" s="712"/>
      <c r="M598" s="150">
        <f>ROUNDUP(M595/0.6,0)+1</f>
        <v>17</v>
      </c>
      <c r="N598" s="151">
        <f t="shared" si="444"/>
        <v>1</v>
      </c>
      <c r="O598" s="169">
        <v>1.0</v>
      </c>
      <c r="P598" s="134">
        <v>2.0</v>
      </c>
      <c r="Q598" s="168">
        <f t="shared" si="445"/>
        <v>34</v>
      </c>
      <c r="R598" s="136" t="str">
        <f>IFERROR(
  IF(B598="", "", VLOOKUP(B598, Data!$B$2:$K$905, 9, FALSE)),
  ""
)</f>
        <v/>
      </c>
      <c r="S598" s="152">
        <f t="shared" si="446"/>
        <v>0</v>
      </c>
      <c r="T598" s="690"/>
      <c r="U598" s="681" t="str">
        <f>IFERROR(
  IF(B598="", "", VLOOKUP(B598, Data!$B$2:$K$905, 10, FALSE)),
  ""
)
</f>
        <v/>
      </c>
      <c r="V598" s="691"/>
      <c r="W598" s="140">
        <f t="shared" si="447"/>
        <v>0</v>
      </c>
      <c r="X598" s="692"/>
      <c r="Y598" s="595"/>
      <c r="Z598" s="595"/>
      <c r="AA598" s="595"/>
      <c r="AB598" s="354">
        <f t="shared" si="443"/>
        <v>0</v>
      </c>
      <c r="AC598" s="181"/>
      <c r="AD598" s="625"/>
      <c r="AE598" s="626"/>
      <c r="AF598" s="696"/>
      <c r="AG598" s="697"/>
      <c r="AH598" s="629"/>
      <c r="AI598" s="187"/>
      <c r="AJ598" s="630"/>
      <c r="AK598" s="630"/>
      <c r="AL598" s="595"/>
      <c r="AM598" s="595"/>
      <c r="AN598" s="595"/>
      <c r="AO598" s="595"/>
      <c r="AP598" s="595"/>
      <c r="AQ598" s="595"/>
      <c r="AR598" s="595"/>
      <c r="AS598" s="595"/>
      <c r="AT598" s="595"/>
      <c r="AU598" s="595"/>
      <c r="AV598" s="595"/>
      <c r="AW598" s="595"/>
      <c r="AX598" s="595"/>
      <c r="AY598" s="595"/>
      <c r="AZ598" s="595"/>
      <c r="BA598" s="595"/>
      <c r="BB598" s="595"/>
      <c r="BC598" s="595"/>
      <c r="BD598" s="595"/>
      <c r="BE598" s="595"/>
      <c r="BF598" s="595"/>
      <c r="BG598" s="595"/>
      <c r="BH598" s="595"/>
      <c r="BI598" s="651"/>
      <c r="BJ598" s="651"/>
      <c r="BK598" s="651"/>
      <c r="BL598" s="651"/>
      <c r="BM598" s="651"/>
      <c r="BN598" s="651"/>
      <c r="BO598" s="651"/>
      <c r="BP598" s="651"/>
      <c r="BQ598" s="651"/>
      <c r="BR598" s="651"/>
      <c r="BS598" s="651"/>
      <c r="BT598" s="651"/>
    </row>
    <row r="599">
      <c r="A599" s="631"/>
      <c r="B599" s="154"/>
      <c r="C599" s="698"/>
      <c r="D599" s="148"/>
      <c r="E599" s="687"/>
      <c r="F599" s="699"/>
      <c r="G599" s="701"/>
      <c r="H599" s="700"/>
      <c r="I599" s="712"/>
      <c r="J599" s="126"/>
      <c r="K599" s="126"/>
      <c r="L599" s="712"/>
      <c r="M599" s="150"/>
      <c r="N599" s="151" t="str">
        <f t="shared" si="444"/>
        <v/>
      </c>
      <c r="O599" s="169"/>
      <c r="P599" s="134"/>
      <c r="Q599" s="168"/>
      <c r="R599" s="136"/>
      <c r="S599" s="152"/>
      <c r="T599" s="690"/>
      <c r="U599" s="681"/>
      <c r="V599" s="691"/>
      <c r="W599" s="140"/>
      <c r="X599" s="692"/>
      <c r="Y599" s="595"/>
      <c r="Z599" s="595"/>
      <c r="AA599" s="595"/>
      <c r="AB599" s="354">
        <f t="shared" si="443"/>
        <v>0</v>
      </c>
      <c r="AC599" s="181"/>
      <c r="AD599" s="625"/>
      <c r="AE599" s="626"/>
      <c r="AF599" s="696"/>
      <c r="AG599" s="697"/>
      <c r="AH599" s="629"/>
      <c r="AI599" s="187"/>
      <c r="AJ599" s="630"/>
      <c r="AK599" s="630"/>
      <c r="AL599" s="595"/>
      <c r="AM599" s="595"/>
      <c r="AN599" s="595"/>
      <c r="AO599" s="595"/>
      <c r="AP599" s="595"/>
      <c r="AQ599" s="595"/>
      <c r="AR599" s="595"/>
      <c r="AS599" s="595"/>
      <c r="AT599" s="595"/>
      <c r="AU599" s="595"/>
      <c r="AV599" s="595"/>
      <c r="AW599" s="595"/>
      <c r="AX599" s="595"/>
      <c r="AY599" s="595"/>
      <c r="AZ599" s="595"/>
      <c r="BA599" s="595"/>
      <c r="BB599" s="595"/>
      <c r="BC599" s="595"/>
      <c r="BD599" s="595"/>
      <c r="BE599" s="595"/>
      <c r="BF599" s="595"/>
      <c r="BG599" s="595"/>
      <c r="BH599" s="595"/>
      <c r="BI599" s="651"/>
      <c r="BJ599" s="651"/>
      <c r="BK599" s="651"/>
      <c r="BL599" s="651"/>
      <c r="BM599" s="651"/>
      <c r="BN599" s="651"/>
      <c r="BO599" s="651"/>
      <c r="BP599" s="651"/>
      <c r="BQ599" s="651"/>
      <c r="BR599" s="651"/>
      <c r="BS599" s="651"/>
      <c r="BT599" s="651"/>
    </row>
    <row r="600">
      <c r="A600" s="716" t="s">
        <v>435</v>
      </c>
      <c r="B600" s="122" t="s">
        <v>569</v>
      </c>
      <c r="C600" s="123" t="s">
        <v>570</v>
      </c>
      <c r="D600" s="148" t="s">
        <v>168</v>
      </c>
      <c r="E600" s="687">
        <v>0.3</v>
      </c>
      <c r="F600" s="699"/>
      <c r="G600" s="701"/>
      <c r="H600" s="700"/>
      <c r="I600" s="712"/>
      <c r="J600" s="126" t="s">
        <v>14</v>
      </c>
      <c r="K600" s="126" t="str">
        <f>IFERROR(
  IF(B600="", "", VLOOKUP(B600, Data!$B$2:$K$905, 7, FALSE)),
  ""
)</f>
        <v/>
      </c>
      <c r="L600" s="704"/>
      <c r="M600" s="150">
        <f>M589</f>
        <v>9.04</v>
      </c>
      <c r="N600" s="151">
        <f t="shared" si="444"/>
        <v>1</v>
      </c>
      <c r="O600" s="169">
        <v>1.0</v>
      </c>
      <c r="P600" s="134">
        <v>1.0</v>
      </c>
      <c r="Q600" s="168">
        <f t="shared" ref="Q600:Q601" si="448">M600*N600*O600*P600</f>
        <v>9.04</v>
      </c>
      <c r="R600" s="136" t="str">
        <f>IFERROR(
  IF(B600="", "", VLOOKUP(B600, Data!$B$2:$K$905, 9, FALSE)),
  ""
)</f>
        <v/>
      </c>
      <c r="S600" s="152">
        <f t="shared" ref="S600:S601" si="449">R600*Q600</f>
        <v>0</v>
      </c>
      <c r="T600" s="690"/>
      <c r="U600" s="136" t="str">
        <f>IFERROR(
  IF(B600="", "", VLOOKUP(B600, Data!$B$2:$K$905, 10, FALSE)),
  ""
)
</f>
        <v/>
      </c>
      <c r="V600" s="691"/>
      <c r="W600" s="140">
        <f t="shared" ref="W600:W601" si="450">U600*Q600</f>
        <v>0</v>
      </c>
      <c r="X600" s="692"/>
      <c r="Y600" s="595"/>
      <c r="Z600" s="595"/>
      <c r="AA600" s="595"/>
      <c r="AB600" s="354">
        <f t="shared" si="443"/>
        <v>0</v>
      </c>
      <c r="AC600" s="181"/>
      <c r="AD600" s="625"/>
      <c r="AE600" s="626"/>
      <c r="AF600" s="696"/>
      <c r="AG600" s="697"/>
      <c r="AH600" s="629"/>
      <c r="AI600" s="187"/>
      <c r="AJ600" s="630"/>
      <c r="AK600" s="630"/>
      <c r="AL600" s="595"/>
      <c r="AM600" s="595"/>
      <c r="AN600" s="595"/>
      <c r="AO600" s="595"/>
      <c r="AP600" s="595"/>
      <c r="AQ600" s="595"/>
      <c r="AR600" s="595"/>
      <c r="AS600" s="595"/>
      <c r="AT600" s="595"/>
      <c r="AU600" s="595"/>
      <c r="AV600" s="595"/>
      <c r="AW600" s="595"/>
      <c r="AX600" s="595"/>
      <c r="AY600" s="595"/>
      <c r="AZ600" s="595"/>
      <c r="BA600" s="595"/>
      <c r="BB600" s="595"/>
      <c r="BC600" s="595"/>
      <c r="BD600" s="595"/>
      <c r="BE600" s="595"/>
      <c r="BF600" s="595"/>
      <c r="BG600" s="595"/>
      <c r="BH600" s="595"/>
      <c r="BI600" s="651"/>
      <c r="BJ600" s="651"/>
      <c r="BK600" s="651"/>
      <c r="BL600" s="651"/>
      <c r="BM600" s="651"/>
      <c r="BN600" s="651"/>
      <c r="BO600" s="651"/>
      <c r="BP600" s="651"/>
      <c r="BQ600" s="651"/>
      <c r="BR600" s="651"/>
      <c r="BS600" s="651"/>
      <c r="BT600" s="651"/>
    </row>
    <row r="601">
      <c r="A601" s="631"/>
      <c r="B601" s="154" t="str">
        <f>IFERROR(__xludf.DUMMYFUNCTION("IFERROR(
  IF(C601="""","""",
    IF(OR(REGEXMATCH(D601,""(?i)-Flashing""), REGEXMATCH(D601,""(?i)-EavesGut""), REGEXMATCH(D601,""(?i)Valley"")),
        ""DR"" &amp;
        TEXT(
            ROUNDUP(
                MIN(
                    VALUE(MID(C601, "&amp;"FIND(""("",C601)+1, FIND(""/"",C601)-FIND(""("",C601)-1)),
                    1200
                ) / 50, 0
            ) * 50, ""0""
        ) &amp;
        MID(C601, FIND(""/"",C601)+1, FIND("")"",C601)-FIND(""/"",C601)-1) &amp;
        TEXT(H601*100,""0"") &amp;"&amp;"
        I601,
    IF(AND(D601=""Roof Sheet"", REGEXMATCH(C601,""(?i)KS\d{4}[A-Z]{2}"")),
       REGEXEXTRACT(C601,""(?i)KS\d{4}[A-Z]{2}""),
    IF(AND(REGEXMATCH(D601,""(?i)-DP""), REGEXMATCH(C601,""(?i)Downpipe"")),
       ""dp"" &amp; REGEXEXTRACT(C601,""("&amp;"\d+)"") &amp; ""mm"",
    IF(AND(REGEXMATCH(D601,""(?i)Bracket""), REGEXMATCH(C601,""(?i)Bracket"")),
       ""Brkt"" &amp; REGEXEXTRACT(C601,""(\d+)"") &amp; ""mm"",
    IF(AND(REGEXMATCH(D601,""(?i)-OP""), REGEXMATCH(C601,""(?i)pops"")),
       ""op"" &amp; REGEXEXTRAC"&amp;"T(C601,""(\d+)"") &amp; ""mm"",
    IF(OR(D601=""R-FFTop"", D601=""R-FFBottom"", D601=""R-FFSide""),
        IF(REGEXMATCH(C601,""(?i)Profiled.*Top|Top.*Profiled""),""pfft"",
        IF(REGEXMATCH(C601,""(?i)Profiled.*Bottom|Bottom.*Profiled""),""pffb"",
    "&amp;"    IF(REGEXMATCH(C601,""(?i)Square""),""sff"",""""))),
    IF(REGEXMATCH(D601,""(?i)-Rivets""),""Rvt"",
    IF(REGEXMATCH(D601,""(?i)Silicone""),""300ml"",
    IF(REGEXMATCH(D601,""(?i)R-Butyl""),""300ml"",
    IF(REGEXMATCH(D601,""(?i)Fix""),""GenFix"","&amp;"
    IF(AND(REGEXMATCH(C601,""(?i)Timber""), REGEXMATCH(D601,""(?i)Timber"")),""tp"",
    IF(AND(REGEXMATCH(C601,""(?i)Vent G1275""), REGEXMATCH(D601,""(?i)Comb FIller"")),""CFV1275"",
    IF(REGEXMATCH(C601,""(?i)DPC""),""dpc"",
    IF(REGEXMATCH(C601,"""&amp;"(?i)Concealed Clips""),""ConClips"",
    IF(REGEXMATCH(D601,""(?i)-Takeoff ea""),""Takeoff ea"",
    IF(REGEXMATCH(D601,""(?i)-Takeoff LM""),""Takeoff LM"",
    IF(REGEXMATCH(D601,""(?i)-Takeoff m2""),""Takeoff m2"",
    IF(D601=""R-TU/TD"",""TU/TD"","""""&amp;")))))))))))))))))
  )))"),"GenFix")</f>
        <v>GenFix</v>
      </c>
      <c r="C601" s="123" t="s">
        <v>102</v>
      </c>
      <c r="D601" s="148" t="s">
        <v>386</v>
      </c>
      <c r="E601" s="687"/>
      <c r="F601" s="699"/>
      <c r="G601" s="701"/>
      <c r="H601" s="700"/>
      <c r="I601" s="712"/>
      <c r="J601" s="153" t="s">
        <v>87</v>
      </c>
      <c r="K601" s="126" t="str">
        <f>IFERROR(
  IF(B601="", "", VLOOKUP(B601, Data!$B$2:$K$905, 7, FALSE)),
  ""
)</f>
        <v/>
      </c>
      <c r="L601" s="704"/>
      <c r="M601" s="150">
        <f>ROUNDUP(M600/0.6,0)+1</f>
        <v>17</v>
      </c>
      <c r="N601" s="151">
        <f t="shared" si="444"/>
        <v>1</v>
      </c>
      <c r="O601" s="169">
        <v>1.0</v>
      </c>
      <c r="P601" s="156">
        <v>2.0</v>
      </c>
      <c r="Q601" s="168">
        <f t="shared" si="448"/>
        <v>34</v>
      </c>
      <c r="R601" s="136" t="str">
        <f>IFERROR(
  IF(B601="", "", VLOOKUP(B601, Data!$B$2:$K$905, 9, FALSE)),
  ""
)</f>
        <v/>
      </c>
      <c r="S601" s="152">
        <f t="shared" si="449"/>
        <v>0</v>
      </c>
      <c r="T601" s="690"/>
      <c r="U601" s="136" t="str">
        <f>IFERROR(
  IF(B601="", "", VLOOKUP(B601, Data!$B$2:$K$905, 10, FALSE)),
  ""
)
</f>
        <v/>
      </c>
      <c r="V601" s="691"/>
      <c r="W601" s="140">
        <f t="shared" si="450"/>
        <v>0</v>
      </c>
      <c r="X601" s="692"/>
      <c r="Y601" s="595"/>
      <c r="Z601" s="595"/>
      <c r="AA601" s="595"/>
      <c r="AB601" s="354">
        <f t="shared" si="443"/>
        <v>0</v>
      </c>
      <c r="AC601" s="181"/>
      <c r="AD601" s="625"/>
      <c r="AE601" s="626"/>
      <c r="AF601" s="696"/>
      <c r="AG601" s="697"/>
      <c r="AH601" s="629"/>
      <c r="AI601" s="187"/>
      <c r="AJ601" s="630"/>
      <c r="AK601" s="630"/>
      <c r="AL601" s="595"/>
      <c r="AM601" s="595"/>
      <c r="AN601" s="595"/>
      <c r="AO601" s="595"/>
      <c r="AP601" s="595"/>
      <c r="AQ601" s="595"/>
      <c r="AR601" s="595"/>
      <c r="AS601" s="595"/>
      <c r="AT601" s="595"/>
      <c r="AU601" s="595"/>
      <c r="AV601" s="595"/>
      <c r="AW601" s="595"/>
      <c r="AX601" s="595"/>
      <c r="AY601" s="595"/>
      <c r="AZ601" s="595"/>
      <c r="BA601" s="595"/>
      <c r="BB601" s="595"/>
      <c r="BC601" s="595"/>
      <c r="BD601" s="595"/>
      <c r="BE601" s="595"/>
      <c r="BF601" s="595"/>
      <c r="BG601" s="595"/>
      <c r="BH601" s="595"/>
      <c r="BI601" s="651"/>
      <c r="BJ601" s="651"/>
      <c r="BK601" s="651"/>
      <c r="BL601" s="651"/>
      <c r="BM601" s="651"/>
      <c r="BN601" s="651"/>
      <c r="BO601" s="651"/>
      <c r="BP601" s="651"/>
      <c r="BQ601" s="651"/>
      <c r="BR601" s="651"/>
      <c r="BS601" s="651"/>
      <c r="BT601" s="651"/>
    </row>
    <row r="602">
      <c r="A602" s="631"/>
      <c r="B602" s="154"/>
      <c r="C602" s="758"/>
      <c r="D602" s="701"/>
      <c r="E602" s="687"/>
      <c r="F602" s="699"/>
      <c r="G602" s="701"/>
      <c r="H602" s="700"/>
      <c r="I602" s="712"/>
      <c r="J602" s="701"/>
      <c r="K602" s="701"/>
      <c r="L602" s="712"/>
      <c r="M602" s="704"/>
      <c r="N602" s="151" t="str">
        <f t="shared" si="444"/>
        <v/>
      </c>
      <c r="O602" s="712"/>
      <c r="P602" s="700"/>
      <c r="Q602" s="712"/>
      <c r="R602" s="681" t="str">
        <f>IFERROR(
  IF(B602="", "", VLOOKUP(B602, Data!$B$2:$K$905, 9, FALSE)),
  ""
)</f>
        <v/>
      </c>
      <c r="S602" s="691"/>
      <c r="T602" s="690"/>
      <c r="U602" s="681" t="str">
        <f>IFERROR(
  IF(B602="", "", VLOOKUP(B602, Data!$B$2:$K$905, 10, FALSE)),
  ""
)
</f>
        <v/>
      </c>
      <c r="V602" s="691"/>
      <c r="W602" s="713"/>
      <c r="X602" s="692"/>
      <c r="Y602" s="595"/>
      <c r="Z602" s="595"/>
      <c r="AA602" s="595"/>
      <c r="AB602" s="354">
        <f t="shared" si="443"/>
        <v>0</v>
      </c>
      <c r="AC602" s="181"/>
      <c r="AD602" s="625"/>
      <c r="AE602" s="626"/>
      <c r="AF602" s="696"/>
      <c r="AG602" s="697"/>
      <c r="AH602" s="629"/>
      <c r="AI602" s="187"/>
      <c r="AJ602" s="630"/>
      <c r="AK602" s="630"/>
      <c r="AL602" s="595"/>
      <c r="AM602" s="595"/>
      <c r="AN602" s="595"/>
      <c r="AO602" s="595"/>
      <c r="AP602" s="595"/>
      <c r="AQ602" s="595"/>
      <c r="AR602" s="595"/>
      <c r="AS602" s="595"/>
      <c r="AT602" s="595"/>
      <c r="AU602" s="595"/>
      <c r="AV602" s="595"/>
      <c r="AW602" s="595"/>
      <c r="AX602" s="595"/>
      <c r="AY602" s="595"/>
      <c r="AZ602" s="595"/>
      <c r="BA602" s="595"/>
      <c r="BB602" s="595"/>
      <c r="BC602" s="595"/>
      <c r="BD602" s="595"/>
      <c r="BE602" s="595"/>
      <c r="BF602" s="595"/>
      <c r="BG602" s="595"/>
      <c r="BH602" s="595"/>
      <c r="BI602" s="651"/>
      <c r="BJ602" s="651"/>
      <c r="BK602" s="651"/>
      <c r="BL602" s="651"/>
      <c r="BM602" s="651"/>
      <c r="BN602" s="651"/>
      <c r="BO602" s="651"/>
      <c r="BP602" s="651"/>
      <c r="BQ602" s="651"/>
      <c r="BR602" s="651"/>
      <c r="BS602" s="651"/>
      <c r="BT602" s="651"/>
    </row>
    <row r="603">
      <c r="A603" s="631">
        <v>1.0</v>
      </c>
      <c r="B603" s="632" t="s">
        <v>423</v>
      </c>
      <c r="C603" s="251" t="s">
        <v>571</v>
      </c>
      <c r="D603" s="633"/>
      <c r="E603" s="634"/>
      <c r="F603" s="635"/>
      <c r="G603" s="636"/>
      <c r="H603" s="633"/>
      <c r="I603" s="637"/>
      <c r="J603" s="633"/>
      <c r="K603" s="633"/>
      <c r="L603" s="637"/>
      <c r="M603" s="637"/>
      <c r="N603" s="639"/>
      <c r="O603" s="637"/>
      <c r="P603" s="633"/>
      <c r="Q603" s="640"/>
      <c r="R603" s="136" t="str">
        <f>IFERROR(
  IF(B603="", "", VLOOKUP(B603, Data!$B$2:$K$905, 9, FALSE)),
  ""
)</f>
        <v/>
      </c>
      <c r="S603" s="642"/>
      <c r="T603" s="640"/>
      <c r="U603" s="136" t="str">
        <f>IFERROR(
  IF(B603="", "", VLOOKUP(B603, Data!$B$2:$K$905, 10, FALSE)),
  ""
)
</f>
        <v/>
      </c>
      <c r="V603" s="642"/>
      <c r="W603" s="643"/>
      <c r="X603" s="762"/>
      <c r="Y603" s="649"/>
      <c r="Z603" s="649"/>
      <c r="AA603" s="649"/>
      <c r="AB603" s="649"/>
      <c r="AC603" s="602"/>
      <c r="AD603" s="644"/>
      <c r="AE603" s="645"/>
      <c r="AF603" s="646"/>
      <c r="AG603" s="763"/>
      <c r="AH603" s="648"/>
      <c r="AI603" s="649"/>
      <c r="AJ603" s="650"/>
      <c r="AK603" s="650"/>
      <c r="AL603" s="595"/>
      <c r="AM603" s="595"/>
      <c r="AN603" s="595"/>
      <c r="AO603" s="595"/>
      <c r="AP603" s="595"/>
      <c r="AQ603" s="595"/>
      <c r="AR603" s="595"/>
      <c r="AS603" s="595"/>
      <c r="AT603" s="595"/>
      <c r="AU603" s="595"/>
      <c r="AV603" s="595"/>
      <c r="AW603" s="595"/>
      <c r="AX603" s="595"/>
      <c r="AY603" s="595"/>
      <c r="AZ603" s="595"/>
      <c r="BA603" s="595"/>
      <c r="BB603" s="595"/>
      <c r="BC603" s="595"/>
      <c r="BD603" s="595"/>
      <c r="BE603" s="595"/>
      <c r="BF603" s="595"/>
      <c r="BG603" s="595"/>
      <c r="BH603" s="595"/>
      <c r="BI603" s="651"/>
      <c r="BJ603" s="651"/>
      <c r="BK603" s="651"/>
      <c r="BL603" s="651"/>
      <c r="BM603" s="651"/>
      <c r="BN603" s="651"/>
      <c r="BO603" s="651"/>
      <c r="BP603" s="651"/>
      <c r="BQ603" s="651"/>
      <c r="BR603" s="651"/>
      <c r="BS603" s="651"/>
      <c r="BT603" s="651"/>
    </row>
    <row r="604">
      <c r="A604" s="631">
        <v>1.0</v>
      </c>
      <c r="B604" s="764" t="s">
        <v>425</v>
      </c>
      <c r="C604" s="167" t="s">
        <v>543</v>
      </c>
      <c r="D604" s="653"/>
      <c r="E604" s="654"/>
      <c r="F604" s="655"/>
      <c r="G604" s="233"/>
      <c r="H604" s="656"/>
      <c r="I604" s="656"/>
      <c r="J604" s="656"/>
      <c r="K604" s="656"/>
      <c r="L604" s="658"/>
      <c r="M604" s="658"/>
      <c r="N604" s="659"/>
      <c r="O604" s="658"/>
      <c r="P604" s="656"/>
      <c r="Q604" s="658"/>
      <c r="R604" s="136" t="str">
        <f>IFERROR(
  IF(B604="", "", VLOOKUP(B604, Data!$B$2:$K$905, 9, FALSE)),
  ""
)</f>
        <v/>
      </c>
      <c r="S604" s="662"/>
      <c r="T604" s="661"/>
      <c r="U604" s="136" t="str">
        <f>IFERROR(
  IF(B604="", "", VLOOKUP(B604, Data!$B$2:$K$905, 10, FALSE)),
  ""
)
</f>
        <v/>
      </c>
      <c r="V604" s="662"/>
      <c r="W604" s="663"/>
      <c r="X604" s="664"/>
      <c r="Y604" s="665"/>
      <c r="Z604" s="665"/>
      <c r="AA604" s="665"/>
      <c r="AB604" s="665"/>
      <c r="AC604" s="667"/>
      <c r="AD604" s="668"/>
      <c r="AE604" s="669"/>
      <c r="AF604" s="670"/>
      <c r="AG604" s="715"/>
      <c r="AH604" s="672"/>
      <c r="AI604" s="665"/>
      <c r="AJ604" s="673"/>
      <c r="AK604" s="673"/>
      <c r="AL604" s="595"/>
      <c r="AM604" s="595"/>
      <c r="AN604" s="595"/>
      <c r="AO604" s="595"/>
      <c r="AP604" s="595"/>
      <c r="AQ604" s="595"/>
      <c r="AR604" s="595"/>
      <c r="AS604" s="595"/>
      <c r="AT604" s="595"/>
      <c r="AU604" s="595"/>
      <c r="AV604" s="595"/>
      <c r="AW604" s="595"/>
      <c r="AX604" s="595"/>
      <c r="AY604" s="595"/>
      <c r="AZ604" s="595"/>
      <c r="BA604" s="595"/>
      <c r="BB604" s="595"/>
      <c r="BC604" s="595"/>
      <c r="BD604" s="595"/>
      <c r="BE604" s="595"/>
      <c r="BF604" s="595"/>
      <c r="BG604" s="595"/>
      <c r="BH604" s="595"/>
      <c r="BI604" s="651"/>
      <c r="BJ604" s="651"/>
      <c r="BK604" s="651"/>
      <c r="BL604" s="651"/>
      <c r="BM604" s="651"/>
      <c r="BN604" s="651"/>
      <c r="BO604" s="651"/>
      <c r="BP604" s="651"/>
      <c r="BQ604" s="651"/>
      <c r="BR604" s="651"/>
      <c r="BS604" s="651"/>
      <c r="BT604" s="651"/>
    </row>
    <row r="605">
      <c r="A605" s="631">
        <v>1.0</v>
      </c>
      <c r="B605" s="727"/>
      <c r="C605" s="103" t="s">
        <v>572</v>
      </c>
      <c r="D605" s="675"/>
      <c r="E605" s="676"/>
      <c r="F605" s="677"/>
      <c r="G605" s="157"/>
      <c r="H605" s="678"/>
      <c r="I605" s="678"/>
      <c r="J605" s="678"/>
      <c r="K605" s="678"/>
      <c r="L605" s="106" t="str">
        <f>Q605</f>
        <v>#REF!</v>
      </c>
      <c r="M605" s="679"/>
      <c r="N605" s="680"/>
      <c r="O605" s="679"/>
      <c r="P605" s="678"/>
      <c r="Q605" s="106" t="str">
        <f>Q606</f>
        <v>#REF!</v>
      </c>
      <c r="R605" s="681" t="str">
        <f>IFERROR(
  IF(B605="", "", VLOOKUP(B605, Data!$B$2:$K$905, 9, FALSE)),
  ""
)</f>
        <v/>
      </c>
      <c r="S605" s="682">
        <f>IFERROR(T605/Q605, 0)</f>
        <v>0</v>
      </c>
      <c r="T605" s="109" t="str">
        <f>SUM(S606:S611)</f>
        <v>#REF!</v>
      </c>
      <c r="U605" s="136" t="str">
        <f>IFERROR(
  IF(B605="", "", VLOOKUP(B605, Data!$B$2:$K$905, 10, FALSE)),
  ""
)
</f>
        <v/>
      </c>
      <c r="V605" s="109" t="str">
        <f>iferror(W605/Q605,"")</f>
        <v/>
      </c>
      <c r="W605" s="110" t="str">
        <f>SUM(W606:W611)</f>
        <v>#REF!</v>
      </c>
      <c r="X605" s="111" t="str">
        <f>W605/$AC$758/$W$765/$X$755</f>
        <v>#REF!</v>
      </c>
      <c r="Y605" s="112" t="str">
        <f>(T605+W605)=(SUM(AB606:AB611))</f>
        <v>#REF!</v>
      </c>
      <c r="Z605" s="113" t="str">
        <f>(T605+W605)-(SUM(AB606:AB611))</f>
        <v>#REF!</v>
      </c>
      <c r="AA605" s="595"/>
      <c r="AB605" s="595"/>
      <c r="AC605" s="181"/>
      <c r="AD605" s="114" t="str">
        <f>W605+T605</f>
        <v>#REF!</v>
      </c>
      <c r="AE605" s="115" t="str">
        <f>AD605</f>
        <v>#REF!</v>
      </c>
      <c r="AF605" s="116" t="str">
        <f>AE605/$AE$733</f>
        <v>#REF!</v>
      </c>
      <c r="AG605" s="683" t="str">
        <f>AF605*$AG$740</f>
        <v>#REF!</v>
      </c>
      <c r="AH605" s="118" t="str">
        <f>AF605*$AG$743</f>
        <v>#REF!</v>
      </c>
      <c r="AI605" s="187"/>
      <c r="AJ605" s="119" t="str">
        <f>ROUND(AK605/L605,2)</f>
        <v>#REF!</v>
      </c>
      <c r="AK605" s="119" t="str">
        <f>ROUND(AH605+AG605+AD605,2)</f>
        <v>#REF!</v>
      </c>
      <c r="AL605" s="595"/>
      <c r="AM605" s="595"/>
      <c r="AN605" s="595"/>
      <c r="AO605" s="595"/>
      <c r="AP605" s="595"/>
      <c r="AQ605" s="595"/>
      <c r="AR605" s="595"/>
      <c r="AS605" s="595"/>
      <c r="AT605" s="595"/>
      <c r="AU605" s="595"/>
      <c r="AV605" s="595"/>
      <c r="AW605" s="595"/>
      <c r="AX605" s="595"/>
      <c r="AY605" s="595"/>
      <c r="AZ605" s="595"/>
      <c r="BA605" s="595"/>
      <c r="BB605" s="595"/>
      <c r="BC605" s="595"/>
      <c r="BD605" s="595"/>
      <c r="BE605" s="595"/>
      <c r="BF605" s="595"/>
      <c r="BG605" s="595"/>
      <c r="BH605" s="595"/>
      <c r="BI605" s="651"/>
      <c r="BJ605" s="651"/>
      <c r="BK605" s="651"/>
      <c r="BL605" s="651"/>
      <c r="BM605" s="651"/>
      <c r="BN605" s="651"/>
      <c r="BO605" s="651"/>
      <c r="BP605" s="651"/>
      <c r="BQ605" s="651"/>
      <c r="BR605" s="651"/>
      <c r="BS605" s="651"/>
      <c r="BT605" s="651"/>
    </row>
    <row r="606">
      <c r="A606" s="631"/>
      <c r="B606" s="766" t="s">
        <v>545</v>
      </c>
      <c r="C606" s="123" t="s">
        <v>573</v>
      </c>
      <c r="D606" s="148" t="s">
        <v>149</v>
      </c>
      <c r="E606" s="687" t="str">
        <f>IFERROR(__xludf.DUMMYFUNCTION("IF($B$15:$B1411="""","""",
  VLOOKUP(
    $B$15:$B1411,
    QUERY(
      IMPORTRANGE(""1Ag27m9YF5mMfJh2E6NipJDFvPLlDI1p-s_1XEnzMHcc"",""Merge!F2:R""),
      ""select Col1, Col11"",
      0
    ),
    2,
    FALSE
  )
)
"),"#REF!")</f>
        <v>#REF!</v>
      </c>
      <c r="F606" s="699"/>
      <c r="G606" s="689" t="s">
        <v>574</v>
      </c>
      <c r="H606" s="128" t="str">
        <f>IFERROR(__xludf.DUMMYFUNCTION("IFERROR(REGEXEXTRACT(C606, ""(\d*\.\d+)mm""), """")"),"0.55")</f>
        <v>0.55</v>
      </c>
      <c r="I606" s="701"/>
      <c r="J606" s="126" t="s">
        <v>14</v>
      </c>
      <c r="K606" s="126" t="str">
        <f>IFERROR(
  IF(B606="", "", VLOOKUP(B606, Data!$B$2:$K$905, 7, FALSE)),
  ""
)</f>
        <v/>
      </c>
      <c r="L606" s="131">
        <f>1216.32+
283.52+
291.32</f>
        <v>1791.16</v>
      </c>
      <c r="M606" s="135" t="str">
        <f>L606*E606</f>
        <v>#REF!</v>
      </c>
      <c r="N606" s="151">
        <f>IFERROR(__xludf.DUMMYFUNCTION("IF(B606="""", """", IFERROR(1 / COS(RADIANS(REGEXEXTRACT(F606,""(\d+)""))), 1))"),1.0)</f>
        <v>1</v>
      </c>
      <c r="O606" s="169">
        <v>1.0</v>
      </c>
      <c r="P606" s="134">
        <v>1.0</v>
      </c>
      <c r="Q606" s="135" t="str">
        <f t="shared" ref="Q606:Q610" si="451">M606*N606*O606*P606</f>
        <v>#REF!</v>
      </c>
      <c r="R606" s="136" t="str">
        <f>IFERROR(
  IF(B606="", "", VLOOKUP(B606, Data!$B$2:$K$905, 9, FALSE)),
  ""
)</f>
        <v/>
      </c>
      <c r="S606" s="152" t="str">
        <f t="shared" ref="S606:S610" si="452">R606*Q606</f>
        <v>#REF!</v>
      </c>
      <c r="T606" s="690"/>
      <c r="U606" s="136" t="str">
        <f>IFERROR(
  IF(B606="", "", VLOOKUP(B606, Data!$B$2:$K$905, 10, FALSE)),
  ""
)
</f>
        <v/>
      </c>
      <c r="V606" s="691"/>
      <c r="W606" s="140" t="str">
        <f t="shared" ref="W606:W610" si="453">U606*Q606</f>
        <v>#REF!</v>
      </c>
      <c r="X606" s="692"/>
      <c r="Y606" s="693"/>
      <c r="Z606" s="694"/>
      <c r="AA606" s="695"/>
      <c r="AB606" s="354" t="str">
        <f t="shared" ref="AB606:AB610" si="454">W606+S606</f>
        <v>#REF!</v>
      </c>
      <c r="AC606" s="181"/>
      <c r="AD606" s="625"/>
      <c r="AE606" s="626"/>
      <c r="AF606" s="696"/>
      <c r="AG606" s="697"/>
      <c r="AH606" s="629"/>
      <c r="AI606" s="187"/>
      <c r="AJ606" s="630"/>
      <c r="AK606" s="630"/>
      <c r="AL606" s="595"/>
      <c r="AM606" s="595"/>
      <c r="AN606" s="595"/>
      <c r="AO606" s="595"/>
      <c r="AP606" s="595"/>
      <c r="AQ606" s="595"/>
      <c r="AR606" s="595"/>
      <c r="AS606" s="595"/>
      <c r="AT606" s="595"/>
      <c r="AU606" s="595"/>
      <c r="AV606" s="595"/>
      <c r="AW606" s="595"/>
      <c r="AX606" s="595"/>
      <c r="AY606" s="595"/>
      <c r="AZ606" s="595"/>
      <c r="BA606" s="595"/>
      <c r="BB606" s="595"/>
      <c r="BC606" s="595"/>
      <c r="BD606" s="595"/>
      <c r="BE606" s="595"/>
      <c r="BF606" s="595"/>
      <c r="BG606" s="595"/>
      <c r="BH606" s="595"/>
      <c r="BI606" s="651"/>
      <c r="BJ606" s="651"/>
      <c r="BK606" s="651"/>
      <c r="BL606" s="651"/>
      <c r="BM606" s="651"/>
      <c r="BN606" s="651"/>
      <c r="BO606" s="651"/>
      <c r="BP606" s="651"/>
      <c r="BQ606" s="651"/>
      <c r="BR606" s="651"/>
      <c r="BS606" s="651"/>
      <c r="BT606" s="651"/>
    </row>
    <row r="607">
      <c r="A607" s="631"/>
      <c r="B607" s="765" t="s">
        <v>430</v>
      </c>
      <c r="C607" s="123" t="s">
        <v>431</v>
      </c>
      <c r="D607" s="148" t="s">
        <v>548</v>
      </c>
      <c r="E607" s="755">
        <v>1.2</v>
      </c>
      <c r="F607" s="699"/>
      <c r="G607" s="225"/>
      <c r="H607" s="700" t="str">
        <f>IFERROR(__xludf.DUMMYFUNCTION("IFERROR(REGEXEXTRACT(C607, ""(\d*\.\d+)mm""), """")"),"")</f>
        <v/>
      </c>
      <c r="I607" s="701"/>
      <c r="J607" s="126" t="s">
        <v>87</v>
      </c>
      <c r="K607" s="126" t="str">
        <f>IFERROR(
  IF(B607="", "", VLOOKUP(B607, Data!$B$2:$K$905, 7, FALSE)),
  ""
)</f>
        <v/>
      </c>
      <c r="L607" s="704"/>
      <c r="M607" s="150">
        <f>roundup(L606/E607,0)+1</f>
        <v>1494</v>
      </c>
      <c r="N607" s="151">
        <f t="shared" ref="N607:N610" si="455">N606</f>
        <v>1</v>
      </c>
      <c r="O607" s="169">
        <v>1.0</v>
      </c>
      <c r="P607" s="134">
        <v>1.0</v>
      </c>
      <c r="Q607" s="135">
        <f t="shared" si="451"/>
        <v>1494</v>
      </c>
      <c r="R607" s="136" t="str">
        <f>IFERROR(
  IF(B607="", "", VLOOKUP(B607, Data!$B$2:$K$905, 9, FALSE)),
  ""
)</f>
        <v/>
      </c>
      <c r="S607" s="152">
        <f t="shared" si="452"/>
        <v>0</v>
      </c>
      <c r="T607" s="690"/>
      <c r="U607" s="136" t="str">
        <f>IFERROR(
  IF(B607="", "", VLOOKUP(B607, Data!$B$2:$K$905, 10, FALSE)),
  ""
)
</f>
        <v/>
      </c>
      <c r="V607" s="691"/>
      <c r="W607" s="140">
        <f t="shared" si="453"/>
        <v>0</v>
      </c>
      <c r="X607" s="692"/>
      <c r="Y607" s="693"/>
      <c r="Z607" s="694"/>
      <c r="AA607" s="695"/>
      <c r="AB607" s="354">
        <f t="shared" si="454"/>
        <v>0</v>
      </c>
      <c r="AC607" s="181"/>
      <c r="AD607" s="625"/>
      <c r="AE607" s="626"/>
      <c r="AF607" s="696"/>
      <c r="AG607" s="697"/>
      <c r="AH607" s="629"/>
      <c r="AI607" s="187"/>
      <c r="AJ607" s="630"/>
      <c r="AK607" s="630"/>
      <c r="AL607" s="595"/>
      <c r="AM607" s="595"/>
      <c r="AN607" s="595"/>
      <c r="AO607" s="595"/>
      <c r="AP607" s="595"/>
      <c r="AQ607" s="595"/>
      <c r="AR607" s="595"/>
      <c r="AS607" s="595"/>
      <c r="AT607" s="595"/>
      <c r="AU607" s="595"/>
      <c r="AV607" s="595"/>
      <c r="AW607" s="595"/>
      <c r="AX607" s="595"/>
      <c r="AY607" s="595"/>
      <c r="AZ607" s="595"/>
      <c r="BA607" s="595"/>
      <c r="BB607" s="595"/>
      <c r="BC607" s="595"/>
      <c r="BD607" s="595"/>
      <c r="BE607" s="595"/>
      <c r="BF607" s="595"/>
      <c r="BG607" s="595"/>
      <c r="BH607" s="595"/>
      <c r="BI607" s="651"/>
      <c r="BJ607" s="651"/>
      <c r="BK607" s="651"/>
      <c r="BL607" s="651"/>
      <c r="BM607" s="651"/>
      <c r="BN607" s="651"/>
      <c r="BO607" s="651"/>
      <c r="BP607" s="651"/>
      <c r="BQ607" s="651"/>
      <c r="BR607" s="651"/>
      <c r="BS607" s="651"/>
      <c r="BT607" s="651"/>
    </row>
    <row r="608">
      <c r="A608" s="631"/>
      <c r="B608" s="765" t="s">
        <v>433</v>
      </c>
      <c r="C608" s="767" t="s">
        <v>434</v>
      </c>
      <c r="D608" s="148" t="s">
        <v>153</v>
      </c>
      <c r="E608" s="687"/>
      <c r="F608" s="699"/>
      <c r="G608" s="225"/>
      <c r="H608" s="700"/>
      <c r="I608" s="701"/>
      <c r="J608" s="126" t="s">
        <v>87</v>
      </c>
      <c r="K608" s="126" t="str">
        <f>IFERROR(
  IF(B608="", "", VLOOKUP(B608, Data!$B$2:$K$905, 7, FALSE)),
  ""
)</f>
        <v/>
      </c>
      <c r="L608" s="704"/>
      <c r="M608" s="150">
        <f>M607*2</f>
        <v>2988</v>
      </c>
      <c r="N608" s="151">
        <f t="shared" si="455"/>
        <v>1</v>
      </c>
      <c r="O608" s="169">
        <v>1.0</v>
      </c>
      <c r="P608" s="134">
        <v>1.0</v>
      </c>
      <c r="Q608" s="135">
        <f t="shared" si="451"/>
        <v>2988</v>
      </c>
      <c r="R608" s="136" t="str">
        <f>IFERROR(
  IF(B608="", "", VLOOKUP(B608, Data!$B$2:$K$905, 9, FALSE)),
  ""
)</f>
        <v/>
      </c>
      <c r="S608" s="152">
        <f t="shared" si="452"/>
        <v>0</v>
      </c>
      <c r="T608" s="690"/>
      <c r="U608" s="136" t="str">
        <f>IFERROR(
  IF(B608="", "", VLOOKUP(B608, Data!$B$2:$K$905, 10, FALSE)),
  ""
)
</f>
        <v/>
      </c>
      <c r="V608" s="691"/>
      <c r="W608" s="140">
        <f t="shared" si="453"/>
        <v>0</v>
      </c>
      <c r="X608" s="692"/>
      <c r="Y608" s="693"/>
      <c r="Z608" s="694"/>
      <c r="AA608" s="695"/>
      <c r="AB608" s="354">
        <f t="shared" si="454"/>
        <v>0</v>
      </c>
      <c r="AC608" s="181"/>
      <c r="AD608" s="625"/>
      <c r="AE608" s="626"/>
      <c r="AF608" s="696"/>
      <c r="AG608" s="697"/>
      <c r="AH608" s="629"/>
      <c r="AI608" s="187"/>
      <c r="AJ608" s="630"/>
      <c r="AK608" s="630"/>
      <c r="AL608" s="595"/>
      <c r="AM608" s="595"/>
      <c r="AN608" s="595"/>
      <c r="AO608" s="595"/>
      <c r="AP608" s="595"/>
      <c r="AQ608" s="595"/>
      <c r="AR608" s="595"/>
      <c r="AS608" s="595"/>
      <c r="AT608" s="595"/>
      <c r="AU608" s="595"/>
      <c r="AV608" s="595"/>
      <c r="AW608" s="595"/>
      <c r="AX608" s="595"/>
      <c r="AY608" s="595"/>
      <c r="AZ608" s="595"/>
      <c r="BA608" s="595"/>
      <c r="BB608" s="595"/>
      <c r="BC608" s="595"/>
      <c r="BD608" s="595"/>
      <c r="BE608" s="595"/>
      <c r="BF608" s="595"/>
      <c r="BG608" s="595"/>
      <c r="BH608" s="595"/>
      <c r="BI608" s="651"/>
      <c r="BJ608" s="651"/>
      <c r="BK608" s="651"/>
      <c r="BL608" s="651"/>
      <c r="BM608" s="651"/>
      <c r="BN608" s="651"/>
      <c r="BO608" s="651"/>
      <c r="BP608" s="651"/>
      <c r="BQ608" s="651"/>
      <c r="BR608" s="651"/>
      <c r="BS608" s="651"/>
      <c r="BT608" s="651"/>
    </row>
    <row r="609">
      <c r="A609" s="631"/>
      <c r="B609" s="154" t="str">
        <f>IFERROR(__xludf.DUMMYFUNCTION("IFERROR(
  IF(C609="""","""",
    IF(OR(REGEXMATCH(D609,""(?i)-Flashing""), REGEXMATCH(D609,""(?i)-EavesGut""), REGEXMATCH(D609,""(?i)Valley"")),
        ""DR"" &amp;
        TEXT(
            ROUNDUP(
                MIN(
                    VALUE(MID(C609, "&amp;"FIND(""("",C609)+1, FIND(""/"",C609)-FIND(""("",C609)-1)),
                    1200
                ) / 50, 0
            ) * 50, ""0""
        ) &amp;
        MID(C609, FIND(""/"",C609)+1, FIND("")"",C609)-FIND(""/"",C609)-1) &amp;
        TEXT(H609*100,""0"") &amp;"&amp;"
        I609,
    IF(AND(D609=""Roof Sheet"", REGEXMATCH(C609,""(?i)KS\d{4}[A-Z]{2}"")),
       REGEXEXTRACT(C609,""(?i)KS\d{4}[A-Z]{2}""),
    IF(AND(REGEXMATCH(D609,""(?i)-DP""), REGEXMATCH(C609,""(?i)Downpipe"")),
       ""dp"" &amp; REGEXEXTRACT(C609,""("&amp;"\d+)"") &amp; ""mm"",
    IF(AND(REGEXMATCH(D609,""(?i)Bracket""), REGEXMATCH(C609,""(?i)Bracket"")),
       ""Brkt"" &amp; REGEXEXTRACT(C609,""(\d+)"") &amp; ""mm"",
    IF(AND(REGEXMATCH(D609,""(?i)-OP""), REGEXMATCH(C609,""(?i)pops"")),
       ""op"" &amp; REGEXEXTRAC"&amp;"T(C609,""(\d+)"") &amp; ""mm"",
    IF(OR(D609=""R-FFTop"", D609=""R-FFBottom"", D609=""R-FFSide""),
        IF(REGEXMATCH(C609,""(?i)Profiled.*Top|Top.*Profiled""),""pfft"",
        IF(REGEXMATCH(C609,""(?i)Profiled.*Bottom|Bottom.*Profiled""),""pffb"",
    "&amp;"    IF(REGEXMATCH(C609,""(?i)Square""),""sff"",""""))),
    IF(OR(D609=""W-FFTop"", D609=""W-FFBottom"", D609=""W-FFSide""),
        IF(REGEXMATCH(C609,""(?i)Profiled.*Top|Top.*Profiled""),""pfft"",
        IF(REGEXMATCH(C609,""(?i)Profiled.*Bottom|Bottom"&amp;".*Profiled""),""pffb"",
        IF(REGEXMATCH(C609,""(?i)Square""),""sff"",""""))),
    IF(REGEXMATCH(D609,""(?i)-Rivets""),""Rvt"",
    IF(REGEXMATCH(D609,""(?i)Silicone""),""300ml"",
    IF(REGEXMATCH(D609,""(?i)R-Butyl""),""300ml"",
    IF(REGEXMATCH(D"&amp;"609,""(?i)Fix""),""GenFix"",
    IF(AND(REGEXMATCH(C609,""(?i)Timber""), REGEXMATCH(D609,""(?i)Timber"")),""tp"",
    IF(AND(REGEXMATCH(C609,""(?i)Vent G1275""), REGEXMATCH(D609,""(?i)Comb FIller"")),""CFV1275"",
    IF(REGEXMATCH(C609,""(?i)DPC""),""dpc"&amp;""",
    IF(REGEXMATCH(C609,""(?i)Concealed Clips""),""ConClips"",
    IF(REGEXMATCH(D609,""(?i)-Takeoff ea""),""Takeoff ea"",
    IF(REGEXMATCH(D609,""(?i)-Takeoff LM""),""Takeoff LM"",
    IF(REGEXMATCH(D609,""(?i)-Takeoff m2""),""Takeoff m2"",
    IF(D6"&amp;"09=""R-TU/TD"",""TU/TD"",
    IF(D609=""W-TU/TD"",""TU/TD"","""")))))))))))))))))
  )))))"),"pfft")</f>
        <v>pfft</v>
      </c>
      <c r="C609" s="767" t="s">
        <v>104</v>
      </c>
      <c r="D609" s="148" t="s">
        <v>335</v>
      </c>
      <c r="E609" s="687"/>
      <c r="F609" s="699"/>
      <c r="G609" s="225"/>
      <c r="H609" s="700"/>
      <c r="I609" s="701"/>
      <c r="J609" s="126" t="s">
        <v>87</v>
      </c>
      <c r="K609" s="126" t="str">
        <f>IFERROR(
  IF(B609="", "", VLOOKUP(B609, Data!$B$2:$K$905, 7, FALSE)),
  ""
)</f>
        <v/>
      </c>
      <c r="L609" s="704"/>
      <c r="M609" s="131">
        <v>205.15</v>
      </c>
      <c r="N609" s="151">
        <f t="shared" si="455"/>
        <v>1</v>
      </c>
      <c r="O609" s="169">
        <v>1.0</v>
      </c>
      <c r="P609" s="134">
        <v>1.0</v>
      </c>
      <c r="Q609" s="135">
        <f t="shared" si="451"/>
        <v>205.15</v>
      </c>
      <c r="R609" s="136" t="str">
        <f>IFERROR(
  IF(B609="", "", VLOOKUP(B609, Data!$B$2:$K$905, 9, FALSE)),
  ""
)</f>
        <v/>
      </c>
      <c r="S609" s="152">
        <f t="shared" si="452"/>
        <v>0</v>
      </c>
      <c r="T609" s="690"/>
      <c r="U609" s="136" t="str">
        <f>IFERROR(
  IF(B609="", "", VLOOKUP(B609, Data!$B$2:$K$905, 10, FALSE)),
  ""
)
</f>
        <v/>
      </c>
      <c r="V609" s="691"/>
      <c r="W609" s="140">
        <f t="shared" si="453"/>
        <v>0</v>
      </c>
      <c r="X609" s="692"/>
      <c r="Y609" s="693"/>
      <c r="Z609" s="694"/>
      <c r="AA609" s="695"/>
      <c r="AB609" s="354">
        <f t="shared" si="454"/>
        <v>0</v>
      </c>
      <c r="AC609" s="181"/>
      <c r="AD609" s="705"/>
      <c r="AE609" s="706"/>
      <c r="AF609" s="707"/>
      <c r="AG609" s="708"/>
      <c r="AH609" s="709"/>
      <c r="AI609" s="187"/>
      <c r="AJ609" s="710"/>
      <c r="AK609" s="710"/>
      <c r="AL609" s="595"/>
      <c r="AM609" s="595"/>
      <c r="AN609" s="595"/>
      <c r="AO609" s="595"/>
      <c r="AP609" s="595"/>
      <c r="AQ609" s="595"/>
      <c r="AR609" s="595"/>
      <c r="AS609" s="595"/>
      <c r="AT609" s="595"/>
      <c r="AU609" s="595"/>
      <c r="AV609" s="595"/>
      <c r="AW609" s="595"/>
      <c r="AX609" s="595"/>
      <c r="AY609" s="595"/>
      <c r="AZ609" s="595"/>
      <c r="BA609" s="595"/>
      <c r="BB609" s="595"/>
      <c r="BC609" s="595"/>
      <c r="BD609" s="595"/>
      <c r="BE609" s="595"/>
      <c r="BF609" s="595"/>
      <c r="BG609" s="595"/>
      <c r="BH609" s="595"/>
      <c r="BI609" s="651"/>
      <c r="BJ609" s="651"/>
      <c r="BK609" s="651"/>
      <c r="BL609" s="651"/>
      <c r="BM609" s="651"/>
      <c r="BN609" s="651"/>
      <c r="BO609" s="651"/>
      <c r="BP609" s="651"/>
      <c r="BQ609" s="651"/>
      <c r="BR609" s="651"/>
      <c r="BS609" s="651"/>
      <c r="BT609" s="651"/>
    </row>
    <row r="610">
      <c r="A610" s="631"/>
      <c r="B610" s="154" t="str">
        <f>IFERROR(__xludf.DUMMYFUNCTION("IFERROR(
  IF(C610="""","""",
    IF(OR(REGEXMATCH(D610,""(?i)-Flashing""), REGEXMATCH(D610,""(?i)-EavesGut""), REGEXMATCH(D610,""(?i)Valley"")),
        ""DR"" &amp;
        TEXT(
            ROUNDUP(
                MIN(
                    VALUE(MID(C610, "&amp;"FIND(""("",C610)+1, FIND(""/"",C610)-FIND(""("",C610)-1)),
                    1200
                ) / 50, 0
            ) * 50, ""0""
        ) &amp;
        MID(C610, FIND(""/"",C610)+1, FIND("")"",C610)-FIND(""/"",C610)-1) &amp;
        TEXT(H610*100,""0"") &amp;"&amp;"
        I610,
    IF(AND(D610=""Roof Sheet"", REGEXMATCH(C610,""(?i)KS\d{4}[A-Z]{2}"")),
       REGEXEXTRACT(C610,""(?i)KS\d{4}[A-Z]{2}""),
    IF(AND(REGEXMATCH(D610,""(?i)-DP""), REGEXMATCH(C610,""(?i)Downpipe"")),
       ""dp"" &amp; REGEXEXTRACT(C610,""("&amp;"\d+)"") &amp; ""mm"",
    IF(AND(REGEXMATCH(D610,""(?i)Bracket""), REGEXMATCH(C610,""(?i)Bracket"")),
       ""Brkt"" &amp; REGEXEXTRACT(C610,""(\d+)"") &amp; ""mm"",
    IF(AND(REGEXMATCH(D610,""(?i)-OP""), REGEXMATCH(C610,""(?i)pops"")),
       ""op"" &amp; REGEXEXTRAC"&amp;"T(C610,""(\d+)"") &amp; ""mm"",
    IF(OR(D610=""R-FFTop"", D610=""R-FFBottom"", D610=""R-FFSide""),
        IF(REGEXMATCH(C610,""(?i)Profiled.*Top|Top.*Profiled""),""pfft"",
        IF(REGEXMATCH(C610,""(?i)Profiled.*Bottom|Bottom.*Profiled""),""pffb"",
    "&amp;"    IF(REGEXMATCH(C610,""(?i)Square""),""sff"",""""))),
    IF(OR(D610=""W-FFTop"", D610=""W-FFBottom"", D610=""W-FFSide""),
        IF(REGEXMATCH(C610,""(?i)Profiled.*Top|Top.*Profiled""),""pfft"",
        IF(REGEXMATCH(C610,""(?i)Profiled.*Bottom|Bottom"&amp;".*Profiled""),""pffb"",
        IF(REGEXMATCH(C610,""(?i)Square""),""sff"",""""))),
    IF(REGEXMATCH(D610,""(?i)-Rivets""),""Rvt"",
    IF(REGEXMATCH(D610,""(?i)Silicone""),""300ml"",
    IF(REGEXMATCH(D610,""(?i)R-Butyl""),""300ml"",
    IF(REGEXMATCH(D"&amp;"610,""(?i)Fix""),""GenFix"",
    IF(AND(REGEXMATCH(C610,""(?i)Timber""), REGEXMATCH(D610,""(?i)Timber"")),""tp"",
    IF(AND(REGEXMATCH(C610,""(?i)Vent G1275""), REGEXMATCH(D610,""(?i)Comb FIller"")),""CFV1275"",
    IF(REGEXMATCH(C610,""(?i)DPC""),""dpc"&amp;""",
    IF(REGEXMATCH(C610,""(?i)Concealed Clips""),""ConClips"",
    IF(REGEXMATCH(D610,""(?i)-Takeoff ea""),""Takeoff ea"",
    IF(REGEXMATCH(D610,""(?i)-Takeoff LM""),""Takeoff LM"",
    IF(REGEXMATCH(D610,""(?i)-Takeoff m2""),""Takeoff m2"",
    IF(D6"&amp;"10=""R-TU/TD"",""TU/TD"",
    IF(D610=""W-TU/TD"",""TU/TD"","""")))))))))))))))))
  )))))"),"pffb")</f>
        <v>pffb</v>
      </c>
      <c r="C610" s="767" t="s">
        <v>125</v>
      </c>
      <c r="D610" s="148" t="s">
        <v>338</v>
      </c>
      <c r="E610" s="687"/>
      <c r="F610" s="699"/>
      <c r="G610" s="225"/>
      <c r="H610" s="700"/>
      <c r="I610" s="701"/>
      <c r="J610" s="126" t="s">
        <v>87</v>
      </c>
      <c r="K610" s="126" t="str">
        <f>IFERROR(
  IF(B610="", "", VLOOKUP(B610, Data!$B$2:$K$905, 7, FALSE)),
  ""
)</f>
        <v/>
      </c>
      <c r="L610" s="704"/>
      <c r="M610" s="131">
        <v>205.15</v>
      </c>
      <c r="N610" s="151">
        <f t="shared" si="455"/>
        <v>1</v>
      </c>
      <c r="O610" s="169">
        <v>1.0</v>
      </c>
      <c r="P610" s="134">
        <v>1.0</v>
      </c>
      <c r="Q610" s="135">
        <f t="shared" si="451"/>
        <v>205.15</v>
      </c>
      <c r="R610" s="136" t="str">
        <f>IFERROR(
  IF(B610="", "", VLOOKUP(B610, Data!$B$2:$K$905, 9, FALSE)),
  ""
)</f>
        <v/>
      </c>
      <c r="S610" s="152">
        <f t="shared" si="452"/>
        <v>0</v>
      </c>
      <c r="T610" s="690"/>
      <c r="U610" s="136" t="str">
        <f>IFERROR(
  IF(B610="", "", VLOOKUP(B610, Data!$B$2:$K$905, 10, FALSE)),
  ""
)
</f>
        <v/>
      </c>
      <c r="V610" s="691"/>
      <c r="W610" s="140">
        <f t="shared" si="453"/>
        <v>0</v>
      </c>
      <c r="X610" s="692"/>
      <c r="Y610" s="693"/>
      <c r="Z610" s="694"/>
      <c r="AA610" s="695"/>
      <c r="AB610" s="354">
        <f t="shared" si="454"/>
        <v>0</v>
      </c>
      <c r="AC610" s="181"/>
      <c r="AD610" s="705"/>
      <c r="AE610" s="706"/>
      <c r="AF610" s="707"/>
      <c r="AG610" s="708"/>
      <c r="AH610" s="709"/>
      <c r="AI610" s="187"/>
      <c r="AJ610" s="710"/>
      <c r="AK610" s="710"/>
      <c r="AL610" s="595"/>
      <c r="AM610" s="595"/>
      <c r="AN610" s="595"/>
      <c r="AO610" s="595"/>
      <c r="AP610" s="595"/>
      <c r="AQ610" s="595"/>
      <c r="AR610" s="595"/>
      <c r="AS610" s="595"/>
      <c r="AT610" s="595"/>
      <c r="AU610" s="595"/>
      <c r="AV610" s="595"/>
      <c r="AW610" s="595"/>
      <c r="AX610" s="595"/>
      <c r="AY610" s="595"/>
      <c r="AZ610" s="595"/>
      <c r="BA610" s="595"/>
      <c r="BB610" s="595"/>
      <c r="BC610" s="595"/>
      <c r="BD610" s="595"/>
      <c r="BE610" s="595"/>
      <c r="BF610" s="595"/>
      <c r="BG610" s="595"/>
      <c r="BH610" s="595"/>
      <c r="BI610" s="651"/>
      <c r="BJ610" s="651"/>
      <c r="BK610" s="651"/>
      <c r="BL610" s="651"/>
      <c r="BM610" s="651"/>
      <c r="BN610" s="651"/>
      <c r="BO610" s="651"/>
      <c r="BP610" s="651"/>
      <c r="BQ610" s="651"/>
      <c r="BR610" s="651"/>
      <c r="BS610" s="651"/>
      <c r="BT610" s="651"/>
    </row>
    <row r="611">
      <c r="A611" s="631"/>
      <c r="B611" s="154"/>
      <c r="C611" s="702"/>
      <c r="D611" s="702"/>
      <c r="E611" s="687"/>
      <c r="F611" s="699"/>
      <c r="G611" s="225"/>
      <c r="H611" s="700"/>
      <c r="I611" s="701"/>
      <c r="J611" s="701"/>
      <c r="K611" s="701"/>
      <c r="L611" s="704"/>
      <c r="M611" s="704"/>
      <c r="N611" s="711"/>
      <c r="O611" s="712"/>
      <c r="P611" s="700"/>
      <c r="Q611" s="704"/>
      <c r="R611" s="136"/>
      <c r="S611" s="691"/>
      <c r="T611" s="690"/>
      <c r="U611" s="136" t="str">
        <f>IFERROR(
  IF(B611="", "", VLOOKUP(B611, Data!$B$2:$K$905, 10, FALSE)),
  ""
)
</f>
        <v/>
      </c>
      <c r="V611" s="691"/>
      <c r="W611" s="713"/>
      <c r="X611" s="692"/>
      <c r="Y611" s="693"/>
      <c r="Z611" s="694"/>
      <c r="AA611" s="695"/>
      <c r="AB611" s="354"/>
      <c r="AC611" s="181"/>
      <c r="AD611" s="705"/>
      <c r="AE611" s="706"/>
      <c r="AF611" s="707"/>
      <c r="AG611" s="708"/>
      <c r="AH611" s="709"/>
      <c r="AI611" s="187"/>
      <c r="AJ611" s="710"/>
      <c r="AK611" s="710"/>
      <c r="AL611" s="595"/>
      <c r="AM611" s="595"/>
      <c r="AN611" s="595"/>
      <c r="AO611" s="595"/>
      <c r="AP611" s="595"/>
      <c r="AQ611" s="595"/>
      <c r="AR611" s="595"/>
      <c r="AS611" s="595"/>
      <c r="AT611" s="595"/>
      <c r="AU611" s="595"/>
      <c r="AV611" s="595"/>
      <c r="AW611" s="595"/>
      <c r="AX611" s="595"/>
      <c r="AY611" s="595"/>
      <c r="AZ611" s="595"/>
      <c r="BA611" s="595"/>
      <c r="BB611" s="595"/>
      <c r="BC611" s="595"/>
      <c r="BD611" s="595"/>
      <c r="BE611" s="595"/>
      <c r="BF611" s="595"/>
      <c r="BG611" s="595"/>
      <c r="BH611" s="595"/>
      <c r="BI611" s="651"/>
      <c r="BJ611" s="651"/>
      <c r="BK611" s="651"/>
      <c r="BL611" s="651"/>
      <c r="BM611" s="651"/>
      <c r="BN611" s="651"/>
      <c r="BO611" s="651"/>
      <c r="BP611" s="651"/>
      <c r="BQ611" s="651"/>
      <c r="BR611" s="651"/>
      <c r="BS611" s="651"/>
      <c r="BT611" s="651"/>
    </row>
    <row r="612">
      <c r="A612" s="631">
        <v>1.0</v>
      </c>
      <c r="B612" s="764" t="s">
        <v>425</v>
      </c>
      <c r="C612" s="89" t="s">
        <v>78</v>
      </c>
      <c r="D612" s="656"/>
      <c r="E612" s="654"/>
      <c r="F612" s="655"/>
      <c r="G612" s="233"/>
      <c r="H612" s="656"/>
      <c r="I612" s="656"/>
      <c r="J612" s="656"/>
      <c r="K612" s="656" t="s">
        <v>42</v>
      </c>
      <c r="L612" s="658"/>
      <c r="M612" s="658"/>
      <c r="N612" s="659"/>
      <c r="O612" s="658"/>
      <c r="P612" s="656"/>
      <c r="Q612" s="658"/>
      <c r="R612" s="136" t="str">
        <f>IFERROR(
  IF(B612="", "", VLOOKUP(B612, Data!$B$2:$K$905, 9, FALSE)),
  ""
)</f>
        <v/>
      </c>
      <c r="S612" s="662"/>
      <c r="T612" s="661"/>
      <c r="U612" s="136" t="str">
        <f>IFERROR(
  IF(B612="", "", VLOOKUP(B612, Data!$B$2:$K$905, 10, FALSE)),
  ""
)
</f>
        <v/>
      </c>
      <c r="V612" s="662"/>
      <c r="W612" s="663"/>
      <c r="X612" s="664"/>
      <c r="Y612" s="595"/>
      <c r="Z612" s="595"/>
      <c r="AA612" s="595"/>
      <c r="AB612" s="595"/>
      <c r="AC612" s="181"/>
      <c r="AD612" s="668"/>
      <c r="AE612" s="669"/>
      <c r="AF612" s="670"/>
      <c r="AG612" s="715"/>
      <c r="AH612" s="672"/>
      <c r="AI612" s="187"/>
      <c r="AJ612" s="673"/>
      <c r="AK612" s="673"/>
      <c r="AL612" s="595"/>
      <c r="AM612" s="595"/>
      <c r="AN612" s="595"/>
      <c r="AO612" s="595"/>
      <c r="AP612" s="595"/>
      <c r="AQ612" s="595"/>
      <c r="AR612" s="595"/>
      <c r="AS612" s="595"/>
      <c r="AT612" s="595"/>
      <c r="AU612" s="595"/>
      <c r="AV612" s="595"/>
      <c r="AW612" s="595"/>
      <c r="AX612" s="595"/>
      <c r="AY612" s="595"/>
      <c r="AZ612" s="595"/>
      <c r="BA612" s="595"/>
      <c r="BB612" s="595"/>
      <c r="BC612" s="595"/>
      <c r="BD612" s="595"/>
      <c r="BE612" s="595"/>
      <c r="BF612" s="595"/>
      <c r="BG612" s="595"/>
      <c r="BH612" s="595"/>
      <c r="BI612" s="651"/>
      <c r="BJ612" s="651"/>
      <c r="BK612" s="651"/>
      <c r="BL612" s="651"/>
      <c r="BM612" s="651"/>
      <c r="BN612" s="651"/>
      <c r="BO612" s="651"/>
      <c r="BP612" s="651"/>
      <c r="BQ612" s="651"/>
      <c r="BR612" s="651"/>
      <c r="BS612" s="651"/>
      <c r="BT612" s="651"/>
    </row>
    <row r="613">
      <c r="A613" s="631">
        <v>1.0</v>
      </c>
      <c r="B613" s="727"/>
      <c r="C613" s="103" t="s">
        <v>79</v>
      </c>
      <c r="D613" s="678"/>
      <c r="E613" s="676"/>
      <c r="F613" s="677"/>
      <c r="G613" s="157"/>
      <c r="H613" s="678"/>
      <c r="I613" s="678"/>
      <c r="J613" s="678"/>
      <c r="K613" s="678" t="s">
        <v>42</v>
      </c>
      <c r="L613" s="106" t="str">
        <f>Q613</f>
        <v>#REF!</v>
      </c>
      <c r="M613" s="679"/>
      <c r="N613" s="680"/>
      <c r="O613" s="679"/>
      <c r="P613" s="678"/>
      <c r="Q613" s="106" t="str">
        <f>Q614</f>
        <v>#REF!</v>
      </c>
      <c r="R613" s="136" t="str">
        <f>IFERROR(
  IF(B613="", "", VLOOKUP(B613, Data!$B$2:$K$905, 9, FALSE)),
  ""
)</f>
        <v/>
      </c>
      <c r="S613" s="682">
        <f>IFERROR(T613/Q613, 0)</f>
        <v>0</v>
      </c>
      <c r="T613" s="109" t="str">
        <f>SUM(S614:S616)</f>
        <v>#REF!</v>
      </c>
      <c r="U613" s="136" t="str">
        <f>IFERROR(
  IF(B613="", "", VLOOKUP(B613, Data!$B$2:$K$905, 10, FALSE)),
  ""
)
</f>
        <v/>
      </c>
      <c r="V613" s="109" t="str">
        <f>iferror(W613/Q613,"")</f>
        <v/>
      </c>
      <c r="W613" s="110" t="str">
        <f>SUM(W614:W616)</f>
        <v>#REF!</v>
      </c>
      <c r="X613" s="111" t="str">
        <f>W613/$AC$758/$W$765/$X$755</f>
        <v>#REF!</v>
      </c>
      <c r="Y613" s="112" t="str">
        <f>(T613+W613)=(SUM(AB614:AB616))</f>
        <v>#REF!</v>
      </c>
      <c r="Z613" s="113" t="str">
        <f>(T613+W613)-(SUM(AB614:AB616))</f>
        <v>#REF!</v>
      </c>
      <c r="AA613" s="595"/>
      <c r="AB613" s="595"/>
      <c r="AC613" s="181"/>
      <c r="AD613" s="114" t="str">
        <f>W613+T613</f>
        <v>#REF!</v>
      </c>
      <c r="AE613" s="115" t="str">
        <f>AD613</f>
        <v>#REF!</v>
      </c>
      <c r="AF613" s="116" t="str">
        <f>AE613/$AE$733</f>
        <v>#REF!</v>
      </c>
      <c r="AG613" s="683" t="str">
        <f>AF613*$AG$740</f>
        <v>#REF!</v>
      </c>
      <c r="AH613" s="118" t="str">
        <f>AF613*$AG$743</f>
        <v>#REF!</v>
      </c>
      <c r="AI613" s="187"/>
      <c r="AJ613" s="119" t="str">
        <f>ROUND(AK613/L613,2)</f>
        <v>#REF!</v>
      </c>
      <c r="AK613" s="119" t="str">
        <f>ROUND(AH613+AG613+AD613,2)</f>
        <v>#REF!</v>
      </c>
      <c r="AL613" s="595"/>
      <c r="AM613" s="595"/>
      <c r="AN613" s="595"/>
      <c r="AO613" s="595"/>
      <c r="AP613" s="595"/>
      <c r="AQ613" s="595"/>
      <c r="AR613" s="595"/>
      <c r="AS613" s="595"/>
      <c r="AT613" s="595"/>
      <c r="AU613" s="595"/>
      <c r="AV613" s="595"/>
      <c r="AW613" s="595"/>
      <c r="AX613" s="595"/>
      <c r="AY613" s="595"/>
      <c r="AZ613" s="595"/>
      <c r="BA613" s="595"/>
      <c r="BB613" s="595"/>
      <c r="BC613" s="595"/>
      <c r="BD613" s="595"/>
      <c r="BE613" s="595"/>
      <c r="BF613" s="595"/>
      <c r="BG613" s="595"/>
      <c r="BH613" s="595"/>
      <c r="BI613" s="651"/>
      <c r="BJ613" s="651"/>
      <c r="BK613" s="651"/>
      <c r="BL613" s="651"/>
      <c r="BM613" s="651"/>
      <c r="BN613" s="651"/>
      <c r="BO613" s="651"/>
      <c r="BP613" s="651"/>
      <c r="BQ613" s="651"/>
      <c r="BR613" s="651"/>
      <c r="BS613" s="651"/>
      <c r="BT613" s="651"/>
    </row>
    <row r="614">
      <c r="A614" s="716" t="s">
        <v>435</v>
      </c>
      <c r="B614" s="154" t="s">
        <v>441</v>
      </c>
      <c r="C614" s="158" t="s">
        <v>442</v>
      </c>
      <c r="D614" s="239" t="s">
        <v>154</v>
      </c>
      <c r="E614" s="687" t="str">
        <f>IFERROR(__xludf.DUMMYFUNCTION("IF($B$15:$B1012="""","""",
  VLOOKUP(
    $B$15:$B1012,
    QUERY(
      IMPORTRANGE(""1Ag27m9YF5mMfJh2E6NipJDFvPLlDI1p-s_1XEnzMHcc"",""Merge!F2:R""),
      ""select Col1, Col11"",
      0
    ),
    2,
    FALSE
  )
)
"),"#REF!")</f>
        <v>#REF!</v>
      </c>
      <c r="F614" s="718"/>
      <c r="G614" s="689" t="s">
        <v>574</v>
      </c>
      <c r="H614" s="700" t="str">
        <f>IFERROR(__xludf.DUMMYFUNCTION("IFERROR(REGEXEXTRACT(C614, ""(\d*\.\d+)mm""), """")"),"")</f>
        <v/>
      </c>
      <c r="I614" s="700"/>
      <c r="J614" s="126" t="s">
        <v>14</v>
      </c>
      <c r="K614" s="126" t="str">
        <f>IFERROR(
  IF(B614="", "", VLOOKUP(B614, Data!$B$2:$K$905, 7, FALSE)),
  ""
)</f>
        <v/>
      </c>
      <c r="L614" s="135" t="str">
        <f>Q605</f>
        <v>#REF!</v>
      </c>
      <c r="M614" s="150" t="str">
        <f>((L614)/(E614-0.15))*0.15+(L614)</f>
        <v>#REF!</v>
      </c>
      <c r="N614" s="151">
        <f>IFERROR(__xludf.DUMMYFUNCTION("IF(B614="""", """", IFERROR(1 / COS(RADIANS(REGEXEXTRACT(F614,""(\d+)""))), 1))"),1.0)</f>
        <v>1</v>
      </c>
      <c r="O614" s="169">
        <v>1.0</v>
      </c>
      <c r="P614" s="134">
        <v>1.0</v>
      </c>
      <c r="Q614" s="135" t="str">
        <f t="shared" ref="Q614:Q615" si="456">M614*N614*O614*P614</f>
        <v>#REF!</v>
      </c>
      <c r="R614" s="136" t="str">
        <f>IFERROR(
  IF(B614="", "", VLOOKUP(B614, Data!$B$2:$K$905, 9, FALSE)),
  ""
)</f>
        <v/>
      </c>
      <c r="S614" s="152" t="str">
        <f t="shared" ref="S614:S615" si="457">R614*Q614</f>
        <v>#REF!</v>
      </c>
      <c r="T614" s="690"/>
      <c r="U614" s="136" t="str">
        <f>IFERROR(
  IF(B614="", "", VLOOKUP(B614, Data!$B$2:$K$905, 10, FALSE)),
  ""
)
</f>
        <v/>
      </c>
      <c r="V614" s="691"/>
      <c r="W614" s="140" t="str">
        <f t="shared" ref="W614:W615" si="458">U614*Q614</f>
        <v>#REF!</v>
      </c>
      <c r="X614" s="692"/>
      <c r="Y614" s="595"/>
      <c r="Z614" s="595"/>
      <c r="AA614" s="595"/>
      <c r="AB614" s="354" t="str">
        <f t="shared" ref="AB614:AB616" si="459">W614+S614</f>
        <v>#REF!</v>
      </c>
      <c r="AC614" s="181"/>
      <c r="AD614" s="625"/>
      <c r="AE614" s="626"/>
      <c r="AF614" s="696"/>
      <c r="AG614" s="697"/>
      <c r="AH614" s="629"/>
      <c r="AI614" s="187"/>
      <c r="AJ614" s="630"/>
      <c r="AK614" s="630"/>
      <c r="AL614" s="595"/>
      <c r="AM614" s="595"/>
      <c r="AN614" s="595"/>
      <c r="AO614" s="595"/>
      <c r="AP614" s="595"/>
      <c r="AQ614" s="595"/>
      <c r="AR614" s="595"/>
      <c r="AS614" s="595"/>
      <c r="AT614" s="595"/>
      <c r="AU614" s="595"/>
      <c r="AV614" s="595"/>
      <c r="AW614" s="595"/>
      <c r="AX614" s="595"/>
      <c r="AY614" s="595"/>
      <c r="AZ614" s="595"/>
      <c r="BA614" s="595"/>
      <c r="BB614" s="595"/>
      <c r="BC614" s="595"/>
      <c r="BD614" s="595"/>
      <c r="BE614" s="595"/>
      <c r="BF614" s="595"/>
      <c r="BG614" s="595"/>
      <c r="BH614" s="595"/>
      <c r="BI614" s="651"/>
      <c r="BJ614" s="651"/>
      <c r="BK614" s="651"/>
      <c r="BL614" s="651"/>
      <c r="BM614" s="651"/>
      <c r="BN614" s="651"/>
      <c r="BO614" s="651"/>
      <c r="BP614" s="651"/>
      <c r="BQ614" s="651"/>
      <c r="BR614" s="651"/>
      <c r="BS614" s="651"/>
      <c r="BT614" s="651"/>
    </row>
    <row r="615">
      <c r="A615" s="716" t="s">
        <v>435</v>
      </c>
      <c r="B615" s="768" t="s">
        <v>84</v>
      </c>
      <c r="C615" s="225" t="s">
        <v>85</v>
      </c>
      <c r="D615" s="239" t="s">
        <v>155</v>
      </c>
      <c r="E615" s="720" t="str">
        <f>E614</f>
        <v>#REF!</v>
      </c>
      <c r="F615" s="721"/>
      <c r="G615" s="225"/>
      <c r="H615" s="128" t="str">
        <f>IFERROR(__xludf.DUMMYFUNCTION("IF($B$15:$B1012="""","""",
  VLOOKUP(
    $B$15:$B1012,
    QUERY(
      IMPORTRANGE(""1Ag27m9YF5mMfJh2E6NipJDFvPLlDI1p-s_1XEnzMHcc"",""Merge!F2:R""),
      ""select Col1, Col11"",
      0
    ),
    2,
    FALSE
  )
)
"),"#REF!")</f>
        <v>#REF!</v>
      </c>
      <c r="I615" s="700"/>
      <c r="J615" s="126" t="s">
        <v>87</v>
      </c>
      <c r="K615" s="126" t="str">
        <f>IFERROR(
  IF(B615="", "", VLOOKUP(B615, Data!$B$2:$K$905, 7, FALSE)),
  ""
)</f>
        <v/>
      </c>
      <c r="L615" s="712"/>
      <c r="M615" s="169" t="str">
        <f>M614/E615/H615</f>
        <v>#REF!</v>
      </c>
      <c r="N615" s="151">
        <f>N614</f>
        <v>1</v>
      </c>
      <c r="O615" s="169">
        <v>1.0</v>
      </c>
      <c r="P615" s="134">
        <v>1.0</v>
      </c>
      <c r="Q615" s="135" t="str">
        <f t="shared" si="456"/>
        <v>#REF!</v>
      </c>
      <c r="R615" s="136" t="str">
        <f>IFERROR(
  IF(B615="", "", VLOOKUP(B615, Data!$B$2:$K$905, 9, FALSE)),
  ""
)</f>
        <v/>
      </c>
      <c r="S615" s="152" t="str">
        <f t="shared" si="457"/>
        <v>#REF!</v>
      </c>
      <c r="T615" s="690"/>
      <c r="U615" s="136" t="str">
        <f>IFERROR(
  IF(B615="", "", VLOOKUP(B615, Data!$B$2:$K$905, 10, FALSE)),
  ""
)
</f>
        <v/>
      </c>
      <c r="V615" s="691"/>
      <c r="W615" s="140" t="str">
        <f t="shared" si="458"/>
        <v>#REF!</v>
      </c>
      <c r="X615" s="692"/>
      <c r="Y615" s="693"/>
      <c r="Z615" s="694"/>
      <c r="AA615" s="595"/>
      <c r="AB615" s="354" t="str">
        <f t="shared" si="459"/>
        <v>#REF!</v>
      </c>
      <c r="AC615" s="181"/>
      <c r="AD615" s="625"/>
      <c r="AE615" s="626"/>
      <c r="AF615" s="696"/>
      <c r="AG615" s="697"/>
      <c r="AH615" s="629"/>
      <c r="AI615" s="187"/>
      <c r="AJ615" s="630"/>
      <c r="AK615" s="630"/>
      <c r="AL615" s="595"/>
      <c r="AM615" s="595"/>
      <c r="AN615" s="595"/>
      <c r="AO615" s="595"/>
      <c r="AP615" s="595"/>
      <c r="AQ615" s="595"/>
      <c r="AR615" s="595"/>
      <c r="AS615" s="595"/>
      <c r="AT615" s="595"/>
      <c r="AU615" s="595"/>
      <c r="AV615" s="595"/>
      <c r="AW615" s="595"/>
      <c r="AX615" s="595"/>
      <c r="AY615" s="595"/>
      <c r="AZ615" s="595"/>
      <c r="BA615" s="595"/>
      <c r="BB615" s="595"/>
      <c r="BC615" s="595"/>
      <c r="BD615" s="595"/>
      <c r="BE615" s="595"/>
      <c r="BF615" s="595"/>
      <c r="BG615" s="595"/>
      <c r="BH615" s="595"/>
      <c r="BI615" s="651"/>
      <c r="BJ615" s="651"/>
      <c r="BK615" s="651"/>
      <c r="BL615" s="651"/>
      <c r="BM615" s="651"/>
      <c r="BN615" s="651"/>
      <c r="BO615" s="651"/>
      <c r="BP615" s="651"/>
      <c r="BQ615" s="651"/>
      <c r="BR615" s="651"/>
      <c r="BS615" s="651"/>
      <c r="BT615" s="651"/>
    </row>
    <row r="616">
      <c r="A616" s="631"/>
      <c r="B616" s="154"/>
      <c r="C616" s="701"/>
      <c r="D616" s="701"/>
      <c r="E616" s="722"/>
      <c r="F616" s="699"/>
      <c r="G616" s="225"/>
      <c r="H616" s="700"/>
      <c r="I616" s="700"/>
      <c r="J616" s="701"/>
      <c r="K616" s="701" t="str">
        <f>IFERROR(
  IF(B616="", "", VLOOKUP(B616, Data!$B$2:$K$905, 7, FALSE)),
  ""
)</f>
        <v/>
      </c>
      <c r="L616" s="704"/>
      <c r="M616" s="704"/>
      <c r="N616" s="711" t="str">
        <f>IFERROR(__xludf.DUMMYFUNCTION("IF(B616="""", """", IFERROR(1 / COS(RADIANS(REGEXEXTRACT(F616,""(\d+)""))), 1))"),"")</f>
        <v/>
      </c>
      <c r="O616" s="712"/>
      <c r="P616" s="700"/>
      <c r="Q616" s="704"/>
      <c r="R616" s="136" t="str">
        <f>IFERROR(
  IF(B616="", "", VLOOKUP(B616, Data!$B$2:$K$905, 9, FALSE)),
  ""
)</f>
        <v/>
      </c>
      <c r="S616" s="691"/>
      <c r="T616" s="690"/>
      <c r="U616" s="136" t="str">
        <f>IFERROR(
  IF(B616="", "", VLOOKUP(B616, Data!$B$2:$K$905, 10, FALSE)),
  ""
)
</f>
        <v/>
      </c>
      <c r="V616" s="691"/>
      <c r="W616" s="713"/>
      <c r="X616" s="692"/>
      <c r="Y616" s="595"/>
      <c r="Z616" s="595"/>
      <c r="AA616" s="595"/>
      <c r="AB616" s="354">
        <f t="shared" si="459"/>
        <v>0</v>
      </c>
      <c r="AC616" s="181"/>
      <c r="AD616" s="625"/>
      <c r="AE616" s="626"/>
      <c r="AF616" s="696"/>
      <c r="AG616" s="697"/>
      <c r="AH616" s="629"/>
      <c r="AI616" s="187"/>
      <c r="AJ616" s="630"/>
      <c r="AK616" s="630"/>
      <c r="AL616" s="595"/>
      <c r="AM616" s="595"/>
      <c r="AN616" s="595"/>
      <c r="AO616" s="595"/>
      <c r="AP616" s="595"/>
      <c r="AQ616" s="595"/>
      <c r="AR616" s="595"/>
      <c r="AS616" s="595"/>
      <c r="AT616" s="595"/>
      <c r="AU616" s="595"/>
      <c r="AV616" s="595"/>
      <c r="AW616" s="595"/>
      <c r="AX616" s="595"/>
      <c r="AY616" s="595"/>
      <c r="AZ616" s="595"/>
      <c r="BA616" s="595"/>
      <c r="BB616" s="595"/>
      <c r="BC616" s="595"/>
      <c r="BD616" s="595"/>
      <c r="BE616" s="595"/>
      <c r="BF616" s="595"/>
      <c r="BG616" s="595"/>
      <c r="BH616" s="595"/>
      <c r="BI616" s="651"/>
      <c r="BJ616" s="651"/>
      <c r="BK616" s="651"/>
      <c r="BL616" s="651"/>
      <c r="BM616" s="651"/>
      <c r="BN616" s="651"/>
      <c r="BO616" s="651"/>
      <c r="BP616" s="651"/>
      <c r="BQ616" s="651"/>
      <c r="BR616" s="651"/>
      <c r="BS616" s="651"/>
      <c r="BT616" s="651"/>
    </row>
    <row r="617">
      <c r="A617" s="631">
        <v>1.0</v>
      </c>
      <c r="B617" s="764" t="s">
        <v>425</v>
      </c>
      <c r="C617" s="89" t="s">
        <v>93</v>
      </c>
      <c r="D617" s="172"/>
      <c r="E617" s="654"/>
      <c r="F617" s="655"/>
      <c r="G617" s="233"/>
      <c r="H617" s="656"/>
      <c r="I617" s="656"/>
      <c r="J617" s="656"/>
      <c r="K617" s="656" t="s">
        <v>42</v>
      </c>
      <c r="L617" s="658"/>
      <c r="M617" s="658" t="s">
        <v>42</v>
      </c>
      <c r="N617" s="659"/>
      <c r="O617" s="658"/>
      <c r="P617" s="656"/>
      <c r="Q617" s="658"/>
      <c r="R617" s="136" t="str">
        <f>IFERROR(
  IF(B617="", "", VLOOKUP(B617, Data!$B$2:$K$905, 9, FALSE)),
  ""
)</f>
        <v/>
      </c>
      <c r="S617" s="662"/>
      <c r="T617" s="661"/>
      <c r="U617" s="136" t="str">
        <f>IFERROR(
  IF(B617="", "", VLOOKUP(B617, Data!$B$2:$K$905, 10, FALSE)),
  ""
)
</f>
        <v/>
      </c>
      <c r="V617" s="662"/>
      <c r="W617" s="663"/>
      <c r="X617" s="692"/>
      <c r="Y617" s="595"/>
      <c r="Z617" s="595"/>
      <c r="AA617" s="595"/>
      <c r="AB617" s="595"/>
      <c r="AC617" s="181"/>
      <c r="AD617" s="625"/>
      <c r="AE617" s="626"/>
      <c r="AF617" s="696"/>
      <c r="AG617" s="697"/>
      <c r="AH617" s="629"/>
      <c r="AI617" s="187"/>
      <c r="AJ617" s="630"/>
      <c r="AK617" s="630"/>
      <c r="AL617" s="595"/>
      <c r="AM617" s="595"/>
      <c r="AN617" s="595"/>
      <c r="AO617" s="595"/>
      <c r="AP617" s="595"/>
      <c r="AQ617" s="595"/>
      <c r="AR617" s="595"/>
      <c r="AS617" s="595"/>
      <c r="AT617" s="595"/>
      <c r="AU617" s="595"/>
      <c r="AV617" s="595"/>
      <c r="AW617" s="595"/>
      <c r="AX617" s="595"/>
      <c r="AY617" s="595"/>
      <c r="AZ617" s="595"/>
      <c r="BA617" s="595"/>
      <c r="BB617" s="595"/>
      <c r="BC617" s="595"/>
      <c r="BD617" s="595"/>
      <c r="BE617" s="595"/>
      <c r="BF617" s="595"/>
      <c r="BG617" s="595"/>
      <c r="BH617" s="595"/>
      <c r="BI617" s="651"/>
      <c r="BJ617" s="651"/>
      <c r="BK617" s="651"/>
      <c r="BL617" s="651"/>
      <c r="BM617" s="651"/>
      <c r="BN617" s="651"/>
      <c r="BO617" s="651"/>
      <c r="BP617" s="651"/>
      <c r="BQ617" s="651"/>
      <c r="BR617" s="651"/>
      <c r="BS617" s="651"/>
      <c r="BT617" s="651"/>
    </row>
    <row r="618">
      <c r="A618" s="631">
        <v>1.0</v>
      </c>
      <c r="B618" s="727"/>
      <c r="C618" s="103" t="s">
        <v>558</v>
      </c>
      <c r="D618" s="678"/>
      <c r="E618" s="676"/>
      <c r="F618" s="677"/>
      <c r="G618" s="157"/>
      <c r="H618" s="678"/>
      <c r="I618" s="679"/>
      <c r="J618" s="678"/>
      <c r="K618" s="678" t="s">
        <v>42</v>
      </c>
      <c r="L618" s="106">
        <f>Q618</f>
        <v>10.9</v>
      </c>
      <c r="M618" s="679" t="s">
        <v>42</v>
      </c>
      <c r="N618" s="680"/>
      <c r="O618" s="679"/>
      <c r="P618" s="678"/>
      <c r="Q618" s="106">
        <f>Q619</f>
        <v>10.9</v>
      </c>
      <c r="R618" s="136" t="str">
        <f>IFERROR(
  IF(B618="", "", VLOOKUP(B618, Data!$B$2:$K$905, 9, FALSE)),
  ""
)</f>
        <v/>
      </c>
      <c r="S618" s="682">
        <f>IFERROR(T618/Q618, 0)</f>
        <v>0</v>
      </c>
      <c r="T618" s="109">
        <f>SUM(S619:S624)</f>
        <v>0</v>
      </c>
      <c r="U618" s="136" t="str">
        <f>IFERROR(
  IF(B618="", "", VLOOKUP(B618, Data!$B$2:$K$905, 10, FALSE)),
  ""
)
</f>
        <v/>
      </c>
      <c r="V618" s="109">
        <f>W618/Q618</f>
        <v>0</v>
      </c>
      <c r="W618" s="110">
        <f>SUM(W619:W624)</f>
        <v>0</v>
      </c>
      <c r="X618" s="111" t="str">
        <f>W618/$AC$758/$W$765/$X$755</f>
        <v>#REF!</v>
      </c>
      <c r="Y618" s="112" t="b">
        <f>(T618+W618)=(SUM(AB619:AB624))</f>
        <v>1</v>
      </c>
      <c r="Z618" s="222">
        <f>(T618+W618)-(SUM(AB619:AB624))</f>
        <v>0</v>
      </c>
      <c r="AA618" s="595"/>
      <c r="AB618" s="595"/>
      <c r="AC618" s="181"/>
      <c r="AD618" s="114">
        <f>W618+T618</f>
        <v>0</v>
      </c>
      <c r="AE618" s="115">
        <f>AD618</f>
        <v>0</v>
      </c>
      <c r="AF618" s="116" t="str">
        <f>AE618/$AE$733</f>
        <v>#REF!</v>
      </c>
      <c r="AG618" s="683" t="str">
        <f>AF618*$AG$740</f>
        <v>#REF!</v>
      </c>
      <c r="AH618" s="118" t="str">
        <f>AF618*$AG$743</f>
        <v>#REF!</v>
      </c>
      <c r="AI618" s="187"/>
      <c r="AJ618" s="119" t="str">
        <f>ROUND(AK618/L618,2)</f>
        <v>#REF!</v>
      </c>
      <c r="AK618" s="119" t="str">
        <f>ROUND(AH618+AG618+AD618,2)</f>
        <v>#REF!</v>
      </c>
      <c r="AL618" s="595"/>
      <c r="AM618" s="595"/>
      <c r="AN618" s="595"/>
      <c r="AO618" s="595"/>
      <c r="AP618" s="595"/>
      <c r="AQ618" s="595"/>
      <c r="AR618" s="595"/>
      <c r="AS618" s="595"/>
      <c r="AT618" s="595"/>
      <c r="AU618" s="595"/>
      <c r="AV618" s="595"/>
      <c r="AW618" s="595"/>
      <c r="AX618" s="595"/>
      <c r="AY618" s="595"/>
      <c r="AZ618" s="595"/>
      <c r="BA618" s="595"/>
      <c r="BB618" s="595"/>
      <c r="BC618" s="595"/>
      <c r="BD618" s="595"/>
      <c r="BE618" s="595"/>
      <c r="BF618" s="595"/>
      <c r="BG618" s="595"/>
      <c r="BH618" s="595"/>
      <c r="BI618" s="651"/>
      <c r="BJ618" s="651"/>
      <c r="BK618" s="651"/>
      <c r="BL618" s="651"/>
      <c r="BM618" s="651"/>
      <c r="BN618" s="651"/>
      <c r="BO618" s="651"/>
      <c r="BP618" s="651"/>
      <c r="BQ618" s="651"/>
      <c r="BR618" s="651"/>
      <c r="BS618" s="651"/>
      <c r="BT618" s="651"/>
    </row>
    <row r="619">
      <c r="A619" s="716" t="s">
        <v>444</v>
      </c>
      <c r="B619" s="154" t="str">
        <f>IFERROR(__xludf.DUMMYFUNCTION("IFERROR(
  IF(C619="""","""",
    IF(OR(REGEXMATCH(D619,""(?i)-Flashing""), REGEXMATCH(D619,""(?i)-EavesGut""), REGEXMATCH(D619,""(?i)Valley"")),
        ""DR"" &amp;
        TEXT(
            ROUNDUP(
                MIN(
                    VALUE(MID(C619, "&amp;"FIND(""("",C619)+1, FIND(""/"",C619)-FIND(""("",C619)-1)),
                    1200
                ) / 50, 0
            ) * 50, ""0""
        ) &amp;
        MID(C619, FIND(""/"",C619)+1, FIND("")"",C619)-FIND(""/"",C619)-1) &amp;
        TEXT(H619*100,""0"") &amp;"&amp;"
        I619,
    IF(AND(D619=""Roof Sheet"", REGEXMATCH(C619,""(?i)KS\d{4}[A-Z]{2}"")),
       REGEXEXTRACT(C619,""(?i)KS\d{4}[A-Z]{2}""),
    IF(AND(REGEXMATCH(D619,""(?i)-DP""), REGEXMATCH(C619,""(?i)Downpipe"")),
       ""dp"" &amp; REGEXEXTRACT(C619,""("&amp;"\d+)"") &amp; ""mm"",
    IF(AND(REGEXMATCH(D619,""(?i)Bracket""), REGEXMATCH(C619,""(?i)Bracket"")),
       ""Brkt"" &amp; REGEXEXTRACT(C619,""(\d+)"") &amp; ""mm"",
    IF(AND(REGEXMATCH(D619,""(?i)-OP""), REGEXMATCH(C619,""(?i)pops"")),
       ""op"" &amp; REGEXEXTRAC"&amp;"T(C619,""(\d+)"") &amp; ""mm"",
    IF(OR(D619=""R-FFTop"", D619=""R-FFBottom"", D619=""R-FFSide""),
        IF(REGEXMATCH(C619,""(?i)Profiled.*Top|Top.*Profiled""),""pfft"",
        IF(REGEXMATCH(C619,""(?i)Profiled.*Bottom|Bottom.*Profiled""),""pffb"",
    "&amp;"    IF(REGEXMATCH(C619,""(?i)Square""),""sff"",""""))),
    IF(REGEXMATCH(D619,""(?i)-Rivets""),""Rvt"",
    IF(REGEXMATCH(D619,""(?i)Silicone""),""300ml"",
    IF(REGEXMATCH(D619,""(?i)R-Butyl""),""300ml"",
    IF(REGEXMATCH(D619,""(?i)Fix""),""GenFix"","&amp;"
    IF(AND(REGEXMATCH(C619,""(?i)Timber""), REGEXMATCH(D619,""(?i)Timber"")),""tp"",
    IF(AND(REGEXMATCH(C619,""(?i)Vent G1275""), REGEXMATCH(D619,""(?i)Comb FIller"")),""CFV1275"",
    IF(REGEXMATCH(C619,""(?i)DPC""),""dpc"",
    IF(REGEXMATCH(C619,"""&amp;"(?i)Concealed Clips""),""ConClips"",
    IF(REGEXMATCH(D619,""(?i)-Takeoff ea""),""Takeoff ea"",
    IF(REGEXMATCH(D619,""(?i)-Takeoff LM""),""Takeoff LM"",
    IF(REGEXMATCH(D619,""(?i)-Takeoff m2""),""Takeoff m2"",
    IF(D619=""R-TU/TD"",""TU/TD"","""""&amp;")))))))))))))))))
  )))"),"DR5503B55Mag")</f>
        <v>DR5503B55Mag</v>
      </c>
      <c r="C619" s="123" t="s">
        <v>559</v>
      </c>
      <c r="D619" s="148" t="s">
        <v>161</v>
      </c>
      <c r="E619" s="687">
        <f>VALUE(MID(C619, FIND("(", C619)+1, FIND("/", C619)-FIND("(", C619)-1)) / 1000</f>
        <v>0.53</v>
      </c>
      <c r="F619" s="688"/>
      <c r="G619" s="689" t="s">
        <v>574</v>
      </c>
      <c r="H619" s="128" t="str">
        <f>IFERROR(__xludf.DUMMYFUNCTION("IFERROR(REGEXEXTRACT(C619, ""(\d*\.\d+)mm""), """")"),"0.55")</f>
        <v>0.55</v>
      </c>
      <c r="I619" s="168" t="s">
        <v>97</v>
      </c>
      <c r="J619" s="126" t="s">
        <v>14</v>
      </c>
      <c r="K619" s="126" t="str">
        <f>IFERROR(
  IF(B619="", "", VLOOKUP(B619, Data!$B$2:$K$905, 7, FALSE)),
  ""
)</f>
        <v/>
      </c>
      <c r="L619" s="704"/>
      <c r="M619" s="730">
        <v>10.9</v>
      </c>
      <c r="N619" s="151">
        <f>IFERROR(__xludf.DUMMYFUNCTION("IF(
  AND(
    IFERROR(REGEXEXTRACT(C619,""@\s*(\d+(?:\.\d+)?)\s*deg""),"""")&lt;&gt;"""",
    F619&lt;&gt;""""
  ),
  ""Pls Confirm °"",
  IF(
    IFERROR(REGEXEXTRACT(C619,""@\s*(\d+(?:\.\d+)?)\s*deg""),"""")&lt;&gt;"""",
    1/COS(RADIANS(REGEXEXTRACT(C619,""@\s*(\d+(?:"&amp;"\.\d+)?)\s*deg""))),
    IF(
      F619&lt;&gt;"""",
      IF(
        ISNUMBER(SEARCH(""|"",F619)),
        1/COS(
          ATAN(
            TAN(RADIANS(VALUE(INDEX(SPLIT(F619,""|""),1)))) *
            TAN(RADIANS(VALUE(INDEX(SPLIT(F619,""|""),2))))
       "&amp;"     /
            SQRT(
              TAN(RADIANS(VALUE(INDEX(SPLIT(F619,""|""),1))))^2 +
              TAN(RADIANS(VALUE(INDEX(SPLIT(F619,""|""),2))))^2
            )
          )
        ),
        1/COS(RADIANS(VALUE(F619)))
      ),
      1
    )
  )
"&amp;")"),1.0)</f>
        <v>1</v>
      </c>
      <c r="O619" s="169">
        <v>1.0</v>
      </c>
      <c r="P619" s="134">
        <v>1.0</v>
      </c>
      <c r="Q619" s="168">
        <f t="shared" ref="Q619:Q623" si="460">M619*N619*O619*P619</f>
        <v>10.9</v>
      </c>
      <c r="R619" s="136" t="str">
        <f>IFERROR(
  IF(B619="", "", VLOOKUP(B619, Data!$B$2:$K$905, 9, FALSE)),
  ""
)</f>
        <v/>
      </c>
      <c r="S619" s="152">
        <f t="shared" ref="S619:S623" si="461">R619*Q619</f>
        <v>0</v>
      </c>
      <c r="T619" s="690"/>
      <c r="U619" s="136" t="str">
        <f>IFERROR(
  IF(B619="", "", VLOOKUP(B619, Data!$B$2:$K$905, 10, FALSE)),
  ""
)
</f>
        <v/>
      </c>
      <c r="V619" s="691"/>
      <c r="W619" s="140">
        <f t="shared" ref="W619:W623" si="462">U619*Q619</f>
        <v>0</v>
      </c>
      <c r="X619" s="692"/>
      <c r="Y619" s="693"/>
      <c r="Z619" s="731"/>
      <c r="AA619" s="595"/>
      <c r="AB619" s="354">
        <f t="shared" ref="AB619:AB624" si="463">W619+S619</f>
        <v>0</v>
      </c>
      <c r="AC619" s="181"/>
      <c r="AD619" s="625"/>
      <c r="AE619" s="626"/>
      <c r="AF619" s="696"/>
      <c r="AG619" s="697"/>
      <c r="AH619" s="629"/>
      <c r="AI619" s="187"/>
      <c r="AJ619" s="630"/>
      <c r="AK619" s="630"/>
      <c r="AL619" s="595"/>
      <c r="AM619" s="595"/>
      <c r="AN619" s="595"/>
      <c r="AO619" s="595"/>
      <c r="AP619" s="595"/>
      <c r="AQ619" s="595"/>
      <c r="AR619" s="595"/>
      <c r="AS619" s="595"/>
      <c r="AT619" s="595"/>
      <c r="AU619" s="595"/>
      <c r="AV619" s="595"/>
      <c r="AW619" s="595"/>
      <c r="AX619" s="595"/>
      <c r="AY619" s="595"/>
      <c r="AZ619" s="595"/>
      <c r="BA619" s="595"/>
      <c r="BB619" s="595"/>
      <c r="BC619" s="595"/>
      <c r="BD619" s="595"/>
      <c r="BE619" s="595"/>
      <c r="BF619" s="595"/>
      <c r="BG619" s="595"/>
      <c r="BH619" s="595"/>
      <c r="BI619" s="651"/>
      <c r="BJ619" s="651"/>
      <c r="BK619" s="651"/>
      <c r="BL619" s="651"/>
      <c r="BM619" s="651"/>
      <c r="BN619" s="651"/>
      <c r="BO619" s="651"/>
      <c r="BP619" s="651"/>
      <c r="BQ619" s="651"/>
      <c r="BR619" s="651"/>
      <c r="BS619" s="651"/>
      <c r="BT619" s="651"/>
    </row>
    <row r="620">
      <c r="A620" s="631"/>
      <c r="B620" s="154" t="str">
        <f>IFERROR(__xludf.DUMMYFUNCTION("IFERROR(
  IF(C620="""","""",
    IF(OR(REGEXMATCH(D620,""(?i)-Flashing""), REGEXMATCH(D620,""(?i)-EavesGut""), REGEXMATCH(D620,""(?i)Valley"")),
        ""DR"" &amp;
        TEXT(
            ROUNDUP(
                MIN(
                    VALUE(MID(C620, "&amp;"FIND(""("",C620)+1, FIND(""/"",C620)-FIND(""("",C620)-1)),
                    1200
                ) / 50, 0
            ) * 50, ""0""
        ) &amp;
        MID(C620, FIND(""/"",C620)+1, FIND("")"",C620)-FIND(""/"",C620)-1) &amp;
        TEXT(H620*100,""0"") &amp;"&amp;"
        I620,
    IF(AND(D620=""Roof Sheet"", REGEXMATCH(C620,""(?i)KS\d{4}[A-Z]{2}"")),
       REGEXEXTRACT(C620,""(?i)KS\d{4}[A-Z]{2}""),
    IF(AND(REGEXMATCH(D620,""(?i)-DP""), REGEXMATCH(C620,""(?i)Downpipe"")),
       ""dp"" &amp; REGEXEXTRACT(C620,""("&amp;"\d+)"") &amp; ""mm"",
    IF(AND(REGEXMATCH(D620,""(?i)Bracket""), REGEXMATCH(C620,""(?i)Bracket"")),
       ""Brkt"" &amp; REGEXEXTRACT(C620,""(\d+)"") &amp; ""mm"",
    IF(AND(REGEXMATCH(D620,""(?i)-OP""), REGEXMATCH(C620,""(?i)pops"")),
       ""op"" &amp; REGEXEXTRAC"&amp;"T(C620,""(\d+)"") &amp; ""mm"",
    IF(OR(D620=""R-FFTop"", D620=""R-FFBottom"", D620=""R-FFSide""),
        IF(REGEXMATCH(C620,""(?i)Profiled.*Top|Top.*Profiled""),""pfft"",
        IF(REGEXMATCH(C620,""(?i)Profiled.*Bottom|Bottom.*Profiled""),""pffb"",
    "&amp;"    IF(REGEXMATCH(C620,""(?i)Square""),""sff"",""""))),
    IF(REGEXMATCH(D620,""(?i)-Rivets""),""Rvt"",
    IF(REGEXMATCH(D620,""(?i)Silicone""),""300ml"",
    IF(REGEXMATCH(D620,""(?i)R-Butyl""),""300ml"",
    IF(REGEXMATCH(D620,""(?i)Fix""),""GenFix"","&amp;"
    IF(AND(REGEXMATCH(C620,""(?i)Timber""), REGEXMATCH(D620,""(?i)Timber"")),""tp"",
    IF(AND(REGEXMATCH(C620,""(?i)Vent G1275""), REGEXMATCH(D620,""(?i)Comb FIller"")),""CFV1275"",
    IF(REGEXMATCH(C620,""(?i)DPC""),""dpc"",
    IF(REGEXMATCH(C620,"""&amp;"(?i)Concealed Clips""),""ConClips"",
    IF(REGEXMATCH(D620,""(?i)-Takeoff ea""),""Takeoff ea"",
    IF(REGEXMATCH(D620,""(?i)-Takeoff LM""),""Takeoff LM"",
    IF(REGEXMATCH(D620,""(?i)-Takeoff m2""),""Takeoff m2"",
    IF(D620=""R-TU/TD"",""TU/TD"","""""&amp;")))))))))))))))))
  )))"),"300ml")</f>
        <v>300ml</v>
      </c>
      <c r="C620" s="734" t="s">
        <v>98</v>
      </c>
      <c r="D620" s="148" t="s">
        <v>162</v>
      </c>
      <c r="E620" s="687">
        <f>E619</f>
        <v>0.53</v>
      </c>
      <c r="F620" s="699"/>
      <c r="G620" s="225"/>
      <c r="H620" s="700" t="str">
        <f>IFERROR(__xludf.DUMMYFUNCTION("IFERROR(REGEXEXTRACT(C620, ""(\d*\.\d+)mm""), """")"),"")</f>
        <v/>
      </c>
      <c r="I620" s="712"/>
      <c r="J620" s="126" t="s">
        <v>87</v>
      </c>
      <c r="K620" s="126" t="str">
        <f>IFERROR(
  IF(B620="", "", VLOOKUP(B620, Data!$B$2:$K$905, 7, FALSE)),
  ""
)</f>
        <v/>
      </c>
      <c r="L620" s="704"/>
      <c r="M620" s="150">
        <f>(ROUNDDOWN((M619/5.7)+2,0)*E620)/8</f>
        <v>0.19875</v>
      </c>
      <c r="N620" s="151">
        <f t="shared" ref="N620:N624" si="464">if(B620="","",(if(N619="",N618,N619)))</f>
        <v>1</v>
      </c>
      <c r="O620" s="169">
        <v>1.0</v>
      </c>
      <c r="P620" s="134">
        <v>1.0</v>
      </c>
      <c r="Q620" s="168">
        <f t="shared" si="460"/>
        <v>0.19875</v>
      </c>
      <c r="R620" s="136" t="str">
        <f>IFERROR(
  IF(B620="", "", VLOOKUP(B620, Data!$B$2:$K$905, 9, FALSE)),
  ""
)</f>
        <v/>
      </c>
      <c r="S620" s="152">
        <f t="shared" si="461"/>
        <v>0</v>
      </c>
      <c r="T620" s="690"/>
      <c r="U620" s="136" t="str">
        <f>IFERROR(
  IF(B620="", "", VLOOKUP(B620, Data!$B$2:$K$905, 10, FALSE)),
  ""
)
</f>
        <v/>
      </c>
      <c r="V620" s="691"/>
      <c r="W620" s="140">
        <f t="shared" si="462"/>
        <v>0</v>
      </c>
      <c r="X620" s="692"/>
      <c r="Y620" s="595"/>
      <c r="Z620" s="595"/>
      <c r="AA620" s="595"/>
      <c r="AB620" s="354">
        <f t="shared" si="463"/>
        <v>0</v>
      </c>
      <c r="AC620" s="181"/>
      <c r="AD620" s="625"/>
      <c r="AE620" s="626"/>
      <c r="AF620" s="696"/>
      <c r="AG620" s="697"/>
      <c r="AH620" s="629"/>
      <c r="AI620" s="187"/>
      <c r="AJ620" s="630"/>
      <c r="AK620" s="630"/>
      <c r="AL620" s="595"/>
      <c r="AM620" s="595"/>
      <c r="AN620" s="595"/>
      <c r="AO620" s="595"/>
      <c r="AP620" s="595"/>
      <c r="AQ620" s="595"/>
      <c r="AR620" s="595"/>
      <c r="AS620" s="595"/>
      <c r="AT620" s="595"/>
      <c r="AU620" s="595"/>
      <c r="AV620" s="595"/>
      <c r="AW620" s="595"/>
      <c r="AX620" s="595"/>
      <c r="AY620" s="595"/>
      <c r="AZ620" s="595"/>
      <c r="BA620" s="595"/>
      <c r="BB620" s="595"/>
      <c r="BC620" s="595"/>
      <c r="BD620" s="595"/>
      <c r="BE620" s="595"/>
      <c r="BF620" s="595"/>
      <c r="BG620" s="595"/>
      <c r="BH620" s="595"/>
      <c r="BI620" s="651"/>
      <c r="BJ620" s="651"/>
      <c r="BK620" s="651"/>
      <c r="BL620" s="651"/>
      <c r="BM620" s="651"/>
      <c r="BN620" s="651"/>
      <c r="BO620" s="651"/>
      <c r="BP620" s="651"/>
      <c r="BQ620" s="651"/>
      <c r="BR620" s="651"/>
      <c r="BS620" s="651"/>
      <c r="BT620" s="651"/>
    </row>
    <row r="621">
      <c r="A621" s="631"/>
      <c r="B621" s="154" t="str">
        <f>IFERROR(__xludf.DUMMYFUNCTION("IFERROR(
  IF(C621="""","""",
    IF(OR(REGEXMATCH(D621,""(?i)-Flashing""), REGEXMATCH(D621,""(?i)-EavesGut""), REGEXMATCH(D621,""(?i)Valley"")),
        ""DR"" &amp;
        TEXT(
            ROUNDUP(
                MIN(
                    VALUE(MID(C621, "&amp;"FIND(""("",C621)+1, FIND(""/"",C621)-FIND(""("",C621)-1)),
                    1200
                ) / 50, 0
            ) * 50, ""0""
        ) &amp;
        MID(C621, FIND(""/"",C621)+1, FIND("")"",C621)-FIND(""/"",C621)-1) &amp;
        TEXT(H621*100,""0"") &amp;"&amp;"
        I621,
    IF(AND(D621=""Roof Sheet"", REGEXMATCH(C621,""(?i)KS\d{4}[A-Z]{2}"")),
       REGEXEXTRACT(C621,""(?i)KS\d{4}[A-Z]{2}""),
    IF(AND(REGEXMATCH(D621,""(?i)-DP""), REGEXMATCH(C621,""(?i)Downpipe"")),
       ""dp"" &amp; REGEXEXTRACT(C621,""("&amp;"\d+)"") &amp; ""mm"",
    IF(AND(REGEXMATCH(D621,""(?i)Bracket""), REGEXMATCH(C621,""(?i)Bracket"")),
       ""Brkt"" &amp; REGEXEXTRACT(C621,""(\d+)"") &amp; ""mm"",
    IF(AND(REGEXMATCH(D621,""(?i)-OP""), REGEXMATCH(C621,""(?i)pops"")),
       ""op"" &amp; REGEXEXTRAC"&amp;"T(C621,""(\d+)"") &amp; ""mm"",
    IF(OR(D621=""R-FFTop"", D621=""R-FFBottom"", D621=""R-FFSide""),
        IF(REGEXMATCH(C621,""(?i)Profiled.*Top|Top.*Profiled""),""pfft"",
        IF(REGEXMATCH(C621,""(?i)Profiled.*Bottom|Bottom.*Profiled""),""pffb"",
    "&amp;"    IF(REGEXMATCH(C621,""(?i)Square""),""sff"",""""))),
    IF(REGEXMATCH(D621,""(?i)-Rivets""),""Rvt"",
    IF(REGEXMATCH(D621,""(?i)Silicone""),""300ml"",
    IF(REGEXMATCH(D621,""(?i)R-Butyl""),""300ml"",
    IF(REGEXMATCH(D621,""(?i)Fix""),""GenFix"","&amp;"
    IF(AND(REGEXMATCH(C621,""(?i)Timber""), REGEXMATCH(D621,""(?i)Timber"")),""tp"",
    IF(AND(REGEXMATCH(C621,""(?i)Vent G1275""), REGEXMATCH(D621,""(?i)Comb FIller"")),""CFV1275"",
    IF(REGEXMATCH(C621,""(?i)DPC""),""dpc"",
    IF(REGEXMATCH(C621,"""&amp;"(?i)Concealed Clips""),""ConClips"",
    IF(REGEXMATCH(D621,""(?i)-Takeoff ea""),""Takeoff ea"",
    IF(REGEXMATCH(D621,""(?i)-Takeoff LM""),""Takeoff LM"",
    IF(REGEXMATCH(D621,""(?i)-Takeoff m2""),""Takeoff m2"",
    IF(D621=""R-TU/TD"",""TU/TD"","""""&amp;")))))))))))))))))
  )))"),"Rvt")</f>
        <v>Rvt</v>
      </c>
      <c r="C621" s="734" t="s">
        <v>100</v>
      </c>
      <c r="D621" s="148" t="s">
        <v>163</v>
      </c>
      <c r="E621" s="687">
        <f>E619</f>
        <v>0.53</v>
      </c>
      <c r="F621" s="699"/>
      <c r="G621" s="225"/>
      <c r="H621" s="700" t="str">
        <f>IFERROR(__xludf.DUMMYFUNCTION("IFERROR(REGEXEXTRACT(C621, ""(\d*\.\d+)mm""), """")"),"")</f>
        <v/>
      </c>
      <c r="I621" s="712"/>
      <c r="J621" s="126" t="s">
        <v>87</v>
      </c>
      <c r="K621" s="126" t="str">
        <f>IFERROR(
  IF(B621="", "", VLOOKUP(B621, Data!$B$2:$K$905, 7, FALSE)),
  ""
)</f>
        <v/>
      </c>
      <c r="L621" s="704"/>
      <c r="M621" s="150">
        <f>ROUNDUP(((M619/5.7)+1)*(E621/0.05),0)</f>
        <v>31</v>
      </c>
      <c r="N621" s="151">
        <f t="shared" si="464"/>
        <v>1</v>
      </c>
      <c r="O621" s="169">
        <v>1.0</v>
      </c>
      <c r="P621" s="134">
        <v>1.0</v>
      </c>
      <c r="Q621" s="168">
        <f t="shared" si="460"/>
        <v>31</v>
      </c>
      <c r="R621" s="136" t="str">
        <f>IFERROR(
  IF(B621="", "", VLOOKUP(B621, Data!$B$2:$K$905, 9, FALSE)),
  ""
)</f>
        <v/>
      </c>
      <c r="S621" s="152">
        <f t="shared" si="461"/>
        <v>0</v>
      </c>
      <c r="T621" s="690"/>
      <c r="U621" s="136" t="str">
        <f>IFERROR(
  IF(B621="", "", VLOOKUP(B621, Data!$B$2:$K$905, 10, FALSE)),
  ""
)
</f>
        <v/>
      </c>
      <c r="V621" s="691"/>
      <c r="W621" s="140">
        <f t="shared" si="462"/>
        <v>0</v>
      </c>
      <c r="X621" s="692"/>
      <c r="Y621" s="595"/>
      <c r="Z621" s="595"/>
      <c r="AA621" s="595"/>
      <c r="AB621" s="354">
        <f t="shared" si="463"/>
        <v>0</v>
      </c>
      <c r="AC621" s="181"/>
      <c r="AD621" s="625"/>
      <c r="AE621" s="626"/>
      <c r="AF621" s="696"/>
      <c r="AG621" s="697"/>
      <c r="AH621" s="629"/>
      <c r="AI621" s="187"/>
      <c r="AJ621" s="630"/>
      <c r="AK621" s="630"/>
      <c r="AL621" s="595"/>
      <c r="AM621" s="595"/>
      <c r="AN621" s="595"/>
      <c r="AO621" s="595"/>
      <c r="AP621" s="595"/>
      <c r="AQ621" s="595"/>
      <c r="AR621" s="595"/>
      <c r="AS621" s="595"/>
      <c r="AT621" s="595"/>
      <c r="AU621" s="595"/>
      <c r="AV621" s="595"/>
      <c r="AW621" s="595"/>
      <c r="AX621" s="595"/>
      <c r="AY621" s="595"/>
      <c r="AZ621" s="595"/>
      <c r="BA621" s="595"/>
      <c r="BB621" s="595"/>
      <c r="BC621" s="595"/>
      <c r="BD621" s="595"/>
      <c r="BE621" s="595"/>
      <c r="BF621" s="595"/>
      <c r="BG621" s="595"/>
      <c r="BH621" s="595"/>
      <c r="BI621" s="651"/>
      <c r="BJ621" s="651"/>
      <c r="BK621" s="651"/>
      <c r="BL621" s="651"/>
      <c r="BM621" s="651"/>
      <c r="BN621" s="651"/>
      <c r="BO621" s="651"/>
      <c r="BP621" s="651"/>
      <c r="BQ621" s="651"/>
      <c r="BR621" s="651"/>
      <c r="BS621" s="651"/>
      <c r="BT621" s="651"/>
    </row>
    <row r="622">
      <c r="A622" s="631"/>
      <c r="B622" s="154" t="str">
        <f>IFERROR(__xludf.DUMMYFUNCTION("IFERROR(
  IF(C622="""","""",
    IF(OR(REGEXMATCH(D622,""(?i)-Flashing""), REGEXMATCH(D622,""(?i)-EavesGut""), REGEXMATCH(D622,""(?i)Valley"")),
        ""DR"" &amp;
        TEXT(
            ROUNDUP(
                MIN(
                    VALUE(MID(C622, "&amp;"FIND(""("",C622)+1, FIND(""/"",C622)-FIND(""("",C622)-1)),
                    1200
                ) / 50, 0
            ) * 50, ""0""
        ) &amp;
        MID(C622, FIND(""/"",C622)+1, FIND("")"",C622)-FIND(""/"",C622)-1) &amp;
        TEXT(H622*100,""0"") &amp;"&amp;"
        I622,
    IF(AND(D622=""Roof Sheet"", REGEXMATCH(C622,""(?i)KS\d{4}[A-Z]{2}"")),
       REGEXEXTRACT(C622,""(?i)KS\d{4}[A-Z]{2}""),
    IF(AND(REGEXMATCH(D622,""(?i)-DP""), REGEXMATCH(C622,""(?i)Downpipe"")),
       ""dp"" &amp; REGEXEXTRACT(C622,""("&amp;"\d+)"") &amp; ""mm"",
    IF(AND(REGEXMATCH(D622,""(?i)Bracket""), REGEXMATCH(C622,""(?i)Bracket"")),
       ""Brkt"" &amp; REGEXEXTRACT(C622,""(\d+)"") &amp; ""mm"",
    IF(AND(REGEXMATCH(D622,""(?i)-OP""), REGEXMATCH(C622,""(?i)pops"")),
       ""op"" &amp; REGEXEXTRAC"&amp;"T(C622,""(\d+)"") &amp; ""mm"",
    IF(OR(D622=""R-FFTop"", D622=""R-FFBottom"", D622=""R-FFSide""),
        IF(REGEXMATCH(C622,""(?i)Profiled.*Top|Top.*Profiled""),""pfft"",
        IF(REGEXMATCH(C622,""(?i)Profiled.*Bottom|Bottom.*Profiled""),""pffb"",
    "&amp;"    IF(REGEXMATCH(C622,""(?i)Square""),""sff"",""""))),
    IF(REGEXMATCH(D622,""(?i)-Rivets""),""Rvt"",
    IF(REGEXMATCH(D622,""(?i)Silicone""),""300ml"",
    IF(REGEXMATCH(D622,""(?i)R-Butyl""),""300ml"",
    IF(REGEXMATCH(D622,""(?i)Fix""),""GenFix"","&amp;"
    IF(AND(REGEXMATCH(C622,""(?i)Timber""), REGEXMATCH(D622,""(?i)Timber"")),""tp"",
    IF(AND(REGEXMATCH(C622,""(?i)Vent G1275""), REGEXMATCH(D622,""(?i)Comb FIller"")),""CFV1275"",
    IF(REGEXMATCH(C622,""(?i)DPC""),""dpc"",
    IF(REGEXMATCH(C622,"""&amp;"(?i)Concealed Clips""),""ConClips"",
    IF(REGEXMATCH(D622,""(?i)-Takeoff ea""),""Takeoff ea"",
    IF(REGEXMATCH(D622,""(?i)-Takeoff LM""),""Takeoff LM"",
    IF(REGEXMATCH(D622,""(?i)-Takeoff m2""),""Takeoff m2"",
    IF(D622=""R-TU/TD"",""TU/TD"","""""&amp;")))))))))))))))))
  )))"),"GenFix")</f>
        <v>GenFix</v>
      </c>
      <c r="C622" s="698" t="s">
        <v>102</v>
      </c>
      <c r="D622" s="148" t="s">
        <v>164</v>
      </c>
      <c r="E622" s="722"/>
      <c r="F622" s="699"/>
      <c r="G622" s="158"/>
      <c r="H622" s="700"/>
      <c r="I622" s="712"/>
      <c r="J622" s="126" t="s">
        <v>87</v>
      </c>
      <c r="K622" s="126" t="str">
        <f>IFERROR(
  IF(B622="", "", VLOOKUP(B622, Data!$B$2:$K$905, 7, FALSE)),
  ""
)</f>
        <v/>
      </c>
      <c r="L622" s="712"/>
      <c r="M622" s="150">
        <f>ROUNDUP(M619/0.6,0)+1</f>
        <v>20</v>
      </c>
      <c r="N622" s="151">
        <f t="shared" si="464"/>
        <v>1</v>
      </c>
      <c r="O622" s="169">
        <v>1.0</v>
      </c>
      <c r="P622" s="156">
        <v>2.0</v>
      </c>
      <c r="Q622" s="168">
        <f t="shared" si="460"/>
        <v>40</v>
      </c>
      <c r="R622" s="136" t="str">
        <f>IFERROR(
  IF(B622="", "", VLOOKUP(B622, Data!$B$2:$K$905, 9, FALSE)),
  ""
)</f>
        <v/>
      </c>
      <c r="S622" s="152">
        <f t="shared" si="461"/>
        <v>0</v>
      </c>
      <c r="T622" s="690"/>
      <c r="U622" s="136" t="str">
        <f>IFERROR(
  IF(B622="", "", VLOOKUP(B622, Data!$B$2:$K$905, 10, FALSE)),
  ""
)
</f>
        <v/>
      </c>
      <c r="V622" s="691"/>
      <c r="W622" s="140">
        <f t="shared" si="462"/>
        <v>0</v>
      </c>
      <c r="X622" s="692"/>
      <c r="Y622" s="595"/>
      <c r="Z622" s="595"/>
      <c r="AA622" s="595"/>
      <c r="AB622" s="354">
        <f t="shared" si="463"/>
        <v>0</v>
      </c>
      <c r="AC622" s="181"/>
      <c r="AD622" s="625"/>
      <c r="AE622" s="626"/>
      <c r="AF622" s="696"/>
      <c r="AG622" s="697"/>
      <c r="AH622" s="629"/>
      <c r="AI622" s="187"/>
      <c r="AJ622" s="630"/>
      <c r="AK622" s="630"/>
      <c r="AL622" s="595"/>
      <c r="AM622" s="595"/>
      <c r="AN622" s="595"/>
      <c r="AO622" s="595"/>
      <c r="AP622" s="595"/>
      <c r="AQ622" s="595"/>
      <c r="AR622" s="595"/>
      <c r="AS622" s="595"/>
      <c r="AT622" s="595"/>
      <c r="AU622" s="595"/>
      <c r="AV622" s="595"/>
      <c r="AW622" s="595"/>
      <c r="AX622" s="595"/>
      <c r="AY622" s="595"/>
      <c r="AZ622" s="595"/>
      <c r="BA622" s="595"/>
      <c r="BB622" s="595"/>
      <c r="BC622" s="595"/>
      <c r="BD622" s="595"/>
      <c r="BE622" s="595"/>
      <c r="BF622" s="595"/>
      <c r="BG622" s="595"/>
      <c r="BH622" s="595"/>
      <c r="BI622" s="651"/>
      <c r="BJ622" s="651"/>
      <c r="BK622" s="651"/>
      <c r="BL622" s="651"/>
      <c r="BM622" s="651"/>
      <c r="BN622" s="651"/>
      <c r="BO622" s="651"/>
      <c r="BP622" s="651"/>
      <c r="BQ622" s="651"/>
      <c r="BR622" s="651"/>
      <c r="BS622" s="651"/>
      <c r="BT622" s="651"/>
    </row>
    <row r="623">
      <c r="A623" s="631"/>
      <c r="B623" s="154" t="str">
        <f>IFERROR(__xludf.DUMMYFUNCTION("IFERROR(
  IF(C623="""","""",
    IF(OR(REGEXMATCH(D623,""(?i)-Flashing""), REGEXMATCH(D623,""(?i)-EavesGut""), REGEXMATCH(D623,""(?i)Valley"")),
        ""DR"" &amp;
        TEXT(
            ROUNDUP(
                MIN(
                    VALUE(MID(C623, "&amp;"FIND(""("",C623)+1, FIND(""/"",C623)-FIND(""("",C623)-1)),
                    1200
                ) / 50, 0
            ) * 50, ""0""
        ) &amp;
        MID(C623, FIND(""/"",C623)+1, FIND("")"",C623)-FIND(""/"",C623)-1) &amp;
        TEXT(H623*100,""0"") &amp;"&amp;"
        I623,
    IF(AND(D623=""Roof Sheet"", REGEXMATCH(C623,""(?i)KS\d{4}[A-Z]{2}"")),
       REGEXEXTRACT(C623,""(?i)KS\d{4}[A-Z]{2}""),
    IF(AND(REGEXMATCH(D623,""(?i)-DP""), REGEXMATCH(C623,""(?i)Downpipe"")),
       ""dp"" &amp; REGEXEXTRACT(C623,""("&amp;"\d+)"") &amp; ""mm"",
    IF(AND(REGEXMATCH(D623,""(?i)Bracket""), REGEXMATCH(C623,""(?i)Bracket"")),
       ""Brkt"" &amp; REGEXEXTRACT(C623,""(\d+)"") &amp; ""mm"",
    IF(AND(REGEXMATCH(D623,""(?i)-OP""), REGEXMATCH(C623,""(?i)pops"")),
       ""op"" &amp; REGEXEXTRAC"&amp;"T(C623,""(\d+)"") &amp; ""mm"",
    IF(OR(D623=""R-FFTop"", D623=""R-FFBottom"", D623=""R-FFSide""),
        IF(REGEXMATCH(C623,""(?i)Profiled.*Top|Top.*Profiled""),""pfft"",
        IF(REGEXMATCH(C623,""(?i)Profiled.*Bottom|Bottom.*Profiled""),""pffb"",
    "&amp;"    IF(REGEXMATCH(C623,""(?i)Square""),""sff"",""""))),
    IF(OR(D623=""W-FFTop"", D623=""W-FFBottom"", D623=""W-FFSide""),
        IF(REGEXMATCH(C623,""(?i)Profiled.*Top|Top.*Profiled""),""pfft"",
        IF(REGEXMATCH(C623,""(?i)Profiled.*Bottom|Bottom"&amp;".*Profiled""),""pffb"",
        IF(REGEXMATCH(C623,""(?i)Square""),""sff"",""""))),
    IF(REGEXMATCH(D623,""(?i)-Rivets""),""Rvt"",
    IF(REGEXMATCH(D623,""(?i)Silicone""),""300ml"",
    IF(REGEXMATCH(D623,""(?i)R-Butyl""),""300ml"",
    IF(REGEXMATCH(D"&amp;"623,""(?i)Fix""),""GenFix"",
    IF(AND(REGEXMATCH(C623,""(?i)Timber""), REGEXMATCH(D623,""(?i)Timber"")),""tp"",
    IF(AND(REGEXMATCH(C623,""(?i)Vent G1275""), REGEXMATCH(D623,""(?i)Comb FIller"")),""CFV1275"",
    IF(REGEXMATCH(C623,""(?i)DPC""),""dpc"&amp;""",
    IF(REGEXMATCH(C623,""(?i)Concealed Clips""),""ConClips"",
    IF(REGEXMATCH(D623,""(?i)-Takeoff ea""),""Takeoff ea"",
    IF(REGEXMATCH(D623,""(?i)-Takeoff LM""),""Takeoff LM"",
    IF(REGEXMATCH(D623,""(?i)-Takeoff m2""),""Takeoff m2"",
    IF(D6"&amp;"23=""R-TU/TD"",""TU/TD"",
    IF(D623=""W-TU/TD"",""TU/TD"","""")))))))))))))))))
  )))))"),"sff")</f>
        <v>sff</v>
      </c>
      <c r="C623" s="698" t="s">
        <v>454</v>
      </c>
      <c r="D623" s="148" t="s">
        <v>340</v>
      </c>
      <c r="E623" s="722"/>
      <c r="F623" s="699"/>
      <c r="G623" s="158"/>
      <c r="H623" s="700"/>
      <c r="I623" s="712"/>
      <c r="J623" s="126" t="s">
        <v>87</v>
      </c>
      <c r="K623" s="126" t="str">
        <f>IFERROR(
  IF(B623="", "", VLOOKUP(B623, Data!$B$2:$K$905, 7, FALSE)),
  ""
)</f>
        <v/>
      </c>
      <c r="L623" s="712"/>
      <c r="M623" s="150">
        <f>M619</f>
        <v>10.9</v>
      </c>
      <c r="N623" s="151">
        <f t="shared" si="464"/>
        <v>1</v>
      </c>
      <c r="O623" s="169">
        <v>1.0</v>
      </c>
      <c r="P623" s="156">
        <v>2.0</v>
      </c>
      <c r="Q623" s="168">
        <f t="shared" si="460"/>
        <v>21.8</v>
      </c>
      <c r="R623" s="136" t="str">
        <f>IFERROR(
  IF(B623="", "", VLOOKUP(B623, Data!$B$2:$K$905, 9, FALSE)),
  ""
)</f>
        <v/>
      </c>
      <c r="S623" s="152">
        <f t="shared" si="461"/>
        <v>0</v>
      </c>
      <c r="T623" s="690"/>
      <c r="U623" s="136" t="str">
        <f>IFERROR(
  IF(B623="", "", VLOOKUP(B623, Data!$B$2:$K$905, 10, FALSE)),
  ""
)
</f>
        <v/>
      </c>
      <c r="V623" s="691"/>
      <c r="W623" s="140">
        <f t="shared" si="462"/>
        <v>0</v>
      </c>
      <c r="X623" s="692"/>
      <c r="Y623" s="595"/>
      <c r="Z623" s="595"/>
      <c r="AA623" s="595"/>
      <c r="AB623" s="354">
        <f t="shared" si="463"/>
        <v>0</v>
      </c>
      <c r="AC623" s="181"/>
      <c r="AD623" s="625"/>
      <c r="AE623" s="626"/>
      <c r="AF623" s="696"/>
      <c r="AG623" s="697"/>
      <c r="AH623" s="629"/>
      <c r="AI623" s="187"/>
      <c r="AJ623" s="630"/>
      <c r="AK623" s="630"/>
      <c r="AL623" s="595"/>
      <c r="AM623" s="595"/>
      <c r="AN623" s="595"/>
      <c r="AO623" s="595"/>
      <c r="AP623" s="595"/>
      <c r="AQ623" s="595"/>
      <c r="AR623" s="595"/>
      <c r="AS623" s="595"/>
      <c r="AT623" s="595"/>
      <c r="AU623" s="595"/>
      <c r="AV623" s="595"/>
      <c r="AW623" s="595"/>
      <c r="AX623" s="595"/>
      <c r="AY623" s="595"/>
      <c r="AZ623" s="595"/>
      <c r="BA623" s="595"/>
      <c r="BB623" s="595"/>
      <c r="BC623" s="595"/>
      <c r="BD623" s="595"/>
      <c r="BE623" s="595"/>
      <c r="BF623" s="595"/>
      <c r="BG623" s="595"/>
      <c r="BH623" s="595"/>
      <c r="BI623" s="651"/>
      <c r="BJ623" s="651"/>
      <c r="BK623" s="651"/>
      <c r="BL623" s="651"/>
      <c r="BM623" s="651"/>
      <c r="BN623" s="651"/>
      <c r="BO623" s="651"/>
      <c r="BP623" s="651"/>
      <c r="BQ623" s="651"/>
      <c r="BR623" s="651"/>
      <c r="BS623" s="651"/>
      <c r="BT623" s="651"/>
    </row>
    <row r="624">
      <c r="A624" s="631"/>
      <c r="B624" s="154"/>
      <c r="C624" s="758"/>
      <c r="D624" s="701"/>
      <c r="E624" s="722"/>
      <c r="F624" s="699"/>
      <c r="G624" s="158"/>
      <c r="H624" s="700"/>
      <c r="I624" s="712"/>
      <c r="J624" s="701"/>
      <c r="K624" s="701"/>
      <c r="L624" s="712"/>
      <c r="M624" s="704"/>
      <c r="N624" s="151" t="str">
        <f t="shared" si="464"/>
        <v/>
      </c>
      <c r="O624" s="712"/>
      <c r="P624" s="700"/>
      <c r="Q624" s="712"/>
      <c r="R624" s="136" t="str">
        <f>IFERROR(
  IF(B624="", "", VLOOKUP(B624, Data!$B$2:$K$905, 9, FALSE)),
  ""
)</f>
        <v/>
      </c>
      <c r="S624" s="691"/>
      <c r="T624" s="690"/>
      <c r="U624" s="136" t="str">
        <f>IFERROR(
  IF(B624="", "", VLOOKUP(B624, Data!$B$2:$K$905, 10, FALSE)),
  ""
)
</f>
        <v/>
      </c>
      <c r="V624" s="691"/>
      <c r="W624" s="713"/>
      <c r="X624" s="692"/>
      <c r="Y624" s="595"/>
      <c r="Z624" s="595"/>
      <c r="AA624" s="595"/>
      <c r="AB624" s="354">
        <f t="shared" si="463"/>
        <v>0</v>
      </c>
      <c r="AC624" s="181"/>
      <c r="AD624" s="625"/>
      <c r="AE624" s="626"/>
      <c r="AF624" s="696"/>
      <c r="AG624" s="697"/>
      <c r="AH624" s="629"/>
      <c r="AI624" s="187"/>
      <c r="AJ624" s="630"/>
      <c r="AK624" s="630"/>
      <c r="AL624" s="595"/>
      <c r="AM624" s="595"/>
      <c r="AN624" s="595"/>
      <c r="AO624" s="595"/>
      <c r="AP624" s="595"/>
      <c r="AQ624" s="595"/>
      <c r="AR624" s="595"/>
      <c r="AS624" s="595"/>
      <c r="AT624" s="595"/>
      <c r="AU624" s="595"/>
      <c r="AV624" s="595"/>
      <c r="AW624" s="595"/>
      <c r="AX624" s="595"/>
      <c r="AY624" s="595"/>
      <c r="AZ624" s="595"/>
      <c r="BA624" s="595"/>
      <c r="BB624" s="595"/>
      <c r="BC624" s="595"/>
      <c r="BD624" s="595"/>
      <c r="BE624" s="595"/>
      <c r="BF624" s="595"/>
      <c r="BG624" s="595"/>
      <c r="BH624" s="595"/>
      <c r="BI624" s="651"/>
      <c r="BJ624" s="651"/>
      <c r="BK624" s="651"/>
      <c r="BL624" s="651"/>
      <c r="BM624" s="651"/>
      <c r="BN624" s="651"/>
      <c r="BO624" s="651"/>
      <c r="BP624" s="651"/>
      <c r="BQ624" s="651"/>
      <c r="BR624" s="651"/>
      <c r="BS624" s="651"/>
      <c r="BT624" s="651"/>
    </row>
    <row r="625">
      <c r="A625" s="631">
        <v>1.0</v>
      </c>
      <c r="B625" s="727"/>
      <c r="C625" s="103" t="s">
        <v>575</v>
      </c>
      <c r="D625" s="678"/>
      <c r="E625" s="676"/>
      <c r="F625" s="677"/>
      <c r="G625" s="157"/>
      <c r="H625" s="678"/>
      <c r="I625" s="679"/>
      <c r="J625" s="678"/>
      <c r="K625" s="678" t="s">
        <v>42</v>
      </c>
      <c r="L625" s="106">
        <f>Q625</f>
        <v>14.22</v>
      </c>
      <c r="M625" s="679" t="s">
        <v>42</v>
      </c>
      <c r="N625" s="680"/>
      <c r="O625" s="679"/>
      <c r="P625" s="678"/>
      <c r="Q625" s="106">
        <f>Q626</f>
        <v>14.22</v>
      </c>
      <c r="R625" s="136" t="str">
        <f>IFERROR(
  IF(B625="", "", VLOOKUP(B625, Data!$B$2:$K$905, 9, FALSE)),
  ""
)</f>
        <v/>
      </c>
      <c r="S625" s="682">
        <f>IFERROR(T625/Q625, 0)</f>
        <v>0</v>
      </c>
      <c r="T625" s="109">
        <f>SUM(S626:S636)</f>
        <v>0</v>
      </c>
      <c r="U625" s="136" t="str">
        <f>IFERROR(
  IF(B625="", "", VLOOKUP(B625, Data!$B$2:$K$905, 10, FALSE)),
  ""
)
</f>
        <v/>
      </c>
      <c r="V625" s="109">
        <f>W625/Q625</f>
        <v>0</v>
      </c>
      <c r="W625" s="110">
        <f>SUM(W626:W636)</f>
        <v>0</v>
      </c>
      <c r="X625" s="111" t="str">
        <f>W625/$AC$758/$W$765/$X$755</f>
        <v>#REF!</v>
      </c>
      <c r="Y625" s="112" t="b">
        <f>(T625+W625)=(SUM(AB626:AB636))</f>
        <v>1</v>
      </c>
      <c r="Z625" s="222">
        <f>(T625+W625)-(SUM(AB626:AB636))</f>
        <v>0</v>
      </c>
      <c r="AA625" s="595"/>
      <c r="AB625" s="595"/>
      <c r="AC625" s="181"/>
      <c r="AD625" s="114">
        <f>W625+T625</f>
        <v>0</v>
      </c>
      <c r="AE625" s="115">
        <f>AD625</f>
        <v>0</v>
      </c>
      <c r="AF625" s="116" t="str">
        <f>AE625/$AE$733</f>
        <v>#REF!</v>
      </c>
      <c r="AG625" s="683" t="str">
        <f>AF625*$AG$740</f>
        <v>#REF!</v>
      </c>
      <c r="AH625" s="118" t="str">
        <f>AF625*$AG$743</f>
        <v>#REF!</v>
      </c>
      <c r="AI625" s="187"/>
      <c r="AJ625" s="119" t="str">
        <f>ROUND(AK625/L625,2)</f>
        <v>#REF!</v>
      </c>
      <c r="AK625" s="119" t="str">
        <f>ROUND(AH625+AG625+AD625,2)</f>
        <v>#REF!</v>
      </c>
      <c r="AL625" s="595"/>
      <c r="AM625" s="595"/>
      <c r="AN625" s="595"/>
      <c r="AO625" s="595"/>
      <c r="AP625" s="595"/>
      <c r="AQ625" s="595"/>
      <c r="AR625" s="595"/>
      <c r="AS625" s="595"/>
      <c r="AT625" s="595"/>
      <c r="AU625" s="595"/>
      <c r="AV625" s="595"/>
      <c r="AW625" s="595"/>
      <c r="AX625" s="595"/>
      <c r="AY625" s="595"/>
      <c r="AZ625" s="595"/>
      <c r="BA625" s="595"/>
      <c r="BB625" s="595"/>
      <c r="BC625" s="595"/>
      <c r="BD625" s="595"/>
      <c r="BE625" s="595"/>
      <c r="BF625" s="595"/>
      <c r="BG625" s="595"/>
      <c r="BH625" s="595"/>
      <c r="BI625" s="651"/>
      <c r="BJ625" s="651"/>
      <c r="BK625" s="651"/>
      <c r="BL625" s="651"/>
      <c r="BM625" s="651"/>
      <c r="BN625" s="651"/>
      <c r="BO625" s="651"/>
      <c r="BP625" s="651"/>
      <c r="BQ625" s="651"/>
      <c r="BR625" s="651"/>
      <c r="BS625" s="651"/>
      <c r="BT625" s="651"/>
    </row>
    <row r="626">
      <c r="A626" s="716" t="s">
        <v>444</v>
      </c>
      <c r="B626" s="154" t="str">
        <f>IFERROR(__xludf.DUMMYFUNCTION("IFERROR(
  IF(C626="""","""",
    IF(OR(REGEXMATCH(D626,""(?i)-Flashing""), REGEXMATCH(D626,""(?i)-EavesGut""), REGEXMATCH(D626,""(?i)Valley"")),
        ""DR"" &amp;
        TEXT(
            ROUNDUP(
                MIN(
                    VALUE(MID(C626, "&amp;"FIND(""("",C626)+1, FIND(""/"",C626)-FIND(""("",C626)-1)),
                    1200
                ) / 50, 0
            ) * 50, ""0""
        ) &amp;
        MID(C626, FIND(""/"",C626)+1, FIND("")"",C626)-FIND(""/"",C626)-1) &amp;
        TEXT(H626*100,""0"") &amp;"&amp;"
        I626,
    IF(AND(D626=""Roof Sheet"", REGEXMATCH(C626,""(?i)KS\d{4}[A-Z]{2}"")),
       REGEXEXTRACT(C626,""(?i)KS\d{4}[A-Z]{2}""),
    IF(AND(REGEXMATCH(D626,""(?i)-DP""), REGEXMATCH(C626,""(?i)Downpipe"")),
       ""dp"" &amp; REGEXEXTRACT(C626,""("&amp;"\d+)"") &amp; ""mm"",
    IF(AND(REGEXMATCH(D626,""(?i)Bracket""), REGEXMATCH(C626,""(?i)Bracket"")),
       ""Brkt"" &amp; REGEXEXTRACT(C626,""(\d+)"") &amp; ""mm"",
    IF(AND(REGEXMATCH(D626,""(?i)-OP""), REGEXMATCH(C626,""(?i)pops"")),
       ""op"" &amp; REGEXEXTRAC"&amp;"T(C626,""(\d+)"") &amp; ""mm"",
    IF(OR(D626=""R-FFTop"", D626=""R-FFBottom"", D626=""R-FFSide""),
        IF(REGEXMATCH(C626,""(?i)Profiled.*Top|Top.*Profiled""),""pfft"",
        IF(REGEXMATCH(C626,""(?i)Profiled.*Bottom|Bottom.*Profiled""),""pffb"",
    "&amp;"    IF(REGEXMATCH(C626,""(?i)Square""),""sff"",""""))),
    IF(REGEXMATCH(D626,""(?i)-Rivets""),""Rvt"",
    IF(REGEXMATCH(D626,""(?i)Silicone""),""300ml"",
    IF(REGEXMATCH(D626,""(?i)R-Butyl""),""300ml"",
    IF(REGEXMATCH(D626,""(?i)Fix""),""GenFix"","&amp;"
    IF(AND(REGEXMATCH(C626,""(?i)Timber""), REGEXMATCH(D626,""(?i)Timber"")),""tp"",
    IF(AND(REGEXMATCH(C626,""(?i)Vent G1275""), REGEXMATCH(D626,""(?i)Comb FIller"")),""CFV1275"",
    IF(REGEXMATCH(C626,""(?i)DPC""),""dpc"",
    IF(REGEXMATCH(C626,"""&amp;"(?i)Concealed Clips""),""ConClips"",
    IF(REGEXMATCH(D626,""(?i)-Takeoff ea""),""Takeoff ea"",
    IF(REGEXMATCH(D626,""(?i)-Takeoff LM""),""Takeoff LM"",
    IF(REGEXMATCH(D626,""(?i)-Takeoff m2""),""Takeoff m2"",
    IF(D626=""R-TU/TD"",""TU/TD"","""""&amp;")))))))))))))))))
  )))"),"DR4503B55Mag")</f>
        <v>DR4503B55Mag</v>
      </c>
      <c r="C626" s="123" t="s">
        <v>576</v>
      </c>
      <c r="D626" s="148" t="s">
        <v>161</v>
      </c>
      <c r="E626" s="687">
        <f>VALUE(MID(C626, FIND("(", C626)+1, FIND("/", C626)-FIND("(", C626)-1)) / 1000</f>
        <v>0.41</v>
      </c>
      <c r="F626" s="688"/>
      <c r="G626" s="689" t="s">
        <v>574</v>
      </c>
      <c r="H626" s="128" t="str">
        <f>IFERROR(__xludf.DUMMYFUNCTION("IFERROR(REGEXEXTRACT(C626, ""(\d*\.\d+)mm""), """")"),"0.55")</f>
        <v>0.55</v>
      </c>
      <c r="I626" s="168" t="s">
        <v>97</v>
      </c>
      <c r="J626" s="126" t="s">
        <v>14</v>
      </c>
      <c r="K626" s="126" t="str">
        <f>IFERROR(
  IF(B626="", "", VLOOKUP(B626, Data!$B$2:$K$905, 7, FALSE)),
  ""
)</f>
        <v/>
      </c>
      <c r="L626" s="704"/>
      <c r="M626" s="730">
        <v>14.22</v>
      </c>
      <c r="N626" s="151">
        <f>IFERROR(__xludf.DUMMYFUNCTION("IF(
  AND(
    IFERROR(REGEXEXTRACT(C626,""@\s*(\d+(?:\.\d+)?)\s*deg""),"""")&lt;&gt;"""",
    F626&lt;&gt;""""
  ),
  ""Pls Confirm °"",
  IF(
    IFERROR(REGEXEXTRACT(C626,""@\s*(\d+(?:\.\d+)?)\s*deg""),"""")&lt;&gt;"""",
    1/COS(RADIANS(REGEXEXTRACT(C626,""@\s*(\d+(?:"&amp;"\.\d+)?)\s*deg""))),
    IF(
      F626&lt;&gt;"""",
      IF(
        ISNUMBER(SEARCH(""|"",F626)),
        1/COS(
          ATAN(
            TAN(RADIANS(VALUE(INDEX(SPLIT(F626,""|""),1)))) *
            TAN(RADIANS(VALUE(INDEX(SPLIT(F626,""|""),2))))
       "&amp;"     /
            SQRT(
              TAN(RADIANS(VALUE(INDEX(SPLIT(F626,""|""),1))))^2 +
              TAN(RADIANS(VALUE(INDEX(SPLIT(F626,""|""),2))))^2
            )
          )
        ),
        1/COS(RADIANS(VALUE(F626)))
      ),
      1
    )
  )
"&amp;")"),1.0)</f>
        <v>1</v>
      </c>
      <c r="O626" s="169">
        <v>1.0</v>
      </c>
      <c r="P626" s="134">
        <v>1.0</v>
      </c>
      <c r="Q626" s="168">
        <f t="shared" ref="Q626:Q630" si="465">M626*N626*O626*P626</f>
        <v>14.22</v>
      </c>
      <c r="R626" s="136" t="str">
        <f>IFERROR(
  IF(B626="", "", VLOOKUP(B626, Data!$B$2:$K$905, 9, FALSE)),
  ""
)</f>
        <v/>
      </c>
      <c r="S626" s="152">
        <f t="shared" ref="S626:S630" si="466">R626*Q626</f>
        <v>0</v>
      </c>
      <c r="T626" s="690"/>
      <c r="U626" s="136" t="str">
        <f>IFERROR(
  IF(B626="", "", VLOOKUP(B626, Data!$B$2:$K$905, 10, FALSE)),
  ""
)
</f>
        <v/>
      </c>
      <c r="V626" s="691"/>
      <c r="W626" s="140">
        <f t="shared" ref="W626:W630" si="467">U626*Q626</f>
        <v>0</v>
      </c>
      <c r="X626" s="692"/>
      <c r="Y626" s="693"/>
      <c r="Z626" s="731"/>
      <c r="AA626" s="595"/>
      <c r="AB626" s="354">
        <f t="shared" ref="AB626:AB630" si="468">W626+S626</f>
        <v>0</v>
      </c>
      <c r="AC626" s="181"/>
      <c r="AD626" s="625"/>
      <c r="AE626" s="626"/>
      <c r="AF626" s="696"/>
      <c r="AG626" s="697"/>
      <c r="AH626" s="629"/>
      <c r="AI626" s="187"/>
      <c r="AJ626" s="630"/>
      <c r="AK626" s="630"/>
      <c r="AL626" s="595"/>
      <c r="AM626" s="595"/>
      <c r="AN626" s="595"/>
      <c r="AO626" s="595"/>
      <c r="AP626" s="595"/>
      <c r="AQ626" s="595"/>
      <c r="AR626" s="595"/>
      <c r="AS626" s="595"/>
      <c r="AT626" s="595"/>
      <c r="AU626" s="595"/>
      <c r="AV626" s="595"/>
      <c r="AW626" s="595"/>
      <c r="AX626" s="595"/>
      <c r="AY626" s="595"/>
      <c r="AZ626" s="595"/>
      <c r="BA626" s="595"/>
      <c r="BB626" s="595"/>
      <c r="BC626" s="595"/>
      <c r="BD626" s="595"/>
      <c r="BE626" s="595"/>
      <c r="BF626" s="595"/>
      <c r="BG626" s="595"/>
      <c r="BH626" s="595"/>
      <c r="BI626" s="651"/>
      <c r="BJ626" s="651"/>
      <c r="BK626" s="651"/>
      <c r="BL626" s="651"/>
      <c r="BM626" s="651"/>
      <c r="BN626" s="651"/>
      <c r="BO626" s="651"/>
      <c r="BP626" s="651"/>
      <c r="BQ626" s="651"/>
      <c r="BR626" s="651"/>
      <c r="BS626" s="651"/>
      <c r="BT626" s="651"/>
    </row>
    <row r="627">
      <c r="A627" s="631"/>
      <c r="B627" s="154" t="str">
        <f>IFERROR(__xludf.DUMMYFUNCTION("IFERROR(
  IF(C627="""","""",
    IF(OR(REGEXMATCH(D627,""(?i)-Flashing""), REGEXMATCH(D627,""(?i)-EavesGut""), REGEXMATCH(D627,""(?i)Valley"")),
        ""DR"" &amp;
        TEXT(
            ROUNDUP(
                MIN(
                    VALUE(MID(C627, "&amp;"FIND(""("",C627)+1, FIND(""/"",C627)-FIND(""("",C627)-1)),
                    1200
                ) / 50, 0
            ) * 50, ""0""
        ) &amp;
        MID(C627, FIND(""/"",C627)+1, FIND("")"",C627)-FIND(""/"",C627)-1) &amp;
        TEXT(H627*100,""0"") &amp;"&amp;"
        I627,
    IF(AND(D627=""Roof Sheet"", REGEXMATCH(C627,""(?i)KS\d{4}[A-Z]{2}"")),
       REGEXEXTRACT(C627,""(?i)KS\d{4}[A-Z]{2}""),
    IF(AND(REGEXMATCH(D627,""(?i)-DP""), REGEXMATCH(C627,""(?i)Downpipe"")),
       ""dp"" &amp; REGEXEXTRACT(C627,""("&amp;"\d+)"") &amp; ""mm"",
    IF(AND(REGEXMATCH(D627,""(?i)Bracket""), REGEXMATCH(C627,""(?i)Bracket"")),
       ""Brkt"" &amp; REGEXEXTRACT(C627,""(\d+)"") &amp; ""mm"",
    IF(AND(REGEXMATCH(D627,""(?i)-OP""), REGEXMATCH(C627,""(?i)pops"")),
       ""op"" &amp; REGEXEXTRAC"&amp;"T(C627,""(\d+)"") &amp; ""mm"",
    IF(OR(D627=""R-FFTop"", D627=""R-FFBottom"", D627=""R-FFSide""),
        IF(REGEXMATCH(C627,""(?i)Profiled.*Top|Top.*Profiled""),""pfft"",
        IF(REGEXMATCH(C627,""(?i)Profiled.*Bottom|Bottom.*Profiled""),""pffb"",
    "&amp;"    IF(REGEXMATCH(C627,""(?i)Square""),""sff"",""""))),
    IF(REGEXMATCH(D627,""(?i)-Rivets""),""Rvt"",
    IF(REGEXMATCH(D627,""(?i)Silicone""),""300ml"",
    IF(REGEXMATCH(D627,""(?i)R-Butyl""),""300ml"",
    IF(REGEXMATCH(D627,""(?i)Fix""),""GenFix"","&amp;"
    IF(AND(REGEXMATCH(C627,""(?i)Timber""), REGEXMATCH(D627,""(?i)Timber"")),""tp"",
    IF(AND(REGEXMATCH(C627,""(?i)Vent G1275""), REGEXMATCH(D627,""(?i)Comb FIller"")),""CFV1275"",
    IF(REGEXMATCH(C627,""(?i)DPC""),""dpc"",
    IF(REGEXMATCH(C627,"""&amp;"(?i)Concealed Clips""),""ConClips"",
    IF(REGEXMATCH(D627,""(?i)-Takeoff ea""),""Takeoff ea"",
    IF(REGEXMATCH(D627,""(?i)-Takeoff LM""),""Takeoff LM"",
    IF(REGEXMATCH(D627,""(?i)-Takeoff m2""),""Takeoff m2"",
    IF(D627=""R-TU/TD"",""TU/TD"","""""&amp;")))))))))))))))))
  )))"),"300ml")</f>
        <v>300ml</v>
      </c>
      <c r="C627" s="734" t="s">
        <v>98</v>
      </c>
      <c r="D627" s="148" t="s">
        <v>162</v>
      </c>
      <c r="E627" s="687">
        <f>E626</f>
        <v>0.41</v>
      </c>
      <c r="F627" s="699"/>
      <c r="G627" s="225"/>
      <c r="H627" s="700" t="str">
        <f>IFERROR(__xludf.DUMMYFUNCTION("IFERROR(REGEXEXTRACT(C627, ""(\d*\.\d+)mm""), """")"),"")</f>
        <v/>
      </c>
      <c r="I627" s="712"/>
      <c r="J627" s="126" t="s">
        <v>87</v>
      </c>
      <c r="K627" s="126" t="str">
        <f>IFERROR(
  IF(B627="", "", VLOOKUP(B627, Data!$B$2:$K$905, 7, FALSE)),
  ""
)</f>
        <v/>
      </c>
      <c r="L627" s="704"/>
      <c r="M627" s="150">
        <f>(ROUNDDOWN((M626/5.7)+2,0)*E627)/8</f>
        <v>0.205</v>
      </c>
      <c r="N627" s="151">
        <f t="shared" ref="N627:N636" si="469">if(B627="","",(if(N626="",N625,N626)))</f>
        <v>1</v>
      </c>
      <c r="O627" s="169">
        <v>1.0</v>
      </c>
      <c r="P627" s="134">
        <v>1.0</v>
      </c>
      <c r="Q627" s="168">
        <f t="shared" si="465"/>
        <v>0.205</v>
      </c>
      <c r="R627" s="136" t="str">
        <f>IFERROR(
  IF(B627="", "", VLOOKUP(B627, Data!$B$2:$K$905, 9, FALSE)),
  ""
)</f>
        <v/>
      </c>
      <c r="S627" s="152">
        <f t="shared" si="466"/>
        <v>0</v>
      </c>
      <c r="T627" s="690"/>
      <c r="U627" s="136" t="str">
        <f>IFERROR(
  IF(B627="", "", VLOOKUP(B627, Data!$B$2:$K$905, 10, FALSE)),
  ""
)
</f>
        <v/>
      </c>
      <c r="V627" s="691"/>
      <c r="W627" s="140">
        <f t="shared" si="467"/>
        <v>0</v>
      </c>
      <c r="X627" s="692"/>
      <c r="Y627" s="595"/>
      <c r="Z627" s="595"/>
      <c r="AA627" s="595"/>
      <c r="AB627" s="354">
        <f t="shared" si="468"/>
        <v>0</v>
      </c>
      <c r="AC627" s="181"/>
      <c r="AD627" s="625"/>
      <c r="AE627" s="626"/>
      <c r="AF627" s="696"/>
      <c r="AG627" s="697"/>
      <c r="AH627" s="629"/>
      <c r="AI627" s="187"/>
      <c r="AJ627" s="630"/>
      <c r="AK627" s="630"/>
      <c r="AL627" s="595"/>
      <c r="AM627" s="595"/>
      <c r="AN627" s="595"/>
      <c r="AO627" s="595"/>
      <c r="AP627" s="595"/>
      <c r="AQ627" s="595"/>
      <c r="AR627" s="595"/>
      <c r="AS627" s="595"/>
      <c r="AT627" s="595"/>
      <c r="AU627" s="595"/>
      <c r="AV627" s="595"/>
      <c r="AW627" s="595"/>
      <c r="AX627" s="595"/>
      <c r="AY627" s="595"/>
      <c r="AZ627" s="595"/>
      <c r="BA627" s="595"/>
      <c r="BB627" s="595"/>
      <c r="BC627" s="595"/>
      <c r="BD627" s="595"/>
      <c r="BE627" s="595"/>
      <c r="BF627" s="595"/>
      <c r="BG627" s="595"/>
      <c r="BH627" s="595"/>
      <c r="BI627" s="651"/>
      <c r="BJ627" s="651"/>
      <c r="BK627" s="651"/>
      <c r="BL627" s="651"/>
      <c r="BM627" s="651"/>
      <c r="BN627" s="651"/>
      <c r="BO627" s="651"/>
      <c r="BP627" s="651"/>
      <c r="BQ627" s="651"/>
      <c r="BR627" s="651"/>
      <c r="BS627" s="651"/>
      <c r="BT627" s="651"/>
    </row>
    <row r="628">
      <c r="A628" s="631"/>
      <c r="B628" s="154" t="str">
        <f>IFERROR(__xludf.DUMMYFUNCTION("IFERROR(
  IF(C628="""","""",
    IF(OR(REGEXMATCH(D628,""(?i)-Flashing""), REGEXMATCH(D628,""(?i)-EavesGut""), REGEXMATCH(D628,""(?i)Valley"")),
        ""DR"" &amp;
        TEXT(
            ROUNDUP(
                MIN(
                    VALUE(MID(C628, "&amp;"FIND(""("",C628)+1, FIND(""/"",C628)-FIND(""("",C628)-1)),
                    1200
                ) / 50, 0
            ) * 50, ""0""
        ) &amp;
        MID(C628, FIND(""/"",C628)+1, FIND("")"",C628)-FIND(""/"",C628)-1) &amp;
        TEXT(H628*100,""0"") &amp;"&amp;"
        I628,
    IF(AND(D628=""Roof Sheet"", REGEXMATCH(C628,""(?i)KS\d{4}[A-Z]{2}"")),
       REGEXEXTRACT(C628,""(?i)KS\d{4}[A-Z]{2}""),
    IF(AND(REGEXMATCH(D628,""(?i)-DP""), REGEXMATCH(C628,""(?i)Downpipe"")),
       ""dp"" &amp; REGEXEXTRACT(C628,""("&amp;"\d+)"") &amp; ""mm"",
    IF(AND(REGEXMATCH(D628,""(?i)Bracket""), REGEXMATCH(C628,""(?i)Bracket"")),
       ""Brkt"" &amp; REGEXEXTRACT(C628,""(\d+)"") &amp; ""mm"",
    IF(AND(REGEXMATCH(D628,""(?i)-OP""), REGEXMATCH(C628,""(?i)pops"")),
       ""op"" &amp; REGEXEXTRAC"&amp;"T(C628,""(\d+)"") &amp; ""mm"",
    IF(OR(D628=""R-FFTop"", D628=""R-FFBottom"", D628=""R-FFSide""),
        IF(REGEXMATCH(C628,""(?i)Profiled.*Top|Top.*Profiled""),""pfft"",
        IF(REGEXMATCH(C628,""(?i)Profiled.*Bottom|Bottom.*Profiled""),""pffb"",
    "&amp;"    IF(REGEXMATCH(C628,""(?i)Square""),""sff"",""""))),
    IF(REGEXMATCH(D628,""(?i)-Rivets""),""Rvt"",
    IF(REGEXMATCH(D628,""(?i)Silicone""),""300ml"",
    IF(REGEXMATCH(D628,""(?i)R-Butyl""),""300ml"",
    IF(REGEXMATCH(D628,""(?i)Fix""),""GenFix"","&amp;"
    IF(AND(REGEXMATCH(C628,""(?i)Timber""), REGEXMATCH(D628,""(?i)Timber"")),""tp"",
    IF(AND(REGEXMATCH(C628,""(?i)Vent G1275""), REGEXMATCH(D628,""(?i)Comb FIller"")),""CFV1275"",
    IF(REGEXMATCH(C628,""(?i)DPC""),""dpc"",
    IF(REGEXMATCH(C628,"""&amp;"(?i)Concealed Clips""),""ConClips"",
    IF(REGEXMATCH(D628,""(?i)-Takeoff ea""),""Takeoff ea"",
    IF(REGEXMATCH(D628,""(?i)-Takeoff LM""),""Takeoff LM"",
    IF(REGEXMATCH(D628,""(?i)-Takeoff m2""),""Takeoff m2"",
    IF(D628=""R-TU/TD"",""TU/TD"","""""&amp;")))))))))))))))))
  )))"),"Rvt")</f>
        <v>Rvt</v>
      </c>
      <c r="C628" s="734" t="s">
        <v>100</v>
      </c>
      <c r="D628" s="148" t="s">
        <v>163</v>
      </c>
      <c r="E628" s="687">
        <f>E626</f>
        <v>0.41</v>
      </c>
      <c r="F628" s="699"/>
      <c r="G628" s="225"/>
      <c r="H628" s="700" t="str">
        <f>IFERROR(__xludf.DUMMYFUNCTION("IFERROR(REGEXEXTRACT(C628, ""(\d*\.\d+)mm""), """")"),"")</f>
        <v/>
      </c>
      <c r="I628" s="712"/>
      <c r="J628" s="126" t="s">
        <v>87</v>
      </c>
      <c r="K628" s="126" t="str">
        <f>IFERROR(
  IF(B628="", "", VLOOKUP(B628, Data!$B$2:$K$905, 7, FALSE)),
  ""
)</f>
        <v/>
      </c>
      <c r="L628" s="704"/>
      <c r="M628" s="150">
        <f>ROUNDUP(((M626/5.7)+1)*(E628/0.05),0)</f>
        <v>29</v>
      </c>
      <c r="N628" s="151">
        <f t="shared" si="469"/>
        <v>1</v>
      </c>
      <c r="O628" s="169">
        <v>1.0</v>
      </c>
      <c r="P628" s="134">
        <v>1.0</v>
      </c>
      <c r="Q628" s="168">
        <f t="shared" si="465"/>
        <v>29</v>
      </c>
      <c r="R628" s="136" t="str">
        <f>IFERROR(
  IF(B628="", "", VLOOKUP(B628, Data!$B$2:$K$905, 9, FALSE)),
  ""
)</f>
        <v/>
      </c>
      <c r="S628" s="152">
        <f t="shared" si="466"/>
        <v>0</v>
      </c>
      <c r="T628" s="690"/>
      <c r="U628" s="136" t="str">
        <f>IFERROR(
  IF(B628="", "", VLOOKUP(B628, Data!$B$2:$K$905, 10, FALSE)),
  ""
)
</f>
        <v/>
      </c>
      <c r="V628" s="691"/>
      <c r="W628" s="140">
        <f t="shared" si="467"/>
        <v>0</v>
      </c>
      <c r="X628" s="692"/>
      <c r="Y628" s="595"/>
      <c r="Z628" s="595"/>
      <c r="AA628" s="595"/>
      <c r="AB628" s="354">
        <f t="shared" si="468"/>
        <v>0</v>
      </c>
      <c r="AC628" s="181"/>
      <c r="AD628" s="625"/>
      <c r="AE628" s="626"/>
      <c r="AF628" s="696"/>
      <c r="AG628" s="697"/>
      <c r="AH628" s="629"/>
      <c r="AI628" s="187"/>
      <c r="AJ628" s="630"/>
      <c r="AK628" s="630"/>
      <c r="AL628" s="595"/>
      <c r="AM628" s="595"/>
      <c r="AN628" s="595"/>
      <c r="AO628" s="595"/>
      <c r="AP628" s="595"/>
      <c r="AQ628" s="595"/>
      <c r="AR628" s="595"/>
      <c r="AS628" s="595"/>
      <c r="AT628" s="595"/>
      <c r="AU628" s="595"/>
      <c r="AV628" s="595"/>
      <c r="AW628" s="595"/>
      <c r="AX628" s="595"/>
      <c r="AY628" s="595"/>
      <c r="AZ628" s="595"/>
      <c r="BA628" s="595"/>
      <c r="BB628" s="595"/>
      <c r="BC628" s="595"/>
      <c r="BD628" s="595"/>
      <c r="BE628" s="595"/>
      <c r="BF628" s="595"/>
      <c r="BG628" s="595"/>
      <c r="BH628" s="595"/>
      <c r="BI628" s="651"/>
      <c r="BJ628" s="651"/>
      <c r="BK628" s="651"/>
      <c r="BL628" s="651"/>
      <c r="BM628" s="651"/>
      <c r="BN628" s="651"/>
      <c r="BO628" s="651"/>
      <c r="BP628" s="651"/>
      <c r="BQ628" s="651"/>
      <c r="BR628" s="651"/>
      <c r="BS628" s="651"/>
      <c r="BT628" s="651"/>
    </row>
    <row r="629">
      <c r="A629" s="631"/>
      <c r="B629" s="154" t="str">
        <f>IFERROR(__xludf.DUMMYFUNCTION("IFERROR(
  IF(C629="""","""",
    IF(OR(REGEXMATCH(D629,""(?i)-Flashing""), REGEXMATCH(D629,""(?i)-EavesGut""), REGEXMATCH(D629,""(?i)Valley"")),
        ""DR"" &amp;
        TEXT(
            ROUNDUP(
                MIN(
                    VALUE(MID(C629, "&amp;"FIND(""("",C629)+1, FIND(""/"",C629)-FIND(""("",C629)-1)),
                    1200
                ) / 50, 0
            ) * 50, ""0""
        ) &amp;
        MID(C629, FIND(""/"",C629)+1, FIND("")"",C629)-FIND(""/"",C629)-1) &amp;
        TEXT(H629*100,""0"") &amp;"&amp;"
        I629,
    IF(AND(D629=""Roof Sheet"", REGEXMATCH(C629,""(?i)KS\d{4}[A-Z]{2}"")),
       REGEXEXTRACT(C629,""(?i)KS\d{4}[A-Z]{2}""),
    IF(AND(REGEXMATCH(D629,""(?i)-DP""), REGEXMATCH(C629,""(?i)Downpipe"")),
       ""dp"" &amp; REGEXEXTRACT(C629,""("&amp;"\d+)"") &amp; ""mm"",
    IF(AND(REGEXMATCH(D629,""(?i)Bracket""), REGEXMATCH(C629,""(?i)Bracket"")),
       ""Brkt"" &amp; REGEXEXTRACT(C629,""(\d+)"") &amp; ""mm"",
    IF(AND(REGEXMATCH(D629,""(?i)-OP""), REGEXMATCH(C629,""(?i)pops"")),
       ""op"" &amp; REGEXEXTRAC"&amp;"T(C629,""(\d+)"") &amp; ""mm"",
    IF(OR(D629=""R-FFTop"", D629=""R-FFBottom"", D629=""R-FFSide""),
        IF(REGEXMATCH(C629,""(?i)Profiled.*Top|Top.*Profiled""),""pfft"",
        IF(REGEXMATCH(C629,""(?i)Profiled.*Bottom|Bottom.*Profiled""),""pffb"",
    "&amp;"    IF(REGEXMATCH(C629,""(?i)Square""),""sff"",""""))),
    IF(REGEXMATCH(D629,""(?i)-Rivets""),""Rvt"",
    IF(REGEXMATCH(D629,""(?i)Silicone""),""300ml"",
    IF(REGEXMATCH(D629,""(?i)R-Butyl""),""300ml"",
    IF(REGEXMATCH(D629,""(?i)Fix""),""GenFix"","&amp;"
    IF(AND(REGEXMATCH(C629,""(?i)Timber""), REGEXMATCH(D629,""(?i)Timber"")),""tp"",
    IF(AND(REGEXMATCH(C629,""(?i)Vent G1275""), REGEXMATCH(D629,""(?i)Comb FIller"")),""CFV1275"",
    IF(REGEXMATCH(C629,""(?i)DPC""),""dpc"",
    IF(REGEXMATCH(C629,"""&amp;"(?i)Concealed Clips""),""ConClips"",
    IF(REGEXMATCH(D629,""(?i)-Takeoff ea""),""Takeoff ea"",
    IF(REGEXMATCH(D629,""(?i)-Takeoff LM""),""Takeoff LM"",
    IF(REGEXMATCH(D629,""(?i)-Takeoff m2""),""Takeoff m2"",
    IF(D629=""R-TU/TD"",""TU/TD"","""""&amp;")))))))))))))))))
  )))"),"GenFix")</f>
        <v>GenFix</v>
      </c>
      <c r="C629" s="698" t="s">
        <v>102</v>
      </c>
      <c r="D629" s="148" t="s">
        <v>164</v>
      </c>
      <c r="E629" s="722"/>
      <c r="F629" s="699"/>
      <c r="G629" s="158"/>
      <c r="H629" s="700"/>
      <c r="I629" s="712"/>
      <c r="J629" s="126" t="s">
        <v>87</v>
      </c>
      <c r="K629" s="126" t="str">
        <f>IFERROR(
  IF(B629="", "", VLOOKUP(B629, Data!$B$2:$K$905, 7, FALSE)),
  ""
)</f>
        <v/>
      </c>
      <c r="L629" s="712"/>
      <c r="M629" s="150">
        <f>ROUNDUP(M626/0.6,0)+1</f>
        <v>25</v>
      </c>
      <c r="N629" s="151">
        <f t="shared" si="469"/>
        <v>1</v>
      </c>
      <c r="O629" s="169">
        <v>1.0</v>
      </c>
      <c r="P629" s="156">
        <v>2.0</v>
      </c>
      <c r="Q629" s="168">
        <f t="shared" si="465"/>
        <v>50</v>
      </c>
      <c r="R629" s="136" t="str">
        <f>IFERROR(
  IF(B629="", "", VLOOKUP(B629, Data!$B$2:$K$905, 9, FALSE)),
  ""
)</f>
        <v/>
      </c>
      <c r="S629" s="152">
        <f t="shared" si="466"/>
        <v>0</v>
      </c>
      <c r="T629" s="690"/>
      <c r="U629" s="136" t="str">
        <f>IFERROR(
  IF(B629="", "", VLOOKUP(B629, Data!$B$2:$K$905, 10, FALSE)),
  ""
)
</f>
        <v/>
      </c>
      <c r="V629" s="691"/>
      <c r="W629" s="140">
        <f t="shared" si="467"/>
        <v>0</v>
      </c>
      <c r="X629" s="692"/>
      <c r="Y629" s="595"/>
      <c r="Z629" s="595"/>
      <c r="AA629" s="595"/>
      <c r="AB629" s="354">
        <f t="shared" si="468"/>
        <v>0</v>
      </c>
      <c r="AC629" s="181"/>
      <c r="AD629" s="625"/>
      <c r="AE629" s="626"/>
      <c r="AF629" s="696"/>
      <c r="AG629" s="697"/>
      <c r="AH629" s="629"/>
      <c r="AI629" s="187"/>
      <c r="AJ629" s="630"/>
      <c r="AK629" s="630"/>
      <c r="AL629" s="595"/>
      <c r="AM629" s="595"/>
      <c r="AN629" s="595"/>
      <c r="AO629" s="595"/>
      <c r="AP629" s="595"/>
      <c r="AQ629" s="595"/>
      <c r="AR629" s="595"/>
      <c r="AS629" s="595"/>
      <c r="AT629" s="595"/>
      <c r="AU629" s="595"/>
      <c r="AV629" s="595"/>
      <c r="AW629" s="595"/>
      <c r="AX629" s="595"/>
      <c r="AY629" s="595"/>
      <c r="AZ629" s="595"/>
      <c r="BA629" s="595"/>
      <c r="BB629" s="595"/>
      <c r="BC629" s="595"/>
      <c r="BD629" s="595"/>
      <c r="BE629" s="595"/>
      <c r="BF629" s="595"/>
      <c r="BG629" s="595"/>
      <c r="BH629" s="595"/>
      <c r="BI629" s="651"/>
      <c r="BJ629" s="651"/>
      <c r="BK629" s="651"/>
      <c r="BL629" s="651"/>
      <c r="BM629" s="651"/>
      <c r="BN629" s="651"/>
      <c r="BO629" s="651"/>
      <c r="BP629" s="651"/>
      <c r="BQ629" s="651"/>
      <c r="BR629" s="651"/>
      <c r="BS629" s="651"/>
      <c r="BT629" s="651"/>
    </row>
    <row r="630">
      <c r="A630" s="631"/>
      <c r="B630" s="154" t="str">
        <f>IFERROR(__xludf.DUMMYFUNCTION("IFERROR(
  IF(C630="""","""",
    IF(OR(REGEXMATCH(D630,""(?i)-Flashing""), REGEXMATCH(D630,""(?i)-EavesGut""), REGEXMATCH(D630,""(?i)Valley"")),
        ""DR"" &amp;
        TEXT(
            ROUNDUP(
                MIN(
                    VALUE(MID(C630, "&amp;"FIND(""("",C630)+1, FIND(""/"",C630)-FIND(""("",C630)-1)),
                    1200
                ) / 50, 0
            ) * 50, ""0""
        ) &amp;
        MID(C630, FIND(""/"",C630)+1, FIND("")"",C630)-FIND(""/"",C630)-1) &amp;
        TEXT(H630*100,""0"") &amp;"&amp;"
        I630,
    IF(AND(D630=""Roof Sheet"", REGEXMATCH(C630,""(?i)KS\d{4}[A-Z]{2}"")),
       REGEXEXTRACT(C630,""(?i)KS\d{4}[A-Z]{2}""),
    IF(AND(REGEXMATCH(D630,""(?i)-DP""), REGEXMATCH(C630,""(?i)Downpipe"")),
       ""dp"" &amp; REGEXEXTRACT(C630,""("&amp;"\d+)"") &amp; ""mm"",
    IF(AND(REGEXMATCH(D630,""(?i)Bracket""), REGEXMATCH(C630,""(?i)Bracket"")),
       ""Brkt"" &amp; REGEXEXTRACT(C630,""(\d+)"") &amp; ""mm"",
    IF(AND(REGEXMATCH(D630,""(?i)-OP""), REGEXMATCH(C630,""(?i)pops"")),
       ""op"" &amp; REGEXEXTRAC"&amp;"T(C630,""(\d+)"") &amp; ""mm"",
    IF(OR(D630=""R-FFTop"", D630=""R-FFBottom"", D630=""R-FFSide""),
        IF(REGEXMATCH(C630,""(?i)Profiled.*Top|Top.*Profiled""),""pfft"",
        IF(REGEXMATCH(C630,""(?i)Profiled.*Bottom|Bottom.*Profiled""),""pffb"",
    "&amp;"    IF(REGEXMATCH(C630,""(?i)Square""),""sff"",""""))),
    IF(OR(D630=""W-FFTop"", D630=""W-FFBottom"", D630=""W-FFSide""),
        IF(REGEXMATCH(C630,""(?i)Profiled.*Top|Top.*Profiled""),""pfft"",
        IF(REGEXMATCH(C630,""(?i)Profiled.*Bottom|Bottom"&amp;".*Profiled""),""pffb"",
        IF(REGEXMATCH(C630,""(?i)Square""),""sff"",""""))),
    IF(REGEXMATCH(D630,""(?i)-Rivets""),""Rvt"",
    IF(REGEXMATCH(D630,""(?i)Silicone""),""300ml"",
    IF(REGEXMATCH(D630,""(?i)R-Butyl""),""300ml"",
    IF(REGEXMATCH(D"&amp;"630,""(?i)Fix""),""GenFix"",
    IF(AND(REGEXMATCH(C630,""(?i)Timber""), REGEXMATCH(D630,""(?i)Timber"")),""tp"",
    IF(AND(REGEXMATCH(C630,""(?i)Vent G1275""), REGEXMATCH(D630,""(?i)Comb FIller"")),""CFV1275"",
    IF(REGEXMATCH(C630,""(?i)DPC""),""dpc"&amp;""",
    IF(REGEXMATCH(C630,""(?i)Concealed Clips""),""ConClips"",
    IF(REGEXMATCH(D630,""(?i)-Takeoff ea""),""Takeoff ea"",
    IF(REGEXMATCH(D630,""(?i)-Takeoff LM""),""Takeoff LM"",
    IF(REGEXMATCH(D630,""(?i)-Takeoff m2""),""Takeoff m2"",
    IF(D6"&amp;"30=""R-TU/TD"",""TU/TD"",
    IF(D630=""W-TU/TD"",""TU/TD"","""")))))))))))))))))
  )))))"),"sff")</f>
        <v>sff</v>
      </c>
      <c r="C630" s="698" t="s">
        <v>454</v>
      </c>
      <c r="D630" s="148" t="s">
        <v>340</v>
      </c>
      <c r="E630" s="722"/>
      <c r="F630" s="699"/>
      <c r="G630" s="158"/>
      <c r="H630" s="700"/>
      <c r="I630" s="712"/>
      <c r="J630" s="126" t="s">
        <v>87</v>
      </c>
      <c r="K630" s="126" t="str">
        <f>IFERROR(
  IF(B630="", "", VLOOKUP(B630, Data!$B$2:$K$905, 7, FALSE)),
  ""
)</f>
        <v/>
      </c>
      <c r="L630" s="712"/>
      <c r="M630" s="150">
        <f>M626</f>
        <v>14.22</v>
      </c>
      <c r="N630" s="151">
        <f t="shared" si="469"/>
        <v>1</v>
      </c>
      <c r="O630" s="169">
        <v>1.0</v>
      </c>
      <c r="P630" s="156">
        <v>2.0</v>
      </c>
      <c r="Q630" s="168">
        <f t="shared" si="465"/>
        <v>28.44</v>
      </c>
      <c r="R630" s="136" t="str">
        <f>IFERROR(
  IF(B630="", "", VLOOKUP(B630, Data!$B$2:$K$905, 9, FALSE)),
  ""
)</f>
        <v/>
      </c>
      <c r="S630" s="152">
        <f t="shared" si="466"/>
        <v>0</v>
      </c>
      <c r="T630" s="690"/>
      <c r="U630" s="136" t="str">
        <f>IFERROR(
  IF(B630="", "", VLOOKUP(B630, Data!$B$2:$K$905, 10, FALSE)),
  ""
)
</f>
        <v/>
      </c>
      <c r="V630" s="691"/>
      <c r="W630" s="140">
        <f t="shared" si="467"/>
        <v>0</v>
      </c>
      <c r="X630" s="692"/>
      <c r="Y630" s="595"/>
      <c r="Z630" s="595"/>
      <c r="AA630" s="595"/>
      <c r="AB630" s="354">
        <f t="shared" si="468"/>
        <v>0</v>
      </c>
      <c r="AC630" s="181"/>
      <c r="AD630" s="625"/>
      <c r="AE630" s="626"/>
      <c r="AF630" s="696"/>
      <c r="AG630" s="697"/>
      <c r="AH630" s="629"/>
      <c r="AI630" s="187"/>
      <c r="AJ630" s="630"/>
      <c r="AK630" s="630"/>
      <c r="AL630" s="595"/>
      <c r="AM630" s="595"/>
      <c r="AN630" s="595"/>
      <c r="AO630" s="595"/>
      <c r="AP630" s="595"/>
      <c r="AQ630" s="595"/>
      <c r="AR630" s="595"/>
      <c r="AS630" s="595"/>
      <c r="AT630" s="595"/>
      <c r="AU630" s="595"/>
      <c r="AV630" s="595"/>
      <c r="AW630" s="595"/>
      <c r="AX630" s="595"/>
      <c r="AY630" s="595"/>
      <c r="AZ630" s="595"/>
      <c r="BA630" s="595"/>
      <c r="BB630" s="595"/>
      <c r="BC630" s="595"/>
      <c r="BD630" s="595"/>
      <c r="BE630" s="595"/>
      <c r="BF630" s="595"/>
      <c r="BG630" s="595"/>
      <c r="BH630" s="595"/>
      <c r="BI630" s="651"/>
      <c r="BJ630" s="651"/>
      <c r="BK630" s="651"/>
      <c r="BL630" s="651"/>
      <c r="BM630" s="651"/>
      <c r="BN630" s="651"/>
      <c r="BO630" s="651"/>
      <c r="BP630" s="651"/>
      <c r="BQ630" s="651"/>
      <c r="BR630" s="651"/>
      <c r="BS630" s="651"/>
      <c r="BT630" s="651"/>
    </row>
    <row r="631">
      <c r="A631" s="631"/>
      <c r="B631" s="154"/>
      <c r="C631" s="123"/>
      <c r="D631" s="148"/>
      <c r="E631" s="687"/>
      <c r="F631" s="699"/>
      <c r="G631" s="689"/>
      <c r="H631" s="128"/>
      <c r="I631" s="168"/>
      <c r="J631" s="126"/>
      <c r="K631" s="126"/>
      <c r="L631" s="704"/>
      <c r="M631" s="730"/>
      <c r="N631" s="151" t="str">
        <f t="shared" si="469"/>
        <v/>
      </c>
      <c r="O631" s="169"/>
      <c r="P631" s="134"/>
      <c r="Q631" s="168"/>
      <c r="R631" s="136"/>
      <c r="S631" s="152"/>
      <c r="T631" s="690"/>
      <c r="U631" s="136"/>
      <c r="V631" s="691"/>
      <c r="W631" s="140"/>
      <c r="X631" s="692"/>
      <c r="Y631" s="693"/>
      <c r="Z631" s="731"/>
      <c r="AA631" s="595"/>
      <c r="AB631" s="354"/>
      <c r="AC631" s="181"/>
      <c r="AD631" s="625"/>
      <c r="AE631" s="626"/>
      <c r="AF631" s="696"/>
      <c r="AG631" s="697"/>
      <c r="AH631" s="629"/>
      <c r="AI631" s="187"/>
      <c r="AJ631" s="630"/>
      <c r="AK631" s="630"/>
      <c r="AL631" s="595"/>
      <c r="AM631" s="595"/>
      <c r="AN631" s="595"/>
      <c r="AO631" s="595"/>
      <c r="AP631" s="595"/>
      <c r="AQ631" s="595"/>
      <c r="AR631" s="595"/>
      <c r="AS631" s="595"/>
      <c r="AT631" s="595"/>
      <c r="AU631" s="595"/>
      <c r="AV631" s="595"/>
      <c r="AW631" s="595"/>
      <c r="AX631" s="595"/>
      <c r="AY631" s="595"/>
      <c r="AZ631" s="595"/>
      <c r="BA631" s="595"/>
      <c r="BB631" s="595"/>
      <c r="BC631" s="595"/>
      <c r="BD631" s="595"/>
      <c r="BE631" s="595"/>
      <c r="BF631" s="595"/>
      <c r="BG631" s="595"/>
      <c r="BH631" s="595"/>
      <c r="BI631" s="651"/>
      <c r="BJ631" s="651"/>
      <c r="BK631" s="651"/>
      <c r="BL631" s="651"/>
      <c r="BM631" s="651"/>
      <c r="BN631" s="651"/>
      <c r="BO631" s="651"/>
      <c r="BP631" s="651"/>
      <c r="BQ631" s="651"/>
      <c r="BR631" s="651"/>
      <c r="BS631" s="651"/>
      <c r="BT631" s="651"/>
    </row>
    <row r="632">
      <c r="A632" s="716" t="s">
        <v>444</v>
      </c>
      <c r="B632" s="154" t="str">
        <f>IFERROR(__xludf.DUMMYFUNCTION("IFERROR(
  IF(C632="""","""",
    IF(OR(REGEXMATCH(D632,""(?i)-Flashing""), REGEXMATCH(D632,""(?i)-EavesGut""), REGEXMATCH(D632,""(?i)Valley"")),
        ""DR"" &amp;
        TEXT(
            ROUNDUP(
                MIN(
                    VALUE(MID(C632, "&amp;"FIND(""("",C632)+1, FIND(""/"",C632)-FIND(""("",C632)-1)),
                    1200
                ) / 50, 0
            ) * 50, ""0""
        ) &amp;
        MID(C632, FIND(""/"",C632)+1, FIND("")"",C632)-FIND(""/"",C632)-1) &amp;
        TEXT(H632*100,""0"") &amp;"&amp;"
        I632,
    IF(AND(D632=""Roof Sheet"", REGEXMATCH(C632,""(?i)KS\d{4}[A-Z]{2}"")),
       REGEXEXTRACT(C632,""(?i)KS\d{4}[A-Z]{2}""),
    IF(AND(REGEXMATCH(D632,""(?i)-DP""), REGEXMATCH(C632,""(?i)Downpipe"")),
       ""dp"" &amp; REGEXEXTRACT(C632,""("&amp;"\d+)"") &amp; ""mm"",
    IF(AND(REGEXMATCH(D632,""(?i)Bracket""), REGEXMATCH(C632,""(?i)Bracket"")),
       ""Brkt"" &amp; REGEXEXTRACT(C632,""(\d+)"") &amp; ""mm"",
    IF(AND(REGEXMATCH(D632,""(?i)-OP""), REGEXMATCH(C632,""(?i)pops"")),
       ""op"" &amp; REGEXEXTRAC"&amp;"T(C632,""(\d+)"") &amp; ""mm"",
    IF(OR(D632=""R-FFTop"", D632=""R-FFBottom"", D632=""R-FFSide""),
        IF(REGEXMATCH(C632,""(?i)Profiled.*Top|Top.*Profiled""),""pfft"",
        IF(REGEXMATCH(C632,""(?i)Profiled.*Bottom|Bottom.*Profiled""),""pffb"",
    "&amp;"    IF(REGEXMATCH(C632,""(?i)Square""),""sff"",""""))),
    IF(REGEXMATCH(D632,""(?i)-Rivets""),""Rvt"",
    IF(REGEXMATCH(D632,""(?i)Silicone""),""300ml"",
    IF(REGEXMATCH(D632,""(?i)R-Butyl""),""300ml"",
    IF(REGEXMATCH(D632,""(?i)Fix""),""GenFix"","&amp;"
    IF(AND(REGEXMATCH(C632,""(?i)Timber""), REGEXMATCH(D632,""(?i)Timber"")),""tp"",
    IF(AND(REGEXMATCH(C632,""(?i)Vent G1275""), REGEXMATCH(D632,""(?i)Comb FIller"")),""CFV1275"",
    IF(REGEXMATCH(C632,""(?i)DPC""),""dpc"",
    IF(REGEXMATCH(C632,"""&amp;"(?i)Concealed Clips""),""ConClips"",
    IF(REGEXMATCH(D632,""(?i)-Takeoff ea""),""Takeoff ea"",
    IF(REGEXMATCH(D632,""(?i)-Takeoff LM""),""Takeoff LM"",
    IF(REGEXMATCH(D632,""(?i)-Takeoff m2""),""Takeoff m2"",
    IF(D632=""R-TU/TD"",""TU/TD"","""""&amp;")))))))))))))))))
  )))"),"DR3507B55Mag")</f>
        <v>DR3507B55Mag</v>
      </c>
      <c r="C632" s="123" t="s">
        <v>577</v>
      </c>
      <c r="D632" s="148" t="s">
        <v>161</v>
      </c>
      <c r="E632" s="687">
        <f>VALUE(MID(C632, FIND("(", C632)+1, FIND("/", C632)-FIND("(", C632)-1)) / 1000</f>
        <v>0.31</v>
      </c>
      <c r="F632" s="699"/>
      <c r="G632" s="689" t="s">
        <v>574</v>
      </c>
      <c r="H632" s="128" t="str">
        <f>IFERROR(__xludf.DUMMYFUNCTION("IFERROR(REGEXEXTRACT(C632, ""(\d*\.\d+)mm""), """")"),"0.55")</f>
        <v>0.55</v>
      </c>
      <c r="I632" s="168" t="s">
        <v>97</v>
      </c>
      <c r="J632" s="126" t="s">
        <v>14</v>
      </c>
      <c r="K632" s="126" t="str">
        <f>IFERROR(
  IF(B632="", "", VLOOKUP(B632, Data!$B$2:$K$905, 7, FALSE)),
  ""
)</f>
        <v/>
      </c>
      <c r="L632" s="704"/>
      <c r="M632" s="730">
        <f>M626</f>
        <v>14.22</v>
      </c>
      <c r="N632" s="151">
        <f t="shared" si="469"/>
        <v>1</v>
      </c>
      <c r="O632" s="169">
        <v>1.0</v>
      </c>
      <c r="P632" s="134">
        <v>1.0</v>
      </c>
      <c r="Q632" s="168">
        <f t="shared" ref="Q632:Q635" si="470">M632*N632*O632*P632</f>
        <v>14.22</v>
      </c>
      <c r="R632" s="136" t="str">
        <f>IFERROR(
  IF(B632="", "", VLOOKUP(B632, Data!$B$2:$K$905, 9, FALSE)),
  ""
)</f>
        <v/>
      </c>
      <c r="S632" s="152">
        <f t="shared" ref="S632:S635" si="471">R632*Q632</f>
        <v>0</v>
      </c>
      <c r="T632" s="690"/>
      <c r="U632" s="136" t="str">
        <f>IFERROR(
  IF(B632="", "", VLOOKUP(B632, Data!$B$2:$K$905, 10, FALSE)),
  ""
)
</f>
        <v/>
      </c>
      <c r="V632" s="691"/>
      <c r="W632" s="140">
        <f t="shared" ref="W632:W635" si="472">U632*Q632</f>
        <v>0</v>
      </c>
      <c r="X632" s="692"/>
      <c r="Y632" s="693"/>
      <c r="Z632" s="731"/>
      <c r="AA632" s="595"/>
      <c r="AB632" s="354">
        <f t="shared" ref="AB632:AB636" si="473">W632+S632</f>
        <v>0</v>
      </c>
      <c r="AC632" s="181"/>
      <c r="AD632" s="625"/>
      <c r="AE632" s="626"/>
      <c r="AF632" s="696"/>
      <c r="AG632" s="697"/>
      <c r="AH632" s="629"/>
      <c r="AI632" s="187"/>
      <c r="AJ632" s="630"/>
      <c r="AK632" s="630"/>
      <c r="AL632" s="595"/>
      <c r="AM632" s="595"/>
      <c r="AN632" s="595"/>
      <c r="AO632" s="595"/>
      <c r="AP632" s="595"/>
      <c r="AQ632" s="595"/>
      <c r="AR632" s="595"/>
      <c r="AS632" s="595"/>
      <c r="AT632" s="595"/>
      <c r="AU632" s="595"/>
      <c r="AV632" s="595"/>
      <c r="AW632" s="595"/>
      <c r="AX632" s="595"/>
      <c r="AY632" s="595"/>
      <c r="AZ632" s="595"/>
      <c r="BA632" s="595"/>
      <c r="BB632" s="595"/>
      <c r="BC632" s="595"/>
      <c r="BD632" s="595"/>
      <c r="BE632" s="595"/>
      <c r="BF632" s="595"/>
      <c r="BG632" s="595"/>
      <c r="BH632" s="595"/>
      <c r="BI632" s="651"/>
      <c r="BJ632" s="651"/>
      <c r="BK632" s="651"/>
      <c r="BL632" s="651"/>
      <c r="BM632" s="651"/>
      <c r="BN632" s="651"/>
      <c r="BO632" s="651"/>
      <c r="BP632" s="651"/>
      <c r="BQ632" s="651"/>
      <c r="BR632" s="651"/>
      <c r="BS632" s="651"/>
      <c r="BT632" s="651"/>
    </row>
    <row r="633">
      <c r="A633" s="631"/>
      <c r="B633" s="154" t="str">
        <f>IFERROR(__xludf.DUMMYFUNCTION("IFERROR(
  IF(C633="""","""",
    IF(OR(REGEXMATCH(D633,""(?i)-Flashing""), REGEXMATCH(D633,""(?i)-EavesGut""), REGEXMATCH(D633,""(?i)Valley"")),
        ""DR"" &amp;
        TEXT(
            ROUNDUP(
                MIN(
                    VALUE(MID(C633, "&amp;"FIND(""("",C633)+1, FIND(""/"",C633)-FIND(""("",C633)-1)),
                    1200
                ) / 50, 0
            ) * 50, ""0""
        ) &amp;
        MID(C633, FIND(""/"",C633)+1, FIND("")"",C633)-FIND(""/"",C633)-1) &amp;
        TEXT(H633*100,""0"") &amp;"&amp;"
        I633,
    IF(AND(D633=""Roof Sheet"", REGEXMATCH(C633,""(?i)KS\d{4}[A-Z]{2}"")),
       REGEXEXTRACT(C633,""(?i)KS\d{4}[A-Z]{2}""),
    IF(AND(REGEXMATCH(D633,""(?i)-DP""), REGEXMATCH(C633,""(?i)Downpipe"")),
       ""dp"" &amp; REGEXEXTRACT(C633,""("&amp;"\d+)"") &amp; ""mm"",
    IF(AND(REGEXMATCH(D633,""(?i)Bracket""), REGEXMATCH(C633,""(?i)Bracket"")),
       ""Brkt"" &amp; REGEXEXTRACT(C633,""(\d+)"") &amp; ""mm"",
    IF(AND(REGEXMATCH(D633,""(?i)-OP""), REGEXMATCH(C633,""(?i)pops"")),
       ""op"" &amp; REGEXEXTRAC"&amp;"T(C633,""(\d+)"") &amp; ""mm"",
    IF(OR(D633=""R-FFTop"", D633=""R-FFBottom"", D633=""R-FFSide""),
        IF(REGEXMATCH(C633,""(?i)Profiled.*Top|Top.*Profiled""),""pfft"",
        IF(REGEXMATCH(C633,""(?i)Profiled.*Bottom|Bottom.*Profiled""),""pffb"",
    "&amp;"    IF(REGEXMATCH(C633,""(?i)Square""),""sff"",""""))),
    IF(REGEXMATCH(D633,""(?i)-Rivets""),""Rvt"",
    IF(REGEXMATCH(D633,""(?i)Silicone""),""300ml"",
    IF(REGEXMATCH(D633,""(?i)R-Butyl""),""300ml"",
    IF(REGEXMATCH(D633,""(?i)Fix""),""GenFix"","&amp;"
    IF(AND(REGEXMATCH(C633,""(?i)Timber""), REGEXMATCH(D633,""(?i)Timber"")),""tp"",
    IF(AND(REGEXMATCH(C633,""(?i)Vent G1275""), REGEXMATCH(D633,""(?i)Comb FIller"")),""CFV1275"",
    IF(REGEXMATCH(C633,""(?i)DPC""),""dpc"",
    IF(REGEXMATCH(C633,"""&amp;"(?i)Concealed Clips""),""ConClips"",
    IF(REGEXMATCH(D633,""(?i)-Takeoff ea""),""Takeoff ea"",
    IF(REGEXMATCH(D633,""(?i)-Takeoff LM""),""Takeoff LM"",
    IF(REGEXMATCH(D633,""(?i)-Takeoff m2""),""Takeoff m2"",
    IF(D633=""R-TU/TD"",""TU/TD"","""""&amp;")))))))))))))))))
  )))"),"300ml")</f>
        <v>300ml</v>
      </c>
      <c r="C633" s="734" t="s">
        <v>98</v>
      </c>
      <c r="D633" s="148" t="s">
        <v>162</v>
      </c>
      <c r="E633" s="687">
        <f>E632</f>
        <v>0.31</v>
      </c>
      <c r="F633" s="699"/>
      <c r="G633" s="225"/>
      <c r="H633" s="700" t="str">
        <f>IFERROR(__xludf.DUMMYFUNCTION("IFERROR(REGEXEXTRACT(C633, ""(\d*\.\d+)mm""), """")"),"")</f>
        <v/>
      </c>
      <c r="I633" s="712"/>
      <c r="J633" s="126" t="s">
        <v>87</v>
      </c>
      <c r="K633" s="126" t="str">
        <f>IFERROR(
  IF(B633="", "", VLOOKUP(B633, Data!$B$2:$K$905, 7, FALSE)),
  ""
)</f>
        <v/>
      </c>
      <c r="L633" s="704"/>
      <c r="M633" s="150">
        <f>(ROUNDDOWN((M632/5.7)+2,0)*E633)/8</f>
        <v>0.155</v>
      </c>
      <c r="N633" s="151">
        <f t="shared" si="469"/>
        <v>1</v>
      </c>
      <c r="O633" s="169">
        <v>1.0</v>
      </c>
      <c r="P633" s="134">
        <v>1.0</v>
      </c>
      <c r="Q633" s="168">
        <f t="shared" si="470"/>
        <v>0.155</v>
      </c>
      <c r="R633" s="136" t="str">
        <f>IFERROR(
  IF(B633="", "", VLOOKUP(B633, Data!$B$2:$K$905, 9, FALSE)),
  ""
)</f>
        <v/>
      </c>
      <c r="S633" s="152">
        <f t="shared" si="471"/>
        <v>0</v>
      </c>
      <c r="T633" s="690"/>
      <c r="U633" s="136" t="str">
        <f>IFERROR(
  IF(B633="", "", VLOOKUP(B633, Data!$B$2:$K$905, 10, FALSE)),
  ""
)
</f>
        <v/>
      </c>
      <c r="V633" s="691"/>
      <c r="W633" s="140">
        <f t="shared" si="472"/>
        <v>0</v>
      </c>
      <c r="X633" s="692"/>
      <c r="Y633" s="595"/>
      <c r="Z633" s="595"/>
      <c r="AA633" s="595"/>
      <c r="AB633" s="354">
        <f t="shared" si="473"/>
        <v>0</v>
      </c>
      <c r="AC633" s="181"/>
      <c r="AD633" s="625"/>
      <c r="AE633" s="626"/>
      <c r="AF633" s="696"/>
      <c r="AG633" s="697"/>
      <c r="AH633" s="629"/>
      <c r="AI633" s="187"/>
      <c r="AJ633" s="630"/>
      <c r="AK633" s="630"/>
      <c r="AL633" s="595"/>
      <c r="AM633" s="595"/>
      <c r="AN633" s="595"/>
      <c r="AO633" s="595"/>
      <c r="AP633" s="595"/>
      <c r="AQ633" s="595"/>
      <c r="AR633" s="595"/>
      <c r="AS633" s="595"/>
      <c r="AT633" s="595"/>
      <c r="AU633" s="595"/>
      <c r="AV633" s="595"/>
      <c r="AW633" s="595"/>
      <c r="AX633" s="595"/>
      <c r="AY633" s="595"/>
      <c r="AZ633" s="595"/>
      <c r="BA633" s="595"/>
      <c r="BB633" s="595"/>
      <c r="BC633" s="595"/>
      <c r="BD633" s="595"/>
      <c r="BE633" s="595"/>
      <c r="BF633" s="595"/>
      <c r="BG633" s="595"/>
      <c r="BH633" s="595"/>
      <c r="BI633" s="651"/>
      <c r="BJ633" s="651"/>
      <c r="BK633" s="651"/>
      <c r="BL633" s="651"/>
      <c r="BM633" s="651"/>
      <c r="BN633" s="651"/>
      <c r="BO633" s="651"/>
      <c r="BP633" s="651"/>
      <c r="BQ633" s="651"/>
      <c r="BR633" s="651"/>
      <c r="BS633" s="651"/>
      <c r="BT633" s="651"/>
    </row>
    <row r="634">
      <c r="A634" s="631"/>
      <c r="B634" s="154" t="str">
        <f>IFERROR(__xludf.DUMMYFUNCTION("IFERROR(
  IF(C634="""","""",
    IF(OR(REGEXMATCH(D634,""(?i)-Flashing""), REGEXMATCH(D634,""(?i)-EavesGut""), REGEXMATCH(D634,""(?i)Valley"")),
        ""DR"" &amp;
        TEXT(
            ROUNDUP(
                MIN(
                    VALUE(MID(C634, "&amp;"FIND(""("",C634)+1, FIND(""/"",C634)-FIND(""("",C634)-1)),
                    1200
                ) / 50, 0
            ) * 50, ""0""
        ) &amp;
        MID(C634, FIND(""/"",C634)+1, FIND("")"",C634)-FIND(""/"",C634)-1) &amp;
        TEXT(H634*100,""0"") &amp;"&amp;"
        I634,
    IF(AND(D634=""Roof Sheet"", REGEXMATCH(C634,""(?i)KS\d{4}[A-Z]{2}"")),
       REGEXEXTRACT(C634,""(?i)KS\d{4}[A-Z]{2}""),
    IF(AND(REGEXMATCH(D634,""(?i)-DP""), REGEXMATCH(C634,""(?i)Downpipe"")),
       ""dp"" &amp; REGEXEXTRACT(C634,""("&amp;"\d+)"") &amp; ""mm"",
    IF(AND(REGEXMATCH(D634,""(?i)Bracket""), REGEXMATCH(C634,""(?i)Bracket"")),
       ""Brkt"" &amp; REGEXEXTRACT(C634,""(\d+)"") &amp; ""mm"",
    IF(AND(REGEXMATCH(D634,""(?i)-OP""), REGEXMATCH(C634,""(?i)pops"")),
       ""op"" &amp; REGEXEXTRAC"&amp;"T(C634,""(\d+)"") &amp; ""mm"",
    IF(OR(D634=""R-FFTop"", D634=""R-FFBottom"", D634=""R-FFSide""),
        IF(REGEXMATCH(C634,""(?i)Profiled.*Top|Top.*Profiled""),""pfft"",
        IF(REGEXMATCH(C634,""(?i)Profiled.*Bottom|Bottom.*Profiled""),""pffb"",
    "&amp;"    IF(REGEXMATCH(C634,""(?i)Square""),""sff"",""""))),
    IF(REGEXMATCH(D634,""(?i)-Rivets""),""Rvt"",
    IF(REGEXMATCH(D634,""(?i)Silicone""),""300ml"",
    IF(REGEXMATCH(D634,""(?i)R-Butyl""),""300ml"",
    IF(REGEXMATCH(D634,""(?i)Fix""),""GenFix"","&amp;"
    IF(AND(REGEXMATCH(C634,""(?i)Timber""), REGEXMATCH(D634,""(?i)Timber"")),""tp"",
    IF(AND(REGEXMATCH(C634,""(?i)Vent G1275""), REGEXMATCH(D634,""(?i)Comb FIller"")),""CFV1275"",
    IF(REGEXMATCH(C634,""(?i)DPC""),""dpc"",
    IF(REGEXMATCH(C634,"""&amp;"(?i)Concealed Clips""),""ConClips"",
    IF(REGEXMATCH(D634,""(?i)-Takeoff ea""),""Takeoff ea"",
    IF(REGEXMATCH(D634,""(?i)-Takeoff LM""),""Takeoff LM"",
    IF(REGEXMATCH(D634,""(?i)-Takeoff m2""),""Takeoff m2"",
    IF(D634=""R-TU/TD"",""TU/TD"","""""&amp;")))))))))))))))))
  )))"),"Rvt")</f>
        <v>Rvt</v>
      </c>
      <c r="C634" s="734" t="s">
        <v>100</v>
      </c>
      <c r="D634" s="148" t="s">
        <v>163</v>
      </c>
      <c r="E634" s="687">
        <f>E632</f>
        <v>0.31</v>
      </c>
      <c r="F634" s="699"/>
      <c r="G634" s="225"/>
      <c r="H634" s="700" t="str">
        <f>IFERROR(__xludf.DUMMYFUNCTION("IFERROR(REGEXEXTRACT(C634, ""(\d*\.\d+)mm""), """")"),"")</f>
        <v/>
      </c>
      <c r="I634" s="712"/>
      <c r="J634" s="126" t="s">
        <v>87</v>
      </c>
      <c r="K634" s="126" t="str">
        <f>IFERROR(
  IF(B634="", "", VLOOKUP(B634, Data!$B$2:$K$905, 7, FALSE)),
  ""
)</f>
        <v/>
      </c>
      <c r="L634" s="704"/>
      <c r="M634" s="150">
        <f>ROUNDUP(((M632/5.7)+1)*(E634/0.05),0)</f>
        <v>22</v>
      </c>
      <c r="N634" s="151">
        <f t="shared" si="469"/>
        <v>1</v>
      </c>
      <c r="O634" s="169">
        <v>1.0</v>
      </c>
      <c r="P634" s="134">
        <v>1.0</v>
      </c>
      <c r="Q634" s="168">
        <f t="shared" si="470"/>
        <v>22</v>
      </c>
      <c r="R634" s="136" t="str">
        <f>IFERROR(
  IF(B634="", "", VLOOKUP(B634, Data!$B$2:$K$905, 9, FALSE)),
  ""
)</f>
        <v/>
      </c>
      <c r="S634" s="152">
        <f t="shared" si="471"/>
        <v>0</v>
      </c>
      <c r="T634" s="690"/>
      <c r="U634" s="136" t="str">
        <f>IFERROR(
  IF(B634="", "", VLOOKUP(B634, Data!$B$2:$K$905, 10, FALSE)),
  ""
)
</f>
        <v/>
      </c>
      <c r="V634" s="691"/>
      <c r="W634" s="140">
        <f t="shared" si="472"/>
        <v>0</v>
      </c>
      <c r="X634" s="692"/>
      <c r="Y634" s="595"/>
      <c r="Z634" s="595"/>
      <c r="AA634" s="595"/>
      <c r="AB634" s="354">
        <f t="shared" si="473"/>
        <v>0</v>
      </c>
      <c r="AC634" s="181"/>
      <c r="AD634" s="625"/>
      <c r="AE634" s="626"/>
      <c r="AF634" s="696"/>
      <c r="AG634" s="697"/>
      <c r="AH634" s="629"/>
      <c r="AI634" s="187"/>
      <c r="AJ634" s="630"/>
      <c r="AK634" s="630"/>
      <c r="AL634" s="595"/>
      <c r="AM634" s="595"/>
      <c r="AN634" s="595"/>
      <c r="AO634" s="595"/>
      <c r="AP634" s="595"/>
      <c r="AQ634" s="595"/>
      <c r="AR634" s="595"/>
      <c r="AS634" s="595"/>
      <c r="AT634" s="595"/>
      <c r="AU634" s="595"/>
      <c r="AV634" s="595"/>
      <c r="AW634" s="595"/>
      <c r="AX634" s="595"/>
      <c r="AY634" s="595"/>
      <c r="AZ634" s="595"/>
      <c r="BA634" s="595"/>
      <c r="BB634" s="595"/>
      <c r="BC634" s="595"/>
      <c r="BD634" s="595"/>
      <c r="BE634" s="595"/>
      <c r="BF634" s="595"/>
      <c r="BG634" s="595"/>
      <c r="BH634" s="595"/>
      <c r="BI634" s="651"/>
      <c r="BJ634" s="651"/>
      <c r="BK634" s="651"/>
      <c r="BL634" s="651"/>
      <c r="BM634" s="651"/>
      <c r="BN634" s="651"/>
      <c r="BO634" s="651"/>
      <c r="BP634" s="651"/>
      <c r="BQ634" s="651"/>
      <c r="BR634" s="651"/>
      <c r="BS634" s="651"/>
      <c r="BT634" s="651"/>
    </row>
    <row r="635">
      <c r="A635" s="631"/>
      <c r="B635" s="154" t="str">
        <f>IFERROR(__xludf.DUMMYFUNCTION("IFERROR(
  IF(C635="""","""",
    IF(OR(REGEXMATCH(D635,""(?i)-Flashing""), REGEXMATCH(D635,""(?i)-EavesGut""), REGEXMATCH(D635,""(?i)Valley"")),
        ""DR"" &amp;
        TEXT(
            ROUNDUP(
                MIN(
                    VALUE(MID(C635, "&amp;"FIND(""("",C635)+1, FIND(""/"",C635)-FIND(""("",C635)-1)),
                    1200
                ) / 50, 0
            ) * 50, ""0""
        ) &amp;
        MID(C635, FIND(""/"",C635)+1, FIND("")"",C635)-FIND(""/"",C635)-1) &amp;
        TEXT(H635*100,""0"") &amp;"&amp;"
        I635,
    IF(AND(D635=""Roof Sheet"", REGEXMATCH(C635,""(?i)KS\d{4}[A-Z]{2}"")),
       REGEXEXTRACT(C635,""(?i)KS\d{4}[A-Z]{2}""),
    IF(AND(REGEXMATCH(D635,""(?i)-DP""), REGEXMATCH(C635,""(?i)Downpipe"")),
       ""dp"" &amp; REGEXEXTRACT(C635,""("&amp;"\d+)"") &amp; ""mm"",
    IF(AND(REGEXMATCH(D635,""(?i)Bracket""), REGEXMATCH(C635,""(?i)Bracket"")),
       ""Brkt"" &amp; REGEXEXTRACT(C635,""(\d+)"") &amp; ""mm"",
    IF(AND(REGEXMATCH(D635,""(?i)-OP""), REGEXMATCH(C635,""(?i)pops"")),
       ""op"" &amp; REGEXEXTRAC"&amp;"T(C635,""(\d+)"") &amp; ""mm"",
    IF(OR(D635=""R-FFTop"", D635=""R-FFBottom"", D635=""R-FFSide""),
        IF(REGEXMATCH(C635,""(?i)Profiled.*Top|Top.*Profiled""),""pfft"",
        IF(REGEXMATCH(C635,""(?i)Profiled.*Bottom|Bottom.*Profiled""),""pffb"",
    "&amp;"    IF(REGEXMATCH(C635,""(?i)Square""),""sff"",""""))),
    IF(REGEXMATCH(D635,""(?i)-Rivets""),""Rvt"",
    IF(REGEXMATCH(D635,""(?i)Silicone""),""300ml"",
    IF(REGEXMATCH(D635,""(?i)R-Butyl""),""300ml"",
    IF(REGEXMATCH(D635,""(?i)Fix""),""GenFix"","&amp;"
    IF(AND(REGEXMATCH(C635,""(?i)Timber""), REGEXMATCH(D635,""(?i)Timber"")),""tp"",
    IF(AND(REGEXMATCH(C635,""(?i)Vent G1275""), REGEXMATCH(D635,""(?i)Comb FIller"")),""CFV1275"",
    IF(REGEXMATCH(C635,""(?i)DPC""),""dpc"",
    IF(REGEXMATCH(C635,"""&amp;"(?i)Concealed Clips""),""ConClips"",
    IF(REGEXMATCH(D635,""(?i)-Takeoff ea""),""Takeoff ea"",
    IF(REGEXMATCH(D635,""(?i)-Takeoff LM""),""Takeoff LM"",
    IF(REGEXMATCH(D635,""(?i)-Takeoff m2""),""Takeoff m2"",
    IF(D635=""R-TU/TD"",""TU/TD"","""""&amp;")))))))))))))))))
  )))"),"GenFix")</f>
        <v>GenFix</v>
      </c>
      <c r="C635" s="698" t="s">
        <v>102</v>
      </c>
      <c r="D635" s="148" t="s">
        <v>164</v>
      </c>
      <c r="E635" s="722"/>
      <c r="F635" s="699"/>
      <c r="G635" s="158"/>
      <c r="H635" s="700"/>
      <c r="I635" s="712"/>
      <c r="J635" s="126" t="s">
        <v>87</v>
      </c>
      <c r="K635" s="126" t="str">
        <f>IFERROR(
  IF(B635="", "", VLOOKUP(B635, Data!$B$2:$K$905, 7, FALSE)),
  ""
)</f>
        <v/>
      </c>
      <c r="L635" s="712"/>
      <c r="M635" s="150">
        <f>ROUNDUP(M632/0.6,0)+1</f>
        <v>25</v>
      </c>
      <c r="N635" s="151">
        <f t="shared" si="469"/>
        <v>1</v>
      </c>
      <c r="O635" s="169">
        <v>1.0</v>
      </c>
      <c r="P635" s="156">
        <v>2.0</v>
      </c>
      <c r="Q635" s="168">
        <f t="shared" si="470"/>
        <v>50</v>
      </c>
      <c r="R635" s="136" t="str">
        <f>IFERROR(
  IF(B635="", "", VLOOKUP(B635, Data!$B$2:$K$905, 9, FALSE)),
  ""
)</f>
        <v/>
      </c>
      <c r="S635" s="152">
        <f t="shared" si="471"/>
        <v>0</v>
      </c>
      <c r="T635" s="690"/>
      <c r="U635" s="136" t="str">
        <f>IFERROR(
  IF(B635="", "", VLOOKUP(B635, Data!$B$2:$K$905, 10, FALSE)),
  ""
)
</f>
        <v/>
      </c>
      <c r="V635" s="691"/>
      <c r="W635" s="140">
        <f t="shared" si="472"/>
        <v>0</v>
      </c>
      <c r="X635" s="692"/>
      <c r="Y635" s="595"/>
      <c r="Z635" s="595"/>
      <c r="AA635" s="595"/>
      <c r="AB635" s="354">
        <f t="shared" si="473"/>
        <v>0</v>
      </c>
      <c r="AC635" s="181"/>
      <c r="AD635" s="625"/>
      <c r="AE635" s="626"/>
      <c r="AF635" s="696"/>
      <c r="AG635" s="697"/>
      <c r="AH635" s="629"/>
      <c r="AI635" s="187"/>
      <c r="AJ635" s="630"/>
      <c r="AK635" s="630"/>
      <c r="AL635" s="595"/>
      <c r="AM635" s="595"/>
      <c r="AN635" s="595"/>
      <c r="AO635" s="595"/>
      <c r="AP635" s="595"/>
      <c r="AQ635" s="595"/>
      <c r="AR635" s="595"/>
      <c r="AS635" s="595"/>
      <c r="AT635" s="595"/>
      <c r="AU635" s="595"/>
      <c r="AV635" s="595"/>
      <c r="AW635" s="595"/>
      <c r="AX635" s="595"/>
      <c r="AY635" s="595"/>
      <c r="AZ635" s="595"/>
      <c r="BA635" s="595"/>
      <c r="BB635" s="595"/>
      <c r="BC635" s="595"/>
      <c r="BD635" s="595"/>
      <c r="BE635" s="595"/>
      <c r="BF635" s="595"/>
      <c r="BG635" s="595"/>
      <c r="BH635" s="595"/>
      <c r="BI635" s="651"/>
      <c r="BJ635" s="651"/>
      <c r="BK635" s="651"/>
      <c r="BL635" s="651"/>
      <c r="BM635" s="651"/>
      <c r="BN635" s="651"/>
      <c r="BO635" s="651"/>
      <c r="BP635" s="651"/>
      <c r="BQ635" s="651"/>
      <c r="BR635" s="651"/>
      <c r="BS635" s="651"/>
      <c r="BT635" s="651"/>
    </row>
    <row r="636">
      <c r="A636" s="631"/>
      <c r="B636" s="154"/>
      <c r="C636" s="758"/>
      <c r="D636" s="701"/>
      <c r="E636" s="722"/>
      <c r="F636" s="699"/>
      <c r="G636" s="158"/>
      <c r="H636" s="700"/>
      <c r="I636" s="712"/>
      <c r="J636" s="701"/>
      <c r="K636" s="701"/>
      <c r="L636" s="712"/>
      <c r="M636" s="704"/>
      <c r="N636" s="151" t="str">
        <f t="shared" si="469"/>
        <v/>
      </c>
      <c r="O636" s="712"/>
      <c r="P636" s="700"/>
      <c r="Q636" s="712"/>
      <c r="R636" s="136" t="str">
        <f>IFERROR(
  IF(B636="", "", VLOOKUP(B636, Data!$B$2:$K$905, 9, FALSE)),
  ""
)</f>
        <v/>
      </c>
      <c r="S636" s="691"/>
      <c r="T636" s="690"/>
      <c r="U636" s="136" t="str">
        <f>IFERROR(
  IF(B636="", "", VLOOKUP(B636, Data!$B$2:$K$905, 10, FALSE)),
  ""
)
</f>
        <v/>
      </c>
      <c r="V636" s="691"/>
      <c r="W636" s="713"/>
      <c r="X636" s="692"/>
      <c r="Y636" s="595"/>
      <c r="Z636" s="595"/>
      <c r="AA636" s="595"/>
      <c r="AB636" s="354">
        <f t="shared" si="473"/>
        <v>0</v>
      </c>
      <c r="AC636" s="181"/>
      <c r="AD636" s="625"/>
      <c r="AE636" s="626"/>
      <c r="AF636" s="696"/>
      <c r="AG636" s="697"/>
      <c r="AH636" s="629"/>
      <c r="AI636" s="187"/>
      <c r="AJ636" s="630"/>
      <c r="AK636" s="630"/>
      <c r="AL636" s="595"/>
      <c r="AM636" s="595"/>
      <c r="AN636" s="595"/>
      <c r="AO636" s="595"/>
      <c r="AP636" s="595"/>
      <c r="AQ636" s="595"/>
      <c r="AR636" s="595"/>
      <c r="AS636" s="595"/>
      <c r="AT636" s="595"/>
      <c r="AU636" s="595"/>
      <c r="AV636" s="595"/>
      <c r="AW636" s="595"/>
      <c r="AX636" s="595"/>
      <c r="AY636" s="595"/>
      <c r="AZ636" s="595"/>
      <c r="BA636" s="595"/>
      <c r="BB636" s="595"/>
      <c r="BC636" s="595"/>
      <c r="BD636" s="595"/>
      <c r="BE636" s="595"/>
      <c r="BF636" s="595"/>
      <c r="BG636" s="595"/>
      <c r="BH636" s="595"/>
      <c r="BI636" s="651"/>
      <c r="BJ636" s="651"/>
      <c r="BK636" s="651"/>
      <c r="BL636" s="651"/>
      <c r="BM636" s="651"/>
      <c r="BN636" s="651"/>
      <c r="BO636" s="651"/>
      <c r="BP636" s="651"/>
      <c r="BQ636" s="651"/>
      <c r="BR636" s="651"/>
      <c r="BS636" s="651"/>
      <c r="BT636" s="651"/>
    </row>
    <row r="637">
      <c r="A637" s="631">
        <v>1.0</v>
      </c>
      <c r="B637" s="727"/>
      <c r="C637" s="103" t="s">
        <v>564</v>
      </c>
      <c r="D637" s="678"/>
      <c r="E637" s="676"/>
      <c r="F637" s="677"/>
      <c r="G637" s="678"/>
      <c r="H637" s="678"/>
      <c r="I637" s="679"/>
      <c r="J637" s="678"/>
      <c r="K637" s="678" t="s">
        <v>42</v>
      </c>
      <c r="L637" s="106">
        <f>Q637</f>
        <v>22.5</v>
      </c>
      <c r="M637" s="679" t="s">
        <v>42</v>
      </c>
      <c r="N637" s="680"/>
      <c r="O637" s="679"/>
      <c r="P637" s="678"/>
      <c r="Q637" s="106">
        <f>Q638</f>
        <v>22.5</v>
      </c>
      <c r="R637" s="681" t="str">
        <f>IFERROR(
  IF(B637="", "", VLOOKUP(B637, Data!$B$2:$K$905, 9, FALSE)),
  ""
)</f>
        <v/>
      </c>
      <c r="S637" s="682">
        <f>IFERROR(T637/Q637, 0)</f>
        <v>0</v>
      </c>
      <c r="T637" s="109">
        <f>SUM(S638:S644)</f>
        <v>0</v>
      </c>
      <c r="U637" s="681" t="str">
        <f>IFERROR(
  IF(B637="", "", VLOOKUP(B637, Data!$B$2:$K$905, 10, FALSE)),
  ""
)
</f>
        <v/>
      </c>
      <c r="V637" s="109">
        <f>W637/Q637</f>
        <v>0</v>
      </c>
      <c r="W637" s="110">
        <f>SUM(W638:W644)</f>
        <v>0</v>
      </c>
      <c r="X637" s="111" t="str">
        <f>W637/$AC$758/$W$765/$X$755</f>
        <v>#REF!</v>
      </c>
      <c r="Y637" s="112" t="b">
        <f>(T637+W637)=(SUM(AB638:AB644))</f>
        <v>1</v>
      </c>
      <c r="Z637" s="222">
        <f>(T637+W637)-(SUM(AB638:AB644))</f>
        <v>0</v>
      </c>
      <c r="AA637" s="595"/>
      <c r="AB637" s="595"/>
      <c r="AC637" s="181"/>
      <c r="AD637" s="114">
        <f>W637+T637</f>
        <v>0</v>
      </c>
      <c r="AE637" s="115">
        <f>AD637</f>
        <v>0</v>
      </c>
      <c r="AF637" s="116" t="str">
        <f>AE637/$AE$733</f>
        <v>#REF!</v>
      </c>
      <c r="AG637" s="683" t="str">
        <f>AF637*$AG$740</f>
        <v>#REF!</v>
      </c>
      <c r="AH637" s="118" t="str">
        <f>AF637*$AG$743</f>
        <v>#REF!</v>
      </c>
      <c r="AI637" s="187"/>
      <c r="AJ637" s="119" t="str">
        <f>ROUND(AK637/L637,2)</f>
        <v>#REF!</v>
      </c>
      <c r="AK637" s="119" t="str">
        <f>ROUND(AH637+AG637+AD637,2)</f>
        <v>#REF!</v>
      </c>
      <c r="AL637" s="595"/>
      <c r="AM637" s="595"/>
      <c r="AN637" s="595"/>
      <c r="AO637" s="595"/>
      <c r="AP637" s="595"/>
      <c r="AQ637" s="595"/>
      <c r="AR637" s="595"/>
      <c r="AS637" s="595"/>
      <c r="AT637" s="595"/>
      <c r="AU637" s="595"/>
      <c r="AV637" s="595"/>
      <c r="AW637" s="595"/>
      <c r="AX637" s="595"/>
      <c r="AY637" s="595"/>
      <c r="AZ637" s="595"/>
      <c r="BA637" s="595"/>
      <c r="BB637" s="595"/>
      <c r="BC637" s="595"/>
      <c r="BD637" s="595"/>
      <c r="BE637" s="595"/>
      <c r="BF637" s="595"/>
      <c r="BG637" s="595"/>
      <c r="BH637" s="595"/>
      <c r="BI637" s="651"/>
      <c r="BJ637" s="651"/>
      <c r="BK637" s="651"/>
      <c r="BL637" s="651"/>
      <c r="BM637" s="651"/>
      <c r="BN637" s="651"/>
      <c r="BO637" s="651"/>
      <c r="BP637" s="651"/>
      <c r="BQ637" s="651"/>
      <c r="BR637" s="651"/>
      <c r="BS637" s="651"/>
      <c r="BT637" s="651"/>
    </row>
    <row r="638">
      <c r="A638" s="716" t="s">
        <v>444</v>
      </c>
      <c r="B638" s="154" t="str">
        <f>IFERROR(__xludf.DUMMYFUNCTION("IFERROR(
  IF(C638="""","""",
    IF(OR(REGEXMATCH(D638,""(?i)-Flashing""), REGEXMATCH(D638,""(?i)-EavesGut""), REGEXMATCH(D638,""(?i)Valley"")),
        ""DR"" &amp;
        TEXT(
            ROUNDUP(
                MIN(
                    VALUE(MID(C638, "&amp;"FIND(""("",C638)+1, FIND(""/"",C638)-FIND(""("",C638)-1)),
                    1200
                ) / 50, 0
            ) * 50, ""0""
        ) &amp;
        MID(C638, FIND(""/"",C638)+1, FIND("")"",C638)-FIND(""/"",C638)-1) &amp;
        TEXT(H638*100,""0"") &amp;"&amp;"
        I638,
    IF(AND(D638=""Roof Sheet"", REGEXMATCH(C638,""(?i)KS\d{4}[A-Z]{2}"")),
       REGEXEXTRACT(C638,""(?i)KS\d{4}[A-Z]{2}""),
    IF(AND(REGEXMATCH(D638,""(?i)-DP""), REGEXMATCH(C638,""(?i)Downpipe"")),
       ""dp"" &amp; REGEXEXTRACT(C638,""("&amp;"\d+)"") &amp; ""mm"",
    IF(AND(REGEXMATCH(D638,""(?i)Bracket""), REGEXMATCH(C638,""(?i)Bracket"")),
       ""Brkt"" &amp; REGEXEXTRACT(C638,""(\d+)"") &amp; ""mm"",
    IF(AND(REGEXMATCH(D638,""(?i)-OP""), REGEXMATCH(C638,""(?i)pops"")),
       ""op"" &amp; REGEXEXTRAC"&amp;"T(C638,""(\d+)"") &amp; ""mm"",
    IF(OR(D638=""R-FFTop"", D638=""R-FFBottom"", D638=""R-FFSide""),
        IF(REGEXMATCH(C638,""(?i)Profiled.*Top|Top.*Profiled""),""pfft"",
        IF(REGEXMATCH(C638,""(?i)Profiled.*Bottom|Bottom.*Profiled""),""pffb"",
    "&amp;"    IF(REGEXMATCH(C638,""(?i)Square""),""sff"",""""))),
    IF(REGEXMATCH(D638,""(?i)-Rivets""),""Rvt"",
    IF(REGEXMATCH(D638,""(?i)Silicone""),""300ml"",
    IF(REGEXMATCH(D638,""(?i)R-Butyl""),""300ml"",
    IF(REGEXMATCH(D638,""(?i)Fix""),""GenFix"","&amp;"
    IF(AND(REGEXMATCH(C638,""(?i)Timber""), REGEXMATCH(D638,""(?i)Timber"")),""tp"",
    IF(AND(REGEXMATCH(C638,""(?i)Vent G1275""), REGEXMATCH(D638,""(?i)Comb FIller"")),""CFV1275"",
    IF(REGEXMATCH(C638,""(?i)DPC""),""dpc"",
    IF(REGEXMATCH(C638,"""&amp;"(?i)Concealed Clips""),""ConClips"",
    IF(REGEXMATCH(D638,""(?i)-Takeoff ea""),""Takeoff ea"",
    IF(REGEXMATCH(D638,""(?i)-Takeoff LM""),""Takeoff LM"",
    IF(REGEXMATCH(D638,""(?i)-Takeoff m2""),""Takeoff m2"",
    IF(D638=""R-TU/TD"",""TU/TD"","""""&amp;")))))))))))))))))
  )))"),"DR6006B55Mag")</f>
        <v>DR6006B55Mag</v>
      </c>
      <c r="C638" s="123" t="s">
        <v>565</v>
      </c>
      <c r="D638" s="686" t="s">
        <v>161</v>
      </c>
      <c r="E638" s="687">
        <f>VALUE(MID(C638, FIND("(", C638)+1, FIND("/", C638)-FIND("(", C638)-1)) / 1000</f>
        <v>0.6</v>
      </c>
      <c r="F638" s="688"/>
      <c r="G638" s="689" t="s">
        <v>574</v>
      </c>
      <c r="H638" s="700" t="str">
        <f>IFERROR(__xludf.DUMMYFUNCTION("IFERROR(REGEXEXTRACT(C638, ""(\d*\.\d+)mm""), """")"),"0.55")</f>
        <v>0.55</v>
      </c>
      <c r="I638" s="712" t="s">
        <v>97</v>
      </c>
      <c r="J638" s="126" t="s">
        <v>14</v>
      </c>
      <c r="K638" s="126" t="str">
        <f>IFERROR(
  IF(B638="", "", VLOOKUP(B638, Data!$B$2:$K$905, 7, FALSE)),
  ""
)</f>
        <v/>
      </c>
      <c r="L638" s="712"/>
      <c r="M638" s="730">
        <v>22.5</v>
      </c>
      <c r="N638" s="151">
        <f>IFERROR(__xludf.DUMMYFUNCTION("IF(
  AND(
    IFERROR(REGEXEXTRACT(C638,""@\s*(\d+(?:\.\d+)?)\s*deg""),"""")&lt;&gt;"""",
    F638&lt;&gt;""""
  ),
  ""Pls Confirm °"",
  IF(
    IFERROR(REGEXEXTRACT(C638,""@\s*(\d+(?:\.\d+)?)\s*deg""),"""")&lt;&gt;"""",
    1/COS(RADIANS(REGEXEXTRACT(C638,""@\s*(\d+(?:"&amp;"\.\d+)?)\s*deg""))),
    IF(
      F638&lt;&gt;"""",
      IF(
        ISNUMBER(SEARCH(""|"",F638)),
        1/COS(
          ATAN(
            TAN(RADIANS(VALUE(INDEX(SPLIT(F638,""|""),1)))) *
            TAN(RADIANS(VALUE(INDEX(SPLIT(F638,""|""),2))))
       "&amp;"     /
            SQRT(
              TAN(RADIANS(VALUE(INDEX(SPLIT(F638,""|""),1))))^2 +
              TAN(RADIANS(VALUE(INDEX(SPLIT(F638,""|""),2))))^2
            )
          )
        ),
        1/COS(RADIANS(VALUE(F638)))
      ),
      1
    )
  )
"&amp;")"),1.0)</f>
        <v>1</v>
      </c>
      <c r="O638" s="169">
        <v>1.0</v>
      </c>
      <c r="P638" s="134">
        <v>1.0</v>
      </c>
      <c r="Q638" s="168">
        <f t="shared" ref="Q638:Q643" si="474">M638*N638*O638*P638</f>
        <v>22.5</v>
      </c>
      <c r="R638" s="136" t="str">
        <f>IFERROR(
  IF(B638="", "", VLOOKUP(B638, Data!$B$2:$K$905, 9, FALSE)),
  ""
)</f>
        <v/>
      </c>
      <c r="S638" s="152">
        <f t="shared" ref="S638:S643" si="475">R638*Q638</f>
        <v>0</v>
      </c>
      <c r="T638" s="690"/>
      <c r="U638" s="681" t="str">
        <f>IFERROR(
  IF(B638="", "", VLOOKUP(B638, Data!$B$2:$K$905, 10, FALSE)),
  ""
)
</f>
        <v/>
      </c>
      <c r="V638" s="691"/>
      <c r="W638" s="140">
        <f t="shared" ref="W638:W643" si="476">U638*Q638</f>
        <v>0</v>
      </c>
      <c r="X638" s="692"/>
      <c r="Y638" s="595"/>
      <c r="Z638" s="595"/>
      <c r="AA638" s="595"/>
      <c r="AB638" s="354">
        <f t="shared" ref="AB638:AB644" si="477">W638+S638</f>
        <v>0</v>
      </c>
      <c r="AC638" s="181"/>
      <c r="AD638" s="625"/>
      <c r="AE638" s="626"/>
      <c r="AF638" s="696"/>
      <c r="AG638" s="697"/>
      <c r="AH638" s="629"/>
      <c r="AI638" s="187"/>
      <c r="AJ638" s="630"/>
      <c r="AK638" s="630"/>
      <c r="AL638" s="595"/>
      <c r="AM638" s="595"/>
      <c r="AN638" s="595"/>
      <c r="AO638" s="595"/>
      <c r="AP638" s="595"/>
      <c r="AQ638" s="595"/>
      <c r="AR638" s="595"/>
      <c r="AS638" s="595"/>
      <c r="AT638" s="595"/>
      <c r="AU638" s="595"/>
      <c r="AV638" s="595"/>
      <c r="AW638" s="595"/>
      <c r="AX638" s="595"/>
      <c r="AY638" s="595"/>
      <c r="AZ638" s="595"/>
      <c r="BA638" s="595"/>
      <c r="BB638" s="595"/>
      <c r="BC638" s="595"/>
      <c r="BD638" s="595"/>
      <c r="BE638" s="595"/>
      <c r="BF638" s="595"/>
      <c r="BG638" s="595"/>
      <c r="BH638" s="595"/>
      <c r="BI638" s="651"/>
      <c r="BJ638" s="651"/>
      <c r="BK638" s="651"/>
      <c r="BL638" s="651"/>
      <c r="BM638" s="651"/>
      <c r="BN638" s="651"/>
      <c r="BO638" s="651"/>
      <c r="BP638" s="651"/>
      <c r="BQ638" s="651"/>
      <c r="BR638" s="651"/>
      <c r="BS638" s="651"/>
      <c r="BT638" s="651"/>
    </row>
    <row r="639">
      <c r="A639" s="631"/>
      <c r="B639" s="154" t="str">
        <f>IFERROR(__xludf.DUMMYFUNCTION("IFERROR(
  IF(C639="""","""",
    IF(OR(REGEXMATCH(D639,""(?i)-Flashing""), REGEXMATCH(D639,""(?i)-EavesGut""), REGEXMATCH(D639,""(?i)Valley"")),
        ""DR"" &amp;
        TEXT(
            ROUNDUP(
                MIN(
                    VALUE(MID(C639, "&amp;"FIND(""("",C639)+1, FIND(""/"",C639)-FIND(""("",C639)-1)),
                    1200
                ) / 50, 0
            ) * 50, ""0""
        ) &amp;
        MID(C639, FIND(""/"",C639)+1, FIND("")"",C639)-FIND(""/"",C639)-1) &amp;
        TEXT(H639*100,""0"") &amp;"&amp;"
        I639,
    IF(AND(D639=""Roof Sheet"", REGEXMATCH(C639,""(?i)KS\d{4}[A-Z]{2}"")),
       REGEXEXTRACT(C639,""(?i)KS\d{4}[A-Z]{2}""),
    IF(AND(REGEXMATCH(D639,""(?i)-DP""), REGEXMATCH(C639,""(?i)Downpipe"")),
       ""dp"" &amp; REGEXEXTRACT(C639,""("&amp;"\d+)"") &amp; ""mm"",
    IF(AND(REGEXMATCH(D639,""(?i)Bracket""), REGEXMATCH(C639,""(?i)Bracket"")),
       ""Brkt"" &amp; REGEXEXTRACT(C639,""(\d+)"") &amp; ""mm"",
    IF(AND(REGEXMATCH(D639,""(?i)-OP""), REGEXMATCH(C639,""(?i)pops"")),
       ""op"" &amp; REGEXEXTRAC"&amp;"T(C639,""(\d+)"") &amp; ""mm"",
    IF(OR(D639=""R-FFTop"", D639=""R-FFBottom"", D639=""R-FFSide""),
        IF(REGEXMATCH(C639,""(?i)Profiled.*Top|Top.*Profiled""),""pfft"",
        IF(REGEXMATCH(C639,""(?i)Profiled.*Bottom|Bottom.*Profiled""),""pffb"",
    "&amp;"    IF(REGEXMATCH(C639,""(?i)Square""),""sff"",""""))),
    IF(REGEXMATCH(D639,""(?i)-Rivets""),""Rvt"",
    IF(REGEXMATCH(D639,""(?i)Silicone""),""300ml"",
    IF(REGEXMATCH(D639,""(?i)R-Butyl""),""300ml"",
    IF(REGEXMATCH(D639,""(?i)Fix""),""GenFix"","&amp;"
    IF(AND(REGEXMATCH(C639,""(?i)Timber""), REGEXMATCH(D639,""(?i)Timber"")),""tp"",
    IF(AND(REGEXMATCH(C639,""(?i)Vent G1275""), REGEXMATCH(D639,""(?i)Comb FIller"")),""CFV1275"",
    IF(REGEXMATCH(C639,""(?i)DPC""),""dpc"",
    IF(REGEXMATCH(C639,"""&amp;"(?i)Concealed Clips""),""ConClips"",
    IF(REGEXMATCH(D639,""(?i)-Takeoff ea""),""Takeoff ea"",
    IF(REGEXMATCH(D639,""(?i)-Takeoff LM""),""Takeoff LM"",
    IF(REGEXMATCH(D639,""(?i)-Takeoff m2""),""Takeoff m2"",
    IF(D639=""R-TU/TD"",""TU/TD"","""""&amp;")))))))))))))))))
  )))"),"300ml")</f>
        <v>300ml</v>
      </c>
      <c r="C639" s="698" t="s">
        <v>98</v>
      </c>
      <c r="D639" s="148" t="s">
        <v>162</v>
      </c>
      <c r="E639" s="687">
        <f>E638</f>
        <v>0.6</v>
      </c>
      <c r="F639" s="699"/>
      <c r="G639" s="701"/>
      <c r="H639" s="700" t="str">
        <f>IFERROR(__xludf.DUMMYFUNCTION("IFERROR(REGEXEXTRACT(C639, ""(\d*\.\d+)mm""), """")"),"")</f>
        <v/>
      </c>
      <c r="I639" s="712"/>
      <c r="J639" s="126" t="s">
        <v>87</v>
      </c>
      <c r="K639" s="126" t="str">
        <f>IFERROR(
  IF(B639="", "", VLOOKUP(B639, Data!$B$2:$K$905, 7, FALSE)),
  ""
)</f>
        <v/>
      </c>
      <c r="L639" s="712"/>
      <c r="M639" s="150">
        <f>(ROUNDDOWN((M638/5.7)+2,0)*E639)/8</f>
        <v>0.375</v>
      </c>
      <c r="N639" s="151">
        <f t="shared" ref="N639:N644" si="478">if(B639="","",(if(N638="",N637,N638)))</f>
        <v>1</v>
      </c>
      <c r="O639" s="169">
        <v>1.0</v>
      </c>
      <c r="P639" s="134">
        <v>1.0</v>
      </c>
      <c r="Q639" s="168">
        <f t="shared" si="474"/>
        <v>0.375</v>
      </c>
      <c r="R639" s="136" t="str">
        <f>IFERROR(
  IF(B639="", "", VLOOKUP(B639, Data!$B$2:$K$905, 9, FALSE)),
  ""
)</f>
        <v/>
      </c>
      <c r="S639" s="152">
        <f t="shared" si="475"/>
        <v>0</v>
      </c>
      <c r="T639" s="690"/>
      <c r="U639" s="681" t="str">
        <f>IFERROR(
  IF(B639="", "", VLOOKUP(B639, Data!$B$2:$K$905, 10, FALSE)),
  ""
)
</f>
        <v/>
      </c>
      <c r="V639" s="691"/>
      <c r="W639" s="140">
        <f t="shared" si="476"/>
        <v>0</v>
      </c>
      <c r="X639" s="692"/>
      <c r="Y639" s="595"/>
      <c r="Z639" s="595"/>
      <c r="AA639" s="595"/>
      <c r="AB639" s="354">
        <f t="shared" si="477"/>
        <v>0</v>
      </c>
      <c r="AC639" s="181"/>
      <c r="AD639" s="625"/>
      <c r="AE639" s="626"/>
      <c r="AF639" s="696"/>
      <c r="AG639" s="697"/>
      <c r="AH639" s="629"/>
      <c r="AI639" s="187"/>
      <c r="AJ639" s="630"/>
      <c r="AK639" s="630"/>
      <c r="AL639" s="595"/>
      <c r="AM639" s="595"/>
      <c r="AN639" s="595"/>
      <c r="AO639" s="595"/>
      <c r="AP639" s="595"/>
      <c r="AQ639" s="595"/>
      <c r="AR639" s="595"/>
      <c r="AS639" s="595"/>
      <c r="AT639" s="595"/>
      <c r="AU639" s="595"/>
      <c r="AV639" s="595"/>
      <c r="AW639" s="595"/>
      <c r="AX639" s="595"/>
      <c r="AY639" s="595"/>
      <c r="AZ639" s="595"/>
      <c r="BA639" s="595"/>
      <c r="BB639" s="595"/>
      <c r="BC639" s="595"/>
      <c r="BD639" s="595"/>
      <c r="BE639" s="595"/>
      <c r="BF639" s="595"/>
      <c r="BG639" s="595"/>
      <c r="BH639" s="595"/>
      <c r="BI639" s="651"/>
      <c r="BJ639" s="651"/>
      <c r="BK639" s="651"/>
      <c r="BL639" s="651"/>
      <c r="BM639" s="651"/>
      <c r="BN639" s="651"/>
      <c r="BO639" s="651"/>
      <c r="BP639" s="651"/>
      <c r="BQ639" s="651"/>
      <c r="BR639" s="651"/>
      <c r="BS639" s="651"/>
      <c r="BT639" s="651"/>
    </row>
    <row r="640">
      <c r="A640" s="631"/>
      <c r="B640" s="154" t="str">
        <f>IFERROR(__xludf.DUMMYFUNCTION("IFERROR(
  IF(C640="""","""",
    IF(OR(REGEXMATCH(D640,""(?i)-Flashing""), REGEXMATCH(D640,""(?i)-EavesGut""), REGEXMATCH(D640,""(?i)Valley"")),
        ""DR"" &amp;
        TEXT(
            ROUNDUP(
                MIN(
                    VALUE(MID(C640, "&amp;"FIND(""("",C640)+1, FIND(""/"",C640)-FIND(""("",C640)-1)),
                    1200
                ) / 50, 0
            ) * 50, ""0""
        ) &amp;
        MID(C640, FIND(""/"",C640)+1, FIND("")"",C640)-FIND(""/"",C640)-1) &amp;
        TEXT(H640*100,""0"") &amp;"&amp;"
        I640,
    IF(AND(D640=""Roof Sheet"", REGEXMATCH(C640,""(?i)KS\d{4}[A-Z]{2}"")),
       REGEXEXTRACT(C640,""(?i)KS\d{4}[A-Z]{2}""),
    IF(AND(REGEXMATCH(D640,""(?i)-DP""), REGEXMATCH(C640,""(?i)Downpipe"")),
       ""dp"" &amp; REGEXEXTRACT(C640,""("&amp;"\d+)"") &amp; ""mm"",
    IF(AND(REGEXMATCH(D640,""(?i)Bracket""), REGEXMATCH(C640,""(?i)Bracket"")),
       ""Brkt"" &amp; REGEXEXTRACT(C640,""(\d+)"") &amp; ""mm"",
    IF(AND(REGEXMATCH(D640,""(?i)-OP""), REGEXMATCH(C640,""(?i)pops"")),
       ""op"" &amp; REGEXEXTRAC"&amp;"T(C640,""(\d+)"") &amp; ""mm"",
    IF(OR(D640=""R-FFTop"", D640=""R-FFBottom"", D640=""R-FFSide""),
        IF(REGEXMATCH(C640,""(?i)Profiled.*Top|Top.*Profiled""),""pfft"",
        IF(REGEXMATCH(C640,""(?i)Profiled.*Bottom|Bottom.*Profiled""),""pffb"",
    "&amp;"    IF(REGEXMATCH(C640,""(?i)Square""),""sff"",""""))),
    IF(REGEXMATCH(D640,""(?i)-Rivets""),""Rvt"",
    IF(REGEXMATCH(D640,""(?i)Silicone""),""300ml"",
    IF(REGEXMATCH(D640,""(?i)R-Butyl""),""300ml"",
    IF(REGEXMATCH(D640,""(?i)Fix""),""GenFix"","&amp;"
    IF(AND(REGEXMATCH(C640,""(?i)Timber""), REGEXMATCH(D640,""(?i)Timber"")),""tp"",
    IF(AND(REGEXMATCH(C640,""(?i)Vent G1275""), REGEXMATCH(D640,""(?i)Comb FIller"")),""CFV1275"",
    IF(REGEXMATCH(C640,""(?i)DPC""),""dpc"",
    IF(REGEXMATCH(C640,"""&amp;"(?i)Concealed Clips""),""ConClips"",
    IF(REGEXMATCH(D640,""(?i)-Takeoff ea""),""Takeoff ea"",
    IF(REGEXMATCH(D640,""(?i)-Takeoff LM""),""Takeoff LM"",
    IF(REGEXMATCH(D640,""(?i)-Takeoff m2""),""Takeoff m2"",
    IF(D640=""R-TU/TD"",""TU/TD"","""""&amp;")))))))))))))))))
  )))"),"Rvt")</f>
        <v>Rvt</v>
      </c>
      <c r="C640" s="698" t="s">
        <v>100</v>
      </c>
      <c r="D640" s="148" t="s">
        <v>163</v>
      </c>
      <c r="E640" s="687">
        <f>E638</f>
        <v>0.6</v>
      </c>
      <c r="F640" s="699"/>
      <c r="G640" s="701"/>
      <c r="H640" s="700" t="str">
        <f>IFERROR(__xludf.DUMMYFUNCTION("IFERROR(REGEXEXTRACT(C640, ""(\d*\.\d+)mm""), """")"),"")</f>
        <v/>
      </c>
      <c r="I640" s="712"/>
      <c r="J640" s="126" t="s">
        <v>87</v>
      </c>
      <c r="K640" s="126" t="str">
        <f>IFERROR(
  IF(B640="", "", VLOOKUP(B640, Data!$B$2:$K$905, 7, FALSE)),
  ""
)</f>
        <v/>
      </c>
      <c r="L640" s="712"/>
      <c r="M640" s="150">
        <f>ROUNDUP(((M638/5.7)+1)*(E640/0.05),0)</f>
        <v>60</v>
      </c>
      <c r="N640" s="151">
        <f t="shared" si="478"/>
        <v>1</v>
      </c>
      <c r="O640" s="169">
        <v>1.0</v>
      </c>
      <c r="P640" s="134">
        <v>1.0</v>
      </c>
      <c r="Q640" s="168">
        <f t="shared" si="474"/>
        <v>60</v>
      </c>
      <c r="R640" s="136" t="str">
        <f>IFERROR(
  IF(B640="", "", VLOOKUP(B640, Data!$B$2:$K$905, 9, FALSE)),
  ""
)</f>
        <v/>
      </c>
      <c r="S640" s="152">
        <f t="shared" si="475"/>
        <v>0</v>
      </c>
      <c r="T640" s="690"/>
      <c r="U640" s="681" t="str">
        <f>IFERROR(
  IF(B640="", "", VLOOKUP(B640, Data!$B$2:$K$905, 10, FALSE)),
  ""
)
</f>
        <v/>
      </c>
      <c r="V640" s="691"/>
      <c r="W640" s="140">
        <f t="shared" si="476"/>
        <v>0</v>
      </c>
      <c r="X640" s="692"/>
      <c r="Y640" s="595"/>
      <c r="Z640" s="595"/>
      <c r="AA640" s="595"/>
      <c r="AB640" s="354">
        <f t="shared" si="477"/>
        <v>0</v>
      </c>
      <c r="AC640" s="181"/>
      <c r="AD640" s="625"/>
      <c r="AE640" s="626"/>
      <c r="AF640" s="696"/>
      <c r="AG640" s="697"/>
      <c r="AH640" s="629"/>
      <c r="AI640" s="187"/>
      <c r="AJ640" s="630"/>
      <c r="AK640" s="630"/>
      <c r="AL640" s="595"/>
      <c r="AM640" s="595"/>
      <c r="AN640" s="595"/>
      <c r="AO640" s="595"/>
      <c r="AP640" s="595"/>
      <c r="AQ640" s="595"/>
      <c r="AR640" s="595"/>
      <c r="AS640" s="595"/>
      <c r="AT640" s="595"/>
      <c r="AU640" s="595"/>
      <c r="AV640" s="595"/>
      <c r="AW640" s="595"/>
      <c r="AX640" s="595"/>
      <c r="AY640" s="595"/>
      <c r="AZ640" s="595"/>
      <c r="BA640" s="595"/>
      <c r="BB640" s="595"/>
      <c r="BC640" s="595"/>
      <c r="BD640" s="595"/>
      <c r="BE640" s="595"/>
      <c r="BF640" s="595"/>
      <c r="BG640" s="595"/>
      <c r="BH640" s="595"/>
      <c r="BI640" s="651"/>
      <c r="BJ640" s="651"/>
      <c r="BK640" s="651"/>
      <c r="BL640" s="651"/>
      <c r="BM640" s="651"/>
      <c r="BN640" s="651"/>
      <c r="BO640" s="651"/>
      <c r="BP640" s="651"/>
      <c r="BQ640" s="651"/>
      <c r="BR640" s="651"/>
      <c r="BS640" s="651"/>
      <c r="BT640" s="651"/>
    </row>
    <row r="641">
      <c r="A641" s="631"/>
      <c r="B641" s="154" t="str">
        <f>IFERROR(__xludf.DUMMYFUNCTION("IFERROR(
  IF(C641="""","""",
    IF(OR(REGEXMATCH(D641,""(?i)-Flashing""), REGEXMATCH(D641,""(?i)-EavesGut""), REGEXMATCH(D641,""(?i)Valley"")),
        ""DR"" &amp;
        TEXT(
            ROUNDUP(
                MIN(
                    VALUE(MID(C641, "&amp;"FIND(""("",C641)+1, FIND(""/"",C641)-FIND(""("",C641)-1)),
                    1200
                ) / 50, 0
            ) * 50, ""0""
        ) &amp;
        MID(C641, FIND(""/"",C641)+1, FIND("")"",C641)-FIND(""/"",C641)-1) &amp;
        TEXT(H641*100,""0"") &amp;"&amp;"
        I641,
    IF(AND(D641=""Roof Sheet"", REGEXMATCH(C641,""(?i)KS\d{4}[A-Z]{2}"")),
       REGEXEXTRACT(C641,""(?i)KS\d{4}[A-Z]{2}""),
    IF(AND(REGEXMATCH(D641,""(?i)-DP""), REGEXMATCH(C641,""(?i)Downpipe"")),
       ""dp"" &amp; REGEXEXTRACT(C641,""("&amp;"\d+)"") &amp; ""mm"",
    IF(AND(REGEXMATCH(D641,""(?i)Bracket""), REGEXMATCH(C641,""(?i)Bracket"")),
       ""Brkt"" &amp; REGEXEXTRACT(C641,""(\d+)"") &amp; ""mm"",
    IF(AND(REGEXMATCH(D641,""(?i)-OP""), REGEXMATCH(C641,""(?i)pops"")),
       ""op"" &amp; REGEXEXTRAC"&amp;"T(C641,""(\d+)"") &amp; ""mm"",
    IF(OR(D641=""R-FFTop"", D641=""R-FFBottom"", D641=""R-FFSide""),
        IF(REGEXMATCH(C641,""(?i)Profiled.*Top|Top.*Profiled""),""pfft"",
        IF(REGEXMATCH(C641,""(?i)Profiled.*Bottom|Bottom.*Profiled""),""pffb"",
    "&amp;"    IF(REGEXMATCH(C641,""(?i)Square""),""sff"",""""))),
    IF(REGEXMATCH(D641,""(?i)-Rivets""),""Rvt"",
    IF(REGEXMATCH(D641,""(?i)Silicone""),""300ml"",
    IF(REGEXMATCH(D641,""(?i)R-Butyl""),""300ml"",
    IF(REGEXMATCH(D641,""(?i)Fix""),""GenFix"","&amp;"
    IF(AND(REGEXMATCH(C641,""(?i)Timber""), REGEXMATCH(D641,""(?i)Timber"")),""tp"",
    IF(AND(REGEXMATCH(C641,""(?i)Vent G1275""), REGEXMATCH(D641,""(?i)Comb FIller"")),""CFV1275"",
    IF(REGEXMATCH(C641,""(?i)DPC""),""dpc"",
    IF(REGEXMATCH(C641,"""&amp;"(?i)Concealed Clips""),""ConClips"",
    IF(REGEXMATCH(D641,""(?i)-Takeoff ea""),""Takeoff ea"",
    IF(REGEXMATCH(D641,""(?i)-Takeoff LM""),""Takeoff LM"",
    IF(REGEXMATCH(D641,""(?i)-Takeoff m2""),""Takeoff m2"",
    IF(D641=""R-TU/TD"",""TU/TD"","""""&amp;")))))))))))))))))
  )))"),"GenFix")</f>
        <v>GenFix</v>
      </c>
      <c r="C641" s="698" t="s">
        <v>102</v>
      </c>
      <c r="D641" s="148" t="s">
        <v>164</v>
      </c>
      <c r="E641" s="687"/>
      <c r="F641" s="699"/>
      <c r="G641" s="701"/>
      <c r="H641" s="700"/>
      <c r="I641" s="712"/>
      <c r="J641" s="126" t="s">
        <v>87</v>
      </c>
      <c r="K641" s="126" t="str">
        <f>IFERROR(
  IF(B641="", "", VLOOKUP(B641, Data!$B$2:$K$905, 7, FALSE)),
  ""
)</f>
        <v/>
      </c>
      <c r="L641" s="712"/>
      <c r="M641" s="150">
        <f>ROUNDUP(M638/0.6,0)+1</f>
        <v>39</v>
      </c>
      <c r="N641" s="151">
        <f t="shared" si="478"/>
        <v>1</v>
      </c>
      <c r="O641" s="169">
        <v>1.0</v>
      </c>
      <c r="P641" s="134">
        <v>2.0</v>
      </c>
      <c r="Q641" s="168">
        <f t="shared" si="474"/>
        <v>78</v>
      </c>
      <c r="R641" s="136" t="str">
        <f>IFERROR(
  IF(B641="", "", VLOOKUP(B641, Data!$B$2:$K$905, 9, FALSE)),
  ""
)</f>
        <v/>
      </c>
      <c r="S641" s="152">
        <f t="shared" si="475"/>
        <v>0</v>
      </c>
      <c r="T641" s="690"/>
      <c r="U641" s="681" t="str">
        <f>IFERROR(
  IF(B641="", "", VLOOKUP(B641, Data!$B$2:$K$905, 10, FALSE)),
  ""
)
</f>
        <v/>
      </c>
      <c r="V641" s="691"/>
      <c r="W641" s="140">
        <f t="shared" si="476"/>
        <v>0</v>
      </c>
      <c r="X641" s="692"/>
      <c r="Y641" s="595"/>
      <c r="Z641" s="595"/>
      <c r="AA641" s="595"/>
      <c r="AB641" s="354">
        <f t="shared" si="477"/>
        <v>0</v>
      </c>
      <c r="AC641" s="181"/>
      <c r="AD641" s="625"/>
      <c r="AE641" s="626"/>
      <c r="AF641" s="696"/>
      <c r="AG641" s="697"/>
      <c r="AH641" s="629"/>
      <c r="AI641" s="187"/>
      <c r="AJ641" s="630"/>
      <c r="AK641" s="630"/>
      <c r="AL641" s="595"/>
      <c r="AM641" s="595"/>
      <c r="AN641" s="595"/>
      <c r="AO641" s="595"/>
      <c r="AP641" s="595"/>
      <c r="AQ641" s="595"/>
      <c r="AR641" s="595"/>
      <c r="AS641" s="595"/>
      <c r="AT641" s="595"/>
      <c r="AU641" s="595"/>
      <c r="AV641" s="595"/>
      <c r="AW641" s="595"/>
      <c r="AX641" s="595"/>
      <c r="AY641" s="595"/>
      <c r="AZ641" s="595"/>
      <c r="BA641" s="595"/>
      <c r="BB641" s="595"/>
      <c r="BC641" s="595"/>
      <c r="BD641" s="595"/>
      <c r="BE641" s="595"/>
      <c r="BF641" s="595"/>
      <c r="BG641" s="595"/>
      <c r="BH641" s="595"/>
      <c r="BI641" s="651"/>
      <c r="BJ641" s="651"/>
      <c r="BK641" s="651"/>
      <c r="BL641" s="651"/>
      <c r="BM641" s="651"/>
      <c r="BN641" s="651"/>
      <c r="BO641" s="651"/>
      <c r="BP641" s="651"/>
      <c r="BQ641" s="651"/>
      <c r="BR641" s="651"/>
      <c r="BS641" s="651"/>
      <c r="BT641" s="651"/>
    </row>
    <row r="642">
      <c r="A642" s="631"/>
      <c r="B642" s="154" t="str">
        <f>IFERROR(__xludf.DUMMYFUNCTION("IFERROR(
  IF(C642="""","""",
    IF(OR(REGEXMATCH(D642,""(?i)-Flashing""), REGEXMATCH(D642,""(?i)-EavesGut""), REGEXMATCH(D642,""(?i)Valley"")),
        ""DR"" &amp;
        TEXT(
            ROUNDUP(
                MIN(
                    VALUE(MID(C642, "&amp;"FIND(""("",C642)+1, FIND(""/"",C642)-FIND(""("",C642)-1)),
                    1200
                ) / 50, 0
            ) * 50, ""0""
        ) &amp;
        MID(C642, FIND(""/"",C642)+1, FIND("")"",C642)-FIND(""/"",C642)-1) &amp;
        TEXT(H642*100,""0"") &amp;"&amp;"
        I642,
    IF(AND(D642=""Roof Sheet"", REGEXMATCH(C642,""(?i)KS\d{4}[A-Z]{2}"")),
       REGEXEXTRACT(C642,""(?i)KS\d{4}[A-Z]{2}""),
    IF(AND(REGEXMATCH(D642,""(?i)-DP""), REGEXMATCH(C642,""(?i)Downpipe"")),
       ""dp"" &amp; REGEXEXTRACT(C642,""("&amp;"\d+)"") &amp; ""mm"",
    IF(AND(REGEXMATCH(D642,""(?i)Bracket""), REGEXMATCH(C642,""(?i)Bracket"")),
       ""Brkt"" &amp; REGEXEXTRACT(C642,""(\d+)"") &amp; ""mm"",
    IF(AND(REGEXMATCH(D642,""(?i)-OP""), REGEXMATCH(C642,""(?i)pops"")),
       ""op"" &amp; REGEXEXTRAC"&amp;"T(C642,""(\d+)"") &amp; ""mm"",
    IF(OR(D642=""R-FFTop"", D642=""R-FFBottom"", D642=""R-FFSide""),
        IF(REGEXMATCH(C642,""(?i)Profiled.*Top|Top.*Profiled""),""pfft"",
        IF(REGEXMATCH(C642,""(?i)Profiled.*Bottom|Bottom.*Profiled""),""pffb"",
    "&amp;"    IF(REGEXMATCH(C642,""(?i)Square""),""sff"",""""))),
    IF(OR(D642=""W-FFTop"", D642=""W-FFBottom"", D642=""W-FFSide""),
        IF(REGEXMATCH(C642,""(?i)Profiled.*Top|Top.*Profiled""),""pfft"",
        IF(REGEXMATCH(C642,""(?i)Profiled.*Bottom|Bottom"&amp;".*Profiled""),""pffb"",
        IF(REGEXMATCH(C642,""(?i)Square""),""sff"",""""))),
    IF(REGEXMATCH(D642,""(?i)-Rivets""),""Rvt"",
    IF(REGEXMATCH(D642,""(?i)Silicone""),""300ml"",
    IF(REGEXMATCH(D642,""(?i)R-Butyl""),""300ml"",
    IF(REGEXMATCH(D"&amp;"642,""(?i)Fix""),""GenFix"",
    IF(AND(REGEXMATCH(C642,""(?i)Timber""), REGEXMATCH(D642,""(?i)Timber"")),""tp"",
    IF(AND(REGEXMATCH(C642,""(?i)Vent G1275""), REGEXMATCH(D642,""(?i)Comb FIller"")),""CFV1275"",
    IF(REGEXMATCH(C642,""(?i)DPC""),""dpc"&amp;""",
    IF(REGEXMATCH(C642,""(?i)Concealed Clips""),""ConClips"",
    IF(REGEXMATCH(D642,""(?i)-Takeoff ea""),""Takeoff ea"",
    IF(REGEXMATCH(D642,""(?i)-Takeoff LM""),""Takeoff LM"",
    IF(REGEXMATCH(D642,""(?i)-Takeoff m2""),""Takeoff m2"",
    IF(D6"&amp;"42=""R-TU/TD"",""TU/TD"",
    IF(D642=""W-TU/TD"",""TU/TD"","""")))))))))))))))))
  )))))"),"pfft")</f>
        <v>pfft</v>
      </c>
      <c r="C642" s="698" t="s">
        <v>104</v>
      </c>
      <c r="D642" s="148" t="s">
        <v>335</v>
      </c>
      <c r="E642" s="687"/>
      <c r="F642" s="699"/>
      <c r="G642" s="701"/>
      <c r="H642" s="700"/>
      <c r="I642" s="712"/>
      <c r="J642" s="126" t="s">
        <v>87</v>
      </c>
      <c r="K642" s="126" t="str">
        <f>IFERROR(
  IF(B642="", "", VLOOKUP(B642, Data!$B$2:$K$905, 7, FALSE)),
  ""
)</f>
        <v/>
      </c>
      <c r="L642" s="712"/>
      <c r="M642" s="150">
        <f>M638</f>
        <v>22.5</v>
      </c>
      <c r="N642" s="151">
        <f t="shared" si="478"/>
        <v>1</v>
      </c>
      <c r="O642" s="169">
        <v>1.0</v>
      </c>
      <c r="P642" s="134">
        <v>1.0</v>
      </c>
      <c r="Q642" s="168">
        <f t="shared" si="474"/>
        <v>22.5</v>
      </c>
      <c r="R642" s="136" t="str">
        <f>IFERROR(
  IF(B642="", "", VLOOKUP(B642, Data!$B$2:$K$905, 9, FALSE)),
  ""
)</f>
        <v/>
      </c>
      <c r="S642" s="152">
        <f t="shared" si="475"/>
        <v>0</v>
      </c>
      <c r="T642" s="690"/>
      <c r="U642" s="681" t="str">
        <f>IFERROR(
  IF(B642="", "", VLOOKUP(B642, Data!$B$2:$K$905, 10, FALSE)),
  ""
)
</f>
        <v/>
      </c>
      <c r="V642" s="691"/>
      <c r="W642" s="140">
        <f t="shared" si="476"/>
        <v>0</v>
      </c>
      <c r="X642" s="692"/>
      <c r="Y642" s="595"/>
      <c r="Z642" s="595"/>
      <c r="AA642" s="595"/>
      <c r="AB642" s="354">
        <f t="shared" si="477"/>
        <v>0</v>
      </c>
      <c r="AC642" s="181"/>
      <c r="AD642" s="625"/>
      <c r="AE642" s="626"/>
      <c r="AF642" s="696"/>
      <c r="AG642" s="697"/>
      <c r="AH642" s="629"/>
      <c r="AI642" s="187"/>
      <c r="AJ642" s="630"/>
      <c r="AK642" s="630"/>
      <c r="AL642" s="595"/>
      <c r="AM642" s="595"/>
      <c r="AN642" s="595"/>
      <c r="AO642" s="595"/>
      <c r="AP642" s="595"/>
      <c r="AQ642" s="595"/>
      <c r="AR642" s="595"/>
      <c r="AS642" s="595"/>
      <c r="AT642" s="595"/>
      <c r="AU642" s="595"/>
      <c r="AV642" s="595"/>
      <c r="AW642" s="595"/>
      <c r="AX642" s="595"/>
      <c r="AY642" s="595"/>
      <c r="AZ642" s="595"/>
      <c r="BA642" s="595"/>
      <c r="BB642" s="595"/>
      <c r="BC642" s="595"/>
      <c r="BD642" s="595"/>
      <c r="BE642" s="595"/>
      <c r="BF642" s="595"/>
      <c r="BG642" s="595"/>
      <c r="BH642" s="595"/>
      <c r="BI642" s="651"/>
      <c r="BJ642" s="651"/>
      <c r="BK642" s="651"/>
      <c r="BL642" s="651"/>
      <c r="BM642" s="651"/>
      <c r="BN642" s="651"/>
      <c r="BO642" s="651"/>
      <c r="BP642" s="651"/>
      <c r="BQ642" s="651"/>
      <c r="BR642" s="651"/>
      <c r="BS642" s="651"/>
      <c r="BT642" s="651"/>
    </row>
    <row r="643">
      <c r="A643" s="631"/>
      <c r="B643" s="154" t="str">
        <f>IFERROR(__xludf.DUMMYFUNCTION("IFERROR(
  IF(C643="""","""",
    IF(OR(REGEXMATCH(D643,""(?i)-Flashing""), REGEXMATCH(D643,""(?i)-EavesGut""), REGEXMATCH(D643,""(?i)Valley"")),
        ""DR"" &amp;
        TEXT(
            ROUNDUP(
                MIN(
                    VALUE(MID(C643, "&amp;"FIND(""("",C643)+1, FIND(""/"",C643)-FIND(""("",C643)-1)),
                    1200
                ) / 50, 0
            ) * 50, ""0""
        ) &amp;
        MID(C643, FIND(""/"",C643)+1, FIND("")"",C643)-FIND(""/"",C643)-1) &amp;
        TEXT(H643*100,""0"") &amp;"&amp;"
        I643,
    IF(AND(D643=""Roof Sheet"", REGEXMATCH(C643,""(?i)KS\d{4}[A-Z]{2}"")),
       REGEXEXTRACT(C643,""(?i)KS\d{4}[A-Z]{2}""),
    IF(AND(REGEXMATCH(D643,""(?i)-DP""), REGEXMATCH(C643,""(?i)Downpipe"")),
       ""dp"" &amp; REGEXEXTRACT(C643,""("&amp;"\d+)"") &amp; ""mm"",
    IF(AND(REGEXMATCH(D643,""(?i)Bracket""), REGEXMATCH(C643,""(?i)Bracket"")),
       ""Brkt"" &amp; REGEXEXTRACT(C643,""(\d+)"") &amp; ""mm"",
    IF(AND(REGEXMATCH(D643,""(?i)-OP""), REGEXMATCH(C643,""(?i)pops"")),
       ""op"" &amp; REGEXEXTRAC"&amp;"T(C643,""(\d+)"") &amp; ""mm"",
    IF(OR(D643=""R-FFTop"", D643=""R-FFBottom"", D643=""R-FFSide""),
        IF(REGEXMATCH(C643,""(?i)Profiled.*Top|Top.*Profiled""),""pfft"",
        IF(REGEXMATCH(C643,""(?i)Profiled.*Bottom|Bottom.*Profiled""),""pffb"",
    "&amp;"    IF(REGEXMATCH(C643,""(?i)Square""),""sff"",""""))),
    IF(OR(D643=""W-FFTop"", D643=""W-FFBottom"", D643=""W-FFSide""),
        IF(REGEXMATCH(C643,""(?i)Profiled.*Top|Top.*Profiled""),""pfft"",
        IF(REGEXMATCH(C643,""(?i)Profiled.*Bottom|Bottom"&amp;".*Profiled""),""pffb"",
        IF(REGEXMATCH(C643,""(?i)Square""),""sff"",""""))),
    IF(REGEXMATCH(D643,""(?i)-Rivets""),""Rvt"",
    IF(REGEXMATCH(D643,""(?i)Silicone""),""300ml"",
    IF(REGEXMATCH(D643,""(?i)R-Butyl""),""300ml"",
    IF(REGEXMATCH(D"&amp;"643,""(?i)Fix""),""GenFix"",
    IF(AND(REGEXMATCH(C643,""(?i)Timber""), REGEXMATCH(D643,""(?i)Timber"")),""tp"",
    IF(AND(REGEXMATCH(C643,""(?i)Vent G1275""), REGEXMATCH(D643,""(?i)Comb FIller"")),""CFV1275"",
    IF(REGEXMATCH(C643,""(?i)DPC""),""dpc"&amp;""",
    IF(REGEXMATCH(C643,""(?i)Concealed Clips""),""ConClips"",
    IF(REGEXMATCH(D643,""(?i)-Takeoff ea""),""Takeoff ea"",
    IF(REGEXMATCH(D643,""(?i)-Takeoff LM""),""Takeoff LM"",
    IF(REGEXMATCH(D643,""(?i)-Takeoff m2""),""Takeoff m2"",
    IF(D6"&amp;"43=""R-TU/TD"",""TU/TD"",
    IF(D643=""W-TU/TD"",""TU/TD"","""")))))))))))))))))
  )))))"),"TU/TD")</f>
        <v>TU/TD</v>
      </c>
      <c r="C643" s="698" t="s">
        <v>446</v>
      </c>
      <c r="D643" s="686" t="s">
        <v>355</v>
      </c>
      <c r="E643" s="687"/>
      <c r="F643" s="699"/>
      <c r="G643" s="701"/>
      <c r="H643" s="700"/>
      <c r="I643" s="712"/>
      <c r="J643" s="126" t="s">
        <v>87</v>
      </c>
      <c r="K643" s="126" t="str">
        <f>IFERROR(
  IF(B643="", "", VLOOKUP(B643, Data!$B$2:$K$905, 7, FALSE)),
  ""
)</f>
        <v/>
      </c>
      <c r="L643" s="704"/>
      <c r="M643" s="150">
        <f>M638</f>
        <v>22.5</v>
      </c>
      <c r="N643" s="151">
        <f t="shared" si="478"/>
        <v>1</v>
      </c>
      <c r="O643" s="169">
        <v>1.0</v>
      </c>
      <c r="P643" s="760">
        <v>1.0</v>
      </c>
      <c r="Q643" s="168">
        <f t="shared" si="474"/>
        <v>22.5</v>
      </c>
      <c r="R643" s="681" t="str">
        <f>IFERROR(
  IF(B643="", "", VLOOKUP(B643, Data!$B$2:$K$905, 9, FALSE)),
  ""
)</f>
        <v/>
      </c>
      <c r="S643" s="152">
        <f t="shared" si="475"/>
        <v>0</v>
      </c>
      <c r="T643" s="690"/>
      <c r="U643" s="136" t="str">
        <f>IFERROR(
  IF(B643="", "", VLOOKUP(B643, Data!$B$2:$K$905, 10, FALSE)),
  ""
)
</f>
        <v/>
      </c>
      <c r="V643" s="691"/>
      <c r="W643" s="140">
        <f t="shared" si="476"/>
        <v>0</v>
      </c>
      <c r="X643" s="692"/>
      <c r="Y643" s="595"/>
      <c r="Z643" s="595"/>
      <c r="AA643" s="595"/>
      <c r="AB643" s="354">
        <f t="shared" si="477"/>
        <v>0</v>
      </c>
      <c r="AC643" s="181"/>
      <c r="AD643" s="625"/>
      <c r="AE643" s="626"/>
      <c r="AF643" s="696"/>
      <c r="AG643" s="697"/>
      <c r="AH643" s="629"/>
      <c r="AI643" s="187"/>
      <c r="AJ643" s="630"/>
      <c r="AK643" s="630"/>
      <c r="AL643" s="595"/>
      <c r="AM643" s="595"/>
      <c r="AN643" s="595"/>
      <c r="AO643" s="595"/>
      <c r="AP643" s="595"/>
      <c r="AQ643" s="595"/>
      <c r="AR643" s="595"/>
      <c r="AS643" s="595"/>
      <c r="AT643" s="595"/>
      <c r="AU643" s="595"/>
      <c r="AV643" s="595"/>
      <c r="AW643" s="595"/>
      <c r="AX643" s="595"/>
      <c r="AY643" s="595"/>
      <c r="AZ643" s="595"/>
      <c r="BA643" s="595"/>
      <c r="BB643" s="595"/>
      <c r="BC643" s="595"/>
      <c r="BD643" s="595"/>
      <c r="BE643" s="595"/>
      <c r="BF643" s="595"/>
      <c r="BG643" s="595"/>
      <c r="BH643" s="595"/>
      <c r="BI643" s="651"/>
      <c r="BJ643" s="651"/>
      <c r="BK643" s="651"/>
      <c r="BL643" s="651"/>
      <c r="BM643" s="651"/>
      <c r="BN643" s="651"/>
      <c r="BO643" s="651"/>
      <c r="BP643" s="651"/>
      <c r="BQ643" s="651"/>
      <c r="BR643" s="651"/>
      <c r="BS643" s="651"/>
      <c r="BT643" s="651"/>
    </row>
    <row r="644">
      <c r="A644" s="631"/>
      <c r="B644" s="154"/>
      <c r="C644" s="758"/>
      <c r="D644" s="701"/>
      <c r="E644" s="722"/>
      <c r="F644" s="699"/>
      <c r="G644" s="701"/>
      <c r="H644" s="700"/>
      <c r="I644" s="712"/>
      <c r="J644" s="701"/>
      <c r="K644" s="701"/>
      <c r="L644" s="712"/>
      <c r="M644" s="704"/>
      <c r="N644" s="151" t="str">
        <f t="shared" si="478"/>
        <v/>
      </c>
      <c r="O644" s="712"/>
      <c r="P644" s="700"/>
      <c r="Q644" s="712"/>
      <c r="R644" s="681" t="str">
        <f>IFERROR(
  IF(B644="", "", VLOOKUP(B644, Data!$B$2:$K$905, 9, FALSE)),
  ""
)</f>
        <v/>
      </c>
      <c r="S644" s="691"/>
      <c r="T644" s="690"/>
      <c r="U644" s="681" t="str">
        <f>IFERROR(
  IF(B644="", "", VLOOKUP(B644, Data!$B$2:$K$905, 10, FALSE)),
  ""
)
</f>
        <v/>
      </c>
      <c r="V644" s="691"/>
      <c r="W644" s="713"/>
      <c r="X644" s="692"/>
      <c r="Y644" s="595"/>
      <c r="Z644" s="595"/>
      <c r="AA644" s="595"/>
      <c r="AB644" s="354">
        <f t="shared" si="477"/>
        <v>0</v>
      </c>
      <c r="AC644" s="181"/>
      <c r="AD644" s="625"/>
      <c r="AE644" s="626"/>
      <c r="AF644" s="696"/>
      <c r="AG644" s="697"/>
      <c r="AH644" s="629"/>
      <c r="AI644" s="187"/>
      <c r="AJ644" s="630"/>
      <c r="AK644" s="630"/>
      <c r="AL644" s="595"/>
      <c r="AM644" s="595"/>
      <c r="AN644" s="595"/>
      <c r="AO644" s="595"/>
      <c r="AP644" s="595"/>
      <c r="AQ644" s="595"/>
      <c r="AR644" s="595"/>
      <c r="AS644" s="595"/>
      <c r="AT644" s="595"/>
      <c r="AU644" s="595"/>
      <c r="AV644" s="595"/>
      <c r="AW644" s="595"/>
      <c r="AX644" s="595"/>
      <c r="AY644" s="595"/>
      <c r="AZ644" s="595"/>
      <c r="BA644" s="595"/>
      <c r="BB644" s="595"/>
      <c r="BC644" s="595"/>
      <c r="BD644" s="595"/>
      <c r="BE644" s="595"/>
      <c r="BF644" s="595"/>
      <c r="BG644" s="595"/>
      <c r="BH644" s="595"/>
      <c r="BI644" s="651"/>
      <c r="BJ644" s="651"/>
      <c r="BK644" s="651"/>
      <c r="BL644" s="651"/>
      <c r="BM644" s="651"/>
      <c r="BN644" s="651"/>
      <c r="BO644" s="651"/>
      <c r="BP644" s="651"/>
      <c r="BQ644" s="651"/>
      <c r="BR644" s="651"/>
      <c r="BS644" s="651"/>
      <c r="BT644" s="651"/>
    </row>
    <row r="645">
      <c r="A645" s="631">
        <v>1.0</v>
      </c>
      <c r="B645" s="727"/>
      <c r="C645" s="103" t="s">
        <v>566</v>
      </c>
      <c r="D645" s="678"/>
      <c r="E645" s="676"/>
      <c r="F645" s="677"/>
      <c r="G645" s="678"/>
      <c r="H645" s="678"/>
      <c r="I645" s="679"/>
      <c r="J645" s="678"/>
      <c r="K645" s="678" t="s">
        <v>42</v>
      </c>
      <c r="L645" s="106">
        <f>Q645</f>
        <v>22.5</v>
      </c>
      <c r="M645" s="679" t="s">
        <v>42</v>
      </c>
      <c r="N645" s="680"/>
      <c r="O645" s="679"/>
      <c r="P645" s="678"/>
      <c r="Q645" s="106">
        <f>Q646</f>
        <v>22.5</v>
      </c>
      <c r="R645" s="681" t="str">
        <f>IFERROR(
  IF(B645="", "", VLOOKUP(B645, Data!$B$2:$K$905, 9, FALSE)),
  ""
)</f>
        <v/>
      </c>
      <c r="S645" s="682">
        <f>IFERROR(T645/Q645, 0)</f>
        <v>0</v>
      </c>
      <c r="T645" s="109">
        <f>SUM(S646:S659)</f>
        <v>0</v>
      </c>
      <c r="U645" s="681" t="str">
        <f>IFERROR(
  IF(B645="", "", VLOOKUP(B645, Data!$B$2:$K$905, 10, FALSE)),
  ""
)
</f>
        <v/>
      </c>
      <c r="V645" s="109">
        <f>W645/Q645</f>
        <v>0</v>
      </c>
      <c r="W645" s="110">
        <f>SUM(W646:W659)</f>
        <v>0</v>
      </c>
      <c r="X645" s="111" t="str">
        <f>W645/$AC$758/$W$765/$X$755</f>
        <v>#REF!</v>
      </c>
      <c r="Y645" s="112" t="b">
        <f>(T645+W645)=(SUM(AB646:AB659))</f>
        <v>1</v>
      </c>
      <c r="Z645" s="222">
        <f>(T645+W645)-(SUM(AB646:AB659))</f>
        <v>0</v>
      </c>
      <c r="AA645" s="595"/>
      <c r="AB645" s="595"/>
      <c r="AC645" s="181"/>
      <c r="AD645" s="114">
        <f>W645+T645</f>
        <v>0</v>
      </c>
      <c r="AE645" s="115">
        <f>AD645</f>
        <v>0</v>
      </c>
      <c r="AF645" s="116" t="str">
        <f>AE645/$AE$733</f>
        <v>#REF!</v>
      </c>
      <c r="AG645" s="683" t="str">
        <f>AF645*$AG$740</f>
        <v>#REF!</v>
      </c>
      <c r="AH645" s="118" t="str">
        <f>AF645*$AG$743</f>
        <v>#REF!</v>
      </c>
      <c r="AI645" s="187"/>
      <c r="AJ645" s="119" t="str">
        <f>ROUND(AK645/L645,2)</f>
        <v>#REF!</v>
      </c>
      <c r="AK645" s="119" t="str">
        <f>ROUND(AH645+AG645+AD645,2)</f>
        <v>#REF!</v>
      </c>
      <c r="AL645" s="595"/>
      <c r="AM645" s="595"/>
      <c r="AN645" s="595"/>
      <c r="AO645" s="595"/>
      <c r="AP645" s="595"/>
      <c r="AQ645" s="595"/>
      <c r="AR645" s="595"/>
      <c r="AS645" s="595"/>
      <c r="AT645" s="595"/>
      <c r="AU645" s="595"/>
      <c r="AV645" s="595"/>
      <c r="AW645" s="595"/>
      <c r="AX645" s="595"/>
      <c r="AY645" s="595"/>
      <c r="AZ645" s="595"/>
      <c r="BA645" s="595"/>
      <c r="BB645" s="595"/>
      <c r="BC645" s="595"/>
      <c r="BD645" s="595"/>
      <c r="BE645" s="595"/>
      <c r="BF645" s="595"/>
      <c r="BG645" s="595"/>
      <c r="BH645" s="595"/>
      <c r="BI645" s="651"/>
      <c r="BJ645" s="651"/>
      <c r="BK645" s="651"/>
      <c r="BL645" s="651"/>
      <c r="BM645" s="651"/>
      <c r="BN645" s="651"/>
      <c r="BO645" s="651"/>
      <c r="BP645" s="651"/>
      <c r="BQ645" s="651"/>
      <c r="BR645" s="651"/>
      <c r="BS645" s="651"/>
      <c r="BT645" s="651"/>
    </row>
    <row r="646">
      <c r="A646" s="716" t="s">
        <v>444</v>
      </c>
      <c r="B646" s="154" t="str">
        <f>IFERROR(__xludf.DUMMYFUNCTION("IFERROR(
  IF(C646="""","""",
    IF(OR(REGEXMATCH(D646,""(?i)-Flashing""), REGEXMATCH(D646,""(?i)-EavesGut""), REGEXMATCH(D646,""(?i)Valley"")),
        ""DR"" &amp;
        TEXT(
            ROUNDUP(
                MIN(
                    VALUE(MID(C646, "&amp;"FIND(""("",C646)+1, FIND(""/"",C646)-FIND(""("",C646)-1)),
                    1200
                ) / 50, 0
            ) * 50, ""0""
        ) &amp;
        MID(C646, FIND(""/"",C646)+1, FIND("")"",C646)-FIND(""/"",C646)-1) &amp;
        TEXT(H646*100,""0"") &amp;"&amp;"
        I646,
    IF(AND(D646=""Roof Sheet"", REGEXMATCH(C646,""(?i)KS\d{4}[A-Z]{2}"")),
       REGEXEXTRACT(C646,""(?i)KS\d{4}[A-Z]{2}""),
    IF(AND(REGEXMATCH(D646,""(?i)-DP""), REGEXMATCH(C646,""(?i)Downpipe"")),
       ""dp"" &amp; REGEXEXTRACT(C646,""("&amp;"\d+)"") &amp; ""mm"",
    IF(AND(REGEXMATCH(D646,""(?i)Bracket""), REGEXMATCH(C646,""(?i)Bracket"")),
       ""Brkt"" &amp; REGEXEXTRACT(C646,""(\d+)"") &amp; ""mm"",
    IF(AND(REGEXMATCH(D646,""(?i)-OP""), REGEXMATCH(C646,""(?i)pops"")),
       ""op"" &amp; REGEXEXTRAC"&amp;"T(C646,""(\d+)"") &amp; ""mm"",
    IF(OR(D646=""R-FFTop"", D646=""R-FFBottom"", D646=""R-FFSide""),
        IF(REGEXMATCH(C646,""(?i)Profiled.*Top|Top.*Profiled""),""pfft"",
        IF(REGEXMATCH(C646,""(?i)Profiled.*Bottom|Bottom.*Profiled""),""pffb"",
    "&amp;"    IF(REGEXMATCH(C646,""(?i)Square""),""sff"",""""))),
    IF(REGEXMATCH(D646,""(?i)-Rivets""),""Rvt"",
    IF(REGEXMATCH(D646,""(?i)Silicone""),""300ml"",
    IF(REGEXMATCH(D646,""(?i)R-Butyl""),""300ml"",
    IF(REGEXMATCH(D646,""(?i)Fix""),""GenFix"","&amp;"
    IF(AND(REGEXMATCH(C646,""(?i)Timber""), REGEXMATCH(D646,""(?i)Timber"")),""tp"",
    IF(AND(REGEXMATCH(C646,""(?i)Vent G1275""), REGEXMATCH(D646,""(?i)Comb FIller"")),""CFV1275"",
    IF(REGEXMATCH(C646,""(?i)DPC""),""dpc"",
    IF(REGEXMATCH(C646,"""&amp;"(?i)Concealed Clips""),""ConClips"",
    IF(REGEXMATCH(D646,""(?i)-Takeoff ea""),""Takeoff ea"",
    IF(REGEXMATCH(D646,""(?i)-Takeoff LM""),""Takeoff LM"",
    IF(REGEXMATCH(D646,""(?i)-Takeoff m2""),""Takeoff m2"",
    IF(D646=""R-TU/TD"",""TU/TD"","""""&amp;")))))))))))))))))
  )))"),"DR4505B55Mag")</f>
        <v>DR4505B55Mag</v>
      </c>
      <c r="C646" s="123" t="s">
        <v>567</v>
      </c>
      <c r="D646" s="148" t="s">
        <v>161</v>
      </c>
      <c r="E646" s="687">
        <f>VALUE(MID(C646, FIND("(", C646)+1, FIND("/", C646)-FIND("(", C646)-1)) / 1000</f>
        <v>0.45</v>
      </c>
      <c r="F646" s="688"/>
      <c r="G646" s="689" t="s">
        <v>574</v>
      </c>
      <c r="H646" s="128" t="str">
        <f>IFERROR(__xludf.DUMMYFUNCTION("IFERROR(REGEXEXTRACT(C646, ""(\d*\.\d+)mm""), """")"),"0.55")</f>
        <v>0.55</v>
      </c>
      <c r="I646" s="168" t="s">
        <v>97</v>
      </c>
      <c r="J646" s="126" t="s">
        <v>14</v>
      </c>
      <c r="K646" s="126" t="str">
        <f>IFERROR(
  IF(B646="", "", VLOOKUP(B646, Data!$B$2:$K$905, 7, FALSE)),
  ""
)</f>
        <v/>
      </c>
      <c r="L646" s="704"/>
      <c r="M646" s="730">
        <v>22.5</v>
      </c>
      <c r="N646" s="151">
        <f>IFERROR(__xludf.DUMMYFUNCTION("IF(
  AND(
    IFERROR(REGEXEXTRACT(C646,""@\s*(\d+(?:\.\d+)?)\s*deg""),"""")&lt;&gt;"""",
    F646&lt;&gt;""""
  ),
  ""Pls Confirm °"",
  IF(
    IFERROR(REGEXEXTRACT(C646,""@\s*(\d+(?:\.\d+)?)\s*deg""),"""")&lt;&gt;"""",
    1/COS(RADIANS(REGEXEXTRACT(C646,""@\s*(\d+(?:"&amp;"\.\d+)?)\s*deg""))),
    IF(
      F646&lt;&gt;"""",
      IF(
        ISNUMBER(SEARCH(""|"",F646)),
        1/COS(
          ATAN(
            TAN(RADIANS(VALUE(INDEX(SPLIT(F646,""|""),1)))) *
            TAN(RADIANS(VALUE(INDEX(SPLIT(F646,""|""),2))))
       "&amp;"     /
            SQRT(
              TAN(RADIANS(VALUE(INDEX(SPLIT(F646,""|""),1))))^2 +
              TAN(RADIANS(VALUE(INDEX(SPLIT(F646,""|""),2))))^2
            )
          )
        ),
        1/COS(RADIANS(VALUE(F646)))
      ),
      1
    )
  )
"&amp;")"),1.0)</f>
        <v>1</v>
      </c>
      <c r="O646" s="169">
        <v>1.0</v>
      </c>
      <c r="P646" s="134">
        <v>1.0</v>
      </c>
      <c r="Q646" s="168">
        <f t="shared" ref="Q646:Q650" si="479">M646*N646*O646*P646</f>
        <v>22.5</v>
      </c>
      <c r="R646" s="136" t="str">
        <f>IFERROR(
  IF(B646="", "", VLOOKUP(B646, Data!$B$2:$K$905, 9, FALSE)),
  ""
)</f>
        <v/>
      </c>
      <c r="S646" s="152">
        <f t="shared" ref="S646:S650" si="480">R646*Q646</f>
        <v>0</v>
      </c>
      <c r="T646" s="690"/>
      <c r="U646" s="136" t="str">
        <f>IFERROR(
  IF(B646="", "", VLOOKUP(B646, Data!$B$2:$K$905, 10, FALSE)),
  ""
)
</f>
        <v/>
      </c>
      <c r="V646" s="691"/>
      <c r="W646" s="140">
        <f t="shared" ref="W646:W650" si="481">U646*Q646</f>
        <v>0</v>
      </c>
      <c r="X646" s="692"/>
      <c r="Y646" s="693"/>
      <c r="Z646" s="731"/>
      <c r="AA646" s="595"/>
      <c r="AB646" s="354">
        <f t="shared" ref="AB646:AB659" si="482">W646+S646</f>
        <v>0</v>
      </c>
      <c r="AC646" s="181"/>
      <c r="AD646" s="625"/>
      <c r="AE646" s="626"/>
      <c r="AF646" s="696"/>
      <c r="AG646" s="697"/>
      <c r="AH646" s="629"/>
      <c r="AI646" s="187"/>
      <c r="AJ646" s="630"/>
      <c r="AK646" s="630"/>
      <c r="AL646" s="595"/>
      <c r="AM646" s="595"/>
      <c r="AN646" s="595"/>
      <c r="AO646" s="595"/>
      <c r="AP646" s="595"/>
      <c r="AQ646" s="595"/>
      <c r="AR646" s="595"/>
      <c r="AS646" s="595"/>
      <c r="AT646" s="595"/>
      <c r="AU646" s="595"/>
      <c r="AV646" s="595"/>
      <c r="AW646" s="595"/>
      <c r="AX646" s="595"/>
      <c r="AY646" s="595"/>
      <c r="AZ646" s="595"/>
      <c r="BA646" s="595"/>
      <c r="BB646" s="595"/>
      <c r="BC646" s="595"/>
      <c r="BD646" s="595"/>
      <c r="BE646" s="595"/>
      <c r="BF646" s="595"/>
      <c r="BG646" s="595"/>
      <c r="BH646" s="595"/>
      <c r="BI646" s="651"/>
      <c r="BJ646" s="651"/>
      <c r="BK646" s="651"/>
      <c r="BL646" s="651"/>
      <c r="BM646" s="651"/>
      <c r="BN646" s="651"/>
      <c r="BO646" s="651"/>
      <c r="BP646" s="651"/>
      <c r="BQ646" s="651"/>
      <c r="BR646" s="651"/>
      <c r="BS646" s="651"/>
      <c r="BT646" s="651"/>
    </row>
    <row r="647">
      <c r="A647" s="631"/>
      <c r="B647" s="154" t="str">
        <f>IFERROR(__xludf.DUMMYFUNCTION("IFERROR(
  IF(C647="""","""",
    IF(OR(REGEXMATCH(D647,""(?i)-Flashing""), REGEXMATCH(D647,""(?i)-EavesGut""), REGEXMATCH(D647,""(?i)Valley"")),
        ""DR"" &amp;
        TEXT(
            ROUNDUP(
                MIN(
                    VALUE(MID(C647, "&amp;"FIND(""("",C647)+1, FIND(""/"",C647)-FIND(""("",C647)-1)),
                    1200
                ) / 50, 0
            ) * 50, ""0""
        ) &amp;
        MID(C647, FIND(""/"",C647)+1, FIND("")"",C647)-FIND(""/"",C647)-1) &amp;
        TEXT(H647*100,""0"") &amp;"&amp;"
        I647,
    IF(AND(D647=""Roof Sheet"", REGEXMATCH(C647,""(?i)KS\d{4}[A-Z]{2}"")),
       REGEXEXTRACT(C647,""(?i)KS\d{4}[A-Z]{2}""),
    IF(AND(REGEXMATCH(D647,""(?i)-DP""), REGEXMATCH(C647,""(?i)Downpipe"")),
       ""dp"" &amp; REGEXEXTRACT(C647,""("&amp;"\d+)"") &amp; ""mm"",
    IF(AND(REGEXMATCH(D647,""(?i)Bracket""), REGEXMATCH(C647,""(?i)Bracket"")),
       ""Brkt"" &amp; REGEXEXTRACT(C647,""(\d+)"") &amp; ""mm"",
    IF(AND(REGEXMATCH(D647,""(?i)-OP""), REGEXMATCH(C647,""(?i)pops"")),
       ""op"" &amp; REGEXEXTRAC"&amp;"T(C647,""(\d+)"") &amp; ""mm"",
    IF(OR(D647=""R-FFTop"", D647=""R-FFBottom"", D647=""R-FFSide""),
        IF(REGEXMATCH(C647,""(?i)Profiled.*Top|Top.*Profiled""),""pfft"",
        IF(REGEXMATCH(C647,""(?i)Profiled.*Bottom|Bottom.*Profiled""),""pffb"",
    "&amp;"    IF(REGEXMATCH(C647,""(?i)Square""),""sff"",""""))),
    IF(REGEXMATCH(D647,""(?i)-Rivets""),""Rvt"",
    IF(REGEXMATCH(D647,""(?i)Silicone""),""300ml"",
    IF(REGEXMATCH(D647,""(?i)R-Butyl""),""300ml"",
    IF(REGEXMATCH(D647,""(?i)Fix""),""GenFix"","&amp;"
    IF(AND(REGEXMATCH(C647,""(?i)Timber""), REGEXMATCH(D647,""(?i)Timber"")),""tp"",
    IF(AND(REGEXMATCH(C647,""(?i)Vent G1275""), REGEXMATCH(D647,""(?i)Comb FIller"")),""CFV1275"",
    IF(REGEXMATCH(C647,""(?i)DPC""),""dpc"",
    IF(REGEXMATCH(C647,"""&amp;"(?i)Concealed Clips""),""ConClips"",
    IF(REGEXMATCH(D647,""(?i)-Takeoff ea""),""Takeoff ea"",
    IF(REGEXMATCH(D647,""(?i)-Takeoff LM""),""Takeoff LM"",
    IF(REGEXMATCH(D647,""(?i)-Takeoff m2""),""Takeoff m2"",
    IF(D647=""R-TU/TD"",""TU/TD"","""""&amp;")))))))))))))))))
  )))"),"300ml")</f>
        <v>300ml</v>
      </c>
      <c r="C647" s="734" t="s">
        <v>98</v>
      </c>
      <c r="D647" s="148" t="s">
        <v>162</v>
      </c>
      <c r="E647" s="687">
        <f>E646</f>
        <v>0.45</v>
      </c>
      <c r="F647" s="699"/>
      <c r="G647" s="700"/>
      <c r="H647" s="700" t="str">
        <f>IFERROR(__xludf.DUMMYFUNCTION("IFERROR(REGEXEXTRACT(C647, ""(\d*\.\d+)mm""), """")"),"")</f>
        <v/>
      </c>
      <c r="I647" s="712"/>
      <c r="J647" s="126" t="s">
        <v>87</v>
      </c>
      <c r="K647" s="126" t="str">
        <f>IFERROR(
  IF(B647="", "", VLOOKUP(B647, Data!$B$2:$K$905, 7, FALSE)),
  ""
)</f>
        <v/>
      </c>
      <c r="L647" s="704"/>
      <c r="M647" s="150">
        <f>(ROUNDDOWN((M646/5.7)+2,0)*E647)/8</f>
        <v>0.28125</v>
      </c>
      <c r="N647" s="151">
        <f t="shared" ref="N647:N659" si="483">if(B647="","",(if(N646="",N645,N646)))</f>
        <v>1</v>
      </c>
      <c r="O647" s="169">
        <v>1.0</v>
      </c>
      <c r="P647" s="134">
        <v>1.0</v>
      </c>
      <c r="Q647" s="168">
        <f t="shared" si="479"/>
        <v>0.28125</v>
      </c>
      <c r="R647" s="136" t="str">
        <f>IFERROR(
  IF(B647="", "", VLOOKUP(B647, Data!$B$2:$K$905, 9, FALSE)),
  ""
)</f>
        <v/>
      </c>
      <c r="S647" s="152">
        <f t="shared" si="480"/>
        <v>0</v>
      </c>
      <c r="T647" s="690"/>
      <c r="U647" s="681" t="str">
        <f>IFERROR(
  IF(B647="", "", VLOOKUP(B647, Data!$B$2:$K$905, 10, FALSE)),
  ""
)
</f>
        <v/>
      </c>
      <c r="V647" s="691"/>
      <c r="W647" s="140">
        <f t="shared" si="481"/>
        <v>0</v>
      </c>
      <c r="X647" s="692"/>
      <c r="Y647" s="595"/>
      <c r="Z647" s="595"/>
      <c r="AA647" s="595"/>
      <c r="AB647" s="354">
        <f t="shared" si="482"/>
        <v>0</v>
      </c>
      <c r="AC647" s="181"/>
      <c r="AD647" s="625"/>
      <c r="AE647" s="626"/>
      <c r="AF647" s="696"/>
      <c r="AG647" s="697"/>
      <c r="AH647" s="629"/>
      <c r="AI647" s="187"/>
      <c r="AJ647" s="630"/>
      <c r="AK647" s="630"/>
      <c r="AL647" s="595"/>
      <c r="AM647" s="595"/>
      <c r="AN647" s="595"/>
      <c r="AO647" s="595"/>
      <c r="AP647" s="595"/>
      <c r="AQ647" s="595"/>
      <c r="AR647" s="595"/>
      <c r="AS647" s="595"/>
      <c r="AT647" s="595"/>
      <c r="AU647" s="595"/>
      <c r="AV647" s="595"/>
      <c r="AW647" s="595"/>
      <c r="AX647" s="595"/>
      <c r="AY647" s="595"/>
      <c r="AZ647" s="595"/>
      <c r="BA647" s="595"/>
      <c r="BB647" s="595"/>
      <c r="BC647" s="595"/>
      <c r="BD647" s="595"/>
      <c r="BE647" s="595"/>
      <c r="BF647" s="595"/>
      <c r="BG647" s="595"/>
      <c r="BH647" s="595"/>
      <c r="BI647" s="651"/>
      <c r="BJ647" s="651"/>
      <c r="BK647" s="651"/>
      <c r="BL647" s="651"/>
      <c r="BM647" s="651"/>
      <c r="BN647" s="651"/>
      <c r="BO647" s="651"/>
      <c r="BP647" s="651"/>
      <c r="BQ647" s="651"/>
      <c r="BR647" s="651"/>
      <c r="BS647" s="651"/>
      <c r="BT647" s="651"/>
    </row>
    <row r="648">
      <c r="A648" s="631"/>
      <c r="B648" s="154" t="str">
        <f>IFERROR(__xludf.DUMMYFUNCTION("IFERROR(
  IF(C648="""","""",
    IF(OR(REGEXMATCH(D648,""(?i)-Flashing""), REGEXMATCH(D648,""(?i)-EavesGut""), REGEXMATCH(D648,""(?i)Valley"")),
        ""DR"" &amp;
        TEXT(
            ROUNDUP(
                MIN(
                    VALUE(MID(C648, "&amp;"FIND(""("",C648)+1, FIND(""/"",C648)-FIND(""("",C648)-1)),
                    1200
                ) / 50, 0
            ) * 50, ""0""
        ) &amp;
        MID(C648, FIND(""/"",C648)+1, FIND("")"",C648)-FIND(""/"",C648)-1) &amp;
        TEXT(H648*100,""0"") &amp;"&amp;"
        I648,
    IF(AND(D648=""Roof Sheet"", REGEXMATCH(C648,""(?i)KS\d{4}[A-Z]{2}"")),
       REGEXEXTRACT(C648,""(?i)KS\d{4}[A-Z]{2}""),
    IF(AND(REGEXMATCH(D648,""(?i)-DP""), REGEXMATCH(C648,""(?i)Downpipe"")),
       ""dp"" &amp; REGEXEXTRACT(C648,""("&amp;"\d+)"") &amp; ""mm"",
    IF(AND(REGEXMATCH(D648,""(?i)Bracket""), REGEXMATCH(C648,""(?i)Bracket"")),
       ""Brkt"" &amp; REGEXEXTRACT(C648,""(\d+)"") &amp; ""mm"",
    IF(AND(REGEXMATCH(D648,""(?i)-OP""), REGEXMATCH(C648,""(?i)pops"")),
       ""op"" &amp; REGEXEXTRAC"&amp;"T(C648,""(\d+)"") &amp; ""mm"",
    IF(OR(D648=""R-FFTop"", D648=""R-FFBottom"", D648=""R-FFSide""),
        IF(REGEXMATCH(C648,""(?i)Profiled.*Top|Top.*Profiled""),""pfft"",
        IF(REGEXMATCH(C648,""(?i)Profiled.*Bottom|Bottom.*Profiled""),""pffb"",
    "&amp;"    IF(REGEXMATCH(C648,""(?i)Square""),""sff"",""""))),
    IF(REGEXMATCH(D648,""(?i)-Rivets""),""Rvt"",
    IF(REGEXMATCH(D648,""(?i)Silicone""),""300ml"",
    IF(REGEXMATCH(D648,""(?i)R-Butyl""),""300ml"",
    IF(REGEXMATCH(D648,""(?i)Fix""),""GenFix"","&amp;"
    IF(AND(REGEXMATCH(C648,""(?i)Timber""), REGEXMATCH(D648,""(?i)Timber"")),""tp"",
    IF(AND(REGEXMATCH(C648,""(?i)Vent G1275""), REGEXMATCH(D648,""(?i)Comb FIller"")),""CFV1275"",
    IF(REGEXMATCH(C648,""(?i)DPC""),""dpc"",
    IF(REGEXMATCH(C648,"""&amp;"(?i)Concealed Clips""),""ConClips"",
    IF(REGEXMATCH(D648,""(?i)-Takeoff ea""),""Takeoff ea"",
    IF(REGEXMATCH(D648,""(?i)-Takeoff LM""),""Takeoff LM"",
    IF(REGEXMATCH(D648,""(?i)-Takeoff m2""),""Takeoff m2"",
    IF(D648=""R-TU/TD"",""TU/TD"","""""&amp;")))))))))))))))))
  )))"),"Rvt")</f>
        <v>Rvt</v>
      </c>
      <c r="C648" s="734" t="s">
        <v>100</v>
      </c>
      <c r="D648" s="148" t="s">
        <v>163</v>
      </c>
      <c r="E648" s="687">
        <f>E646</f>
        <v>0.45</v>
      </c>
      <c r="F648" s="699"/>
      <c r="G648" s="700"/>
      <c r="H648" s="700" t="str">
        <f>IFERROR(__xludf.DUMMYFUNCTION("IFERROR(REGEXEXTRACT(C648, ""(\d*\.\d+)mm""), """")"),"")</f>
        <v/>
      </c>
      <c r="I648" s="712"/>
      <c r="J648" s="126" t="s">
        <v>87</v>
      </c>
      <c r="K648" s="126" t="str">
        <f>IFERROR(
  IF(B648="", "", VLOOKUP(B648, Data!$B$2:$K$905, 7, FALSE)),
  ""
)</f>
        <v/>
      </c>
      <c r="L648" s="704"/>
      <c r="M648" s="150">
        <f>ROUNDUP(((M646/5.7)+1)*(E648/0.05),0)</f>
        <v>45</v>
      </c>
      <c r="N648" s="151">
        <f t="shared" si="483"/>
        <v>1</v>
      </c>
      <c r="O648" s="169">
        <v>1.0</v>
      </c>
      <c r="P648" s="134">
        <v>1.0</v>
      </c>
      <c r="Q648" s="168">
        <f t="shared" si="479"/>
        <v>45</v>
      </c>
      <c r="R648" s="136" t="str">
        <f>IFERROR(
  IF(B648="", "", VLOOKUP(B648, Data!$B$2:$K$905, 9, FALSE)),
  ""
)</f>
        <v/>
      </c>
      <c r="S648" s="152">
        <f t="shared" si="480"/>
        <v>0</v>
      </c>
      <c r="T648" s="690"/>
      <c r="U648" s="681" t="str">
        <f>IFERROR(
  IF(B648="", "", VLOOKUP(B648, Data!$B$2:$K$905, 10, FALSE)),
  ""
)
</f>
        <v/>
      </c>
      <c r="V648" s="691"/>
      <c r="W648" s="140">
        <f t="shared" si="481"/>
        <v>0</v>
      </c>
      <c r="X648" s="692"/>
      <c r="Y648" s="595"/>
      <c r="Z648" s="595"/>
      <c r="AA648" s="595"/>
      <c r="AB648" s="354">
        <f t="shared" si="482"/>
        <v>0</v>
      </c>
      <c r="AC648" s="181"/>
      <c r="AD648" s="625"/>
      <c r="AE648" s="626"/>
      <c r="AF648" s="696"/>
      <c r="AG648" s="697"/>
      <c r="AH648" s="629"/>
      <c r="AI648" s="187"/>
      <c r="AJ648" s="630"/>
      <c r="AK648" s="630"/>
      <c r="AL648" s="595"/>
      <c r="AM648" s="595"/>
      <c r="AN648" s="595"/>
      <c r="AO648" s="595"/>
      <c r="AP648" s="595"/>
      <c r="AQ648" s="595"/>
      <c r="AR648" s="595"/>
      <c r="AS648" s="595"/>
      <c r="AT648" s="595"/>
      <c r="AU648" s="595"/>
      <c r="AV648" s="595"/>
      <c r="AW648" s="595"/>
      <c r="AX648" s="595"/>
      <c r="AY648" s="595"/>
      <c r="AZ648" s="595"/>
      <c r="BA648" s="595"/>
      <c r="BB648" s="595"/>
      <c r="BC648" s="595"/>
      <c r="BD648" s="595"/>
      <c r="BE648" s="595"/>
      <c r="BF648" s="595"/>
      <c r="BG648" s="595"/>
      <c r="BH648" s="595"/>
      <c r="BI648" s="651"/>
      <c r="BJ648" s="651"/>
      <c r="BK648" s="651"/>
      <c r="BL648" s="651"/>
      <c r="BM648" s="651"/>
      <c r="BN648" s="651"/>
      <c r="BO648" s="651"/>
      <c r="BP648" s="651"/>
      <c r="BQ648" s="651"/>
      <c r="BR648" s="651"/>
      <c r="BS648" s="651"/>
      <c r="BT648" s="651"/>
    </row>
    <row r="649">
      <c r="A649" s="631"/>
      <c r="B649" s="154" t="str">
        <f>IFERROR(__xludf.DUMMYFUNCTION("IFERROR(
  IF(C649="""","""",
    IF(OR(REGEXMATCH(D649,""(?i)-Flashing""), REGEXMATCH(D649,""(?i)-EavesGut""), REGEXMATCH(D649,""(?i)Valley"")),
        ""DR"" &amp;
        TEXT(
            ROUNDUP(
                MIN(
                    VALUE(MID(C649, "&amp;"FIND(""("",C649)+1, FIND(""/"",C649)-FIND(""("",C649)-1)),
                    1200
                ) / 50, 0
            ) * 50, ""0""
        ) &amp;
        MID(C649, FIND(""/"",C649)+1, FIND("")"",C649)-FIND(""/"",C649)-1) &amp;
        TEXT(H649*100,""0"") &amp;"&amp;"
        I649,
    IF(AND(D649=""Roof Sheet"", REGEXMATCH(C649,""(?i)KS\d{4}[A-Z]{2}"")),
       REGEXEXTRACT(C649,""(?i)KS\d{4}[A-Z]{2}""),
    IF(AND(REGEXMATCH(D649,""(?i)-DP""), REGEXMATCH(C649,""(?i)Downpipe"")),
       ""dp"" &amp; REGEXEXTRACT(C649,""("&amp;"\d+)"") &amp; ""mm"",
    IF(AND(REGEXMATCH(D649,""(?i)Bracket""), REGEXMATCH(C649,""(?i)Bracket"")),
       ""Brkt"" &amp; REGEXEXTRACT(C649,""(\d+)"") &amp; ""mm"",
    IF(AND(REGEXMATCH(D649,""(?i)-OP""), REGEXMATCH(C649,""(?i)pops"")),
       ""op"" &amp; REGEXEXTRAC"&amp;"T(C649,""(\d+)"") &amp; ""mm"",
    IF(OR(D649=""R-FFTop"", D649=""R-FFBottom"", D649=""R-FFSide""),
        IF(REGEXMATCH(C649,""(?i)Profiled.*Top|Top.*Profiled""),""pfft"",
        IF(REGEXMATCH(C649,""(?i)Profiled.*Bottom|Bottom.*Profiled""),""pffb"",
    "&amp;"    IF(REGEXMATCH(C649,""(?i)Square""),""sff"",""""))),
    IF(REGEXMATCH(D649,""(?i)-Rivets""),""Rvt"",
    IF(REGEXMATCH(D649,""(?i)Silicone""),""300ml"",
    IF(REGEXMATCH(D649,""(?i)R-Butyl""),""300ml"",
    IF(REGEXMATCH(D649,""(?i)Fix""),""GenFix"","&amp;"
    IF(AND(REGEXMATCH(C649,""(?i)Timber""), REGEXMATCH(D649,""(?i)Timber"")),""tp"",
    IF(AND(REGEXMATCH(C649,""(?i)Vent G1275""), REGEXMATCH(D649,""(?i)Comb FIller"")),""CFV1275"",
    IF(REGEXMATCH(C649,""(?i)DPC""),""dpc"",
    IF(REGEXMATCH(C649,"""&amp;"(?i)Concealed Clips""),""ConClips"",
    IF(REGEXMATCH(D649,""(?i)-Takeoff ea""),""Takeoff ea"",
    IF(REGEXMATCH(D649,""(?i)-Takeoff LM""),""Takeoff LM"",
    IF(REGEXMATCH(D649,""(?i)-Takeoff m2""),""Takeoff m2"",
    IF(D649=""R-TU/TD"",""TU/TD"","""""&amp;")))))))))))))))))
  )))"),"GenFix")</f>
        <v>GenFix</v>
      </c>
      <c r="C649" s="698" t="s">
        <v>102</v>
      </c>
      <c r="D649" s="148" t="s">
        <v>164</v>
      </c>
      <c r="E649" s="722"/>
      <c r="F649" s="699"/>
      <c r="G649" s="701"/>
      <c r="H649" s="700"/>
      <c r="I649" s="712"/>
      <c r="J649" s="126" t="s">
        <v>87</v>
      </c>
      <c r="K649" s="126" t="str">
        <f>IFERROR(
  IF(B649="", "", VLOOKUP(B649, Data!$B$2:$K$905, 7, FALSE)),
  ""
)</f>
        <v/>
      </c>
      <c r="L649" s="712"/>
      <c r="M649" s="150">
        <f>ROUNDUP(M646/0.6,0)+1</f>
        <v>39</v>
      </c>
      <c r="N649" s="151">
        <f t="shared" si="483"/>
        <v>1</v>
      </c>
      <c r="O649" s="169">
        <v>1.0</v>
      </c>
      <c r="P649" s="134">
        <v>2.0</v>
      </c>
      <c r="Q649" s="168">
        <f t="shared" si="479"/>
        <v>78</v>
      </c>
      <c r="R649" s="136" t="str">
        <f>IFERROR(
  IF(B649="", "", VLOOKUP(B649, Data!$B$2:$K$905, 9, FALSE)),
  ""
)</f>
        <v/>
      </c>
      <c r="S649" s="152">
        <f t="shared" si="480"/>
        <v>0</v>
      </c>
      <c r="T649" s="690"/>
      <c r="U649" s="681" t="str">
        <f>IFERROR(
  IF(B649="", "", VLOOKUP(B649, Data!$B$2:$K$905, 10, FALSE)),
  ""
)
</f>
        <v/>
      </c>
      <c r="V649" s="691"/>
      <c r="W649" s="140">
        <f t="shared" si="481"/>
        <v>0</v>
      </c>
      <c r="X649" s="692"/>
      <c r="Y649" s="595"/>
      <c r="Z649" s="595"/>
      <c r="AA649" s="595"/>
      <c r="AB649" s="354">
        <f t="shared" si="482"/>
        <v>0</v>
      </c>
      <c r="AC649" s="181"/>
      <c r="AD649" s="625"/>
      <c r="AE649" s="626"/>
      <c r="AF649" s="696"/>
      <c r="AG649" s="697"/>
      <c r="AH649" s="629"/>
      <c r="AI649" s="187"/>
      <c r="AJ649" s="630"/>
      <c r="AK649" s="630"/>
      <c r="AL649" s="595"/>
      <c r="AM649" s="595"/>
      <c r="AN649" s="595"/>
      <c r="AO649" s="595"/>
      <c r="AP649" s="595"/>
      <c r="AQ649" s="595"/>
      <c r="AR649" s="595"/>
      <c r="AS649" s="595"/>
      <c r="AT649" s="595"/>
      <c r="AU649" s="595"/>
      <c r="AV649" s="595"/>
      <c r="AW649" s="595"/>
      <c r="AX649" s="595"/>
      <c r="AY649" s="595"/>
      <c r="AZ649" s="595"/>
      <c r="BA649" s="595"/>
      <c r="BB649" s="595"/>
      <c r="BC649" s="595"/>
      <c r="BD649" s="595"/>
      <c r="BE649" s="595"/>
      <c r="BF649" s="595"/>
      <c r="BG649" s="595"/>
      <c r="BH649" s="595"/>
      <c r="BI649" s="651"/>
      <c r="BJ649" s="651"/>
      <c r="BK649" s="651"/>
      <c r="BL649" s="651"/>
      <c r="BM649" s="651"/>
      <c r="BN649" s="651"/>
      <c r="BO649" s="651"/>
      <c r="BP649" s="651"/>
      <c r="BQ649" s="651"/>
      <c r="BR649" s="651"/>
      <c r="BS649" s="651"/>
      <c r="BT649" s="651"/>
    </row>
    <row r="650">
      <c r="A650" s="631"/>
      <c r="B650" s="154" t="str">
        <f>IFERROR(__xludf.DUMMYFUNCTION("IFERROR(
  IF(C650="""","""",
    IF(OR(REGEXMATCH(D650,""(?i)-Flashing""), REGEXMATCH(D650,""(?i)-EavesGut""), REGEXMATCH(D650,""(?i)Valley"")),
        ""DR"" &amp;
        TEXT(
            ROUNDUP(
                MIN(
                    VALUE(MID(C650, "&amp;"FIND(""("",C650)+1, FIND(""/"",C650)-FIND(""("",C650)-1)),
                    1200
                ) / 50, 0
            ) * 50, ""0""
        ) &amp;
        MID(C650, FIND(""/"",C650)+1, FIND("")"",C650)-FIND(""/"",C650)-1) &amp;
        TEXT(H650*100,""0"") &amp;"&amp;"
        I650,
    IF(AND(D650=""Roof Sheet"", REGEXMATCH(C650,""(?i)KS\d{4}[A-Z]{2}"")),
       REGEXEXTRACT(C650,""(?i)KS\d{4}[A-Z]{2}""),
    IF(AND(REGEXMATCH(D650,""(?i)-DP""), REGEXMATCH(C650,""(?i)Downpipe"")),
       ""dp"" &amp; REGEXEXTRACT(C650,""("&amp;"\d+)"") &amp; ""mm"",
    IF(AND(REGEXMATCH(D650,""(?i)Bracket""), REGEXMATCH(C650,""(?i)Bracket"")),
       ""Brkt"" &amp; REGEXEXTRACT(C650,""(\d+)"") &amp; ""mm"",
    IF(AND(REGEXMATCH(D650,""(?i)-OP""), REGEXMATCH(C650,""(?i)pops"")),
       ""op"" &amp; REGEXEXTRAC"&amp;"T(C650,""(\d+)"") &amp; ""mm"",
    IF(OR(D650=""R-FFTop"", D650=""R-FFBottom"", D650=""R-FFSide""),
        IF(REGEXMATCH(C650,""(?i)Profiled.*Top|Top.*Profiled""),""pfft"",
        IF(REGEXMATCH(C650,""(?i)Profiled.*Bottom|Bottom.*Profiled""),""pffb"",
    "&amp;"    IF(REGEXMATCH(C650,""(?i)Square""),""sff"",""""))),
    IF(OR(D650=""W-FFTop"", D650=""W-FFBottom"", D650=""W-FFSide""),
        IF(REGEXMATCH(C650,""(?i)Profiled.*Top|Top.*Profiled""),""pfft"",
        IF(REGEXMATCH(C650,""(?i)Profiled.*Bottom|Bottom"&amp;".*Profiled""),""pffb"",
        IF(REGEXMATCH(C650,""(?i)Square""),""sff"",""""))),
    IF(REGEXMATCH(D650,""(?i)-Rivets""),""Rvt"",
    IF(REGEXMATCH(D650,""(?i)Silicone""),""300ml"",
    IF(REGEXMATCH(D650,""(?i)R-Butyl""),""300ml"",
    IF(REGEXMATCH(D"&amp;"650,""(?i)Fix""),""GenFix"",
    IF(AND(REGEXMATCH(C650,""(?i)Timber""), REGEXMATCH(D650,""(?i)Timber"")),""tp"",
    IF(AND(REGEXMATCH(C650,""(?i)Vent G1275""), REGEXMATCH(D650,""(?i)Comb FIller"")),""CFV1275"",
    IF(REGEXMATCH(C650,""(?i)DPC""),""dpc"&amp;""",
    IF(REGEXMATCH(C650,""(?i)Concealed Clips""),""ConClips"",
    IF(REGEXMATCH(D650,""(?i)-Takeoff ea""),""Takeoff ea"",
    IF(REGEXMATCH(D650,""(?i)-Takeoff LM""),""Takeoff LM"",
    IF(REGEXMATCH(D650,""(?i)-Takeoff m2""),""Takeoff m2"",
    IF(D6"&amp;"50=""R-TU/TD"",""TU/TD"",
    IF(D650=""W-TU/TD"",""TU/TD"","""")))))))))))))))))
  )))))"),"sff")</f>
        <v>sff</v>
      </c>
      <c r="C650" s="698" t="s">
        <v>454</v>
      </c>
      <c r="D650" s="148" t="s">
        <v>340</v>
      </c>
      <c r="E650" s="722"/>
      <c r="F650" s="699"/>
      <c r="G650" s="701"/>
      <c r="H650" s="700"/>
      <c r="I650" s="712"/>
      <c r="J650" s="126" t="s">
        <v>87</v>
      </c>
      <c r="K650" s="126" t="str">
        <f>IFERROR(
  IF(B650="", "", VLOOKUP(B650, Data!$B$2:$K$905, 7, FALSE)),
  ""
)</f>
        <v/>
      </c>
      <c r="L650" s="712"/>
      <c r="M650" s="150">
        <f>M646</f>
        <v>22.5</v>
      </c>
      <c r="N650" s="151">
        <f t="shared" si="483"/>
        <v>1</v>
      </c>
      <c r="O650" s="169">
        <v>1.0</v>
      </c>
      <c r="P650" s="134">
        <v>2.0</v>
      </c>
      <c r="Q650" s="168">
        <f t="shared" si="479"/>
        <v>45</v>
      </c>
      <c r="R650" s="136" t="str">
        <f>IFERROR(
  IF(B650="", "", VLOOKUP(B650, Data!$B$2:$K$905, 9, FALSE)),
  ""
)</f>
        <v/>
      </c>
      <c r="S650" s="152">
        <f t="shared" si="480"/>
        <v>0</v>
      </c>
      <c r="T650" s="690"/>
      <c r="U650" s="136" t="str">
        <f>IFERROR(
  IF(B650="", "", VLOOKUP(B650, Data!$B$2:$K$905, 10, FALSE)),
  ""
)
</f>
        <v/>
      </c>
      <c r="V650" s="691"/>
      <c r="W650" s="140">
        <f t="shared" si="481"/>
        <v>0</v>
      </c>
      <c r="X650" s="692"/>
      <c r="Y650" s="595"/>
      <c r="Z650" s="595"/>
      <c r="AA650" s="595"/>
      <c r="AB650" s="354">
        <f t="shared" si="482"/>
        <v>0</v>
      </c>
      <c r="AC650" s="181"/>
      <c r="AD650" s="625"/>
      <c r="AE650" s="626"/>
      <c r="AF650" s="696"/>
      <c r="AG650" s="697"/>
      <c r="AH650" s="629"/>
      <c r="AI650" s="187"/>
      <c r="AJ650" s="630"/>
      <c r="AK650" s="630"/>
      <c r="AL650" s="595"/>
      <c r="AM650" s="595"/>
      <c r="AN650" s="595"/>
      <c r="AO650" s="595"/>
      <c r="AP650" s="595"/>
      <c r="AQ650" s="595"/>
      <c r="AR650" s="595"/>
      <c r="AS650" s="595"/>
      <c r="AT650" s="595"/>
      <c r="AU650" s="595"/>
      <c r="AV650" s="595"/>
      <c r="AW650" s="595"/>
      <c r="AX650" s="595"/>
      <c r="AY650" s="595"/>
      <c r="AZ650" s="595"/>
      <c r="BA650" s="595"/>
      <c r="BB650" s="595"/>
      <c r="BC650" s="595"/>
      <c r="BD650" s="595"/>
      <c r="BE650" s="595"/>
      <c r="BF650" s="595"/>
      <c r="BG650" s="595"/>
      <c r="BH650" s="595"/>
      <c r="BI650" s="651"/>
      <c r="BJ650" s="651"/>
      <c r="BK650" s="651"/>
      <c r="BL650" s="651"/>
      <c r="BM650" s="651"/>
      <c r="BN650" s="651"/>
      <c r="BO650" s="651"/>
      <c r="BP650" s="651"/>
      <c r="BQ650" s="651"/>
      <c r="BR650" s="651"/>
      <c r="BS650" s="651"/>
      <c r="BT650" s="651"/>
    </row>
    <row r="651">
      <c r="A651" s="631"/>
      <c r="B651" s="154"/>
      <c r="C651" s="702"/>
      <c r="D651" s="148"/>
      <c r="E651" s="722"/>
      <c r="F651" s="699"/>
      <c r="G651" s="700"/>
      <c r="H651" s="700"/>
      <c r="I651" s="712"/>
      <c r="J651" s="701"/>
      <c r="K651" s="701"/>
      <c r="L651" s="704"/>
      <c r="M651" s="704"/>
      <c r="N651" s="151" t="str">
        <f t="shared" si="483"/>
        <v/>
      </c>
      <c r="O651" s="712"/>
      <c r="P651" s="700"/>
      <c r="Q651" s="712"/>
      <c r="R651" s="681"/>
      <c r="S651" s="691"/>
      <c r="T651" s="690"/>
      <c r="U651" s="681"/>
      <c r="V651" s="691"/>
      <c r="W651" s="713"/>
      <c r="X651" s="692"/>
      <c r="Y651" s="693"/>
      <c r="Z651" s="731"/>
      <c r="AA651" s="595"/>
      <c r="AB651" s="354">
        <f t="shared" si="482"/>
        <v>0</v>
      </c>
      <c r="AC651" s="181"/>
      <c r="AD651" s="625"/>
      <c r="AE651" s="626"/>
      <c r="AF651" s="696"/>
      <c r="AG651" s="697"/>
      <c r="AH651" s="629"/>
      <c r="AI651" s="187"/>
      <c r="AJ651" s="630"/>
      <c r="AK651" s="630"/>
      <c r="AL651" s="595"/>
      <c r="AM651" s="595"/>
      <c r="AN651" s="595"/>
      <c r="AO651" s="595"/>
      <c r="AP651" s="595"/>
      <c r="AQ651" s="595"/>
      <c r="AR651" s="595"/>
      <c r="AS651" s="595"/>
      <c r="AT651" s="595"/>
      <c r="AU651" s="595"/>
      <c r="AV651" s="595"/>
      <c r="AW651" s="595"/>
      <c r="AX651" s="595"/>
      <c r="AY651" s="595"/>
      <c r="AZ651" s="595"/>
      <c r="BA651" s="595"/>
      <c r="BB651" s="595"/>
      <c r="BC651" s="595"/>
      <c r="BD651" s="595"/>
      <c r="BE651" s="595"/>
      <c r="BF651" s="595"/>
      <c r="BG651" s="595"/>
      <c r="BH651" s="595"/>
      <c r="BI651" s="651"/>
      <c r="BJ651" s="651"/>
      <c r="BK651" s="651"/>
      <c r="BL651" s="651"/>
      <c r="BM651" s="651"/>
      <c r="BN651" s="651"/>
      <c r="BO651" s="651"/>
      <c r="BP651" s="651"/>
      <c r="BQ651" s="651"/>
      <c r="BR651" s="651"/>
      <c r="BS651" s="651"/>
      <c r="BT651" s="651"/>
    </row>
    <row r="652">
      <c r="A652" s="716" t="s">
        <v>444</v>
      </c>
      <c r="B652" s="154" t="str">
        <f>IFERROR(__xludf.DUMMYFUNCTION("IFERROR(
  IF(C652="""","""",
    IF(OR(REGEXMATCH(D652,""(?i)-Flashing""), REGEXMATCH(D652,""(?i)-EavesGut""), REGEXMATCH(D652,""(?i)Valley"")),
        ""DR"" &amp;
        TEXT(
            ROUNDUP(
                MIN(
                    VALUE(MID(C652, "&amp;"FIND(""("",C652)+1, FIND(""/"",C652)-FIND(""("",C652)-1)),
                    1200
                ) / 50, 0
            ) * 50, ""0""
        ) &amp;
        MID(C652, FIND(""/"",C652)+1, FIND("")"",C652)-FIND(""/"",C652)-1) &amp;
        TEXT(H652*100,""0"") &amp;"&amp;"
        I652,
    IF(AND(D652=""Roof Sheet"", REGEXMATCH(C652,""(?i)KS\d{4}[A-Z]{2}"")),
       REGEXEXTRACT(C652,""(?i)KS\d{4}[A-Z]{2}""),
    IF(AND(REGEXMATCH(D652,""(?i)-DP""), REGEXMATCH(C652,""(?i)Downpipe"")),
       ""dp"" &amp; REGEXEXTRACT(C652,""("&amp;"\d+)"") &amp; ""mm"",
    IF(AND(REGEXMATCH(D652,""(?i)Bracket""), REGEXMATCH(C652,""(?i)Bracket"")),
       ""Brkt"" &amp; REGEXEXTRACT(C652,""(\d+)"") &amp; ""mm"",
    IF(AND(REGEXMATCH(D652,""(?i)-OP""), REGEXMATCH(C652,""(?i)pops"")),
       ""op"" &amp; REGEXEXTRAC"&amp;"T(C652,""(\d+)"") &amp; ""mm"",
    IF(OR(D652=""R-FFTop"", D652=""R-FFBottom"", D652=""R-FFSide""),
        IF(REGEXMATCH(C652,""(?i)Profiled.*Top|Top.*Profiled""),""pfft"",
        IF(REGEXMATCH(C652,""(?i)Profiled.*Bottom|Bottom.*Profiled""),""pffb"",
    "&amp;"    IF(REGEXMATCH(C652,""(?i)Square""),""sff"",""""))),
    IF(REGEXMATCH(D652,""(?i)-Rivets""),""Rvt"",
    IF(REGEXMATCH(D652,""(?i)Silicone""),""300ml"",
    IF(REGEXMATCH(D652,""(?i)R-Butyl""),""300ml"",
    IF(REGEXMATCH(D652,""(?i)Fix""),""GenFix"","&amp;"
    IF(AND(REGEXMATCH(C652,""(?i)Timber""), REGEXMATCH(D652,""(?i)Timber"")),""tp"",
    IF(AND(REGEXMATCH(C652,""(?i)Vent G1275""), REGEXMATCH(D652,""(?i)Comb FIller"")),""CFV1275"",
    IF(REGEXMATCH(C652,""(?i)DPC""),""dpc"",
    IF(REGEXMATCH(C652,"""&amp;"(?i)Concealed Clips""),""ConClips"",
    IF(REGEXMATCH(D652,""(?i)-Takeoff ea""),""Takeoff ea"",
    IF(REGEXMATCH(D652,""(?i)-Takeoff LM""),""Takeoff LM"",
    IF(REGEXMATCH(D652,""(?i)-Takeoff m2""),""Takeoff m2"",
    IF(D652=""R-TU/TD"",""TU/TD"","""""&amp;")))))))))))))))))
  )))"),"DR1503B55Mag")</f>
        <v>DR1503B55Mag</v>
      </c>
      <c r="C652" s="123" t="s">
        <v>568</v>
      </c>
      <c r="D652" s="148" t="s">
        <v>161</v>
      </c>
      <c r="E652" s="687">
        <f>VALUE(MID(C652, FIND("(", C652)+1, FIND("/", C652)-FIND("(", C652)-1)) / 1000</f>
        <v>0.13</v>
      </c>
      <c r="F652" s="699"/>
      <c r="G652" s="689" t="s">
        <v>574</v>
      </c>
      <c r="H652" s="128" t="str">
        <f>IFERROR(__xludf.DUMMYFUNCTION("IFERROR(REGEXEXTRACT(C652, ""(\d*\.\d+)mm""), """")"),"0.55")</f>
        <v>0.55</v>
      </c>
      <c r="I652" s="168" t="s">
        <v>97</v>
      </c>
      <c r="J652" s="126" t="s">
        <v>14</v>
      </c>
      <c r="K652" s="126" t="str">
        <f>IFERROR(
  IF(B652="", "", VLOOKUP(B652, Data!$B$2:$K$905, 7, FALSE)),
  ""
)</f>
        <v/>
      </c>
      <c r="L652" s="704"/>
      <c r="M652" s="150">
        <f>M646</f>
        <v>22.5</v>
      </c>
      <c r="N652" s="151">
        <f t="shared" si="483"/>
        <v>1</v>
      </c>
      <c r="O652" s="169">
        <v>1.0</v>
      </c>
      <c r="P652" s="134">
        <v>1.0</v>
      </c>
      <c r="Q652" s="168">
        <f t="shared" ref="Q652:Q655" si="484">M652*N652*O652*P652</f>
        <v>22.5</v>
      </c>
      <c r="R652" s="136" t="str">
        <f>IFERROR(
  IF(B652="", "", VLOOKUP(B652, Data!$B$2:$K$905, 9, FALSE)),
  ""
)</f>
        <v/>
      </c>
      <c r="S652" s="152">
        <f t="shared" ref="S652:S655" si="485">R652*Q652</f>
        <v>0</v>
      </c>
      <c r="T652" s="690"/>
      <c r="U652" s="136" t="str">
        <f>IFERROR(
  IF(B652="", "", VLOOKUP(B652, Data!$B$2:$K$905, 10, FALSE)),
  ""
)
</f>
        <v/>
      </c>
      <c r="V652" s="691"/>
      <c r="W652" s="140">
        <f t="shared" ref="W652:W655" si="486">U652*Q652</f>
        <v>0</v>
      </c>
      <c r="X652" s="692"/>
      <c r="Y652" s="693"/>
      <c r="Z652" s="731"/>
      <c r="AA652" s="595"/>
      <c r="AB652" s="354">
        <f t="shared" si="482"/>
        <v>0</v>
      </c>
      <c r="AC652" s="181"/>
      <c r="AD652" s="625"/>
      <c r="AE652" s="626"/>
      <c r="AF652" s="696"/>
      <c r="AG652" s="697"/>
      <c r="AH652" s="629"/>
      <c r="AI652" s="187"/>
      <c r="AJ652" s="630"/>
      <c r="AK652" s="630"/>
      <c r="AL652" s="595"/>
      <c r="AM652" s="595"/>
      <c r="AN652" s="595"/>
      <c r="AO652" s="595"/>
      <c r="AP652" s="595"/>
      <c r="AQ652" s="595"/>
      <c r="AR652" s="595"/>
      <c r="AS652" s="595"/>
      <c r="AT652" s="595"/>
      <c r="AU652" s="595"/>
      <c r="AV652" s="595"/>
      <c r="AW652" s="595"/>
      <c r="AX652" s="595"/>
      <c r="AY652" s="595"/>
      <c r="AZ652" s="595"/>
      <c r="BA652" s="595"/>
      <c r="BB652" s="595"/>
      <c r="BC652" s="595"/>
      <c r="BD652" s="595"/>
      <c r="BE652" s="595"/>
      <c r="BF652" s="595"/>
      <c r="BG652" s="595"/>
      <c r="BH652" s="595"/>
      <c r="BI652" s="651"/>
      <c r="BJ652" s="651"/>
      <c r="BK652" s="651"/>
      <c r="BL652" s="651"/>
      <c r="BM652" s="651"/>
      <c r="BN652" s="651"/>
      <c r="BO652" s="651"/>
      <c r="BP652" s="651"/>
      <c r="BQ652" s="651"/>
      <c r="BR652" s="651"/>
      <c r="BS652" s="651"/>
      <c r="BT652" s="651"/>
    </row>
    <row r="653">
      <c r="A653" s="631"/>
      <c r="B653" s="154" t="str">
        <f>IFERROR(__xludf.DUMMYFUNCTION("IFERROR(
  IF(C653="""","""",
    IF(OR(REGEXMATCH(D653,""(?i)-Flashing""), REGEXMATCH(D653,""(?i)-EavesGut""), REGEXMATCH(D653,""(?i)Valley"")),
        ""DR"" &amp;
        TEXT(
            ROUNDUP(
                MIN(
                    VALUE(MID(C653, "&amp;"FIND(""("",C653)+1, FIND(""/"",C653)-FIND(""("",C653)-1)),
                    1200
                ) / 50, 0
            ) * 50, ""0""
        ) &amp;
        MID(C653, FIND(""/"",C653)+1, FIND("")"",C653)-FIND(""/"",C653)-1) &amp;
        TEXT(H653*100,""0"") &amp;"&amp;"
        I653,
    IF(AND(D653=""Roof Sheet"", REGEXMATCH(C653,""(?i)KS\d{4}[A-Z]{2}"")),
       REGEXEXTRACT(C653,""(?i)KS\d{4}[A-Z]{2}""),
    IF(AND(REGEXMATCH(D653,""(?i)-DP""), REGEXMATCH(C653,""(?i)Downpipe"")),
       ""dp"" &amp; REGEXEXTRACT(C653,""("&amp;"\d+)"") &amp; ""mm"",
    IF(AND(REGEXMATCH(D653,""(?i)Bracket""), REGEXMATCH(C653,""(?i)Bracket"")),
       ""Brkt"" &amp; REGEXEXTRACT(C653,""(\d+)"") &amp; ""mm"",
    IF(AND(REGEXMATCH(D653,""(?i)-OP""), REGEXMATCH(C653,""(?i)pops"")),
       ""op"" &amp; REGEXEXTRAC"&amp;"T(C653,""(\d+)"") &amp; ""mm"",
    IF(OR(D653=""R-FFTop"", D653=""R-FFBottom"", D653=""R-FFSide""),
        IF(REGEXMATCH(C653,""(?i)Profiled.*Top|Top.*Profiled""),""pfft"",
        IF(REGEXMATCH(C653,""(?i)Profiled.*Bottom|Bottom.*Profiled""),""pffb"",
    "&amp;"    IF(REGEXMATCH(C653,""(?i)Square""),""sff"",""""))),
    IF(REGEXMATCH(D653,""(?i)-Rivets""),""Rvt"",
    IF(REGEXMATCH(D653,""(?i)Silicone""),""300ml"",
    IF(REGEXMATCH(D653,""(?i)R-Butyl""),""300ml"",
    IF(REGEXMATCH(D653,""(?i)Fix""),""GenFix"","&amp;"
    IF(AND(REGEXMATCH(C653,""(?i)Timber""), REGEXMATCH(D653,""(?i)Timber"")),""tp"",
    IF(AND(REGEXMATCH(C653,""(?i)Vent G1275""), REGEXMATCH(D653,""(?i)Comb FIller"")),""CFV1275"",
    IF(REGEXMATCH(C653,""(?i)DPC""),""dpc"",
    IF(REGEXMATCH(C653,"""&amp;"(?i)Concealed Clips""),""ConClips"",
    IF(REGEXMATCH(D653,""(?i)-Takeoff ea""),""Takeoff ea"",
    IF(REGEXMATCH(D653,""(?i)-Takeoff LM""),""Takeoff LM"",
    IF(REGEXMATCH(D653,""(?i)-Takeoff m2""),""Takeoff m2"",
    IF(D653=""R-TU/TD"",""TU/TD"","""""&amp;")))))))))))))))))
  )))"),"300ml")</f>
        <v>300ml</v>
      </c>
      <c r="C653" s="734" t="s">
        <v>98</v>
      </c>
      <c r="D653" s="148" t="s">
        <v>162</v>
      </c>
      <c r="E653" s="687">
        <f>E652</f>
        <v>0.13</v>
      </c>
      <c r="F653" s="699"/>
      <c r="G653" s="700"/>
      <c r="H653" s="700" t="str">
        <f>IFERROR(__xludf.DUMMYFUNCTION("IFERROR(REGEXEXTRACT(C653, ""(\d*\.\d+)mm""), """")"),"")</f>
        <v/>
      </c>
      <c r="I653" s="712"/>
      <c r="J653" s="126" t="s">
        <v>87</v>
      </c>
      <c r="K653" s="126" t="str">
        <f>IFERROR(
  IF(B653="", "", VLOOKUP(B653, Data!$B$2:$K$905, 7, FALSE)),
  ""
)</f>
        <v/>
      </c>
      <c r="L653" s="704"/>
      <c r="M653" s="150">
        <f>(ROUNDDOWN((M652/5.7)+2,0)*E653)/8</f>
        <v>0.08125</v>
      </c>
      <c r="N653" s="151">
        <f t="shared" si="483"/>
        <v>1</v>
      </c>
      <c r="O653" s="169">
        <v>1.0</v>
      </c>
      <c r="P653" s="134">
        <v>1.0</v>
      </c>
      <c r="Q653" s="168">
        <f t="shared" si="484"/>
        <v>0.08125</v>
      </c>
      <c r="R653" s="136" t="str">
        <f>IFERROR(
  IF(B653="", "", VLOOKUP(B653, Data!$B$2:$K$905, 9, FALSE)),
  ""
)</f>
        <v/>
      </c>
      <c r="S653" s="152">
        <f t="shared" si="485"/>
        <v>0</v>
      </c>
      <c r="T653" s="690"/>
      <c r="U653" s="681" t="str">
        <f>IFERROR(
  IF(B653="", "", VLOOKUP(B653, Data!$B$2:$K$905, 10, FALSE)),
  ""
)
</f>
        <v/>
      </c>
      <c r="V653" s="691"/>
      <c r="W653" s="140">
        <f t="shared" si="486"/>
        <v>0</v>
      </c>
      <c r="X653" s="692"/>
      <c r="Y653" s="595"/>
      <c r="Z653" s="595"/>
      <c r="AA653" s="595"/>
      <c r="AB653" s="354">
        <f t="shared" si="482"/>
        <v>0</v>
      </c>
      <c r="AC653" s="181"/>
      <c r="AD653" s="625"/>
      <c r="AE653" s="626"/>
      <c r="AF653" s="696"/>
      <c r="AG653" s="697"/>
      <c r="AH653" s="629"/>
      <c r="AI653" s="187"/>
      <c r="AJ653" s="630"/>
      <c r="AK653" s="630"/>
      <c r="AL653" s="595"/>
      <c r="AM653" s="595"/>
      <c r="AN653" s="595"/>
      <c r="AO653" s="595"/>
      <c r="AP653" s="595"/>
      <c r="AQ653" s="595"/>
      <c r="AR653" s="595"/>
      <c r="AS653" s="595"/>
      <c r="AT653" s="595"/>
      <c r="AU653" s="595"/>
      <c r="AV653" s="595"/>
      <c r="AW653" s="595"/>
      <c r="AX653" s="595"/>
      <c r="AY653" s="595"/>
      <c r="AZ653" s="595"/>
      <c r="BA653" s="595"/>
      <c r="BB653" s="595"/>
      <c r="BC653" s="595"/>
      <c r="BD653" s="595"/>
      <c r="BE653" s="595"/>
      <c r="BF653" s="595"/>
      <c r="BG653" s="595"/>
      <c r="BH653" s="595"/>
      <c r="BI653" s="651"/>
      <c r="BJ653" s="651"/>
      <c r="BK653" s="651"/>
      <c r="BL653" s="651"/>
      <c r="BM653" s="651"/>
      <c r="BN653" s="651"/>
      <c r="BO653" s="651"/>
      <c r="BP653" s="651"/>
      <c r="BQ653" s="651"/>
      <c r="BR653" s="651"/>
      <c r="BS653" s="651"/>
      <c r="BT653" s="651"/>
    </row>
    <row r="654">
      <c r="A654" s="631"/>
      <c r="B654" s="154" t="str">
        <f>IFERROR(__xludf.DUMMYFUNCTION("IFERROR(
  IF(C654="""","""",
    IF(OR(REGEXMATCH(D654,""(?i)-Flashing""), REGEXMATCH(D654,""(?i)-EavesGut""), REGEXMATCH(D654,""(?i)Valley"")),
        ""DR"" &amp;
        TEXT(
            ROUNDUP(
                MIN(
                    VALUE(MID(C654, "&amp;"FIND(""("",C654)+1, FIND(""/"",C654)-FIND(""("",C654)-1)),
                    1200
                ) / 50, 0
            ) * 50, ""0""
        ) &amp;
        MID(C654, FIND(""/"",C654)+1, FIND("")"",C654)-FIND(""/"",C654)-1) &amp;
        TEXT(H654*100,""0"") &amp;"&amp;"
        I654,
    IF(AND(D654=""Roof Sheet"", REGEXMATCH(C654,""(?i)KS\d{4}[A-Z]{2}"")),
       REGEXEXTRACT(C654,""(?i)KS\d{4}[A-Z]{2}""),
    IF(AND(REGEXMATCH(D654,""(?i)-DP""), REGEXMATCH(C654,""(?i)Downpipe"")),
       ""dp"" &amp; REGEXEXTRACT(C654,""("&amp;"\d+)"") &amp; ""mm"",
    IF(AND(REGEXMATCH(D654,""(?i)Bracket""), REGEXMATCH(C654,""(?i)Bracket"")),
       ""Brkt"" &amp; REGEXEXTRACT(C654,""(\d+)"") &amp; ""mm"",
    IF(AND(REGEXMATCH(D654,""(?i)-OP""), REGEXMATCH(C654,""(?i)pops"")),
       ""op"" &amp; REGEXEXTRAC"&amp;"T(C654,""(\d+)"") &amp; ""mm"",
    IF(OR(D654=""R-FFTop"", D654=""R-FFBottom"", D654=""R-FFSide""),
        IF(REGEXMATCH(C654,""(?i)Profiled.*Top|Top.*Profiled""),""pfft"",
        IF(REGEXMATCH(C654,""(?i)Profiled.*Bottom|Bottom.*Profiled""),""pffb"",
    "&amp;"    IF(REGEXMATCH(C654,""(?i)Square""),""sff"",""""))),
    IF(REGEXMATCH(D654,""(?i)-Rivets""),""Rvt"",
    IF(REGEXMATCH(D654,""(?i)Silicone""),""300ml"",
    IF(REGEXMATCH(D654,""(?i)R-Butyl""),""300ml"",
    IF(REGEXMATCH(D654,""(?i)Fix""),""GenFix"","&amp;"
    IF(AND(REGEXMATCH(C654,""(?i)Timber""), REGEXMATCH(D654,""(?i)Timber"")),""tp"",
    IF(AND(REGEXMATCH(C654,""(?i)Vent G1275""), REGEXMATCH(D654,""(?i)Comb FIller"")),""CFV1275"",
    IF(REGEXMATCH(C654,""(?i)DPC""),""dpc"",
    IF(REGEXMATCH(C654,"""&amp;"(?i)Concealed Clips""),""ConClips"",
    IF(REGEXMATCH(D654,""(?i)-Takeoff ea""),""Takeoff ea"",
    IF(REGEXMATCH(D654,""(?i)-Takeoff LM""),""Takeoff LM"",
    IF(REGEXMATCH(D654,""(?i)-Takeoff m2""),""Takeoff m2"",
    IF(D654=""R-TU/TD"",""TU/TD"","""""&amp;")))))))))))))))))
  )))"),"Rvt")</f>
        <v>Rvt</v>
      </c>
      <c r="C654" s="734" t="s">
        <v>100</v>
      </c>
      <c r="D654" s="148" t="s">
        <v>163</v>
      </c>
      <c r="E654" s="687">
        <f>E652</f>
        <v>0.13</v>
      </c>
      <c r="F654" s="699"/>
      <c r="G654" s="700"/>
      <c r="H654" s="700" t="str">
        <f>IFERROR(__xludf.DUMMYFUNCTION("IFERROR(REGEXEXTRACT(C654, ""(\d*\.\d+)mm""), """")"),"")</f>
        <v/>
      </c>
      <c r="I654" s="712"/>
      <c r="J654" s="126" t="s">
        <v>87</v>
      </c>
      <c r="K654" s="126" t="str">
        <f>IFERROR(
  IF(B654="", "", VLOOKUP(B654, Data!$B$2:$K$905, 7, FALSE)),
  ""
)</f>
        <v/>
      </c>
      <c r="L654" s="704"/>
      <c r="M654" s="150">
        <f>ROUNDUP(((M652/5.7)+1)*(E654/0.05),0)</f>
        <v>13</v>
      </c>
      <c r="N654" s="151">
        <f t="shared" si="483"/>
        <v>1</v>
      </c>
      <c r="O654" s="169">
        <v>1.0</v>
      </c>
      <c r="P654" s="134">
        <v>1.0</v>
      </c>
      <c r="Q654" s="168">
        <f t="shared" si="484"/>
        <v>13</v>
      </c>
      <c r="R654" s="136" t="str">
        <f>IFERROR(
  IF(B654="", "", VLOOKUP(B654, Data!$B$2:$K$905, 9, FALSE)),
  ""
)</f>
        <v/>
      </c>
      <c r="S654" s="152">
        <f t="shared" si="485"/>
        <v>0</v>
      </c>
      <c r="T654" s="690"/>
      <c r="U654" s="681" t="str">
        <f>IFERROR(
  IF(B654="", "", VLOOKUP(B654, Data!$B$2:$K$905, 10, FALSE)),
  ""
)
</f>
        <v/>
      </c>
      <c r="V654" s="691"/>
      <c r="W654" s="140">
        <f t="shared" si="486"/>
        <v>0</v>
      </c>
      <c r="X654" s="692"/>
      <c r="Y654" s="595"/>
      <c r="Z654" s="595"/>
      <c r="AA654" s="595"/>
      <c r="AB654" s="354">
        <f t="shared" si="482"/>
        <v>0</v>
      </c>
      <c r="AC654" s="181"/>
      <c r="AD654" s="625"/>
      <c r="AE654" s="626"/>
      <c r="AF654" s="696"/>
      <c r="AG654" s="697"/>
      <c r="AH654" s="629"/>
      <c r="AI654" s="187"/>
      <c r="AJ654" s="630"/>
      <c r="AK654" s="630"/>
      <c r="AL654" s="595"/>
      <c r="AM654" s="595"/>
      <c r="AN654" s="595"/>
      <c r="AO654" s="595"/>
      <c r="AP654" s="595"/>
      <c r="AQ654" s="595"/>
      <c r="AR654" s="595"/>
      <c r="AS654" s="595"/>
      <c r="AT654" s="595"/>
      <c r="AU654" s="595"/>
      <c r="AV654" s="595"/>
      <c r="AW654" s="595"/>
      <c r="AX654" s="595"/>
      <c r="AY654" s="595"/>
      <c r="AZ654" s="595"/>
      <c r="BA654" s="595"/>
      <c r="BB654" s="595"/>
      <c r="BC654" s="595"/>
      <c r="BD654" s="595"/>
      <c r="BE654" s="595"/>
      <c r="BF654" s="595"/>
      <c r="BG654" s="595"/>
      <c r="BH654" s="595"/>
      <c r="BI654" s="651"/>
      <c r="BJ654" s="651"/>
      <c r="BK654" s="651"/>
      <c r="BL654" s="651"/>
      <c r="BM654" s="651"/>
      <c r="BN654" s="651"/>
      <c r="BO654" s="651"/>
      <c r="BP654" s="651"/>
      <c r="BQ654" s="651"/>
      <c r="BR654" s="651"/>
      <c r="BS654" s="651"/>
      <c r="BT654" s="651"/>
    </row>
    <row r="655">
      <c r="A655" s="631"/>
      <c r="B655" s="154" t="str">
        <f>IFERROR(__xludf.DUMMYFUNCTION("IFERROR(
  IF(C655="""","""",
    IF(OR(REGEXMATCH(D655,""(?i)-Flashing""), REGEXMATCH(D655,""(?i)-EavesGut""), REGEXMATCH(D655,""(?i)Valley"")),
        ""DR"" &amp;
        TEXT(
            ROUNDUP(
                MIN(
                    VALUE(MID(C655, "&amp;"FIND(""("",C655)+1, FIND(""/"",C655)-FIND(""("",C655)-1)),
                    1200
                ) / 50, 0
            ) * 50, ""0""
        ) &amp;
        MID(C655, FIND(""/"",C655)+1, FIND("")"",C655)-FIND(""/"",C655)-1) &amp;
        TEXT(H655*100,""0"") &amp;"&amp;"
        I655,
    IF(AND(D655=""Roof Sheet"", REGEXMATCH(C655,""(?i)KS\d{4}[A-Z]{2}"")),
       REGEXEXTRACT(C655,""(?i)KS\d{4}[A-Z]{2}""),
    IF(AND(REGEXMATCH(D655,""(?i)-DP""), REGEXMATCH(C655,""(?i)Downpipe"")),
       ""dp"" &amp; REGEXEXTRACT(C655,""("&amp;"\d+)"") &amp; ""mm"",
    IF(AND(REGEXMATCH(D655,""(?i)Bracket""), REGEXMATCH(C655,""(?i)Bracket"")),
       ""Brkt"" &amp; REGEXEXTRACT(C655,""(\d+)"") &amp; ""mm"",
    IF(AND(REGEXMATCH(D655,""(?i)-OP""), REGEXMATCH(C655,""(?i)pops"")),
       ""op"" &amp; REGEXEXTRAC"&amp;"T(C655,""(\d+)"") &amp; ""mm"",
    IF(OR(D655=""R-FFTop"", D655=""R-FFBottom"", D655=""R-FFSide""),
        IF(REGEXMATCH(C655,""(?i)Profiled.*Top|Top.*Profiled""),""pfft"",
        IF(REGEXMATCH(C655,""(?i)Profiled.*Bottom|Bottom.*Profiled""),""pffb"",
    "&amp;"    IF(REGEXMATCH(C655,""(?i)Square""),""sff"",""""))),
    IF(REGEXMATCH(D655,""(?i)-Rivets""),""Rvt"",
    IF(REGEXMATCH(D655,""(?i)Silicone""),""300ml"",
    IF(REGEXMATCH(D655,""(?i)R-Butyl""),""300ml"",
    IF(REGEXMATCH(D655,""(?i)Fix""),""GenFix"","&amp;"
    IF(AND(REGEXMATCH(C655,""(?i)Timber""), REGEXMATCH(D655,""(?i)Timber"")),""tp"",
    IF(AND(REGEXMATCH(C655,""(?i)Vent G1275""), REGEXMATCH(D655,""(?i)Comb FIller"")),""CFV1275"",
    IF(REGEXMATCH(C655,""(?i)DPC""),""dpc"",
    IF(REGEXMATCH(C655,"""&amp;"(?i)Concealed Clips""),""ConClips"",
    IF(REGEXMATCH(D655,""(?i)-Takeoff ea""),""Takeoff ea"",
    IF(REGEXMATCH(D655,""(?i)-Takeoff LM""),""Takeoff LM"",
    IF(REGEXMATCH(D655,""(?i)-Takeoff m2""),""Takeoff m2"",
    IF(D655=""R-TU/TD"",""TU/TD"","""""&amp;")))))))))))))))))
  )))"),"GenFix")</f>
        <v>GenFix</v>
      </c>
      <c r="C655" s="698" t="s">
        <v>102</v>
      </c>
      <c r="D655" s="148" t="s">
        <v>164</v>
      </c>
      <c r="E655" s="722"/>
      <c r="F655" s="699"/>
      <c r="G655" s="701"/>
      <c r="H655" s="700"/>
      <c r="I655" s="712"/>
      <c r="J655" s="126" t="s">
        <v>87</v>
      </c>
      <c r="K655" s="126" t="str">
        <f>IFERROR(
  IF(B655="", "", VLOOKUP(B655, Data!$B$2:$K$905, 7, FALSE)),
  ""
)</f>
        <v/>
      </c>
      <c r="L655" s="712"/>
      <c r="M655" s="150">
        <f>ROUNDUP(M652/0.6,0)+1</f>
        <v>39</v>
      </c>
      <c r="N655" s="151">
        <f t="shared" si="483"/>
        <v>1</v>
      </c>
      <c r="O655" s="169">
        <v>1.0</v>
      </c>
      <c r="P655" s="134">
        <v>2.0</v>
      </c>
      <c r="Q655" s="168">
        <f t="shared" si="484"/>
        <v>78</v>
      </c>
      <c r="R655" s="136" t="str">
        <f>IFERROR(
  IF(B655="", "", VLOOKUP(B655, Data!$B$2:$K$905, 9, FALSE)),
  ""
)</f>
        <v/>
      </c>
      <c r="S655" s="152">
        <f t="shared" si="485"/>
        <v>0</v>
      </c>
      <c r="T655" s="690"/>
      <c r="U655" s="681" t="str">
        <f>IFERROR(
  IF(B655="", "", VLOOKUP(B655, Data!$B$2:$K$905, 10, FALSE)),
  ""
)
</f>
        <v/>
      </c>
      <c r="V655" s="691"/>
      <c r="W655" s="140">
        <f t="shared" si="486"/>
        <v>0</v>
      </c>
      <c r="X655" s="692"/>
      <c r="Y655" s="595"/>
      <c r="Z655" s="595"/>
      <c r="AA655" s="595"/>
      <c r="AB655" s="354">
        <f t="shared" si="482"/>
        <v>0</v>
      </c>
      <c r="AC655" s="181"/>
      <c r="AD655" s="625"/>
      <c r="AE655" s="626"/>
      <c r="AF655" s="696"/>
      <c r="AG655" s="697"/>
      <c r="AH655" s="629"/>
      <c r="AI655" s="187"/>
      <c r="AJ655" s="630"/>
      <c r="AK655" s="630"/>
      <c r="AL655" s="595"/>
      <c r="AM655" s="595"/>
      <c r="AN655" s="595"/>
      <c r="AO655" s="595"/>
      <c r="AP655" s="595"/>
      <c r="AQ655" s="595"/>
      <c r="AR655" s="595"/>
      <c r="AS655" s="595"/>
      <c r="AT655" s="595"/>
      <c r="AU655" s="595"/>
      <c r="AV655" s="595"/>
      <c r="AW655" s="595"/>
      <c r="AX655" s="595"/>
      <c r="AY655" s="595"/>
      <c r="AZ655" s="595"/>
      <c r="BA655" s="595"/>
      <c r="BB655" s="595"/>
      <c r="BC655" s="595"/>
      <c r="BD655" s="595"/>
      <c r="BE655" s="595"/>
      <c r="BF655" s="595"/>
      <c r="BG655" s="595"/>
      <c r="BH655" s="595"/>
      <c r="BI655" s="651"/>
      <c r="BJ655" s="651"/>
      <c r="BK655" s="651"/>
      <c r="BL655" s="651"/>
      <c r="BM655" s="651"/>
      <c r="BN655" s="651"/>
      <c r="BO655" s="651"/>
      <c r="BP655" s="651"/>
      <c r="BQ655" s="651"/>
      <c r="BR655" s="651"/>
      <c r="BS655" s="651"/>
      <c r="BT655" s="651"/>
    </row>
    <row r="656">
      <c r="A656" s="631"/>
      <c r="B656" s="154"/>
      <c r="C656" s="698"/>
      <c r="D656" s="148"/>
      <c r="E656" s="687"/>
      <c r="F656" s="699"/>
      <c r="G656" s="701"/>
      <c r="H656" s="700"/>
      <c r="I656" s="712"/>
      <c r="J656" s="126"/>
      <c r="K656" s="126"/>
      <c r="L656" s="712"/>
      <c r="M656" s="150"/>
      <c r="N656" s="151" t="str">
        <f t="shared" si="483"/>
        <v/>
      </c>
      <c r="O656" s="169"/>
      <c r="P656" s="134"/>
      <c r="Q656" s="168"/>
      <c r="R656" s="136"/>
      <c r="S656" s="152"/>
      <c r="T656" s="690"/>
      <c r="U656" s="681"/>
      <c r="V656" s="691"/>
      <c r="W656" s="140"/>
      <c r="X656" s="692"/>
      <c r="Y656" s="595"/>
      <c r="Z656" s="595"/>
      <c r="AA656" s="595"/>
      <c r="AB656" s="354">
        <f t="shared" si="482"/>
        <v>0</v>
      </c>
      <c r="AC656" s="181"/>
      <c r="AD656" s="625"/>
      <c r="AE656" s="626"/>
      <c r="AF656" s="696"/>
      <c r="AG656" s="697"/>
      <c r="AH656" s="629"/>
      <c r="AI656" s="187"/>
      <c r="AJ656" s="630"/>
      <c r="AK656" s="630"/>
      <c r="AL656" s="595"/>
      <c r="AM656" s="595"/>
      <c r="AN656" s="595"/>
      <c r="AO656" s="595"/>
      <c r="AP656" s="595"/>
      <c r="AQ656" s="595"/>
      <c r="AR656" s="595"/>
      <c r="AS656" s="595"/>
      <c r="AT656" s="595"/>
      <c r="AU656" s="595"/>
      <c r="AV656" s="595"/>
      <c r="AW656" s="595"/>
      <c r="AX656" s="595"/>
      <c r="AY656" s="595"/>
      <c r="AZ656" s="595"/>
      <c r="BA656" s="595"/>
      <c r="BB656" s="595"/>
      <c r="BC656" s="595"/>
      <c r="BD656" s="595"/>
      <c r="BE656" s="595"/>
      <c r="BF656" s="595"/>
      <c r="BG656" s="595"/>
      <c r="BH656" s="595"/>
      <c r="BI656" s="651"/>
      <c r="BJ656" s="651"/>
      <c r="BK656" s="651"/>
      <c r="BL656" s="651"/>
      <c r="BM656" s="651"/>
      <c r="BN656" s="651"/>
      <c r="BO656" s="651"/>
      <c r="BP656" s="651"/>
      <c r="BQ656" s="651"/>
      <c r="BR656" s="651"/>
      <c r="BS656" s="651"/>
      <c r="BT656" s="651"/>
    </row>
    <row r="657">
      <c r="A657" s="716" t="s">
        <v>435</v>
      </c>
      <c r="B657" s="122" t="s">
        <v>569</v>
      </c>
      <c r="C657" s="123" t="s">
        <v>570</v>
      </c>
      <c r="D657" s="148" t="s">
        <v>168</v>
      </c>
      <c r="E657" s="687">
        <v>0.3</v>
      </c>
      <c r="F657" s="699"/>
      <c r="G657" s="701"/>
      <c r="H657" s="700"/>
      <c r="I657" s="712"/>
      <c r="J657" s="126" t="s">
        <v>14</v>
      </c>
      <c r="K657" s="126" t="str">
        <f>IFERROR(
  IF(B657="", "", VLOOKUP(B657, Data!$B$2:$K$905, 7, FALSE)),
  ""
)</f>
        <v/>
      </c>
      <c r="L657" s="704"/>
      <c r="M657" s="150">
        <f>M646</f>
        <v>22.5</v>
      </c>
      <c r="N657" s="151">
        <f t="shared" si="483"/>
        <v>1</v>
      </c>
      <c r="O657" s="169">
        <v>1.0</v>
      </c>
      <c r="P657" s="134">
        <v>1.0</v>
      </c>
      <c r="Q657" s="168">
        <f t="shared" ref="Q657:Q658" si="487">M657*N657*O657*P657</f>
        <v>22.5</v>
      </c>
      <c r="R657" s="136" t="str">
        <f>IFERROR(
  IF(B657="", "", VLOOKUP(B657, Data!$B$2:$K$905, 9, FALSE)),
  ""
)</f>
        <v/>
      </c>
      <c r="S657" s="152">
        <f t="shared" ref="S657:S658" si="488">R657*Q657</f>
        <v>0</v>
      </c>
      <c r="T657" s="690"/>
      <c r="U657" s="136" t="str">
        <f>IFERROR(
  IF(B657="", "", VLOOKUP(B657, Data!$B$2:$K$905, 10, FALSE)),
  ""
)
</f>
        <v/>
      </c>
      <c r="V657" s="691"/>
      <c r="W657" s="140">
        <f t="shared" ref="W657:W658" si="489">U657*Q657</f>
        <v>0</v>
      </c>
      <c r="X657" s="692"/>
      <c r="Y657" s="595"/>
      <c r="Z657" s="595"/>
      <c r="AA657" s="595"/>
      <c r="AB657" s="354">
        <f t="shared" si="482"/>
        <v>0</v>
      </c>
      <c r="AC657" s="181"/>
      <c r="AD657" s="625"/>
      <c r="AE657" s="626"/>
      <c r="AF657" s="696"/>
      <c r="AG657" s="697"/>
      <c r="AH657" s="629"/>
      <c r="AI657" s="187"/>
      <c r="AJ657" s="630"/>
      <c r="AK657" s="630"/>
      <c r="AL657" s="595"/>
      <c r="AM657" s="595"/>
      <c r="AN657" s="595"/>
      <c r="AO657" s="595"/>
      <c r="AP657" s="595"/>
      <c r="AQ657" s="595"/>
      <c r="AR657" s="595"/>
      <c r="AS657" s="595"/>
      <c r="AT657" s="595"/>
      <c r="AU657" s="595"/>
      <c r="AV657" s="595"/>
      <c r="AW657" s="595"/>
      <c r="AX657" s="595"/>
      <c r="AY657" s="595"/>
      <c r="AZ657" s="595"/>
      <c r="BA657" s="595"/>
      <c r="BB657" s="595"/>
      <c r="BC657" s="595"/>
      <c r="BD657" s="595"/>
      <c r="BE657" s="595"/>
      <c r="BF657" s="595"/>
      <c r="BG657" s="595"/>
      <c r="BH657" s="595"/>
      <c r="BI657" s="651"/>
      <c r="BJ657" s="651"/>
      <c r="BK657" s="651"/>
      <c r="BL657" s="651"/>
      <c r="BM657" s="651"/>
      <c r="BN657" s="651"/>
      <c r="BO657" s="651"/>
      <c r="BP657" s="651"/>
      <c r="BQ657" s="651"/>
      <c r="BR657" s="651"/>
      <c r="BS657" s="651"/>
      <c r="BT657" s="651"/>
    </row>
    <row r="658">
      <c r="A658" s="631"/>
      <c r="B658" s="154" t="str">
        <f>IFERROR(__xludf.DUMMYFUNCTION("IFERROR(
  IF(C658="""","""",
    IF(OR(REGEXMATCH(D658,""(?i)-Flashing""), REGEXMATCH(D658,""(?i)-EavesGut""), REGEXMATCH(D658,""(?i)Valley"")),
        ""DR"" &amp;
        TEXT(
            ROUNDUP(
                MIN(
                    VALUE(MID(C658, "&amp;"FIND(""("",C658)+1, FIND(""/"",C658)-FIND(""("",C658)-1)),
                    1200
                ) / 50, 0
            ) * 50, ""0""
        ) &amp;
        MID(C658, FIND(""/"",C658)+1, FIND("")"",C658)-FIND(""/"",C658)-1) &amp;
        TEXT(H658*100,""0"") &amp;"&amp;"
        I658,
    IF(AND(D658=""Roof Sheet"", REGEXMATCH(C658,""(?i)KS\d{4}[A-Z]{2}"")),
       REGEXEXTRACT(C658,""(?i)KS\d{4}[A-Z]{2}""),
    IF(AND(REGEXMATCH(D658,""(?i)-DP""), REGEXMATCH(C658,""(?i)Downpipe"")),
       ""dp"" &amp; REGEXEXTRACT(C658,""("&amp;"\d+)"") &amp; ""mm"",
    IF(AND(REGEXMATCH(D658,""(?i)Bracket""), REGEXMATCH(C658,""(?i)Bracket"")),
       ""Brkt"" &amp; REGEXEXTRACT(C658,""(\d+)"") &amp; ""mm"",
    IF(AND(REGEXMATCH(D658,""(?i)-OP""), REGEXMATCH(C658,""(?i)pops"")),
       ""op"" &amp; REGEXEXTRAC"&amp;"T(C658,""(\d+)"") &amp; ""mm"",
    IF(OR(D658=""R-FFTop"", D658=""R-FFBottom"", D658=""R-FFSide""),
        IF(REGEXMATCH(C658,""(?i)Profiled.*Top|Top.*Profiled""),""pfft"",
        IF(REGEXMATCH(C658,""(?i)Profiled.*Bottom|Bottom.*Profiled""),""pffb"",
    "&amp;"    IF(REGEXMATCH(C658,""(?i)Square""),""sff"",""""))),
    IF(REGEXMATCH(D658,""(?i)-Rivets""),""Rvt"",
    IF(REGEXMATCH(D658,""(?i)Silicone""),""300ml"",
    IF(REGEXMATCH(D658,""(?i)R-Butyl""),""300ml"",
    IF(REGEXMATCH(D658,""(?i)Fix""),""GenFix"","&amp;"
    IF(AND(REGEXMATCH(C658,""(?i)Timber""), REGEXMATCH(D658,""(?i)Timber"")),""tp"",
    IF(AND(REGEXMATCH(C658,""(?i)Vent G1275""), REGEXMATCH(D658,""(?i)Comb FIller"")),""CFV1275"",
    IF(REGEXMATCH(C658,""(?i)DPC""),""dpc"",
    IF(REGEXMATCH(C658,"""&amp;"(?i)Concealed Clips""),""ConClips"",
    IF(REGEXMATCH(D658,""(?i)-Takeoff ea""),""Takeoff ea"",
    IF(REGEXMATCH(D658,""(?i)-Takeoff LM""),""Takeoff LM"",
    IF(REGEXMATCH(D658,""(?i)-Takeoff m2""),""Takeoff m2"",
    IF(D658=""R-TU/TD"",""TU/TD"","""""&amp;")))))))))))))))))
  )))"),"GenFix")</f>
        <v>GenFix</v>
      </c>
      <c r="C658" s="123" t="s">
        <v>102</v>
      </c>
      <c r="D658" s="148" t="s">
        <v>386</v>
      </c>
      <c r="E658" s="687"/>
      <c r="F658" s="699"/>
      <c r="G658" s="701"/>
      <c r="H658" s="700"/>
      <c r="I658" s="712"/>
      <c r="J658" s="153" t="s">
        <v>87</v>
      </c>
      <c r="K658" s="126" t="str">
        <f>IFERROR(
  IF(B658="", "", VLOOKUP(B658, Data!$B$2:$K$905, 7, FALSE)),
  ""
)</f>
        <v/>
      </c>
      <c r="L658" s="704"/>
      <c r="M658" s="150">
        <f>ROUNDUP(M657/0.6,0)+1</f>
        <v>39</v>
      </c>
      <c r="N658" s="151">
        <f t="shared" si="483"/>
        <v>1</v>
      </c>
      <c r="O658" s="169">
        <v>1.0</v>
      </c>
      <c r="P658" s="156">
        <v>2.0</v>
      </c>
      <c r="Q658" s="168">
        <f t="shared" si="487"/>
        <v>78</v>
      </c>
      <c r="R658" s="136" t="str">
        <f>IFERROR(
  IF(B658="", "", VLOOKUP(B658, Data!$B$2:$K$905, 9, FALSE)),
  ""
)</f>
        <v/>
      </c>
      <c r="S658" s="152">
        <f t="shared" si="488"/>
        <v>0</v>
      </c>
      <c r="T658" s="690"/>
      <c r="U658" s="136" t="str">
        <f>IFERROR(
  IF(B658="", "", VLOOKUP(B658, Data!$B$2:$K$905, 10, FALSE)),
  ""
)
</f>
        <v/>
      </c>
      <c r="V658" s="691"/>
      <c r="W658" s="140">
        <f t="shared" si="489"/>
        <v>0</v>
      </c>
      <c r="X658" s="692"/>
      <c r="Y658" s="595"/>
      <c r="Z658" s="595"/>
      <c r="AA658" s="595"/>
      <c r="AB658" s="354">
        <f t="shared" si="482"/>
        <v>0</v>
      </c>
      <c r="AC658" s="181"/>
      <c r="AD658" s="625"/>
      <c r="AE658" s="626"/>
      <c r="AF658" s="696"/>
      <c r="AG658" s="697"/>
      <c r="AH658" s="629"/>
      <c r="AI658" s="187"/>
      <c r="AJ658" s="630"/>
      <c r="AK658" s="630"/>
      <c r="AL658" s="595"/>
      <c r="AM658" s="595"/>
      <c r="AN658" s="595"/>
      <c r="AO658" s="595"/>
      <c r="AP658" s="595"/>
      <c r="AQ658" s="595"/>
      <c r="AR658" s="595"/>
      <c r="AS658" s="595"/>
      <c r="AT658" s="595"/>
      <c r="AU658" s="595"/>
      <c r="AV658" s="595"/>
      <c r="AW658" s="595"/>
      <c r="AX658" s="595"/>
      <c r="AY658" s="595"/>
      <c r="AZ658" s="595"/>
      <c r="BA658" s="595"/>
      <c r="BB658" s="595"/>
      <c r="BC658" s="595"/>
      <c r="BD658" s="595"/>
      <c r="BE658" s="595"/>
      <c r="BF658" s="595"/>
      <c r="BG658" s="595"/>
      <c r="BH658" s="595"/>
      <c r="BI658" s="651"/>
      <c r="BJ658" s="651"/>
      <c r="BK658" s="651"/>
      <c r="BL658" s="651"/>
      <c r="BM658" s="651"/>
      <c r="BN658" s="651"/>
      <c r="BO658" s="651"/>
      <c r="BP658" s="651"/>
      <c r="BQ658" s="651"/>
      <c r="BR658" s="651"/>
      <c r="BS658" s="651"/>
      <c r="BT658" s="651"/>
    </row>
    <row r="659">
      <c r="A659" s="631"/>
      <c r="B659" s="154"/>
      <c r="C659" s="758"/>
      <c r="D659" s="701"/>
      <c r="E659" s="687"/>
      <c r="F659" s="699"/>
      <c r="G659" s="701"/>
      <c r="H659" s="700"/>
      <c r="I659" s="712"/>
      <c r="J659" s="701"/>
      <c r="K659" s="701"/>
      <c r="L659" s="712"/>
      <c r="M659" s="704"/>
      <c r="N659" s="151" t="str">
        <f t="shared" si="483"/>
        <v/>
      </c>
      <c r="O659" s="712"/>
      <c r="P659" s="700"/>
      <c r="Q659" s="712"/>
      <c r="R659" s="681" t="str">
        <f>IFERROR(
  IF(B659="", "", VLOOKUP(B659, Data!$B$2:$K$905, 9, FALSE)),
  ""
)</f>
        <v/>
      </c>
      <c r="S659" s="691"/>
      <c r="T659" s="690"/>
      <c r="U659" s="681" t="str">
        <f>IFERROR(
  IF(B659="", "", VLOOKUP(B659, Data!$B$2:$K$905, 10, FALSE)),
  ""
)
</f>
        <v/>
      </c>
      <c r="V659" s="691"/>
      <c r="W659" s="713"/>
      <c r="X659" s="692"/>
      <c r="Y659" s="595"/>
      <c r="Z659" s="595"/>
      <c r="AA659" s="595"/>
      <c r="AB659" s="354">
        <f t="shared" si="482"/>
        <v>0</v>
      </c>
      <c r="AC659" s="181"/>
      <c r="AD659" s="625"/>
      <c r="AE659" s="626"/>
      <c r="AF659" s="696"/>
      <c r="AG659" s="697"/>
      <c r="AH659" s="629"/>
      <c r="AI659" s="187"/>
      <c r="AJ659" s="630"/>
      <c r="AK659" s="630"/>
      <c r="AL659" s="595"/>
      <c r="AM659" s="595"/>
      <c r="AN659" s="595"/>
      <c r="AO659" s="595"/>
      <c r="AP659" s="595"/>
      <c r="AQ659" s="595"/>
      <c r="AR659" s="595"/>
      <c r="AS659" s="595"/>
      <c r="AT659" s="595"/>
      <c r="AU659" s="595"/>
      <c r="AV659" s="595"/>
      <c r="AW659" s="595"/>
      <c r="AX659" s="595"/>
      <c r="AY659" s="595"/>
      <c r="AZ659" s="595"/>
      <c r="BA659" s="595"/>
      <c r="BB659" s="595"/>
      <c r="BC659" s="595"/>
      <c r="BD659" s="595"/>
      <c r="BE659" s="595"/>
      <c r="BF659" s="595"/>
      <c r="BG659" s="595"/>
      <c r="BH659" s="595"/>
      <c r="BI659" s="651"/>
      <c r="BJ659" s="651"/>
      <c r="BK659" s="651"/>
      <c r="BL659" s="651"/>
      <c r="BM659" s="651"/>
      <c r="BN659" s="651"/>
      <c r="BO659" s="651"/>
      <c r="BP659" s="651"/>
      <c r="BQ659" s="651"/>
      <c r="BR659" s="651"/>
      <c r="BS659" s="651"/>
      <c r="BT659" s="651"/>
    </row>
    <row r="660">
      <c r="A660" s="631">
        <v>1.0</v>
      </c>
      <c r="B660" s="727"/>
      <c r="C660" s="103" t="s">
        <v>560</v>
      </c>
      <c r="D660" s="678"/>
      <c r="E660" s="676"/>
      <c r="F660" s="677"/>
      <c r="G660" s="157"/>
      <c r="H660" s="678"/>
      <c r="I660" s="679"/>
      <c r="J660" s="678"/>
      <c r="K660" s="678" t="s">
        <v>42</v>
      </c>
      <c r="L660" s="106">
        <f>Q660</f>
        <v>3</v>
      </c>
      <c r="M660" s="679" t="s">
        <v>42</v>
      </c>
      <c r="N660" s="680"/>
      <c r="O660" s="679"/>
      <c r="P660" s="678"/>
      <c r="Q660" s="106">
        <f>Q661</f>
        <v>3</v>
      </c>
      <c r="R660" s="136" t="str">
        <f>IFERROR(
  IF(B660="", "", VLOOKUP(B660, Data!$B$2:$K$905, 9, FALSE)),
  ""
)</f>
        <v/>
      </c>
      <c r="S660" s="682">
        <f>IFERROR(T660/Q660, 0)</f>
        <v>0</v>
      </c>
      <c r="T660" s="109">
        <f>SUM(S661:S666)</f>
        <v>0</v>
      </c>
      <c r="U660" s="136" t="str">
        <f>IFERROR(
  IF(B660="", "", VLOOKUP(B660, Data!$B$2:$K$905, 10, FALSE)),
  ""
)
</f>
        <v/>
      </c>
      <c r="V660" s="109">
        <f>W660/Q660</f>
        <v>0</v>
      </c>
      <c r="W660" s="110">
        <f>SUM(W661:W666)</f>
        <v>0</v>
      </c>
      <c r="X660" s="111" t="str">
        <f>W660/$AC$758/$W$765/$X$755</f>
        <v>#REF!</v>
      </c>
      <c r="Y660" s="112" t="b">
        <f>(T660+W660)=(SUM(AB661:AB666))</f>
        <v>1</v>
      </c>
      <c r="Z660" s="222">
        <f>(T660+W660)-(SUM(AB661:AB666))</f>
        <v>0</v>
      </c>
      <c r="AA660" s="595"/>
      <c r="AB660" s="595"/>
      <c r="AC660" s="181"/>
      <c r="AD660" s="114">
        <f>W660+T660</f>
        <v>0</v>
      </c>
      <c r="AE660" s="115">
        <f>AD660</f>
        <v>0</v>
      </c>
      <c r="AF660" s="116" t="str">
        <f>AE660/$AE$733</f>
        <v>#REF!</v>
      </c>
      <c r="AG660" s="683" t="str">
        <f>AF660*$AG$740</f>
        <v>#REF!</v>
      </c>
      <c r="AH660" s="118" t="str">
        <f>AF660*$AG$743</f>
        <v>#REF!</v>
      </c>
      <c r="AI660" s="187"/>
      <c r="AJ660" s="119" t="str">
        <f>ROUND(AK660/L660,2)</f>
        <v>#REF!</v>
      </c>
      <c r="AK660" s="119" t="str">
        <f>ROUND(AH660+AG660+AD660,2)</f>
        <v>#REF!</v>
      </c>
      <c r="AL660" s="595"/>
      <c r="AM660" s="595"/>
      <c r="AN660" s="595"/>
      <c r="AO660" s="595"/>
      <c r="AP660" s="595"/>
      <c r="AQ660" s="595"/>
      <c r="AR660" s="595"/>
      <c r="AS660" s="595"/>
      <c r="AT660" s="595"/>
      <c r="AU660" s="595"/>
      <c r="AV660" s="595"/>
      <c r="AW660" s="595"/>
      <c r="AX660" s="595"/>
      <c r="AY660" s="595"/>
      <c r="AZ660" s="595"/>
      <c r="BA660" s="595"/>
      <c r="BB660" s="595"/>
      <c r="BC660" s="595"/>
      <c r="BD660" s="595"/>
      <c r="BE660" s="595"/>
      <c r="BF660" s="595"/>
      <c r="BG660" s="595"/>
      <c r="BH660" s="595"/>
      <c r="BI660" s="651"/>
      <c r="BJ660" s="651"/>
      <c r="BK660" s="651"/>
      <c r="BL660" s="651"/>
      <c r="BM660" s="651"/>
      <c r="BN660" s="651"/>
      <c r="BO660" s="651"/>
      <c r="BP660" s="651"/>
      <c r="BQ660" s="651"/>
      <c r="BR660" s="651"/>
      <c r="BS660" s="651"/>
      <c r="BT660" s="651"/>
    </row>
    <row r="661">
      <c r="A661" s="716" t="s">
        <v>444</v>
      </c>
      <c r="B661" s="154" t="str">
        <f>IFERROR(__xludf.DUMMYFUNCTION("IFERROR(
  IF(C661="""","""",
    IF(OR(REGEXMATCH(D661,""(?i)-Flashing""), REGEXMATCH(D661,""(?i)-EavesGut""), REGEXMATCH(D661,""(?i)Valley"")),
        ""DR"" &amp;
        TEXT(
            ROUNDUP(
                MIN(
                    VALUE(MID(C661, "&amp;"FIND(""("",C661)+1, FIND(""/"",C661)-FIND(""("",C661)-1)),
                    1200
                ) / 50, 0
            ) * 50, ""0""
        ) &amp;
        MID(C661, FIND(""/"",C661)+1, FIND("")"",C661)-FIND(""/"",C661)-1) &amp;
        TEXT(H661*100,""0"") &amp;"&amp;"
        I661,
    IF(AND(D661=""Roof Sheet"", REGEXMATCH(C661,""(?i)KS\d{4}[A-Z]{2}"")),
       REGEXEXTRACT(C661,""(?i)KS\d{4}[A-Z]{2}""),
    IF(AND(REGEXMATCH(D661,""(?i)-DP""), REGEXMATCH(C661,""(?i)Downpipe"")),
       ""dp"" &amp; REGEXEXTRACT(C661,""("&amp;"\d+)"") &amp; ""mm"",
    IF(AND(REGEXMATCH(D661,""(?i)Bracket""), REGEXMATCH(C661,""(?i)Bracket"")),
       ""Brkt"" &amp; REGEXEXTRACT(C661,""(\d+)"") &amp; ""mm"",
    IF(AND(REGEXMATCH(D661,""(?i)-OP""), REGEXMATCH(C661,""(?i)pops"")),
       ""op"" &amp; REGEXEXTRAC"&amp;"T(C661,""(\d+)"") &amp; ""mm"",
    IF(OR(D661=""R-FFTop"", D661=""R-FFBottom"", D661=""R-FFSide""),
        IF(REGEXMATCH(C661,""(?i)Profiled.*Top|Top.*Profiled""),""pfft"",
        IF(REGEXMATCH(C661,""(?i)Profiled.*Bottom|Bottom.*Profiled""),""pffb"",
    "&amp;"    IF(REGEXMATCH(C661,""(?i)Square""),""sff"",""""))),
    IF(REGEXMATCH(D661,""(?i)-Rivets""),""Rvt"",
    IF(REGEXMATCH(D661,""(?i)Silicone""),""300ml"",
    IF(REGEXMATCH(D661,""(?i)R-Butyl""),""300ml"",
    IF(REGEXMATCH(D661,""(?i)Fix""),""GenFix"","&amp;"
    IF(AND(REGEXMATCH(C661,""(?i)Timber""), REGEXMATCH(D661,""(?i)Timber"")),""tp"",
    IF(AND(REGEXMATCH(C661,""(?i)Vent G1275""), REGEXMATCH(D661,""(?i)Comb FIller"")),""CFV1275"",
    IF(REGEXMATCH(C661,""(?i)DPC""),""dpc"",
    IF(REGEXMATCH(C661,"""&amp;"(?i)Concealed Clips""),""ConClips"",
    IF(REGEXMATCH(D661,""(?i)-Takeoff ea""),""Takeoff ea"",
    IF(REGEXMATCH(D661,""(?i)-Takeoff LM""),""Takeoff LM"",
    IF(REGEXMATCH(D661,""(?i)-Takeoff m2""),""Takeoff m2"",
    IF(D661=""R-TU/TD"",""TU/TD"","""""&amp;")))))))))))))))))
  )))"),"DR5004B55Mag")</f>
        <v>DR5004B55Mag</v>
      </c>
      <c r="C661" s="123" t="s">
        <v>561</v>
      </c>
      <c r="D661" s="148" t="s">
        <v>161</v>
      </c>
      <c r="E661" s="687">
        <f>VALUE(MID(C661, FIND("(", C661)+1, FIND("/", C661)-FIND("(", C661)-1)) / 1000</f>
        <v>0.48</v>
      </c>
      <c r="F661" s="688"/>
      <c r="G661" s="689" t="s">
        <v>574</v>
      </c>
      <c r="H661" s="128" t="str">
        <f>IFERROR(__xludf.DUMMYFUNCTION("IFERROR(REGEXEXTRACT(C661, ""(\d*\.\d+)mm""), """")"),"0.55")</f>
        <v>0.55</v>
      </c>
      <c r="I661" s="168" t="s">
        <v>97</v>
      </c>
      <c r="J661" s="126" t="s">
        <v>14</v>
      </c>
      <c r="K661" s="126" t="str">
        <f>IFERROR(
  IF(B661="", "", VLOOKUP(B661, Data!$B$2:$K$905, 7, FALSE)),
  ""
)</f>
        <v/>
      </c>
      <c r="L661" s="704"/>
      <c r="M661" s="730">
        <v>3.0</v>
      </c>
      <c r="N661" s="151">
        <f>IFERROR(__xludf.DUMMYFUNCTION("IF(
  AND(
    IFERROR(REGEXEXTRACT(C661,""@\s*(\d+(?:\.\d+)?)\s*deg""),"""")&lt;&gt;"""",
    F661&lt;&gt;""""
  ),
  ""Pls Confirm °"",
  IF(
    IFERROR(REGEXEXTRACT(C661,""@\s*(\d+(?:\.\d+)?)\s*deg""),"""")&lt;&gt;"""",
    1/COS(RADIANS(REGEXEXTRACT(C661,""@\s*(\d+(?:"&amp;"\.\d+)?)\s*deg""))),
    IF(
      F661&lt;&gt;"""",
      IF(
        ISNUMBER(SEARCH(""|"",F661)),
        1/COS(
          ATAN(
            TAN(RADIANS(VALUE(INDEX(SPLIT(F661,""|""),1)))) *
            TAN(RADIANS(VALUE(INDEX(SPLIT(F661,""|""),2))))
       "&amp;"     /
            SQRT(
              TAN(RADIANS(VALUE(INDEX(SPLIT(F661,""|""),1))))^2 +
              TAN(RADIANS(VALUE(INDEX(SPLIT(F661,""|""),2))))^2
            )
          )
        ),
        1/COS(RADIANS(VALUE(F661)))
      ),
      1
    )
  )
"&amp;")"),1.0)</f>
        <v>1</v>
      </c>
      <c r="O661" s="169">
        <v>1.0</v>
      </c>
      <c r="P661" s="134">
        <v>1.0</v>
      </c>
      <c r="Q661" s="168">
        <f t="shared" ref="Q661:Q665" si="490">M661*N661*O661*P661</f>
        <v>3</v>
      </c>
      <c r="R661" s="136" t="str">
        <f>IFERROR(
  IF(B661="", "", VLOOKUP(B661, Data!$B$2:$K$905, 9, FALSE)),
  ""
)</f>
        <v/>
      </c>
      <c r="S661" s="152">
        <f t="shared" ref="S661:S665" si="491">R661*Q661</f>
        <v>0</v>
      </c>
      <c r="T661" s="690"/>
      <c r="U661" s="136" t="str">
        <f>IFERROR(
  IF(B661="", "", VLOOKUP(B661, Data!$B$2:$K$905, 10, FALSE)),
  ""
)
</f>
        <v/>
      </c>
      <c r="V661" s="691"/>
      <c r="W661" s="140">
        <f t="shared" ref="W661:W665" si="492">U661*Q661</f>
        <v>0</v>
      </c>
      <c r="X661" s="692"/>
      <c r="Y661" s="693"/>
      <c r="Z661" s="731"/>
      <c r="AA661" s="595"/>
      <c r="AB661" s="354">
        <f t="shared" ref="AB661:AB666" si="493">W661+S661</f>
        <v>0</v>
      </c>
      <c r="AC661" s="181"/>
      <c r="AD661" s="625"/>
      <c r="AE661" s="626"/>
      <c r="AF661" s="696"/>
      <c r="AG661" s="697"/>
      <c r="AH661" s="629"/>
      <c r="AI661" s="187"/>
      <c r="AJ661" s="630"/>
      <c r="AK661" s="630"/>
      <c r="AL661" s="595"/>
      <c r="AM661" s="595"/>
      <c r="AN661" s="595"/>
      <c r="AO661" s="595"/>
      <c r="AP661" s="595"/>
      <c r="AQ661" s="595"/>
      <c r="AR661" s="595"/>
      <c r="AS661" s="595"/>
      <c r="AT661" s="595"/>
      <c r="AU661" s="595"/>
      <c r="AV661" s="595"/>
      <c r="AW661" s="595"/>
      <c r="AX661" s="595"/>
      <c r="AY661" s="595"/>
      <c r="AZ661" s="595"/>
      <c r="BA661" s="595"/>
      <c r="BB661" s="595"/>
      <c r="BC661" s="595"/>
      <c r="BD661" s="595"/>
      <c r="BE661" s="595"/>
      <c r="BF661" s="595"/>
      <c r="BG661" s="595"/>
      <c r="BH661" s="595"/>
      <c r="BI661" s="651"/>
      <c r="BJ661" s="651"/>
      <c r="BK661" s="651"/>
      <c r="BL661" s="651"/>
      <c r="BM661" s="651"/>
      <c r="BN661" s="651"/>
      <c r="BO661" s="651"/>
      <c r="BP661" s="651"/>
      <c r="BQ661" s="651"/>
      <c r="BR661" s="651"/>
      <c r="BS661" s="651"/>
      <c r="BT661" s="651"/>
    </row>
    <row r="662">
      <c r="A662" s="631"/>
      <c r="B662" s="154" t="str">
        <f>IFERROR(__xludf.DUMMYFUNCTION("IFERROR(
  IF(C662="""","""",
    IF(OR(REGEXMATCH(D662,""(?i)-Flashing""), REGEXMATCH(D662,""(?i)-EavesGut""), REGEXMATCH(D662,""(?i)Valley"")),
        ""DR"" &amp;
        TEXT(
            ROUNDUP(
                MIN(
                    VALUE(MID(C662, "&amp;"FIND(""("",C662)+1, FIND(""/"",C662)-FIND(""("",C662)-1)),
                    1200
                ) / 50, 0
            ) * 50, ""0""
        ) &amp;
        MID(C662, FIND(""/"",C662)+1, FIND("")"",C662)-FIND(""/"",C662)-1) &amp;
        TEXT(H662*100,""0"") &amp;"&amp;"
        I662,
    IF(AND(D662=""Roof Sheet"", REGEXMATCH(C662,""(?i)KS\d{4}[A-Z]{2}"")),
       REGEXEXTRACT(C662,""(?i)KS\d{4}[A-Z]{2}""),
    IF(AND(REGEXMATCH(D662,""(?i)-DP""), REGEXMATCH(C662,""(?i)Downpipe"")),
       ""dp"" &amp; REGEXEXTRACT(C662,""("&amp;"\d+)"") &amp; ""mm"",
    IF(AND(REGEXMATCH(D662,""(?i)Bracket""), REGEXMATCH(C662,""(?i)Bracket"")),
       ""Brkt"" &amp; REGEXEXTRACT(C662,""(\d+)"") &amp; ""mm"",
    IF(AND(REGEXMATCH(D662,""(?i)-OP""), REGEXMATCH(C662,""(?i)pops"")),
       ""op"" &amp; REGEXEXTRAC"&amp;"T(C662,""(\d+)"") &amp; ""mm"",
    IF(OR(D662=""R-FFTop"", D662=""R-FFBottom"", D662=""R-FFSide""),
        IF(REGEXMATCH(C662,""(?i)Profiled.*Top|Top.*Profiled""),""pfft"",
        IF(REGEXMATCH(C662,""(?i)Profiled.*Bottom|Bottom.*Profiled""),""pffb"",
    "&amp;"    IF(REGEXMATCH(C662,""(?i)Square""),""sff"",""""))),
    IF(REGEXMATCH(D662,""(?i)-Rivets""),""Rvt"",
    IF(REGEXMATCH(D662,""(?i)Silicone""),""300ml"",
    IF(REGEXMATCH(D662,""(?i)R-Butyl""),""300ml"",
    IF(REGEXMATCH(D662,""(?i)Fix""),""GenFix"","&amp;"
    IF(AND(REGEXMATCH(C662,""(?i)Timber""), REGEXMATCH(D662,""(?i)Timber"")),""tp"",
    IF(AND(REGEXMATCH(C662,""(?i)Vent G1275""), REGEXMATCH(D662,""(?i)Comb FIller"")),""CFV1275"",
    IF(REGEXMATCH(C662,""(?i)DPC""),""dpc"",
    IF(REGEXMATCH(C662,"""&amp;"(?i)Concealed Clips""),""ConClips"",
    IF(REGEXMATCH(D662,""(?i)-Takeoff ea""),""Takeoff ea"",
    IF(REGEXMATCH(D662,""(?i)-Takeoff LM""),""Takeoff LM"",
    IF(REGEXMATCH(D662,""(?i)-Takeoff m2""),""Takeoff m2"",
    IF(D662=""R-TU/TD"",""TU/TD"","""""&amp;")))))))))))))))))
  )))"),"300ml")</f>
        <v>300ml</v>
      </c>
      <c r="C662" s="734" t="s">
        <v>98</v>
      </c>
      <c r="D662" s="148" t="s">
        <v>162</v>
      </c>
      <c r="E662" s="687">
        <f>E661</f>
        <v>0.48</v>
      </c>
      <c r="F662" s="699"/>
      <c r="G662" s="225"/>
      <c r="H662" s="700" t="str">
        <f>IFERROR(__xludf.DUMMYFUNCTION("IFERROR(REGEXEXTRACT(C662, ""(\d*\.\d+)mm""), """")"),"")</f>
        <v/>
      </c>
      <c r="I662" s="712"/>
      <c r="J662" s="126" t="s">
        <v>87</v>
      </c>
      <c r="K662" s="126" t="str">
        <f>IFERROR(
  IF(B662="", "", VLOOKUP(B662, Data!$B$2:$K$905, 7, FALSE)),
  ""
)</f>
        <v/>
      </c>
      <c r="L662" s="704"/>
      <c r="M662" s="150">
        <f>(ROUNDDOWN((M661/5.7)+2,0)*E662)/8</f>
        <v>0.12</v>
      </c>
      <c r="N662" s="151">
        <f t="shared" ref="N662:N666" si="494">if(B662="","",(if(N661="",N660,N661)))</f>
        <v>1</v>
      </c>
      <c r="O662" s="169">
        <v>1.0</v>
      </c>
      <c r="P662" s="134">
        <v>1.0</v>
      </c>
      <c r="Q662" s="168">
        <f t="shared" si="490"/>
        <v>0.12</v>
      </c>
      <c r="R662" s="136" t="str">
        <f>IFERROR(
  IF(B662="", "", VLOOKUP(B662, Data!$B$2:$K$905, 9, FALSE)),
  ""
)</f>
        <v/>
      </c>
      <c r="S662" s="152">
        <f t="shared" si="491"/>
        <v>0</v>
      </c>
      <c r="T662" s="690"/>
      <c r="U662" s="136" t="str">
        <f>IFERROR(
  IF(B662="", "", VLOOKUP(B662, Data!$B$2:$K$905, 10, FALSE)),
  ""
)
</f>
        <v/>
      </c>
      <c r="V662" s="691"/>
      <c r="W662" s="140">
        <f t="shared" si="492"/>
        <v>0</v>
      </c>
      <c r="X662" s="692"/>
      <c r="Y662" s="595"/>
      <c r="Z662" s="595"/>
      <c r="AA662" s="595"/>
      <c r="AB662" s="354">
        <f t="shared" si="493"/>
        <v>0</v>
      </c>
      <c r="AC662" s="181"/>
      <c r="AD662" s="625"/>
      <c r="AE662" s="626"/>
      <c r="AF662" s="696"/>
      <c r="AG662" s="697"/>
      <c r="AH662" s="629"/>
      <c r="AI662" s="187"/>
      <c r="AJ662" s="630"/>
      <c r="AK662" s="630"/>
      <c r="AL662" s="595"/>
      <c r="AM662" s="595"/>
      <c r="AN662" s="595"/>
      <c r="AO662" s="595"/>
      <c r="AP662" s="595"/>
      <c r="AQ662" s="595"/>
      <c r="AR662" s="595"/>
      <c r="AS662" s="595"/>
      <c r="AT662" s="595"/>
      <c r="AU662" s="595"/>
      <c r="AV662" s="595"/>
      <c r="AW662" s="595"/>
      <c r="AX662" s="595"/>
      <c r="AY662" s="595"/>
      <c r="AZ662" s="595"/>
      <c r="BA662" s="595"/>
      <c r="BB662" s="595"/>
      <c r="BC662" s="595"/>
      <c r="BD662" s="595"/>
      <c r="BE662" s="595"/>
      <c r="BF662" s="595"/>
      <c r="BG662" s="595"/>
      <c r="BH662" s="595"/>
      <c r="BI662" s="651"/>
      <c r="BJ662" s="651"/>
      <c r="BK662" s="651"/>
      <c r="BL662" s="651"/>
      <c r="BM662" s="651"/>
      <c r="BN662" s="651"/>
      <c r="BO662" s="651"/>
      <c r="BP662" s="651"/>
      <c r="BQ662" s="651"/>
      <c r="BR662" s="651"/>
      <c r="BS662" s="651"/>
      <c r="BT662" s="651"/>
    </row>
    <row r="663">
      <c r="A663" s="631"/>
      <c r="B663" s="154" t="str">
        <f>IFERROR(__xludf.DUMMYFUNCTION("IFERROR(
  IF(C663="""","""",
    IF(OR(REGEXMATCH(D663,""(?i)-Flashing""), REGEXMATCH(D663,""(?i)-EavesGut""), REGEXMATCH(D663,""(?i)Valley"")),
        ""DR"" &amp;
        TEXT(
            ROUNDUP(
                MIN(
                    VALUE(MID(C663, "&amp;"FIND(""("",C663)+1, FIND(""/"",C663)-FIND(""("",C663)-1)),
                    1200
                ) / 50, 0
            ) * 50, ""0""
        ) &amp;
        MID(C663, FIND(""/"",C663)+1, FIND("")"",C663)-FIND(""/"",C663)-1) &amp;
        TEXT(H663*100,""0"") &amp;"&amp;"
        I663,
    IF(AND(D663=""Roof Sheet"", REGEXMATCH(C663,""(?i)KS\d{4}[A-Z]{2}"")),
       REGEXEXTRACT(C663,""(?i)KS\d{4}[A-Z]{2}""),
    IF(AND(REGEXMATCH(D663,""(?i)-DP""), REGEXMATCH(C663,""(?i)Downpipe"")),
       ""dp"" &amp; REGEXEXTRACT(C663,""("&amp;"\d+)"") &amp; ""mm"",
    IF(AND(REGEXMATCH(D663,""(?i)Bracket""), REGEXMATCH(C663,""(?i)Bracket"")),
       ""Brkt"" &amp; REGEXEXTRACT(C663,""(\d+)"") &amp; ""mm"",
    IF(AND(REGEXMATCH(D663,""(?i)-OP""), REGEXMATCH(C663,""(?i)pops"")),
       ""op"" &amp; REGEXEXTRAC"&amp;"T(C663,""(\d+)"") &amp; ""mm"",
    IF(OR(D663=""R-FFTop"", D663=""R-FFBottom"", D663=""R-FFSide""),
        IF(REGEXMATCH(C663,""(?i)Profiled.*Top|Top.*Profiled""),""pfft"",
        IF(REGEXMATCH(C663,""(?i)Profiled.*Bottom|Bottom.*Profiled""),""pffb"",
    "&amp;"    IF(REGEXMATCH(C663,""(?i)Square""),""sff"",""""))),
    IF(REGEXMATCH(D663,""(?i)-Rivets""),""Rvt"",
    IF(REGEXMATCH(D663,""(?i)Silicone""),""300ml"",
    IF(REGEXMATCH(D663,""(?i)R-Butyl""),""300ml"",
    IF(REGEXMATCH(D663,""(?i)Fix""),""GenFix"","&amp;"
    IF(AND(REGEXMATCH(C663,""(?i)Timber""), REGEXMATCH(D663,""(?i)Timber"")),""tp"",
    IF(AND(REGEXMATCH(C663,""(?i)Vent G1275""), REGEXMATCH(D663,""(?i)Comb FIller"")),""CFV1275"",
    IF(REGEXMATCH(C663,""(?i)DPC""),""dpc"",
    IF(REGEXMATCH(C663,"""&amp;"(?i)Concealed Clips""),""ConClips"",
    IF(REGEXMATCH(D663,""(?i)-Takeoff ea""),""Takeoff ea"",
    IF(REGEXMATCH(D663,""(?i)-Takeoff LM""),""Takeoff LM"",
    IF(REGEXMATCH(D663,""(?i)-Takeoff m2""),""Takeoff m2"",
    IF(D663=""R-TU/TD"",""TU/TD"","""""&amp;")))))))))))))))))
  )))"),"Rvt")</f>
        <v>Rvt</v>
      </c>
      <c r="C663" s="734" t="s">
        <v>100</v>
      </c>
      <c r="D663" s="148" t="s">
        <v>163</v>
      </c>
      <c r="E663" s="687">
        <f>E661</f>
        <v>0.48</v>
      </c>
      <c r="F663" s="699"/>
      <c r="G663" s="225"/>
      <c r="H663" s="700" t="str">
        <f>IFERROR(__xludf.DUMMYFUNCTION("IFERROR(REGEXEXTRACT(C663, ""(\d*\.\d+)mm""), """")"),"")</f>
        <v/>
      </c>
      <c r="I663" s="712"/>
      <c r="J663" s="126" t="s">
        <v>87</v>
      </c>
      <c r="K663" s="126" t="str">
        <f>IFERROR(
  IF(B663="", "", VLOOKUP(B663, Data!$B$2:$K$905, 7, FALSE)),
  ""
)</f>
        <v/>
      </c>
      <c r="L663" s="704"/>
      <c r="M663" s="150">
        <f>ROUNDUP(((M661/5.7)+1)*(E663/0.05),0)</f>
        <v>15</v>
      </c>
      <c r="N663" s="151">
        <f t="shared" si="494"/>
        <v>1</v>
      </c>
      <c r="O663" s="169">
        <v>1.0</v>
      </c>
      <c r="P663" s="134">
        <v>1.0</v>
      </c>
      <c r="Q663" s="168">
        <f t="shared" si="490"/>
        <v>15</v>
      </c>
      <c r="R663" s="136" t="str">
        <f>IFERROR(
  IF(B663="", "", VLOOKUP(B663, Data!$B$2:$K$905, 9, FALSE)),
  ""
)</f>
        <v/>
      </c>
      <c r="S663" s="152">
        <f t="shared" si="491"/>
        <v>0</v>
      </c>
      <c r="T663" s="690"/>
      <c r="U663" s="136" t="str">
        <f>IFERROR(
  IF(B663="", "", VLOOKUP(B663, Data!$B$2:$K$905, 10, FALSE)),
  ""
)
</f>
        <v/>
      </c>
      <c r="V663" s="691"/>
      <c r="W663" s="140">
        <f t="shared" si="492"/>
        <v>0</v>
      </c>
      <c r="X663" s="692"/>
      <c r="Y663" s="595"/>
      <c r="Z663" s="595"/>
      <c r="AA663" s="595"/>
      <c r="AB663" s="354">
        <f t="shared" si="493"/>
        <v>0</v>
      </c>
      <c r="AC663" s="181"/>
      <c r="AD663" s="625"/>
      <c r="AE663" s="626"/>
      <c r="AF663" s="696"/>
      <c r="AG663" s="697"/>
      <c r="AH663" s="629"/>
      <c r="AI663" s="187"/>
      <c r="AJ663" s="630"/>
      <c r="AK663" s="630"/>
      <c r="AL663" s="595"/>
      <c r="AM663" s="595"/>
      <c r="AN663" s="595"/>
      <c r="AO663" s="595"/>
      <c r="AP663" s="595"/>
      <c r="AQ663" s="595"/>
      <c r="AR663" s="595"/>
      <c r="AS663" s="595"/>
      <c r="AT663" s="595"/>
      <c r="AU663" s="595"/>
      <c r="AV663" s="595"/>
      <c r="AW663" s="595"/>
      <c r="AX663" s="595"/>
      <c r="AY663" s="595"/>
      <c r="AZ663" s="595"/>
      <c r="BA663" s="595"/>
      <c r="BB663" s="595"/>
      <c r="BC663" s="595"/>
      <c r="BD663" s="595"/>
      <c r="BE663" s="595"/>
      <c r="BF663" s="595"/>
      <c r="BG663" s="595"/>
      <c r="BH663" s="595"/>
      <c r="BI663" s="651"/>
      <c r="BJ663" s="651"/>
      <c r="BK663" s="651"/>
      <c r="BL663" s="651"/>
      <c r="BM663" s="651"/>
      <c r="BN663" s="651"/>
      <c r="BO663" s="651"/>
      <c r="BP663" s="651"/>
      <c r="BQ663" s="651"/>
      <c r="BR663" s="651"/>
      <c r="BS663" s="651"/>
      <c r="BT663" s="651"/>
    </row>
    <row r="664">
      <c r="A664" s="631"/>
      <c r="B664" s="154" t="str">
        <f>IFERROR(__xludf.DUMMYFUNCTION("IFERROR(
  IF(C664="""","""",
    IF(OR(REGEXMATCH(D664,""(?i)-Flashing""), REGEXMATCH(D664,""(?i)-EavesGut""), REGEXMATCH(D664,""(?i)Valley"")),
        ""DR"" &amp;
        TEXT(
            ROUNDUP(
                MIN(
                    VALUE(MID(C664, "&amp;"FIND(""("",C664)+1, FIND(""/"",C664)-FIND(""("",C664)-1)),
                    1200
                ) / 50, 0
            ) * 50, ""0""
        ) &amp;
        MID(C664, FIND(""/"",C664)+1, FIND("")"",C664)-FIND(""/"",C664)-1) &amp;
        TEXT(H664*100,""0"") &amp;"&amp;"
        I664,
    IF(AND(D664=""Roof Sheet"", REGEXMATCH(C664,""(?i)KS\d{4}[A-Z]{2}"")),
       REGEXEXTRACT(C664,""(?i)KS\d{4}[A-Z]{2}""),
    IF(AND(REGEXMATCH(D664,""(?i)-DP""), REGEXMATCH(C664,""(?i)Downpipe"")),
       ""dp"" &amp; REGEXEXTRACT(C664,""("&amp;"\d+)"") &amp; ""mm"",
    IF(AND(REGEXMATCH(D664,""(?i)Bracket""), REGEXMATCH(C664,""(?i)Bracket"")),
       ""Brkt"" &amp; REGEXEXTRACT(C664,""(\d+)"") &amp; ""mm"",
    IF(AND(REGEXMATCH(D664,""(?i)-OP""), REGEXMATCH(C664,""(?i)pops"")),
       ""op"" &amp; REGEXEXTRAC"&amp;"T(C664,""(\d+)"") &amp; ""mm"",
    IF(OR(D664=""R-FFTop"", D664=""R-FFBottom"", D664=""R-FFSide""),
        IF(REGEXMATCH(C664,""(?i)Profiled.*Top|Top.*Profiled""),""pfft"",
        IF(REGEXMATCH(C664,""(?i)Profiled.*Bottom|Bottom.*Profiled""),""pffb"",
    "&amp;"    IF(REGEXMATCH(C664,""(?i)Square""),""sff"",""""))),
    IF(REGEXMATCH(D664,""(?i)-Rivets""),""Rvt"",
    IF(REGEXMATCH(D664,""(?i)Silicone""),""300ml"",
    IF(REGEXMATCH(D664,""(?i)R-Butyl""),""300ml"",
    IF(REGEXMATCH(D664,""(?i)Fix""),""GenFix"","&amp;"
    IF(AND(REGEXMATCH(C664,""(?i)Timber""), REGEXMATCH(D664,""(?i)Timber"")),""tp"",
    IF(AND(REGEXMATCH(C664,""(?i)Vent G1275""), REGEXMATCH(D664,""(?i)Comb FIller"")),""CFV1275"",
    IF(REGEXMATCH(C664,""(?i)DPC""),""dpc"",
    IF(REGEXMATCH(C664,"""&amp;"(?i)Concealed Clips""),""ConClips"",
    IF(REGEXMATCH(D664,""(?i)-Takeoff ea""),""Takeoff ea"",
    IF(REGEXMATCH(D664,""(?i)-Takeoff LM""),""Takeoff LM"",
    IF(REGEXMATCH(D664,""(?i)-Takeoff m2""),""Takeoff m2"",
    IF(D664=""R-TU/TD"",""TU/TD"","""""&amp;")))))))))))))))))
  )))"),"GenFix")</f>
        <v>GenFix</v>
      </c>
      <c r="C664" s="698" t="s">
        <v>102</v>
      </c>
      <c r="D664" s="148" t="s">
        <v>164</v>
      </c>
      <c r="E664" s="722"/>
      <c r="F664" s="699"/>
      <c r="G664" s="158"/>
      <c r="H664" s="700"/>
      <c r="I664" s="712"/>
      <c r="J664" s="126" t="s">
        <v>87</v>
      </c>
      <c r="K664" s="126" t="str">
        <f>IFERROR(
  IF(B664="", "", VLOOKUP(B664, Data!$B$2:$K$905, 7, FALSE)),
  ""
)</f>
        <v/>
      </c>
      <c r="L664" s="712"/>
      <c r="M664" s="150">
        <f>ROUNDUP(M661/0.6,0)+1</f>
        <v>6</v>
      </c>
      <c r="N664" s="151">
        <f t="shared" si="494"/>
        <v>1</v>
      </c>
      <c r="O664" s="169">
        <v>1.0</v>
      </c>
      <c r="P664" s="156">
        <v>2.0</v>
      </c>
      <c r="Q664" s="168">
        <f t="shared" si="490"/>
        <v>12</v>
      </c>
      <c r="R664" s="136" t="str">
        <f>IFERROR(
  IF(B664="", "", VLOOKUP(B664, Data!$B$2:$K$905, 9, FALSE)),
  ""
)</f>
        <v/>
      </c>
      <c r="S664" s="152">
        <f t="shared" si="491"/>
        <v>0</v>
      </c>
      <c r="T664" s="690"/>
      <c r="U664" s="136" t="str">
        <f>IFERROR(
  IF(B664="", "", VLOOKUP(B664, Data!$B$2:$K$905, 10, FALSE)),
  ""
)
</f>
        <v/>
      </c>
      <c r="V664" s="691"/>
      <c r="W664" s="140">
        <f t="shared" si="492"/>
        <v>0</v>
      </c>
      <c r="X664" s="692"/>
      <c r="Y664" s="595"/>
      <c r="Z664" s="595"/>
      <c r="AA664" s="595"/>
      <c r="AB664" s="354">
        <f t="shared" si="493"/>
        <v>0</v>
      </c>
      <c r="AC664" s="181"/>
      <c r="AD664" s="625"/>
      <c r="AE664" s="626"/>
      <c r="AF664" s="696"/>
      <c r="AG664" s="697"/>
      <c r="AH664" s="629"/>
      <c r="AI664" s="187"/>
      <c r="AJ664" s="630"/>
      <c r="AK664" s="630"/>
      <c r="AL664" s="595"/>
      <c r="AM664" s="595"/>
      <c r="AN664" s="595"/>
      <c r="AO664" s="595"/>
      <c r="AP664" s="595"/>
      <c r="AQ664" s="595"/>
      <c r="AR664" s="595"/>
      <c r="AS664" s="595"/>
      <c r="AT664" s="595"/>
      <c r="AU664" s="595"/>
      <c r="AV664" s="595"/>
      <c r="AW664" s="595"/>
      <c r="AX664" s="595"/>
      <c r="AY664" s="595"/>
      <c r="AZ664" s="595"/>
      <c r="BA664" s="595"/>
      <c r="BB664" s="595"/>
      <c r="BC664" s="595"/>
      <c r="BD664" s="595"/>
      <c r="BE664" s="595"/>
      <c r="BF664" s="595"/>
      <c r="BG664" s="595"/>
      <c r="BH664" s="595"/>
      <c r="BI664" s="651"/>
      <c r="BJ664" s="651"/>
      <c r="BK664" s="651"/>
      <c r="BL664" s="651"/>
      <c r="BM664" s="651"/>
      <c r="BN664" s="651"/>
      <c r="BO664" s="651"/>
      <c r="BP664" s="651"/>
      <c r="BQ664" s="651"/>
      <c r="BR664" s="651"/>
      <c r="BS664" s="651"/>
      <c r="BT664" s="651"/>
    </row>
    <row r="665">
      <c r="A665" s="631"/>
      <c r="B665" s="154" t="str">
        <f>IFERROR(__xludf.DUMMYFUNCTION("IFERROR(
  IF(C665="""","""",
    IF(OR(REGEXMATCH(D665,""(?i)-Flashing""), REGEXMATCH(D665,""(?i)-EavesGut""), REGEXMATCH(D665,""(?i)Valley"")),
        ""DR"" &amp;
        TEXT(
            ROUNDUP(
                MIN(
                    VALUE(MID(C665, "&amp;"FIND(""("",C665)+1, FIND(""/"",C665)-FIND(""("",C665)-1)),
                    1200
                ) / 50, 0
            ) * 50, ""0""
        ) &amp;
        MID(C665, FIND(""/"",C665)+1, FIND("")"",C665)-FIND(""/"",C665)-1) &amp;
        TEXT(H665*100,""0"") &amp;"&amp;"
        I665,
    IF(AND(D665=""Roof Sheet"", REGEXMATCH(C665,""(?i)KS\d{4}[A-Z]{2}"")),
       REGEXEXTRACT(C665,""(?i)KS\d{4}[A-Z]{2}""),
    IF(AND(REGEXMATCH(D665,""(?i)-DP""), REGEXMATCH(C665,""(?i)Downpipe"")),
       ""dp"" &amp; REGEXEXTRACT(C665,""("&amp;"\d+)"") &amp; ""mm"",
    IF(AND(REGEXMATCH(D665,""(?i)Bracket""), REGEXMATCH(C665,""(?i)Bracket"")),
       ""Brkt"" &amp; REGEXEXTRACT(C665,""(\d+)"") &amp; ""mm"",
    IF(AND(REGEXMATCH(D665,""(?i)-OP""), REGEXMATCH(C665,""(?i)pops"")),
       ""op"" &amp; REGEXEXTRAC"&amp;"T(C665,""(\d+)"") &amp; ""mm"",
    IF(OR(D665=""R-FFTop"", D665=""R-FFBottom"", D665=""R-FFSide""),
        IF(REGEXMATCH(C665,""(?i)Profiled.*Top|Top.*Profiled""),""pfft"",
        IF(REGEXMATCH(C665,""(?i)Profiled.*Bottom|Bottom.*Profiled""),""pffb"",
    "&amp;"    IF(REGEXMATCH(C665,""(?i)Square""),""sff"",""""))),
    IF(OR(D665=""W-FFTop"", D665=""W-FFBottom"", D665=""W-FFSide""),
        IF(REGEXMATCH(C665,""(?i)Profiled.*Top|Top.*Profiled""),""pfft"",
        IF(REGEXMATCH(C665,""(?i)Profiled.*Bottom|Bottom"&amp;".*Profiled""),""pffb"",
        IF(REGEXMATCH(C665,""(?i)Square""),""sff"",""""))),
    IF(REGEXMATCH(D665,""(?i)-Rivets""),""Rvt"",
    IF(REGEXMATCH(D665,""(?i)Silicone""),""300ml"",
    IF(REGEXMATCH(D665,""(?i)R-Butyl""),""300ml"",
    IF(REGEXMATCH(D"&amp;"665,""(?i)Fix""),""GenFix"",
    IF(AND(REGEXMATCH(C665,""(?i)Timber""), REGEXMATCH(D665,""(?i)Timber"")),""tp"",
    IF(AND(REGEXMATCH(C665,""(?i)Vent G1275""), REGEXMATCH(D665,""(?i)Comb FIller"")),""CFV1275"",
    IF(REGEXMATCH(C665,""(?i)DPC""),""dpc"&amp;""",
    IF(REGEXMATCH(C665,""(?i)Concealed Clips""),""ConClips"",
    IF(REGEXMATCH(D665,""(?i)-Takeoff ea""),""Takeoff ea"",
    IF(REGEXMATCH(D665,""(?i)-Takeoff LM""),""Takeoff LM"",
    IF(REGEXMATCH(D665,""(?i)-Takeoff m2""),""Takeoff m2"",
    IF(D6"&amp;"65=""R-TU/TD"",""TU/TD"",
    IF(D665=""W-TU/TD"",""TU/TD"","""")))))))))))))))))
  )))))"),"sff")</f>
        <v>sff</v>
      </c>
      <c r="C665" s="698" t="s">
        <v>454</v>
      </c>
      <c r="D665" s="148" t="s">
        <v>340</v>
      </c>
      <c r="E665" s="722"/>
      <c r="F665" s="699"/>
      <c r="G665" s="158"/>
      <c r="H665" s="700"/>
      <c r="I665" s="712"/>
      <c r="J665" s="126" t="s">
        <v>87</v>
      </c>
      <c r="K665" s="126" t="str">
        <f>IFERROR(
  IF(B665="", "", VLOOKUP(B665, Data!$B$2:$K$905, 7, FALSE)),
  ""
)</f>
        <v/>
      </c>
      <c r="L665" s="712"/>
      <c r="M665" s="150">
        <f>M661</f>
        <v>3</v>
      </c>
      <c r="N665" s="151">
        <f t="shared" si="494"/>
        <v>1</v>
      </c>
      <c r="O665" s="169">
        <v>1.0</v>
      </c>
      <c r="P665" s="156">
        <v>2.0</v>
      </c>
      <c r="Q665" s="168">
        <f t="shared" si="490"/>
        <v>6</v>
      </c>
      <c r="R665" s="136" t="str">
        <f>IFERROR(
  IF(B665="", "", VLOOKUP(B665, Data!$B$2:$K$905, 9, FALSE)),
  ""
)</f>
        <v/>
      </c>
      <c r="S665" s="152">
        <f t="shared" si="491"/>
        <v>0</v>
      </c>
      <c r="T665" s="690"/>
      <c r="U665" s="136" t="str">
        <f>IFERROR(
  IF(B665="", "", VLOOKUP(B665, Data!$B$2:$K$905, 10, FALSE)),
  ""
)
</f>
        <v/>
      </c>
      <c r="V665" s="691"/>
      <c r="W665" s="140">
        <f t="shared" si="492"/>
        <v>0</v>
      </c>
      <c r="X665" s="692"/>
      <c r="Y665" s="595"/>
      <c r="Z665" s="595"/>
      <c r="AA665" s="595"/>
      <c r="AB665" s="354">
        <f t="shared" si="493"/>
        <v>0</v>
      </c>
      <c r="AC665" s="181"/>
      <c r="AD665" s="625"/>
      <c r="AE665" s="626"/>
      <c r="AF665" s="696"/>
      <c r="AG665" s="697"/>
      <c r="AH665" s="629"/>
      <c r="AI665" s="187"/>
      <c r="AJ665" s="630"/>
      <c r="AK665" s="630"/>
      <c r="AL665" s="595"/>
      <c r="AM665" s="595"/>
      <c r="AN665" s="595"/>
      <c r="AO665" s="595"/>
      <c r="AP665" s="595"/>
      <c r="AQ665" s="595"/>
      <c r="AR665" s="595"/>
      <c r="AS665" s="595"/>
      <c r="AT665" s="595"/>
      <c r="AU665" s="595"/>
      <c r="AV665" s="595"/>
      <c r="AW665" s="595"/>
      <c r="AX665" s="595"/>
      <c r="AY665" s="595"/>
      <c r="AZ665" s="595"/>
      <c r="BA665" s="595"/>
      <c r="BB665" s="595"/>
      <c r="BC665" s="595"/>
      <c r="BD665" s="595"/>
      <c r="BE665" s="595"/>
      <c r="BF665" s="595"/>
      <c r="BG665" s="595"/>
      <c r="BH665" s="595"/>
      <c r="BI665" s="651"/>
      <c r="BJ665" s="651"/>
      <c r="BK665" s="651"/>
      <c r="BL665" s="651"/>
      <c r="BM665" s="651"/>
      <c r="BN665" s="651"/>
      <c r="BO665" s="651"/>
      <c r="BP665" s="651"/>
      <c r="BQ665" s="651"/>
      <c r="BR665" s="651"/>
      <c r="BS665" s="651"/>
      <c r="BT665" s="651"/>
    </row>
    <row r="666">
      <c r="A666" s="631"/>
      <c r="B666" s="154"/>
      <c r="C666" s="758"/>
      <c r="D666" s="701"/>
      <c r="E666" s="722"/>
      <c r="F666" s="699"/>
      <c r="G666" s="158"/>
      <c r="H666" s="700"/>
      <c r="I666" s="712"/>
      <c r="J666" s="701"/>
      <c r="K666" s="701"/>
      <c r="L666" s="712"/>
      <c r="M666" s="704"/>
      <c r="N666" s="151" t="str">
        <f t="shared" si="494"/>
        <v/>
      </c>
      <c r="O666" s="712"/>
      <c r="P666" s="700"/>
      <c r="Q666" s="712"/>
      <c r="R666" s="136" t="str">
        <f>IFERROR(
  IF(B666="", "", VLOOKUP(B666, Data!$B$2:$K$905, 9, FALSE)),
  ""
)</f>
        <v/>
      </c>
      <c r="S666" s="691"/>
      <c r="T666" s="690"/>
      <c r="U666" s="136" t="str">
        <f>IFERROR(
  IF(B666="", "", VLOOKUP(B666, Data!$B$2:$K$905, 10, FALSE)),
  ""
)
</f>
        <v/>
      </c>
      <c r="V666" s="691"/>
      <c r="W666" s="713"/>
      <c r="X666" s="692"/>
      <c r="Y666" s="595"/>
      <c r="Z666" s="595"/>
      <c r="AA666" s="595"/>
      <c r="AB666" s="354">
        <f t="shared" si="493"/>
        <v>0</v>
      </c>
      <c r="AC666" s="181"/>
      <c r="AD666" s="625"/>
      <c r="AE666" s="626"/>
      <c r="AF666" s="696"/>
      <c r="AG666" s="697"/>
      <c r="AH666" s="629"/>
      <c r="AI666" s="187"/>
      <c r="AJ666" s="630"/>
      <c r="AK666" s="630"/>
      <c r="AL666" s="595"/>
      <c r="AM666" s="595"/>
      <c r="AN666" s="595"/>
      <c r="AO666" s="595"/>
      <c r="AP666" s="595"/>
      <c r="AQ666" s="595"/>
      <c r="AR666" s="595"/>
      <c r="AS666" s="595"/>
      <c r="AT666" s="595"/>
      <c r="AU666" s="595"/>
      <c r="AV666" s="595"/>
      <c r="AW666" s="595"/>
      <c r="AX666" s="595"/>
      <c r="AY666" s="595"/>
      <c r="AZ666" s="595"/>
      <c r="BA666" s="595"/>
      <c r="BB666" s="595"/>
      <c r="BC666" s="595"/>
      <c r="BD666" s="595"/>
      <c r="BE666" s="595"/>
      <c r="BF666" s="595"/>
      <c r="BG666" s="595"/>
      <c r="BH666" s="595"/>
      <c r="BI666" s="651"/>
      <c r="BJ666" s="651"/>
      <c r="BK666" s="651"/>
      <c r="BL666" s="651"/>
      <c r="BM666" s="651"/>
      <c r="BN666" s="651"/>
      <c r="BO666" s="651"/>
      <c r="BP666" s="651"/>
      <c r="BQ666" s="651"/>
      <c r="BR666" s="651"/>
      <c r="BS666" s="651"/>
      <c r="BT666" s="651"/>
    </row>
    <row r="667">
      <c r="A667" s="631">
        <v>1.0</v>
      </c>
      <c r="B667" s="727"/>
      <c r="C667" s="103" t="s">
        <v>562</v>
      </c>
      <c r="D667" s="678"/>
      <c r="E667" s="676"/>
      <c r="F667" s="677"/>
      <c r="G667" s="157"/>
      <c r="H667" s="678"/>
      <c r="I667" s="679"/>
      <c r="J667" s="678"/>
      <c r="K667" s="678" t="s">
        <v>42</v>
      </c>
      <c r="L667" s="106">
        <f>Q667</f>
        <v>182.6</v>
      </c>
      <c r="M667" s="679" t="s">
        <v>42</v>
      </c>
      <c r="N667" s="680"/>
      <c r="O667" s="679"/>
      <c r="P667" s="678"/>
      <c r="Q667" s="106">
        <f>Q668</f>
        <v>182.6</v>
      </c>
      <c r="R667" s="136" t="str">
        <f>IFERROR(
  IF(B667="", "", VLOOKUP(B667, Data!$B$2:$K$905, 9, FALSE)),
  ""
)</f>
        <v/>
      </c>
      <c r="S667" s="682">
        <f>IFERROR(T667/Q667, 0)</f>
        <v>0</v>
      </c>
      <c r="T667" s="109">
        <f>SUM(S668:S672)</f>
        <v>0</v>
      </c>
      <c r="U667" s="136" t="str">
        <f>IFERROR(
  IF(B667="", "", VLOOKUP(B667, Data!$B$2:$K$905, 10, FALSE)),
  ""
)
</f>
        <v/>
      </c>
      <c r="V667" s="109">
        <f>W667/Q667</f>
        <v>0</v>
      </c>
      <c r="W667" s="110">
        <f>SUM(W668:W672)</f>
        <v>0</v>
      </c>
      <c r="X667" s="111" t="str">
        <f>W667/$AC$758/$W$765/$X$755</f>
        <v>#REF!</v>
      </c>
      <c r="Y667" s="112" t="b">
        <f>(T667+W667)=(SUM(AB668:AB672))</f>
        <v>1</v>
      </c>
      <c r="Z667" s="222">
        <f>(T667+W667)-(SUM(AB668:AB672))</f>
        <v>0</v>
      </c>
      <c r="AA667" s="595"/>
      <c r="AB667" s="595"/>
      <c r="AC667" s="181"/>
      <c r="AD667" s="114">
        <f>W667+T667</f>
        <v>0</v>
      </c>
      <c r="AE667" s="115">
        <f>AD667</f>
        <v>0</v>
      </c>
      <c r="AF667" s="116" t="str">
        <f>AE667/$AE$733</f>
        <v>#REF!</v>
      </c>
      <c r="AG667" s="683" t="str">
        <f>AF667*$AG$740</f>
        <v>#REF!</v>
      </c>
      <c r="AH667" s="118" t="str">
        <f>AF667*$AG$743</f>
        <v>#REF!</v>
      </c>
      <c r="AI667" s="187"/>
      <c r="AJ667" s="119" t="str">
        <f>ROUND(AK667/L667,2)</f>
        <v>#REF!</v>
      </c>
      <c r="AK667" s="119" t="str">
        <f>ROUND(AH667+AG667+AD667,2)</f>
        <v>#REF!</v>
      </c>
      <c r="AL667" s="595"/>
      <c r="AM667" s="595"/>
      <c r="AN667" s="595"/>
      <c r="AO667" s="595"/>
      <c r="AP667" s="595"/>
      <c r="AQ667" s="595"/>
      <c r="AR667" s="595"/>
      <c r="AS667" s="595"/>
      <c r="AT667" s="595"/>
      <c r="AU667" s="595"/>
      <c r="AV667" s="595"/>
      <c r="AW667" s="595"/>
      <c r="AX667" s="595"/>
      <c r="AY667" s="595"/>
      <c r="AZ667" s="595"/>
      <c r="BA667" s="595"/>
      <c r="BB667" s="595"/>
      <c r="BC667" s="595"/>
      <c r="BD667" s="595"/>
      <c r="BE667" s="595"/>
      <c r="BF667" s="595"/>
      <c r="BG667" s="595"/>
      <c r="BH667" s="595"/>
      <c r="BI667" s="651"/>
      <c r="BJ667" s="651"/>
      <c r="BK667" s="651"/>
      <c r="BL667" s="651"/>
      <c r="BM667" s="651"/>
      <c r="BN667" s="651"/>
      <c r="BO667" s="651"/>
      <c r="BP667" s="651"/>
      <c r="BQ667" s="651"/>
      <c r="BR667" s="651"/>
      <c r="BS667" s="651"/>
      <c r="BT667" s="651"/>
    </row>
    <row r="668">
      <c r="A668" s="716" t="s">
        <v>444</v>
      </c>
      <c r="B668" s="154" t="str">
        <f>IFERROR(__xludf.DUMMYFUNCTION("IFERROR(
  IF(C668="""","""",
    IF(OR(REGEXMATCH(D668,""(?i)-Flashing""), REGEXMATCH(D668,""(?i)-EavesGut""), REGEXMATCH(D668,""(?i)Valley"")),
        ""DR"" &amp;
        TEXT(
            ROUNDUP(
                MIN(
                    VALUE(MID(C668, "&amp;"FIND(""("",C668)+1, FIND(""/"",C668)-FIND(""("",C668)-1)),
                    1200
                ) / 50, 0
            ) * 50, ""0""
        ) &amp;
        MID(C668, FIND(""/"",C668)+1, FIND("")"",C668)-FIND(""/"",C668)-1) &amp;
        TEXT(H668*100,""0"") &amp;"&amp;"
        I668,
    IF(AND(D668=""Roof Sheet"", REGEXMATCH(C668,""(?i)KS\d{4}[A-Z]{2}"")),
       REGEXEXTRACT(C668,""(?i)KS\d{4}[A-Z]{2}""),
    IF(AND(REGEXMATCH(D668,""(?i)-DP""), REGEXMATCH(C668,""(?i)Downpipe"")),
       ""dp"" &amp; REGEXEXTRACT(C668,""("&amp;"\d+)"") &amp; ""mm"",
    IF(AND(REGEXMATCH(D668,""(?i)Bracket""), REGEXMATCH(C668,""(?i)Bracket"")),
       ""Brkt"" &amp; REGEXEXTRACT(C668,""(\d+)"") &amp; ""mm"",
    IF(AND(REGEXMATCH(D668,""(?i)-OP""), REGEXMATCH(C668,""(?i)pops"")),
       ""op"" &amp; REGEXEXTRAC"&amp;"T(C668,""(\d+)"") &amp; ""mm"",
    IF(OR(D668=""R-FFTop"", D668=""R-FFBottom"", D668=""R-FFSide""),
        IF(REGEXMATCH(C668,""(?i)Profiled.*Top|Top.*Profiled""),""pfft"",
        IF(REGEXMATCH(C668,""(?i)Profiled.*Bottom|Bottom.*Profiled""),""pffb"",
    "&amp;"    IF(REGEXMATCH(C668,""(?i)Square""),""sff"",""""))),
    IF(REGEXMATCH(D668,""(?i)-Rivets""),""Rvt"",
    IF(REGEXMATCH(D668,""(?i)Silicone""),""300ml"",
    IF(REGEXMATCH(D668,""(?i)R-Butyl""),""300ml"",
    IF(REGEXMATCH(D668,""(?i)Fix""),""GenFix"","&amp;"
    IF(AND(REGEXMATCH(C668,""(?i)Timber""), REGEXMATCH(D668,""(?i)Timber"")),""tp"",
    IF(AND(REGEXMATCH(C668,""(?i)Vent G1275""), REGEXMATCH(D668,""(?i)Comb FIller"")),""CFV1275"",
    IF(REGEXMATCH(C668,""(?i)DPC""),""dpc"",
    IF(REGEXMATCH(C668,"""&amp;"(?i)Concealed Clips""),""ConClips"",
    IF(REGEXMATCH(D668,""(?i)-Takeoff ea""),""Takeoff ea"",
    IF(REGEXMATCH(D668,""(?i)-Takeoff LM""),""Takeoff LM"",
    IF(REGEXMATCH(D668,""(?i)-Takeoff m2""),""Takeoff m2"",
    IF(D668=""R-TU/TD"",""TU/TD"","""""&amp;")))))))))))))))))
  )))"),"DR3003B55Mag")</f>
        <v>DR3003B55Mag</v>
      </c>
      <c r="C668" s="123" t="s">
        <v>563</v>
      </c>
      <c r="D668" s="148" t="s">
        <v>161</v>
      </c>
      <c r="E668" s="687">
        <f>VALUE(MID(C668, FIND("(", C668)+1, FIND("/", C668)-FIND("(", C668)-1)) / 1000</f>
        <v>0.27</v>
      </c>
      <c r="F668" s="688"/>
      <c r="G668" s="689" t="s">
        <v>574</v>
      </c>
      <c r="H668" s="128" t="str">
        <f>IFERROR(__xludf.DUMMYFUNCTION("IFERROR(REGEXEXTRACT(C668, ""(\d*\.\d+)mm""), """")"),"0.55")</f>
        <v>0.55</v>
      </c>
      <c r="I668" s="168" t="s">
        <v>97</v>
      </c>
      <c r="J668" s="126" t="s">
        <v>14</v>
      </c>
      <c r="K668" s="126" t="str">
        <f>IFERROR(
  IF(B668="", "", VLOOKUP(B668, Data!$B$2:$K$905, 7, FALSE)),
  ""
)</f>
        <v/>
      </c>
      <c r="L668" s="704"/>
      <c r="M668" s="730">
        <v>182.6</v>
      </c>
      <c r="N668" s="151">
        <f>IFERROR(__xludf.DUMMYFUNCTION("IF(
  AND(
    IFERROR(REGEXEXTRACT(C668,""@\s*(\d+(?:\.\d+)?)\s*deg""),"""")&lt;&gt;"""",
    F668&lt;&gt;""""
  ),
  ""Pls Confirm °"",
  IF(
    IFERROR(REGEXEXTRACT(C668,""@\s*(\d+(?:\.\d+)?)\s*deg""),"""")&lt;&gt;"""",
    1/COS(RADIANS(REGEXEXTRACT(C668,""@\s*(\d+(?:"&amp;"\.\d+)?)\s*deg""))),
    IF(
      F668&lt;&gt;"""",
      IF(
        ISNUMBER(SEARCH(""|"",F668)),
        1/COS(
          ATAN(
            TAN(RADIANS(VALUE(INDEX(SPLIT(F668,""|""),1)))) *
            TAN(RADIANS(VALUE(INDEX(SPLIT(F668,""|""),2))))
       "&amp;"     /
            SQRT(
              TAN(RADIANS(VALUE(INDEX(SPLIT(F668,""|""),1))))^2 +
              TAN(RADIANS(VALUE(INDEX(SPLIT(F668,""|""),2))))^2
            )
          )
        ),
        1/COS(RADIANS(VALUE(F668)))
      ),
      1
    )
  )
"&amp;")"),1.0)</f>
        <v>1</v>
      </c>
      <c r="O668" s="169">
        <v>1.0</v>
      </c>
      <c r="P668" s="134">
        <v>1.0</v>
      </c>
      <c r="Q668" s="168">
        <f t="shared" ref="Q668:Q671" si="495">M668*N668*O668*P668</f>
        <v>182.6</v>
      </c>
      <c r="R668" s="136" t="str">
        <f>IFERROR(
  IF(B668="", "", VLOOKUP(B668, Data!$B$2:$K$905, 9, FALSE)),
  ""
)</f>
        <v/>
      </c>
      <c r="S668" s="152">
        <f t="shared" ref="S668:S671" si="496">R668*Q668</f>
        <v>0</v>
      </c>
      <c r="T668" s="690"/>
      <c r="U668" s="136" t="str">
        <f>IFERROR(
  IF(B668="", "", VLOOKUP(B668, Data!$B$2:$K$905, 10, FALSE)),
  ""
)
</f>
        <v/>
      </c>
      <c r="V668" s="691"/>
      <c r="W668" s="140">
        <f t="shared" ref="W668:W671" si="497">U668*Q668</f>
        <v>0</v>
      </c>
      <c r="X668" s="692"/>
      <c r="Y668" s="693"/>
      <c r="Z668" s="731"/>
      <c r="AA668" s="595"/>
      <c r="AB668" s="354">
        <f t="shared" ref="AB668:AB672" si="498">W668+S668</f>
        <v>0</v>
      </c>
      <c r="AC668" s="181"/>
      <c r="AD668" s="625"/>
      <c r="AE668" s="626"/>
      <c r="AF668" s="696"/>
      <c r="AG668" s="697"/>
      <c r="AH668" s="629"/>
      <c r="AI668" s="187"/>
      <c r="AJ668" s="630"/>
      <c r="AK668" s="630"/>
      <c r="AL668" s="595"/>
      <c r="AM668" s="595"/>
      <c r="AN668" s="595"/>
      <c r="AO668" s="595"/>
      <c r="AP668" s="595"/>
      <c r="AQ668" s="595"/>
      <c r="AR668" s="595"/>
      <c r="AS668" s="595"/>
      <c r="AT668" s="595"/>
      <c r="AU668" s="595"/>
      <c r="AV668" s="595"/>
      <c r="AW668" s="595"/>
      <c r="AX668" s="595"/>
      <c r="AY668" s="595"/>
      <c r="AZ668" s="595"/>
      <c r="BA668" s="595"/>
      <c r="BB668" s="595"/>
      <c r="BC668" s="595"/>
      <c r="BD668" s="595"/>
      <c r="BE668" s="595"/>
      <c r="BF668" s="595"/>
      <c r="BG668" s="595"/>
      <c r="BH668" s="595"/>
      <c r="BI668" s="651"/>
      <c r="BJ668" s="651"/>
      <c r="BK668" s="651"/>
      <c r="BL668" s="651"/>
      <c r="BM668" s="651"/>
      <c r="BN668" s="651"/>
      <c r="BO668" s="651"/>
      <c r="BP668" s="651"/>
      <c r="BQ668" s="651"/>
      <c r="BR668" s="651"/>
      <c r="BS668" s="651"/>
      <c r="BT668" s="651"/>
    </row>
    <row r="669">
      <c r="A669" s="631"/>
      <c r="B669" s="154" t="str">
        <f>IFERROR(__xludf.DUMMYFUNCTION("IFERROR(
  IF(C669="""","""",
    IF(OR(REGEXMATCH(D669,""(?i)-Flashing""), REGEXMATCH(D669,""(?i)-EavesGut""), REGEXMATCH(D669,""(?i)Valley"")),
        ""DR"" &amp;
        TEXT(
            ROUNDUP(
                MIN(
                    VALUE(MID(C669, "&amp;"FIND(""("",C669)+1, FIND(""/"",C669)-FIND(""("",C669)-1)),
                    1200
                ) / 50, 0
            ) * 50, ""0""
        ) &amp;
        MID(C669, FIND(""/"",C669)+1, FIND("")"",C669)-FIND(""/"",C669)-1) &amp;
        TEXT(H669*100,""0"") &amp;"&amp;"
        I669,
    IF(AND(D669=""Roof Sheet"", REGEXMATCH(C669,""(?i)KS\d{4}[A-Z]{2}"")),
       REGEXEXTRACT(C669,""(?i)KS\d{4}[A-Z]{2}""),
    IF(AND(REGEXMATCH(D669,""(?i)-DP""), REGEXMATCH(C669,""(?i)Downpipe"")),
       ""dp"" &amp; REGEXEXTRACT(C669,""("&amp;"\d+)"") &amp; ""mm"",
    IF(AND(REGEXMATCH(D669,""(?i)Bracket""), REGEXMATCH(C669,""(?i)Bracket"")),
       ""Brkt"" &amp; REGEXEXTRACT(C669,""(\d+)"") &amp; ""mm"",
    IF(AND(REGEXMATCH(D669,""(?i)-OP""), REGEXMATCH(C669,""(?i)pops"")),
       ""op"" &amp; REGEXEXTRAC"&amp;"T(C669,""(\d+)"") &amp; ""mm"",
    IF(OR(D669=""R-FFTop"", D669=""R-FFBottom"", D669=""R-FFSide""),
        IF(REGEXMATCH(C669,""(?i)Profiled.*Top|Top.*Profiled""),""pfft"",
        IF(REGEXMATCH(C669,""(?i)Profiled.*Bottom|Bottom.*Profiled""),""pffb"",
    "&amp;"    IF(REGEXMATCH(C669,""(?i)Square""),""sff"",""""))),
    IF(REGEXMATCH(D669,""(?i)-Rivets""),""Rvt"",
    IF(REGEXMATCH(D669,""(?i)Silicone""),""300ml"",
    IF(REGEXMATCH(D669,""(?i)R-Butyl""),""300ml"",
    IF(REGEXMATCH(D669,""(?i)Fix""),""GenFix"","&amp;"
    IF(AND(REGEXMATCH(C669,""(?i)Timber""), REGEXMATCH(D669,""(?i)Timber"")),""tp"",
    IF(AND(REGEXMATCH(C669,""(?i)Vent G1275""), REGEXMATCH(D669,""(?i)Comb FIller"")),""CFV1275"",
    IF(REGEXMATCH(C669,""(?i)DPC""),""dpc"",
    IF(REGEXMATCH(C669,"""&amp;"(?i)Concealed Clips""),""ConClips"",
    IF(REGEXMATCH(D669,""(?i)-Takeoff ea""),""Takeoff ea"",
    IF(REGEXMATCH(D669,""(?i)-Takeoff LM""),""Takeoff LM"",
    IF(REGEXMATCH(D669,""(?i)-Takeoff m2""),""Takeoff m2"",
    IF(D669=""R-TU/TD"",""TU/TD"","""""&amp;")))))))))))))))))
  )))"),"300ml")</f>
        <v>300ml</v>
      </c>
      <c r="C669" s="734" t="s">
        <v>98</v>
      </c>
      <c r="D669" s="148" t="s">
        <v>162</v>
      </c>
      <c r="E669" s="687">
        <f>E668</f>
        <v>0.27</v>
      </c>
      <c r="F669" s="699"/>
      <c r="G669" s="225"/>
      <c r="H669" s="700" t="str">
        <f>IFERROR(__xludf.DUMMYFUNCTION("IFERROR(REGEXEXTRACT(C669, ""(\d*\.\d+)mm""), """")"),"")</f>
        <v/>
      </c>
      <c r="I669" s="712"/>
      <c r="J669" s="126" t="s">
        <v>87</v>
      </c>
      <c r="K669" s="126" t="str">
        <f>IFERROR(
  IF(B669="", "", VLOOKUP(B669, Data!$B$2:$K$905, 7, FALSE)),
  ""
)</f>
        <v/>
      </c>
      <c r="L669" s="704"/>
      <c r="M669" s="150">
        <f>(ROUNDDOWN((M668/5.7)+2,0)*E669)/8</f>
        <v>1.1475</v>
      </c>
      <c r="N669" s="151">
        <f t="shared" ref="N669:N672" si="499">if(B669="","",(if(N668="",N667,N668)))</f>
        <v>1</v>
      </c>
      <c r="O669" s="169">
        <v>1.0</v>
      </c>
      <c r="P669" s="134">
        <v>1.0</v>
      </c>
      <c r="Q669" s="168">
        <f t="shared" si="495"/>
        <v>1.1475</v>
      </c>
      <c r="R669" s="136" t="str">
        <f>IFERROR(
  IF(B669="", "", VLOOKUP(B669, Data!$B$2:$K$905, 9, FALSE)),
  ""
)</f>
        <v/>
      </c>
      <c r="S669" s="152">
        <f t="shared" si="496"/>
        <v>0</v>
      </c>
      <c r="T669" s="690"/>
      <c r="U669" s="136" t="str">
        <f>IFERROR(
  IF(B669="", "", VLOOKUP(B669, Data!$B$2:$K$905, 10, FALSE)),
  ""
)
</f>
        <v/>
      </c>
      <c r="V669" s="691"/>
      <c r="W669" s="140">
        <f t="shared" si="497"/>
        <v>0</v>
      </c>
      <c r="X669" s="692"/>
      <c r="Y669" s="595"/>
      <c r="Z669" s="595"/>
      <c r="AA669" s="595"/>
      <c r="AB669" s="354">
        <f t="shared" si="498"/>
        <v>0</v>
      </c>
      <c r="AC669" s="181"/>
      <c r="AD669" s="625"/>
      <c r="AE669" s="626"/>
      <c r="AF669" s="696"/>
      <c r="AG669" s="697"/>
      <c r="AH669" s="629"/>
      <c r="AI669" s="187"/>
      <c r="AJ669" s="630"/>
      <c r="AK669" s="630"/>
      <c r="AL669" s="595"/>
      <c r="AM669" s="595"/>
      <c r="AN669" s="595"/>
      <c r="AO669" s="595"/>
      <c r="AP669" s="595"/>
      <c r="AQ669" s="595"/>
      <c r="AR669" s="595"/>
      <c r="AS669" s="595"/>
      <c r="AT669" s="595"/>
      <c r="AU669" s="595"/>
      <c r="AV669" s="595"/>
      <c r="AW669" s="595"/>
      <c r="AX669" s="595"/>
      <c r="AY669" s="595"/>
      <c r="AZ669" s="595"/>
      <c r="BA669" s="595"/>
      <c r="BB669" s="595"/>
      <c r="BC669" s="595"/>
      <c r="BD669" s="595"/>
      <c r="BE669" s="595"/>
      <c r="BF669" s="595"/>
      <c r="BG669" s="595"/>
      <c r="BH669" s="595"/>
      <c r="BI669" s="651"/>
      <c r="BJ669" s="651"/>
      <c r="BK669" s="651"/>
      <c r="BL669" s="651"/>
      <c r="BM669" s="651"/>
      <c r="BN669" s="651"/>
      <c r="BO669" s="651"/>
      <c r="BP669" s="651"/>
      <c r="BQ669" s="651"/>
      <c r="BR669" s="651"/>
      <c r="BS669" s="651"/>
      <c r="BT669" s="651"/>
    </row>
    <row r="670">
      <c r="A670" s="631"/>
      <c r="B670" s="154" t="str">
        <f>IFERROR(__xludf.DUMMYFUNCTION("IFERROR(
  IF(C670="""","""",
    IF(OR(REGEXMATCH(D670,""(?i)-Flashing""), REGEXMATCH(D670,""(?i)-EavesGut""), REGEXMATCH(D670,""(?i)Valley"")),
        ""DR"" &amp;
        TEXT(
            ROUNDUP(
                MIN(
                    VALUE(MID(C670, "&amp;"FIND(""("",C670)+1, FIND(""/"",C670)-FIND(""("",C670)-1)),
                    1200
                ) / 50, 0
            ) * 50, ""0""
        ) &amp;
        MID(C670, FIND(""/"",C670)+1, FIND("")"",C670)-FIND(""/"",C670)-1) &amp;
        TEXT(H670*100,""0"") &amp;"&amp;"
        I670,
    IF(AND(D670=""Roof Sheet"", REGEXMATCH(C670,""(?i)KS\d{4}[A-Z]{2}"")),
       REGEXEXTRACT(C670,""(?i)KS\d{4}[A-Z]{2}""),
    IF(AND(REGEXMATCH(D670,""(?i)-DP""), REGEXMATCH(C670,""(?i)Downpipe"")),
       ""dp"" &amp; REGEXEXTRACT(C670,""("&amp;"\d+)"") &amp; ""mm"",
    IF(AND(REGEXMATCH(D670,""(?i)Bracket""), REGEXMATCH(C670,""(?i)Bracket"")),
       ""Brkt"" &amp; REGEXEXTRACT(C670,""(\d+)"") &amp; ""mm"",
    IF(AND(REGEXMATCH(D670,""(?i)-OP""), REGEXMATCH(C670,""(?i)pops"")),
       ""op"" &amp; REGEXEXTRAC"&amp;"T(C670,""(\d+)"") &amp; ""mm"",
    IF(OR(D670=""R-FFTop"", D670=""R-FFBottom"", D670=""R-FFSide""),
        IF(REGEXMATCH(C670,""(?i)Profiled.*Top|Top.*Profiled""),""pfft"",
        IF(REGEXMATCH(C670,""(?i)Profiled.*Bottom|Bottom.*Profiled""),""pffb"",
    "&amp;"    IF(REGEXMATCH(C670,""(?i)Square""),""sff"",""""))),
    IF(REGEXMATCH(D670,""(?i)-Rivets""),""Rvt"",
    IF(REGEXMATCH(D670,""(?i)Silicone""),""300ml"",
    IF(REGEXMATCH(D670,""(?i)R-Butyl""),""300ml"",
    IF(REGEXMATCH(D670,""(?i)Fix""),""GenFix"","&amp;"
    IF(AND(REGEXMATCH(C670,""(?i)Timber""), REGEXMATCH(D670,""(?i)Timber"")),""tp"",
    IF(AND(REGEXMATCH(C670,""(?i)Vent G1275""), REGEXMATCH(D670,""(?i)Comb FIller"")),""CFV1275"",
    IF(REGEXMATCH(C670,""(?i)DPC""),""dpc"",
    IF(REGEXMATCH(C670,"""&amp;"(?i)Concealed Clips""),""ConClips"",
    IF(REGEXMATCH(D670,""(?i)-Takeoff ea""),""Takeoff ea"",
    IF(REGEXMATCH(D670,""(?i)-Takeoff LM""),""Takeoff LM"",
    IF(REGEXMATCH(D670,""(?i)-Takeoff m2""),""Takeoff m2"",
    IF(D670=""R-TU/TD"",""TU/TD"","""""&amp;")))))))))))))))))
  )))"),"Rvt")</f>
        <v>Rvt</v>
      </c>
      <c r="C670" s="734" t="s">
        <v>100</v>
      </c>
      <c r="D670" s="148" t="s">
        <v>163</v>
      </c>
      <c r="E670" s="687">
        <f>E668</f>
        <v>0.27</v>
      </c>
      <c r="F670" s="699"/>
      <c r="G670" s="225"/>
      <c r="H670" s="700" t="str">
        <f>IFERROR(__xludf.DUMMYFUNCTION("IFERROR(REGEXEXTRACT(C670, ""(\d*\.\d+)mm""), """")"),"")</f>
        <v/>
      </c>
      <c r="I670" s="712"/>
      <c r="J670" s="126" t="s">
        <v>87</v>
      </c>
      <c r="K670" s="126" t="str">
        <f>IFERROR(
  IF(B670="", "", VLOOKUP(B670, Data!$B$2:$K$905, 7, FALSE)),
  ""
)</f>
        <v/>
      </c>
      <c r="L670" s="704"/>
      <c r="M670" s="150">
        <f>ROUNDUP(((M668/5.7)+1)*(E670/0.05),0)</f>
        <v>179</v>
      </c>
      <c r="N670" s="151">
        <f t="shared" si="499"/>
        <v>1</v>
      </c>
      <c r="O670" s="169">
        <v>1.0</v>
      </c>
      <c r="P670" s="134">
        <v>1.0</v>
      </c>
      <c r="Q670" s="168">
        <f t="shared" si="495"/>
        <v>179</v>
      </c>
      <c r="R670" s="136" t="str">
        <f>IFERROR(
  IF(B670="", "", VLOOKUP(B670, Data!$B$2:$K$905, 9, FALSE)),
  ""
)</f>
        <v/>
      </c>
      <c r="S670" s="152">
        <f t="shared" si="496"/>
        <v>0</v>
      </c>
      <c r="T670" s="690"/>
      <c r="U670" s="136" t="str">
        <f>IFERROR(
  IF(B670="", "", VLOOKUP(B670, Data!$B$2:$K$905, 10, FALSE)),
  ""
)
</f>
        <v/>
      </c>
      <c r="V670" s="691"/>
      <c r="W670" s="140">
        <f t="shared" si="497"/>
        <v>0</v>
      </c>
      <c r="X670" s="692"/>
      <c r="Y670" s="595"/>
      <c r="Z670" s="595"/>
      <c r="AA670" s="595"/>
      <c r="AB670" s="354">
        <f t="shared" si="498"/>
        <v>0</v>
      </c>
      <c r="AC670" s="181"/>
      <c r="AD670" s="625"/>
      <c r="AE670" s="626"/>
      <c r="AF670" s="696"/>
      <c r="AG670" s="697"/>
      <c r="AH670" s="629"/>
      <c r="AI670" s="187"/>
      <c r="AJ670" s="630"/>
      <c r="AK670" s="630"/>
      <c r="AL670" s="595"/>
      <c r="AM670" s="595"/>
      <c r="AN670" s="595"/>
      <c r="AO670" s="595"/>
      <c r="AP670" s="595"/>
      <c r="AQ670" s="595"/>
      <c r="AR670" s="595"/>
      <c r="AS670" s="595"/>
      <c r="AT670" s="595"/>
      <c r="AU670" s="595"/>
      <c r="AV670" s="595"/>
      <c r="AW670" s="595"/>
      <c r="AX670" s="595"/>
      <c r="AY670" s="595"/>
      <c r="AZ670" s="595"/>
      <c r="BA670" s="595"/>
      <c r="BB670" s="595"/>
      <c r="BC670" s="595"/>
      <c r="BD670" s="595"/>
      <c r="BE670" s="595"/>
      <c r="BF670" s="595"/>
      <c r="BG670" s="595"/>
      <c r="BH670" s="595"/>
      <c r="BI670" s="651"/>
      <c r="BJ670" s="651"/>
      <c r="BK670" s="651"/>
      <c r="BL670" s="651"/>
      <c r="BM670" s="651"/>
      <c r="BN670" s="651"/>
      <c r="BO670" s="651"/>
      <c r="BP670" s="651"/>
      <c r="BQ670" s="651"/>
      <c r="BR670" s="651"/>
      <c r="BS670" s="651"/>
      <c r="BT670" s="651"/>
    </row>
    <row r="671">
      <c r="A671" s="631"/>
      <c r="B671" s="154" t="str">
        <f>IFERROR(__xludf.DUMMYFUNCTION("IFERROR(
  IF(C671="""","""",
    IF(OR(REGEXMATCH(D671,""(?i)-Flashing""), REGEXMATCH(D671,""(?i)-EavesGut""), REGEXMATCH(D671,""(?i)Valley"")),
        ""DR"" &amp;
        TEXT(
            ROUNDUP(
                MIN(
                    VALUE(MID(C671, "&amp;"FIND(""("",C671)+1, FIND(""/"",C671)-FIND(""("",C671)-1)),
                    1200
                ) / 50, 0
            ) * 50, ""0""
        ) &amp;
        MID(C671, FIND(""/"",C671)+1, FIND("")"",C671)-FIND(""/"",C671)-1) &amp;
        TEXT(H671*100,""0"") &amp;"&amp;"
        I671,
    IF(AND(D671=""Roof Sheet"", REGEXMATCH(C671,""(?i)KS\d{4}[A-Z]{2}"")),
       REGEXEXTRACT(C671,""(?i)KS\d{4}[A-Z]{2}""),
    IF(AND(REGEXMATCH(D671,""(?i)-DP""), REGEXMATCH(C671,""(?i)Downpipe"")),
       ""dp"" &amp; REGEXEXTRACT(C671,""("&amp;"\d+)"") &amp; ""mm"",
    IF(AND(REGEXMATCH(D671,""(?i)Bracket""), REGEXMATCH(C671,""(?i)Bracket"")),
       ""Brkt"" &amp; REGEXEXTRACT(C671,""(\d+)"") &amp; ""mm"",
    IF(AND(REGEXMATCH(D671,""(?i)-OP""), REGEXMATCH(C671,""(?i)pops"")),
       ""op"" &amp; REGEXEXTRAC"&amp;"T(C671,""(\d+)"") &amp; ""mm"",
    IF(OR(D671=""R-FFTop"", D671=""R-FFBottom"", D671=""R-FFSide""),
        IF(REGEXMATCH(C671,""(?i)Profiled.*Top|Top.*Profiled""),""pfft"",
        IF(REGEXMATCH(C671,""(?i)Profiled.*Bottom|Bottom.*Profiled""),""pffb"",
    "&amp;"    IF(REGEXMATCH(C671,""(?i)Square""),""sff"",""""))),
    IF(REGEXMATCH(D671,""(?i)-Rivets""),""Rvt"",
    IF(REGEXMATCH(D671,""(?i)Silicone""),""300ml"",
    IF(REGEXMATCH(D671,""(?i)R-Butyl""),""300ml"",
    IF(REGEXMATCH(D671,""(?i)Fix""),""GenFix"","&amp;"
    IF(AND(REGEXMATCH(C671,""(?i)Timber""), REGEXMATCH(D671,""(?i)Timber"")),""tp"",
    IF(AND(REGEXMATCH(C671,""(?i)Vent G1275""), REGEXMATCH(D671,""(?i)Comb FIller"")),""CFV1275"",
    IF(REGEXMATCH(C671,""(?i)DPC""),""dpc"",
    IF(REGEXMATCH(C671,"""&amp;"(?i)Concealed Clips""),""ConClips"",
    IF(REGEXMATCH(D671,""(?i)-Takeoff ea""),""Takeoff ea"",
    IF(REGEXMATCH(D671,""(?i)-Takeoff LM""),""Takeoff LM"",
    IF(REGEXMATCH(D671,""(?i)-Takeoff m2""),""Takeoff m2"",
    IF(D671=""R-TU/TD"",""TU/TD"","""""&amp;")))))))))))))))))
  )))"),"GenFix")</f>
        <v>GenFix</v>
      </c>
      <c r="C671" s="698" t="s">
        <v>102</v>
      </c>
      <c r="D671" s="148" t="s">
        <v>164</v>
      </c>
      <c r="E671" s="722"/>
      <c r="F671" s="699"/>
      <c r="G671" s="158"/>
      <c r="H671" s="700"/>
      <c r="I671" s="712"/>
      <c r="J671" s="126" t="s">
        <v>87</v>
      </c>
      <c r="K671" s="126" t="str">
        <f>IFERROR(
  IF(B671="", "", VLOOKUP(B671, Data!$B$2:$K$905, 7, FALSE)),
  ""
)</f>
        <v/>
      </c>
      <c r="L671" s="712"/>
      <c r="M671" s="150">
        <f>ROUNDUP(M668/0.6,0)+1</f>
        <v>306</v>
      </c>
      <c r="N671" s="151">
        <f t="shared" si="499"/>
        <v>1</v>
      </c>
      <c r="O671" s="169">
        <v>1.0</v>
      </c>
      <c r="P671" s="156">
        <v>1.0</v>
      </c>
      <c r="Q671" s="168">
        <f t="shared" si="495"/>
        <v>306</v>
      </c>
      <c r="R671" s="136" t="str">
        <f>IFERROR(
  IF(B671="", "", VLOOKUP(B671, Data!$B$2:$K$905, 9, FALSE)),
  ""
)</f>
        <v/>
      </c>
      <c r="S671" s="152">
        <f t="shared" si="496"/>
        <v>0</v>
      </c>
      <c r="T671" s="690"/>
      <c r="U671" s="136" t="str">
        <f>IFERROR(
  IF(B671="", "", VLOOKUP(B671, Data!$B$2:$K$905, 10, FALSE)),
  ""
)
</f>
        <v/>
      </c>
      <c r="V671" s="691"/>
      <c r="W671" s="140">
        <f t="shared" si="497"/>
        <v>0</v>
      </c>
      <c r="X671" s="692"/>
      <c r="Y671" s="595"/>
      <c r="Z671" s="595"/>
      <c r="AA671" s="595"/>
      <c r="AB671" s="354">
        <f t="shared" si="498"/>
        <v>0</v>
      </c>
      <c r="AC671" s="181"/>
      <c r="AD671" s="625"/>
      <c r="AE671" s="626"/>
      <c r="AF671" s="696"/>
      <c r="AG671" s="697"/>
      <c r="AH671" s="629"/>
      <c r="AI671" s="187"/>
      <c r="AJ671" s="630"/>
      <c r="AK671" s="630"/>
      <c r="AL671" s="595"/>
      <c r="AM671" s="595"/>
      <c r="AN671" s="595"/>
      <c r="AO671" s="595"/>
      <c r="AP671" s="595"/>
      <c r="AQ671" s="595"/>
      <c r="AR671" s="595"/>
      <c r="AS671" s="595"/>
      <c r="AT671" s="595"/>
      <c r="AU671" s="595"/>
      <c r="AV671" s="595"/>
      <c r="AW671" s="595"/>
      <c r="AX671" s="595"/>
      <c r="AY671" s="595"/>
      <c r="AZ671" s="595"/>
      <c r="BA671" s="595"/>
      <c r="BB671" s="595"/>
      <c r="BC671" s="595"/>
      <c r="BD671" s="595"/>
      <c r="BE671" s="595"/>
      <c r="BF671" s="595"/>
      <c r="BG671" s="595"/>
      <c r="BH671" s="595"/>
      <c r="BI671" s="651"/>
      <c r="BJ671" s="651"/>
      <c r="BK671" s="651"/>
      <c r="BL671" s="651"/>
      <c r="BM671" s="651"/>
      <c r="BN671" s="651"/>
      <c r="BO671" s="651"/>
      <c r="BP671" s="651"/>
      <c r="BQ671" s="651"/>
      <c r="BR671" s="651"/>
      <c r="BS671" s="651"/>
      <c r="BT671" s="651"/>
    </row>
    <row r="672">
      <c r="A672" s="631"/>
      <c r="B672" s="154"/>
      <c r="C672" s="758"/>
      <c r="D672" s="701"/>
      <c r="E672" s="722"/>
      <c r="F672" s="699"/>
      <c r="G672" s="158"/>
      <c r="H672" s="700"/>
      <c r="I672" s="712"/>
      <c r="J672" s="701"/>
      <c r="K672" s="701"/>
      <c r="L672" s="712"/>
      <c r="M672" s="704"/>
      <c r="N672" s="151" t="str">
        <f t="shared" si="499"/>
        <v/>
      </c>
      <c r="O672" s="712"/>
      <c r="P672" s="700"/>
      <c r="Q672" s="712"/>
      <c r="R672" s="136" t="str">
        <f>IFERROR(
  IF(B672="", "", VLOOKUP(B672, Data!$B$2:$K$905, 9, FALSE)),
  ""
)</f>
        <v/>
      </c>
      <c r="S672" s="691"/>
      <c r="T672" s="690"/>
      <c r="U672" s="136" t="str">
        <f>IFERROR(
  IF(B672="", "", VLOOKUP(B672, Data!$B$2:$K$905, 10, FALSE)),
  ""
)
</f>
        <v/>
      </c>
      <c r="V672" s="691"/>
      <c r="W672" s="713"/>
      <c r="X672" s="692"/>
      <c r="Y672" s="595"/>
      <c r="Z672" s="595"/>
      <c r="AA672" s="595"/>
      <c r="AB672" s="354">
        <f t="shared" si="498"/>
        <v>0</v>
      </c>
      <c r="AC672" s="181"/>
      <c r="AD672" s="625"/>
      <c r="AE672" s="626"/>
      <c r="AF672" s="696"/>
      <c r="AG672" s="697"/>
      <c r="AH672" s="629"/>
      <c r="AI672" s="187"/>
      <c r="AJ672" s="630"/>
      <c r="AK672" s="630"/>
      <c r="AL672" s="595"/>
      <c r="AM672" s="595"/>
      <c r="AN672" s="595"/>
      <c r="AO672" s="595"/>
      <c r="AP672" s="595"/>
      <c r="AQ672" s="595"/>
      <c r="AR672" s="595"/>
      <c r="AS672" s="595"/>
      <c r="AT672" s="595"/>
      <c r="AU672" s="595"/>
      <c r="AV672" s="595"/>
      <c r="AW672" s="595"/>
      <c r="AX672" s="595"/>
      <c r="AY672" s="595"/>
      <c r="AZ672" s="595"/>
      <c r="BA672" s="595"/>
      <c r="BB672" s="595"/>
      <c r="BC672" s="595"/>
      <c r="BD672" s="595"/>
      <c r="BE672" s="595"/>
      <c r="BF672" s="595"/>
      <c r="BG672" s="595"/>
      <c r="BH672" s="595"/>
      <c r="BI672" s="651"/>
      <c r="BJ672" s="651"/>
      <c r="BK672" s="651"/>
      <c r="BL672" s="651"/>
      <c r="BM672" s="651"/>
      <c r="BN672" s="651"/>
      <c r="BO672" s="651"/>
      <c r="BP672" s="651"/>
      <c r="BQ672" s="651"/>
      <c r="BR672" s="651"/>
      <c r="BS672" s="651"/>
      <c r="BT672" s="651"/>
    </row>
    <row r="673">
      <c r="A673" s="631">
        <v>1.0</v>
      </c>
      <c r="B673" s="761" t="s">
        <v>423</v>
      </c>
      <c r="C673" s="251" t="s">
        <v>578</v>
      </c>
      <c r="D673" s="633"/>
      <c r="E673" s="634"/>
      <c r="F673" s="635"/>
      <c r="G673" s="633"/>
      <c r="H673" s="633"/>
      <c r="I673" s="637"/>
      <c r="J673" s="633"/>
      <c r="K673" s="633"/>
      <c r="L673" s="637"/>
      <c r="M673" s="637"/>
      <c r="N673" s="639"/>
      <c r="O673" s="637"/>
      <c r="P673" s="633"/>
      <c r="Q673" s="640"/>
      <c r="R673" s="681" t="str">
        <f>IFERROR(
  IF(B673="", "", VLOOKUP(B673, Data!$B$2:$K$905, 9, FALSE)),
  ""
)</f>
        <v/>
      </c>
      <c r="S673" s="642"/>
      <c r="T673" s="640"/>
      <c r="U673" s="681" t="str">
        <f>IFERROR(
  IF(B673="", "", VLOOKUP(B673, Data!$B$2:$K$905, 10, FALSE)),
  ""
)
</f>
        <v/>
      </c>
      <c r="V673" s="642"/>
      <c r="W673" s="643"/>
      <c r="X673" s="762"/>
      <c r="Y673" s="649"/>
      <c r="Z673" s="649"/>
      <c r="AA673" s="649"/>
      <c r="AB673" s="649"/>
      <c r="AC673" s="602"/>
      <c r="AD673" s="644"/>
      <c r="AE673" s="645"/>
      <c r="AF673" s="646"/>
      <c r="AG673" s="763"/>
      <c r="AH673" s="648"/>
      <c r="AI673" s="649"/>
      <c r="AJ673" s="650"/>
      <c r="AK673" s="650"/>
      <c r="AL673" s="595"/>
      <c r="AM673" s="595"/>
      <c r="AN673" s="595"/>
      <c r="AO673" s="595"/>
      <c r="AP673" s="595"/>
      <c r="AQ673" s="595"/>
      <c r="AR673" s="595"/>
      <c r="AS673" s="595"/>
      <c r="AT673" s="595"/>
      <c r="AU673" s="595"/>
      <c r="AV673" s="595"/>
      <c r="AW673" s="595"/>
      <c r="AX673" s="595"/>
      <c r="AY673" s="595"/>
      <c r="AZ673" s="595"/>
      <c r="BA673" s="595"/>
      <c r="BB673" s="595"/>
      <c r="BC673" s="595"/>
      <c r="BD673" s="595"/>
      <c r="BE673" s="595"/>
      <c r="BF673" s="595"/>
      <c r="BG673" s="595"/>
      <c r="BH673" s="595"/>
      <c r="BI673" s="651"/>
      <c r="BJ673" s="651"/>
      <c r="BK673" s="651"/>
      <c r="BL673" s="651"/>
      <c r="BM673" s="651"/>
      <c r="BN673" s="651"/>
      <c r="BO673" s="651"/>
      <c r="BP673" s="651"/>
      <c r="BQ673" s="651"/>
      <c r="BR673" s="651"/>
      <c r="BS673" s="651"/>
      <c r="BT673" s="651"/>
    </row>
    <row r="674">
      <c r="A674" s="631">
        <v>1.0</v>
      </c>
      <c r="B674" s="764" t="s">
        <v>425</v>
      </c>
      <c r="C674" s="780" t="s">
        <v>543</v>
      </c>
      <c r="D674" s="656"/>
      <c r="E674" s="654"/>
      <c r="F674" s="655"/>
      <c r="G674" s="656"/>
      <c r="H674" s="656"/>
      <c r="I674" s="658"/>
      <c r="J674" s="656"/>
      <c r="K674" s="656"/>
      <c r="L674" s="658"/>
      <c r="M674" s="658"/>
      <c r="N674" s="659"/>
      <c r="O674" s="658"/>
      <c r="P674" s="656"/>
      <c r="Q674" s="658"/>
      <c r="R674" s="681" t="str">
        <f>IFERROR(
  IF(B674="", "", VLOOKUP(B674, Data!$B$2:$K$905, 9, FALSE)),
  ""
)</f>
        <v/>
      </c>
      <c r="S674" s="662"/>
      <c r="T674" s="661"/>
      <c r="U674" s="681" t="str">
        <f>IFERROR(
  IF(B674="", "", VLOOKUP(B674, Data!$B$2:$K$905, 10, FALSE)),
  ""
)
</f>
        <v/>
      </c>
      <c r="V674" s="662"/>
      <c r="W674" s="663"/>
      <c r="X674" s="664"/>
      <c r="Y674" s="665"/>
      <c r="Z674" s="665"/>
      <c r="AA674" s="665"/>
      <c r="AB674" s="665"/>
      <c r="AC674" s="667"/>
      <c r="AD674" s="668"/>
      <c r="AE674" s="669"/>
      <c r="AF674" s="670"/>
      <c r="AG674" s="715"/>
      <c r="AH674" s="672"/>
      <c r="AI674" s="665"/>
      <c r="AJ674" s="673"/>
      <c r="AK674" s="673"/>
      <c r="AL674" s="595"/>
      <c r="AM674" s="595"/>
      <c r="AN674" s="595"/>
      <c r="AO674" s="595"/>
      <c r="AP674" s="595"/>
      <c r="AQ674" s="595"/>
      <c r="AR674" s="595"/>
      <c r="AS674" s="595"/>
      <c r="AT674" s="595"/>
      <c r="AU674" s="595"/>
      <c r="AV674" s="595"/>
      <c r="AW674" s="595"/>
      <c r="AX674" s="595"/>
      <c r="AY674" s="595"/>
      <c r="AZ674" s="595"/>
      <c r="BA674" s="595"/>
      <c r="BB674" s="595"/>
      <c r="BC674" s="595"/>
      <c r="BD674" s="595"/>
      <c r="BE674" s="595"/>
      <c r="BF674" s="595"/>
      <c r="BG674" s="595"/>
      <c r="BH674" s="595"/>
      <c r="BI674" s="651"/>
      <c r="BJ674" s="651"/>
      <c r="BK674" s="651"/>
      <c r="BL674" s="651"/>
      <c r="BM674" s="651"/>
      <c r="BN674" s="651"/>
      <c r="BO674" s="651"/>
      <c r="BP674" s="651"/>
      <c r="BQ674" s="651"/>
      <c r="BR674" s="651"/>
      <c r="BS674" s="651"/>
      <c r="BT674" s="651"/>
    </row>
    <row r="675">
      <c r="A675" s="631">
        <v>1.0</v>
      </c>
      <c r="B675" s="727"/>
      <c r="C675" s="769" t="s">
        <v>572</v>
      </c>
      <c r="D675" s="675"/>
      <c r="E675" s="676"/>
      <c r="F675" s="677"/>
      <c r="G675" s="678"/>
      <c r="H675" s="678"/>
      <c r="I675" s="679"/>
      <c r="J675" s="678"/>
      <c r="K675" s="678"/>
      <c r="L675" s="106" t="str">
        <f>Q675</f>
        <v>#REF!</v>
      </c>
      <c r="M675" s="679"/>
      <c r="N675" s="680"/>
      <c r="O675" s="679"/>
      <c r="P675" s="678"/>
      <c r="Q675" s="106" t="str">
        <f>Q676</f>
        <v>#REF!</v>
      </c>
      <c r="R675" s="681" t="str">
        <f>IFERROR(
  IF(B675="", "", VLOOKUP(B675, Data!$B$2:$K$905, 9, FALSE)),
  ""
)</f>
        <v/>
      </c>
      <c r="S675" s="682">
        <f>IFERROR(T675/Q675, 0)</f>
        <v>0</v>
      </c>
      <c r="T675" s="109" t="str">
        <f>SUM(S676:S681)</f>
        <v>#REF!</v>
      </c>
      <c r="U675" s="681" t="str">
        <f>IFERROR(
  IF(B675="", "", VLOOKUP(B675, Data!$B$2:$K$905, 10, FALSE)),
  ""
)
</f>
        <v/>
      </c>
      <c r="V675" s="109" t="str">
        <f>iferror(W675/Q675,"")</f>
        <v/>
      </c>
      <c r="W675" s="110" t="str">
        <f>SUM(W676:W681)</f>
        <v>#REF!</v>
      </c>
      <c r="X675" s="111" t="str">
        <f>W675/$AC$758/$W$765/$X$755</f>
        <v>#REF!</v>
      </c>
      <c r="Y675" s="112" t="str">
        <f>(T675+W675)=(SUM(AB676:AB681))</f>
        <v>#REF!</v>
      </c>
      <c r="Z675" s="113" t="str">
        <f>(T675+W675)-(SUM(AB676:AB681))</f>
        <v>#REF!</v>
      </c>
      <c r="AA675" s="595"/>
      <c r="AB675" s="595"/>
      <c r="AC675" s="181"/>
      <c r="AD675" s="114" t="str">
        <f>W675+T675</f>
        <v>#REF!</v>
      </c>
      <c r="AE675" s="115" t="str">
        <f>AD675</f>
        <v>#REF!</v>
      </c>
      <c r="AF675" s="116" t="str">
        <f>AE675/$AE$733</f>
        <v>#REF!</v>
      </c>
      <c r="AG675" s="683" t="str">
        <f>AF675*$AG$740</f>
        <v>#REF!</v>
      </c>
      <c r="AH675" s="118" t="str">
        <f>AF675*$AG$743</f>
        <v>#REF!</v>
      </c>
      <c r="AI675" s="187"/>
      <c r="AJ675" s="119" t="str">
        <f>ROUND(AK675/L675,2)</f>
        <v>#REF!</v>
      </c>
      <c r="AK675" s="119" t="str">
        <f>ROUND(AH675+AG675+AD675,2)</f>
        <v>#REF!</v>
      </c>
      <c r="AL675" s="595"/>
      <c r="AM675" s="595"/>
      <c r="AN675" s="595"/>
      <c r="AO675" s="595"/>
      <c r="AP675" s="595"/>
      <c r="AQ675" s="595"/>
      <c r="AR675" s="595"/>
      <c r="AS675" s="595"/>
      <c r="AT675" s="595"/>
      <c r="AU675" s="595"/>
      <c r="AV675" s="595"/>
      <c r="AW675" s="595"/>
      <c r="AX675" s="595"/>
      <c r="AY675" s="595"/>
      <c r="AZ675" s="595"/>
      <c r="BA675" s="595"/>
      <c r="BB675" s="595"/>
      <c r="BC675" s="595"/>
      <c r="BD675" s="595"/>
      <c r="BE675" s="595"/>
      <c r="BF675" s="595"/>
      <c r="BG675" s="595"/>
      <c r="BH675" s="595"/>
      <c r="BI675" s="651"/>
      <c r="BJ675" s="651"/>
      <c r="BK675" s="651"/>
      <c r="BL675" s="651"/>
      <c r="BM675" s="651"/>
      <c r="BN675" s="651"/>
      <c r="BO675" s="651"/>
      <c r="BP675" s="651"/>
      <c r="BQ675" s="651"/>
      <c r="BR675" s="651"/>
      <c r="BS675" s="651"/>
      <c r="BT675" s="651"/>
    </row>
    <row r="676">
      <c r="A676" s="684"/>
      <c r="B676" s="765" t="s">
        <v>545</v>
      </c>
      <c r="C676" s="698" t="s">
        <v>573</v>
      </c>
      <c r="D676" s="148" t="s">
        <v>149</v>
      </c>
      <c r="E676" s="687" t="str">
        <f>IFERROR(__xludf.DUMMYFUNCTION("IF($B$15:$B1411="""","""",
  VLOOKUP(
    $B$15:$B1411,
    QUERY(
      IMPORTRANGE(""1Ag27m9YF5mMfJh2E6NipJDFvPLlDI1p-s_1XEnzMHcc"",""Merge!F2:R""),
      ""select Col1, Col11"",
      0
    ),
    2,
    FALSE
  )
)
"),"#REF!")</f>
        <v>#REF!</v>
      </c>
      <c r="F676" s="699"/>
      <c r="G676" s="689" t="s">
        <v>579</v>
      </c>
      <c r="H676" s="128" t="str">
        <f>IFERROR(__xludf.DUMMYFUNCTION("IFERROR(REGEXEXTRACT(C676, ""(\d*\.\d+)mm""), """")"),"0.55")</f>
        <v>0.55</v>
      </c>
      <c r="I676" s="704"/>
      <c r="J676" s="126" t="s">
        <v>14</v>
      </c>
      <c r="K676" s="126" t="str">
        <f>IFERROR(
  IF(B676="", "", VLOOKUP(B676, Data!$B$2:$K$905, 7, FALSE)),
  ""
)</f>
        <v/>
      </c>
      <c r="L676" s="135">
        <f>1132.08+
137.39+
137.4</f>
        <v>1406.87</v>
      </c>
      <c r="M676" s="135" t="str">
        <f>L676*E676</f>
        <v>#REF!</v>
      </c>
      <c r="N676" s="151">
        <f>IFERROR(__xludf.DUMMYFUNCTION("IF(B676="""", """", IFERROR(1 / COS(RADIANS(REGEXEXTRACT(F676,""(\d+)""))), 1))"),1.0)</f>
        <v>1</v>
      </c>
      <c r="O676" s="169">
        <v>1.0</v>
      </c>
      <c r="P676" s="134">
        <v>1.0</v>
      </c>
      <c r="Q676" s="135" t="str">
        <f t="shared" ref="Q676:Q680" si="500">M676*N676*O676*P676</f>
        <v>#REF!</v>
      </c>
      <c r="R676" s="681" t="str">
        <f>IFERROR(
  IF(B676="", "", VLOOKUP(B676, Data!$B$2:$K$905, 9, FALSE)),
  ""
)</f>
        <v/>
      </c>
      <c r="S676" s="152" t="str">
        <f t="shared" ref="S676:S680" si="501">R676*Q676</f>
        <v>#REF!</v>
      </c>
      <c r="T676" s="690"/>
      <c r="U676" s="681" t="str">
        <f>IFERROR(
  IF(B676="", "", VLOOKUP(B676, Data!$B$2:$K$905, 10, FALSE)),
  ""
)
</f>
        <v/>
      </c>
      <c r="V676" s="691"/>
      <c r="W676" s="140" t="str">
        <f t="shared" ref="W676:W680" si="502">U676*Q676</f>
        <v>#REF!</v>
      </c>
      <c r="X676" s="692"/>
      <c r="Y676" s="693"/>
      <c r="Z676" s="694"/>
      <c r="AA676" s="695"/>
      <c r="AB676" s="354" t="str">
        <f t="shared" ref="AB676:AB680" si="503">W676+S676</f>
        <v>#REF!</v>
      </c>
      <c r="AC676" s="181"/>
      <c r="AD676" s="625"/>
      <c r="AE676" s="626"/>
      <c r="AF676" s="696"/>
      <c r="AG676" s="697"/>
      <c r="AH676" s="629"/>
      <c r="AI676" s="187"/>
      <c r="AJ676" s="630"/>
      <c r="AK676" s="630"/>
      <c r="AL676" s="595"/>
      <c r="AM676" s="595"/>
      <c r="AN676" s="595"/>
      <c r="AO676" s="595"/>
      <c r="AP676" s="595"/>
      <c r="AQ676" s="595"/>
      <c r="AR676" s="595"/>
      <c r="AS676" s="595"/>
      <c r="AT676" s="595"/>
      <c r="AU676" s="595"/>
      <c r="AV676" s="595"/>
      <c r="AW676" s="595"/>
      <c r="AX676" s="595"/>
      <c r="AY676" s="595"/>
      <c r="AZ676" s="595"/>
      <c r="BA676" s="595"/>
      <c r="BB676" s="595"/>
      <c r="BC676" s="595"/>
      <c r="BD676" s="595"/>
      <c r="BE676" s="595"/>
      <c r="BF676" s="595"/>
      <c r="BG676" s="595"/>
      <c r="BH676" s="595"/>
      <c r="BI676" s="651"/>
      <c r="BJ676" s="651"/>
      <c r="BK676" s="651"/>
      <c r="BL676" s="651"/>
      <c r="BM676" s="651"/>
      <c r="BN676" s="651"/>
      <c r="BO676" s="651"/>
      <c r="BP676" s="651"/>
      <c r="BQ676" s="651"/>
      <c r="BR676" s="651"/>
      <c r="BS676" s="651"/>
      <c r="BT676" s="651"/>
    </row>
    <row r="677">
      <c r="A677" s="684"/>
      <c r="B677" s="765" t="s">
        <v>430</v>
      </c>
      <c r="C677" s="698" t="s">
        <v>431</v>
      </c>
      <c r="D677" s="148" t="s">
        <v>548</v>
      </c>
      <c r="E677" s="687">
        <v>1.2</v>
      </c>
      <c r="F677" s="699"/>
      <c r="G677" s="700"/>
      <c r="H677" s="700" t="str">
        <f>IFERROR(__xludf.DUMMYFUNCTION("IFERROR(REGEXEXTRACT(C677, ""(\d*\.\d+)mm""), """")"),"")</f>
        <v/>
      </c>
      <c r="I677" s="704"/>
      <c r="J677" s="126" t="s">
        <v>87</v>
      </c>
      <c r="K677" s="126" t="str">
        <f>IFERROR(
  IF(B677="", "", VLOOKUP(B677, Data!$B$2:$K$905, 7, FALSE)),
  ""
)</f>
        <v/>
      </c>
      <c r="L677" s="704"/>
      <c r="M677" s="150">
        <f>roundup(L676/E677,0)+1</f>
        <v>1174</v>
      </c>
      <c r="N677" s="151">
        <f t="shared" ref="N677:N680" si="504">N676</f>
        <v>1</v>
      </c>
      <c r="O677" s="169">
        <v>1.0</v>
      </c>
      <c r="P677" s="134">
        <v>1.0</v>
      </c>
      <c r="Q677" s="135">
        <f t="shared" si="500"/>
        <v>1174</v>
      </c>
      <c r="R677" s="681" t="str">
        <f>IFERROR(
  IF(B677="", "", VLOOKUP(B677, Data!$B$2:$K$905, 9, FALSE)),
  ""
)</f>
        <v/>
      </c>
      <c r="S677" s="152">
        <f t="shared" si="501"/>
        <v>0</v>
      </c>
      <c r="T677" s="690"/>
      <c r="U677" s="681" t="str">
        <f>IFERROR(
  IF(B677="", "", VLOOKUP(B677, Data!$B$2:$K$905, 10, FALSE)),
  ""
)
</f>
        <v/>
      </c>
      <c r="V677" s="691"/>
      <c r="W677" s="140">
        <f t="shared" si="502"/>
        <v>0</v>
      </c>
      <c r="X677" s="692"/>
      <c r="Y677" s="693"/>
      <c r="Z677" s="694"/>
      <c r="AA677" s="695"/>
      <c r="AB677" s="354">
        <f t="shared" si="503"/>
        <v>0</v>
      </c>
      <c r="AC677" s="181"/>
      <c r="AD677" s="625"/>
      <c r="AE677" s="626"/>
      <c r="AF677" s="696"/>
      <c r="AG677" s="697"/>
      <c r="AH677" s="629"/>
      <c r="AI677" s="187"/>
      <c r="AJ677" s="630"/>
      <c r="AK677" s="630"/>
      <c r="AL677" s="595"/>
      <c r="AM677" s="595"/>
      <c r="AN677" s="595"/>
      <c r="AO677" s="595"/>
      <c r="AP677" s="595"/>
      <c r="AQ677" s="595"/>
      <c r="AR677" s="595"/>
      <c r="AS677" s="595"/>
      <c r="AT677" s="595"/>
      <c r="AU677" s="595"/>
      <c r="AV677" s="595"/>
      <c r="AW677" s="595"/>
      <c r="AX677" s="595"/>
      <c r="AY677" s="595"/>
      <c r="AZ677" s="595"/>
      <c r="BA677" s="595"/>
      <c r="BB677" s="595"/>
      <c r="BC677" s="595"/>
      <c r="BD677" s="595"/>
      <c r="BE677" s="595"/>
      <c r="BF677" s="595"/>
      <c r="BG677" s="595"/>
      <c r="BH677" s="595"/>
      <c r="BI677" s="651"/>
      <c r="BJ677" s="651"/>
      <c r="BK677" s="651"/>
      <c r="BL677" s="651"/>
      <c r="BM677" s="651"/>
      <c r="BN677" s="651"/>
      <c r="BO677" s="651"/>
      <c r="BP677" s="651"/>
      <c r="BQ677" s="651"/>
      <c r="BR677" s="651"/>
      <c r="BS677" s="651"/>
      <c r="BT677" s="651"/>
    </row>
    <row r="678">
      <c r="A678" s="684"/>
      <c r="B678" s="765" t="s">
        <v>433</v>
      </c>
      <c r="C678" s="702" t="s">
        <v>434</v>
      </c>
      <c r="D678" s="148" t="s">
        <v>153</v>
      </c>
      <c r="E678" s="722"/>
      <c r="F678" s="699"/>
      <c r="G678" s="700"/>
      <c r="H678" s="700"/>
      <c r="I678" s="704"/>
      <c r="J678" s="126" t="s">
        <v>87</v>
      </c>
      <c r="K678" s="126" t="str">
        <f>IFERROR(
  IF(B678="", "", VLOOKUP(B678, Data!$B$2:$K$905, 7, FALSE)),
  ""
)</f>
        <v/>
      </c>
      <c r="L678" s="704"/>
      <c r="M678" s="150">
        <f>M677*2</f>
        <v>2348</v>
      </c>
      <c r="N678" s="151">
        <f t="shared" si="504"/>
        <v>1</v>
      </c>
      <c r="O678" s="169">
        <v>1.0</v>
      </c>
      <c r="P678" s="134">
        <v>1.0</v>
      </c>
      <c r="Q678" s="135">
        <f t="shared" si="500"/>
        <v>2348</v>
      </c>
      <c r="R678" s="681" t="str">
        <f>IFERROR(
  IF(B678="", "", VLOOKUP(B678, Data!$B$2:$K$905, 9, FALSE)),
  ""
)</f>
        <v/>
      </c>
      <c r="S678" s="152">
        <f t="shared" si="501"/>
        <v>0</v>
      </c>
      <c r="T678" s="690"/>
      <c r="U678" s="681" t="str">
        <f>IFERROR(
  IF(B678="", "", VLOOKUP(B678, Data!$B$2:$K$905, 10, FALSE)),
  ""
)
</f>
        <v/>
      </c>
      <c r="V678" s="691"/>
      <c r="W678" s="140">
        <f t="shared" si="502"/>
        <v>0</v>
      </c>
      <c r="X678" s="692"/>
      <c r="Y678" s="693"/>
      <c r="Z678" s="694"/>
      <c r="AA678" s="695"/>
      <c r="AB678" s="354">
        <f t="shared" si="503"/>
        <v>0</v>
      </c>
      <c r="AC678" s="181"/>
      <c r="AD678" s="625"/>
      <c r="AE678" s="626"/>
      <c r="AF678" s="696"/>
      <c r="AG678" s="697"/>
      <c r="AH678" s="629"/>
      <c r="AI678" s="187"/>
      <c r="AJ678" s="630"/>
      <c r="AK678" s="630"/>
      <c r="AL678" s="595"/>
      <c r="AM678" s="595"/>
      <c r="AN678" s="595"/>
      <c r="AO678" s="595"/>
      <c r="AP678" s="595"/>
      <c r="AQ678" s="595"/>
      <c r="AR678" s="595"/>
      <c r="AS678" s="595"/>
      <c r="AT678" s="595"/>
      <c r="AU678" s="595"/>
      <c r="AV678" s="595"/>
      <c r="AW678" s="595"/>
      <c r="AX678" s="595"/>
      <c r="AY678" s="595"/>
      <c r="AZ678" s="595"/>
      <c r="BA678" s="595"/>
      <c r="BB678" s="595"/>
      <c r="BC678" s="595"/>
      <c r="BD678" s="595"/>
      <c r="BE678" s="595"/>
      <c r="BF678" s="595"/>
      <c r="BG678" s="595"/>
      <c r="BH678" s="595"/>
      <c r="BI678" s="651"/>
      <c r="BJ678" s="651"/>
      <c r="BK678" s="651"/>
      <c r="BL678" s="651"/>
      <c r="BM678" s="651"/>
      <c r="BN678" s="651"/>
      <c r="BO678" s="651"/>
      <c r="BP678" s="651"/>
      <c r="BQ678" s="651"/>
      <c r="BR678" s="651"/>
      <c r="BS678" s="651"/>
      <c r="BT678" s="651"/>
    </row>
    <row r="679">
      <c r="A679" s="684"/>
      <c r="B679" s="154" t="str">
        <f>IFERROR(__xludf.DUMMYFUNCTION("IFERROR(
  IF(C679="""","""",
    IF(OR(REGEXMATCH(D679,""(?i)-Flashing""), REGEXMATCH(D679,""(?i)-EavesGut""), REGEXMATCH(D679,""(?i)Valley"")),
        ""DR"" &amp;
        TEXT(
            ROUNDUP(
                MIN(
                    VALUE(MID(C679, "&amp;"FIND(""("",C679)+1, FIND(""/"",C679)-FIND(""("",C679)-1)),
                    1200
                ) / 50, 0
            ) * 50, ""0""
        ) &amp;
        MID(C679, FIND(""/"",C679)+1, FIND("")"",C679)-FIND(""/"",C679)-1) &amp;
        TEXT(H679*100,""0"") &amp;"&amp;"
        I679,
    IF(AND(D679=""Roof Sheet"", REGEXMATCH(C679,""(?i)KS\d{4}[A-Z]{2}"")),
       REGEXEXTRACT(C679,""(?i)KS\d{4}[A-Z]{2}""),
    IF(AND(REGEXMATCH(D679,""(?i)-DP""), REGEXMATCH(C679,""(?i)Downpipe"")),
       ""dp"" &amp; REGEXEXTRACT(C679,""("&amp;"\d+)"") &amp; ""mm"",
    IF(AND(REGEXMATCH(D679,""(?i)Bracket""), REGEXMATCH(C679,""(?i)Bracket"")),
       ""Brkt"" &amp; REGEXEXTRACT(C679,""(\d+)"") &amp; ""mm"",
    IF(AND(REGEXMATCH(D679,""(?i)-OP""), REGEXMATCH(C679,""(?i)pops"")),
       ""op"" &amp; REGEXEXTRAC"&amp;"T(C679,""(\d+)"") &amp; ""mm"",
    IF(OR(D679=""R-FFTop"", D679=""R-FFBottom"", D679=""R-FFSide""),
        IF(REGEXMATCH(C679,""(?i)Profiled.*Top|Top.*Profiled""),""pfft"",
        IF(REGEXMATCH(C679,""(?i)Profiled.*Bottom|Bottom.*Profiled""),""pffb"",
    "&amp;"    IF(REGEXMATCH(C679,""(?i)Square""),""sff"",""""))),
    IF(OR(D679=""W-FFTop"", D679=""W-FFBottom"", D679=""W-FFSide""),
        IF(REGEXMATCH(C679,""(?i)Profiled.*Top|Top.*Profiled""),""pfft"",
        IF(REGEXMATCH(C679,""(?i)Profiled.*Bottom|Bottom"&amp;".*Profiled""),""pffb"",
        IF(REGEXMATCH(C679,""(?i)Square""),""sff"",""""))),
    IF(REGEXMATCH(D679,""(?i)-Rivets""),""Rvt"",
    IF(REGEXMATCH(D679,""(?i)Silicone""),""300ml"",
    IF(REGEXMATCH(D679,""(?i)R-Butyl""),""300ml"",
    IF(REGEXMATCH(D"&amp;"679,""(?i)Fix""),""GenFix"",
    IF(AND(REGEXMATCH(C679,""(?i)Timber""), REGEXMATCH(D679,""(?i)Timber"")),""tp"",
    IF(AND(REGEXMATCH(C679,""(?i)Vent G1275""), REGEXMATCH(D679,""(?i)Comb FIller"")),""CFV1275"",
    IF(REGEXMATCH(C679,""(?i)DPC""),""dpc"&amp;""",
    IF(REGEXMATCH(C679,""(?i)Concealed Clips""),""ConClips"",
    IF(REGEXMATCH(D679,""(?i)-Takeoff ea""),""Takeoff ea"",
    IF(REGEXMATCH(D679,""(?i)-Takeoff LM""),""Takeoff LM"",
    IF(REGEXMATCH(D679,""(?i)-Takeoff m2""),""Takeoff m2"",
    IF(D6"&amp;"79=""R-TU/TD"",""TU/TD"",
    IF(D679=""W-TU/TD"",""TU/TD"","""")))))))))))))))))
  )))))"),"pfft")</f>
        <v>pfft</v>
      </c>
      <c r="C679" s="702" t="s">
        <v>104</v>
      </c>
      <c r="D679" s="148" t="s">
        <v>335</v>
      </c>
      <c r="E679" s="722"/>
      <c r="F679" s="699"/>
      <c r="G679" s="700"/>
      <c r="H679" s="700"/>
      <c r="I679" s="704"/>
      <c r="J679" s="126" t="s">
        <v>87</v>
      </c>
      <c r="K679" s="126" t="str">
        <f>IFERROR(
  IF(B679="", "", VLOOKUP(B679, Data!$B$2:$K$905, 7, FALSE)),
  ""
)</f>
        <v/>
      </c>
      <c r="L679" s="704"/>
      <c r="M679" s="135">
        <v>205.15</v>
      </c>
      <c r="N679" s="151">
        <f t="shared" si="504"/>
        <v>1</v>
      </c>
      <c r="O679" s="169">
        <v>1.0</v>
      </c>
      <c r="P679" s="134">
        <v>1.0</v>
      </c>
      <c r="Q679" s="135">
        <f t="shared" si="500"/>
        <v>205.15</v>
      </c>
      <c r="R679" s="136" t="str">
        <f>IFERROR(
  IF(B679="", "", VLOOKUP(B679, Data!$B$2:$K$905, 9, FALSE)),
  ""
)</f>
        <v/>
      </c>
      <c r="S679" s="152">
        <f t="shared" si="501"/>
        <v>0</v>
      </c>
      <c r="T679" s="690"/>
      <c r="U679" s="136" t="str">
        <f>IFERROR(
  IF(B679="", "", VLOOKUP(B679, Data!$B$2:$K$905, 10, FALSE)),
  ""
)
</f>
        <v/>
      </c>
      <c r="V679" s="691"/>
      <c r="W679" s="140">
        <f t="shared" si="502"/>
        <v>0</v>
      </c>
      <c r="X679" s="692"/>
      <c r="Y679" s="693"/>
      <c r="Z679" s="694"/>
      <c r="AA679" s="695"/>
      <c r="AB679" s="354">
        <f t="shared" si="503"/>
        <v>0</v>
      </c>
      <c r="AC679" s="181"/>
      <c r="AD679" s="705"/>
      <c r="AE679" s="706"/>
      <c r="AF679" s="707"/>
      <c r="AG679" s="708"/>
      <c r="AH679" s="709"/>
      <c r="AI679" s="187"/>
      <c r="AJ679" s="710"/>
      <c r="AK679" s="710"/>
      <c r="AL679" s="595"/>
      <c r="AM679" s="595"/>
      <c r="AN679" s="595"/>
      <c r="AO679" s="595"/>
      <c r="AP679" s="595"/>
      <c r="AQ679" s="595"/>
      <c r="AR679" s="595"/>
      <c r="AS679" s="595"/>
      <c r="AT679" s="595"/>
      <c r="AU679" s="595"/>
      <c r="AV679" s="595"/>
      <c r="AW679" s="595"/>
      <c r="AX679" s="595"/>
      <c r="AY679" s="595"/>
      <c r="AZ679" s="595"/>
      <c r="BA679" s="595"/>
      <c r="BB679" s="595"/>
      <c r="BC679" s="595"/>
      <c r="BD679" s="595"/>
      <c r="BE679" s="595"/>
      <c r="BF679" s="595"/>
      <c r="BG679" s="595"/>
      <c r="BH679" s="595"/>
      <c r="BI679" s="651"/>
      <c r="BJ679" s="651"/>
      <c r="BK679" s="651"/>
      <c r="BL679" s="651"/>
      <c r="BM679" s="651"/>
      <c r="BN679" s="651"/>
      <c r="BO679" s="651"/>
      <c r="BP679" s="651"/>
      <c r="BQ679" s="651"/>
      <c r="BR679" s="651"/>
      <c r="BS679" s="651"/>
      <c r="BT679" s="651"/>
    </row>
    <row r="680">
      <c r="A680" s="684"/>
      <c r="B680" s="154" t="str">
        <f>IFERROR(__xludf.DUMMYFUNCTION("IFERROR(
  IF(C680="""","""",
    IF(OR(REGEXMATCH(D680,""(?i)-Flashing""), REGEXMATCH(D680,""(?i)-EavesGut""), REGEXMATCH(D680,""(?i)Valley"")),
        ""DR"" &amp;
        TEXT(
            ROUNDUP(
                MIN(
                    VALUE(MID(C680, "&amp;"FIND(""("",C680)+1, FIND(""/"",C680)-FIND(""("",C680)-1)),
                    1200
                ) / 50, 0
            ) * 50, ""0""
        ) &amp;
        MID(C680, FIND(""/"",C680)+1, FIND("")"",C680)-FIND(""/"",C680)-1) &amp;
        TEXT(H680*100,""0"") &amp;"&amp;"
        I680,
    IF(AND(D680=""Roof Sheet"", REGEXMATCH(C680,""(?i)KS\d{4}[A-Z]{2}"")),
       REGEXEXTRACT(C680,""(?i)KS\d{4}[A-Z]{2}""),
    IF(AND(REGEXMATCH(D680,""(?i)-DP""), REGEXMATCH(C680,""(?i)Downpipe"")),
       ""dp"" &amp; REGEXEXTRACT(C680,""("&amp;"\d+)"") &amp; ""mm"",
    IF(AND(REGEXMATCH(D680,""(?i)Bracket""), REGEXMATCH(C680,""(?i)Bracket"")),
       ""Brkt"" &amp; REGEXEXTRACT(C680,""(\d+)"") &amp; ""mm"",
    IF(AND(REGEXMATCH(D680,""(?i)-OP""), REGEXMATCH(C680,""(?i)pops"")),
       ""op"" &amp; REGEXEXTRAC"&amp;"T(C680,""(\d+)"") &amp; ""mm"",
    IF(OR(D680=""R-FFTop"", D680=""R-FFBottom"", D680=""R-FFSide""),
        IF(REGEXMATCH(C680,""(?i)Profiled.*Top|Top.*Profiled""),""pfft"",
        IF(REGEXMATCH(C680,""(?i)Profiled.*Bottom|Bottom.*Profiled""),""pffb"",
    "&amp;"    IF(REGEXMATCH(C680,""(?i)Square""),""sff"",""""))),
    IF(OR(D680=""W-FFTop"", D680=""W-FFBottom"", D680=""W-FFSide""),
        IF(REGEXMATCH(C680,""(?i)Profiled.*Top|Top.*Profiled""),""pfft"",
        IF(REGEXMATCH(C680,""(?i)Profiled.*Bottom|Bottom"&amp;".*Profiled""),""pffb"",
        IF(REGEXMATCH(C680,""(?i)Square""),""sff"",""""))),
    IF(REGEXMATCH(D680,""(?i)-Rivets""),""Rvt"",
    IF(REGEXMATCH(D680,""(?i)Silicone""),""300ml"",
    IF(REGEXMATCH(D680,""(?i)R-Butyl""),""300ml"",
    IF(REGEXMATCH(D"&amp;"680,""(?i)Fix""),""GenFix"",
    IF(AND(REGEXMATCH(C680,""(?i)Timber""), REGEXMATCH(D680,""(?i)Timber"")),""tp"",
    IF(AND(REGEXMATCH(C680,""(?i)Vent G1275""), REGEXMATCH(D680,""(?i)Comb FIller"")),""CFV1275"",
    IF(REGEXMATCH(C680,""(?i)DPC""),""dpc"&amp;""",
    IF(REGEXMATCH(C680,""(?i)Concealed Clips""),""ConClips"",
    IF(REGEXMATCH(D680,""(?i)-Takeoff ea""),""Takeoff ea"",
    IF(REGEXMATCH(D680,""(?i)-Takeoff LM""),""Takeoff LM"",
    IF(REGEXMATCH(D680,""(?i)-Takeoff m2""),""Takeoff m2"",
    IF(D6"&amp;"80=""R-TU/TD"",""TU/TD"",
    IF(D680=""W-TU/TD"",""TU/TD"","""")))))))))))))))))
  )))))"),"pffb")</f>
        <v>pffb</v>
      </c>
      <c r="C680" s="702" t="s">
        <v>125</v>
      </c>
      <c r="D680" s="148" t="s">
        <v>338</v>
      </c>
      <c r="E680" s="722"/>
      <c r="F680" s="699"/>
      <c r="G680" s="700"/>
      <c r="H680" s="700"/>
      <c r="I680" s="704"/>
      <c r="J680" s="126" t="s">
        <v>87</v>
      </c>
      <c r="K680" s="126" t="str">
        <f>IFERROR(
  IF(B680="", "", VLOOKUP(B680, Data!$B$2:$K$905, 7, FALSE)),
  ""
)</f>
        <v/>
      </c>
      <c r="L680" s="704"/>
      <c r="M680" s="135">
        <v>205.15</v>
      </c>
      <c r="N680" s="151">
        <f t="shared" si="504"/>
        <v>1</v>
      </c>
      <c r="O680" s="169">
        <v>1.0</v>
      </c>
      <c r="P680" s="134">
        <v>1.0</v>
      </c>
      <c r="Q680" s="135">
        <f t="shared" si="500"/>
        <v>205.15</v>
      </c>
      <c r="R680" s="136" t="str">
        <f>IFERROR(
  IF(B680="", "", VLOOKUP(B680, Data!$B$2:$K$905, 9, FALSE)),
  ""
)</f>
        <v/>
      </c>
      <c r="S680" s="152">
        <f t="shared" si="501"/>
        <v>0</v>
      </c>
      <c r="T680" s="690"/>
      <c r="U680" s="136" t="str">
        <f>IFERROR(
  IF(B680="", "", VLOOKUP(B680, Data!$B$2:$K$905, 10, FALSE)),
  ""
)
</f>
        <v/>
      </c>
      <c r="V680" s="691"/>
      <c r="W680" s="140">
        <f t="shared" si="502"/>
        <v>0</v>
      </c>
      <c r="X680" s="692"/>
      <c r="Y680" s="693"/>
      <c r="Z680" s="694"/>
      <c r="AA680" s="695"/>
      <c r="AB680" s="354">
        <f t="shared" si="503"/>
        <v>0</v>
      </c>
      <c r="AC680" s="181"/>
      <c r="AD680" s="705"/>
      <c r="AE680" s="706"/>
      <c r="AF680" s="707"/>
      <c r="AG680" s="708"/>
      <c r="AH680" s="709"/>
      <c r="AI680" s="187"/>
      <c r="AJ680" s="710"/>
      <c r="AK680" s="710"/>
      <c r="AL680" s="595"/>
      <c r="AM680" s="595"/>
      <c r="AN680" s="595"/>
      <c r="AO680" s="595"/>
      <c r="AP680" s="595"/>
      <c r="AQ680" s="595"/>
      <c r="AR680" s="595"/>
      <c r="AS680" s="595"/>
      <c r="AT680" s="595"/>
      <c r="AU680" s="595"/>
      <c r="AV680" s="595"/>
      <c r="AW680" s="595"/>
      <c r="AX680" s="595"/>
      <c r="AY680" s="595"/>
      <c r="AZ680" s="595"/>
      <c r="BA680" s="595"/>
      <c r="BB680" s="595"/>
      <c r="BC680" s="595"/>
      <c r="BD680" s="595"/>
      <c r="BE680" s="595"/>
      <c r="BF680" s="595"/>
      <c r="BG680" s="595"/>
      <c r="BH680" s="595"/>
      <c r="BI680" s="651"/>
      <c r="BJ680" s="651"/>
      <c r="BK680" s="651"/>
      <c r="BL680" s="651"/>
      <c r="BM680" s="651"/>
      <c r="BN680" s="651"/>
      <c r="BO680" s="651"/>
      <c r="BP680" s="651"/>
      <c r="BQ680" s="651"/>
      <c r="BR680" s="651"/>
      <c r="BS680" s="651"/>
      <c r="BT680" s="651"/>
    </row>
    <row r="681">
      <c r="A681" s="684"/>
      <c r="B681" s="154"/>
      <c r="C681" s="702"/>
      <c r="D681" s="702"/>
      <c r="E681" s="722"/>
      <c r="F681" s="699"/>
      <c r="G681" s="700"/>
      <c r="H681" s="700"/>
      <c r="I681" s="704"/>
      <c r="J681" s="701"/>
      <c r="K681" s="701"/>
      <c r="L681" s="704"/>
      <c r="M681" s="704"/>
      <c r="N681" s="711"/>
      <c r="O681" s="712"/>
      <c r="P681" s="700"/>
      <c r="Q681" s="704"/>
      <c r="R681" s="681"/>
      <c r="S681" s="691"/>
      <c r="T681" s="690"/>
      <c r="U681" s="681" t="str">
        <f>IFERROR(
  IF(B681="", "", VLOOKUP(B681, Data!$B$2:$K$905, 10, FALSE)),
  ""
)
</f>
        <v/>
      </c>
      <c r="V681" s="691"/>
      <c r="W681" s="713"/>
      <c r="X681" s="692"/>
      <c r="Y681" s="693"/>
      <c r="Z681" s="694"/>
      <c r="AA681" s="695"/>
      <c r="AB681" s="595"/>
      <c r="AC681" s="181"/>
      <c r="AD681" s="705"/>
      <c r="AE681" s="706"/>
      <c r="AF681" s="707"/>
      <c r="AG681" s="708"/>
      <c r="AH681" s="709"/>
      <c r="AI681" s="187"/>
      <c r="AJ681" s="710"/>
      <c r="AK681" s="710"/>
      <c r="AL681" s="595"/>
      <c r="AM681" s="595"/>
      <c r="AN681" s="595"/>
      <c r="AO681" s="595"/>
      <c r="AP681" s="595"/>
      <c r="AQ681" s="595"/>
      <c r="AR681" s="595"/>
      <c r="AS681" s="595"/>
      <c r="AT681" s="595"/>
      <c r="AU681" s="595"/>
      <c r="AV681" s="595"/>
      <c r="AW681" s="595"/>
      <c r="AX681" s="595"/>
      <c r="AY681" s="595"/>
      <c r="AZ681" s="595"/>
      <c r="BA681" s="595"/>
      <c r="BB681" s="595"/>
      <c r="BC681" s="595"/>
      <c r="BD681" s="595"/>
      <c r="BE681" s="595"/>
      <c r="BF681" s="595"/>
      <c r="BG681" s="595"/>
      <c r="BH681" s="595"/>
      <c r="BI681" s="651"/>
      <c r="BJ681" s="651"/>
      <c r="BK681" s="651"/>
      <c r="BL681" s="651"/>
      <c r="BM681" s="651"/>
      <c r="BN681" s="651"/>
      <c r="BO681" s="651"/>
      <c r="BP681" s="651"/>
      <c r="BQ681" s="651"/>
      <c r="BR681" s="651"/>
      <c r="BS681" s="651"/>
      <c r="BT681" s="651"/>
    </row>
    <row r="682">
      <c r="A682" s="631">
        <v>1.0</v>
      </c>
      <c r="B682" s="764" t="s">
        <v>425</v>
      </c>
      <c r="C682" s="780" t="s">
        <v>78</v>
      </c>
      <c r="D682" s="656"/>
      <c r="E682" s="654"/>
      <c r="F682" s="655"/>
      <c r="G682" s="656"/>
      <c r="H682" s="656"/>
      <c r="I682" s="658"/>
      <c r="J682" s="656"/>
      <c r="K682" s="656" t="s">
        <v>42</v>
      </c>
      <c r="L682" s="658"/>
      <c r="M682" s="658"/>
      <c r="N682" s="659"/>
      <c r="O682" s="658"/>
      <c r="P682" s="656"/>
      <c r="Q682" s="658"/>
      <c r="R682" s="681" t="str">
        <f>IFERROR(
  IF(B682="", "", VLOOKUP(B682, Data!$B$2:$K$905, 9, FALSE)),
  ""
)</f>
        <v/>
      </c>
      <c r="S682" s="662"/>
      <c r="T682" s="661"/>
      <c r="U682" s="681" t="str">
        <f>IFERROR(
  IF(B682="", "", VLOOKUP(B682, Data!$B$2:$K$905, 10, FALSE)),
  ""
)
</f>
        <v/>
      </c>
      <c r="V682" s="662"/>
      <c r="W682" s="663"/>
      <c r="X682" s="664"/>
      <c r="Y682" s="595"/>
      <c r="Z682" s="595"/>
      <c r="AA682" s="595"/>
      <c r="AB682" s="595"/>
      <c r="AC682" s="181"/>
      <c r="AD682" s="668"/>
      <c r="AE682" s="669"/>
      <c r="AF682" s="670"/>
      <c r="AG682" s="715"/>
      <c r="AH682" s="672"/>
      <c r="AI682" s="187"/>
      <c r="AJ682" s="673"/>
      <c r="AK682" s="673"/>
      <c r="AL682" s="595"/>
      <c r="AM682" s="595"/>
      <c r="AN682" s="595"/>
      <c r="AO682" s="595"/>
      <c r="AP682" s="595"/>
      <c r="AQ682" s="595"/>
      <c r="AR682" s="595"/>
      <c r="AS682" s="595"/>
      <c r="AT682" s="595"/>
      <c r="AU682" s="595"/>
      <c r="AV682" s="595"/>
      <c r="AW682" s="595"/>
      <c r="AX682" s="595"/>
      <c r="AY682" s="595"/>
      <c r="AZ682" s="595"/>
      <c r="BA682" s="595"/>
      <c r="BB682" s="595"/>
      <c r="BC682" s="595"/>
      <c r="BD682" s="595"/>
      <c r="BE682" s="595"/>
      <c r="BF682" s="595"/>
      <c r="BG682" s="595"/>
      <c r="BH682" s="595"/>
      <c r="BI682" s="651"/>
      <c r="BJ682" s="651"/>
      <c r="BK682" s="651"/>
      <c r="BL682" s="651"/>
      <c r="BM682" s="651"/>
      <c r="BN682" s="651"/>
      <c r="BO682" s="651"/>
      <c r="BP682" s="651"/>
      <c r="BQ682" s="651"/>
      <c r="BR682" s="651"/>
      <c r="BS682" s="651"/>
      <c r="BT682" s="651"/>
    </row>
    <row r="683">
      <c r="A683" s="631">
        <v>1.0</v>
      </c>
      <c r="B683" s="727"/>
      <c r="C683" s="769" t="s">
        <v>79</v>
      </c>
      <c r="D683" s="678"/>
      <c r="E683" s="676"/>
      <c r="F683" s="677"/>
      <c r="G683" s="678"/>
      <c r="H683" s="678"/>
      <c r="I683" s="679"/>
      <c r="J683" s="678"/>
      <c r="K683" s="678" t="s">
        <v>42</v>
      </c>
      <c r="L683" s="106" t="str">
        <f>Q683</f>
        <v>#REF!</v>
      </c>
      <c r="M683" s="679"/>
      <c r="N683" s="680"/>
      <c r="O683" s="679"/>
      <c r="P683" s="678"/>
      <c r="Q683" s="106" t="str">
        <f>Q684</f>
        <v>#REF!</v>
      </c>
      <c r="R683" s="681" t="str">
        <f>IFERROR(
  IF(B683="", "", VLOOKUP(B683, Data!$B$2:$K$905, 9, FALSE)),
  ""
)</f>
        <v/>
      </c>
      <c r="S683" s="682">
        <f>IFERROR(T683/Q683, 0)</f>
        <v>0</v>
      </c>
      <c r="T683" s="109" t="str">
        <f>SUM(S684:S686)</f>
        <v>#REF!</v>
      </c>
      <c r="U683" s="681" t="str">
        <f>IFERROR(
  IF(B683="", "", VLOOKUP(B683, Data!$B$2:$K$905, 10, FALSE)),
  ""
)
</f>
        <v/>
      </c>
      <c r="V683" s="109" t="str">
        <f>iferror(W683/Q683,"")</f>
        <v/>
      </c>
      <c r="W683" s="110" t="str">
        <f>SUM(W684:W686)</f>
        <v>#REF!</v>
      </c>
      <c r="X683" s="111" t="str">
        <f>W683/$AC$758/$W$765/$X$755</f>
        <v>#REF!</v>
      </c>
      <c r="Y683" s="112" t="str">
        <f>(T683+W683)=(SUM(AB684:AB686))</f>
        <v>#REF!</v>
      </c>
      <c r="Z683" s="113" t="str">
        <f>(T683+W683)-(SUM(AB684:AB686))</f>
        <v>#REF!</v>
      </c>
      <c r="AA683" s="595"/>
      <c r="AB683" s="595"/>
      <c r="AC683" s="181"/>
      <c r="AD683" s="114" t="str">
        <f>W683+T683</f>
        <v>#REF!</v>
      </c>
      <c r="AE683" s="115" t="str">
        <f>AD683</f>
        <v>#REF!</v>
      </c>
      <c r="AF683" s="116" t="str">
        <f>AE683/$AE$733</f>
        <v>#REF!</v>
      </c>
      <c r="AG683" s="683" t="str">
        <f>AF683*$AG$740</f>
        <v>#REF!</v>
      </c>
      <c r="AH683" s="118" t="str">
        <f>AF683*$AG$743</f>
        <v>#REF!</v>
      </c>
      <c r="AI683" s="187"/>
      <c r="AJ683" s="119" t="str">
        <f>ROUND(AK683/L683,2)</f>
        <v>#REF!</v>
      </c>
      <c r="AK683" s="119" t="str">
        <f>ROUND(AH683+AG683+AD683,2)</f>
        <v>#REF!</v>
      </c>
      <c r="AL683" s="595"/>
      <c r="AM683" s="595"/>
      <c r="AN683" s="595"/>
      <c r="AO683" s="595"/>
      <c r="AP683" s="595"/>
      <c r="AQ683" s="595"/>
      <c r="AR683" s="595"/>
      <c r="AS683" s="595"/>
      <c r="AT683" s="595"/>
      <c r="AU683" s="595"/>
      <c r="AV683" s="595"/>
      <c r="AW683" s="595"/>
      <c r="AX683" s="595"/>
      <c r="AY683" s="595"/>
      <c r="AZ683" s="595"/>
      <c r="BA683" s="595"/>
      <c r="BB683" s="595"/>
      <c r="BC683" s="595"/>
      <c r="BD683" s="595"/>
      <c r="BE683" s="595"/>
      <c r="BF683" s="595"/>
      <c r="BG683" s="595"/>
      <c r="BH683" s="595"/>
      <c r="BI683" s="651"/>
      <c r="BJ683" s="651"/>
      <c r="BK683" s="651"/>
      <c r="BL683" s="651"/>
      <c r="BM683" s="651"/>
      <c r="BN683" s="651"/>
      <c r="BO683" s="651"/>
      <c r="BP683" s="651"/>
      <c r="BQ683" s="651"/>
      <c r="BR683" s="651"/>
      <c r="BS683" s="651"/>
      <c r="BT683" s="651"/>
    </row>
    <row r="684">
      <c r="A684" s="703" t="s">
        <v>435</v>
      </c>
      <c r="B684" s="154" t="s">
        <v>441</v>
      </c>
      <c r="C684" s="698" t="s">
        <v>442</v>
      </c>
      <c r="D684" s="239" t="s">
        <v>154</v>
      </c>
      <c r="E684" s="687" t="str">
        <f>IFERROR(__xludf.DUMMYFUNCTION("IF($B$15:$B1012="""","""",
  VLOOKUP(
    $B$15:$B1012,
    QUERY(
      IMPORTRANGE(""1Ag27m9YF5mMfJh2E6NipJDFvPLlDI1p-s_1XEnzMHcc"",""Merge!F2:R""),
      ""select Col1, Col11"",
      0
    ),
    2,
    FALSE
  )
)
"),"#REF!")</f>
        <v>#REF!</v>
      </c>
      <c r="F684" s="721"/>
      <c r="G684" s="689" t="s">
        <v>579</v>
      </c>
      <c r="H684" s="700" t="str">
        <f>IFERROR(__xludf.DUMMYFUNCTION("IFERROR(REGEXEXTRACT(C684, ""(\d*\.\d+)mm""), """")"),"")</f>
        <v/>
      </c>
      <c r="I684" s="712"/>
      <c r="J684" s="126" t="s">
        <v>14</v>
      </c>
      <c r="K684" s="126" t="str">
        <f>IFERROR(
  IF(B684="", "", VLOOKUP(B684, Data!$B$2:$K$905, 7, FALSE)),
  ""
)</f>
        <v/>
      </c>
      <c r="L684" s="135" t="str">
        <f>Q675</f>
        <v>#REF!</v>
      </c>
      <c r="M684" s="150" t="str">
        <f>((L684)/(E684-0.15))*0.15+(L684)</f>
        <v>#REF!</v>
      </c>
      <c r="N684" s="151">
        <f>IFERROR(__xludf.DUMMYFUNCTION("IF(B684="""", """", IFERROR(1 / COS(RADIANS(REGEXEXTRACT(F684,""(\d+)""))), 1))"),1.0)</f>
        <v>1</v>
      </c>
      <c r="O684" s="169">
        <v>1.0</v>
      </c>
      <c r="P684" s="134">
        <v>1.0</v>
      </c>
      <c r="Q684" s="135" t="str">
        <f t="shared" ref="Q684:Q685" si="505">M684*N684*O684*P684</f>
        <v>#REF!</v>
      </c>
      <c r="R684" s="136" t="str">
        <f>IFERROR(
  IF(B684="", "", VLOOKUP(B684, Data!$B$2:$K$905, 9, FALSE)),
  ""
)</f>
        <v/>
      </c>
      <c r="S684" s="152" t="str">
        <f t="shared" ref="S684:S685" si="506">R684*Q684</f>
        <v>#REF!</v>
      </c>
      <c r="T684" s="690"/>
      <c r="U684" s="136" t="str">
        <f>IFERROR(
  IF(B684="", "", VLOOKUP(B684, Data!$B$2:$K$905, 10, FALSE)),
  ""
)
</f>
        <v/>
      </c>
      <c r="V684" s="691"/>
      <c r="W684" s="140" t="str">
        <f t="shared" ref="W684:W685" si="507">U684*Q684</f>
        <v>#REF!</v>
      </c>
      <c r="X684" s="692"/>
      <c r="Y684" s="595"/>
      <c r="Z684" s="595"/>
      <c r="AA684" s="595"/>
      <c r="AB684" s="354" t="str">
        <f t="shared" ref="AB684:AB686" si="508">W684+S684</f>
        <v>#REF!</v>
      </c>
      <c r="AC684" s="181"/>
      <c r="AD684" s="625"/>
      <c r="AE684" s="626"/>
      <c r="AF684" s="696"/>
      <c r="AG684" s="697"/>
      <c r="AH684" s="629"/>
      <c r="AI684" s="187"/>
      <c r="AJ684" s="630"/>
      <c r="AK684" s="630"/>
      <c r="AL684" s="595"/>
      <c r="AM684" s="595"/>
      <c r="AN684" s="595"/>
      <c r="AO684" s="595"/>
      <c r="AP684" s="595"/>
      <c r="AQ684" s="595"/>
      <c r="AR684" s="595"/>
      <c r="AS684" s="595"/>
      <c r="AT684" s="595"/>
      <c r="AU684" s="595"/>
      <c r="AV684" s="595"/>
      <c r="AW684" s="595"/>
      <c r="AX684" s="595"/>
      <c r="AY684" s="595"/>
      <c r="AZ684" s="595"/>
      <c r="BA684" s="595"/>
      <c r="BB684" s="595"/>
      <c r="BC684" s="595"/>
      <c r="BD684" s="595"/>
      <c r="BE684" s="595"/>
      <c r="BF684" s="595"/>
      <c r="BG684" s="595"/>
      <c r="BH684" s="595"/>
      <c r="BI684" s="651"/>
      <c r="BJ684" s="651"/>
      <c r="BK684" s="651"/>
      <c r="BL684" s="651"/>
      <c r="BM684" s="651"/>
      <c r="BN684" s="651"/>
      <c r="BO684" s="651"/>
      <c r="BP684" s="651"/>
      <c r="BQ684" s="651"/>
      <c r="BR684" s="651"/>
      <c r="BS684" s="651"/>
      <c r="BT684" s="651"/>
    </row>
    <row r="685">
      <c r="A685" s="703" t="s">
        <v>435</v>
      </c>
      <c r="B685" s="768" t="s">
        <v>84</v>
      </c>
      <c r="C685" s="734" t="s">
        <v>85</v>
      </c>
      <c r="D685" s="239" t="s">
        <v>155</v>
      </c>
      <c r="E685" s="720" t="str">
        <f>E684</f>
        <v>#REF!</v>
      </c>
      <c r="F685" s="721"/>
      <c r="G685" s="700"/>
      <c r="H685" s="128" t="str">
        <f>IFERROR(__xludf.DUMMYFUNCTION("IF($B$15:$B1012="""","""",
  VLOOKUP(
    $B$15:$B1012,
    QUERY(
      IMPORTRANGE(""1Ag27m9YF5mMfJh2E6NipJDFvPLlDI1p-s_1XEnzMHcc"",""Merge!F2:R""),
      ""select Col1, Col11"",
      0
    ),
    2,
    FALSE
  )
)
"),"#REF!")</f>
        <v>#REF!</v>
      </c>
      <c r="I685" s="712"/>
      <c r="J685" s="126" t="s">
        <v>87</v>
      </c>
      <c r="K685" s="126" t="str">
        <f>IFERROR(
  IF(B685="", "", VLOOKUP(B685, Data!$B$2:$K$905, 7, FALSE)),
  ""
)</f>
        <v/>
      </c>
      <c r="L685" s="712"/>
      <c r="M685" s="169" t="str">
        <f>M684/E685/H685</f>
        <v>#REF!</v>
      </c>
      <c r="N685" s="151">
        <f>N684</f>
        <v>1</v>
      </c>
      <c r="O685" s="169">
        <v>1.0</v>
      </c>
      <c r="P685" s="134">
        <v>1.0</v>
      </c>
      <c r="Q685" s="135" t="str">
        <f t="shared" si="505"/>
        <v>#REF!</v>
      </c>
      <c r="R685" s="136" t="str">
        <f>IFERROR(
  IF(B685="", "", VLOOKUP(B685, Data!$B$2:$K$905, 9, FALSE)),
  ""
)</f>
        <v/>
      </c>
      <c r="S685" s="152" t="str">
        <f t="shared" si="506"/>
        <v>#REF!</v>
      </c>
      <c r="T685" s="690"/>
      <c r="U685" s="681" t="str">
        <f>IFERROR(
  IF(B685="", "", VLOOKUP(B685, Data!$B$2:$K$905, 10, FALSE)),
  ""
)
</f>
        <v/>
      </c>
      <c r="V685" s="691"/>
      <c r="W685" s="140" t="str">
        <f t="shared" si="507"/>
        <v>#REF!</v>
      </c>
      <c r="X685" s="692"/>
      <c r="Y685" s="693"/>
      <c r="Z685" s="694"/>
      <c r="AA685" s="595"/>
      <c r="AB685" s="354" t="str">
        <f t="shared" si="508"/>
        <v>#REF!</v>
      </c>
      <c r="AC685" s="181"/>
      <c r="AD685" s="625"/>
      <c r="AE685" s="626"/>
      <c r="AF685" s="696"/>
      <c r="AG685" s="697"/>
      <c r="AH685" s="629"/>
      <c r="AI685" s="187"/>
      <c r="AJ685" s="630"/>
      <c r="AK685" s="630"/>
      <c r="AL685" s="595"/>
      <c r="AM685" s="595"/>
      <c r="AN685" s="595"/>
      <c r="AO685" s="595"/>
      <c r="AP685" s="595"/>
      <c r="AQ685" s="595"/>
      <c r="AR685" s="595"/>
      <c r="AS685" s="595"/>
      <c r="AT685" s="595"/>
      <c r="AU685" s="595"/>
      <c r="AV685" s="595"/>
      <c r="AW685" s="595"/>
      <c r="AX685" s="595"/>
      <c r="AY685" s="595"/>
      <c r="AZ685" s="595"/>
      <c r="BA685" s="595"/>
      <c r="BB685" s="595"/>
      <c r="BC685" s="595"/>
      <c r="BD685" s="595"/>
      <c r="BE685" s="595"/>
      <c r="BF685" s="595"/>
      <c r="BG685" s="595"/>
      <c r="BH685" s="595"/>
      <c r="BI685" s="651"/>
      <c r="BJ685" s="651"/>
      <c r="BK685" s="651"/>
      <c r="BL685" s="651"/>
      <c r="BM685" s="651"/>
      <c r="BN685" s="651"/>
      <c r="BO685" s="651"/>
      <c r="BP685" s="651"/>
      <c r="BQ685" s="651"/>
      <c r="BR685" s="651"/>
      <c r="BS685" s="651"/>
      <c r="BT685" s="651"/>
    </row>
    <row r="686">
      <c r="A686" s="684"/>
      <c r="B686" s="154"/>
      <c r="C686" s="702"/>
      <c r="D686" s="701"/>
      <c r="E686" s="722"/>
      <c r="F686" s="699"/>
      <c r="G686" s="700"/>
      <c r="H686" s="700"/>
      <c r="I686" s="712"/>
      <c r="J686" s="701"/>
      <c r="K686" s="701" t="str">
        <f>IFERROR(
  IF(B686="", "", VLOOKUP(B686, Data!$B$2:$K$905, 7, FALSE)),
  ""
)</f>
        <v/>
      </c>
      <c r="L686" s="704"/>
      <c r="M686" s="704"/>
      <c r="N686" s="711" t="str">
        <f>IFERROR(__xludf.DUMMYFUNCTION("IF(B686="""", """", IFERROR(1 / COS(RADIANS(REGEXEXTRACT(F686,""(\d+)""))), 1))"),"")</f>
        <v/>
      </c>
      <c r="O686" s="712"/>
      <c r="P686" s="700"/>
      <c r="Q686" s="704"/>
      <c r="R686" s="681" t="str">
        <f>IFERROR(
  IF(B686="", "", VLOOKUP(B686, Data!$B$2:$K$905, 9, FALSE)),
  ""
)</f>
        <v/>
      </c>
      <c r="S686" s="691"/>
      <c r="T686" s="690"/>
      <c r="U686" s="681" t="str">
        <f>IFERROR(
  IF(B686="", "", VLOOKUP(B686, Data!$B$2:$K$905, 10, FALSE)),
  ""
)
</f>
        <v/>
      </c>
      <c r="V686" s="691"/>
      <c r="W686" s="713"/>
      <c r="X686" s="692"/>
      <c r="Y686" s="595"/>
      <c r="Z686" s="595"/>
      <c r="AA686" s="595"/>
      <c r="AB686" s="354">
        <f t="shared" si="508"/>
        <v>0</v>
      </c>
      <c r="AC686" s="181"/>
      <c r="AD686" s="625"/>
      <c r="AE686" s="626"/>
      <c r="AF686" s="696"/>
      <c r="AG686" s="697"/>
      <c r="AH686" s="629"/>
      <c r="AI686" s="187"/>
      <c r="AJ686" s="630"/>
      <c r="AK686" s="630"/>
      <c r="AL686" s="595"/>
      <c r="AM686" s="595"/>
      <c r="AN686" s="595"/>
      <c r="AO686" s="595"/>
      <c r="AP686" s="595"/>
      <c r="AQ686" s="595"/>
      <c r="AR686" s="595"/>
      <c r="AS686" s="595"/>
      <c r="AT686" s="595"/>
      <c r="AU686" s="595"/>
      <c r="AV686" s="595"/>
      <c r="AW686" s="595"/>
      <c r="AX686" s="595"/>
      <c r="AY686" s="595"/>
      <c r="AZ686" s="595"/>
      <c r="BA686" s="595"/>
      <c r="BB686" s="595"/>
      <c r="BC686" s="595"/>
      <c r="BD686" s="595"/>
      <c r="BE686" s="595"/>
      <c r="BF686" s="595"/>
      <c r="BG686" s="595"/>
      <c r="BH686" s="595"/>
      <c r="BI686" s="651"/>
      <c r="BJ686" s="651"/>
      <c r="BK686" s="651"/>
      <c r="BL686" s="651"/>
      <c r="BM686" s="651"/>
      <c r="BN686" s="651"/>
      <c r="BO686" s="651"/>
      <c r="BP686" s="651"/>
      <c r="BQ686" s="651"/>
      <c r="BR686" s="651"/>
      <c r="BS686" s="651"/>
      <c r="BT686" s="651"/>
    </row>
    <row r="687">
      <c r="A687" s="631">
        <v>1.0</v>
      </c>
      <c r="B687" s="764" t="s">
        <v>425</v>
      </c>
      <c r="C687" s="780" t="s">
        <v>93</v>
      </c>
      <c r="D687" s="172"/>
      <c r="E687" s="654"/>
      <c r="F687" s="655"/>
      <c r="G687" s="656"/>
      <c r="H687" s="656"/>
      <c r="I687" s="658"/>
      <c r="J687" s="656"/>
      <c r="K687" s="656" t="s">
        <v>42</v>
      </c>
      <c r="L687" s="658"/>
      <c r="M687" s="658" t="s">
        <v>42</v>
      </c>
      <c r="N687" s="659"/>
      <c r="O687" s="658"/>
      <c r="P687" s="656"/>
      <c r="Q687" s="658"/>
      <c r="R687" s="681" t="str">
        <f>IFERROR(
  IF(B687="", "", VLOOKUP(B687, Data!$B$2:$K$905, 9, FALSE)),
  ""
)</f>
        <v/>
      </c>
      <c r="S687" s="662"/>
      <c r="T687" s="661"/>
      <c r="U687" s="681" t="str">
        <f>IFERROR(
  IF(B687="", "", VLOOKUP(B687, Data!$B$2:$K$905, 10, FALSE)),
  ""
)
</f>
        <v/>
      </c>
      <c r="V687" s="662"/>
      <c r="W687" s="663"/>
      <c r="X687" s="692"/>
      <c r="Y687" s="595"/>
      <c r="Z687" s="595"/>
      <c r="AA687" s="595"/>
      <c r="AB687" s="595"/>
      <c r="AC687" s="181"/>
      <c r="AD687" s="625"/>
      <c r="AE687" s="626"/>
      <c r="AF687" s="696"/>
      <c r="AG687" s="697"/>
      <c r="AH687" s="629"/>
      <c r="AI687" s="187"/>
      <c r="AJ687" s="630"/>
      <c r="AK687" s="630"/>
      <c r="AL687" s="595"/>
      <c r="AM687" s="595"/>
      <c r="AN687" s="595"/>
      <c r="AO687" s="595"/>
      <c r="AP687" s="595"/>
      <c r="AQ687" s="595"/>
      <c r="AR687" s="595"/>
      <c r="AS687" s="595"/>
      <c r="AT687" s="595"/>
      <c r="AU687" s="595"/>
      <c r="AV687" s="595"/>
      <c r="AW687" s="595"/>
      <c r="AX687" s="595"/>
      <c r="AY687" s="595"/>
      <c r="AZ687" s="595"/>
      <c r="BA687" s="595"/>
      <c r="BB687" s="595"/>
      <c r="BC687" s="595"/>
      <c r="BD687" s="595"/>
      <c r="BE687" s="595"/>
      <c r="BF687" s="595"/>
      <c r="BG687" s="595"/>
      <c r="BH687" s="595"/>
      <c r="BI687" s="651"/>
      <c r="BJ687" s="651"/>
      <c r="BK687" s="651"/>
      <c r="BL687" s="651"/>
      <c r="BM687" s="651"/>
      <c r="BN687" s="651"/>
      <c r="BO687" s="651"/>
      <c r="BP687" s="651"/>
      <c r="BQ687" s="651"/>
      <c r="BR687" s="651"/>
      <c r="BS687" s="651"/>
      <c r="BT687" s="651"/>
    </row>
    <row r="688">
      <c r="A688" s="631">
        <v>1.0</v>
      </c>
      <c r="B688" s="727"/>
      <c r="C688" s="769" t="s">
        <v>558</v>
      </c>
      <c r="D688" s="678"/>
      <c r="E688" s="676"/>
      <c r="F688" s="677"/>
      <c r="G688" s="678"/>
      <c r="H688" s="678"/>
      <c r="I688" s="679"/>
      <c r="J688" s="678"/>
      <c r="K688" s="678" t="s">
        <v>42</v>
      </c>
      <c r="L688" s="106">
        <f>Q688</f>
        <v>10.7</v>
      </c>
      <c r="M688" s="679" t="s">
        <v>42</v>
      </c>
      <c r="N688" s="680"/>
      <c r="O688" s="679"/>
      <c r="P688" s="678"/>
      <c r="Q688" s="106">
        <f>Q689</f>
        <v>10.7</v>
      </c>
      <c r="R688" s="681" t="str">
        <f>IFERROR(
  IF(B688="", "", VLOOKUP(B688, Data!$B$2:$K$905, 9, FALSE)),
  ""
)</f>
        <v/>
      </c>
      <c r="S688" s="682">
        <f>IFERROR(T688/Q688, 0)</f>
        <v>0</v>
      </c>
      <c r="T688" s="109">
        <f>SUM(S689:S694)</f>
        <v>0</v>
      </c>
      <c r="U688" s="681" t="str">
        <f>IFERROR(
  IF(B688="", "", VLOOKUP(B688, Data!$B$2:$K$905, 10, FALSE)),
  ""
)
</f>
        <v/>
      </c>
      <c r="V688" s="109">
        <f>W688/Q688</f>
        <v>0</v>
      </c>
      <c r="W688" s="110">
        <f>SUM(W689:W694)</f>
        <v>0</v>
      </c>
      <c r="X688" s="111" t="str">
        <f>W688/$AC$758/$W$765/$X$755</f>
        <v>#REF!</v>
      </c>
      <c r="Y688" s="112" t="b">
        <f>(T688+W688)=(SUM(AB689:AB694))</f>
        <v>1</v>
      </c>
      <c r="Z688" s="222">
        <f>(T688+W688)-(SUM(AB689:AB694))</f>
        <v>0</v>
      </c>
      <c r="AA688" s="595"/>
      <c r="AB688" s="595"/>
      <c r="AC688" s="181"/>
      <c r="AD688" s="114">
        <f>W688+T688</f>
        <v>0</v>
      </c>
      <c r="AE688" s="115">
        <f>AD688</f>
        <v>0</v>
      </c>
      <c r="AF688" s="116" t="str">
        <f>AE688/$AE$733</f>
        <v>#REF!</v>
      </c>
      <c r="AG688" s="683" t="str">
        <f>AF688*$AG$740</f>
        <v>#REF!</v>
      </c>
      <c r="AH688" s="118" t="str">
        <f>AF688*$AG$743</f>
        <v>#REF!</v>
      </c>
      <c r="AI688" s="187"/>
      <c r="AJ688" s="119" t="str">
        <f>ROUND(AK688/L688,2)</f>
        <v>#REF!</v>
      </c>
      <c r="AK688" s="119" t="str">
        <f>ROUND(AH688+AG688+AD688,2)</f>
        <v>#REF!</v>
      </c>
      <c r="AL688" s="595"/>
      <c r="AM688" s="595"/>
      <c r="AN688" s="595"/>
      <c r="AO688" s="595"/>
      <c r="AP688" s="595"/>
      <c r="AQ688" s="595"/>
      <c r="AR688" s="595"/>
      <c r="AS688" s="595"/>
      <c r="AT688" s="595"/>
      <c r="AU688" s="595"/>
      <c r="AV688" s="595"/>
      <c r="AW688" s="595"/>
      <c r="AX688" s="595"/>
      <c r="AY688" s="595"/>
      <c r="AZ688" s="595"/>
      <c r="BA688" s="595"/>
      <c r="BB688" s="595"/>
      <c r="BC688" s="595"/>
      <c r="BD688" s="595"/>
      <c r="BE688" s="595"/>
      <c r="BF688" s="595"/>
      <c r="BG688" s="595"/>
      <c r="BH688" s="595"/>
      <c r="BI688" s="651"/>
      <c r="BJ688" s="651"/>
      <c r="BK688" s="651"/>
      <c r="BL688" s="651"/>
      <c r="BM688" s="651"/>
      <c r="BN688" s="651"/>
      <c r="BO688" s="651"/>
      <c r="BP688" s="651"/>
      <c r="BQ688" s="651"/>
      <c r="BR688" s="651"/>
      <c r="BS688" s="651"/>
      <c r="BT688" s="651"/>
    </row>
    <row r="689">
      <c r="A689" s="703" t="s">
        <v>444</v>
      </c>
      <c r="B689" s="154" t="str">
        <f>IFERROR(__xludf.DUMMYFUNCTION("IFERROR(
  IF(C689="""","""",
    IF(OR(REGEXMATCH(D689,""(?i)-Flashing""), REGEXMATCH(D689,""(?i)-EavesGut""), REGEXMATCH(D689,""(?i)Valley"")),
        ""DR"" &amp;
        TEXT(
            ROUNDUP(
                MIN(
                    VALUE(MID(C689, "&amp;"FIND(""("",C689)+1, FIND(""/"",C689)-FIND(""("",C689)-1)),
                    1200
                ) / 50, 0
            ) * 50, ""0""
        ) &amp;
        MID(C689, FIND(""/"",C689)+1, FIND("")"",C689)-FIND(""/"",C689)-1) &amp;
        TEXT(H689*100,""0"") &amp;"&amp;"
        I689,
    IF(AND(D689=""Roof Sheet"", REGEXMATCH(C689,""(?i)KS\d{4}[A-Z]{2}"")),
       REGEXEXTRACT(C689,""(?i)KS\d{4}[A-Z]{2}""),
    IF(AND(REGEXMATCH(D689,""(?i)-DP""), REGEXMATCH(C689,""(?i)Downpipe"")),
       ""dp"" &amp; REGEXEXTRACT(C689,""("&amp;"\d+)"") &amp; ""mm"",
    IF(AND(REGEXMATCH(D689,""(?i)Bracket""), REGEXMATCH(C689,""(?i)Bracket"")),
       ""Brkt"" &amp; REGEXEXTRACT(C689,""(\d+)"") &amp; ""mm"",
    IF(AND(REGEXMATCH(D689,""(?i)-OP""), REGEXMATCH(C689,""(?i)pops"")),
       ""op"" &amp; REGEXEXTRAC"&amp;"T(C689,""(\d+)"") &amp; ""mm"",
    IF(OR(D689=""R-FFTop"", D689=""R-FFBottom"", D689=""R-FFSide""),
        IF(REGEXMATCH(C689,""(?i)Profiled.*Top|Top.*Profiled""),""pfft"",
        IF(REGEXMATCH(C689,""(?i)Profiled.*Bottom|Bottom.*Profiled""),""pffb"",
    "&amp;"    IF(REGEXMATCH(C689,""(?i)Square""),""sff"",""""))),
    IF(REGEXMATCH(D689,""(?i)-Rivets""),""Rvt"",
    IF(REGEXMATCH(D689,""(?i)Silicone""),""300ml"",
    IF(REGEXMATCH(D689,""(?i)R-Butyl""),""300ml"",
    IF(REGEXMATCH(D689,""(?i)Fix""),""GenFix"","&amp;"
    IF(AND(REGEXMATCH(C689,""(?i)Timber""), REGEXMATCH(D689,""(?i)Timber"")),""tp"",
    IF(AND(REGEXMATCH(C689,""(?i)Vent G1275""), REGEXMATCH(D689,""(?i)Comb FIller"")),""CFV1275"",
    IF(REGEXMATCH(C689,""(?i)DPC""),""dpc"",
    IF(REGEXMATCH(C689,"""&amp;"(?i)Concealed Clips""),""ConClips"",
    IF(REGEXMATCH(D689,""(?i)-Takeoff ea""),""Takeoff ea"",
    IF(REGEXMATCH(D689,""(?i)-Takeoff LM""),""Takeoff LM"",
    IF(REGEXMATCH(D689,""(?i)-Takeoff m2""),""Takeoff m2"",
    IF(D689=""R-TU/TD"",""TU/TD"","""""&amp;")))))))))))))))))
  )))"),"DR5503B55Mag")</f>
        <v>DR5503B55Mag</v>
      </c>
      <c r="C689" s="698" t="s">
        <v>559</v>
      </c>
      <c r="D689" s="148" t="s">
        <v>161</v>
      </c>
      <c r="E689" s="687">
        <f>VALUE(MID(C689, FIND("(", C689)+1, FIND("/", C689)-FIND("(", C689)-1)) / 1000</f>
        <v>0.53</v>
      </c>
      <c r="F689" s="688"/>
      <c r="G689" s="689" t="s">
        <v>579</v>
      </c>
      <c r="H689" s="128" t="str">
        <f>IFERROR(__xludf.DUMMYFUNCTION("IFERROR(REGEXEXTRACT(C689, ""(\d*\.\d+)mm""), """")"),"0.55")</f>
        <v>0.55</v>
      </c>
      <c r="I689" s="168" t="s">
        <v>97</v>
      </c>
      <c r="J689" s="126" t="s">
        <v>14</v>
      </c>
      <c r="K689" s="126" t="str">
        <f>IFERROR(
  IF(B689="", "", VLOOKUP(B689, Data!$B$2:$K$905, 7, FALSE)),
  ""
)</f>
        <v/>
      </c>
      <c r="L689" s="704"/>
      <c r="M689" s="730">
        <v>10.7</v>
      </c>
      <c r="N689" s="151">
        <f>IFERROR(__xludf.DUMMYFUNCTION("IF(
  AND(
    IFERROR(REGEXEXTRACT(C689,""@\s*(\d+(?:\.\d+)?)\s*deg""),"""")&lt;&gt;"""",
    F689&lt;&gt;""""
  ),
  ""Pls Confirm °"",
  IF(
    IFERROR(REGEXEXTRACT(C689,""@\s*(\d+(?:\.\d+)?)\s*deg""),"""")&lt;&gt;"""",
    1/COS(RADIANS(REGEXEXTRACT(C689,""@\s*(\d+(?:"&amp;"\.\d+)?)\s*deg""))),
    IF(
      F689&lt;&gt;"""",
      IF(
        ISNUMBER(SEARCH(""|"",F689)),
        1/COS(
          ATAN(
            TAN(RADIANS(VALUE(INDEX(SPLIT(F689,""|""),1)))) *
            TAN(RADIANS(VALUE(INDEX(SPLIT(F689,""|""),2))))
       "&amp;"     /
            SQRT(
              TAN(RADIANS(VALUE(INDEX(SPLIT(F689,""|""),1))))^2 +
              TAN(RADIANS(VALUE(INDEX(SPLIT(F689,""|""),2))))^2
            )
          )
        ),
        1/COS(RADIANS(VALUE(F689)))
      ),
      1
    )
  )
"&amp;")"),1.0)</f>
        <v>1</v>
      </c>
      <c r="O689" s="169">
        <v>1.0</v>
      </c>
      <c r="P689" s="134">
        <v>1.0</v>
      </c>
      <c r="Q689" s="168">
        <f t="shared" ref="Q689:Q693" si="509">M689*N689*O689*P689</f>
        <v>10.7</v>
      </c>
      <c r="R689" s="136" t="str">
        <f>IFERROR(
  IF(B689="", "", VLOOKUP(B689, Data!$B$2:$K$905, 9, FALSE)),
  ""
)</f>
        <v/>
      </c>
      <c r="S689" s="152">
        <f t="shared" ref="S689:S693" si="510">R689*Q689</f>
        <v>0</v>
      </c>
      <c r="T689" s="690"/>
      <c r="U689" s="136" t="str">
        <f>IFERROR(
  IF(B689="", "", VLOOKUP(B689, Data!$B$2:$K$905, 10, FALSE)),
  ""
)
</f>
        <v/>
      </c>
      <c r="V689" s="691"/>
      <c r="W689" s="140">
        <f t="shared" ref="W689:W693" si="511">U689*Q689</f>
        <v>0</v>
      </c>
      <c r="X689" s="692"/>
      <c r="Y689" s="693"/>
      <c r="Z689" s="731"/>
      <c r="AA689" s="595"/>
      <c r="AB689" s="354">
        <f t="shared" ref="AB689:AB694" si="512">W689+S689</f>
        <v>0</v>
      </c>
      <c r="AC689" s="181"/>
      <c r="AD689" s="625"/>
      <c r="AE689" s="626"/>
      <c r="AF689" s="696"/>
      <c r="AG689" s="697"/>
      <c r="AH689" s="629"/>
      <c r="AI689" s="187"/>
      <c r="AJ689" s="630"/>
      <c r="AK689" s="630"/>
      <c r="AL689" s="595"/>
      <c r="AM689" s="595"/>
      <c r="AN689" s="595"/>
      <c r="AO689" s="595"/>
      <c r="AP689" s="595"/>
      <c r="AQ689" s="595"/>
      <c r="AR689" s="595"/>
      <c r="AS689" s="595"/>
      <c r="AT689" s="595"/>
      <c r="AU689" s="595"/>
      <c r="AV689" s="595"/>
      <c r="AW689" s="595"/>
      <c r="AX689" s="595"/>
      <c r="AY689" s="595"/>
      <c r="AZ689" s="595"/>
      <c r="BA689" s="595"/>
      <c r="BB689" s="595"/>
      <c r="BC689" s="595"/>
      <c r="BD689" s="595"/>
      <c r="BE689" s="595"/>
      <c r="BF689" s="595"/>
      <c r="BG689" s="595"/>
      <c r="BH689" s="595"/>
      <c r="BI689" s="651"/>
      <c r="BJ689" s="651"/>
      <c r="BK689" s="651"/>
      <c r="BL689" s="651"/>
      <c r="BM689" s="651"/>
      <c r="BN689" s="651"/>
      <c r="BO689" s="651"/>
      <c r="BP689" s="651"/>
      <c r="BQ689" s="651"/>
      <c r="BR689" s="651"/>
      <c r="BS689" s="651"/>
      <c r="BT689" s="651"/>
    </row>
    <row r="690">
      <c r="A690" s="684"/>
      <c r="B690" s="154" t="str">
        <f>IFERROR(__xludf.DUMMYFUNCTION("IFERROR(
  IF(C690="""","""",
    IF(OR(REGEXMATCH(D690,""(?i)-Flashing""), REGEXMATCH(D690,""(?i)-EavesGut""), REGEXMATCH(D690,""(?i)Valley"")),
        ""DR"" &amp;
        TEXT(
            ROUNDUP(
                MIN(
                    VALUE(MID(C690, "&amp;"FIND(""("",C690)+1, FIND(""/"",C690)-FIND(""("",C690)-1)),
                    1200
                ) / 50, 0
            ) * 50, ""0""
        ) &amp;
        MID(C690, FIND(""/"",C690)+1, FIND("")"",C690)-FIND(""/"",C690)-1) &amp;
        TEXT(H690*100,""0"") &amp;"&amp;"
        I690,
    IF(AND(D690=""Roof Sheet"", REGEXMATCH(C690,""(?i)KS\d{4}[A-Z]{2}"")),
       REGEXEXTRACT(C690,""(?i)KS\d{4}[A-Z]{2}""),
    IF(AND(REGEXMATCH(D690,""(?i)-DP""), REGEXMATCH(C690,""(?i)Downpipe"")),
       ""dp"" &amp; REGEXEXTRACT(C690,""("&amp;"\d+)"") &amp; ""mm"",
    IF(AND(REGEXMATCH(D690,""(?i)Bracket""), REGEXMATCH(C690,""(?i)Bracket"")),
       ""Brkt"" &amp; REGEXEXTRACT(C690,""(\d+)"") &amp; ""mm"",
    IF(AND(REGEXMATCH(D690,""(?i)-OP""), REGEXMATCH(C690,""(?i)pops"")),
       ""op"" &amp; REGEXEXTRAC"&amp;"T(C690,""(\d+)"") &amp; ""mm"",
    IF(OR(D690=""R-FFTop"", D690=""R-FFBottom"", D690=""R-FFSide""),
        IF(REGEXMATCH(C690,""(?i)Profiled.*Top|Top.*Profiled""),""pfft"",
        IF(REGEXMATCH(C690,""(?i)Profiled.*Bottom|Bottom.*Profiled""),""pffb"",
    "&amp;"    IF(REGEXMATCH(C690,""(?i)Square""),""sff"",""""))),
    IF(REGEXMATCH(D690,""(?i)-Rivets""),""Rvt"",
    IF(REGEXMATCH(D690,""(?i)Silicone""),""300ml"",
    IF(REGEXMATCH(D690,""(?i)R-Butyl""),""300ml"",
    IF(REGEXMATCH(D690,""(?i)Fix""),""GenFix"","&amp;"
    IF(AND(REGEXMATCH(C690,""(?i)Timber""), REGEXMATCH(D690,""(?i)Timber"")),""tp"",
    IF(AND(REGEXMATCH(C690,""(?i)Vent G1275""), REGEXMATCH(D690,""(?i)Comb FIller"")),""CFV1275"",
    IF(REGEXMATCH(C690,""(?i)DPC""),""dpc"",
    IF(REGEXMATCH(C690,"""&amp;"(?i)Concealed Clips""),""ConClips"",
    IF(REGEXMATCH(D690,""(?i)-Takeoff ea""),""Takeoff ea"",
    IF(REGEXMATCH(D690,""(?i)-Takeoff LM""),""Takeoff LM"",
    IF(REGEXMATCH(D690,""(?i)-Takeoff m2""),""Takeoff m2"",
    IF(D690=""R-TU/TD"",""TU/TD"","""""&amp;")))))))))))))))))
  )))"),"300ml")</f>
        <v>300ml</v>
      </c>
      <c r="C690" s="734" t="s">
        <v>98</v>
      </c>
      <c r="D690" s="148" t="s">
        <v>162</v>
      </c>
      <c r="E690" s="687">
        <f>E689</f>
        <v>0.53</v>
      </c>
      <c r="F690" s="699"/>
      <c r="G690" s="700"/>
      <c r="H690" s="700" t="str">
        <f>IFERROR(__xludf.DUMMYFUNCTION("IFERROR(REGEXEXTRACT(C690, ""(\d*\.\d+)mm""), """")"),"")</f>
        <v/>
      </c>
      <c r="I690" s="712"/>
      <c r="J690" s="126" t="s">
        <v>87</v>
      </c>
      <c r="K690" s="126" t="str">
        <f>IFERROR(
  IF(B690="", "", VLOOKUP(B690, Data!$B$2:$K$905, 7, FALSE)),
  ""
)</f>
        <v/>
      </c>
      <c r="L690" s="704"/>
      <c r="M690" s="150">
        <f>(ROUNDDOWN((M689/5.7)+2,0)*E690)/8</f>
        <v>0.19875</v>
      </c>
      <c r="N690" s="151">
        <f t="shared" ref="N690:N694" si="513">if(B690="","",(if(N689="",N688,N689)))</f>
        <v>1</v>
      </c>
      <c r="O690" s="169">
        <v>1.0</v>
      </c>
      <c r="P690" s="134">
        <v>1.0</v>
      </c>
      <c r="Q690" s="168">
        <f t="shared" si="509"/>
        <v>0.19875</v>
      </c>
      <c r="R690" s="136" t="str">
        <f>IFERROR(
  IF(B690="", "", VLOOKUP(B690, Data!$B$2:$K$905, 9, FALSE)),
  ""
)</f>
        <v/>
      </c>
      <c r="S690" s="152">
        <f t="shared" si="510"/>
        <v>0</v>
      </c>
      <c r="T690" s="690"/>
      <c r="U690" s="681" t="str">
        <f>IFERROR(
  IF(B690="", "", VLOOKUP(B690, Data!$B$2:$K$905, 10, FALSE)),
  ""
)
</f>
        <v/>
      </c>
      <c r="V690" s="691"/>
      <c r="W690" s="140">
        <f t="shared" si="511"/>
        <v>0</v>
      </c>
      <c r="X690" s="692"/>
      <c r="Y690" s="595"/>
      <c r="Z690" s="595"/>
      <c r="AA690" s="595"/>
      <c r="AB690" s="354">
        <f t="shared" si="512"/>
        <v>0</v>
      </c>
      <c r="AC690" s="181"/>
      <c r="AD690" s="625"/>
      <c r="AE690" s="626"/>
      <c r="AF690" s="696"/>
      <c r="AG690" s="697"/>
      <c r="AH690" s="629"/>
      <c r="AI690" s="187"/>
      <c r="AJ690" s="630"/>
      <c r="AK690" s="630"/>
      <c r="AL690" s="595"/>
      <c r="AM690" s="595"/>
      <c r="AN690" s="595"/>
      <c r="AO690" s="595"/>
      <c r="AP690" s="595"/>
      <c r="AQ690" s="595"/>
      <c r="AR690" s="595"/>
      <c r="AS690" s="595"/>
      <c r="AT690" s="595"/>
      <c r="AU690" s="595"/>
      <c r="AV690" s="595"/>
      <c r="AW690" s="595"/>
      <c r="AX690" s="595"/>
      <c r="AY690" s="595"/>
      <c r="AZ690" s="595"/>
      <c r="BA690" s="595"/>
      <c r="BB690" s="595"/>
      <c r="BC690" s="595"/>
      <c r="BD690" s="595"/>
      <c r="BE690" s="595"/>
      <c r="BF690" s="595"/>
      <c r="BG690" s="595"/>
      <c r="BH690" s="595"/>
      <c r="BI690" s="651"/>
      <c r="BJ690" s="651"/>
      <c r="BK690" s="651"/>
      <c r="BL690" s="651"/>
      <c r="BM690" s="651"/>
      <c r="BN690" s="651"/>
      <c r="BO690" s="651"/>
      <c r="BP690" s="651"/>
      <c r="BQ690" s="651"/>
      <c r="BR690" s="651"/>
      <c r="BS690" s="651"/>
      <c r="BT690" s="651"/>
    </row>
    <row r="691">
      <c r="A691" s="684"/>
      <c r="B691" s="154" t="str">
        <f>IFERROR(__xludf.DUMMYFUNCTION("IFERROR(
  IF(C691="""","""",
    IF(OR(REGEXMATCH(D691,""(?i)-Flashing""), REGEXMATCH(D691,""(?i)-EavesGut""), REGEXMATCH(D691,""(?i)Valley"")),
        ""DR"" &amp;
        TEXT(
            ROUNDUP(
                MIN(
                    VALUE(MID(C691, "&amp;"FIND(""("",C691)+1, FIND(""/"",C691)-FIND(""("",C691)-1)),
                    1200
                ) / 50, 0
            ) * 50, ""0""
        ) &amp;
        MID(C691, FIND(""/"",C691)+1, FIND("")"",C691)-FIND(""/"",C691)-1) &amp;
        TEXT(H691*100,""0"") &amp;"&amp;"
        I691,
    IF(AND(D691=""Roof Sheet"", REGEXMATCH(C691,""(?i)KS\d{4}[A-Z]{2}"")),
       REGEXEXTRACT(C691,""(?i)KS\d{4}[A-Z]{2}""),
    IF(AND(REGEXMATCH(D691,""(?i)-DP""), REGEXMATCH(C691,""(?i)Downpipe"")),
       ""dp"" &amp; REGEXEXTRACT(C691,""("&amp;"\d+)"") &amp; ""mm"",
    IF(AND(REGEXMATCH(D691,""(?i)Bracket""), REGEXMATCH(C691,""(?i)Bracket"")),
       ""Brkt"" &amp; REGEXEXTRACT(C691,""(\d+)"") &amp; ""mm"",
    IF(AND(REGEXMATCH(D691,""(?i)-OP""), REGEXMATCH(C691,""(?i)pops"")),
       ""op"" &amp; REGEXEXTRAC"&amp;"T(C691,""(\d+)"") &amp; ""mm"",
    IF(OR(D691=""R-FFTop"", D691=""R-FFBottom"", D691=""R-FFSide""),
        IF(REGEXMATCH(C691,""(?i)Profiled.*Top|Top.*Profiled""),""pfft"",
        IF(REGEXMATCH(C691,""(?i)Profiled.*Bottom|Bottom.*Profiled""),""pffb"",
    "&amp;"    IF(REGEXMATCH(C691,""(?i)Square""),""sff"",""""))),
    IF(REGEXMATCH(D691,""(?i)-Rivets""),""Rvt"",
    IF(REGEXMATCH(D691,""(?i)Silicone""),""300ml"",
    IF(REGEXMATCH(D691,""(?i)R-Butyl""),""300ml"",
    IF(REGEXMATCH(D691,""(?i)Fix""),""GenFix"","&amp;"
    IF(AND(REGEXMATCH(C691,""(?i)Timber""), REGEXMATCH(D691,""(?i)Timber"")),""tp"",
    IF(AND(REGEXMATCH(C691,""(?i)Vent G1275""), REGEXMATCH(D691,""(?i)Comb FIller"")),""CFV1275"",
    IF(REGEXMATCH(C691,""(?i)DPC""),""dpc"",
    IF(REGEXMATCH(C691,"""&amp;"(?i)Concealed Clips""),""ConClips"",
    IF(REGEXMATCH(D691,""(?i)-Takeoff ea""),""Takeoff ea"",
    IF(REGEXMATCH(D691,""(?i)-Takeoff LM""),""Takeoff LM"",
    IF(REGEXMATCH(D691,""(?i)-Takeoff m2""),""Takeoff m2"",
    IF(D691=""R-TU/TD"",""TU/TD"","""""&amp;")))))))))))))))))
  )))"),"Rvt")</f>
        <v>Rvt</v>
      </c>
      <c r="C691" s="734" t="s">
        <v>100</v>
      </c>
      <c r="D691" s="148" t="s">
        <v>163</v>
      </c>
      <c r="E691" s="687">
        <f>E689</f>
        <v>0.53</v>
      </c>
      <c r="F691" s="699"/>
      <c r="G691" s="700"/>
      <c r="H691" s="700" t="str">
        <f>IFERROR(__xludf.DUMMYFUNCTION("IFERROR(REGEXEXTRACT(C691, ""(\d*\.\d+)mm""), """")"),"")</f>
        <v/>
      </c>
      <c r="I691" s="712"/>
      <c r="J691" s="126" t="s">
        <v>87</v>
      </c>
      <c r="K691" s="126" t="str">
        <f>IFERROR(
  IF(B691="", "", VLOOKUP(B691, Data!$B$2:$K$905, 7, FALSE)),
  ""
)</f>
        <v/>
      </c>
      <c r="L691" s="704"/>
      <c r="M691" s="150">
        <f>ROUNDUP(((M689/5.7)+1)*(E691/0.05),0)</f>
        <v>31</v>
      </c>
      <c r="N691" s="151">
        <f t="shared" si="513"/>
        <v>1</v>
      </c>
      <c r="O691" s="169">
        <v>1.0</v>
      </c>
      <c r="P691" s="134">
        <v>1.0</v>
      </c>
      <c r="Q691" s="168">
        <f t="shared" si="509"/>
        <v>31</v>
      </c>
      <c r="R691" s="136" t="str">
        <f>IFERROR(
  IF(B691="", "", VLOOKUP(B691, Data!$B$2:$K$905, 9, FALSE)),
  ""
)</f>
        <v/>
      </c>
      <c r="S691" s="152">
        <f t="shared" si="510"/>
        <v>0</v>
      </c>
      <c r="T691" s="690"/>
      <c r="U691" s="681" t="str">
        <f>IFERROR(
  IF(B691="", "", VLOOKUP(B691, Data!$B$2:$K$905, 10, FALSE)),
  ""
)
</f>
        <v/>
      </c>
      <c r="V691" s="691"/>
      <c r="W691" s="140">
        <f t="shared" si="511"/>
        <v>0</v>
      </c>
      <c r="X691" s="692"/>
      <c r="Y691" s="595"/>
      <c r="Z691" s="595"/>
      <c r="AA691" s="595"/>
      <c r="AB691" s="354">
        <f t="shared" si="512"/>
        <v>0</v>
      </c>
      <c r="AC691" s="181"/>
      <c r="AD691" s="625"/>
      <c r="AE691" s="626"/>
      <c r="AF691" s="696"/>
      <c r="AG691" s="697"/>
      <c r="AH691" s="629"/>
      <c r="AI691" s="187"/>
      <c r="AJ691" s="630"/>
      <c r="AK691" s="630"/>
      <c r="AL691" s="595"/>
      <c r="AM691" s="595"/>
      <c r="AN691" s="595"/>
      <c r="AO691" s="595"/>
      <c r="AP691" s="595"/>
      <c r="AQ691" s="595"/>
      <c r="AR691" s="595"/>
      <c r="AS691" s="595"/>
      <c r="AT691" s="595"/>
      <c r="AU691" s="595"/>
      <c r="AV691" s="595"/>
      <c r="AW691" s="595"/>
      <c r="AX691" s="595"/>
      <c r="AY691" s="595"/>
      <c r="AZ691" s="595"/>
      <c r="BA691" s="595"/>
      <c r="BB691" s="595"/>
      <c r="BC691" s="595"/>
      <c r="BD691" s="595"/>
      <c r="BE691" s="595"/>
      <c r="BF691" s="595"/>
      <c r="BG691" s="595"/>
      <c r="BH691" s="595"/>
      <c r="BI691" s="651"/>
      <c r="BJ691" s="651"/>
      <c r="BK691" s="651"/>
      <c r="BL691" s="651"/>
      <c r="BM691" s="651"/>
      <c r="BN691" s="651"/>
      <c r="BO691" s="651"/>
      <c r="BP691" s="651"/>
      <c r="BQ691" s="651"/>
      <c r="BR691" s="651"/>
      <c r="BS691" s="651"/>
      <c r="BT691" s="651"/>
    </row>
    <row r="692">
      <c r="A692" s="684"/>
      <c r="B692" s="154" t="str">
        <f>IFERROR(__xludf.DUMMYFUNCTION("IFERROR(
  IF(C692="""","""",
    IF(OR(REGEXMATCH(D692,""(?i)-Flashing""), REGEXMATCH(D692,""(?i)-EavesGut""), REGEXMATCH(D692,""(?i)Valley"")),
        ""DR"" &amp;
        TEXT(
            ROUNDUP(
                MIN(
                    VALUE(MID(C692, "&amp;"FIND(""("",C692)+1, FIND(""/"",C692)-FIND(""("",C692)-1)),
                    1200
                ) / 50, 0
            ) * 50, ""0""
        ) &amp;
        MID(C692, FIND(""/"",C692)+1, FIND("")"",C692)-FIND(""/"",C692)-1) &amp;
        TEXT(H692*100,""0"") &amp;"&amp;"
        I692,
    IF(AND(D692=""Roof Sheet"", REGEXMATCH(C692,""(?i)KS\d{4}[A-Z]{2}"")),
       REGEXEXTRACT(C692,""(?i)KS\d{4}[A-Z]{2}""),
    IF(AND(REGEXMATCH(D692,""(?i)-DP""), REGEXMATCH(C692,""(?i)Downpipe"")),
       ""dp"" &amp; REGEXEXTRACT(C692,""("&amp;"\d+)"") &amp; ""mm"",
    IF(AND(REGEXMATCH(D692,""(?i)Bracket""), REGEXMATCH(C692,""(?i)Bracket"")),
       ""Brkt"" &amp; REGEXEXTRACT(C692,""(\d+)"") &amp; ""mm"",
    IF(AND(REGEXMATCH(D692,""(?i)-OP""), REGEXMATCH(C692,""(?i)pops"")),
       ""op"" &amp; REGEXEXTRAC"&amp;"T(C692,""(\d+)"") &amp; ""mm"",
    IF(OR(D692=""R-FFTop"", D692=""R-FFBottom"", D692=""R-FFSide""),
        IF(REGEXMATCH(C692,""(?i)Profiled.*Top|Top.*Profiled""),""pfft"",
        IF(REGEXMATCH(C692,""(?i)Profiled.*Bottom|Bottom.*Profiled""),""pffb"",
    "&amp;"    IF(REGEXMATCH(C692,""(?i)Square""),""sff"",""""))),
    IF(REGEXMATCH(D692,""(?i)-Rivets""),""Rvt"",
    IF(REGEXMATCH(D692,""(?i)Silicone""),""300ml"",
    IF(REGEXMATCH(D692,""(?i)R-Butyl""),""300ml"",
    IF(REGEXMATCH(D692,""(?i)Fix""),""GenFix"","&amp;"
    IF(AND(REGEXMATCH(C692,""(?i)Timber""), REGEXMATCH(D692,""(?i)Timber"")),""tp"",
    IF(AND(REGEXMATCH(C692,""(?i)Vent G1275""), REGEXMATCH(D692,""(?i)Comb FIller"")),""CFV1275"",
    IF(REGEXMATCH(C692,""(?i)DPC""),""dpc"",
    IF(REGEXMATCH(C692,"""&amp;"(?i)Concealed Clips""),""ConClips"",
    IF(REGEXMATCH(D692,""(?i)-Takeoff ea""),""Takeoff ea"",
    IF(REGEXMATCH(D692,""(?i)-Takeoff LM""),""Takeoff LM"",
    IF(REGEXMATCH(D692,""(?i)-Takeoff m2""),""Takeoff m2"",
    IF(D692=""R-TU/TD"",""TU/TD"","""""&amp;")))))))))))))))))
  )))"),"GenFix")</f>
        <v>GenFix</v>
      </c>
      <c r="C692" s="698" t="s">
        <v>102</v>
      </c>
      <c r="D692" s="148" t="s">
        <v>164</v>
      </c>
      <c r="E692" s="722"/>
      <c r="F692" s="699"/>
      <c r="G692" s="701"/>
      <c r="H692" s="700"/>
      <c r="I692" s="712"/>
      <c r="J692" s="126" t="s">
        <v>87</v>
      </c>
      <c r="K692" s="126" t="str">
        <f>IFERROR(
  IF(B692="", "", VLOOKUP(B692, Data!$B$2:$K$905, 7, FALSE)),
  ""
)</f>
        <v/>
      </c>
      <c r="L692" s="712"/>
      <c r="M692" s="150">
        <f>ROUNDUP(M689/0.6,0)+1</f>
        <v>19</v>
      </c>
      <c r="N692" s="151">
        <f t="shared" si="513"/>
        <v>1</v>
      </c>
      <c r="O692" s="169">
        <v>1.0</v>
      </c>
      <c r="P692" s="134">
        <v>2.0</v>
      </c>
      <c r="Q692" s="168">
        <f t="shared" si="509"/>
        <v>38</v>
      </c>
      <c r="R692" s="136" t="str">
        <f>IFERROR(
  IF(B692="", "", VLOOKUP(B692, Data!$B$2:$K$905, 9, FALSE)),
  ""
)</f>
        <v/>
      </c>
      <c r="S692" s="152">
        <f t="shared" si="510"/>
        <v>0</v>
      </c>
      <c r="T692" s="690"/>
      <c r="U692" s="681" t="str">
        <f>IFERROR(
  IF(B692="", "", VLOOKUP(B692, Data!$B$2:$K$905, 10, FALSE)),
  ""
)
</f>
        <v/>
      </c>
      <c r="V692" s="691"/>
      <c r="W692" s="140">
        <f t="shared" si="511"/>
        <v>0</v>
      </c>
      <c r="X692" s="692"/>
      <c r="Y692" s="595"/>
      <c r="Z692" s="595"/>
      <c r="AA692" s="595"/>
      <c r="AB692" s="354">
        <f t="shared" si="512"/>
        <v>0</v>
      </c>
      <c r="AC692" s="181"/>
      <c r="AD692" s="625"/>
      <c r="AE692" s="626"/>
      <c r="AF692" s="696"/>
      <c r="AG692" s="697"/>
      <c r="AH692" s="629"/>
      <c r="AI692" s="187"/>
      <c r="AJ692" s="630"/>
      <c r="AK692" s="630"/>
      <c r="AL692" s="595"/>
      <c r="AM692" s="595"/>
      <c r="AN692" s="595"/>
      <c r="AO692" s="595"/>
      <c r="AP692" s="595"/>
      <c r="AQ692" s="595"/>
      <c r="AR692" s="595"/>
      <c r="AS692" s="595"/>
      <c r="AT692" s="595"/>
      <c r="AU692" s="595"/>
      <c r="AV692" s="595"/>
      <c r="AW692" s="595"/>
      <c r="AX692" s="595"/>
      <c r="AY692" s="595"/>
      <c r="AZ692" s="595"/>
      <c r="BA692" s="595"/>
      <c r="BB692" s="595"/>
      <c r="BC692" s="595"/>
      <c r="BD692" s="595"/>
      <c r="BE692" s="595"/>
      <c r="BF692" s="595"/>
      <c r="BG692" s="595"/>
      <c r="BH692" s="595"/>
      <c r="BI692" s="651"/>
      <c r="BJ692" s="651"/>
      <c r="BK692" s="651"/>
      <c r="BL692" s="651"/>
      <c r="BM692" s="651"/>
      <c r="BN692" s="651"/>
      <c r="BO692" s="651"/>
      <c r="BP692" s="651"/>
      <c r="BQ692" s="651"/>
      <c r="BR692" s="651"/>
      <c r="BS692" s="651"/>
      <c r="BT692" s="651"/>
    </row>
    <row r="693">
      <c r="A693" s="684"/>
      <c r="B693" s="154" t="str">
        <f>IFERROR(__xludf.DUMMYFUNCTION("IFERROR(
  IF(C693="""","""",
    IF(OR(REGEXMATCH(D693,""(?i)-Flashing""), REGEXMATCH(D693,""(?i)-EavesGut""), REGEXMATCH(D693,""(?i)Valley"")),
        ""DR"" &amp;
        TEXT(
            ROUNDUP(
                MIN(
                    VALUE(MID(C693, "&amp;"FIND(""("",C693)+1, FIND(""/"",C693)-FIND(""("",C693)-1)),
                    1200
                ) / 50, 0
            ) * 50, ""0""
        ) &amp;
        MID(C693, FIND(""/"",C693)+1, FIND("")"",C693)-FIND(""/"",C693)-1) &amp;
        TEXT(H693*100,""0"") &amp;"&amp;"
        I693,
    IF(AND(D693=""Roof Sheet"", REGEXMATCH(C693,""(?i)KS\d{4}[A-Z]{2}"")),
       REGEXEXTRACT(C693,""(?i)KS\d{4}[A-Z]{2}""),
    IF(AND(REGEXMATCH(D693,""(?i)-DP""), REGEXMATCH(C693,""(?i)Downpipe"")),
       ""dp"" &amp; REGEXEXTRACT(C693,""("&amp;"\d+)"") &amp; ""mm"",
    IF(AND(REGEXMATCH(D693,""(?i)Bracket""), REGEXMATCH(C693,""(?i)Bracket"")),
       ""Brkt"" &amp; REGEXEXTRACT(C693,""(\d+)"") &amp; ""mm"",
    IF(AND(REGEXMATCH(D693,""(?i)-OP""), REGEXMATCH(C693,""(?i)pops"")),
       ""op"" &amp; REGEXEXTRAC"&amp;"T(C693,""(\d+)"") &amp; ""mm"",
    IF(OR(D693=""R-FFTop"", D693=""R-FFBottom"", D693=""R-FFSide""),
        IF(REGEXMATCH(C693,""(?i)Profiled.*Top|Top.*Profiled""),""pfft"",
        IF(REGEXMATCH(C693,""(?i)Profiled.*Bottom|Bottom.*Profiled""),""pffb"",
    "&amp;"    IF(REGEXMATCH(C693,""(?i)Square""),""sff"",""""))),
    IF(OR(D693=""W-FFTop"", D693=""W-FFBottom"", D693=""W-FFSide""),
        IF(REGEXMATCH(C693,""(?i)Profiled.*Top|Top.*Profiled""),""pfft"",
        IF(REGEXMATCH(C693,""(?i)Profiled.*Bottom|Bottom"&amp;".*Profiled""),""pffb"",
        IF(REGEXMATCH(C693,""(?i)Square""),""sff"",""""))),
    IF(REGEXMATCH(D693,""(?i)-Rivets""),""Rvt"",
    IF(REGEXMATCH(D693,""(?i)Silicone""),""300ml"",
    IF(REGEXMATCH(D693,""(?i)R-Butyl""),""300ml"",
    IF(REGEXMATCH(D"&amp;"693,""(?i)Fix""),""GenFix"",
    IF(AND(REGEXMATCH(C693,""(?i)Timber""), REGEXMATCH(D693,""(?i)Timber"")),""tp"",
    IF(AND(REGEXMATCH(C693,""(?i)Vent G1275""), REGEXMATCH(D693,""(?i)Comb FIller"")),""CFV1275"",
    IF(REGEXMATCH(C693,""(?i)DPC""),""dpc"&amp;""",
    IF(REGEXMATCH(C693,""(?i)Concealed Clips""),""ConClips"",
    IF(REGEXMATCH(D693,""(?i)-Takeoff ea""),""Takeoff ea"",
    IF(REGEXMATCH(D693,""(?i)-Takeoff LM""),""Takeoff LM"",
    IF(REGEXMATCH(D693,""(?i)-Takeoff m2""),""Takeoff m2"",
    IF(D6"&amp;"93=""R-TU/TD"",""TU/TD"",
    IF(D693=""W-TU/TD"",""TU/TD"","""")))))))))))))))))
  )))))"),"sff")</f>
        <v>sff</v>
      </c>
      <c r="C693" s="698" t="s">
        <v>454</v>
      </c>
      <c r="D693" s="148" t="s">
        <v>340</v>
      </c>
      <c r="E693" s="722"/>
      <c r="F693" s="699"/>
      <c r="G693" s="701"/>
      <c r="H693" s="700"/>
      <c r="I693" s="712"/>
      <c r="J693" s="126" t="s">
        <v>87</v>
      </c>
      <c r="K693" s="126" t="str">
        <f>IFERROR(
  IF(B693="", "", VLOOKUP(B693, Data!$B$2:$K$905, 7, FALSE)),
  ""
)</f>
        <v/>
      </c>
      <c r="L693" s="712"/>
      <c r="M693" s="150">
        <f>M689</f>
        <v>10.7</v>
      </c>
      <c r="N693" s="151">
        <f t="shared" si="513"/>
        <v>1</v>
      </c>
      <c r="O693" s="169">
        <v>1.0</v>
      </c>
      <c r="P693" s="134">
        <v>2.0</v>
      </c>
      <c r="Q693" s="168">
        <f t="shared" si="509"/>
        <v>21.4</v>
      </c>
      <c r="R693" s="136" t="str">
        <f>IFERROR(
  IF(B693="", "", VLOOKUP(B693, Data!$B$2:$K$905, 9, FALSE)),
  ""
)</f>
        <v/>
      </c>
      <c r="S693" s="152">
        <f t="shared" si="510"/>
        <v>0</v>
      </c>
      <c r="T693" s="690"/>
      <c r="U693" s="136" t="str">
        <f>IFERROR(
  IF(B693="", "", VLOOKUP(B693, Data!$B$2:$K$905, 10, FALSE)),
  ""
)
</f>
        <v/>
      </c>
      <c r="V693" s="691"/>
      <c r="W693" s="140">
        <f t="shared" si="511"/>
        <v>0</v>
      </c>
      <c r="X693" s="692"/>
      <c r="Y693" s="595"/>
      <c r="Z693" s="595"/>
      <c r="AA693" s="595"/>
      <c r="AB693" s="354">
        <f t="shared" si="512"/>
        <v>0</v>
      </c>
      <c r="AC693" s="181"/>
      <c r="AD693" s="625"/>
      <c r="AE693" s="626"/>
      <c r="AF693" s="696"/>
      <c r="AG693" s="697"/>
      <c r="AH693" s="629"/>
      <c r="AI693" s="187"/>
      <c r="AJ693" s="630"/>
      <c r="AK693" s="630"/>
      <c r="AL693" s="595"/>
      <c r="AM693" s="595"/>
      <c r="AN693" s="595"/>
      <c r="AO693" s="595"/>
      <c r="AP693" s="595"/>
      <c r="AQ693" s="595"/>
      <c r="AR693" s="595"/>
      <c r="AS693" s="595"/>
      <c r="AT693" s="595"/>
      <c r="AU693" s="595"/>
      <c r="AV693" s="595"/>
      <c r="AW693" s="595"/>
      <c r="AX693" s="595"/>
      <c r="AY693" s="595"/>
      <c r="AZ693" s="595"/>
      <c r="BA693" s="595"/>
      <c r="BB693" s="595"/>
      <c r="BC693" s="595"/>
      <c r="BD693" s="595"/>
      <c r="BE693" s="595"/>
      <c r="BF693" s="595"/>
      <c r="BG693" s="595"/>
      <c r="BH693" s="595"/>
      <c r="BI693" s="651"/>
      <c r="BJ693" s="651"/>
      <c r="BK693" s="651"/>
      <c r="BL693" s="651"/>
      <c r="BM693" s="651"/>
      <c r="BN693" s="651"/>
      <c r="BO693" s="651"/>
      <c r="BP693" s="651"/>
      <c r="BQ693" s="651"/>
      <c r="BR693" s="651"/>
      <c r="BS693" s="651"/>
      <c r="BT693" s="651"/>
    </row>
    <row r="694">
      <c r="A694" s="684"/>
      <c r="B694" s="154"/>
      <c r="C694" s="758"/>
      <c r="D694" s="701"/>
      <c r="E694" s="722"/>
      <c r="F694" s="699"/>
      <c r="G694" s="701"/>
      <c r="H694" s="700"/>
      <c r="I694" s="712"/>
      <c r="J694" s="701"/>
      <c r="K694" s="701"/>
      <c r="L694" s="712"/>
      <c r="M694" s="704"/>
      <c r="N694" s="151" t="str">
        <f t="shared" si="513"/>
        <v/>
      </c>
      <c r="O694" s="712"/>
      <c r="P694" s="700"/>
      <c r="Q694" s="712"/>
      <c r="R694" s="681" t="str">
        <f>IFERROR(
  IF(B694="", "", VLOOKUP(B694, Data!$B$2:$K$905, 9, FALSE)),
  ""
)</f>
        <v/>
      </c>
      <c r="S694" s="691"/>
      <c r="T694" s="690"/>
      <c r="U694" s="681" t="str">
        <f>IFERROR(
  IF(B694="", "", VLOOKUP(B694, Data!$B$2:$K$905, 10, FALSE)),
  ""
)
</f>
        <v/>
      </c>
      <c r="V694" s="691"/>
      <c r="W694" s="713"/>
      <c r="X694" s="692"/>
      <c r="Y694" s="595"/>
      <c r="Z694" s="595"/>
      <c r="AA694" s="595"/>
      <c r="AB694" s="354">
        <f t="shared" si="512"/>
        <v>0</v>
      </c>
      <c r="AC694" s="181"/>
      <c r="AD694" s="625"/>
      <c r="AE694" s="626"/>
      <c r="AF694" s="696"/>
      <c r="AG694" s="697"/>
      <c r="AH694" s="629"/>
      <c r="AI694" s="187"/>
      <c r="AJ694" s="630"/>
      <c r="AK694" s="630"/>
      <c r="AL694" s="595"/>
      <c r="AM694" s="595"/>
      <c r="AN694" s="595"/>
      <c r="AO694" s="595"/>
      <c r="AP694" s="595"/>
      <c r="AQ694" s="595"/>
      <c r="AR694" s="595"/>
      <c r="AS694" s="595"/>
      <c r="AT694" s="595"/>
      <c r="AU694" s="595"/>
      <c r="AV694" s="595"/>
      <c r="AW694" s="595"/>
      <c r="AX694" s="595"/>
      <c r="AY694" s="595"/>
      <c r="AZ694" s="595"/>
      <c r="BA694" s="595"/>
      <c r="BB694" s="595"/>
      <c r="BC694" s="595"/>
      <c r="BD694" s="595"/>
      <c r="BE694" s="595"/>
      <c r="BF694" s="595"/>
      <c r="BG694" s="595"/>
      <c r="BH694" s="595"/>
      <c r="BI694" s="651"/>
      <c r="BJ694" s="651"/>
      <c r="BK694" s="651"/>
      <c r="BL694" s="651"/>
      <c r="BM694" s="651"/>
      <c r="BN694" s="651"/>
      <c r="BO694" s="651"/>
      <c r="BP694" s="651"/>
      <c r="BQ694" s="651"/>
      <c r="BR694" s="651"/>
      <c r="BS694" s="651"/>
      <c r="BT694" s="651"/>
    </row>
    <row r="695">
      <c r="A695" s="631">
        <v>1.0</v>
      </c>
      <c r="B695" s="727"/>
      <c r="C695" s="769" t="s">
        <v>560</v>
      </c>
      <c r="D695" s="678"/>
      <c r="E695" s="676"/>
      <c r="F695" s="677"/>
      <c r="G695" s="678"/>
      <c r="H695" s="678"/>
      <c r="I695" s="679"/>
      <c r="J695" s="678"/>
      <c r="K695" s="678" t="s">
        <v>42</v>
      </c>
      <c r="L695" s="106">
        <f>Q695</f>
        <v>12.56</v>
      </c>
      <c r="M695" s="679" t="s">
        <v>42</v>
      </c>
      <c r="N695" s="680"/>
      <c r="O695" s="679"/>
      <c r="P695" s="678"/>
      <c r="Q695" s="106">
        <f>Q696</f>
        <v>12.56</v>
      </c>
      <c r="R695" s="681" t="str">
        <f>IFERROR(
  IF(B695="", "", VLOOKUP(B695, Data!$B$2:$K$905, 9, FALSE)),
  ""
)</f>
        <v/>
      </c>
      <c r="S695" s="682">
        <f>IFERROR(T695/Q695, 0)</f>
        <v>0</v>
      </c>
      <c r="T695" s="109">
        <f>SUM(S696:S701)</f>
        <v>0</v>
      </c>
      <c r="U695" s="681" t="str">
        <f>IFERROR(
  IF(B695="", "", VLOOKUP(B695, Data!$B$2:$K$905, 10, FALSE)),
  ""
)
</f>
        <v/>
      </c>
      <c r="V695" s="109">
        <f>W695/Q695</f>
        <v>0</v>
      </c>
      <c r="W695" s="110">
        <f>SUM(W696:W701)</f>
        <v>0</v>
      </c>
      <c r="X695" s="111" t="str">
        <f>W695/$AC$758/$W$765/$X$755</f>
        <v>#REF!</v>
      </c>
      <c r="Y695" s="112" t="b">
        <f>(T695+W695)=(SUM(AB696:AB701))</f>
        <v>1</v>
      </c>
      <c r="Z695" s="222">
        <f>(T695+W695)-(SUM(AB696:AB701))</f>
        <v>0</v>
      </c>
      <c r="AA695" s="595"/>
      <c r="AB695" s="595"/>
      <c r="AC695" s="181"/>
      <c r="AD695" s="114">
        <f>W695+T695</f>
        <v>0</v>
      </c>
      <c r="AE695" s="115">
        <f>AD695</f>
        <v>0</v>
      </c>
      <c r="AF695" s="116" t="str">
        <f>AE695/$AE$733</f>
        <v>#REF!</v>
      </c>
      <c r="AG695" s="683" t="str">
        <f>AF695*$AG$740</f>
        <v>#REF!</v>
      </c>
      <c r="AH695" s="118" t="str">
        <f>AF695*$AG$743</f>
        <v>#REF!</v>
      </c>
      <c r="AI695" s="187"/>
      <c r="AJ695" s="119" t="str">
        <f>ROUND(AK695/L695,2)</f>
        <v>#REF!</v>
      </c>
      <c r="AK695" s="119" t="str">
        <f>ROUND(AH695+AG695+AD695,2)</f>
        <v>#REF!</v>
      </c>
      <c r="AL695" s="595"/>
      <c r="AM695" s="595"/>
      <c r="AN695" s="595"/>
      <c r="AO695" s="595"/>
      <c r="AP695" s="595"/>
      <c r="AQ695" s="595"/>
      <c r="AR695" s="595"/>
      <c r="AS695" s="595"/>
      <c r="AT695" s="595"/>
      <c r="AU695" s="595"/>
      <c r="AV695" s="595"/>
      <c r="AW695" s="595"/>
      <c r="AX695" s="595"/>
      <c r="AY695" s="595"/>
      <c r="AZ695" s="595"/>
      <c r="BA695" s="595"/>
      <c r="BB695" s="595"/>
      <c r="BC695" s="595"/>
      <c r="BD695" s="595"/>
      <c r="BE695" s="595"/>
      <c r="BF695" s="595"/>
      <c r="BG695" s="595"/>
      <c r="BH695" s="595"/>
      <c r="BI695" s="651"/>
      <c r="BJ695" s="651"/>
      <c r="BK695" s="651"/>
      <c r="BL695" s="651"/>
      <c r="BM695" s="651"/>
      <c r="BN695" s="651"/>
      <c r="BO695" s="651"/>
      <c r="BP695" s="651"/>
      <c r="BQ695" s="651"/>
      <c r="BR695" s="651"/>
      <c r="BS695" s="651"/>
      <c r="BT695" s="651"/>
    </row>
    <row r="696">
      <c r="A696" s="716" t="s">
        <v>444</v>
      </c>
      <c r="B696" s="154" t="str">
        <f>IFERROR(__xludf.DUMMYFUNCTION("IFERROR(
  IF(C696="""","""",
    IF(OR(REGEXMATCH(D696,""(?i)-Flashing""), REGEXMATCH(D696,""(?i)-EavesGut""), REGEXMATCH(D696,""(?i)Valley"")),
        ""DR"" &amp;
        TEXT(
            ROUNDUP(
                MIN(
                    VALUE(MID(C696, "&amp;"FIND(""("",C696)+1, FIND(""/"",C696)-FIND(""("",C696)-1)),
                    1200
                ) / 50, 0
            ) * 50, ""0""
        ) &amp;
        MID(C696, FIND(""/"",C696)+1, FIND("")"",C696)-FIND(""/"",C696)-1) &amp;
        TEXT(H696*100,""0"") &amp;"&amp;"
        I696,
    IF(AND(D696=""Roof Sheet"", REGEXMATCH(C696,""(?i)KS\d{4}[A-Z]{2}"")),
       REGEXEXTRACT(C696,""(?i)KS\d{4}[A-Z]{2}""),
    IF(AND(REGEXMATCH(D696,""(?i)-DP""), REGEXMATCH(C696,""(?i)Downpipe"")),
       ""dp"" &amp; REGEXEXTRACT(C696,""("&amp;"\d+)"") &amp; ""mm"",
    IF(AND(REGEXMATCH(D696,""(?i)Bracket""), REGEXMATCH(C696,""(?i)Bracket"")),
       ""Brkt"" &amp; REGEXEXTRACT(C696,""(\d+)"") &amp; ""mm"",
    IF(AND(REGEXMATCH(D696,""(?i)-OP""), REGEXMATCH(C696,""(?i)pops"")),
       ""op"" &amp; REGEXEXTRAC"&amp;"T(C696,""(\d+)"") &amp; ""mm"",
    IF(OR(D696=""R-FFTop"", D696=""R-FFBottom"", D696=""R-FFSide""),
        IF(REGEXMATCH(C696,""(?i)Profiled.*Top|Top.*Profiled""),""pfft"",
        IF(REGEXMATCH(C696,""(?i)Profiled.*Bottom|Bottom.*Profiled""),""pffb"",
    "&amp;"    IF(REGEXMATCH(C696,""(?i)Square""),""sff"",""""))),
    IF(REGEXMATCH(D696,""(?i)-Rivets""),""Rvt"",
    IF(REGEXMATCH(D696,""(?i)Silicone""),""300ml"",
    IF(REGEXMATCH(D696,""(?i)R-Butyl""),""300ml"",
    IF(REGEXMATCH(D696,""(?i)Fix""),""GenFix"","&amp;"
    IF(AND(REGEXMATCH(C696,""(?i)Timber""), REGEXMATCH(D696,""(?i)Timber"")),""tp"",
    IF(AND(REGEXMATCH(C696,""(?i)Vent G1275""), REGEXMATCH(D696,""(?i)Comb FIller"")),""CFV1275"",
    IF(REGEXMATCH(C696,""(?i)DPC""),""dpc"",
    IF(REGEXMATCH(C696,"""&amp;"(?i)Concealed Clips""),""ConClips"",
    IF(REGEXMATCH(D696,""(?i)-Takeoff ea""),""Takeoff ea"",
    IF(REGEXMATCH(D696,""(?i)-Takeoff LM""),""Takeoff LM"",
    IF(REGEXMATCH(D696,""(?i)-Takeoff m2""),""Takeoff m2"",
    IF(D696=""R-TU/TD"",""TU/TD"","""""&amp;")))))))))))))))))
  )))"),"DR5004B55Mag")</f>
        <v>DR5004B55Mag</v>
      </c>
      <c r="C696" s="698" t="s">
        <v>561</v>
      </c>
      <c r="D696" s="148" t="s">
        <v>161</v>
      </c>
      <c r="E696" s="687">
        <f>VALUE(MID(C696, FIND("(", C696)+1, FIND("/", C696)-FIND("(", C696)-1)) / 1000</f>
        <v>0.48</v>
      </c>
      <c r="F696" s="688"/>
      <c r="G696" s="689" t="s">
        <v>579</v>
      </c>
      <c r="H696" s="128" t="str">
        <f>IFERROR(__xludf.DUMMYFUNCTION("IFERROR(REGEXEXTRACT(C696, ""(\d*\.\d+)mm""), """")"),"0.55")</f>
        <v>0.55</v>
      </c>
      <c r="I696" s="168" t="s">
        <v>97</v>
      </c>
      <c r="J696" s="126" t="s">
        <v>14</v>
      </c>
      <c r="K696" s="126" t="str">
        <f>IFERROR(
  IF(B696="", "", VLOOKUP(B696, Data!$B$2:$K$905, 7, FALSE)),
  ""
)</f>
        <v/>
      </c>
      <c r="L696" s="704"/>
      <c r="M696" s="730">
        <v>12.56</v>
      </c>
      <c r="N696" s="151">
        <f>IFERROR(__xludf.DUMMYFUNCTION("IF(
  AND(
    IFERROR(REGEXEXTRACT(C696,""@\s*(\d+(?:\.\d+)?)\s*deg""),"""")&lt;&gt;"""",
    F696&lt;&gt;""""
  ),
  ""Pls Confirm °"",
  IF(
    IFERROR(REGEXEXTRACT(C696,""@\s*(\d+(?:\.\d+)?)\s*deg""),"""")&lt;&gt;"""",
    1/COS(RADIANS(REGEXEXTRACT(C696,""@\s*(\d+(?:"&amp;"\.\d+)?)\s*deg""))),
    IF(
      F696&lt;&gt;"""",
      IF(
        ISNUMBER(SEARCH(""|"",F696)),
        1/COS(
          ATAN(
            TAN(RADIANS(VALUE(INDEX(SPLIT(F696,""|""),1)))) *
            TAN(RADIANS(VALUE(INDEX(SPLIT(F696,""|""),2))))
       "&amp;"     /
            SQRT(
              TAN(RADIANS(VALUE(INDEX(SPLIT(F696,""|""),1))))^2 +
              TAN(RADIANS(VALUE(INDEX(SPLIT(F696,""|""),2))))^2
            )
          )
        ),
        1/COS(RADIANS(VALUE(F696)))
      ),
      1
    )
  )
"&amp;")"),1.0)</f>
        <v>1</v>
      </c>
      <c r="O696" s="169">
        <v>1.0</v>
      </c>
      <c r="P696" s="134">
        <v>1.0</v>
      </c>
      <c r="Q696" s="168">
        <f t="shared" ref="Q696:Q700" si="514">M696*N696*O696*P696</f>
        <v>12.56</v>
      </c>
      <c r="R696" s="136" t="str">
        <f>IFERROR(
  IF(B696="", "", VLOOKUP(B696, Data!$B$2:$K$905, 9, FALSE)),
  ""
)</f>
        <v/>
      </c>
      <c r="S696" s="152">
        <f t="shared" ref="S696:S700" si="515">R696*Q696</f>
        <v>0</v>
      </c>
      <c r="T696" s="690"/>
      <c r="U696" s="136" t="str">
        <f>IFERROR(
  IF(B696="", "", VLOOKUP(B696, Data!$B$2:$K$905, 10, FALSE)),
  ""
)
</f>
        <v/>
      </c>
      <c r="V696" s="691"/>
      <c r="W696" s="140">
        <f t="shared" ref="W696:W700" si="516">U696*Q696</f>
        <v>0</v>
      </c>
      <c r="X696" s="692"/>
      <c r="Y696" s="693"/>
      <c r="Z696" s="731"/>
      <c r="AA696" s="595"/>
      <c r="AB696" s="354">
        <f t="shared" ref="AB696:AB701" si="517">W696+S696</f>
        <v>0</v>
      </c>
      <c r="AC696" s="181"/>
      <c r="AD696" s="625"/>
      <c r="AE696" s="626"/>
      <c r="AF696" s="696"/>
      <c r="AG696" s="697"/>
      <c r="AH696" s="629"/>
      <c r="AI696" s="187"/>
      <c r="AJ696" s="630"/>
      <c r="AK696" s="630"/>
      <c r="AL696" s="595"/>
      <c r="AM696" s="595"/>
      <c r="AN696" s="595"/>
      <c r="AO696" s="595"/>
      <c r="AP696" s="595"/>
      <c r="AQ696" s="595"/>
      <c r="AR696" s="595"/>
      <c r="AS696" s="595"/>
      <c r="AT696" s="595"/>
      <c r="AU696" s="595"/>
      <c r="AV696" s="595"/>
      <c r="AW696" s="595"/>
      <c r="AX696" s="595"/>
      <c r="AY696" s="595"/>
      <c r="AZ696" s="595"/>
      <c r="BA696" s="595"/>
      <c r="BB696" s="595"/>
      <c r="BC696" s="595"/>
      <c r="BD696" s="595"/>
      <c r="BE696" s="595"/>
      <c r="BF696" s="595"/>
      <c r="BG696" s="595"/>
      <c r="BH696" s="595"/>
      <c r="BI696" s="651"/>
      <c r="BJ696" s="651"/>
      <c r="BK696" s="651"/>
      <c r="BL696" s="651"/>
      <c r="BM696" s="651"/>
      <c r="BN696" s="651"/>
      <c r="BO696" s="651"/>
      <c r="BP696" s="651"/>
      <c r="BQ696" s="651"/>
      <c r="BR696" s="651"/>
      <c r="BS696" s="651"/>
      <c r="BT696" s="651"/>
    </row>
    <row r="697">
      <c r="A697" s="631"/>
      <c r="B697" s="154" t="str">
        <f>IFERROR(__xludf.DUMMYFUNCTION("IFERROR(
  IF(C697="""","""",
    IF(OR(REGEXMATCH(D697,""(?i)-Flashing""), REGEXMATCH(D697,""(?i)-EavesGut""), REGEXMATCH(D697,""(?i)Valley"")),
        ""DR"" &amp;
        TEXT(
            ROUNDUP(
                MIN(
                    VALUE(MID(C697, "&amp;"FIND(""("",C697)+1, FIND(""/"",C697)-FIND(""("",C697)-1)),
                    1200
                ) / 50, 0
            ) * 50, ""0""
        ) &amp;
        MID(C697, FIND(""/"",C697)+1, FIND("")"",C697)-FIND(""/"",C697)-1) &amp;
        TEXT(H697*100,""0"") &amp;"&amp;"
        I697,
    IF(AND(D697=""Roof Sheet"", REGEXMATCH(C697,""(?i)KS\d{4}[A-Z]{2}"")),
       REGEXEXTRACT(C697,""(?i)KS\d{4}[A-Z]{2}""),
    IF(AND(REGEXMATCH(D697,""(?i)-DP""), REGEXMATCH(C697,""(?i)Downpipe"")),
       ""dp"" &amp; REGEXEXTRACT(C697,""("&amp;"\d+)"") &amp; ""mm"",
    IF(AND(REGEXMATCH(D697,""(?i)Bracket""), REGEXMATCH(C697,""(?i)Bracket"")),
       ""Brkt"" &amp; REGEXEXTRACT(C697,""(\d+)"") &amp; ""mm"",
    IF(AND(REGEXMATCH(D697,""(?i)-OP""), REGEXMATCH(C697,""(?i)pops"")),
       ""op"" &amp; REGEXEXTRAC"&amp;"T(C697,""(\d+)"") &amp; ""mm"",
    IF(OR(D697=""R-FFTop"", D697=""R-FFBottom"", D697=""R-FFSide""),
        IF(REGEXMATCH(C697,""(?i)Profiled.*Top|Top.*Profiled""),""pfft"",
        IF(REGEXMATCH(C697,""(?i)Profiled.*Bottom|Bottom.*Profiled""),""pffb"",
    "&amp;"    IF(REGEXMATCH(C697,""(?i)Square""),""sff"",""""))),
    IF(REGEXMATCH(D697,""(?i)-Rivets""),""Rvt"",
    IF(REGEXMATCH(D697,""(?i)Silicone""),""300ml"",
    IF(REGEXMATCH(D697,""(?i)R-Butyl""),""300ml"",
    IF(REGEXMATCH(D697,""(?i)Fix""),""GenFix"","&amp;"
    IF(AND(REGEXMATCH(C697,""(?i)Timber""), REGEXMATCH(D697,""(?i)Timber"")),""tp"",
    IF(AND(REGEXMATCH(C697,""(?i)Vent G1275""), REGEXMATCH(D697,""(?i)Comb FIller"")),""CFV1275"",
    IF(REGEXMATCH(C697,""(?i)DPC""),""dpc"",
    IF(REGEXMATCH(C697,"""&amp;"(?i)Concealed Clips""),""ConClips"",
    IF(REGEXMATCH(D697,""(?i)-Takeoff ea""),""Takeoff ea"",
    IF(REGEXMATCH(D697,""(?i)-Takeoff LM""),""Takeoff LM"",
    IF(REGEXMATCH(D697,""(?i)-Takeoff m2""),""Takeoff m2"",
    IF(D697=""R-TU/TD"",""TU/TD"","""""&amp;")))))))))))))))))
  )))"),"300ml")</f>
        <v>300ml</v>
      </c>
      <c r="C697" s="734" t="s">
        <v>98</v>
      </c>
      <c r="D697" s="148" t="s">
        <v>162</v>
      </c>
      <c r="E697" s="687">
        <f>E696</f>
        <v>0.48</v>
      </c>
      <c r="F697" s="699"/>
      <c r="G697" s="700"/>
      <c r="H697" s="700" t="str">
        <f>IFERROR(__xludf.DUMMYFUNCTION("IFERROR(REGEXEXTRACT(C697, ""(\d*\.\d+)mm""), """")"),"")</f>
        <v/>
      </c>
      <c r="I697" s="712"/>
      <c r="J697" s="126" t="s">
        <v>87</v>
      </c>
      <c r="K697" s="126" t="str">
        <f>IFERROR(
  IF(B697="", "", VLOOKUP(B697, Data!$B$2:$K$905, 7, FALSE)),
  ""
)</f>
        <v/>
      </c>
      <c r="L697" s="704"/>
      <c r="M697" s="150">
        <f>(ROUNDDOWN((M696/5.7)+2,0)*E697)/8</f>
        <v>0.24</v>
      </c>
      <c r="N697" s="151">
        <f t="shared" ref="N697:N701" si="518">if(B697="","",(if(N696="",N695,N696)))</f>
        <v>1</v>
      </c>
      <c r="O697" s="169">
        <v>1.0</v>
      </c>
      <c r="P697" s="134">
        <v>1.0</v>
      </c>
      <c r="Q697" s="168">
        <f t="shared" si="514"/>
        <v>0.24</v>
      </c>
      <c r="R697" s="136" t="str">
        <f>IFERROR(
  IF(B697="", "", VLOOKUP(B697, Data!$B$2:$K$905, 9, FALSE)),
  ""
)</f>
        <v/>
      </c>
      <c r="S697" s="152">
        <f t="shared" si="515"/>
        <v>0</v>
      </c>
      <c r="T697" s="690"/>
      <c r="U697" s="681" t="str">
        <f>IFERROR(
  IF(B697="", "", VLOOKUP(B697, Data!$B$2:$K$905, 10, FALSE)),
  ""
)
</f>
        <v/>
      </c>
      <c r="V697" s="691"/>
      <c r="W697" s="140">
        <f t="shared" si="516"/>
        <v>0</v>
      </c>
      <c r="X697" s="692"/>
      <c r="Y697" s="595"/>
      <c r="Z697" s="595"/>
      <c r="AA697" s="595"/>
      <c r="AB697" s="354">
        <f t="shared" si="517"/>
        <v>0</v>
      </c>
      <c r="AC697" s="181"/>
      <c r="AD697" s="625"/>
      <c r="AE697" s="626"/>
      <c r="AF697" s="696"/>
      <c r="AG697" s="697"/>
      <c r="AH697" s="629"/>
      <c r="AI697" s="187"/>
      <c r="AJ697" s="630"/>
      <c r="AK697" s="630"/>
      <c r="AL697" s="595"/>
      <c r="AM697" s="595"/>
      <c r="AN697" s="595"/>
      <c r="AO697" s="595"/>
      <c r="AP697" s="595"/>
      <c r="AQ697" s="595"/>
      <c r="AR697" s="595"/>
      <c r="AS697" s="595"/>
      <c r="AT697" s="595"/>
      <c r="AU697" s="595"/>
      <c r="AV697" s="595"/>
      <c r="AW697" s="595"/>
      <c r="AX697" s="595"/>
      <c r="AY697" s="595"/>
      <c r="AZ697" s="595"/>
      <c r="BA697" s="595"/>
      <c r="BB697" s="595"/>
      <c r="BC697" s="595"/>
      <c r="BD697" s="595"/>
      <c r="BE697" s="595"/>
      <c r="BF697" s="595"/>
      <c r="BG697" s="595"/>
      <c r="BH697" s="595"/>
      <c r="BI697" s="651"/>
      <c r="BJ697" s="651"/>
      <c r="BK697" s="651"/>
      <c r="BL697" s="651"/>
      <c r="BM697" s="651"/>
      <c r="BN697" s="651"/>
      <c r="BO697" s="651"/>
      <c r="BP697" s="651"/>
      <c r="BQ697" s="651"/>
      <c r="BR697" s="651"/>
      <c r="BS697" s="651"/>
      <c r="BT697" s="651"/>
    </row>
    <row r="698">
      <c r="A698" s="631"/>
      <c r="B698" s="154" t="str">
        <f>IFERROR(__xludf.DUMMYFUNCTION("IFERROR(
  IF(C698="""","""",
    IF(OR(REGEXMATCH(D698,""(?i)-Flashing""), REGEXMATCH(D698,""(?i)-EavesGut""), REGEXMATCH(D698,""(?i)Valley"")),
        ""DR"" &amp;
        TEXT(
            ROUNDUP(
                MIN(
                    VALUE(MID(C698, "&amp;"FIND(""("",C698)+1, FIND(""/"",C698)-FIND(""("",C698)-1)),
                    1200
                ) / 50, 0
            ) * 50, ""0""
        ) &amp;
        MID(C698, FIND(""/"",C698)+1, FIND("")"",C698)-FIND(""/"",C698)-1) &amp;
        TEXT(H698*100,""0"") &amp;"&amp;"
        I698,
    IF(AND(D698=""Roof Sheet"", REGEXMATCH(C698,""(?i)KS\d{4}[A-Z]{2}"")),
       REGEXEXTRACT(C698,""(?i)KS\d{4}[A-Z]{2}""),
    IF(AND(REGEXMATCH(D698,""(?i)-DP""), REGEXMATCH(C698,""(?i)Downpipe"")),
       ""dp"" &amp; REGEXEXTRACT(C698,""("&amp;"\d+)"") &amp; ""mm"",
    IF(AND(REGEXMATCH(D698,""(?i)Bracket""), REGEXMATCH(C698,""(?i)Bracket"")),
       ""Brkt"" &amp; REGEXEXTRACT(C698,""(\d+)"") &amp; ""mm"",
    IF(AND(REGEXMATCH(D698,""(?i)-OP""), REGEXMATCH(C698,""(?i)pops"")),
       ""op"" &amp; REGEXEXTRAC"&amp;"T(C698,""(\d+)"") &amp; ""mm"",
    IF(OR(D698=""R-FFTop"", D698=""R-FFBottom"", D698=""R-FFSide""),
        IF(REGEXMATCH(C698,""(?i)Profiled.*Top|Top.*Profiled""),""pfft"",
        IF(REGEXMATCH(C698,""(?i)Profiled.*Bottom|Bottom.*Profiled""),""pffb"",
    "&amp;"    IF(REGEXMATCH(C698,""(?i)Square""),""sff"",""""))),
    IF(REGEXMATCH(D698,""(?i)-Rivets""),""Rvt"",
    IF(REGEXMATCH(D698,""(?i)Silicone""),""300ml"",
    IF(REGEXMATCH(D698,""(?i)R-Butyl""),""300ml"",
    IF(REGEXMATCH(D698,""(?i)Fix""),""GenFix"","&amp;"
    IF(AND(REGEXMATCH(C698,""(?i)Timber""), REGEXMATCH(D698,""(?i)Timber"")),""tp"",
    IF(AND(REGEXMATCH(C698,""(?i)Vent G1275""), REGEXMATCH(D698,""(?i)Comb FIller"")),""CFV1275"",
    IF(REGEXMATCH(C698,""(?i)DPC""),""dpc"",
    IF(REGEXMATCH(C698,"""&amp;"(?i)Concealed Clips""),""ConClips"",
    IF(REGEXMATCH(D698,""(?i)-Takeoff ea""),""Takeoff ea"",
    IF(REGEXMATCH(D698,""(?i)-Takeoff LM""),""Takeoff LM"",
    IF(REGEXMATCH(D698,""(?i)-Takeoff m2""),""Takeoff m2"",
    IF(D698=""R-TU/TD"",""TU/TD"","""""&amp;")))))))))))))))))
  )))"),"Rvt")</f>
        <v>Rvt</v>
      </c>
      <c r="C698" s="734" t="s">
        <v>100</v>
      </c>
      <c r="D698" s="148" t="s">
        <v>163</v>
      </c>
      <c r="E698" s="687">
        <f>E696</f>
        <v>0.48</v>
      </c>
      <c r="F698" s="699"/>
      <c r="G698" s="700"/>
      <c r="H698" s="700" t="str">
        <f>IFERROR(__xludf.DUMMYFUNCTION("IFERROR(REGEXEXTRACT(C698, ""(\d*\.\d+)mm""), """")"),"")</f>
        <v/>
      </c>
      <c r="I698" s="712"/>
      <c r="J698" s="126" t="s">
        <v>87</v>
      </c>
      <c r="K698" s="126" t="str">
        <f>IFERROR(
  IF(B698="", "", VLOOKUP(B698, Data!$B$2:$K$905, 7, FALSE)),
  ""
)</f>
        <v/>
      </c>
      <c r="L698" s="704"/>
      <c r="M698" s="150">
        <f>ROUNDUP(((M696/5.7)+1)*(E698/0.05),0)</f>
        <v>31</v>
      </c>
      <c r="N698" s="151">
        <f t="shared" si="518"/>
        <v>1</v>
      </c>
      <c r="O698" s="169">
        <v>1.0</v>
      </c>
      <c r="P698" s="134">
        <v>1.0</v>
      </c>
      <c r="Q698" s="168">
        <f t="shared" si="514"/>
        <v>31</v>
      </c>
      <c r="R698" s="136" t="str">
        <f>IFERROR(
  IF(B698="", "", VLOOKUP(B698, Data!$B$2:$K$905, 9, FALSE)),
  ""
)</f>
        <v/>
      </c>
      <c r="S698" s="152">
        <f t="shared" si="515"/>
        <v>0</v>
      </c>
      <c r="T698" s="690"/>
      <c r="U698" s="681" t="str">
        <f>IFERROR(
  IF(B698="", "", VLOOKUP(B698, Data!$B$2:$K$905, 10, FALSE)),
  ""
)
</f>
        <v/>
      </c>
      <c r="V698" s="691"/>
      <c r="W698" s="140">
        <f t="shared" si="516"/>
        <v>0</v>
      </c>
      <c r="X698" s="692"/>
      <c r="Y698" s="595"/>
      <c r="Z698" s="595"/>
      <c r="AA698" s="595"/>
      <c r="AB698" s="354">
        <f t="shared" si="517"/>
        <v>0</v>
      </c>
      <c r="AC698" s="181"/>
      <c r="AD698" s="625"/>
      <c r="AE698" s="626"/>
      <c r="AF698" s="696"/>
      <c r="AG698" s="697"/>
      <c r="AH698" s="629"/>
      <c r="AI698" s="187"/>
      <c r="AJ698" s="630"/>
      <c r="AK698" s="630"/>
      <c r="AL698" s="595"/>
      <c r="AM698" s="595"/>
      <c r="AN698" s="595"/>
      <c r="AO698" s="595"/>
      <c r="AP698" s="595"/>
      <c r="AQ698" s="595"/>
      <c r="AR698" s="595"/>
      <c r="AS698" s="595"/>
      <c r="AT698" s="595"/>
      <c r="AU698" s="595"/>
      <c r="AV698" s="595"/>
      <c r="AW698" s="595"/>
      <c r="AX698" s="595"/>
      <c r="AY698" s="595"/>
      <c r="AZ698" s="595"/>
      <c r="BA698" s="595"/>
      <c r="BB698" s="595"/>
      <c r="BC698" s="595"/>
      <c r="BD698" s="595"/>
      <c r="BE698" s="595"/>
      <c r="BF698" s="595"/>
      <c r="BG698" s="595"/>
      <c r="BH698" s="595"/>
      <c r="BI698" s="651"/>
      <c r="BJ698" s="651"/>
      <c r="BK698" s="651"/>
      <c r="BL698" s="651"/>
      <c r="BM698" s="651"/>
      <c r="BN698" s="651"/>
      <c r="BO698" s="651"/>
      <c r="BP698" s="651"/>
      <c r="BQ698" s="651"/>
      <c r="BR698" s="651"/>
      <c r="BS698" s="651"/>
      <c r="BT698" s="651"/>
    </row>
    <row r="699">
      <c r="A699" s="631"/>
      <c r="B699" s="154" t="str">
        <f>IFERROR(__xludf.DUMMYFUNCTION("IFERROR(
  IF(C699="""","""",
    IF(OR(REGEXMATCH(D699,""(?i)-Flashing""), REGEXMATCH(D699,""(?i)-EavesGut""), REGEXMATCH(D699,""(?i)Valley"")),
        ""DR"" &amp;
        TEXT(
            ROUNDUP(
                MIN(
                    VALUE(MID(C699, "&amp;"FIND(""("",C699)+1, FIND(""/"",C699)-FIND(""("",C699)-1)),
                    1200
                ) / 50, 0
            ) * 50, ""0""
        ) &amp;
        MID(C699, FIND(""/"",C699)+1, FIND("")"",C699)-FIND(""/"",C699)-1) &amp;
        TEXT(H699*100,""0"") &amp;"&amp;"
        I699,
    IF(AND(D699=""Roof Sheet"", REGEXMATCH(C699,""(?i)KS\d{4}[A-Z]{2}"")),
       REGEXEXTRACT(C699,""(?i)KS\d{4}[A-Z]{2}""),
    IF(AND(REGEXMATCH(D699,""(?i)-DP""), REGEXMATCH(C699,""(?i)Downpipe"")),
       ""dp"" &amp; REGEXEXTRACT(C699,""("&amp;"\d+)"") &amp; ""mm"",
    IF(AND(REGEXMATCH(D699,""(?i)Bracket""), REGEXMATCH(C699,""(?i)Bracket"")),
       ""Brkt"" &amp; REGEXEXTRACT(C699,""(\d+)"") &amp; ""mm"",
    IF(AND(REGEXMATCH(D699,""(?i)-OP""), REGEXMATCH(C699,""(?i)pops"")),
       ""op"" &amp; REGEXEXTRAC"&amp;"T(C699,""(\d+)"") &amp; ""mm"",
    IF(OR(D699=""R-FFTop"", D699=""R-FFBottom"", D699=""R-FFSide""),
        IF(REGEXMATCH(C699,""(?i)Profiled.*Top|Top.*Profiled""),""pfft"",
        IF(REGEXMATCH(C699,""(?i)Profiled.*Bottom|Bottom.*Profiled""),""pffb"",
    "&amp;"    IF(REGEXMATCH(C699,""(?i)Square""),""sff"",""""))),
    IF(REGEXMATCH(D699,""(?i)-Rivets""),""Rvt"",
    IF(REGEXMATCH(D699,""(?i)Silicone""),""300ml"",
    IF(REGEXMATCH(D699,""(?i)R-Butyl""),""300ml"",
    IF(REGEXMATCH(D699,""(?i)Fix""),""GenFix"","&amp;"
    IF(AND(REGEXMATCH(C699,""(?i)Timber""), REGEXMATCH(D699,""(?i)Timber"")),""tp"",
    IF(AND(REGEXMATCH(C699,""(?i)Vent G1275""), REGEXMATCH(D699,""(?i)Comb FIller"")),""CFV1275"",
    IF(REGEXMATCH(C699,""(?i)DPC""),""dpc"",
    IF(REGEXMATCH(C699,"""&amp;"(?i)Concealed Clips""),""ConClips"",
    IF(REGEXMATCH(D699,""(?i)-Takeoff ea""),""Takeoff ea"",
    IF(REGEXMATCH(D699,""(?i)-Takeoff LM""),""Takeoff LM"",
    IF(REGEXMATCH(D699,""(?i)-Takeoff m2""),""Takeoff m2"",
    IF(D699=""R-TU/TD"",""TU/TD"","""""&amp;")))))))))))))))))
  )))"),"GenFix")</f>
        <v>GenFix</v>
      </c>
      <c r="C699" s="698" t="s">
        <v>102</v>
      </c>
      <c r="D699" s="148" t="s">
        <v>164</v>
      </c>
      <c r="E699" s="722"/>
      <c r="F699" s="699"/>
      <c r="G699" s="701"/>
      <c r="H699" s="700"/>
      <c r="I699" s="712"/>
      <c r="J699" s="126" t="s">
        <v>87</v>
      </c>
      <c r="K699" s="126" t="str">
        <f>IFERROR(
  IF(B699="", "", VLOOKUP(B699, Data!$B$2:$K$905, 7, FALSE)),
  ""
)</f>
        <v/>
      </c>
      <c r="L699" s="712"/>
      <c r="M699" s="150">
        <f>ROUNDUP(M696/0.6,0)+1</f>
        <v>22</v>
      </c>
      <c r="N699" s="151">
        <f t="shared" si="518"/>
        <v>1</v>
      </c>
      <c r="O699" s="169">
        <v>1.0</v>
      </c>
      <c r="P699" s="134">
        <v>2.0</v>
      </c>
      <c r="Q699" s="168">
        <f t="shared" si="514"/>
        <v>44</v>
      </c>
      <c r="R699" s="136" t="str">
        <f>IFERROR(
  IF(B699="", "", VLOOKUP(B699, Data!$B$2:$K$905, 9, FALSE)),
  ""
)</f>
        <v/>
      </c>
      <c r="S699" s="152">
        <f t="shared" si="515"/>
        <v>0</v>
      </c>
      <c r="T699" s="690"/>
      <c r="U699" s="681" t="str">
        <f>IFERROR(
  IF(B699="", "", VLOOKUP(B699, Data!$B$2:$K$905, 10, FALSE)),
  ""
)
</f>
        <v/>
      </c>
      <c r="V699" s="691"/>
      <c r="W699" s="140">
        <f t="shared" si="516"/>
        <v>0</v>
      </c>
      <c r="X699" s="692"/>
      <c r="Y699" s="595"/>
      <c r="Z699" s="595"/>
      <c r="AA699" s="595"/>
      <c r="AB699" s="354">
        <f t="shared" si="517"/>
        <v>0</v>
      </c>
      <c r="AC699" s="181"/>
      <c r="AD699" s="625"/>
      <c r="AE699" s="626"/>
      <c r="AF699" s="696"/>
      <c r="AG699" s="697"/>
      <c r="AH699" s="629"/>
      <c r="AI699" s="187"/>
      <c r="AJ699" s="630"/>
      <c r="AK699" s="630"/>
      <c r="AL699" s="595"/>
      <c r="AM699" s="595"/>
      <c r="AN699" s="595"/>
      <c r="AO699" s="595"/>
      <c r="AP699" s="595"/>
      <c r="AQ699" s="595"/>
      <c r="AR699" s="595"/>
      <c r="AS699" s="595"/>
      <c r="AT699" s="595"/>
      <c r="AU699" s="595"/>
      <c r="AV699" s="595"/>
      <c r="AW699" s="595"/>
      <c r="AX699" s="595"/>
      <c r="AY699" s="595"/>
      <c r="AZ699" s="595"/>
      <c r="BA699" s="595"/>
      <c r="BB699" s="595"/>
      <c r="BC699" s="595"/>
      <c r="BD699" s="595"/>
      <c r="BE699" s="595"/>
      <c r="BF699" s="595"/>
      <c r="BG699" s="595"/>
      <c r="BH699" s="595"/>
      <c r="BI699" s="651"/>
      <c r="BJ699" s="651"/>
      <c r="BK699" s="651"/>
      <c r="BL699" s="651"/>
      <c r="BM699" s="651"/>
      <c r="BN699" s="651"/>
      <c r="BO699" s="651"/>
      <c r="BP699" s="651"/>
      <c r="BQ699" s="651"/>
      <c r="BR699" s="651"/>
      <c r="BS699" s="651"/>
      <c r="BT699" s="651"/>
    </row>
    <row r="700">
      <c r="A700" s="631"/>
      <c r="B700" s="154" t="str">
        <f>IFERROR(__xludf.DUMMYFUNCTION("IFERROR(
  IF(C700="""","""",
    IF(OR(REGEXMATCH(D700,""(?i)-Flashing""), REGEXMATCH(D700,""(?i)-EavesGut""), REGEXMATCH(D700,""(?i)Valley"")),
        ""DR"" &amp;
        TEXT(
            ROUNDUP(
                MIN(
                    VALUE(MID(C700, "&amp;"FIND(""("",C700)+1, FIND(""/"",C700)-FIND(""("",C700)-1)),
                    1200
                ) / 50, 0
            ) * 50, ""0""
        ) &amp;
        MID(C700, FIND(""/"",C700)+1, FIND("")"",C700)-FIND(""/"",C700)-1) &amp;
        TEXT(H700*100,""0"") &amp;"&amp;"
        I700,
    IF(AND(D700=""Roof Sheet"", REGEXMATCH(C700,""(?i)KS\d{4}[A-Z]{2}"")),
       REGEXEXTRACT(C700,""(?i)KS\d{4}[A-Z]{2}""),
    IF(AND(REGEXMATCH(D700,""(?i)-DP""), REGEXMATCH(C700,""(?i)Downpipe"")),
       ""dp"" &amp; REGEXEXTRACT(C700,""("&amp;"\d+)"") &amp; ""mm"",
    IF(AND(REGEXMATCH(D700,""(?i)Bracket""), REGEXMATCH(C700,""(?i)Bracket"")),
       ""Brkt"" &amp; REGEXEXTRACT(C700,""(\d+)"") &amp; ""mm"",
    IF(AND(REGEXMATCH(D700,""(?i)-OP""), REGEXMATCH(C700,""(?i)pops"")),
       ""op"" &amp; REGEXEXTRAC"&amp;"T(C700,""(\d+)"") &amp; ""mm"",
    IF(OR(D700=""R-FFTop"", D700=""R-FFBottom"", D700=""R-FFSide""),
        IF(REGEXMATCH(C700,""(?i)Profiled.*Top|Top.*Profiled""),""pfft"",
        IF(REGEXMATCH(C700,""(?i)Profiled.*Bottom|Bottom.*Profiled""),""pffb"",
    "&amp;"    IF(REGEXMATCH(C700,""(?i)Square""),""sff"",""""))),
    IF(OR(D700=""W-FFTop"", D700=""W-FFBottom"", D700=""W-FFSide""),
        IF(REGEXMATCH(C700,""(?i)Profiled.*Top|Top.*Profiled""),""pfft"",
        IF(REGEXMATCH(C700,""(?i)Profiled.*Bottom|Bottom"&amp;".*Profiled""),""pffb"",
        IF(REGEXMATCH(C700,""(?i)Square""),""sff"",""""))),
    IF(REGEXMATCH(D700,""(?i)-Rivets""),""Rvt"",
    IF(REGEXMATCH(D700,""(?i)Silicone""),""300ml"",
    IF(REGEXMATCH(D700,""(?i)R-Butyl""),""300ml"",
    IF(REGEXMATCH(D"&amp;"700,""(?i)Fix""),""GenFix"",
    IF(AND(REGEXMATCH(C700,""(?i)Timber""), REGEXMATCH(D700,""(?i)Timber"")),""tp"",
    IF(AND(REGEXMATCH(C700,""(?i)Vent G1275""), REGEXMATCH(D700,""(?i)Comb FIller"")),""CFV1275"",
    IF(REGEXMATCH(C700,""(?i)DPC""),""dpc"&amp;""",
    IF(REGEXMATCH(C700,""(?i)Concealed Clips""),""ConClips"",
    IF(REGEXMATCH(D700,""(?i)-Takeoff ea""),""Takeoff ea"",
    IF(REGEXMATCH(D700,""(?i)-Takeoff LM""),""Takeoff LM"",
    IF(REGEXMATCH(D700,""(?i)-Takeoff m2""),""Takeoff m2"",
    IF(D7"&amp;"00=""R-TU/TD"",""TU/TD"",
    IF(D700=""W-TU/TD"",""TU/TD"","""")))))))))))))))))
  )))))"),"sff")</f>
        <v>sff</v>
      </c>
      <c r="C700" s="698" t="s">
        <v>454</v>
      </c>
      <c r="D700" s="148" t="s">
        <v>340</v>
      </c>
      <c r="E700" s="722"/>
      <c r="F700" s="699"/>
      <c r="G700" s="701"/>
      <c r="H700" s="700"/>
      <c r="I700" s="712"/>
      <c r="J700" s="126" t="s">
        <v>87</v>
      </c>
      <c r="K700" s="126" t="str">
        <f>IFERROR(
  IF(B700="", "", VLOOKUP(B700, Data!$B$2:$K$905, 7, FALSE)),
  ""
)</f>
        <v/>
      </c>
      <c r="L700" s="712"/>
      <c r="M700" s="150">
        <f>M696</f>
        <v>12.56</v>
      </c>
      <c r="N700" s="151">
        <f t="shared" si="518"/>
        <v>1</v>
      </c>
      <c r="O700" s="169">
        <v>1.0</v>
      </c>
      <c r="P700" s="134">
        <v>2.0</v>
      </c>
      <c r="Q700" s="168">
        <f t="shared" si="514"/>
        <v>25.12</v>
      </c>
      <c r="R700" s="136" t="str">
        <f>IFERROR(
  IF(B700="", "", VLOOKUP(B700, Data!$B$2:$K$905, 9, FALSE)),
  ""
)</f>
        <v/>
      </c>
      <c r="S700" s="152">
        <f t="shared" si="515"/>
        <v>0</v>
      </c>
      <c r="T700" s="690"/>
      <c r="U700" s="136" t="str">
        <f>IFERROR(
  IF(B700="", "", VLOOKUP(B700, Data!$B$2:$K$905, 10, FALSE)),
  ""
)
</f>
        <v/>
      </c>
      <c r="V700" s="691"/>
      <c r="W700" s="140">
        <f t="shared" si="516"/>
        <v>0</v>
      </c>
      <c r="X700" s="692"/>
      <c r="Y700" s="595"/>
      <c r="Z700" s="595"/>
      <c r="AA700" s="595"/>
      <c r="AB700" s="354">
        <f t="shared" si="517"/>
        <v>0</v>
      </c>
      <c r="AC700" s="181"/>
      <c r="AD700" s="625"/>
      <c r="AE700" s="626"/>
      <c r="AF700" s="696"/>
      <c r="AG700" s="697"/>
      <c r="AH700" s="629"/>
      <c r="AI700" s="187"/>
      <c r="AJ700" s="630"/>
      <c r="AK700" s="630"/>
      <c r="AL700" s="595"/>
      <c r="AM700" s="595"/>
      <c r="AN700" s="595"/>
      <c r="AO700" s="595"/>
      <c r="AP700" s="595"/>
      <c r="AQ700" s="595"/>
      <c r="AR700" s="595"/>
      <c r="AS700" s="595"/>
      <c r="AT700" s="595"/>
      <c r="AU700" s="595"/>
      <c r="AV700" s="595"/>
      <c r="AW700" s="595"/>
      <c r="AX700" s="595"/>
      <c r="AY700" s="595"/>
      <c r="AZ700" s="595"/>
      <c r="BA700" s="595"/>
      <c r="BB700" s="595"/>
      <c r="BC700" s="595"/>
      <c r="BD700" s="595"/>
      <c r="BE700" s="595"/>
      <c r="BF700" s="595"/>
      <c r="BG700" s="595"/>
      <c r="BH700" s="595"/>
      <c r="BI700" s="651"/>
      <c r="BJ700" s="651"/>
      <c r="BK700" s="651"/>
      <c r="BL700" s="651"/>
      <c r="BM700" s="651"/>
      <c r="BN700" s="651"/>
      <c r="BO700" s="651"/>
      <c r="BP700" s="651"/>
      <c r="BQ700" s="651"/>
      <c r="BR700" s="651"/>
      <c r="BS700" s="651"/>
      <c r="BT700" s="651"/>
    </row>
    <row r="701">
      <c r="A701" s="631"/>
      <c r="B701" s="154"/>
      <c r="C701" s="758"/>
      <c r="D701" s="701"/>
      <c r="E701" s="722"/>
      <c r="F701" s="699"/>
      <c r="G701" s="701"/>
      <c r="H701" s="700"/>
      <c r="I701" s="712"/>
      <c r="J701" s="701"/>
      <c r="K701" s="701"/>
      <c r="L701" s="712"/>
      <c r="M701" s="704"/>
      <c r="N701" s="151" t="str">
        <f t="shared" si="518"/>
        <v/>
      </c>
      <c r="O701" s="712"/>
      <c r="P701" s="700"/>
      <c r="Q701" s="712"/>
      <c r="R701" s="681" t="str">
        <f>IFERROR(
  IF(B701="", "", VLOOKUP(B701, Data!$B$2:$K$905, 9, FALSE)),
  ""
)</f>
        <v/>
      </c>
      <c r="S701" s="691"/>
      <c r="T701" s="690"/>
      <c r="U701" s="681" t="str">
        <f>IFERROR(
  IF(B701="", "", VLOOKUP(B701, Data!$B$2:$K$905, 10, FALSE)),
  ""
)
</f>
        <v/>
      </c>
      <c r="V701" s="691"/>
      <c r="W701" s="713"/>
      <c r="X701" s="692"/>
      <c r="Y701" s="595"/>
      <c r="Z701" s="595"/>
      <c r="AA701" s="595"/>
      <c r="AB701" s="354">
        <f t="shared" si="517"/>
        <v>0</v>
      </c>
      <c r="AC701" s="181"/>
      <c r="AD701" s="625"/>
      <c r="AE701" s="626"/>
      <c r="AF701" s="696"/>
      <c r="AG701" s="697"/>
      <c r="AH701" s="629"/>
      <c r="AI701" s="187"/>
      <c r="AJ701" s="630"/>
      <c r="AK701" s="630"/>
      <c r="AL701" s="595"/>
      <c r="AM701" s="595"/>
      <c r="AN701" s="595"/>
      <c r="AO701" s="595"/>
      <c r="AP701" s="595"/>
      <c r="AQ701" s="595"/>
      <c r="AR701" s="595"/>
      <c r="AS701" s="595"/>
      <c r="AT701" s="595"/>
      <c r="AU701" s="595"/>
      <c r="AV701" s="595"/>
      <c r="AW701" s="595"/>
      <c r="AX701" s="595"/>
      <c r="AY701" s="595"/>
      <c r="AZ701" s="595"/>
      <c r="BA701" s="595"/>
      <c r="BB701" s="595"/>
      <c r="BC701" s="595"/>
      <c r="BD701" s="595"/>
      <c r="BE701" s="595"/>
      <c r="BF701" s="595"/>
      <c r="BG701" s="595"/>
      <c r="BH701" s="595"/>
      <c r="BI701" s="651"/>
      <c r="BJ701" s="651"/>
      <c r="BK701" s="651"/>
      <c r="BL701" s="651"/>
      <c r="BM701" s="651"/>
      <c r="BN701" s="651"/>
      <c r="BO701" s="651"/>
      <c r="BP701" s="651"/>
      <c r="BQ701" s="651"/>
      <c r="BR701" s="651"/>
      <c r="BS701" s="651"/>
      <c r="BT701" s="651"/>
    </row>
    <row r="702">
      <c r="A702" s="631">
        <v>1.0</v>
      </c>
      <c r="B702" s="727"/>
      <c r="C702" s="103" t="s">
        <v>564</v>
      </c>
      <c r="D702" s="678"/>
      <c r="E702" s="676"/>
      <c r="F702" s="677"/>
      <c r="G702" s="678"/>
      <c r="H702" s="678"/>
      <c r="I702" s="679"/>
      <c r="J702" s="678"/>
      <c r="K702" s="678" t="s">
        <v>42</v>
      </c>
      <c r="L702" s="106">
        <f>Q702</f>
        <v>17.98</v>
      </c>
      <c r="M702" s="679" t="s">
        <v>42</v>
      </c>
      <c r="N702" s="680"/>
      <c r="O702" s="679"/>
      <c r="P702" s="678"/>
      <c r="Q702" s="106">
        <f>Q703</f>
        <v>17.98</v>
      </c>
      <c r="R702" s="681" t="str">
        <f>IFERROR(
  IF(B702="", "", VLOOKUP(B702, Data!$B$2:$K$905, 9, FALSE)),
  ""
)</f>
        <v/>
      </c>
      <c r="S702" s="682">
        <f>IFERROR(T702/Q702, 0)</f>
        <v>0</v>
      </c>
      <c r="T702" s="109">
        <f>SUM(S703:S709)</f>
        <v>0</v>
      </c>
      <c r="U702" s="681" t="str">
        <f>IFERROR(
  IF(B702="", "", VLOOKUP(B702, Data!$B$2:$K$905, 10, FALSE)),
  ""
)
</f>
        <v/>
      </c>
      <c r="V702" s="109">
        <f>W702/Q702</f>
        <v>0</v>
      </c>
      <c r="W702" s="110">
        <f>SUM(W703:W709)</f>
        <v>0</v>
      </c>
      <c r="X702" s="111" t="str">
        <f>W702/$AC$758/$W$765/$X$755</f>
        <v>#REF!</v>
      </c>
      <c r="Y702" s="112" t="b">
        <f>(T702+W702)=(SUM(AB703:AB709))</f>
        <v>1</v>
      </c>
      <c r="Z702" s="222">
        <f>(T702+W702)-(SUM(AB703:AB709))</f>
        <v>0</v>
      </c>
      <c r="AA702" s="595"/>
      <c r="AB702" s="595"/>
      <c r="AC702" s="181"/>
      <c r="AD702" s="114">
        <f>W702+T702</f>
        <v>0</v>
      </c>
      <c r="AE702" s="115">
        <f>AD702</f>
        <v>0</v>
      </c>
      <c r="AF702" s="116" t="str">
        <f>AE702/$AE$733</f>
        <v>#REF!</v>
      </c>
      <c r="AG702" s="683" t="str">
        <f>AF702*$AG$740</f>
        <v>#REF!</v>
      </c>
      <c r="AH702" s="118" t="str">
        <f>AF702*$AG$743</f>
        <v>#REF!</v>
      </c>
      <c r="AI702" s="187"/>
      <c r="AJ702" s="119" t="str">
        <f>ROUND(AK702/L702,2)</f>
        <v>#REF!</v>
      </c>
      <c r="AK702" s="119" t="str">
        <f>ROUND(AH702+AG702+AD702,2)</f>
        <v>#REF!</v>
      </c>
      <c r="AL702" s="595"/>
      <c r="AM702" s="595"/>
      <c r="AN702" s="595"/>
      <c r="AO702" s="595"/>
      <c r="AP702" s="595"/>
      <c r="AQ702" s="595"/>
      <c r="AR702" s="595"/>
      <c r="AS702" s="595"/>
      <c r="AT702" s="595"/>
      <c r="AU702" s="595"/>
      <c r="AV702" s="595"/>
      <c r="AW702" s="595"/>
      <c r="AX702" s="595"/>
      <c r="AY702" s="595"/>
      <c r="AZ702" s="595"/>
      <c r="BA702" s="595"/>
      <c r="BB702" s="595"/>
      <c r="BC702" s="595"/>
      <c r="BD702" s="595"/>
      <c r="BE702" s="595"/>
      <c r="BF702" s="595"/>
      <c r="BG702" s="595"/>
      <c r="BH702" s="595"/>
      <c r="BI702" s="651"/>
      <c r="BJ702" s="651"/>
      <c r="BK702" s="651"/>
      <c r="BL702" s="651"/>
      <c r="BM702" s="651"/>
      <c r="BN702" s="651"/>
      <c r="BO702" s="651"/>
      <c r="BP702" s="651"/>
      <c r="BQ702" s="651"/>
      <c r="BR702" s="651"/>
      <c r="BS702" s="651"/>
      <c r="BT702" s="651"/>
    </row>
    <row r="703">
      <c r="A703" s="716" t="s">
        <v>444</v>
      </c>
      <c r="B703" s="154" t="str">
        <f>IFERROR(__xludf.DUMMYFUNCTION("IFERROR(
  IF(C703="""","""",
    IF(OR(REGEXMATCH(D703,""(?i)-Flashing""), REGEXMATCH(D703,""(?i)-EavesGut""), REGEXMATCH(D703,""(?i)Valley"")),
        ""DR"" &amp;
        TEXT(
            ROUNDUP(
                MIN(
                    VALUE(MID(C703, "&amp;"FIND(""("",C703)+1, FIND(""/"",C703)-FIND(""("",C703)-1)),
                    1200
                ) / 50, 0
            ) * 50, ""0""
        ) &amp;
        MID(C703, FIND(""/"",C703)+1, FIND("")"",C703)-FIND(""/"",C703)-1) &amp;
        TEXT(H703*100,""0"") &amp;"&amp;"
        I703,
    IF(AND(D703=""Roof Sheet"", REGEXMATCH(C703,""(?i)KS\d{4}[A-Z]{2}"")),
       REGEXEXTRACT(C703,""(?i)KS\d{4}[A-Z]{2}""),
    IF(AND(REGEXMATCH(D703,""(?i)-DP""), REGEXMATCH(C703,""(?i)Downpipe"")),
       ""dp"" &amp; REGEXEXTRACT(C703,""("&amp;"\d+)"") &amp; ""mm"",
    IF(AND(REGEXMATCH(D703,""(?i)Bracket""), REGEXMATCH(C703,""(?i)Bracket"")),
       ""Brkt"" &amp; REGEXEXTRACT(C703,""(\d+)"") &amp; ""mm"",
    IF(AND(REGEXMATCH(D703,""(?i)-OP""), REGEXMATCH(C703,""(?i)pops"")),
       ""op"" &amp; REGEXEXTRAC"&amp;"T(C703,""(\d+)"") &amp; ""mm"",
    IF(OR(D703=""R-FFTop"", D703=""R-FFBottom"", D703=""R-FFSide""),
        IF(REGEXMATCH(C703,""(?i)Profiled.*Top|Top.*Profiled""),""pfft"",
        IF(REGEXMATCH(C703,""(?i)Profiled.*Bottom|Bottom.*Profiled""),""pffb"",
    "&amp;"    IF(REGEXMATCH(C703,""(?i)Square""),""sff"",""""))),
    IF(REGEXMATCH(D703,""(?i)-Rivets""),""Rvt"",
    IF(REGEXMATCH(D703,""(?i)Silicone""),""300ml"",
    IF(REGEXMATCH(D703,""(?i)R-Butyl""),""300ml"",
    IF(REGEXMATCH(D703,""(?i)Fix""),""GenFix"","&amp;"
    IF(AND(REGEXMATCH(C703,""(?i)Timber""), REGEXMATCH(D703,""(?i)Timber"")),""tp"",
    IF(AND(REGEXMATCH(C703,""(?i)Vent G1275""), REGEXMATCH(D703,""(?i)Comb FIller"")),""CFV1275"",
    IF(REGEXMATCH(C703,""(?i)DPC""),""dpc"",
    IF(REGEXMATCH(C703,"""&amp;"(?i)Concealed Clips""),""ConClips"",
    IF(REGEXMATCH(D703,""(?i)-Takeoff ea""),""Takeoff ea"",
    IF(REGEXMATCH(D703,""(?i)-Takeoff LM""),""Takeoff LM"",
    IF(REGEXMATCH(D703,""(?i)-Takeoff m2""),""Takeoff m2"",
    IF(D703=""R-TU/TD"",""TU/TD"","""""&amp;")))))))))))))))))
  )))"),"DR6006B55Mag")</f>
        <v>DR6006B55Mag</v>
      </c>
      <c r="C703" s="698" t="s">
        <v>565</v>
      </c>
      <c r="D703" s="686" t="s">
        <v>161</v>
      </c>
      <c r="E703" s="687">
        <f>VALUE(MID(C703, FIND("(", C703)+1, FIND("/", C703)-FIND("(", C703)-1)) / 1000</f>
        <v>0.6</v>
      </c>
      <c r="F703" s="688"/>
      <c r="G703" s="689" t="s">
        <v>579</v>
      </c>
      <c r="H703" s="700" t="str">
        <f>IFERROR(__xludf.DUMMYFUNCTION("IFERROR(REGEXEXTRACT(C703, ""(\d*\.\d+)mm""), """")"),"0.55")</f>
        <v>0.55</v>
      </c>
      <c r="I703" s="712" t="s">
        <v>97</v>
      </c>
      <c r="J703" s="126" t="s">
        <v>14</v>
      </c>
      <c r="K703" s="126" t="str">
        <f>IFERROR(
  IF(B703="", "", VLOOKUP(B703, Data!$B$2:$K$905, 7, FALSE)),
  ""
)</f>
        <v/>
      </c>
      <c r="L703" s="712"/>
      <c r="M703" s="730">
        <v>17.98</v>
      </c>
      <c r="N703" s="151">
        <f>IFERROR(__xludf.DUMMYFUNCTION("IF(
  AND(
    IFERROR(REGEXEXTRACT(C703,""@\s*(\d+(?:\.\d+)?)\s*deg""),"""")&lt;&gt;"""",
    F703&lt;&gt;""""
  ),
  ""Pls Confirm °"",
  IF(
    IFERROR(REGEXEXTRACT(C703,""@\s*(\d+(?:\.\d+)?)\s*deg""),"""")&lt;&gt;"""",
    1/COS(RADIANS(REGEXEXTRACT(C703,""@\s*(\d+(?:"&amp;"\.\d+)?)\s*deg""))),
    IF(
      F703&lt;&gt;"""",
      IF(
        ISNUMBER(SEARCH(""|"",F703)),
        1/COS(
          ATAN(
            TAN(RADIANS(VALUE(INDEX(SPLIT(F703,""|""),1)))) *
            TAN(RADIANS(VALUE(INDEX(SPLIT(F703,""|""),2))))
       "&amp;"     /
            SQRT(
              TAN(RADIANS(VALUE(INDEX(SPLIT(F703,""|""),1))))^2 +
              TAN(RADIANS(VALUE(INDEX(SPLIT(F703,""|""),2))))^2
            )
          )
        ),
        1/COS(RADIANS(VALUE(F703)))
      ),
      1
    )
  )
"&amp;")"),1.0)</f>
        <v>1</v>
      </c>
      <c r="O703" s="169">
        <v>1.0</v>
      </c>
      <c r="P703" s="134">
        <v>1.0</v>
      </c>
      <c r="Q703" s="168">
        <f t="shared" ref="Q703:Q708" si="519">M703*N703*O703*P703</f>
        <v>17.98</v>
      </c>
      <c r="R703" s="136" t="str">
        <f>IFERROR(
  IF(B703="", "", VLOOKUP(B703, Data!$B$2:$K$905, 9, FALSE)),
  ""
)</f>
        <v/>
      </c>
      <c r="S703" s="152">
        <f t="shared" ref="S703:S708" si="520">R703*Q703</f>
        <v>0</v>
      </c>
      <c r="T703" s="690"/>
      <c r="U703" s="681" t="str">
        <f>IFERROR(
  IF(B703="", "", VLOOKUP(B703, Data!$B$2:$K$905, 10, FALSE)),
  ""
)
</f>
        <v/>
      </c>
      <c r="V703" s="691"/>
      <c r="W703" s="140">
        <f t="shared" ref="W703:W708" si="521">U703*Q703</f>
        <v>0</v>
      </c>
      <c r="X703" s="692"/>
      <c r="Y703" s="595"/>
      <c r="Z703" s="595"/>
      <c r="AA703" s="595"/>
      <c r="AB703" s="354">
        <f t="shared" ref="AB703:AB709" si="522">W703+S703</f>
        <v>0</v>
      </c>
      <c r="AC703" s="181"/>
      <c r="AD703" s="625"/>
      <c r="AE703" s="626"/>
      <c r="AF703" s="696"/>
      <c r="AG703" s="697"/>
      <c r="AH703" s="629"/>
      <c r="AI703" s="187"/>
      <c r="AJ703" s="630"/>
      <c r="AK703" s="630"/>
      <c r="AL703" s="595"/>
      <c r="AM703" s="595"/>
      <c r="AN703" s="595"/>
      <c r="AO703" s="595"/>
      <c r="AP703" s="595"/>
      <c r="AQ703" s="595"/>
      <c r="AR703" s="595"/>
      <c r="AS703" s="595"/>
      <c r="AT703" s="595"/>
      <c r="AU703" s="595"/>
      <c r="AV703" s="595"/>
      <c r="AW703" s="595"/>
      <c r="AX703" s="595"/>
      <c r="AY703" s="595"/>
      <c r="AZ703" s="595"/>
      <c r="BA703" s="595"/>
      <c r="BB703" s="595"/>
      <c r="BC703" s="595"/>
      <c r="BD703" s="595"/>
      <c r="BE703" s="595"/>
      <c r="BF703" s="595"/>
      <c r="BG703" s="595"/>
      <c r="BH703" s="595"/>
      <c r="BI703" s="651"/>
      <c r="BJ703" s="651"/>
      <c r="BK703" s="651"/>
      <c r="BL703" s="651"/>
      <c r="BM703" s="651"/>
      <c r="BN703" s="651"/>
      <c r="BO703" s="651"/>
      <c r="BP703" s="651"/>
      <c r="BQ703" s="651"/>
      <c r="BR703" s="651"/>
      <c r="BS703" s="651"/>
      <c r="BT703" s="651"/>
    </row>
    <row r="704">
      <c r="A704" s="631"/>
      <c r="B704" s="154" t="str">
        <f>IFERROR(__xludf.DUMMYFUNCTION("IFERROR(
  IF(C704="""","""",
    IF(OR(REGEXMATCH(D704,""(?i)-Flashing""), REGEXMATCH(D704,""(?i)-EavesGut""), REGEXMATCH(D704,""(?i)Valley"")),
        ""DR"" &amp;
        TEXT(
            ROUNDUP(
                MIN(
                    VALUE(MID(C704, "&amp;"FIND(""("",C704)+1, FIND(""/"",C704)-FIND(""("",C704)-1)),
                    1200
                ) / 50, 0
            ) * 50, ""0""
        ) &amp;
        MID(C704, FIND(""/"",C704)+1, FIND("")"",C704)-FIND(""/"",C704)-1) &amp;
        TEXT(H704*100,""0"") &amp;"&amp;"
        I704,
    IF(AND(D704=""Roof Sheet"", REGEXMATCH(C704,""(?i)KS\d{4}[A-Z]{2}"")),
       REGEXEXTRACT(C704,""(?i)KS\d{4}[A-Z]{2}""),
    IF(AND(REGEXMATCH(D704,""(?i)-DP""), REGEXMATCH(C704,""(?i)Downpipe"")),
       ""dp"" &amp; REGEXEXTRACT(C704,""("&amp;"\d+)"") &amp; ""mm"",
    IF(AND(REGEXMATCH(D704,""(?i)Bracket""), REGEXMATCH(C704,""(?i)Bracket"")),
       ""Brkt"" &amp; REGEXEXTRACT(C704,""(\d+)"") &amp; ""mm"",
    IF(AND(REGEXMATCH(D704,""(?i)-OP""), REGEXMATCH(C704,""(?i)pops"")),
       ""op"" &amp; REGEXEXTRAC"&amp;"T(C704,""(\d+)"") &amp; ""mm"",
    IF(OR(D704=""R-FFTop"", D704=""R-FFBottom"", D704=""R-FFSide""),
        IF(REGEXMATCH(C704,""(?i)Profiled.*Top|Top.*Profiled""),""pfft"",
        IF(REGEXMATCH(C704,""(?i)Profiled.*Bottom|Bottom.*Profiled""),""pffb"",
    "&amp;"    IF(REGEXMATCH(C704,""(?i)Square""),""sff"",""""))),
    IF(REGEXMATCH(D704,""(?i)-Rivets""),""Rvt"",
    IF(REGEXMATCH(D704,""(?i)Silicone""),""300ml"",
    IF(REGEXMATCH(D704,""(?i)R-Butyl""),""300ml"",
    IF(REGEXMATCH(D704,""(?i)Fix""),""GenFix"","&amp;"
    IF(AND(REGEXMATCH(C704,""(?i)Timber""), REGEXMATCH(D704,""(?i)Timber"")),""tp"",
    IF(AND(REGEXMATCH(C704,""(?i)Vent G1275""), REGEXMATCH(D704,""(?i)Comb FIller"")),""CFV1275"",
    IF(REGEXMATCH(C704,""(?i)DPC""),""dpc"",
    IF(REGEXMATCH(C704,"""&amp;"(?i)Concealed Clips""),""ConClips"",
    IF(REGEXMATCH(D704,""(?i)-Takeoff ea""),""Takeoff ea"",
    IF(REGEXMATCH(D704,""(?i)-Takeoff LM""),""Takeoff LM"",
    IF(REGEXMATCH(D704,""(?i)-Takeoff m2""),""Takeoff m2"",
    IF(D704=""R-TU/TD"",""TU/TD"","""""&amp;")))))))))))))))))
  )))"),"300ml")</f>
        <v>300ml</v>
      </c>
      <c r="C704" s="698" t="s">
        <v>98</v>
      </c>
      <c r="D704" s="148" t="s">
        <v>162</v>
      </c>
      <c r="E704" s="687">
        <f>E703</f>
        <v>0.6</v>
      </c>
      <c r="F704" s="699"/>
      <c r="G704" s="701"/>
      <c r="H704" s="700" t="str">
        <f>IFERROR(__xludf.DUMMYFUNCTION("IFERROR(REGEXEXTRACT(C704, ""(\d*\.\d+)mm""), """")"),"")</f>
        <v/>
      </c>
      <c r="I704" s="712"/>
      <c r="J704" s="126" t="s">
        <v>87</v>
      </c>
      <c r="K704" s="126" t="str">
        <f>IFERROR(
  IF(B704="", "", VLOOKUP(B704, Data!$B$2:$K$905, 7, FALSE)),
  ""
)</f>
        <v/>
      </c>
      <c r="L704" s="712"/>
      <c r="M704" s="150">
        <f>(ROUNDDOWN((M703/5.7)+2,0)*E704)/8</f>
        <v>0.375</v>
      </c>
      <c r="N704" s="151">
        <f t="shared" ref="N704:N709" si="523">if(B704="","",(if(N703="",N702,N703)))</f>
        <v>1</v>
      </c>
      <c r="O704" s="169">
        <v>1.0</v>
      </c>
      <c r="P704" s="134">
        <v>1.0</v>
      </c>
      <c r="Q704" s="168">
        <f t="shared" si="519"/>
        <v>0.375</v>
      </c>
      <c r="R704" s="136" t="str">
        <f>IFERROR(
  IF(B704="", "", VLOOKUP(B704, Data!$B$2:$K$905, 9, FALSE)),
  ""
)</f>
        <v/>
      </c>
      <c r="S704" s="152">
        <f t="shared" si="520"/>
        <v>0</v>
      </c>
      <c r="T704" s="690"/>
      <c r="U704" s="681" t="str">
        <f>IFERROR(
  IF(B704="", "", VLOOKUP(B704, Data!$B$2:$K$905, 10, FALSE)),
  ""
)
</f>
        <v/>
      </c>
      <c r="V704" s="691"/>
      <c r="W704" s="140">
        <f t="shared" si="521"/>
        <v>0</v>
      </c>
      <c r="X704" s="692"/>
      <c r="Y704" s="595"/>
      <c r="Z704" s="595"/>
      <c r="AA704" s="595"/>
      <c r="AB704" s="354">
        <f t="shared" si="522"/>
        <v>0</v>
      </c>
      <c r="AC704" s="181"/>
      <c r="AD704" s="625"/>
      <c r="AE704" s="626"/>
      <c r="AF704" s="696"/>
      <c r="AG704" s="697"/>
      <c r="AH704" s="629"/>
      <c r="AI704" s="187"/>
      <c r="AJ704" s="630"/>
      <c r="AK704" s="630"/>
      <c r="AL704" s="595"/>
      <c r="AM704" s="595"/>
      <c r="AN704" s="595"/>
      <c r="AO704" s="595"/>
      <c r="AP704" s="595"/>
      <c r="AQ704" s="595"/>
      <c r="AR704" s="595"/>
      <c r="AS704" s="595"/>
      <c r="AT704" s="595"/>
      <c r="AU704" s="595"/>
      <c r="AV704" s="595"/>
      <c r="AW704" s="595"/>
      <c r="AX704" s="595"/>
      <c r="AY704" s="595"/>
      <c r="AZ704" s="595"/>
      <c r="BA704" s="595"/>
      <c r="BB704" s="595"/>
      <c r="BC704" s="595"/>
      <c r="BD704" s="595"/>
      <c r="BE704" s="595"/>
      <c r="BF704" s="595"/>
      <c r="BG704" s="595"/>
      <c r="BH704" s="595"/>
      <c r="BI704" s="651"/>
      <c r="BJ704" s="651"/>
      <c r="BK704" s="651"/>
      <c r="BL704" s="651"/>
      <c r="BM704" s="651"/>
      <c r="BN704" s="651"/>
      <c r="BO704" s="651"/>
      <c r="BP704" s="651"/>
      <c r="BQ704" s="651"/>
      <c r="BR704" s="651"/>
      <c r="BS704" s="651"/>
      <c r="BT704" s="651"/>
    </row>
    <row r="705">
      <c r="A705" s="631"/>
      <c r="B705" s="154" t="str">
        <f>IFERROR(__xludf.DUMMYFUNCTION("IFERROR(
  IF(C705="""","""",
    IF(OR(REGEXMATCH(D705,""(?i)-Flashing""), REGEXMATCH(D705,""(?i)-EavesGut""), REGEXMATCH(D705,""(?i)Valley"")),
        ""DR"" &amp;
        TEXT(
            ROUNDUP(
                MIN(
                    VALUE(MID(C705, "&amp;"FIND(""("",C705)+1, FIND(""/"",C705)-FIND(""("",C705)-1)),
                    1200
                ) / 50, 0
            ) * 50, ""0""
        ) &amp;
        MID(C705, FIND(""/"",C705)+1, FIND("")"",C705)-FIND(""/"",C705)-1) &amp;
        TEXT(H705*100,""0"") &amp;"&amp;"
        I705,
    IF(AND(D705=""Roof Sheet"", REGEXMATCH(C705,""(?i)KS\d{4}[A-Z]{2}"")),
       REGEXEXTRACT(C705,""(?i)KS\d{4}[A-Z]{2}""),
    IF(AND(REGEXMATCH(D705,""(?i)-DP""), REGEXMATCH(C705,""(?i)Downpipe"")),
       ""dp"" &amp; REGEXEXTRACT(C705,""("&amp;"\d+)"") &amp; ""mm"",
    IF(AND(REGEXMATCH(D705,""(?i)Bracket""), REGEXMATCH(C705,""(?i)Bracket"")),
       ""Brkt"" &amp; REGEXEXTRACT(C705,""(\d+)"") &amp; ""mm"",
    IF(AND(REGEXMATCH(D705,""(?i)-OP""), REGEXMATCH(C705,""(?i)pops"")),
       ""op"" &amp; REGEXEXTRAC"&amp;"T(C705,""(\d+)"") &amp; ""mm"",
    IF(OR(D705=""R-FFTop"", D705=""R-FFBottom"", D705=""R-FFSide""),
        IF(REGEXMATCH(C705,""(?i)Profiled.*Top|Top.*Profiled""),""pfft"",
        IF(REGEXMATCH(C705,""(?i)Profiled.*Bottom|Bottom.*Profiled""),""pffb"",
    "&amp;"    IF(REGEXMATCH(C705,""(?i)Square""),""sff"",""""))),
    IF(REGEXMATCH(D705,""(?i)-Rivets""),""Rvt"",
    IF(REGEXMATCH(D705,""(?i)Silicone""),""300ml"",
    IF(REGEXMATCH(D705,""(?i)R-Butyl""),""300ml"",
    IF(REGEXMATCH(D705,""(?i)Fix""),""GenFix"","&amp;"
    IF(AND(REGEXMATCH(C705,""(?i)Timber""), REGEXMATCH(D705,""(?i)Timber"")),""tp"",
    IF(AND(REGEXMATCH(C705,""(?i)Vent G1275""), REGEXMATCH(D705,""(?i)Comb FIller"")),""CFV1275"",
    IF(REGEXMATCH(C705,""(?i)DPC""),""dpc"",
    IF(REGEXMATCH(C705,"""&amp;"(?i)Concealed Clips""),""ConClips"",
    IF(REGEXMATCH(D705,""(?i)-Takeoff ea""),""Takeoff ea"",
    IF(REGEXMATCH(D705,""(?i)-Takeoff LM""),""Takeoff LM"",
    IF(REGEXMATCH(D705,""(?i)-Takeoff m2""),""Takeoff m2"",
    IF(D705=""R-TU/TD"",""TU/TD"","""""&amp;")))))))))))))))))
  )))"),"Rvt")</f>
        <v>Rvt</v>
      </c>
      <c r="C705" s="698" t="s">
        <v>100</v>
      </c>
      <c r="D705" s="148" t="s">
        <v>163</v>
      </c>
      <c r="E705" s="687">
        <f>E703</f>
        <v>0.6</v>
      </c>
      <c r="F705" s="699"/>
      <c r="G705" s="701"/>
      <c r="H705" s="700" t="str">
        <f>IFERROR(__xludf.DUMMYFUNCTION("IFERROR(REGEXEXTRACT(C705, ""(\d*\.\d+)mm""), """")"),"")</f>
        <v/>
      </c>
      <c r="I705" s="712"/>
      <c r="J705" s="126" t="s">
        <v>87</v>
      </c>
      <c r="K705" s="126" t="str">
        <f>IFERROR(
  IF(B705="", "", VLOOKUP(B705, Data!$B$2:$K$905, 7, FALSE)),
  ""
)</f>
        <v/>
      </c>
      <c r="L705" s="712"/>
      <c r="M705" s="150">
        <f>ROUNDUP(((M703/5.7)+1)*(E705/0.05),0)</f>
        <v>50</v>
      </c>
      <c r="N705" s="151">
        <f t="shared" si="523"/>
        <v>1</v>
      </c>
      <c r="O705" s="169">
        <v>1.0</v>
      </c>
      <c r="P705" s="134">
        <v>1.0</v>
      </c>
      <c r="Q705" s="168">
        <f t="shared" si="519"/>
        <v>50</v>
      </c>
      <c r="R705" s="136" t="str">
        <f>IFERROR(
  IF(B705="", "", VLOOKUP(B705, Data!$B$2:$K$905, 9, FALSE)),
  ""
)</f>
        <v/>
      </c>
      <c r="S705" s="152">
        <f t="shared" si="520"/>
        <v>0</v>
      </c>
      <c r="T705" s="690"/>
      <c r="U705" s="681" t="str">
        <f>IFERROR(
  IF(B705="", "", VLOOKUP(B705, Data!$B$2:$K$905, 10, FALSE)),
  ""
)
</f>
        <v/>
      </c>
      <c r="V705" s="691"/>
      <c r="W705" s="140">
        <f t="shared" si="521"/>
        <v>0</v>
      </c>
      <c r="X705" s="692"/>
      <c r="Y705" s="595"/>
      <c r="Z705" s="595"/>
      <c r="AA705" s="595"/>
      <c r="AB705" s="354">
        <f t="shared" si="522"/>
        <v>0</v>
      </c>
      <c r="AC705" s="181"/>
      <c r="AD705" s="625"/>
      <c r="AE705" s="626"/>
      <c r="AF705" s="696"/>
      <c r="AG705" s="697"/>
      <c r="AH705" s="629"/>
      <c r="AI705" s="187"/>
      <c r="AJ705" s="630"/>
      <c r="AK705" s="630"/>
      <c r="AL705" s="595"/>
      <c r="AM705" s="595"/>
      <c r="AN705" s="595"/>
      <c r="AO705" s="595"/>
      <c r="AP705" s="595"/>
      <c r="AQ705" s="595"/>
      <c r="AR705" s="595"/>
      <c r="AS705" s="595"/>
      <c r="AT705" s="595"/>
      <c r="AU705" s="595"/>
      <c r="AV705" s="595"/>
      <c r="AW705" s="595"/>
      <c r="AX705" s="595"/>
      <c r="AY705" s="595"/>
      <c r="AZ705" s="595"/>
      <c r="BA705" s="595"/>
      <c r="BB705" s="595"/>
      <c r="BC705" s="595"/>
      <c r="BD705" s="595"/>
      <c r="BE705" s="595"/>
      <c r="BF705" s="595"/>
      <c r="BG705" s="595"/>
      <c r="BH705" s="595"/>
      <c r="BI705" s="651"/>
      <c r="BJ705" s="651"/>
      <c r="BK705" s="651"/>
      <c r="BL705" s="651"/>
      <c r="BM705" s="651"/>
      <c r="BN705" s="651"/>
      <c r="BO705" s="651"/>
      <c r="BP705" s="651"/>
      <c r="BQ705" s="651"/>
      <c r="BR705" s="651"/>
      <c r="BS705" s="651"/>
      <c r="BT705" s="651"/>
    </row>
    <row r="706">
      <c r="A706" s="631"/>
      <c r="B706" s="154" t="str">
        <f>IFERROR(__xludf.DUMMYFUNCTION("IFERROR(
  IF(C706="""","""",
    IF(OR(REGEXMATCH(D706,""(?i)-Flashing""), REGEXMATCH(D706,""(?i)-EavesGut""), REGEXMATCH(D706,""(?i)Valley"")),
        ""DR"" &amp;
        TEXT(
            ROUNDUP(
                MIN(
                    VALUE(MID(C706, "&amp;"FIND(""("",C706)+1, FIND(""/"",C706)-FIND(""("",C706)-1)),
                    1200
                ) / 50, 0
            ) * 50, ""0""
        ) &amp;
        MID(C706, FIND(""/"",C706)+1, FIND("")"",C706)-FIND(""/"",C706)-1) &amp;
        TEXT(H706*100,""0"") &amp;"&amp;"
        I706,
    IF(AND(D706=""Roof Sheet"", REGEXMATCH(C706,""(?i)KS\d{4}[A-Z]{2}"")),
       REGEXEXTRACT(C706,""(?i)KS\d{4}[A-Z]{2}""),
    IF(AND(REGEXMATCH(D706,""(?i)-DP""), REGEXMATCH(C706,""(?i)Downpipe"")),
       ""dp"" &amp; REGEXEXTRACT(C706,""("&amp;"\d+)"") &amp; ""mm"",
    IF(AND(REGEXMATCH(D706,""(?i)Bracket""), REGEXMATCH(C706,""(?i)Bracket"")),
       ""Brkt"" &amp; REGEXEXTRACT(C706,""(\d+)"") &amp; ""mm"",
    IF(AND(REGEXMATCH(D706,""(?i)-OP""), REGEXMATCH(C706,""(?i)pops"")),
       ""op"" &amp; REGEXEXTRAC"&amp;"T(C706,""(\d+)"") &amp; ""mm"",
    IF(OR(D706=""R-FFTop"", D706=""R-FFBottom"", D706=""R-FFSide""),
        IF(REGEXMATCH(C706,""(?i)Profiled.*Top|Top.*Profiled""),""pfft"",
        IF(REGEXMATCH(C706,""(?i)Profiled.*Bottom|Bottom.*Profiled""),""pffb"",
    "&amp;"    IF(REGEXMATCH(C706,""(?i)Square""),""sff"",""""))),
    IF(REGEXMATCH(D706,""(?i)-Rivets""),""Rvt"",
    IF(REGEXMATCH(D706,""(?i)Silicone""),""300ml"",
    IF(REGEXMATCH(D706,""(?i)R-Butyl""),""300ml"",
    IF(REGEXMATCH(D706,""(?i)Fix""),""GenFix"","&amp;"
    IF(AND(REGEXMATCH(C706,""(?i)Timber""), REGEXMATCH(D706,""(?i)Timber"")),""tp"",
    IF(AND(REGEXMATCH(C706,""(?i)Vent G1275""), REGEXMATCH(D706,""(?i)Comb FIller"")),""CFV1275"",
    IF(REGEXMATCH(C706,""(?i)DPC""),""dpc"",
    IF(REGEXMATCH(C706,"""&amp;"(?i)Concealed Clips""),""ConClips"",
    IF(REGEXMATCH(D706,""(?i)-Takeoff ea""),""Takeoff ea"",
    IF(REGEXMATCH(D706,""(?i)-Takeoff LM""),""Takeoff LM"",
    IF(REGEXMATCH(D706,""(?i)-Takeoff m2""),""Takeoff m2"",
    IF(D706=""R-TU/TD"",""TU/TD"","""""&amp;")))))))))))))))))
  )))"),"GenFix")</f>
        <v>GenFix</v>
      </c>
      <c r="C706" s="698" t="s">
        <v>102</v>
      </c>
      <c r="D706" s="148" t="s">
        <v>164</v>
      </c>
      <c r="E706" s="687"/>
      <c r="F706" s="699"/>
      <c r="G706" s="701"/>
      <c r="H706" s="700"/>
      <c r="I706" s="712"/>
      <c r="J706" s="126" t="s">
        <v>87</v>
      </c>
      <c r="K706" s="126" t="str">
        <f>IFERROR(
  IF(B706="", "", VLOOKUP(B706, Data!$B$2:$K$905, 7, FALSE)),
  ""
)</f>
        <v/>
      </c>
      <c r="L706" s="712"/>
      <c r="M706" s="150">
        <f>ROUNDUP(M703/0.6,0)+1</f>
        <v>31</v>
      </c>
      <c r="N706" s="151">
        <f t="shared" si="523"/>
        <v>1</v>
      </c>
      <c r="O706" s="169">
        <v>1.0</v>
      </c>
      <c r="P706" s="134">
        <v>2.0</v>
      </c>
      <c r="Q706" s="168">
        <f t="shared" si="519"/>
        <v>62</v>
      </c>
      <c r="R706" s="136" t="str">
        <f>IFERROR(
  IF(B706="", "", VLOOKUP(B706, Data!$B$2:$K$905, 9, FALSE)),
  ""
)</f>
        <v/>
      </c>
      <c r="S706" s="152">
        <f t="shared" si="520"/>
        <v>0</v>
      </c>
      <c r="T706" s="690"/>
      <c r="U706" s="681" t="str">
        <f>IFERROR(
  IF(B706="", "", VLOOKUP(B706, Data!$B$2:$K$905, 10, FALSE)),
  ""
)
</f>
        <v/>
      </c>
      <c r="V706" s="691"/>
      <c r="W706" s="140">
        <f t="shared" si="521"/>
        <v>0</v>
      </c>
      <c r="X706" s="692"/>
      <c r="Y706" s="595"/>
      <c r="Z706" s="595"/>
      <c r="AA706" s="595"/>
      <c r="AB706" s="354">
        <f t="shared" si="522"/>
        <v>0</v>
      </c>
      <c r="AC706" s="181"/>
      <c r="AD706" s="625"/>
      <c r="AE706" s="626"/>
      <c r="AF706" s="696"/>
      <c r="AG706" s="697"/>
      <c r="AH706" s="629"/>
      <c r="AI706" s="187"/>
      <c r="AJ706" s="630"/>
      <c r="AK706" s="630"/>
      <c r="AL706" s="595"/>
      <c r="AM706" s="595"/>
      <c r="AN706" s="595"/>
      <c r="AO706" s="595"/>
      <c r="AP706" s="595"/>
      <c r="AQ706" s="595"/>
      <c r="AR706" s="595"/>
      <c r="AS706" s="595"/>
      <c r="AT706" s="595"/>
      <c r="AU706" s="595"/>
      <c r="AV706" s="595"/>
      <c r="AW706" s="595"/>
      <c r="AX706" s="595"/>
      <c r="AY706" s="595"/>
      <c r="AZ706" s="595"/>
      <c r="BA706" s="595"/>
      <c r="BB706" s="595"/>
      <c r="BC706" s="595"/>
      <c r="BD706" s="595"/>
      <c r="BE706" s="595"/>
      <c r="BF706" s="595"/>
      <c r="BG706" s="595"/>
      <c r="BH706" s="595"/>
      <c r="BI706" s="651"/>
      <c r="BJ706" s="651"/>
      <c r="BK706" s="651"/>
      <c r="BL706" s="651"/>
      <c r="BM706" s="651"/>
      <c r="BN706" s="651"/>
      <c r="BO706" s="651"/>
      <c r="BP706" s="651"/>
      <c r="BQ706" s="651"/>
      <c r="BR706" s="651"/>
      <c r="BS706" s="651"/>
      <c r="BT706" s="651"/>
    </row>
    <row r="707">
      <c r="A707" s="631"/>
      <c r="B707" s="154" t="str">
        <f>IFERROR(__xludf.DUMMYFUNCTION("IFERROR(
  IF(C707="""","""",
    IF(OR(REGEXMATCH(D707,""(?i)-Flashing""), REGEXMATCH(D707,""(?i)-EavesGut""), REGEXMATCH(D707,""(?i)Valley"")),
        ""DR"" &amp;
        TEXT(
            ROUNDUP(
                MIN(
                    VALUE(MID(C707, "&amp;"FIND(""("",C707)+1, FIND(""/"",C707)-FIND(""("",C707)-1)),
                    1200
                ) / 50, 0
            ) * 50, ""0""
        ) &amp;
        MID(C707, FIND(""/"",C707)+1, FIND("")"",C707)-FIND(""/"",C707)-1) &amp;
        TEXT(H707*100,""0"") &amp;"&amp;"
        I707,
    IF(AND(D707=""Roof Sheet"", REGEXMATCH(C707,""(?i)KS\d{4}[A-Z]{2}"")),
       REGEXEXTRACT(C707,""(?i)KS\d{4}[A-Z]{2}""),
    IF(AND(REGEXMATCH(D707,""(?i)-DP""), REGEXMATCH(C707,""(?i)Downpipe"")),
       ""dp"" &amp; REGEXEXTRACT(C707,""("&amp;"\d+)"") &amp; ""mm"",
    IF(AND(REGEXMATCH(D707,""(?i)Bracket""), REGEXMATCH(C707,""(?i)Bracket"")),
       ""Brkt"" &amp; REGEXEXTRACT(C707,""(\d+)"") &amp; ""mm"",
    IF(AND(REGEXMATCH(D707,""(?i)-OP""), REGEXMATCH(C707,""(?i)pops"")),
       ""op"" &amp; REGEXEXTRAC"&amp;"T(C707,""(\d+)"") &amp; ""mm"",
    IF(OR(D707=""R-FFTop"", D707=""R-FFBottom"", D707=""R-FFSide""),
        IF(REGEXMATCH(C707,""(?i)Profiled.*Top|Top.*Profiled""),""pfft"",
        IF(REGEXMATCH(C707,""(?i)Profiled.*Bottom|Bottom.*Profiled""),""pffb"",
    "&amp;"    IF(REGEXMATCH(C707,""(?i)Square""),""sff"",""""))),
    IF(OR(D707=""W-FFTop"", D707=""W-FFBottom"", D707=""W-FFSide""),
        IF(REGEXMATCH(C707,""(?i)Profiled.*Top|Top.*Profiled""),""pfft"",
        IF(REGEXMATCH(C707,""(?i)Profiled.*Bottom|Bottom"&amp;".*Profiled""),""pffb"",
        IF(REGEXMATCH(C707,""(?i)Square""),""sff"",""""))),
    IF(REGEXMATCH(D707,""(?i)-Rivets""),""Rvt"",
    IF(REGEXMATCH(D707,""(?i)Silicone""),""300ml"",
    IF(REGEXMATCH(D707,""(?i)R-Butyl""),""300ml"",
    IF(REGEXMATCH(D"&amp;"707,""(?i)Fix""),""GenFix"",
    IF(AND(REGEXMATCH(C707,""(?i)Timber""), REGEXMATCH(D707,""(?i)Timber"")),""tp"",
    IF(AND(REGEXMATCH(C707,""(?i)Vent G1275""), REGEXMATCH(D707,""(?i)Comb FIller"")),""CFV1275"",
    IF(REGEXMATCH(C707,""(?i)DPC""),""dpc"&amp;""",
    IF(REGEXMATCH(C707,""(?i)Concealed Clips""),""ConClips"",
    IF(REGEXMATCH(D707,""(?i)-Takeoff ea""),""Takeoff ea"",
    IF(REGEXMATCH(D707,""(?i)-Takeoff LM""),""Takeoff LM"",
    IF(REGEXMATCH(D707,""(?i)-Takeoff m2""),""Takeoff m2"",
    IF(D7"&amp;"07=""R-TU/TD"",""TU/TD"",
    IF(D707=""W-TU/TD"",""TU/TD"","""")))))))))))))))))
  )))))"),"pfft")</f>
        <v>pfft</v>
      </c>
      <c r="C707" s="698" t="s">
        <v>104</v>
      </c>
      <c r="D707" s="148" t="s">
        <v>335</v>
      </c>
      <c r="E707" s="687"/>
      <c r="F707" s="699"/>
      <c r="G707" s="701"/>
      <c r="H707" s="700"/>
      <c r="I707" s="712"/>
      <c r="J707" s="126" t="s">
        <v>87</v>
      </c>
      <c r="K707" s="126" t="str">
        <f>IFERROR(
  IF(B707="", "", VLOOKUP(B707, Data!$B$2:$K$905, 7, FALSE)),
  ""
)</f>
        <v/>
      </c>
      <c r="L707" s="712"/>
      <c r="M707" s="150">
        <f>M703</f>
        <v>17.98</v>
      </c>
      <c r="N707" s="151">
        <f t="shared" si="523"/>
        <v>1</v>
      </c>
      <c r="O707" s="169">
        <v>1.0</v>
      </c>
      <c r="P707" s="134">
        <v>1.0</v>
      </c>
      <c r="Q707" s="168">
        <f t="shared" si="519"/>
        <v>17.98</v>
      </c>
      <c r="R707" s="136" t="str">
        <f>IFERROR(
  IF(B707="", "", VLOOKUP(B707, Data!$B$2:$K$905, 9, FALSE)),
  ""
)</f>
        <v/>
      </c>
      <c r="S707" s="152">
        <f t="shared" si="520"/>
        <v>0</v>
      </c>
      <c r="T707" s="690"/>
      <c r="U707" s="681" t="str">
        <f>IFERROR(
  IF(B707="", "", VLOOKUP(B707, Data!$B$2:$K$905, 10, FALSE)),
  ""
)
</f>
        <v/>
      </c>
      <c r="V707" s="691"/>
      <c r="W707" s="140">
        <f t="shared" si="521"/>
        <v>0</v>
      </c>
      <c r="X707" s="692"/>
      <c r="Y707" s="595"/>
      <c r="Z707" s="595"/>
      <c r="AA707" s="595"/>
      <c r="AB707" s="354">
        <f t="shared" si="522"/>
        <v>0</v>
      </c>
      <c r="AC707" s="181"/>
      <c r="AD707" s="625"/>
      <c r="AE707" s="626"/>
      <c r="AF707" s="696"/>
      <c r="AG707" s="697"/>
      <c r="AH707" s="629"/>
      <c r="AI707" s="187"/>
      <c r="AJ707" s="630"/>
      <c r="AK707" s="630"/>
      <c r="AL707" s="595"/>
      <c r="AM707" s="595"/>
      <c r="AN707" s="595"/>
      <c r="AO707" s="595"/>
      <c r="AP707" s="595"/>
      <c r="AQ707" s="595"/>
      <c r="AR707" s="595"/>
      <c r="AS707" s="595"/>
      <c r="AT707" s="595"/>
      <c r="AU707" s="595"/>
      <c r="AV707" s="595"/>
      <c r="AW707" s="595"/>
      <c r="AX707" s="595"/>
      <c r="AY707" s="595"/>
      <c r="AZ707" s="595"/>
      <c r="BA707" s="595"/>
      <c r="BB707" s="595"/>
      <c r="BC707" s="595"/>
      <c r="BD707" s="595"/>
      <c r="BE707" s="595"/>
      <c r="BF707" s="595"/>
      <c r="BG707" s="595"/>
      <c r="BH707" s="595"/>
      <c r="BI707" s="651"/>
      <c r="BJ707" s="651"/>
      <c r="BK707" s="651"/>
      <c r="BL707" s="651"/>
      <c r="BM707" s="651"/>
      <c r="BN707" s="651"/>
      <c r="BO707" s="651"/>
      <c r="BP707" s="651"/>
      <c r="BQ707" s="651"/>
      <c r="BR707" s="651"/>
      <c r="BS707" s="651"/>
      <c r="BT707" s="651"/>
    </row>
    <row r="708">
      <c r="A708" s="631"/>
      <c r="B708" s="154" t="str">
        <f>IFERROR(__xludf.DUMMYFUNCTION("IFERROR(
  IF(C708="""","""",
    IF(OR(REGEXMATCH(D708,""(?i)-Flashing""), REGEXMATCH(D708,""(?i)-EavesGut""), REGEXMATCH(D708,""(?i)Valley"")),
        ""DR"" &amp;
        TEXT(
            ROUNDUP(
                MIN(
                    VALUE(MID(C708, "&amp;"FIND(""("",C708)+1, FIND(""/"",C708)-FIND(""("",C708)-1)),
                    1200
                ) / 50, 0
            ) * 50, ""0""
        ) &amp;
        MID(C708, FIND(""/"",C708)+1, FIND("")"",C708)-FIND(""/"",C708)-1) &amp;
        TEXT(H708*100,""0"") &amp;"&amp;"
        I708,
    IF(AND(D708=""Roof Sheet"", REGEXMATCH(C708,""(?i)KS\d{4}[A-Z]{2}"")),
       REGEXEXTRACT(C708,""(?i)KS\d{4}[A-Z]{2}""),
    IF(AND(REGEXMATCH(D708,""(?i)-DP""), REGEXMATCH(C708,""(?i)Downpipe"")),
       ""dp"" &amp; REGEXEXTRACT(C708,""("&amp;"\d+)"") &amp; ""mm"",
    IF(AND(REGEXMATCH(D708,""(?i)Bracket""), REGEXMATCH(C708,""(?i)Bracket"")),
       ""Brkt"" &amp; REGEXEXTRACT(C708,""(\d+)"") &amp; ""mm"",
    IF(AND(REGEXMATCH(D708,""(?i)-OP""), REGEXMATCH(C708,""(?i)pops"")),
       ""op"" &amp; REGEXEXTRAC"&amp;"T(C708,""(\d+)"") &amp; ""mm"",
    IF(OR(D708=""R-FFTop"", D708=""R-FFBottom"", D708=""R-FFSide""),
        IF(REGEXMATCH(C708,""(?i)Profiled.*Top|Top.*Profiled""),""pfft"",
        IF(REGEXMATCH(C708,""(?i)Profiled.*Bottom|Bottom.*Profiled""),""pffb"",
    "&amp;"    IF(REGEXMATCH(C708,""(?i)Square""),""sff"",""""))),
    IF(OR(D708=""W-FFTop"", D708=""W-FFBottom"", D708=""W-FFSide""),
        IF(REGEXMATCH(C708,""(?i)Profiled.*Top|Top.*Profiled""),""pfft"",
        IF(REGEXMATCH(C708,""(?i)Profiled.*Bottom|Bottom"&amp;".*Profiled""),""pffb"",
        IF(REGEXMATCH(C708,""(?i)Square""),""sff"",""""))),
    IF(REGEXMATCH(D708,""(?i)-Rivets""),""Rvt"",
    IF(REGEXMATCH(D708,""(?i)Silicone""),""300ml"",
    IF(REGEXMATCH(D708,""(?i)R-Butyl""),""300ml"",
    IF(REGEXMATCH(D"&amp;"708,""(?i)Fix""),""GenFix"",
    IF(AND(REGEXMATCH(C708,""(?i)Timber""), REGEXMATCH(D708,""(?i)Timber"")),""tp"",
    IF(AND(REGEXMATCH(C708,""(?i)Vent G1275""), REGEXMATCH(D708,""(?i)Comb FIller"")),""CFV1275"",
    IF(REGEXMATCH(C708,""(?i)DPC""),""dpc"&amp;""",
    IF(REGEXMATCH(C708,""(?i)Concealed Clips""),""ConClips"",
    IF(REGEXMATCH(D708,""(?i)-Takeoff ea""),""Takeoff ea"",
    IF(REGEXMATCH(D708,""(?i)-Takeoff LM""),""Takeoff LM"",
    IF(REGEXMATCH(D708,""(?i)-Takeoff m2""),""Takeoff m2"",
    IF(D7"&amp;"08=""R-TU/TD"",""TU/TD"",
    IF(D708=""W-TU/TD"",""TU/TD"","""")))))))))))))))))
  )))))"),"TU/TD")</f>
        <v>TU/TD</v>
      </c>
      <c r="C708" s="698" t="s">
        <v>446</v>
      </c>
      <c r="D708" s="686" t="s">
        <v>355</v>
      </c>
      <c r="E708" s="687"/>
      <c r="F708" s="699"/>
      <c r="G708" s="701"/>
      <c r="H708" s="700"/>
      <c r="I708" s="712"/>
      <c r="J708" s="126" t="s">
        <v>87</v>
      </c>
      <c r="K708" s="126" t="str">
        <f>IFERROR(
  IF(B708="", "", VLOOKUP(B708, Data!$B$2:$K$905, 7, FALSE)),
  ""
)</f>
        <v/>
      </c>
      <c r="L708" s="704"/>
      <c r="M708" s="150">
        <f>M703</f>
        <v>17.98</v>
      </c>
      <c r="N708" s="151">
        <f t="shared" si="523"/>
        <v>1</v>
      </c>
      <c r="O708" s="169">
        <v>1.0</v>
      </c>
      <c r="P708" s="760">
        <v>1.0</v>
      </c>
      <c r="Q708" s="168">
        <f t="shared" si="519"/>
        <v>17.98</v>
      </c>
      <c r="R708" s="681" t="str">
        <f>IFERROR(
  IF(B708="", "", VLOOKUP(B708, Data!$B$2:$K$905, 9, FALSE)),
  ""
)</f>
        <v/>
      </c>
      <c r="S708" s="152">
        <f t="shared" si="520"/>
        <v>0</v>
      </c>
      <c r="T708" s="690"/>
      <c r="U708" s="136" t="str">
        <f>IFERROR(
  IF(B708="", "", VLOOKUP(B708, Data!$B$2:$K$905, 10, FALSE)),
  ""
)
</f>
        <v/>
      </c>
      <c r="V708" s="691"/>
      <c r="W708" s="140">
        <f t="shared" si="521"/>
        <v>0</v>
      </c>
      <c r="X708" s="692"/>
      <c r="Y708" s="595"/>
      <c r="Z708" s="595"/>
      <c r="AA708" s="595"/>
      <c r="AB708" s="354">
        <f t="shared" si="522"/>
        <v>0</v>
      </c>
      <c r="AC708" s="181"/>
      <c r="AD708" s="625"/>
      <c r="AE708" s="626"/>
      <c r="AF708" s="696"/>
      <c r="AG708" s="697"/>
      <c r="AH708" s="629"/>
      <c r="AI708" s="187"/>
      <c r="AJ708" s="630"/>
      <c r="AK708" s="630"/>
      <c r="AL708" s="595"/>
      <c r="AM708" s="595"/>
      <c r="AN708" s="595"/>
      <c r="AO708" s="595"/>
      <c r="AP708" s="595"/>
      <c r="AQ708" s="595"/>
      <c r="AR708" s="595"/>
      <c r="AS708" s="595"/>
      <c r="AT708" s="595"/>
      <c r="AU708" s="595"/>
      <c r="AV708" s="595"/>
      <c r="AW708" s="595"/>
      <c r="AX708" s="595"/>
      <c r="AY708" s="595"/>
      <c r="AZ708" s="595"/>
      <c r="BA708" s="595"/>
      <c r="BB708" s="595"/>
      <c r="BC708" s="595"/>
      <c r="BD708" s="595"/>
      <c r="BE708" s="595"/>
      <c r="BF708" s="595"/>
      <c r="BG708" s="595"/>
      <c r="BH708" s="595"/>
      <c r="BI708" s="651"/>
      <c r="BJ708" s="651"/>
      <c r="BK708" s="651"/>
      <c r="BL708" s="651"/>
      <c r="BM708" s="651"/>
      <c r="BN708" s="651"/>
      <c r="BO708" s="651"/>
      <c r="BP708" s="651"/>
      <c r="BQ708" s="651"/>
      <c r="BR708" s="651"/>
      <c r="BS708" s="651"/>
      <c r="BT708" s="651"/>
    </row>
    <row r="709">
      <c r="A709" s="631"/>
      <c r="B709" s="154"/>
      <c r="C709" s="758"/>
      <c r="D709" s="701"/>
      <c r="E709" s="722"/>
      <c r="F709" s="699"/>
      <c r="G709" s="701"/>
      <c r="H709" s="700"/>
      <c r="I709" s="712"/>
      <c r="J709" s="701"/>
      <c r="K709" s="701"/>
      <c r="L709" s="712"/>
      <c r="M709" s="704"/>
      <c r="N709" s="151" t="str">
        <f t="shared" si="523"/>
        <v/>
      </c>
      <c r="O709" s="712"/>
      <c r="P709" s="700"/>
      <c r="Q709" s="712"/>
      <c r="R709" s="681" t="str">
        <f>IFERROR(
  IF(B709="", "", VLOOKUP(B709, Data!$B$2:$K$905, 9, FALSE)),
  ""
)</f>
        <v/>
      </c>
      <c r="S709" s="691"/>
      <c r="T709" s="690"/>
      <c r="U709" s="681" t="str">
        <f>IFERROR(
  IF(B709="", "", VLOOKUP(B709, Data!$B$2:$K$905, 10, FALSE)),
  ""
)
</f>
        <v/>
      </c>
      <c r="V709" s="691"/>
      <c r="W709" s="713"/>
      <c r="X709" s="692"/>
      <c r="Y709" s="595"/>
      <c r="Z709" s="595"/>
      <c r="AA709" s="595"/>
      <c r="AB709" s="354">
        <f t="shared" si="522"/>
        <v>0</v>
      </c>
      <c r="AC709" s="181"/>
      <c r="AD709" s="625"/>
      <c r="AE709" s="626"/>
      <c r="AF709" s="696"/>
      <c r="AG709" s="697"/>
      <c r="AH709" s="629"/>
      <c r="AI709" s="187"/>
      <c r="AJ709" s="630"/>
      <c r="AK709" s="630"/>
      <c r="AL709" s="595"/>
      <c r="AM709" s="595"/>
      <c r="AN709" s="595"/>
      <c r="AO709" s="595"/>
      <c r="AP709" s="595"/>
      <c r="AQ709" s="595"/>
      <c r="AR709" s="595"/>
      <c r="AS709" s="595"/>
      <c r="AT709" s="595"/>
      <c r="AU709" s="595"/>
      <c r="AV709" s="595"/>
      <c r="AW709" s="595"/>
      <c r="AX709" s="595"/>
      <c r="AY709" s="595"/>
      <c r="AZ709" s="595"/>
      <c r="BA709" s="595"/>
      <c r="BB709" s="595"/>
      <c r="BC709" s="595"/>
      <c r="BD709" s="595"/>
      <c r="BE709" s="595"/>
      <c r="BF709" s="595"/>
      <c r="BG709" s="595"/>
      <c r="BH709" s="595"/>
      <c r="BI709" s="651"/>
      <c r="BJ709" s="651"/>
      <c r="BK709" s="651"/>
      <c r="BL709" s="651"/>
      <c r="BM709" s="651"/>
      <c r="BN709" s="651"/>
      <c r="BO709" s="651"/>
      <c r="BP709" s="651"/>
      <c r="BQ709" s="651"/>
      <c r="BR709" s="651"/>
      <c r="BS709" s="651"/>
      <c r="BT709" s="651"/>
    </row>
    <row r="710">
      <c r="A710" s="631">
        <v>1.0</v>
      </c>
      <c r="B710" s="727"/>
      <c r="C710" s="103" t="s">
        <v>566</v>
      </c>
      <c r="D710" s="678"/>
      <c r="E710" s="676"/>
      <c r="F710" s="677"/>
      <c r="G710" s="678"/>
      <c r="H710" s="678"/>
      <c r="I710" s="679"/>
      <c r="J710" s="678"/>
      <c r="K710" s="678" t="s">
        <v>42</v>
      </c>
      <c r="L710" s="106">
        <f>Q710</f>
        <v>18</v>
      </c>
      <c r="M710" s="679" t="s">
        <v>42</v>
      </c>
      <c r="N710" s="680"/>
      <c r="O710" s="679"/>
      <c r="P710" s="678"/>
      <c r="Q710" s="106">
        <f>Q711</f>
        <v>18</v>
      </c>
      <c r="R710" s="681" t="str">
        <f>IFERROR(
  IF(B710="", "", VLOOKUP(B710, Data!$B$2:$K$905, 9, FALSE)),
  ""
)</f>
        <v/>
      </c>
      <c r="S710" s="682">
        <f>IFERROR(T710/Q710, 0)</f>
        <v>0</v>
      </c>
      <c r="T710" s="109">
        <f>SUM(S711:S724)</f>
        <v>0</v>
      </c>
      <c r="U710" s="681" t="str">
        <f>IFERROR(
  IF(B710="", "", VLOOKUP(B710, Data!$B$2:$K$905, 10, FALSE)),
  ""
)
</f>
        <v/>
      </c>
      <c r="V710" s="109">
        <f>W710/Q710</f>
        <v>0</v>
      </c>
      <c r="W710" s="110">
        <f>SUM(W711:W724)</f>
        <v>0</v>
      </c>
      <c r="X710" s="111" t="str">
        <f>W710/$AC$758/$W$765/$X$755</f>
        <v>#REF!</v>
      </c>
      <c r="Y710" s="112" t="b">
        <f>(T710+W710)=(SUM(AB711:AB724))</f>
        <v>1</v>
      </c>
      <c r="Z710" s="222">
        <f>(T710+W710)-(SUM(AB711:AB724))</f>
        <v>0</v>
      </c>
      <c r="AA710" s="595"/>
      <c r="AB710" s="595"/>
      <c r="AC710" s="181"/>
      <c r="AD710" s="114">
        <f>W710+T710</f>
        <v>0</v>
      </c>
      <c r="AE710" s="115">
        <f>AD710</f>
        <v>0</v>
      </c>
      <c r="AF710" s="116" t="str">
        <f>AE710/$AE$733</f>
        <v>#REF!</v>
      </c>
      <c r="AG710" s="683" t="str">
        <f>AF710*$AG$740</f>
        <v>#REF!</v>
      </c>
      <c r="AH710" s="118" t="str">
        <f>AF710*$AG$743</f>
        <v>#REF!</v>
      </c>
      <c r="AI710" s="187"/>
      <c r="AJ710" s="119" t="str">
        <f>ROUND(AK710/L710,2)</f>
        <v>#REF!</v>
      </c>
      <c r="AK710" s="119" t="str">
        <f>ROUND(AH710+AG710+AD710,2)</f>
        <v>#REF!</v>
      </c>
      <c r="AL710" s="595"/>
      <c r="AM710" s="595"/>
      <c r="AN710" s="595"/>
      <c r="AO710" s="595"/>
      <c r="AP710" s="595"/>
      <c r="AQ710" s="595"/>
      <c r="AR710" s="595"/>
      <c r="AS710" s="595"/>
      <c r="AT710" s="595"/>
      <c r="AU710" s="595"/>
      <c r="AV710" s="595"/>
      <c r="AW710" s="595"/>
      <c r="AX710" s="595"/>
      <c r="AY710" s="595"/>
      <c r="AZ710" s="595"/>
      <c r="BA710" s="595"/>
      <c r="BB710" s="595"/>
      <c r="BC710" s="595"/>
      <c r="BD710" s="595"/>
      <c r="BE710" s="595"/>
      <c r="BF710" s="595"/>
      <c r="BG710" s="595"/>
      <c r="BH710" s="595"/>
      <c r="BI710" s="651"/>
      <c r="BJ710" s="651"/>
      <c r="BK710" s="651"/>
      <c r="BL710" s="651"/>
      <c r="BM710" s="651"/>
      <c r="BN710" s="651"/>
      <c r="BO710" s="651"/>
      <c r="BP710" s="651"/>
      <c r="BQ710" s="651"/>
      <c r="BR710" s="651"/>
      <c r="BS710" s="651"/>
      <c r="BT710" s="651"/>
    </row>
    <row r="711">
      <c r="A711" s="716" t="s">
        <v>444</v>
      </c>
      <c r="B711" s="154" t="str">
        <f>IFERROR(__xludf.DUMMYFUNCTION("IFERROR(
  IF(C711="""","""",
    IF(OR(REGEXMATCH(D711,""(?i)-Flashing""), REGEXMATCH(D711,""(?i)-EavesGut""), REGEXMATCH(D711,""(?i)Valley"")),
        ""DR"" &amp;
        TEXT(
            ROUNDUP(
                MIN(
                    VALUE(MID(C711, "&amp;"FIND(""("",C711)+1, FIND(""/"",C711)-FIND(""("",C711)-1)),
                    1200
                ) / 50, 0
            ) * 50, ""0""
        ) &amp;
        MID(C711, FIND(""/"",C711)+1, FIND("")"",C711)-FIND(""/"",C711)-1) &amp;
        TEXT(H711*100,""0"") &amp;"&amp;"
        I711,
    IF(AND(D711=""Roof Sheet"", REGEXMATCH(C711,""(?i)KS\d{4}[A-Z]{2}"")),
       REGEXEXTRACT(C711,""(?i)KS\d{4}[A-Z]{2}""),
    IF(AND(REGEXMATCH(D711,""(?i)-DP""), REGEXMATCH(C711,""(?i)Downpipe"")),
       ""dp"" &amp; REGEXEXTRACT(C711,""("&amp;"\d+)"") &amp; ""mm"",
    IF(AND(REGEXMATCH(D711,""(?i)Bracket""), REGEXMATCH(C711,""(?i)Bracket"")),
       ""Brkt"" &amp; REGEXEXTRACT(C711,""(\d+)"") &amp; ""mm"",
    IF(AND(REGEXMATCH(D711,""(?i)-OP""), REGEXMATCH(C711,""(?i)pops"")),
       ""op"" &amp; REGEXEXTRAC"&amp;"T(C711,""(\d+)"") &amp; ""mm"",
    IF(OR(D711=""R-FFTop"", D711=""R-FFBottom"", D711=""R-FFSide""),
        IF(REGEXMATCH(C711,""(?i)Profiled.*Top|Top.*Profiled""),""pfft"",
        IF(REGEXMATCH(C711,""(?i)Profiled.*Bottom|Bottom.*Profiled""),""pffb"",
    "&amp;"    IF(REGEXMATCH(C711,""(?i)Square""),""sff"",""""))),
    IF(REGEXMATCH(D711,""(?i)-Rivets""),""Rvt"",
    IF(REGEXMATCH(D711,""(?i)Silicone""),""300ml"",
    IF(REGEXMATCH(D711,""(?i)R-Butyl""),""300ml"",
    IF(REGEXMATCH(D711,""(?i)Fix""),""GenFix"","&amp;"
    IF(AND(REGEXMATCH(C711,""(?i)Timber""), REGEXMATCH(D711,""(?i)Timber"")),""tp"",
    IF(AND(REGEXMATCH(C711,""(?i)Vent G1275""), REGEXMATCH(D711,""(?i)Comb FIller"")),""CFV1275"",
    IF(REGEXMATCH(C711,""(?i)DPC""),""dpc"",
    IF(REGEXMATCH(C711,"""&amp;"(?i)Concealed Clips""),""ConClips"",
    IF(REGEXMATCH(D711,""(?i)-Takeoff ea""),""Takeoff ea"",
    IF(REGEXMATCH(D711,""(?i)-Takeoff LM""),""Takeoff LM"",
    IF(REGEXMATCH(D711,""(?i)-Takeoff m2""),""Takeoff m2"",
    IF(D711=""R-TU/TD"",""TU/TD"","""""&amp;")))))))))))))))))
  )))"),"DR4505B55Mag")</f>
        <v>DR4505B55Mag</v>
      </c>
      <c r="C711" s="123" t="s">
        <v>567</v>
      </c>
      <c r="D711" s="148" t="s">
        <v>161</v>
      </c>
      <c r="E711" s="687">
        <f>VALUE(MID(C711, FIND("(", C711)+1, FIND("/", C711)-FIND("(", C711)-1)) / 1000</f>
        <v>0.45</v>
      </c>
      <c r="F711" s="688"/>
      <c r="G711" s="689" t="s">
        <v>579</v>
      </c>
      <c r="H711" s="128" t="str">
        <f>IFERROR(__xludf.DUMMYFUNCTION("IFERROR(REGEXEXTRACT(C711, ""(\d*\.\d+)mm""), """")"),"0.55")</f>
        <v>0.55</v>
      </c>
      <c r="I711" s="168" t="s">
        <v>97</v>
      </c>
      <c r="J711" s="126" t="s">
        <v>14</v>
      </c>
      <c r="K711" s="126" t="str">
        <f>IFERROR(
  IF(B711="", "", VLOOKUP(B711, Data!$B$2:$K$905, 7, FALSE)),
  ""
)</f>
        <v/>
      </c>
      <c r="L711" s="704"/>
      <c r="M711" s="730">
        <v>18.0</v>
      </c>
      <c r="N711" s="151">
        <f>IFERROR(__xludf.DUMMYFUNCTION("IF(
  AND(
    IFERROR(REGEXEXTRACT(C711,""@\s*(\d+(?:\.\d+)?)\s*deg""),"""")&lt;&gt;"""",
    F711&lt;&gt;""""
  ),
  ""Pls Confirm °"",
  IF(
    IFERROR(REGEXEXTRACT(C711,""@\s*(\d+(?:\.\d+)?)\s*deg""),"""")&lt;&gt;"""",
    1/COS(RADIANS(REGEXEXTRACT(C711,""@\s*(\d+(?:"&amp;"\.\d+)?)\s*deg""))),
    IF(
      F711&lt;&gt;"""",
      IF(
        ISNUMBER(SEARCH(""|"",F711)),
        1/COS(
          ATAN(
            TAN(RADIANS(VALUE(INDEX(SPLIT(F711,""|""),1)))) *
            TAN(RADIANS(VALUE(INDEX(SPLIT(F711,""|""),2))))
       "&amp;"     /
            SQRT(
              TAN(RADIANS(VALUE(INDEX(SPLIT(F711,""|""),1))))^2 +
              TAN(RADIANS(VALUE(INDEX(SPLIT(F711,""|""),2))))^2
            )
          )
        ),
        1/COS(RADIANS(VALUE(F711)))
      ),
      1
    )
  )
"&amp;")"),1.0)</f>
        <v>1</v>
      </c>
      <c r="O711" s="169">
        <v>1.0</v>
      </c>
      <c r="P711" s="134">
        <v>1.0</v>
      </c>
      <c r="Q711" s="168">
        <f t="shared" ref="Q711:Q715" si="524">M711*N711*O711*P711</f>
        <v>18</v>
      </c>
      <c r="R711" s="136" t="str">
        <f>IFERROR(
  IF(B711="", "", VLOOKUP(B711, Data!$B$2:$K$905, 9, FALSE)),
  ""
)</f>
        <v/>
      </c>
      <c r="S711" s="152">
        <f t="shared" ref="S711:S715" si="525">R711*Q711</f>
        <v>0</v>
      </c>
      <c r="T711" s="690"/>
      <c r="U711" s="136" t="str">
        <f>IFERROR(
  IF(B711="", "", VLOOKUP(B711, Data!$B$2:$K$905, 10, FALSE)),
  ""
)
</f>
        <v/>
      </c>
      <c r="V711" s="691"/>
      <c r="W711" s="140">
        <f t="shared" ref="W711:W715" si="526">U711*Q711</f>
        <v>0</v>
      </c>
      <c r="X711" s="692"/>
      <c r="Y711" s="693"/>
      <c r="Z711" s="731"/>
      <c r="AA711" s="595"/>
      <c r="AB711" s="354">
        <f t="shared" ref="AB711:AB724" si="527">W711+S711</f>
        <v>0</v>
      </c>
      <c r="AC711" s="181"/>
      <c r="AD711" s="625"/>
      <c r="AE711" s="626"/>
      <c r="AF711" s="696"/>
      <c r="AG711" s="697"/>
      <c r="AH711" s="629"/>
      <c r="AI711" s="187"/>
      <c r="AJ711" s="630"/>
      <c r="AK711" s="630"/>
      <c r="AL711" s="595"/>
      <c r="AM711" s="595"/>
      <c r="AN711" s="595"/>
      <c r="AO711" s="595"/>
      <c r="AP711" s="595"/>
      <c r="AQ711" s="595"/>
      <c r="AR711" s="595"/>
      <c r="AS711" s="595"/>
      <c r="AT711" s="595"/>
      <c r="AU711" s="595"/>
      <c r="AV711" s="595"/>
      <c r="AW711" s="595"/>
      <c r="AX711" s="595"/>
      <c r="AY711" s="595"/>
      <c r="AZ711" s="595"/>
      <c r="BA711" s="595"/>
      <c r="BB711" s="595"/>
      <c r="BC711" s="595"/>
      <c r="BD711" s="595"/>
      <c r="BE711" s="595"/>
      <c r="BF711" s="595"/>
      <c r="BG711" s="595"/>
      <c r="BH711" s="595"/>
      <c r="BI711" s="651"/>
      <c r="BJ711" s="651"/>
      <c r="BK711" s="651"/>
      <c r="BL711" s="651"/>
      <c r="BM711" s="651"/>
      <c r="BN711" s="651"/>
      <c r="BO711" s="651"/>
      <c r="BP711" s="651"/>
      <c r="BQ711" s="651"/>
      <c r="BR711" s="651"/>
      <c r="BS711" s="651"/>
      <c r="BT711" s="651"/>
    </row>
    <row r="712">
      <c r="A712" s="631"/>
      <c r="B712" s="154" t="str">
        <f>IFERROR(__xludf.DUMMYFUNCTION("IFERROR(
  IF(C712="""","""",
    IF(OR(REGEXMATCH(D712,""(?i)-Flashing""), REGEXMATCH(D712,""(?i)-EavesGut""), REGEXMATCH(D712,""(?i)Valley"")),
        ""DR"" &amp;
        TEXT(
            ROUNDUP(
                MIN(
                    VALUE(MID(C712, "&amp;"FIND(""("",C712)+1, FIND(""/"",C712)-FIND(""("",C712)-1)),
                    1200
                ) / 50, 0
            ) * 50, ""0""
        ) &amp;
        MID(C712, FIND(""/"",C712)+1, FIND("")"",C712)-FIND(""/"",C712)-1) &amp;
        TEXT(H712*100,""0"") &amp;"&amp;"
        I712,
    IF(AND(D712=""Roof Sheet"", REGEXMATCH(C712,""(?i)KS\d{4}[A-Z]{2}"")),
       REGEXEXTRACT(C712,""(?i)KS\d{4}[A-Z]{2}""),
    IF(AND(REGEXMATCH(D712,""(?i)-DP""), REGEXMATCH(C712,""(?i)Downpipe"")),
       ""dp"" &amp; REGEXEXTRACT(C712,""("&amp;"\d+)"") &amp; ""mm"",
    IF(AND(REGEXMATCH(D712,""(?i)Bracket""), REGEXMATCH(C712,""(?i)Bracket"")),
       ""Brkt"" &amp; REGEXEXTRACT(C712,""(\d+)"") &amp; ""mm"",
    IF(AND(REGEXMATCH(D712,""(?i)-OP""), REGEXMATCH(C712,""(?i)pops"")),
       ""op"" &amp; REGEXEXTRAC"&amp;"T(C712,""(\d+)"") &amp; ""mm"",
    IF(OR(D712=""R-FFTop"", D712=""R-FFBottom"", D712=""R-FFSide""),
        IF(REGEXMATCH(C712,""(?i)Profiled.*Top|Top.*Profiled""),""pfft"",
        IF(REGEXMATCH(C712,""(?i)Profiled.*Bottom|Bottom.*Profiled""),""pffb"",
    "&amp;"    IF(REGEXMATCH(C712,""(?i)Square""),""sff"",""""))),
    IF(REGEXMATCH(D712,""(?i)-Rivets""),""Rvt"",
    IF(REGEXMATCH(D712,""(?i)Silicone""),""300ml"",
    IF(REGEXMATCH(D712,""(?i)R-Butyl""),""300ml"",
    IF(REGEXMATCH(D712,""(?i)Fix""),""GenFix"","&amp;"
    IF(AND(REGEXMATCH(C712,""(?i)Timber""), REGEXMATCH(D712,""(?i)Timber"")),""tp"",
    IF(AND(REGEXMATCH(C712,""(?i)Vent G1275""), REGEXMATCH(D712,""(?i)Comb FIller"")),""CFV1275"",
    IF(REGEXMATCH(C712,""(?i)DPC""),""dpc"",
    IF(REGEXMATCH(C712,"""&amp;"(?i)Concealed Clips""),""ConClips"",
    IF(REGEXMATCH(D712,""(?i)-Takeoff ea""),""Takeoff ea"",
    IF(REGEXMATCH(D712,""(?i)-Takeoff LM""),""Takeoff LM"",
    IF(REGEXMATCH(D712,""(?i)-Takeoff m2""),""Takeoff m2"",
    IF(D712=""R-TU/TD"",""TU/TD"","""""&amp;")))))))))))))))))
  )))"),"300ml")</f>
        <v>300ml</v>
      </c>
      <c r="C712" s="734" t="s">
        <v>98</v>
      </c>
      <c r="D712" s="148" t="s">
        <v>162</v>
      </c>
      <c r="E712" s="687">
        <f>E711</f>
        <v>0.45</v>
      </c>
      <c r="F712" s="699"/>
      <c r="G712" s="700"/>
      <c r="H712" s="700" t="str">
        <f>IFERROR(__xludf.DUMMYFUNCTION("IFERROR(REGEXEXTRACT(C712, ""(\d*\.\d+)mm""), """")"),"")</f>
        <v/>
      </c>
      <c r="I712" s="712"/>
      <c r="J712" s="126" t="s">
        <v>87</v>
      </c>
      <c r="K712" s="126" t="str">
        <f>IFERROR(
  IF(B712="", "", VLOOKUP(B712, Data!$B$2:$K$905, 7, FALSE)),
  ""
)</f>
        <v/>
      </c>
      <c r="L712" s="704"/>
      <c r="M712" s="150">
        <f>(ROUNDDOWN((M711/5.7)+2,0)*E712)/8</f>
        <v>0.28125</v>
      </c>
      <c r="N712" s="151">
        <f t="shared" ref="N712:N724" si="528">if(B712="","",(if(N711="",N710,N711)))</f>
        <v>1</v>
      </c>
      <c r="O712" s="169">
        <v>1.0</v>
      </c>
      <c r="P712" s="134">
        <v>1.0</v>
      </c>
      <c r="Q712" s="168">
        <f t="shared" si="524"/>
        <v>0.28125</v>
      </c>
      <c r="R712" s="136" t="str">
        <f>IFERROR(
  IF(B712="", "", VLOOKUP(B712, Data!$B$2:$K$905, 9, FALSE)),
  ""
)</f>
        <v/>
      </c>
      <c r="S712" s="152">
        <f t="shared" si="525"/>
        <v>0</v>
      </c>
      <c r="T712" s="690"/>
      <c r="U712" s="681" t="str">
        <f>IFERROR(
  IF(B712="", "", VLOOKUP(B712, Data!$B$2:$K$905, 10, FALSE)),
  ""
)
</f>
        <v/>
      </c>
      <c r="V712" s="691"/>
      <c r="W712" s="140">
        <f t="shared" si="526"/>
        <v>0</v>
      </c>
      <c r="X712" s="692"/>
      <c r="Y712" s="595"/>
      <c r="Z712" s="595"/>
      <c r="AA712" s="595"/>
      <c r="AB712" s="354">
        <f t="shared" si="527"/>
        <v>0</v>
      </c>
      <c r="AC712" s="181"/>
      <c r="AD712" s="625"/>
      <c r="AE712" s="626"/>
      <c r="AF712" s="696"/>
      <c r="AG712" s="697"/>
      <c r="AH712" s="629"/>
      <c r="AI712" s="187"/>
      <c r="AJ712" s="630"/>
      <c r="AK712" s="630"/>
      <c r="AL712" s="595"/>
      <c r="AM712" s="595"/>
      <c r="AN712" s="595"/>
      <c r="AO712" s="595"/>
      <c r="AP712" s="595"/>
      <c r="AQ712" s="595"/>
      <c r="AR712" s="595"/>
      <c r="AS712" s="595"/>
      <c r="AT712" s="595"/>
      <c r="AU712" s="595"/>
      <c r="AV712" s="595"/>
      <c r="AW712" s="595"/>
      <c r="AX712" s="595"/>
      <c r="AY712" s="595"/>
      <c r="AZ712" s="595"/>
      <c r="BA712" s="595"/>
      <c r="BB712" s="595"/>
      <c r="BC712" s="595"/>
      <c r="BD712" s="595"/>
      <c r="BE712" s="595"/>
      <c r="BF712" s="595"/>
      <c r="BG712" s="595"/>
      <c r="BH712" s="595"/>
      <c r="BI712" s="651"/>
      <c r="BJ712" s="651"/>
      <c r="BK712" s="651"/>
      <c r="BL712" s="651"/>
      <c r="BM712" s="651"/>
      <c r="BN712" s="651"/>
      <c r="BO712" s="651"/>
      <c r="BP712" s="651"/>
      <c r="BQ712" s="651"/>
      <c r="BR712" s="651"/>
      <c r="BS712" s="651"/>
      <c r="BT712" s="651"/>
    </row>
    <row r="713">
      <c r="A713" s="631"/>
      <c r="B713" s="154" t="str">
        <f>IFERROR(__xludf.DUMMYFUNCTION("IFERROR(
  IF(C713="""","""",
    IF(OR(REGEXMATCH(D713,""(?i)-Flashing""), REGEXMATCH(D713,""(?i)-EavesGut""), REGEXMATCH(D713,""(?i)Valley"")),
        ""DR"" &amp;
        TEXT(
            ROUNDUP(
                MIN(
                    VALUE(MID(C713, "&amp;"FIND(""("",C713)+1, FIND(""/"",C713)-FIND(""("",C713)-1)),
                    1200
                ) / 50, 0
            ) * 50, ""0""
        ) &amp;
        MID(C713, FIND(""/"",C713)+1, FIND("")"",C713)-FIND(""/"",C713)-1) &amp;
        TEXT(H713*100,""0"") &amp;"&amp;"
        I713,
    IF(AND(D713=""Roof Sheet"", REGEXMATCH(C713,""(?i)KS\d{4}[A-Z]{2}"")),
       REGEXEXTRACT(C713,""(?i)KS\d{4}[A-Z]{2}""),
    IF(AND(REGEXMATCH(D713,""(?i)-DP""), REGEXMATCH(C713,""(?i)Downpipe"")),
       ""dp"" &amp; REGEXEXTRACT(C713,""("&amp;"\d+)"") &amp; ""mm"",
    IF(AND(REGEXMATCH(D713,""(?i)Bracket""), REGEXMATCH(C713,""(?i)Bracket"")),
       ""Brkt"" &amp; REGEXEXTRACT(C713,""(\d+)"") &amp; ""mm"",
    IF(AND(REGEXMATCH(D713,""(?i)-OP""), REGEXMATCH(C713,""(?i)pops"")),
       ""op"" &amp; REGEXEXTRAC"&amp;"T(C713,""(\d+)"") &amp; ""mm"",
    IF(OR(D713=""R-FFTop"", D713=""R-FFBottom"", D713=""R-FFSide""),
        IF(REGEXMATCH(C713,""(?i)Profiled.*Top|Top.*Profiled""),""pfft"",
        IF(REGEXMATCH(C713,""(?i)Profiled.*Bottom|Bottom.*Profiled""),""pffb"",
    "&amp;"    IF(REGEXMATCH(C713,""(?i)Square""),""sff"",""""))),
    IF(REGEXMATCH(D713,""(?i)-Rivets""),""Rvt"",
    IF(REGEXMATCH(D713,""(?i)Silicone""),""300ml"",
    IF(REGEXMATCH(D713,""(?i)R-Butyl""),""300ml"",
    IF(REGEXMATCH(D713,""(?i)Fix""),""GenFix"","&amp;"
    IF(AND(REGEXMATCH(C713,""(?i)Timber""), REGEXMATCH(D713,""(?i)Timber"")),""tp"",
    IF(AND(REGEXMATCH(C713,""(?i)Vent G1275""), REGEXMATCH(D713,""(?i)Comb FIller"")),""CFV1275"",
    IF(REGEXMATCH(C713,""(?i)DPC""),""dpc"",
    IF(REGEXMATCH(C713,"""&amp;"(?i)Concealed Clips""),""ConClips"",
    IF(REGEXMATCH(D713,""(?i)-Takeoff ea""),""Takeoff ea"",
    IF(REGEXMATCH(D713,""(?i)-Takeoff LM""),""Takeoff LM"",
    IF(REGEXMATCH(D713,""(?i)-Takeoff m2""),""Takeoff m2"",
    IF(D713=""R-TU/TD"",""TU/TD"","""""&amp;")))))))))))))))))
  )))"),"Rvt")</f>
        <v>Rvt</v>
      </c>
      <c r="C713" s="734" t="s">
        <v>100</v>
      </c>
      <c r="D713" s="148" t="s">
        <v>163</v>
      </c>
      <c r="E713" s="687">
        <f>E711</f>
        <v>0.45</v>
      </c>
      <c r="F713" s="699"/>
      <c r="G713" s="700"/>
      <c r="H713" s="700" t="str">
        <f>IFERROR(__xludf.DUMMYFUNCTION("IFERROR(REGEXEXTRACT(C713, ""(\d*\.\d+)mm""), """")"),"")</f>
        <v/>
      </c>
      <c r="I713" s="712"/>
      <c r="J713" s="126" t="s">
        <v>87</v>
      </c>
      <c r="K713" s="126" t="str">
        <f>IFERROR(
  IF(B713="", "", VLOOKUP(B713, Data!$B$2:$K$905, 7, FALSE)),
  ""
)</f>
        <v/>
      </c>
      <c r="L713" s="704"/>
      <c r="M713" s="150">
        <f>ROUNDUP(((M711/5.7)+1)*(E713/0.05),0)</f>
        <v>38</v>
      </c>
      <c r="N713" s="151">
        <f t="shared" si="528"/>
        <v>1</v>
      </c>
      <c r="O713" s="169">
        <v>1.0</v>
      </c>
      <c r="P713" s="134">
        <v>1.0</v>
      </c>
      <c r="Q713" s="168">
        <f t="shared" si="524"/>
        <v>38</v>
      </c>
      <c r="R713" s="136" t="str">
        <f>IFERROR(
  IF(B713="", "", VLOOKUP(B713, Data!$B$2:$K$905, 9, FALSE)),
  ""
)</f>
        <v/>
      </c>
      <c r="S713" s="152">
        <f t="shared" si="525"/>
        <v>0</v>
      </c>
      <c r="T713" s="690"/>
      <c r="U713" s="681" t="str">
        <f>IFERROR(
  IF(B713="", "", VLOOKUP(B713, Data!$B$2:$K$905, 10, FALSE)),
  ""
)
</f>
        <v/>
      </c>
      <c r="V713" s="691"/>
      <c r="W713" s="140">
        <f t="shared" si="526"/>
        <v>0</v>
      </c>
      <c r="X713" s="692"/>
      <c r="Y713" s="595"/>
      <c r="Z713" s="595"/>
      <c r="AA713" s="595"/>
      <c r="AB713" s="354">
        <f t="shared" si="527"/>
        <v>0</v>
      </c>
      <c r="AC713" s="181"/>
      <c r="AD713" s="625"/>
      <c r="AE713" s="626"/>
      <c r="AF713" s="696"/>
      <c r="AG713" s="697"/>
      <c r="AH713" s="629"/>
      <c r="AI713" s="187"/>
      <c r="AJ713" s="630"/>
      <c r="AK713" s="630"/>
      <c r="AL713" s="595"/>
      <c r="AM713" s="595"/>
      <c r="AN713" s="595"/>
      <c r="AO713" s="595"/>
      <c r="AP713" s="595"/>
      <c r="AQ713" s="595"/>
      <c r="AR713" s="595"/>
      <c r="AS713" s="595"/>
      <c r="AT713" s="595"/>
      <c r="AU713" s="595"/>
      <c r="AV713" s="595"/>
      <c r="AW713" s="595"/>
      <c r="AX713" s="595"/>
      <c r="AY713" s="595"/>
      <c r="AZ713" s="595"/>
      <c r="BA713" s="595"/>
      <c r="BB713" s="595"/>
      <c r="BC713" s="595"/>
      <c r="BD713" s="595"/>
      <c r="BE713" s="595"/>
      <c r="BF713" s="595"/>
      <c r="BG713" s="595"/>
      <c r="BH713" s="595"/>
      <c r="BI713" s="651"/>
      <c r="BJ713" s="651"/>
      <c r="BK713" s="651"/>
      <c r="BL713" s="651"/>
      <c r="BM713" s="651"/>
      <c r="BN713" s="651"/>
      <c r="BO713" s="651"/>
      <c r="BP713" s="651"/>
      <c r="BQ713" s="651"/>
      <c r="BR713" s="651"/>
      <c r="BS713" s="651"/>
      <c r="BT713" s="651"/>
    </row>
    <row r="714">
      <c r="A714" s="631"/>
      <c r="B714" s="154" t="str">
        <f>IFERROR(__xludf.DUMMYFUNCTION("IFERROR(
  IF(C714="""","""",
    IF(OR(REGEXMATCH(D714,""(?i)-Flashing""), REGEXMATCH(D714,""(?i)-EavesGut""), REGEXMATCH(D714,""(?i)Valley"")),
        ""DR"" &amp;
        TEXT(
            ROUNDUP(
                MIN(
                    VALUE(MID(C714, "&amp;"FIND(""("",C714)+1, FIND(""/"",C714)-FIND(""("",C714)-1)),
                    1200
                ) / 50, 0
            ) * 50, ""0""
        ) &amp;
        MID(C714, FIND(""/"",C714)+1, FIND("")"",C714)-FIND(""/"",C714)-1) &amp;
        TEXT(H714*100,""0"") &amp;"&amp;"
        I714,
    IF(AND(D714=""Roof Sheet"", REGEXMATCH(C714,""(?i)KS\d{4}[A-Z]{2}"")),
       REGEXEXTRACT(C714,""(?i)KS\d{4}[A-Z]{2}""),
    IF(AND(REGEXMATCH(D714,""(?i)-DP""), REGEXMATCH(C714,""(?i)Downpipe"")),
       ""dp"" &amp; REGEXEXTRACT(C714,""("&amp;"\d+)"") &amp; ""mm"",
    IF(AND(REGEXMATCH(D714,""(?i)Bracket""), REGEXMATCH(C714,""(?i)Bracket"")),
       ""Brkt"" &amp; REGEXEXTRACT(C714,""(\d+)"") &amp; ""mm"",
    IF(AND(REGEXMATCH(D714,""(?i)-OP""), REGEXMATCH(C714,""(?i)pops"")),
       ""op"" &amp; REGEXEXTRAC"&amp;"T(C714,""(\d+)"") &amp; ""mm"",
    IF(OR(D714=""R-FFTop"", D714=""R-FFBottom"", D714=""R-FFSide""),
        IF(REGEXMATCH(C714,""(?i)Profiled.*Top|Top.*Profiled""),""pfft"",
        IF(REGEXMATCH(C714,""(?i)Profiled.*Bottom|Bottom.*Profiled""),""pffb"",
    "&amp;"    IF(REGEXMATCH(C714,""(?i)Square""),""sff"",""""))),
    IF(REGEXMATCH(D714,""(?i)-Rivets""),""Rvt"",
    IF(REGEXMATCH(D714,""(?i)Silicone""),""300ml"",
    IF(REGEXMATCH(D714,""(?i)R-Butyl""),""300ml"",
    IF(REGEXMATCH(D714,""(?i)Fix""),""GenFix"","&amp;"
    IF(AND(REGEXMATCH(C714,""(?i)Timber""), REGEXMATCH(D714,""(?i)Timber"")),""tp"",
    IF(AND(REGEXMATCH(C714,""(?i)Vent G1275""), REGEXMATCH(D714,""(?i)Comb FIller"")),""CFV1275"",
    IF(REGEXMATCH(C714,""(?i)DPC""),""dpc"",
    IF(REGEXMATCH(C714,"""&amp;"(?i)Concealed Clips""),""ConClips"",
    IF(REGEXMATCH(D714,""(?i)-Takeoff ea""),""Takeoff ea"",
    IF(REGEXMATCH(D714,""(?i)-Takeoff LM""),""Takeoff LM"",
    IF(REGEXMATCH(D714,""(?i)-Takeoff m2""),""Takeoff m2"",
    IF(D714=""R-TU/TD"",""TU/TD"","""""&amp;")))))))))))))))))
  )))"),"GenFix")</f>
        <v>GenFix</v>
      </c>
      <c r="C714" s="698" t="s">
        <v>102</v>
      </c>
      <c r="D714" s="148" t="s">
        <v>164</v>
      </c>
      <c r="E714" s="722"/>
      <c r="F714" s="699"/>
      <c r="G714" s="701"/>
      <c r="H714" s="700"/>
      <c r="I714" s="712"/>
      <c r="J714" s="126" t="s">
        <v>87</v>
      </c>
      <c r="K714" s="126" t="str">
        <f>IFERROR(
  IF(B714="", "", VLOOKUP(B714, Data!$B$2:$K$905, 7, FALSE)),
  ""
)</f>
        <v/>
      </c>
      <c r="L714" s="712"/>
      <c r="M714" s="150">
        <f>ROUNDUP(M711/0.6,0)+1</f>
        <v>31</v>
      </c>
      <c r="N714" s="151">
        <f t="shared" si="528"/>
        <v>1</v>
      </c>
      <c r="O714" s="169">
        <v>1.0</v>
      </c>
      <c r="P714" s="134">
        <v>2.0</v>
      </c>
      <c r="Q714" s="168">
        <f t="shared" si="524"/>
        <v>62</v>
      </c>
      <c r="R714" s="136" t="str">
        <f>IFERROR(
  IF(B714="", "", VLOOKUP(B714, Data!$B$2:$K$905, 9, FALSE)),
  ""
)</f>
        <v/>
      </c>
      <c r="S714" s="152">
        <f t="shared" si="525"/>
        <v>0</v>
      </c>
      <c r="T714" s="690"/>
      <c r="U714" s="681" t="str">
        <f>IFERROR(
  IF(B714="", "", VLOOKUP(B714, Data!$B$2:$K$905, 10, FALSE)),
  ""
)
</f>
        <v/>
      </c>
      <c r="V714" s="691"/>
      <c r="W714" s="140">
        <f t="shared" si="526"/>
        <v>0</v>
      </c>
      <c r="X714" s="692"/>
      <c r="Y714" s="595"/>
      <c r="Z714" s="595"/>
      <c r="AA714" s="595"/>
      <c r="AB714" s="354">
        <f t="shared" si="527"/>
        <v>0</v>
      </c>
      <c r="AC714" s="181"/>
      <c r="AD714" s="625"/>
      <c r="AE714" s="626"/>
      <c r="AF714" s="696"/>
      <c r="AG714" s="697"/>
      <c r="AH714" s="629"/>
      <c r="AI714" s="187"/>
      <c r="AJ714" s="630"/>
      <c r="AK714" s="630"/>
      <c r="AL714" s="595"/>
      <c r="AM714" s="595"/>
      <c r="AN714" s="595"/>
      <c r="AO714" s="595"/>
      <c r="AP714" s="595"/>
      <c r="AQ714" s="595"/>
      <c r="AR714" s="595"/>
      <c r="AS714" s="595"/>
      <c r="AT714" s="595"/>
      <c r="AU714" s="595"/>
      <c r="AV714" s="595"/>
      <c r="AW714" s="595"/>
      <c r="AX714" s="595"/>
      <c r="AY714" s="595"/>
      <c r="AZ714" s="595"/>
      <c r="BA714" s="595"/>
      <c r="BB714" s="595"/>
      <c r="BC714" s="595"/>
      <c r="BD714" s="595"/>
      <c r="BE714" s="595"/>
      <c r="BF714" s="595"/>
      <c r="BG714" s="595"/>
      <c r="BH714" s="595"/>
      <c r="BI714" s="651"/>
      <c r="BJ714" s="651"/>
      <c r="BK714" s="651"/>
      <c r="BL714" s="651"/>
      <c r="BM714" s="651"/>
      <c r="BN714" s="651"/>
      <c r="BO714" s="651"/>
      <c r="BP714" s="651"/>
      <c r="BQ714" s="651"/>
      <c r="BR714" s="651"/>
      <c r="BS714" s="651"/>
      <c r="BT714" s="651"/>
    </row>
    <row r="715">
      <c r="A715" s="631"/>
      <c r="B715" s="154" t="str">
        <f>IFERROR(__xludf.DUMMYFUNCTION("IFERROR(
  IF(C715="""","""",
    IF(OR(REGEXMATCH(D715,""(?i)-Flashing""), REGEXMATCH(D715,""(?i)-EavesGut""), REGEXMATCH(D715,""(?i)Valley"")),
        ""DR"" &amp;
        TEXT(
            ROUNDUP(
                MIN(
                    VALUE(MID(C715, "&amp;"FIND(""("",C715)+1, FIND(""/"",C715)-FIND(""("",C715)-1)),
                    1200
                ) / 50, 0
            ) * 50, ""0""
        ) &amp;
        MID(C715, FIND(""/"",C715)+1, FIND("")"",C715)-FIND(""/"",C715)-1) &amp;
        TEXT(H715*100,""0"") &amp;"&amp;"
        I715,
    IF(AND(D715=""Roof Sheet"", REGEXMATCH(C715,""(?i)KS\d{4}[A-Z]{2}"")),
       REGEXEXTRACT(C715,""(?i)KS\d{4}[A-Z]{2}""),
    IF(AND(REGEXMATCH(D715,""(?i)-DP""), REGEXMATCH(C715,""(?i)Downpipe"")),
       ""dp"" &amp; REGEXEXTRACT(C715,""("&amp;"\d+)"") &amp; ""mm"",
    IF(AND(REGEXMATCH(D715,""(?i)Bracket""), REGEXMATCH(C715,""(?i)Bracket"")),
       ""Brkt"" &amp; REGEXEXTRACT(C715,""(\d+)"") &amp; ""mm"",
    IF(AND(REGEXMATCH(D715,""(?i)-OP""), REGEXMATCH(C715,""(?i)pops"")),
       ""op"" &amp; REGEXEXTRAC"&amp;"T(C715,""(\d+)"") &amp; ""mm"",
    IF(OR(D715=""R-FFTop"", D715=""R-FFBottom"", D715=""R-FFSide""),
        IF(REGEXMATCH(C715,""(?i)Profiled.*Top|Top.*Profiled""),""pfft"",
        IF(REGEXMATCH(C715,""(?i)Profiled.*Bottom|Bottom.*Profiled""),""pffb"",
    "&amp;"    IF(REGEXMATCH(C715,""(?i)Square""),""sff"",""""))),
    IF(OR(D715=""W-FFTop"", D715=""W-FFBottom"", D715=""W-FFSide""),
        IF(REGEXMATCH(C715,""(?i)Profiled.*Top|Top.*Profiled""),""pfft"",
        IF(REGEXMATCH(C715,""(?i)Profiled.*Bottom|Bottom"&amp;".*Profiled""),""pffb"",
        IF(REGEXMATCH(C715,""(?i)Square""),""sff"",""""))),
    IF(REGEXMATCH(D715,""(?i)-Rivets""),""Rvt"",
    IF(REGEXMATCH(D715,""(?i)Silicone""),""300ml"",
    IF(REGEXMATCH(D715,""(?i)R-Butyl""),""300ml"",
    IF(REGEXMATCH(D"&amp;"715,""(?i)Fix""),""GenFix"",
    IF(AND(REGEXMATCH(C715,""(?i)Timber""), REGEXMATCH(D715,""(?i)Timber"")),""tp"",
    IF(AND(REGEXMATCH(C715,""(?i)Vent G1275""), REGEXMATCH(D715,""(?i)Comb FIller"")),""CFV1275"",
    IF(REGEXMATCH(C715,""(?i)DPC""),""dpc"&amp;""",
    IF(REGEXMATCH(C715,""(?i)Concealed Clips""),""ConClips"",
    IF(REGEXMATCH(D715,""(?i)-Takeoff ea""),""Takeoff ea"",
    IF(REGEXMATCH(D715,""(?i)-Takeoff LM""),""Takeoff LM"",
    IF(REGEXMATCH(D715,""(?i)-Takeoff m2""),""Takeoff m2"",
    IF(D7"&amp;"15=""R-TU/TD"",""TU/TD"",
    IF(D715=""W-TU/TD"",""TU/TD"","""")))))))))))))))))
  )))))"),"sff")</f>
        <v>sff</v>
      </c>
      <c r="C715" s="698" t="s">
        <v>454</v>
      </c>
      <c r="D715" s="148" t="s">
        <v>340</v>
      </c>
      <c r="E715" s="722"/>
      <c r="F715" s="699"/>
      <c r="G715" s="701"/>
      <c r="H715" s="700"/>
      <c r="I715" s="712"/>
      <c r="J715" s="126" t="s">
        <v>87</v>
      </c>
      <c r="K715" s="126" t="str">
        <f>IFERROR(
  IF(B715="", "", VLOOKUP(B715, Data!$B$2:$K$905, 7, FALSE)),
  ""
)</f>
        <v/>
      </c>
      <c r="L715" s="712"/>
      <c r="M715" s="150">
        <f>M711</f>
        <v>18</v>
      </c>
      <c r="N715" s="151">
        <f t="shared" si="528"/>
        <v>1</v>
      </c>
      <c r="O715" s="169">
        <v>1.0</v>
      </c>
      <c r="P715" s="134">
        <v>2.0</v>
      </c>
      <c r="Q715" s="168">
        <f t="shared" si="524"/>
        <v>36</v>
      </c>
      <c r="R715" s="136" t="str">
        <f>IFERROR(
  IF(B715="", "", VLOOKUP(B715, Data!$B$2:$K$905, 9, FALSE)),
  ""
)</f>
        <v/>
      </c>
      <c r="S715" s="152">
        <f t="shared" si="525"/>
        <v>0</v>
      </c>
      <c r="T715" s="690"/>
      <c r="U715" s="136" t="str">
        <f>IFERROR(
  IF(B715="", "", VLOOKUP(B715, Data!$B$2:$K$905, 10, FALSE)),
  ""
)
</f>
        <v/>
      </c>
      <c r="V715" s="691"/>
      <c r="W715" s="140">
        <f t="shared" si="526"/>
        <v>0</v>
      </c>
      <c r="X715" s="692"/>
      <c r="Y715" s="595"/>
      <c r="Z715" s="595"/>
      <c r="AA715" s="595"/>
      <c r="AB715" s="354">
        <f t="shared" si="527"/>
        <v>0</v>
      </c>
      <c r="AC715" s="181"/>
      <c r="AD715" s="625"/>
      <c r="AE715" s="626"/>
      <c r="AF715" s="696"/>
      <c r="AG715" s="697"/>
      <c r="AH715" s="629"/>
      <c r="AI715" s="187"/>
      <c r="AJ715" s="630"/>
      <c r="AK715" s="630"/>
      <c r="AL715" s="595"/>
      <c r="AM715" s="595"/>
      <c r="AN715" s="595"/>
      <c r="AO715" s="595"/>
      <c r="AP715" s="595"/>
      <c r="AQ715" s="595"/>
      <c r="AR715" s="595"/>
      <c r="AS715" s="595"/>
      <c r="AT715" s="595"/>
      <c r="AU715" s="595"/>
      <c r="AV715" s="595"/>
      <c r="AW715" s="595"/>
      <c r="AX715" s="595"/>
      <c r="AY715" s="595"/>
      <c r="AZ715" s="595"/>
      <c r="BA715" s="595"/>
      <c r="BB715" s="595"/>
      <c r="BC715" s="595"/>
      <c r="BD715" s="595"/>
      <c r="BE715" s="595"/>
      <c r="BF715" s="595"/>
      <c r="BG715" s="595"/>
      <c r="BH715" s="595"/>
      <c r="BI715" s="651"/>
      <c r="BJ715" s="651"/>
      <c r="BK715" s="651"/>
      <c r="BL715" s="651"/>
      <c r="BM715" s="651"/>
      <c r="BN715" s="651"/>
      <c r="BO715" s="651"/>
      <c r="BP715" s="651"/>
      <c r="BQ715" s="651"/>
      <c r="BR715" s="651"/>
      <c r="BS715" s="651"/>
      <c r="BT715" s="651"/>
    </row>
    <row r="716">
      <c r="A716" s="631"/>
      <c r="B716" s="154"/>
      <c r="C716" s="702"/>
      <c r="D716" s="148"/>
      <c r="E716" s="722"/>
      <c r="F716" s="699"/>
      <c r="G716" s="700"/>
      <c r="H716" s="700"/>
      <c r="I716" s="712"/>
      <c r="J716" s="701"/>
      <c r="K716" s="701"/>
      <c r="L716" s="704"/>
      <c r="M716" s="704"/>
      <c r="N716" s="151" t="str">
        <f t="shared" si="528"/>
        <v/>
      </c>
      <c r="O716" s="712"/>
      <c r="P716" s="700"/>
      <c r="Q716" s="712"/>
      <c r="R716" s="681"/>
      <c r="S716" s="691"/>
      <c r="T716" s="690"/>
      <c r="U716" s="681"/>
      <c r="V716" s="691"/>
      <c r="W716" s="713"/>
      <c r="X716" s="692"/>
      <c r="Y716" s="693"/>
      <c r="Z716" s="731"/>
      <c r="AA716" s="595"/>
      <c r="AB716" s="354">
        <f t="shared" si="527"/>
        <v>0</v>
      </c>
      <c r="AC716" s="181"/>
      <c r="AD716" s="625"/>
      <c r="AE716" s="626"/>
      <c r="AF716" s="696"/>
      <c r="AG716" s="697"/>
      <c r="AH716" s="629"/>
      <c r="AI716" s="187"/>
      <c r="AJ716" s="630"/>
      <c r="AK716" s="630"/>
      <c r="AL716" s="595"/>
      <c r="AM716" s="595"/>
      <c r="AN716" s="595"/>
      <c r="AO716" s="595"/>
      <c r="AP716" s="595"/>
      <c r="AQ716" s="595"/>
      <c r="AR716" s="595"/>
      <c r="AS716" s="595"/>
      <c r="AT716" s="595"/>
      <c r="AU716" s="595"/>
      <c r="AV716" s="595"/>
      <c r="AW716" s="595"/>
      <c r="AX716" s="595"/>
      <c r="AY716" s="595"/>
      <c r="AZ716" s="595"/>
      <c r="BA716" s="595"/>
      <c r="BB716" s="595"/>
      <c r="BC716" s="595"/>
      <c r="BD716" s="595"/>
      <c r="BE716" s="595"/>
      <c r="BF716" s="595"/>
      <c r="BG716" s="595"/>
      <c r="BH716" s="595"/>
      <c r="BI716" s="651"/>
      <c r="BJ716" s="651"/>
      <c r="BK716" s="651"/>
      <c r="BL716" s="651"/>
      <c r="BM716" s="651"/>
      <c r="BN716" s="651"/>
      <c r="BO716" s="651"/>
      <c r="BP716" s="651"/>
      <c r="BQ716" s="651"/>
      <c r="BR716" s="651"/>
      <c r="BS716" s="651"/>
      <c r="BT716" s="651"/>
    </row>
    <row r="717">
      <c r="A717" s="716" t="s">
        <v>444</v>
      </c>
      <c r="B717" s="154" t="str">
        <f>IFERROR(__xludf.DUMMYFUNCTION("IFERROR(
  IF(C717="""","""",
    IF(OR(REGEXMATCH(D717,""(?i)-Flashing""), REGEXMATCH(D717,""(?i)-EavesGut""), REGEXMATCH(D717,""(?i)Valley"")),
        ""DR"" &amp;
        TEXT(
            ROUNDUP(
                MIN(
                    VALUE(MID(C717, "&amp;"FIND(""("",C717)+1, FIND(""/"",C717)-FIND(""("",C717)-1)),
                    1200
                ) / 50, 0
            ) * 50, ""0""
        ) &amp;
        MID(C717, FIND(""/"",C717)+1, FIND("")"",C717)-FIND(""/"",C717)-1) &amp;
        TEXT(H717*100,""0"") &amp;"&amp;"
        I717,
    IF(AND(D717=""Roof Sheet"", REGEXMATCH(C717,""(?i)KS\d{4}[A-Z]{2}"")),
       REGEXEXTRACT(C717,""(?i)KS\d{4}[A-Z]{2}""),
    IF(AND(REGEXMATCH(D717,""(?i)-DP""), REGEXMATCH(C717,""(?i)Downpipe"")),
       ""dp"" &amp; REGEXEXTRACT(C717,""("&amp;"\d+)"") &amp; ""mm"",
    IF(AND(REGEXMATCH(D717,""(?i)Bracket""), REGEXMATCH(C717,""(?i)Bracket"")),
       ""Brkt"" &amp; REGEXEXTRACT(C717,""(\d+)"") &amp; ""mm"",
    IF(AND(REGEXMATCH(D717,""(?i)-OP""), REGEXMATCH(C717,""(?i)pops"")),
       ""op"" &amp; REGEXEXTRAC"&amp;"T(C717,""(\d+)"") &amp; ""mm"",
    IF(OR(D717=""R-FFTop"", D717=""R-FFBottom"", D717=""R-FFSide""),
        IF(REGEXMATCH(C717,""(?i)Profiled.*Top|Top.*Profiled""),""pfft"",
        IF(REGEXMATCH(C717,""(?i)Profiled.*Bottom|Bottom.*Profiled""),""pffb"",
    "&amp;"    IF(REGEXMATCH(C717,""(?i)Square""),""sff"",""""))),
    IF(REGEXMATCH(D717,""(?i)-Rivets""),""Rvt"",
    IF(REGEXMATCH(D717,""(?i)Silicone""),""300ml"",
    IF(REGEXMATCH(D717,""(?i)R-Butyl""),""300ml"",
    IF(REGEXMATCH(D717,""(?i)Fix""),""GenFix"","&amp;"
    IF(AND(REGEXMATCH(C717,""(?i)Timber""), REGEXMATCH(D717,""(?i)Timber"")),""tp"",
    IF(AND(REGEXMATCH(C717,""(?i)Vent G1275""), REGEXMATCH(D717,""(?i)Comb FIller"")),""CFV1275"",
    IF(REGEXMATCH(C717,""(?i)DPC""),""dpc"",
    IF(REGEXMATCH(C717,"""&amp;"(?i)Concealed Clips""),""ConClips"",
    IF(REGEXMATCH(D717,""(?i)-Takeoff ea""),""Takeoff ea"",
    IF(REGEXMATCH(D717,""(?i)-Takeoff LM""),""Takeoff LM"",
    IF(REGEXMATCH(D717,""(?i)-Takeoff m2""),""Takeoff m2"",
    IF(D717=""R-TU/TD"",""TU/TD"","""""&amp;")))))))))))))))))
  )))"),"DR1503B55Mag")</f>
        <v>DR1503B55Mag</v>
      </c>
      <c r="C717" s="123" t="s">
        <v>568</v>
      </c>
      <c r="D717" s="148" t="s">
        <v>161</v>
      </c>
      <c r="E717" s="687">
        <f>VALUE(MID(C717, FIND("(", C717)+1, FIND("/", C717)-FIND("(", C717)-1)) / 1000</f>
        <v>0.13</v>
      </c>
      <c r="F717" s="699"/>
      <c r="G717" s="689" t="s">
        <v>579</v>
      </c>
      <c r="H717" s="128" t="str">
        <f>IFERROR(__xludf.DUMMYFUNCTION("IFERROR(REGEXEXTRACT(C717, ""(\d*\.\d+)mm""), """")"),"0.55")</f>
        <v>0.55</v>
      </c>
      <c r="I717" s="168" t="s">
        <v>97</v>
      </c>
      <c r="J717" s="126" t="s">
        <v>14</v>
      </c>
      <c r="K717" s="126" t="str">
        <f>IFERROR(
  IF(B717="", "", VLOOKUP(B717, Data!$B$2:$K$905, 7, FALSE)),
  ""
)</f>
        <v/>
      </c>
      <c r="L717" s="704"/>
      <c r="M717" s="150">
        <f>M711</f>
        <v>18</v>
      </c>
      <c r="N717" s="151">
        <f t="shared" si="528"/>
        <v>1</v>
      </c>
      <c r="O717" s="169">
        <v>1.0</v>
      </c>
      <c r="P717" s="134">
        <v>1.0</v>
      </c>
      <c r="Q717" s="168">
        <f t="shared" ref="Q717:Q720" si="529">M717*N717*O717*P717</f>
        <v>18</v>
      </c>
      <c r="R717" s="136" t="str">
        <f>IFERROR(
  IF(B717="", "", VLOOKUP(B717, Data!$B$2:$K$905, 9, FALSE)),
  ""
)</f>
        <v/>
      </c>
      <c r="S717" s="152">
        <f t="shared" ref="S717:S720" si="530">R717*Q717</f>
        <v>0</v>
      </c>
      <c r="T717" s="690"/>
      <c r="U717" s="136" t="str">
        <f>IFERROR(
  IF(B717="", "", VLOOKUP(B717, Data!$B$2:$K$905, 10, FALSE)),
  ""
)
</f>
        <v/>
      </c>
      <c r="V717" s="691"/>
      <c r="W717" s="140">
        <f t="shared" ref="W717:W720" si="531">U717*Q717</f>
        <v>0</v>
      </c>
      <c r="X717" s="692"/>
      <c r="Y717" s="693"/>
      <c r="Z717" s="731"/>
      <c r="AA717" s="595"/>
      <c r="AB717" s="354">
        <f t="shared" si="527"/>
        <v>0</v>
      </c>
      <c r="AC717" s="181"/>
      <c r="AD717" s="625"/>
      <c r="AE717" s="626"/>
      <c r="AF717" s="696"/>
      <c r="AG717" s="697"/>
      <c r="AH717" s="629"/>
      <c r="AI717" s="187"/>
      <c r="AJ717" s="630"/>
      <c r="AK717" s="630"/>
      <c r="AL717" s="595"/>
      <c r="AM717" s="595"/>
      <c r="AN717" s="595"/>
      <c r="AO717" s="595"/>
      <c r="AP717" s="595"/>
      <c r="AQ717" s="595"/>
      <c r="AR717" s="595"/>
      <c r="AS717" s="595"/>
      <c r="AT717" s="595"/>
      <c r="AU717" s="595"/>
      <c r="AV717" s="595"/>
      <c r="AW717" s="595"/>
      <c r="AX717" s="595"/>
      <c r="AY717" s="595"/>
      <c r="AZ717" s="595"/>
      <c r="BA717" s="595"/>
      <c r="BB717" s="595"/>
      <c r="BC717" s="595"/>
      <c r="BD717" s="595"/>
      <c r="BE717" s="595"/>
      <c r="BF717" s="595"/>
      <c r="BG717" s="595"/>
      <c r="BH717" s="595"/>
      <c r="BI717" s="651"/>
      <c r="BJ717" s="651"/>
      <c r="BK717" s="651"/>
      <c r="BL717" s="651"/>
      <c r="BM717" s="651"/>
      <c r="BN717" s="651"/>
      <c r="BO717" s="651"/>
      <c r="BP717" s="651"/>
      <c r="BQ717" s="651"/>
      <c r="BR717" s="651"/>
      <c r="BS717" s="651"/>
      <c r="BT717" s="651"/>
    </row>
    <row r="718">
      <c r="A718" s="631"/>
      <c r="B718" s="154" t="str">
        <f>IFERROR(__xludf.DUMMYFUNCTION("IFERROR(
  IF(C718="""","""",
    IF(OR(REGEXMATCH(D718,""(?i)-Flashing""), REGEXMATCH(D718,""(?i)-EavesGut""), REGEXMATCH(D718,""(?i)Valley"")),
        ""DR"" &amp;
        TEXT(
            ROUNDUP(
                MIN(
                    VALUE(MID(C718, "&amp;"FIND(""("",C718)+1, FIND(""/"",C718)-FIND(""("",C718)-1)),
                    1200
                ) / 50, 0
            ) * 50, ""0""
        ) &amp;
        MID(C718, FIND(""/"",C718)+1, FIND("")"",C718)-FIND(""/"",C718)-1) &amp;
        TEXT(H718*100,""0"") &amp;"&amp;"
        I718,
    IF(AND(D718=""Roof Sheet"", REGEXMATCH(C718,""(?i)KS\d{4}[A-Z]{2}"")),
       REGEXEXTRACT(C718,""(?i)KS\d{4}[A-Z]{2}""),
    IF(AND(REGEXMATCH(D718,""(?i)-DP""), REGEXMATCH(C718,""(?i)Downpipe"")),
       ""dp"" &amp; REGEXEXTRACT(C718,""("&amp;"\d+)"") &amp; ""mm"",
    IF(AND(REGEXMATCH(D718,""(?i)Bracket""), REGEXMATCH(C718,""(?i)Bracket"")),
       ""Brkt"" &amp; REGEXEXTRACT(C718,""(\d+)"") &amp; ""mm"",
    IF(AND(REGEXMATCH(D718,""(?i)-OP""), REGEXMATCH(C718,""(?i)pops"")),
       ""op"" &amp; REGEXEXTRAC"&amp;"T(C718,""(\d+)"") &amp; ""mm"",
    IF(OR(D718=""R-FFTop"", D718=""R-FFBottom"", D718=""R-FFSide""),
        IF(REGEXMATCH(C718,""(?i)Profiled.*Top|Top.*Profiled""),""pfft"",
        IF(REGEXMATCH(C718,""(?i)Profiled.*Bottom|Bottom.*Profiled""),""pffb"",
    "&amp;"    IF(REGEXMATCH(C718,""(?i)Square""),""sff"",""""))),
    IF(REGEXMATCH(D718,""(?i)-Rivets""),""Rvt"",
    IF(REGEXMATCH(D718,""(?i)Silicone""),""300ml"",
    IF(REGEXMATCH(D718,""(?i)R-Butyl""),""300ml"",
    IF(REGEXMATCH(D718,""(?i)Fix""),""GenFix"","&amp;"
    IF(AND(REGEXMATCH(C718,""(?i)Timber""), REGEXMATCH(D718,""(?i)Timber"")),""tp"",
    IF(AND(REGEXMATCH(C718,""(?i)Vent G1275""), REGEXMATCH(D718,""(?i)Comb FIller"")),""CFV1275"",
    IF(REGEXMATCH(C718,""(?i)DPC""),""dpc"",
    IF(REGEXMATCH(C718,"""&amp;"(?i)Concealed Clips""),""ConClips"",
    IF(REGEXMATCH(D718,""(?i)-Takeoff ea""),""Takeoff ea"",
    IF(REGEXMATCH(D718,""(?i)-Takeoff LM""),""Takeoff LM"",
    IF(REGEXMATCH(D718,""(?i)-Takeoff m2""),""Takeoff m2"",
    IF(D718=""R-TU/TD"",""TU/TD"","""""&amp;")))))))))))))))))
  )))"),"300ml")</f>
        <v>300ml</v>
      </c>
      <c r="C718" s="734" t="s">
        <v>98</v>
      </c>
      <c r="D718" s="148" t="s">
        <v>162</v>
      </c>
      <c r="E718" s="687">
        <f>E717</f>
        <v>0.13</v>
      </c>
      <c r="F718" s="699"/>
      <c r="G718" s="700"/>
      <c r="H718" s="700" t="str">
        <f>IFERROR(__xludf.DUMMYFUNCTION("IFERROR(REGEXEXTRACT(C718, ""(\d*\.\d+)mm""), """")"),"")</f>
        <v/>
      </c>
      <c r="I718" s="712"/>
      <c r="J718" s="126" t="s">
        <v>87</v>
      </c>
      <c r="K718" s="126" t="str">
        <f>IFERROR(
  IF(B718="", "", VLOOKUP(B718, Data!$B$2:$K$905, 7, FALSE)),
  ""
)</f>
        <v/>
      </c>
      <c r="L718" s="704"/>
      <c r="M718" s="150">
        <f>(ROUNDDOWN((M717/5.7)+2,0)*E718)/8</f>
        <v>0.08125</v>
      </c>
      <c r="N718" s="151">
        <f t="shared" si="528"/>
        <v>1</v>
      </c>
      <c r="O718" s="169">
        <v>1.0</v>
      </c>
      <c r="P718" s="134">
        <v>1.0</v>
      </c>
      <c r="Q718" s="168">
        <f t="shared" si="529"/>
        <v>0.08125</v>
      </c>
      <c r="R718" s="136" t="str">
        <f>IFERROR(
  IF(B718="", "", VLOOKUP(B718, Data!$B$2:$K$905, 9, FALSE)),
  ""
)</f>
        <v/>
      </c>
      <c r="S718" s="152">
        <f t="shared" si="530"/>
        <v>0</v>
      </c>
      <c r="T718" s="690"/>
      <c r="U718" s="681" t="str">
        <f>IFERROR(
  IF(B718="", "", VLOOKUP(B718, Data!$B$2:$K$905, 10, FALSE)),
  ""
)
</f>
        <v/>
      </c>
      <c r="V718" s="691"/>
      <c r="W718" s="140">
        <f t="shared" si="531"/>
        <v>0</v>
      </c>
      <c r="X718" s="692"/>
      <c r="Y718" s="595"/>
      <c r="Z718" s="595"/>
      <c r="AA718" s="595"/>
      <c r="AB718" s="354">
        <f t="shared" si="527"/>
        <v>0</v>
      </c>
      <c r="AC718" s="181"/>
      <c r="AD718" s="625"/>
      <c r="AE718" s="626"/>
      <c r="AF718" s="696"/>
      <c r="AG718" s="697"/>
      <c r="AH718" s="629"/>
      <c r="AI718" s="187"/>
      <c r="AJ718" s="630"/>
      <c r="AK718" s="630"/>
      <c r="AL718" s="595"/>
      <c r="AM718" s="595"/>
      <c r="AN718" s="595"/>
      <c r="AO718" s="595"/>
      <c r="AP718" s="595"/>
      <c r="AQ718" s="595"/>
      <c r="AR718" s="595"/>
      <c r="AS718" s="595"/>
      <c r="AT718" s="595"/>
      <c r="AU718" s="595"/>
      <c r="AV718" s="595"/>
      <c r="AW718" s="595"/>
      <c r="AX718" s="595"/>
      <c r="AY718" s="595"/>
      <c r="AZ718" s="595"/>
      <c r="BA718" s="595"/>
      <c r="BB718" s="595"/>
      <c r="BC718" s="595"/>
      <c r="BD718" s="595"/>
      <c r="BE718" s="595"/>
      <c r="BF718" s="595"/>
      <c r="BG718" s="595"/>
      <c r="BH718" s="595"/>
      <c r="BI718" s="651"/>
      <c r="BJ718" s="651"/>
      <c r="BK718" s="651"/>
      <c r="BL718" s="651"/>
      <c r="BM718" s="651"/>
      <c r="BN718" s="651"/>
      <c r="BO718" s="651"/>
      <c r="BP718" s="651"/>
      <c r="BQ718" s="651"/>
      <c r="BR718" s="651"/>
      <c r="BS718" s="651"/>
      <c r="BT718" s="651"/>
    </row>
    <row r="719">
      <c r="A719" s="631"/>
      <c r="B719" s="154" t="str">
        <f>IFERROR(__xludf.DUMMYFUNCTION("IFERROR(
  IF(C719="""","""",
    IF(OR(REGEXMATCH(D719,""(?i)-Flashing""), REGEXMATCH(D719,""(?i)-EavesGut""), REGEXMATCH(D719,""(?i)Valley"")),
        ""DR"" &amp;
        TEXT(
            ROUNDUP(
                MIN(
                    VALUE(MID(C719, "&amp;"FIND(""("",C719)+1, FIND(""/"",C719)-FIND(""("",C719)-1)),
                    1200
                ) / 50, 0
            ) * 50, ""0""
        ) &amp;
        MID(C719, FIND(""/"",C719)+1, FIND("")"",C719)-FIND(""/"",C719)-1) &amp;
        TEXT(H719*100,""0"") &amp;"&amp;"
        I719,
    IF(AND(D719=""Roof Sheet"", REGEXMATCH(C719,""(?i)KS\d{4}[A-Z]{2}"")),
       REGEXEXTRACT(C719,""(?i)KS\d{4}[A-Z]{2}""),
    IF(AND(REGEXMATCH(D719,""(?i)-DP""), REGEXMATCH(C719,""(?i)Downpipe"")),
       ""dp"" &amp; REGEXEXTRACT(C719,""("&amp;"\d+)"") &amp; ""mm"",
    IF(AND(REGEXMATCH(D719,""(?i)Bracket""), REGEXMATCH(C719,""(?i)Bracket"")),
       ""Brkt"" &amp; REGEXEXTRACT(C719,""(\d+)"") &amp; ""mm"",
    IF(AND(REGEXMATCH(D719,""(?i)-OP""), REGEXMATCH(C719,""(?i)pops"")),
       ""op"" &amp; REGEXEXTRAC"&amp;"T(C719,""(\d+)"") &amp; ""mm"",
    IF(OR(D719=""R-FFTop"", D719=""R-FFBottom"", D719=""R-FFSide""),
        IF(REGEXMATCH(C719,""(?i)Profiled.*Top|Top.*Profiled""),""pfft"",
        IF(REGEXMATCH(C719,""(?i)Profiled.*Bottom|Bottom.*Profiled""),""pffb"",
    "&amp;"    IF(REGEXMATCH(C719,""(?i)Square""),""sff"",""""))),
    IF(REGEXMATCH(D719,""(?i)-Rivets""),""Rvt"",
    IF(REGEXMATCH(D719,""(?i)Silicone""),""300ml"",
    IF(REGEXMATCH(D719,""(?i)R-Butyl""),""300ml"",
    IF(REGEXMATCH(D719,""(?i)Fix""),""GenFix"","&amp;"
    IF(AND(REGEXMATCH(C719,""(?i)Timber""), REGEXMATCH(D719,""(?i)Timber"")),""tp"",
    IF(AND(REGEXMATCH(C719,""(?i)Vent G1275""), REGEXMATCH(D719,""(?i)Comb FIller"")),""CFV1275"",
    IF(REGEXMATCH(C719,""(?i)DPC""),""dpc"",
    IF(REGEXMATCH(C719,"""&amp;"(?i)Concealed Clips""),""ConClips"",
    IF(REGEXMATCH(D719,""(?i)-Takeoff ea""),""Takeoff ea"",
    IF(REGEXMATCH(D719,""(?i)-Takeoff LM""),""Takeoff LM"",
    IF(REGEXMATCH(D719,""(?i)-Takeoff m2""),""Takeoff m2"",
    IF(D719=""R-TU/TD"",""TU/TD"","""""&amp;")))))))))))))))))
  )))"),"Rvt")</f>
        <v>Rvt</v>
      </c>
      <c r="C719" s="734" t="s">
        <v>100</v>
      </c>
      <c r="D719" s="148" t="s">
        <v>163</v>
      </c>
      <c r="E719" s="687">
        <f>E717</f>
        <v>0.13</v>
      </c>
      <c r="F719" s="699"/>
      <c r="G719" s="700"/>
      <c r="H719" s="700" t="str">
        <f>IFERROR(__xludf.DUMMYFUNCTION("IFERROR(REGEXEXTRACT(C719, ""(\d*\.\d+)mm""), """")"),"")</f>
        <v/>
      </c>
      <c r="I719" s="712"/>
      <c r="J719" s="126" t="s">
        <v>87</v>
      </c>
      <c r="K719" s="126" t="str">
        <f>IFERROR(
  IF(B719="", "", VLOOKUP(B719, Data!$B$2:$K$905, 7, FALSE)),
  ""
)</f>
        <v/>
      </c>
      <c r="L719" s="704"/>
      <c r="M719" s="150">
        <f>ROUNDUP(((M717/5.7)+1)*(E719/0.05),0)</f>
        <v>11</v>
      </c>
      <c r="N719" s="151">
        <f t="shared" si="528"/>
        <v>1</v>
      </c>
      <c r="O719" s="169">
        <v>1.0</v>
      </c>
      <c r="P719" s="134">
        <v>1.0</v>
      </c>
      <c r="Q719" s="168">
        <f t="shared" si="529"/>
        <v>11</v>
      </c>
      <c r="R719" s="136" t="str">
        <f>IFERROR(
  IF(B719="", "", VLOOKUP(B719, Data!$B$2:$K$905, 9, FALSE)),
  ""
)</f>
        <v/>
      </c>
      <c r="S719" s="152">
        <f t="shared" si="530"/>
        <v>0</v>
      </c>
      <c r="T719" s="690"/>
      <c r="U719" s="681" t="str">
        <f>IFERROR(
  IF(B719="", "", VLOOKUP(B719, Data!$B$2:$K$905, 10, FALSE)),
  ""
)
</f>
        <v/>
      </c>
      <c r="V719" s="691"/>
      <c r="W719" s="140">
        <f t="shared" si="531"/>
        <v>0</v>
      </c>
      <c r="X719" s="692"/>
      <c r="Y719" s="595"/>
      <c r="Z719" s="595"/>
      <c r="AA719" s="595"/>
      <c r="AB719" s="354">
        <f t="shared" si="527"/>
        <v>0</v>
      </c>
      <c r="AC719" s="181"/>
      <c r="AD719" s="625"/>
      <c r="AE719" s="626"/>
      <c r="AF719" s="696"/>
      <c r="AG719" s="697"/>
      <c r="AH719" s="629"/>
      <c r="AI719" s="187"/>
      <c r="AJ719" s="630"/>
      <c r="AK719" s="630"/>
      <c r="AL719" s="595"/>
      <c r="AM719" s="595"/>
      <c r="AN719" s="595"/>
      <c r="AO719" s="595"/>
      <c r="AP719" s="595"/>
      <c r="AQ719" s="595"/>
      <c r="AR719" s="595"/>
      <c r="AS719" s="595"/>
      <c r="AT719" s="595"/>
      <c r="AU719" s="595"/>
      <c r="AV719" s="595"/>
      <c r="AW719" s="595"/>
      <c r="AX719" s="595"/>
      <c r="AY719" s="595"/>
      <c r="AZ719" s="595"/>
      <c r="BA719" s="595"/>
      <c r="BB719" s="595"/>
      <c r="BC719" s="595"/>
      <c r="BD719" s="595"/>
      <c r="BE719" s="595"/>
      <c r="BF719" s="595"/>
      <c r="BG719" s="595"/>
      <c r="BH719" s="595"/>
      <c r="BI719" s="651"/>
      <c r="BJ719" s="651"/>
      <c r="BK719" s="651"/>
      <c r="BL719" s="651"/>
      <c r="BM719" s="651"/>
      <c r="BN719" s="651"/>
      <c r="BO719" s="651"/>
      <c r="BP719" s="651"/>
      <c r="BQ719" s="651"/>
      <c r="BR719" s="651"/>
      <c r="BS719" s="651"/>
      <c r="BT719" s="651"/>
    </row>
    <row r="720">
      <c r="A720" s="631"/>
      <c r="B720" s="154" t="str">
        <f>IFERROR(__xludf.DUMMYFUNCTION("IFERROR(
  IF(C720="""","""",
    IF(OR(REGEXMATCH(D720,""(?i)-Flashing""), REGEXMATCH(D720,""(?i)-EavesGut""), REGEXMATCH(D720,""(?i)Valley"")),
        ""DR"" &amp;
        TEXT(
            ROUNDUP(
                MIN(
                    VALUE(MID(C720, "&amp;"FIND(""("",C720)+1, FIND(""/"",C720)-FIND(""("",C720)-1)),
                    1200
                ) / 50, 0
            ) * 50, ""0""
        ) &amp;
        MID(C720, FIND(""/"",C720)+1, FIND("")"",C720)-FIND(""/"",C720)-1) &amp;
        TEXT(H720*100,""0"") &amp;"&amp;"
        I720,
    IF(AND(D720=""Roof Sheet"", REGEXMATCH(C720,""(?i)KS\d{4}[A-Z]{2}"")),
       REGEXEXTRACT(C720,""(?i)KS\d{4}[A-Z]{2}""),
    IF(AND(REGEXMATCH(D720,""(?i)-DP""), REGEXMATCH(C720,""(?i)Downpipe"")),
       ""dp"" &amp; REGEXEXTRACT(C720,""("&amp;"\d+)"") &amp; ""mm"",
    IF(AND(REGEXMATCH(D720,""(?i)Bracket""), REGEXMATCH(C720,""(?i)Bracket"")),
       ""Brkt"" &amp; REGEXEXTRACT(C720,""(\d+)"") &amp; ""mm"",
    IF(AND(REGEXMATCH(D720,""(?i)-OP""), REGEXMATCH(C720,""(?i)pops"")),
       ""op"" &amp; REGEXEXTRAC"&amp;"T(C720,""(\d+)"") &amp; ""mm"",
    IF(OR(D720=""R-FFTop"", D720=""R-FFBottom"", D720=""R-FFSide""),
        IF(REGEXMATCH(C720,""(?i)Profiled.*Top|Top.*Profiled""),""pfft"",
        IF(REGEXMATCH(C720,""(?i)Profiled.*Bottom|Bottom.*Profiled""),""pffb"",
    "&amp;"    IF(REGEXMATCH(C720,""(?i)Square""),""sff"",""""))),
    IF(REGEXMATCH(D720,""(?i)-Rivets""),""Rvt"",
    IF(REGEXMATCH(D720,""(?i)Silicone""),""300ml"",
    IF(REGEXMATCH(D720,""(?i)R-Butyl""),""300ml"",
    IF(REGEXMATCH(D720,""(?i)Fix""),""GenFix"","&amp;"
    IF(AND(REGEXMATCH(C720,""(?i)Timber""), REGEXMATCH(D720,""(?i)Timber"")),""tp"",
    IF(AND(REGEXMATCH(C720,""(?i)Vent G1275""), REGEXMATCH(D720,""(?i)Comb FIller"")),""CFV1275"",
    IF(REGEXMATCH(C720,""(?i)DPC""),""dpc"",
    IF(REGEXMATCH(C720,"""&amp;"(?i)Concealed Clips""),""ConClips"",
    IF(REGEXMATCH(D720,""(?i)-Takeoff ea""),""Takeoff ea"",
    IF(REGEXMATCH(D720,""(?i)-Takeoff LM""),""Takeoff LM"",
    IF(REGEXMATCH(D720,""(?i)-Takeoff m2""),""Takeoff m2"",
    IF(D720=""R-TU/TD"",""TU/TD"","""""&amp;")))))))))))))))))
  )))"),"GenFix")</f>
        <v>GenFix</v>
      </c>
      <c r="C720" s="698" t="s">
        <v>102</v>
      </c>
      <c r="D720" s="148" t="s">
        <v>164</v>
      </c>
      <c r="E720" s="722"/>
      <c r="F720" s="699"/>
      <c r="G720" s="701"/>
      <c r="H720" s="700"/>
      <c r="I720" s="712"/>
      <c r="J720" s="126" t="s">
        <v>87</v>
      </c>
      <c r="K720" s="126" t="str">
        <f>IFERROR(
  IF(B720="", "", VLOOKUP(B720, Data!$B$2:$K$905, 7, FALSE)),
  ""
)</f>
        <v/>
      </c>
      <c r="L720" s="712"/>
      <c r="M720" s="150">
        <f>ROUNDUP(M717/0.6,0)+1</f>
        <v>31</v>
      </c>
      <c r="N720" s="151">
        <f t="shared" si="528"/>
        <v>1</v>
      </c>
      <c r="O720" s="169">
        <v>1.0</v>
      </c>
      <c r="P720" s="134">
        <v>2.0</v>
      </c>
      <c r="Q720" s="168">
        <f t="shared" si="529"/>
        <v>62</v>
      </c>
      <c r="R720" s="136" t="str">
        <f>IFERROR(
  IF(B720="", "", VLOOKUP(B720, Data!$B$2:$K$905, 9, FALSE)),
  ""
)</f>
        <v/>
      </c>
      <c r="S720" s="152">
        <f t="shared" si="530"/>
        <v>0</v>
      </c>
      <c r="T720" s="690"/>
      <c r="U720" s="681" t="str">
        <f>IFERROR(
  IF(B720="", "", VLOOKUP(B720, Data!$B$2:$K$905, 10, FALSE)),
  ""
)
</f>
        <v/>
      </c>
      <c r="V720" s="691"/>
      <c r="W720" s="140">
        <f t="shared" si="531"/>
        <v>0</v>
      </c>
      <c r="X720" s="692"/>
      <c r="Y720" s="595"/>
      <c r="Z720" s="595"/>
      <c r="AA720" s="595"/>
      <c r="AB720" s="354">
        <f t="shared" si="527"/>
        <v>0</v>
      </c>
      <c r="AC720" s="181"/>
      <c r="AD720" s="625"/>
      <c r="AE720" s="626"/>
      <c r="AF720" s="696"/>
      <c r="AG720" s="697"/>
      <c r="AH720" s="629"/>
      <c r="AI720" s="187"/>
      <c r="AJ720" s="630"/>
      <c r="AK720" s="630"/>
      <c r="AL720" s="595"/>
      <c r="AM720" s="595"/>
      <c r="AN720" s="595"/>
      <c r="AO720" s="595"/>
      <c r="AP720" s="595"/>
      <c r="AQ720" s="595"/>
      <c r="AR720" s="595"/>
      <c r="AS720" s="595"/>
      <c r="AT720" s="595"/>
      <c r="AU720" s="595"/>
      <c r="AV720" s="595"/>
      <c r="AW720" s="595"/>
      <c r="AX720" s="595"/>
      <c r="AY720" s="595"/>
      <c r="AZ720" s="595"/>
      <c r="BA720" s="595"/>
      <c r="BB720" s="595"/>
      <c r="BC720" s="595"/>
      <c r="BD720" s="595"/>
      <c r="BE720" s="595"/>
      <c r="BF720" s="595"/>
      <c r="BG720" s="595"/>
      <c r="BH720" s="595"/>
      <c r="BI720" s="651"/>
      <c r="BJ720" s="651"/>
      <c r="BK720" s="651"/>
      <c r="BL720" s="651"/>
      <c r="BM720" s="651"/>
      <c r="BN720" s="651"/>
      <c r="BO720" s="651"/>
      <c r="BP720" s="651"/>
      <c r="BQ720" s="651"/>
      <c r="BR720" s="651"/>
      <c r="BS720" s="651"/>
      <c r="BT720" s="651"/>
    </row>
    <row r="721">
      <c r="A721" s="631"/>
      <c r="B721" s="154"/>
      <c r="C721" s="698"/>
      <c r="D721" s="148"/>
      <c r="E721" s="687"/>
      <c r="F721" s="699"/>
      <c r="G721" s="701"/>
      <c r="H721" s="700"/>
      <c r="I721" s="712"/>
      <c r="J721" s="126"/>
      <c r="K721" s="126"/>
      <c r="L721" s="712"/>
      <c r="M721" s="150"/>
      <c r="N721" s="151" t="str">
        <f t="shared" si="528"/>
        <v/>
      </c>
      <c r="O721" s="169"/>
      <c r="P721" s="134"/>
      <c r="Q721" s="168"/>
      <c r="R721" s="136"/>
      <c r="S721" s="152"/>
      <c r="T721" s="690"/>
      <c r="U721" s="681"/>
      <c r="V721" s="691"/>
      <c r="W721" s="140"/>
      <c r="X721" s="692"/>
      <c r="Y721" s="595"/>
      <c r="Z721" s="595"/>
      <c r="AA721" s="595"/>
      <c r="AB721" s="354">
        <f t="shared" si="527"/>
        <v>0</v>
      </c>
      <c r="AC721" s="181"/>
      <c r="AD721" s="625"/>
      <c r="AE721" s="626"/>
      <c r="AF721" s="696"/>
      <c r="AG721" s="697"/>
      <c r="AH721" s="629"/>
      <c r="AI721" s="187"/>
      <c r="AJ721" s="630"/>
      <c r="AK721" s="630"/>
      <c r="AL721" s="595"/>
      <c r="AM721" s="595"/>
      <c r="AN721" s="595"/>
      <c r="AO721" s="595"/>
      <c r="AP721" s="595"/>
      <c r="AQ721" s="595"/>
      <c r="AR721" s="595"/>
      <c r="AS721" s="595"/>
      <c r="AT721" s="595"/>
      <c r="AU721" s="595"/>
      <c r="AV721" s="595"/>
      <c r="AW721" s="595"/>
      <c r="AX721" s="595"/>
      <c r="AY721" s="595"/>
      <c r="AZ721" s="595"/>
      <c r="BA721" s="595"/>
      <c r="BB721" s="595"/>
      <c r="BC721" s="595"/>
      <c r="BD721" s="595"/>
      <c r="BE721" s="595"/>
      <c r="BF721" s="595"/>
      <c r="BG721" s="595"/>
      <c r="BH721" s="595"/>
      <c r="BI721" s="651"/>
      <c r="BJ721" s="651"/>
      <c r="BK721" s="651"/>
      <c r="BL721" s="651"/>
      <c r="BM721" s="651"/>
      <c r="BN721" s="651"/>
      <c r="BO721" s="651"/>
      <c r="BP721" s="651"/>
      <c r="BQ721" s="651"/>
      <c r="BR721" s="651"/>
      <c r="BS721" s="651"/>
      <c r="BT721" s="651"/>
    </row>
    <row r="722">
      <c r="A722" s="716" t="s">
        <v>435</v>
      </c>
      <c r="B722" s="122" t="s">
        <v>569</v>
      </c>
      <c r="C722" s="123" t="s">
        <v>570</v>
      </c>
      <c r="D722" s="148" t="s">
        <v>168</v>
      </c>
      <c r="E722" s="687">
        <v>0.3</v>
      </c>
      <c r="F722" s="699"/>
      <c r="G722" s="701"/>
      <c r="H722" s="700"/>
      <c r="I722" s="712"/>
      <c r="J722" s="126" t="s">
        <v>14</v>
      </c>
      <c r="K722" s="126" t="str">
        <f>IFERROR(
  IF(B722="", "", VLOOKUP(B722, Data!$B$2:$K$905, 7, FALSE)),
  ""
)</f>
        <v/>
      </c>
      <c r="L722" s="704"/>
      <c r="M722" s="150">
        <f>M711</f>
        <v>18</v>
      </c>
      <c r="N722" s="151">
        <f t="shared" si="528"/>
        <v>1</v>
      </c>
      <c r="O722" s="169">
        <v>1.0</v>
      </c>
      <c r="P722" s="134">
        <v>1.0</v>
      </c>
      <c r="Q722" s="168">
        <f t="shared" ref="Q722:Q723" si="532">M722*N722*O722*P722</f>
        <v>18</v>
      </c>
      <c r="R722" s="136" t="str">
        <f>IFERROR(
  IF(B722="", "", VLOOKUP(B722, Data!$B$2:$K$905, 9, FALSE)),
  ""
)</f>
        <v/>
      </c>
      <c r="S722" s="152">
        <f t="shared" ref="S722:S723" si="533">R722*Q722</f>
        <v>0</v>
      </c>
      <c r="T722" s="690"/>
      <c r="U722" s="136" t="str">
        <f>IFERROR(
  IF(B722="", "", VLOOKUP(B722, Data!$B$2:$K$905, 10, FALSE)),
  ""
)
</f>
        <v/>
      </c>
      <c r="V722" s="691"/>
      <c r="W722" s="140">
        <f t="shared" ref="W722:W723" si="534">U722*Q722</f>
        <v>0</v>
      </c>
      <c r="X722" s="692"/>
      <c r="Y722" s="595"/>
      <c r="Z722" s="595"/>
      <c r="AA722" s="595"/>
      <c r="AB722" s="354">
        <f t="shared" si="527"/>
        <v>0</v>
      </c>
      <c r="AC722" s="181"/>
      <c r="AD722" s="625"/>
      <c r="AE722" s="626"/>
      <c r="AF722" s="696"/>
      <c r="AG722" s="697"/>
      <c r="AH722" s="629"/>
      <c r="AI722" s="187"/>
      <c r="AJ722" s="630"/>
      <c r="AK722" s="630"/>
      <c r="AL722" s="595"/>
      <c r="AM722" s="595"/>
      <c r="AN722" s="595"/>
      <c r="AO722" s="595"/>
      <c r="AP722" s="595"/>
      <c r="AQ722" s="595"/>
      <c r="AR722" s="595"/>
      <c r="AS722" s="595"/>
      <c r="AT722" s="595"/>
      <c r="AU722" s="595"/>
      <c r="AV722" s="595"/>
      <c r="AW722" s="595"/>
      <c r="AX722" s="595"/>
      <c r="AY722" s="595"/>
      <c r="AZ722" s="595"/>
      <c r="BA722" s="595"/>
      <c r="BB722" s="595"/>
      <c r="BC722" s="595"/>
      <c r="BD722" s="595"/>
      <c r="BE722" s="595"/>
      <c r="BF722" s="595"/>
      <c r="BG722" s="595"/>
      <c r="BH722" s="595"/>
      <c r="BI722" s="651"/>
      <c r="BJ722" s="651"/>
      <c r="BK722" s="651"/>
      <c r="BL722" s="651"/>
      <c r="BM722" s="651"/>
      <c r="BN722" s="651"/>
      <c r="BO722" s="651"/>
      <c r="BP722" s="651"/>
      <c r="BQ722" s="651"/>
      <c r="BR722" s="651"/>
      <c r="BS722" s="651"/>
      <c r="BT722" s="651"/>
    </row>
    <row r="723">
      <c r="A723" s="631"/>
      <c r="B723" s="154" t="str">
        <f>IFERROR(__xludf.DUMMYFUNCTION("IFERROR(
  IF(C723="""","""",
    IF(OR(REGEXMATCH(D723,""(?i)-Flashing""), REGEXMATCH(D723,""(?i)-EavesGut""), REGEXMATCH(D723,""(?i)Valley"")),
        ""DR"" &amp;
        TEXT(
            ROUNDUP(
                MIN(
                    VALUE(MID(C723, "&amp;"FIND(""("",C723)+1, FIND(""/"",C723)-FIND(""("",C723)-1)),
                    1200
                ) / 50, 0
            ) * 50, ""0""
        ) &amp;
        MID(C723, FIND(""/"",C723)+1, FIND("")"",C723)-FIND(""/"",C723)-1) &amp;
        TEXT(H723*100,""0"") &amp;"&amp;"
        I723,
    IF(AND(D723=""Roof Sheet"", REGEXMATCH(C723,""(?i)KS\d{4}[A-Z]{2}"")),
       REGEXEXTRACT(C723,""(?i)KS\d{4}[A-Z]{2}""),
    IF(AND(REGEXMATCH(D723,""(?i)-DP""), REGEXMATCH(C723,""(?i)Downpipe"")),
       ""dp"" &amp; REGEXEXTRACT(C723,""("&amp;"\d+)"") &amp; ""mm"",
    IF(AND(REGEXMATCH(D723,""(?i)Bracket""), REGEXMATCH(C723,""(?i)Bracket"")),
       ""Brkt"" &amp; REGEXEXTRACT(C723,""(\d+)"") &amp; ""mm"",
    IF(AND(REGEXMATCH(D723,""(?i)-OP""), REGEXMATCH(C723,""(?i)pops"")),
       ""op"" &amp; REGEXEXTRAC"&amp;"T(C723,""(\d+)"") &amp; ""mm"",
    IF(OR(D723=""R-FFTop"", D723=""R-FFBottom"", D723=""R-FFSide""),
        IF(REGEXMATCH(C723,""(?i)Profiled.*Top|Top.*Profiled""),""pfft"",
        IF(REGEXMATCH(C723,""(?i)Profiled.*Bottom|Bottom.*Profiled""),""pffb"",
    "&amp;"    IF(REGEXMATCH(C723,""(?i)Square""),""sff"",""""))),
    IF(REGEXMATCH(D723,""(?i)-Rivets""),""Rvt"",
    IF(REGEXMATCH(D723,""(?i)Silicone""),""300ml"",
    IF(REGEXMATCH(D723,""(?i)R-Butyl""),""300ml"",
    IF(REGEXMATCH(D723,""(?i)Fix""),""GenFix"","&amp;"
    IF(AND(REGEXMATCH(C723,""(?i)Timber""), REGEXMATCH(D723,""(?i)Timber"")),""tp"",
    IF(AND(REGEXMATCH(C723,""(?i)Vent G1275""), REGEXMATCH(D723,""(?i)Comb FIller"")),""CFV1275"",
    IF(REGEXMATCH(C723,""(?i)DPC""),""dpc"",
    IF(REGEXMATCH(C723,"""&amp;"(?i)Concealed Clips""),""ConClips"",
    IF(REGEXMATCH(D723,""(?i)-Takeoff ea""),""Takeoff ea"",
    IF(REGEXMATCH(D723,""(?i)-Takeoff LM""),""Takeoff LM"",
    IF(REGEXMATCH(D723,""(?i)-Takeoff m2""),""Takeoff m2"",
    IF(D723=""R-TU/TD"",""TU/TD"","""""&amp;")))))))))))))))))
  )))"),"GenFix")</f>
        <v>GenFix</v>
      </c>
      <c r="C723" s="123" t="s">
        <v>102</v>
      </c>
      <c r="D723" s="148" t="s">
        <v>386</v>
      </c>
      <c r="E723" s="687"/>
      <c r="F723" s="699"/>
      <c r="G723" s="701"/>
      <c r="H723" s="700"/>
      <c r="I723" s="712"/>
      <c r="J723" s="153" t="s">
        <v>87</v>
      </c>
      <c r="K723" s="126" t="str">
        <f>IFERROR(
  IF(B723="", "", VLOOKUP(B723, Data!$B$2:$K$905, 7, FALSE)),
  ""
)</f>
        <v/>
      </c>
      <c r="L723" s="704"/>
      <c r="M723" s="150">
        <f>ROUNDUP(M722/0.6,0)+1</f>
        <v>31</v>
      </c>
      <c r="N723" s="151">
        <f t="shared" si="528"/>
        <v>1</v>
      </c>
      <c r="O723" s="169">
        <v>1.0</v>
      </c>
      <c r="P723" s="156">
        <v>2.0</v>
      </c>
      <c r="Q723" s="168">
        <f t="shared" si="532"/>
        <v>62</v>
      </c>
      <c r="R723" s="136" t="str">
        <f>IFERROR(
  IF(B723="", "", VLOOKUP(B723, Data!$B$2:$K$905, 9, FALSE)),
  ""
)</f>
        <v/>
      </c>
      <c r="S723" s="152">
        <f t="shared" si="533"/>
        <v>0</v>
      </c>
      <c r="T723" s="690"/>
      <c r="U723" s="136" t="str">
        <f>IFERROR(
  IF(B723="", "", VLOOKUP(B723, Data!$B$2:$K$905, 10, FALSE)),
  ""
)
</f>
        <v/>
      </c>
      <c r="V723" s="691"/>
      <c r="W723" s="140">
        <f t="shared" si="534"/>
        <v>0</v>
      </c>
      <c r="X723" s="692"/>
      <c r="Y723" s="595"/>
      <c r="Z723" s="595"/>
      <c r="AA723" s="595"/>
      <c r="AB723" s="354">
        <f t="shared" si="527"/>
        <v>0</v>
      </c>
      <c r="AC723" s="181"/>
      <c r="AD723" s="625"/>
      <c r="AE723" s="626"/>
      <c r="AF723" s="696"/>
      <c r="AG723" s="697"/>
      <c r="AH723" s="629"/>
      <c r="AI723" s="187"/>
      <c r="AJ723" s="630"/>
      <c r="AK723" s="630"/>
      <c r="AL723" s="595"/>
      <c r="AM723" s="595"/>
      <c r="AN723" s="595"/>
      <c r="AO723" s="595"/>
      <c r="AP723" s="595"/>
      <c r="AQ723" s="595"/>
      <c r="AR723" s="595"/>
      <c r="AS723" s="595"/>
      <c r="AT723" s="595"/>
      <c r="AU723" s="595"/>
      <c r="AV723" s="595"/>
      <c r="AW723" s="595"/>
      <c r="AX723" s="595"/>
      <c r="AY723" s="595"/>
      <c r="AZ723" s="595"/>
      <c r="BA723" s="595"/>
      <c r="BB723" s="595"/>
      <c r="BC723" s="595"/>
      <c r="BD723" s="595"/>
      <c r="BE723" s="595"/>
      <c r="BF723" s="595"/>
      <c r="BG723" s="595"/>
      <c r="BH723" s="595"/>
      <c r="BI723" s="651"/>
      <c r="BJ723" s="651"/>
      <c r="BK723" s="651"/>
      <c r="BL723" s="651"/>
      <c r="BM723" s="651"/>
      <c r="BN723" s="651"/>
      <c r="BO723" s="651"/>
      <c r="BP723" s="651"/>
      <c r="BQ723" s="651"/>
      <c r="BR723" s="651"/>
      <c r="BS723" s="651"/>
      <c r="BT723" s="651"/>
    </row>
    <row r="724">
      <c r="A724" s="631"/>
      <c r="B724" s="154"/>
      <c r="C724" s="758"/>
      <c r="D724" s="701"/>
      <c r="E724" s="687"/>
      <c r="F724" s="699"/>
      <c r="G724" s="701"/>
      <c r="H724" s="700"/>
      <c r="I724" s="712"/>
      <c r="J724" s="701"/>
      <c r="K724" s="701"/>
      <c r="L724" s="712"/>
      <c r="M724" s="704"/>
      <c r="N724" s="151" t="str">
        <f t="shared" si="528"/>
        <v/>
      </c>
      <c r="O724" s="712"/>
      <c r="P724" s="700"/>
      <c r="Q724" s="712"/>
      <c r="R724" s="681" t="str">
        <f>IFERROR(
  IF(B724="", "", VLOOKUP(B724, Data!$B$2:$K$905, 9, FALSE)),
  ""
)</f>
        <v/>
      </c>
      <c r="S724" s="691"/>
      <c r="T724" s="690"/>
      <c r="U724" s="681" t="str">
        <f>IFERROR(
  IF(B724="", "", VLOOKUP(B724, Data!$B$2:$K$905, 10, FALSE)),
  ""
)
</f>
        <v/>
      </c>
      <c r="V724" s="691"/>
      <c r="W724" s="713"/>
      <c r="X724" s="692"/>
      <c r="Y724" s="595"/>
      <c r="Z724" s="595"/>
      <c r="AA724" s="595"/>
      <c r="AB724" s="354">
        <f t="shared" si="527"/>
        <v>0</v>
      </c>
      <c r="AC724" s="181"/>
      <c r="AD724" s="625"/>
      <c r="AE724" s="626"/>
      <c r="AF724" s="696"/>
      <c r="AG724" s="697"/>
      <c r="AH724" s="629"/>
      <c r="AI724" s="187"/>
      <c r="AJ724" s="630"/>
      <c r="AK724" s="630"/>
      <c r="AL724" s="595"/>
      <c r="AM724" s="595"/>
      <c r="AN724" s="595"/>
      <c r="AO724" s="595"/>
      <c r="AP724" s="595"/>
      <c r="AQ724" s="595"/>
      <c r="AR724" s="595"/>
      <c r="AS724" s="595"/>
      <c r="AT724" s="595"/>
      <c r="AU724" s="595"/>
      <c r="AV724" s="595"/>
      <c r="AW724" s="595"/>
      <c r="AX724" s="595"/>
      <c r="AY724" s="595"/>
      <c r="AZ724" s="595"/>
      <c r="BA724" s="595"/>
      <c r="BB724" s="595"/>
      <c r="BC724" s="595"/>
      <c r="BD724" s="595"/>
      <c r="BE724" s="595"/>
      <c r="BF724" s="595"/>
      <c r="BG724" s="595"/>
      <c r="BH724" s="595"/>
      <c r="BI724" s="651"/>
      <c r="BJ724" s="651"/>
      <c r="BK724" s="651"/>
      <c r="BL724" s="651"/>
      <c r="BM724" s="651"/>
      <c r="BN724" s="651"/>
      <c r="BO724" s="651"/>
      <c r="BP724" s="651"/>
      <c r="BQ724" s="651"/>
      <c r="BR724" s="651"/>
      <c r="BS724" s="651"/>
      <c r="BT724" s="651"/>
    </row>
    <row r="725">
      <c r="A725" s="631">
        <v>1.0</v>
      </c>
      <c r="B725" s="727"/>
      <c r="C725" s="769" t="s">
        <v>562</v>
      </c>
      <c r="D725" s="678"/>
      <c r="E725" s="676"/>
      <c r="F725" s="677"/>
      <c r="G725" s="678"/>
      <c r="H725" s="678"/>
      <c r="I725" s="679"/>
      <c r="J725" s="678"/>
      <c r="K725" s="678" t="s">
        <v>42</v>
      </c>
      <c r="L725" s="106">
        <f>Q725</f>
        <v>152.4</v>
      </c>
      <c r="M725" s="679" t="s">
        <v>42</v>
      </c>
      <c r="N725" s="680"/>
      <c r="O725" s="679"/>
      <c r="P725" s="678"/>
      <c r="Q725" s="106">
        <f>Q726</f>
        <v>152.4</v>
      </c>
      <c r="R725" s="681" t="str">
        <f>IFERROR(
  IF(B725="", "", VLOOKUP(B725, Data!$B$2:$K$905, 9, FALSE)),
  ""
)</f>
        <v/>
      </c>
      <c r="S725" s="682">
        <f>IFERROR(T725/Q725, 0)</f>
        <v>0</v>
      </c>
      <c r="T725" s="109">
        <f>SUM(S726:S729)</f>
        <v>0</v>
      </c>
      <c r="U725" s="681" t="str">
        <f>IFERROR(
  IF(B725="", "", VLOOKUP(B725, Data!$B$2:$K$905, 10, FALSE)),
  ""
)
</f>
        <v/>
      </c>
      <c r="V725" s="109">
        <f>W725/Q725</f>
        <v>0</v>
      </c>
      <c r="W725" s="110">
        <f>SUM(W726:W729)</f>
        <v>0</v>
      </c>
      <c r="X725" s="111" t="str">
        <f>W725/$AC$758/$W$765/$X$755</f>
        <v>#REF!</v>
      </c>
      <c r="Y725" s="112" t="b">
        <f>(T725+W725)=(SUM(AB726:AB729))</f>
        <v>1</v>
      </c>
      <c r="Z725" s="222">
        <f>(T725+W725)-(SUM(AB726:AB729))</f>
        <v>0</v>
      </c>
      <c r="AA725" s="595"/>
      <c r="AB725" s="595"/>
      <c r="AC725" s="181"/>
      <c r="AD725" s="114">
        <f>W725+T725</f>
        <v>0</v>
      </c>
      <c r="AE725" s="115">
        <f>AD725</f>
        <v>0</v>
      </c>
      <c r="AF725" s="116" t="str">
        <f>AE725/$AE$733</f>
        <v>#REF!</v>
      </c>
      <c r="AG725" s="683" t="str">
        <f>AF725*$AG$740</f>
        <v>#REF!</v>
      </c>
      <c r="AH725" s="118" t="str">
        <f>AF725*$AG$743</f>
        <v>#REF!</v>
      </c>
      <c r="AI725" s="187"/>
      <c r="AJ725" s="119" t="str">
        <f>ROUND(AK725/L725,2)</f>
        <v>#REF!</v>
      </c>
      <c r="AK725" s="119" t="str">
        <f>ROUND(AH725+AG725+AD725,2)</f>
        <v>#REF!</v>
      </c>
      <c r="AL725" s="595"/>
      <c r="AM725" s="595"/>
      <c r="AN725" s="595"/>
      <c r="AO725" s="595"/>
      <c r="AP725" s="595"/>
      <c r="AQ725" s="595"/>
      <c r="AR725" s="595"/>
      <c r="AS725" s="595"/>
      <c r="AT725" s="595"/>
      <c r="AU725" s="595"/>
      <c r="AV725" s="595"/>
      <c r="AW725" s="595"/>
      <c r="AX725" s="595"/>
      <c r="AY725" s="595"/>
      <c r="AZ725" s="595"/>
      <c r="BA725" s="595"/>
      <c r="BB725" s="595"/>
      <c r="BC725" s="595"/>
      <c r="BD725" s="595"/>
      <c r="BE725" s="595"/>
      <c r="BF725" s="595"/>
      <c r="BG725" s="595"/>
      <c r="BH725" s="595"/>
      <c r="BI725" s="651"/>
      <c r="BJ725" s="651"/>
      <c r="BK725" s="651"/>
      <c r="BL725" s="651"/>
      <c r="BM725" s="651"/>
      <c r="BN725" s="651"/>
      <c r="BO725" s="651"/>
      <c r="BP725" s="651"/>
      <c r="BQ725" s="651"/>
      <c r="BR725" s="651"/>
      <c r="BS725" s="651"/>
      <c r="BT725" s="651"/>
    </row>
    <row r="726">
      <c r="A726" s="716" t="s">
        <v>444</v>
      </c>
      <c r="B726" s="154" t="str">
        <f>IFERROR(__xludf.DUMMYFUNCTION("IFERROR(
  IF(C726="""","""",
    IF(OR(REGEXMATCH(D726,""(?i)-Flashing""), REGEXMATCH(D726,""(?i)-EavesGut""), REGEXMATCH(D726,""(?i)Valley"")),
        ""DR"" &amp;
        TEXT(
            ROUNDUP(
                MIN(
                    VALUE(MID(C726, "&amp;"FIND(""("",C726)+1, FIND(""/"",C726)-FIND(""("",C726)-1)),
                    1200
                ) / 50, 0
            ) * 50, ""0""
        ) &amp;
        MID(C726, FIND(""/"",C726)+1, FIND("")"",C726)-FIND(""/"",C726)-1) &amp;
        TEXT(H726*100,""0"") &amp;"&amp;"
        I726,
    IF(AND(D726=""Roof Sheet"", REGEXMATCH(C726,""(?i)KS\d{4}[A-Z]{2}"")),
       REGEXEXTRACT(C726,""(?i)KS\d{4}[A-Z]{2}""),
    IF(AND(REGEXMATCH(D726,""(?i)-DP""), REGEXMATCH(C726,""(?i)Downpipe"")),
       ""dp"" &amp; REGEXEXTRACT(C726,""("&amp;"\d+)"") &amp; ""mm"",
    IF(AND(REGEXMATCH(D726,""(?i)Bracket""), REGEXMATCH(C726,""(?i)Bracket"")),
       ""Brkt"" &amp; REGEXEXTRACT(C726,""(\d+)"") &amp; ""mm"",
    IF(AND(REGEXMATCH(D726,""(?i)-OP""), REGEXMATCH(C726,""(?i)pops"")),
       ""op"" &amp; REGEXEXTRAC"&amp;"T(C726,""(\d+)"") &amp; ""mm"",
    IF(OR(D726=""R-FFTop"", D726=""R-FFBottom"", D726=""R-FFSide""),
        IF(REGEXMATCH(C726,""(?i)Profiled.*Top|Top.*Profiled""),""pfft"",
        IF(REGEXMATCH(C726,""(?i)Profiled.*Bottom|Bottom.*Profiled""),""pffb"",
    "&amp;"    IF(REGEXMATCH(C726,""(?i)Square""),""sff"",""""))),
    IF(REGEXMATCH(D726,""(?i)-Rivets""),""Rvt"",
    IF(REGEXMATCH(D726,""(?i)Silicone""),""300ml"",
    IF(REGEXMATCH(D726,""(?i)R-Butyl""),""300ml"",
    IF(REGEXMATCH(D726,""(?i)Fix""),""GenFix"","&amp;"
    IF(AND(REGEXMATCH(C726,""(?i)Timber""), REGEXMATCH(D726,""(?i)Timber"")),""tp"",
    IF(AND(REGEXMATCH(C726,""(?i)Vent G1275""), REGEXMATCH(D726,""(?i)Comb FIller"")),""CFV1275"",
    IF(REGEXMATCH(C726,""(?i)DPC""),""dpc"",
    IF(REGEXMATCH(C726,"""&amp;"(?i)Concealed Clips""),""ConClips"",
    IF(REGEXMATCH(D726,""(?i)-Takeoff ea""),""Takeoff ea"",
    IF(REGEXMATCH(D726,""(?i)-Takeoff LM""),""Takeoff LM"",
    IF(REGEXMATCH(D726,""(?i)-Takeoff m2""),""Takeoff m2"",
    IF(D726=""R-TU/TD"",""TU/TD"","""""&amp;")))))))))))))))))
  )))"),"DR3003B55Mag")</f>
        <v>DR3003B55Mag</v>
      </c>
      <c r="C726" s="698" t="s">
        <v>563</v>
      </c>
      <c r="D726" s="148" t="s">
        <v>161</v>
      </c>
      <c r="E726" s="687">
        <f>VALUE(MID(C726, FIND("(", C726)+1, FIND("/", C726)-FIND("(", C726)-1)) / 1000</f>
        <v>0.27</v>
      </c>
      <c r="F726" s="688"/>
      <c r="G726" s="689" t="s">
        <v>579</v>
      </c>
      <c r="H726" s="128" t="str">
        <f>IFERROR(__xludf.DUMMYFUNCTION("IFERROR(REGEXEXTRACT(C726, ""(\d*\.\d+)mm""), """")"),"0.55")</f>
        <v>0.55</v>
      </c>
      <c r="I726" s="168" t="s">
        <v>97</v>
      </c>
      <c r="J726" s="126" t="s">
        <v>14</v>
      </c>
      <c r="K726" s="126" t="str">
        <f>IFERROR(
  IF(B726="", "", VLOOKUP(B726, Data!$B$2:$K$905, 7, FALSE)),
  ""
)</f>
        <v/>
      </c>
      <c r="L726" s="704"/>
      <c r="M726" s="730">
        <v>152.4</v>
      </c>
      <c r="N726" s="151">
        <f>IFERROR(__xludf.DUMMYFUNCTION("IF(
  AND(
    IFERROR(REGEXEXTRACT(C726,""@\s*(\d+(?:\.\d+)?)\s*deg""),"""")&lt;&gt;"""",
    F726&lt;&gt;""""
  ),
  ""Pls Confirm °"",
  IF(
    IFERROR(REGEXEXTRACT(C726,""@\s*(\d+(?:\.\d+)?)\s*deg""),"""")&lt;&gt;"""",
    1/COS(RADIANS(REGEXEXTRACT(C726,""@\s*(\d+(?:"&amp;"\.\d+)?)\s*deg""))),
    IF(
      F726&lt;&gt;"""",
      IF(
        ISNUMBER(SEARCH(""|"",F726)),
        1/COS(
          ATAN(
            TAN(RADIANS(VALUE(INDEX(SPLIT(F726,""|""),1)))) *
            TAN(RADIANS(VALUE(INDEX(SPLIT(F726,""|""),2))))
       "&amp;"     /
            SQRT(
              TAN(RADIANS(VALUE(INDEX(SPLIT(F726,""|""),1))))^2 +
              TAN(RADIANS(VALUE(INDEX(SPLIT(F726,""|""),2))))^2
            )
          )
        ),
        1/COS(RADIANS(VALUE(F726)))
      ),
      1
    )
  )
"&amp;")"),1.0)</f>
        <v>1</v>
      </c>
      <c r="O726" s="169">
        <v>1.0</v>
      </c>
      <c r="P726" s="134">
        <v>1.0</v>
      </c>
      <c r="Q726" s="168">
        <f t="shared" ref="Q726:Q729" si="535">M726*N726*O726*P726</f>
        <v>152.4</v>
      </c>
      <c r="R726" s="136" t="str">
        <f>IFERROR(
  IF(B726="", "", VLOOKUP(B726, Data!$B$2:$K$905, 9, FALSE)),
  ""
)</f>
        <v/>
      </c>
      <c r="S726" s="152">
        <f t="shared" ref="S726:S729" si="536">R726*Q726</f>
        <v>0</v>
      </c>
      <c r="T726" s="690"/>
      <c r="U726" s="136" t="str">
        <f>IFERROR(
  IF(B726="", "", VLOOKUP(B726, Data!$B$2:$K$905, 10, FALSE)),
  ""
)
</f>
        <v/>
      </c>
      <c r="V726" s="691"/>
      <c r="W726" s="140">
        <f t="shared" ref="W726:W729" si="537">U726*Q726</f>
        <v>0</v>
      </c>
      <c r="X726" s="692"/>
      <c r="Y726" s="693"/>
      <c r="Z726" s="731"/>
      <c r="AA726" s="595"/>
      <c r="AB726" s="354">
        <f t="shared" ref="AB726:AB729" si="538">W726+S726</f>
        <v>0</v>
      </c>
      <c r="AC726" s="181"/>
      <c r="AD726" s="625"/>
      <c r="AE726" s="626"/>
      <c r="AF726" s="696"/>
      <c r="AG726" s="697"/>
      <c r="AH726" s="629"/>
      <c r="AI726" s="187"/>
      <c r="AJ726" s="630"/>
      <c r="AK726" s="630"/>
      <c r="AL726" s="595"/>
      <c r="AM726" s="595"/>
      <c r="AN726" s="595"/>
      <c r="AO726" s="595"/>
      <c r="AP726" s="595"/>
      <c r="AQ726" s="595"/>
      <c r="AR726" s="595"/>
      <c r="AS726" s="595"/>
      <c r="AT726" s="595"/>
      <c r="AU726" s="595"/>
      <c r="AV726" s="595"/>
      <c r="AW726" s="595"/>
      <c r="AX726" s="595"/>
      <c r="AY726" s="595"/>
      <c r="AZ726" s="595"/>
      <c r="BA726" s="595"/>
      <c r="BB726" s="595"/>
      <c r="BC726" s="595"/>
      <c r="BD726" s="595"/>
      <c r="BE726" s="595"/>
      <c r="BF726" s="595"/>
      <c r="BG726" s="595"/>
      <c r="BH726" s="595"/>
      <c r="BI726" s="651"/>
      <c r="BJ726" s="651"/>
      <c r="BK726" s="651"/>
      <c r="BL726" s="651"/>
      <c r="BM726" s="651"/>
      <c r="BN726" s="651"/>
      <c r="BO726" s="651"/>
      <c r="BP726" s="651"/>
      <c r="BQ726" s="651"/>
      <c r="BR726" s="651"/>
      <c r="BS726" s="651"/>
      <c r="BT726" s="651"/>
    </row>
    <row r="727">
      <c r="A727" s="631"/>
      <c r="B727" s="154" t="str">
        <f>IFERROR(__xludf.DUMMYFUNCTION("IFERROR(
  IF(C727="""","""",
    IF(OR(REGEXMATCH(D727,""(?i)-Flashing""), REGEXMATCH(D727,""(?i)-EavesGut""), REGEXMATCH(D727,""(?i)Valley"")),
        ""DR"" &amp;
        TEXT(
            ROUNDUP(
                MIN(
                    VALUE(MID(C727, "&amp;"FIND(""("",C727)+1, FIND(""/"",C727)-FIND(""("",C727)-1)),
                    1200
                ) / 50, 0
            ) * 50, ""0""
        ) &amp;
        MID(C727, FIND(""/"",C727)+1, FIND("")"",C727)-FIND(""/"",C727)-1) &amp;
        TEXT(H727*100,""0"") &amp;"&amp;"
        I727,
    IF(AND(D727=""Roof Sheet"", REGEXMATCH(C727,""(?i)KS\d{4}[A-Z]{2}"")),
       REGEXEXTRACT(C727,""(?i)KS\d{4}[A-Z]{2}""),
    IF(AND(REGEXMATCH(D727,""(?i)-DP""), REGEXMATCH(C727,""(?i)Downpipe"")),
       ""dp"" &amp; REGEXEXTRACT(C727,""("&amp;"\d+)"") &amp; ""mm"",
    IF(AND(REGEXMATCH(D727,""(?i)Bracket""), REGEXMATCH(C727,""(?i)Bracket"")),
       ""Brkt"" &amp; REGEXEXTRACT(C727,""(\d+)"") &amp; ""mm"",
    IF(AND(REGEXMATCH(D727,""(?i)-OP""), REGEXMATCH(C727,""(?i)pops"")),
       ""op"" &amp; REGEXEXTRAC"&amp;"T(C727,""(\d+)"") &amp; ""mm"",
    IF(OR(D727=""R-FFTop"", D727=""R-FFBottom"", D727=""R-FFSide""),
        IF(REGEXMATCH(C727,""(?i)Profiled.*Top|Top.*Profiled""),""pfft"",
        IF(REGEXMATCH(C727,""(?i)Profiled.*Bottom|Bottom.*Profiled""),""pffb"",
    "&amp;"    IF(REGEXMATCH(C727,""(?i)Square""),""sff"",""""))),
    IF(REGEXMATCH(D727,""(?i)-Rivets""),""Rvt"",
    IF(REGEXMATCH(D727,""(?i)Silicone""),""300ml"",
    IF(REGEXMATCH(D727,""(?i)R-Butyl""),""300ml"",
    IF(REGEXMATCH(D727,""(?i)Fix""),""GenFix"","&amp;"
    IF(AND(REGEXMATCH(C727,""(?i)Timber""), REGEXMATCH(D727,""(?i)Timber"")),""tp"",
    IF(AND(REGEXMATCH(C727,""(?i)Vent G1275""), REGEXMATCH(D727,""(?i)Comb FIller"")),""CFV1275"",
    IF(REGEXMATCH(C727,""(?i)DPC""),""dpc"",
    IF(REGEXMATCH(C727,"""&amp;"(?i)Concealed Clips""),""ConClips"",
    IF(REGEXMATCH(D727,""(?i)-Takeoff ea""),""Takeoff ea"",
    IF(REGEXMATCH(D727,""(?i)-Takeoff LM""),""Takeoff LM"",
    IF(REGEXMATCH(D727,""(?i)-Takeoff m2""),""Takeoff m2"",
    IF(D727=""R-TU/TD"",""TU/TD"","""""&amp;")))))))))))))))))
  )))"),"300ml")</f>
        <v>300ml</v>
      </c>
      <c r="C727" s="734" t="s">
        <v>98</v>
      </c>
      <c r="D727" s="148" t="s">
        <v>162</v>
      </c>
      <c r="E727" s="687">
        <f>E726</f>
        <v>0.27</v>
      </c>
      <c r="F727" s="699"/>
      <c r="G727" s="700"/>
      <c r="H727" s="700" t="str">
        <f>IFERROR(__xludf.DUMMYFUNCTION("IFERROR(REGEXEXTRACT(C727, ""(\d*\.\d+)mm""), """")"),"")</f>
        <v/>
      </c>
      <c r="I727" s="712"/>
      <c r="J727" s="126" t="s">
        <v>87</v>
      </c>
      <c r="K727" s="126" t="str">
        <f>IFERROR(
  IF(B727="", "", VLOOKUP(B727, Data!$B$2:$K$905, 7, FALSE)),
  ""
)</f>
        <v/>
      </c>
      <c r="L727" s="704"/>
      <c r="M727" s="150">
        <f>(ROUNDDOWN((M726/5.7)+2,0)*E727)/8</f>
        <v>0.945</v>
      </c>
      <c r="N727" s="151">
        <f t="shared" ref="N727:N730" si="539">if(B727="","",(if(N726="",N725,N726)))</f>
        <v>1</v>
      </c>
      <c r="O727" s="169">
        <v>1.0</v>
      </c>
      <c r="P727" s="134">
        <v>1.0</v>
      </c>
      <c r="Q727" s="168">
        <f t="shared" si="535"/>
        <v>0.945</v>
      </c>
      <c r="R727" s="136" t="str">
        <f>IFERROR(
  IF(B727="", "", VLOOKUP(B727, Data!$B$2:$K$905, 9, FALSE)),
  ""
)</f>
        <v/>
      </c>
      <c r="S727" s="152">
        <f t="shared" si="536"/>
        <v>0</v>
      </c>
      <c r="T727" s="690"/>
      <c r="U727" s="681" t="str">
        <f>IFERROR(
  IF(B727="", "", VLOOKUP(B727, Data!$B$2:$K$905, 10, FALSE)),
  ""
)
</f>
        <v/>
      </c>
      <c r="V727" s="691"/>
      <c r="W727" s="140">
        <f t="shared" si="537"/>
        <v>0</v>
      </c>
      <c r="X727" s="692"/>
      <c r="Y727" s="595"/>
      <c r="Z727" s="595"/>
      <c r="AA727" s="595"/>
      <c r="AB727" s="354">
        <f t="shared" si="538"/>
        <v>0</v>
      </c>
      <c r="AC727" s="181"/>
      <c r="AD727" s="625"/>
      <c r="AE727" s="626"/>
      <c r="AF727" s="696"/>
      <c r="AG727" s="697"/>
      <c r="AH727" s="629"/>
      <c r="AI727" s="187"/>
      <c r="AJ727" s="630"/>
      <c r="AK727" s="630"/>
      <c r="AL727" s="595"/>
      <c r="AM727" s="595"/>
      <c r="AN727" s="595"/>
      <c r="AO727" s="595"/>
      <c r="AP727" s="595"/>
      <c r="AQ727" s="595"/>
      <c r="AR727" s="595"/>
      <c r="AS727" s="595"/>
      <c r="AT727" s="595"/>
      <c r="AU727" s="595"/>
      <c r="AV727" s="595"/>
      <c r="AW727" s="595"/>
      <c r="AX727" s="595"/>
      <c r="AY727" s="595"/>
      <c r="AZ727" s="595"/>
      <c r="BA727" s="595"/>
      <c r="BB727" s="595"/>
      <c r="BC727" s="595"/>
      <c r="BD727" s="595"/>
      <c r="BE727" s="595"/>
      <c r="BF727" s="595"/>
      <c r="BG727" s="595"/>
      <c r="BH727" s="595"/>
      <c r="BI727" s="651"/>
      <c r="BJ727" s="651"/>
      <c r="BK727" s="651"/>
      <c r="BL727" s="651"/>
      <c r="BM727" s="651"/>
      <c r="BN727" s="651"/>
      <c r="BO727" s="651"/>
      <c r="BP727" s="651"/>
      <c r="BQ727" s="651"/>
      <c r="BR727" s="651"/>
      <c r="BS727" s="651"/>
      <c r="BT727" s="651"/>
    </row>
    <row r="728">
      <c r="A728" s="631"/>
      <c r="B728" s="154" t="str">
        <f>IFERROR(__xludf.DUMMYFUNCTION("IFERROR(
  IF(C728="""","""",
    IF(OR(REGEXMATCH(D728,""(?i)-Flashing""), REGEXMATCH(D728,""(?i)-EavesGut""), REGEXMATCH(D728,""(?i)Valley"")),
        ""DR"" &amp;
        TEXT(
            ROUNDUP(
                MIN(
                    VALUE(MID(C728, "&amp;"FIND(""("",C728)+1, FIND(""/"",C728)-FIND(""("",C728)-1)),
                    1200
                ) / 50, 0
            ) * 50, ""0""
        ) &amp;
        MID(C728, FIND(""/"",C728)+1, FIND("")"",C728)-FIND(""/"",C728)-1) &amp;
        TEXT(H728*100,""0"") &amp;"&amp;"
        I728,
    IF(AND(D728=""Roof Sheet"", REGEXMATCH(C728,""(?i)KS\d{4}[A-Z]{2}"")),
       REGEXEXTRACT(C728,""(?i)KS\d{4}[A-Z]{2}""),
    IF(AND(REGEXMATCH(D728,""(?i)-DP""), REGEXMATCH(C728,""(?i)Downpipe"")),
       ""dp"" &amp; REGEXEXTRACT(C728,""("&amp;"\d+)"") &amp; ""mm"",
    IF(AND(REGEXMATCH(D728,""(?i)Bracket""), REGEXMATCH(C728,""(?i)Bracket"")),
       ""Brkt"" &amp; REGEXEXTRACT(C728,""(\d+)"") &amp; ""mm"",
    IF(AND(REGEXMATCH(D728,""(?i)-OP""), REGEXMATCH(C728,""(?i)pops"")),
       ""op"" &amp; REGEXEXTRAC"&amp;"T(C728,""(\d+)"") &amp; ""mm"",
    IF(OR(D728=""R-FFTop"", D728=""R-FFBottom"", D728=""R-FFSide""),
        IF(REGEXMATCH(C728,""(?i)Profiled.*Top|Top.*Profiled""),""pfft"",
        IF(REGEXMATCH(C728,""(?i)Profiled.*Bottom|Bottom.*Profiled""),""pffb"",
    "&amp;"    IF(REGEXMATCH(C728,""(?i)Square""),""sff"",""""))),
    IF(REGEXMATCH(D728,""(?i)-Rivets""),""Rvt"",
    IF(REGEXMATCH(D728,""(?i)Silicone""),""300ml"",
    IF(REGEXMATCH(D728,""(?i)R-Butyl""),""300ml"",
    IF(REGEXMATCH(D728,""(?i)Fix""),""GenFix"","&amp;"
    IF(AND(REGEXMATCH(C728,""(?i)Timber""), REGEXMATCH(D728,""(?i)Timber"")),""tp"",
    IF(AND(REGEXMATCH(C728,""(?i)Vent G1275""), REGEXMATCH(D728,""(?i)Comb FIller"")),""CFV1275"",
    IF(REGEXMATCH(C728,""(?i)DPC""),""dpc"",
    IF(REGEXMATCH(C728,"""&amp;"(?i)Concealed Clips""),""ConClips"",
    IF(REGEXMATCH(D728,""(?i)-Takeoff ea""),""Takeoff ea"",
    IF(REGEXMATCH(D728,""(?i)-Takeoff LM""),""Takeoff LM"",
    IF(REGEXMATCH(D728,""(?i)-Takeoff m2""),""Takeoff m2"",
    IF(D728=""R-TU/TD"",""TU/TD"","""""&amp;")))))))))))))))))
  )))"),"Rvt")</f>
        <v>Rvt</v>
      </c>
      <c r="C728" s="734" t="s">
        <v>100</v>
      </c>
      <c r="D728" s="148" t="s">
        <v>163</v>
      </c>
      <c r="E728" s="687">
        <f>E726</f>
        <v>0.27</v>
      </c>
      <c r="F728" s="699"/>
      <c r="G728" s="700"/>
      <c r="H728" s="700" t="str">
        <f>IFERROR(__xludf.DUMMYFUNCTION("IFERROR(REGEXEXTRACT(C728, ""(\d*\.\d+)mm""), """")"),"")</f>
        <v/>
      </c>
      <c r="I728" s="712"/>
      <c r="J728" s="126" t="s">
        <v>87</v>
      </c>
      <c r="K728" s="126" t="str">
        <f>IFERROR(
  IF(B728="", "", VLOOKUP(B728, Data!$B$2:$K$905, 7, FALSE)),
  ""
)</f>
        <v/>
      </c>
      <c r="L728" s="704"/>
      <c r="M728" s="150">
        <f>ROUNDUP(((M726/5.7)+1)*(E728/0.05),0)</f>
        <v>150</v>
      </c>
      <c r="N728" s="151">
        <f t="shared" si="539"/>
        <v>1</v>
      </c>
      <c r="O728" s="169">
        <v>1.0</v>
      </c>
      <c r="P728" s="134">
        <v>1.0</v>
      </c>
      <c r="Q728" s="168">
        <f t="shared" si="535"/>
        <v>150</v>
      </c>
      <c r="R728" s="136" t="str">
        <f>IFERROR(
  IF(B728="", "", VLOOKUP(B728, Data!$B$2:$K$905, 9, FALSE)),
  ""
)</f>
        <v/>
      </c>
      <c r="S728" s="152">
        <f t="shared" si="536"/>
        <v>0</v>
      </c>
      <c r="T728" s="690"/>
      <c r="U728" s="681" t="str">
        <f>IFERROR(
  IF(B728="", "", VLOOKUP(B728, Data!$B$2:$K$905, 10, FALSE)),
  ""
)
</f>
        <v/>
      </c>
      <c r="V728" s="691"/>
      <c r="W728" s="140">
        <f t="shared" si="537"/>
        <v>0</v>
      </c>
      <c r="X728" s="692"/>
      <c r="Y728" s="595"/>
      <c r="Z728" s="595"/>
      <c r="AA728" s="595"/>
      <c r="AB728" s="354">
        <f t="shared" si="538"/>
        <v>0</v>
      </c>
      <c r="AC728" s="181"/>
      <c r="AD728" s="625"/>
      <c r="AE728" s="626"/>
      <c r="AF728" s="696"/>
      <c r="AG728" s="697"/>
      <c r="AH728" s="629"/>
      <c r="AI728" s="187"/>
      <c r="AJ728" s="630"/>
      <c r="AK728" s="630"/>
      <c r="AL728" s="595"/>
      <c r="AM728" s="595"/>
      <c r="AN728" s="595"/>
      <c r="AO728" s="595"/>
      <c r="AP728" s="595"/>
      <c r="AQ728" s="595"/>
      <c r="AR728" s="595"/>
      <c r="AS728" s="595"/>
      <c r="AT728" s="595"/>
      <c r="AU728" s="595"/>
      <c r="AV728" s="595"/>
      <c r="AW728" s="595"/>
      <c r="AX728" s="595"/>
      <c r="AY728" s="595"/>
      <c r="AZ728" s="595"/>
      <c r="BA728" s="595"/>
      <c r="BB728" s="595"/>
      <c r="BC728" s="595"/>
      <c r="BD728" s="595"/>
      <c r="BE728" s="595"/>
      <c r="BF728" s="595"/>
      <c r="BG728" s="595"/>
      <c r="BH728" s="595"/>
      <c r="BI728" s="651"/>
      <c r="BJ728" s="651"/>
      <c r="BK728" s="651"/>
      <c r="BL728" s="651"/>
      <c r="BM728" s="651"/>
      <c r="BN728" s="651"/>
      <c r="BO728" s="651"/>
      <c r="BP728" s="651"/>
      <c r="BQ728" s="651"/>
      <c r="BR728" s="651"/>
      <c r="BS728" s="651"/>
      <c r="BT728" s="651"/>
    </row>
    <row r="729">
      <c r="A729" s="631"/>
      <c r="B729" s="154" t="str">
        <f>IFERROR(__xludf.DUMMYFUNCTION("IFERROR(
  IF(C729="""","""",
    IF(OR(REGEXMATCH(D729,""(?i)-Flashing""), REGEXMATCH(D729,""(?i)-EavesGut""), REGEXMATCH(D729,""(?i)Valley"")),
        ""DR"" &amp;
        TEXT(
            ROUNDUP(
                MIN(
                    VALUE(MID(C729, "&amp;"FIND(""("",C729)+1, FIND(""/"",C729)-FIND(""("",C729)-1)),
                    1200
                ) / 50, 0
            ) * 50, ""0""
        ) &amp;
        MID(C729, FIND(""/"",C729)+1, FIND("")"",C729)-FIND(""/"",C729)-1) &amp;
        TEXT(H729*100,""0"") &amp;"&amp;"
        I729,
    IF(AND(D729=""Roof Sheet"", REGEXMATCH(C729,""(?i)KS\d{4}[A-Z]{2}"")),
       REGEXEXTRACT(C729,""(?i)KS\d{4}[A-Z]{2}""),
    IF(AND(REGEXMATCH(D729,""(?i)-DP""), REGEXMATCH(C729,""(?i)Downpipe"")),
       ""dp"" &amp; REGEXEXTRACT(C729,""("&amp;"\d+)"") &amp; ""mm"",
    IF(AND(REGEXMATCH(D729,""(?i)Bracket""), REGEXMATCH(C729,""(?i)Bracket"")),
       ""Brkt"" &amp; REGEXEXTRACT(C729,""(\d+)"") &amp; ""mm"",
    IF(AND(REGEXMATCH(D729,""(?i)-OP""), REGEXMATCH(C729,""(?i)pops"")),
       ""op"" &amp; REGEXEXTRAC"&amp;"T(C729,""(\d+)"") &amp; ""mm"",
    IF(OR(D729=""R-FFTop"", D729=""R-FFBottom"", D729=""R-FFSide""),
        IF(REGEXMATCH(C729,""(?i)Profiled.*Top|Top.*Profiled""),""pfft"",
        IF(REGEXMATCH(C729,""(?i)Profiled.*Bottom|Bottom.*Profiled""),""pffb"",
    "&amp;"    IF(REGEXMATCH(C729,""(?i)Square""),""sff"",""""))),
    IF(REGEXMATCH(D729,""(?i)-Rivets""),""Rvt"",
    IF(REGEXMATCH(D729,""(?i)Silicone""),""300ml"",
    IF(REGEXMATCH(D729,""(?i)R-Butyl""),""300ml"",
    IF(REGEXMATCH(D729,""(?i)Fix""),""GenFix"","&amp;"
    IF(AND(REGEXMATCH(C729,""(?i)Timber""), REGEXMATCH(D729,""(?i)Timber"")),""tp"",
    IF(AND(REGEXMATCH(C729,""(?i)Vent G1275""), REGEXMATCH(D729,""(?i)Comb FIller"")),""CFV1275"",
    IF(REGEXMATCH(C729,""(?i)DPC""),""dpc"",
    IF(REGEXMATCH(C729,"""&amp;"(?i)Concealed Clips""),""ConClips"",
    IF(REGEXMATCH(D729,""(?i)-Takeoff ea""),""Takeoff ea"",
    IF(REGEXMATCH(D729,""(?i)-Takeoff LM""),""Takeoff LM"",
    IF(REGEXMATCH(D729,""(?i)-Takeoff m2""),""Takeoff m2"",
    IF(D729=""R-TU/TD"",""TU/TD"","""""&amp;")))))))))))))))))
  )))"),"GenFix")</f>
        <v>GenFix</v>
      </c>
      <c r="C729" s="698" t="s">
        <v>102</v>
      </c>
      <c r="D729" s="148" t="s">
        <v>164</v>
      </c>
      <c r="E729" s="722"/>
      <c r="F729" s="699"/>
      <c r="G729" s="701"/>
      <c r="H729" s="700"/>
      <c r="I729" s="712"/>
      <c r="J729" s="126" t="s">
        <v>87</v>
      </c>
      <c r="K729" s="126" t="str">
        <f>IFERROR(
  IF(B729="", "", VLOOKUP(B729, Data!$B$2:$K$905, 7, FALSE)),
  ""
)</f>
        <v/>
      </c>
      <c r="L729" s="712"/>
      <c r="M729" s="150">
        <f>ROUNDUP(M726/0.6,0)+1</f>
        <v>255</v>
      </c>
      <c r="N729" s="151">
        <f t="shared" si="539"/>
        <v>1</v>
      </c>
      <c r="O729" s="169">
        <v>1.0</v>
      </c>
      <c r="P729" s="134">
        <v>1.0</v>
      </c>
      <c r="Q729" s="168">
        <f t="shared" si="535"/>
        <v>255</v>
      </c>
      <c r="R729" s="136" t="str">
        <f>IFERROR(
  IF(B729="", "", VLOOKUP(B729, Data!$B$2:$K$905, 9, FALSE)),
  ""
)</f>
        <v/>
      </c>
      <c r="S729" s="152">
        <f t="shared" si="536"/>
        <v>0</v>
      </c>
      <c r="T729" s="690"/>
      <c r="U729" s="681" t="str">
        <f>IFERROR(
  IF(B729="", "", VLOOKUP(B729, Data!$B$2:$K$905, 10, FALSE)),
  ""
)
</f>
        <v/>
      </c>
      <c r="V729" s="691"/>
      <c r="W729" s="140">
        <f t="shared" si="537"/>
        <v>0</v>
      </c>
      <c r="X729" s="692"/>
      <c r="Y729" s="595"/>
      <c r="Z729" s="595"/>
      <c r="AA729" s="595"/>
      <c r="AB729" s="354">
        <f t="shared" si="538"/>
        <v>0</v>
      </c>
      <c r="AC729" s="181"/>
      <c r="AD729" s="625"/>
      <c r="AE729" s="626"/>
      <c r="AF729" s="696"/>
      <c r="AG729" s="697"/>
      <c r="AH729" s="629"/>
      <c r="AI729" s="187"/>
      <c r="AJ729" s="630"/>
      <c r="AK729" s="630"/>
      <c r="AL729" s="595"/>
      <c r="AM729" s="595"/>
      <c r="AN729" s="595"/>
      <c r="AO729" s="595"/>
      <c r="AP729" s="595"/>
      <c r="AQ729" s="595"/>
      <c r="AR729" s="595"/>
      <c r="AS729" s="595"/>
      <c r="AT729" s="595"/>
      <c r="AU729" s="595"/>
      <c r="AV729" s="595"/>
      <c r="AW729" s="595"/>
      <c r="AX729" s="595"/>
      <c r="AY729" s="595"/>
      <c r="AZ729" s="595"/>
      <c r="BA729" s="595"/>
      <c r="BB729" s="595"/>
      <c r="BC729" s="595"/>
      <c r="BD729" s="595"/>
      <c r="BE729" s="595"/>
      <c r="BF729" s="595"/>
      <c r="BG729" s="595"/>
      <c r="BH729" s="595"/>
      <c r="BI729" s="651"/>
      <c r="BJ729" s="651"/>
      <c r="BK729" s="651"/>
      <c r="BL729" s="651"/>
      <c r="BM729" s="651"/>
      <c r="BN729" s="651"/>
      <c r="BO729" s="651"/>
      <c r="BP729" s="651"/>
      <c r="BQ729" s="651"/>
      <c r="BR729" s="651"/>
      <c r="BS729" s="651"/>
      <c r="BT729" s="651"/>
    </row>
    <row r="730" ht="12.75" customHeight="1">
      <c r="A730" s="631"/>
      <c r="B730" s="122"/>
      <c r="C730" s="276"/>
      <c r="D730" s="148"/>
      <c r="E730" s="687"/>
      <c r="F730" s="699"/>
      <c r="G730" s="782"/>
      <c r="H730" s="279"/>
      <c r="I730" s="783"/>
      <c r="J730" s="784"/>
      <c r="K730" s="126"/>
      <c r="L730" s="712"/>
      <c r="M730" s="730"/>
      <c r="N730" s="151" t="str">
        <f t="shared" si="539"/>
        <v/>
      </c>
      <c r="O730" s="760"/>
      <c r="P730" s="760"/>
      <c r="Q730" s="168"/>
      <c r="R730" s="136" t="str">
        <f>IFERROR(
  IF(B730="", "", VLOOKUP(B730, Data!$B$2:$K$905, 9, FALSE)),
  ""
)</f>
        <v/>
      </c>
      <c r="S730" s="152"/>
      <c r="T730" s="690"/>
      <c r="U730" s="136" t="str">
        <f>IFERROR(
  IF(B730="", "", VLOOKUP(B730, Data!$B$2:$K$905, 10, FALSE)),
  ""
)
</f>
        <v/>
      </c>
      <c r="V730" s="691"/>
      <c r="W730" s="140"/>
      <c r="X730" s="297" t="str">
        <f>SUM(AB13:AB730)</f>
        <v>#REF!</v>
      </c>
      <c r="Y730" s="595"/>
      <c r="Z730" s="595"/>
      <c r="AA730" s="595"/>
      <c r="AB730" s="354"/>
      <c r="AC730" s="785"/>
      <c r="AD730" s="786"/>
      <c r="AE730" s="786"/>
      <c r="AF730" s="787"/>
      <c r="AG730" s="788"/>
      <c r="AH730" s="789"/>
      <c r="AI730" s="790"/>
      <c r="AJ730" s="789"/>
      <c r="AK730" s="789"/>
      <c r="AL730" s="597"/>
      <c r="AM730" s="595"/>
      <c r="AN730" s="595"/>
      <c r="AO730" s="595"/>
      <c r="AP730" s="595"/>
      <c r="AQ730" s="651"/>
      <c r="AR730" s="651"/>
      <c r="AS730" s="651"/>
      <c r="AT730" s="651"/>
      <c r="AU730" s="651"/>
      <c r="AV730" s="651"/>
      <c r="AW730" s="651"/>
      <c r="AX730" s="651"/>
      <c r="AY730" s="651"/>
      <c r="AZ730" s="651"/>
      <c r="BA730" s="651"/>
      <c r="BB730" s="651"/>
      <c r="BC730" s="651"/>
      <c r="BD730" s="651"/>
      <c r="BE730" s="651"/>
      <c r="BF730" s="651"/>
      <c r="BG730" s="651"/>
      <c r="BH730" s="651"/>
      <c r="BI730" s="651"/>
      <c r="BJ730" s="651"/>
      <c r="BK730" s="651"/>
      <c r="BL730" s="651"/>
      <c r="BM730" s="651"/>
      <c r="BN730" s="651"/>
      <c r="BO730" s="651"/>
      <c r="BP730" s="651"/>
      <c r="BQ730" s="651"/>
      <c r="BR730" s="651"/>
      <c r="BS730" s="651"/>
      <c r="BT730" s="651"/>
    </row>
    <row r="731" ht="12.75" customHeight="1">
      <c r="A731" s="583"/>
      <c r="B731" s="791"/>
      <c r="C731" s="584"/>
      <c r="D731" s="584"/>
      <c r="E731" s="585"/>
      <c r="F731" s="586"/>
      <c r="G731" s="587"/>
      <c r="H731" s="584"/>
      <c r="I731" s="595"/>
      <c r="J731" s="595"/>
      <c r="K731" s="354"/>
      <c r="L731" s="588"/>
      <c r="M731" s="588"/>
      <c r="N731" s="589"/>
      <c r="O731" s="584"/>
      <c r="P731" s="586"/>
      <c r="Q731" s="443"/>
      <c r="R731" s="792"/>
      <c r="S731" s="793"/>
      <c r="T731" s="302" t="str">
        <f>sumif(A13:A730,1,T13:T730)</f>
        <v>#REF!</v>
      </c>
      <c r="U731" s="794"/>
      <c r="V731" s="795"/>
      <c r="W731" s="302" t="str">
        <f>sumif(A13:A730,1,W13:W730)</f>
        <v>#REF!</v>
      </c>
      <c r="X731" s="305" t="str">
        <f>X730=(T731+W731)</f>
        <v>#REF!</v>
      </c>
      <c r="Y731" s="113" t="str">
        <f>(T731+W731)-AB733</f>
        <v>#REF!</v>
      </c>
      <c r="Z731" s="595"/>
      <c r="AA731" s="595"/>
      <c r="AB731" s="354"/>
      <c r="AC731" s="181"/>
      <c r="AD731" s="625"/>
      <c r="AE731" s="626"/>
      <c r="AF731" s="627"/>
      <c r="AG731" s="628"/>
      <c r="AH731" s="629"/>
      <c r="AI731" s="187"/>
      <c r="AJ731" s="630"/>
      <c r="AK731" s="630"/>
      <c r="AL731" s="584"/>
      <c r="AM731" s="595"/>
      <c r="AN731" s="595"/>
      <c r="AO731" s="595"/>
      <c r="AP731" s="584"/>
      <c r="AQ731" s="584"/>
      <c r="AR731" s="584"/>
      <c r="AS731" s="584"/>
      <c r="AT731" s="584"/>
      <c r="AU731" s="584"/>
      <c r="AV731" s="584"/>
      <c r="AW731" s="584"/>
      <c r="AX731" s="584"/>
      <c r="AY731" s="584"/>
      <c r="AZ731" s="584"/>
      <c r="BA731" s="584"/>
      <c r="BB731" s="584"/>
      <c r="BC731" s="584"/>
      <c r="BD731" s="584"/>
      <c r="BE731" s="584"/>
      <c r="BF731" s="584"/>
      <c r="BG731" s="584"/>
      <c r="BH731" s="584"/>
      <c r="BI731" s="597"/>
      <c r="BJ731" s="597"/>
      <c r="BK731" s="597"/>
      <c r="BL731" s="597"/>
      <c r="BM731" s="597"/>
      <c r="BN731" s="597"/>
      <c r="BO731" s="597"/>
      <c r="BP731" s="597"/>
      <c r="BQ731" s="597"/>
      <c r="BR731" s="597"/>
      <c r="BS731" s="597"/>
      <c r="BT731" s="597"/>
    </row>
    <row r="732" ht="12.75" customHeight="1">
      <c r="A732" s="583"/>
      <c r="B732" s="584"/>
      <c r="C732" s="584"/>
      <c r="D732" s="584"/>
      <c r="E732" s="585"/>
      <c r="F732" s="586"/>
      <c r="G732" s="587"/>
      <c r="H732" s="584"/>
      <c r="I732" s="584"/>
      <c r="J732" s="584"/>
      <c r="K732" s="586"/>
      <c r="L732" s="588"/>
      <c r="M732" s="588"/>
      <c r="N732" s="589"/>
      <c r="O732" s="584"/>
      <c r="P732" s="586"/>
      <c r="Q732" s="443"/>
      <c r="R732" s="603"/>
      <c r="S732" s="354"/>
      <c r="T732" s="595"/>
      <c r="U732" s="595"/>
      <c r="V732" s="595"/>
      <c r="W732" s="595"/>
      <c r="X732" s="306" t="str">
        <f>W731/70/8/$X$755</f>
        <v>#REF!</v>
      </c>
      <c r="Y732" s="595"/>
      <c r="Z732" s="595"/>
      <c r="AA732" s="595"/>
      <c r="AB732" s="354"/>
      <c r="AC732" s="181"/>
      <c r="AD732" s="625"/>
      <c r="AE732" s="626"/>
      <c r="AF732" s="627"/>
      <c r="AG732" s="628"/>
      <c r="AH732" s="629"/>
      <c r="AI732" s="187"/>
      <c r="AJ732" s="630"/>
      <c r="AK732" s="630"/>
      <c r="AL732" s="443"/>
      <c r="AM732" s="595"/>
      <c r="AN732" s="595"/>
      <c r="AO732" s="595"/>
      <c r="AP732" s="595"/>
      <c r="AQ732" s="584"/>
      <c r="AR732" s="595"/>
      <c r="AS732" s="595"/>
      <c r="AT732" s="584"/>
      <c r="AU732" s="443"/>
      <c r="AV732" s="443"/>
      <c r="AW732" s="443"/>
      <c r="AX732" s="584"/>
      <c r="AY732" s="584"/>
      <c r="AZ732" s="584"/>
      <c r="BA732" s="584"/>
      <c r="BB732" s="584"/>
      <c r="BC732" s="584"/>
      <c r="BD732" s="584"/>
      <c r="BE732" s="584"/>
      <c r="BF732" s="584"/>
      <c r="BG732" s="584"/>
      <c r="BH732" s="584"/>
      <c r="BI732" s="597"/>
      <c r="BJ732" s="597"/>
      <c r="BK732" s="597"/>
      <c r="BL732" s="597"/>
      <c r="BM732" s="597"/>
      <c r="BN732" s="597"/>
      <c r="BO732" s="597"/>
      <c r="BP732" s="597"/>
      <c r="BQ732" s="597"/>
      <c r="BR732" s="597"/>
      <c r="BS732" s="597"/>
      <c r="BT732" s="597"/>
    </row>
    <row r="733" ht="12.75" customHeight="1">
      <c r="A733" s="583">
        <v>1.0</v>
      </c>
      <c r="B733" s="796"/>
      <c r="C733" s="796"/>
      <c r="D733" s="796"/>
      <c r="E733" s="797"/>
      <c r="F733" s="798"/>
      <c r="G733" s="799"/>
      <c r="H733" s="796"/>
      <c r="I733" s="796"/>
      <c r="J733" s="796"/>
      <c r="K733" s="798"/>
      <c r="L733" s="800"/>
      <c r="M733" s="800"/>
      <c r="N733" s="801"/>
      <c r="O733" s="796"/>
      <c r="P733" s="798"/>
      <c r="Q733" s="796"/>
      <c r="R733" s="799"/>
      <c r="S733" s="802"/>
      <c r="T733" s="311" t="str">
        <f>T731</f>
        <v>#REF!</v>
      </c>
      <c r="U733" s="796"/>
      <c r="V733" s="803"/>
      <c r="W733" s="311" t="str">
        <f>W731</f>
        <v>#REF!</v>
      </c>
      <c r="X733" s="796"/>
      <c r="Y733" s="803"/>
      <c r="Z733" s="803"/>
      <c r="AA733" s="803"/>
      <c r="AB733" s="804" t="str">
        <f>SUM(AB13:AB732)</f>
        <v>#REF!</v>
      </c>
      <c r="AC733" s="796"/>
      <c r="AD733" s="311" t="str">
        <f t="shared" ref="AD733:AE733" si="540">SUM(AD13:AD732)</f>
        <v>#REF!</v>
      </c>
      <c r="AE733" s="311" t="str">
        <f t="shared" si="540"/>
        <v>#REF!</v>
      </c>
      <c r="AF733" s="312">
        <f t="shared" ref="AF733:AH733" si="541">SUM(iferror(AF13:AF732,""))</f>
        <v>0</v>
      </c>
      <c r="AG733" s="805">
        <f t="shared" si="541"/>
        <v>0</v>
      </c>
      <c r="AH733" s="312">
        <f t="shared" si="541"/>
        <v>0</v>
      </c>
      <c r="AI733" s="803"/>
      <c r="AJ733" s="803"/>
      <c r="AK733" s="312">
        <f>SUM(iferror(AK13:AK732,""))</f>
        <v>0</v>
      </c>
      <c r="AL733" s="595"/>
      <c r="AM733" s="595"/>
      <c r="AN733" s="595"/>
      <c r="AO733" s="595"/>
      <c r="AP733" s="595"/>
      <c r="AQ733" s="443"/>
      <c r="AR733" s="595"/>
      <c r="AS733" s="443"/>
      <c r="AT733" s="584"/>
      <c r="AU733" s="443"/>
      <c r="AV733" s="584"/>
      <c r="AW733" s="595"/>
      <c r="AX733" s="584"/>
      <c r="AY733" s="584"/>
      <c r="AZ733" s="584"/>
      <c r="BA733" s="584"/>
      <c r="BB733" s="584"/>
      <c r="BC733" s="584"/>
      <c r="BD733" s="584"/>
      <c r="BE733" s="584"/>
      <c r="BF733" s="584"/>
      <c r="BG733" s="584"/>
      <c r="BH733" s="584"/>
      <c r="BI733" s="597"/>
      <c r="BJ733" s="597"/>
      <c r="BK733" s="597"/>
      <c r="BL733" s="597"/>
      <c r="BM733" s="597"/>
      <c r="BN733" s="597"/>
      <c r="BO733" s="597"/>
      <c r="BP733" s="597"/>
      <c r="BQ733" s="597"/>
      <c r="BR733" s="597"/>
      <c r="BS733" s="597"/>
      <c r="BT733" s="597"/>
    </row>
    <row r="734" ht="12.75" customHeight="1">
      <c r="A734" s="583"/>
      <c r="B734" s="584"/>
      <c r="C734" s="584"/>
      <c r="D734" s="584"/>
      <c r="E734" s="585"/>
      <c r="F734" s="586"/>
      <c r="G734" s="587"/>
      <c r="H734" s="584"/>
      <c r="I734" s="806"/>
      <c r="J734" s="806"/>
      <c r="K734" s="349"/>
      <c r="L734" s="588"/>
      <c r="M734" s="588"/>
      <c r="N734" s="589"/>
      <c r="O734" s="595"/>
      <c r="P734" s="586"/>
      <c r="Q734" s="443"/>
      <c r="R734" s="587"/>
      <c r="S734" s="354"/>
      <c r="T734" s="595"/>
      <c r="U734" s="443"/>
      <c r="V734" s="595"/>
      <c r="W734" s="595"/>
      <c r="X734" s="807"/>
      <c r="Y734" s="595"/>
      <c r="Z734" s="595"/>
      <c r="AA734" s="595"/>
      <c r="AB734" s="354"/>
      <c r="AC734" s="584"/>
      <c r="AD734" s="595"/>
      <c r="AE734" s="315" t="str">
        <f>W748/AE733</f>
        <v>#REF!</v>
      </c>
      <c r="AF734" s="443"/>
      <c r="AG734" s="354"/>
      <c r="AH734" s="595"/>
      <c r="AI734" s="595"/>
      <c r="AJ734" s="595"/>
      <c r="AK734" s="316" t="str">
        <f>AK733-T756</f>
        <v>#REF!</v>
      </c>
      <c r="AL734" s="595"/>
      <c r="AM734" s="595"/>
      <c r="AN734" s="595"/>
      <c r="AO734" s="595"/>
      <c r="AP734" s="595"/>
      <c r="AQ734" s="443"/>
      <c r="AR734" s="595"/>
      <c r="AS734" s="443"/>
      <c r="AT734" s="584"/>
      <c r="AU734" s="443"/>
      <c r="AV734" s="584"/>
      <c r="AW734" s="595"/>
      <c r="AX734" s="584"/>
      <c r="AY734" s="584"/>
      <c r="AZ734" s="584"/>
      <c r="BA734" s="584"/>
      <c r="BB734" s="584"/>
      <c r="BC734" s="584"/>
      <c r="BD734" s="584"/>
      <c r="BE734" s="584"/>
      <c r="BF734" s="584"/>
      <c r="BG734" s="584"/>
      <c r="BH734" s="584"/>
      <c r="BI734" s="597"/>
      <c r="BJ734" s="597"/>
      <c r="BK734" s="597"/>
      <c r="BL734" s="597"/>
      <c r="BM734" s="597"/>
      <c r="BN734" s="597"/>
      <c r="BO734" s="597"/>
      <c r="BP734" s="597"/>
      <c r="BQ734" s="597"/>
      <c r="BR734" s="597"/>
      <c r="BS734" s="597"/>
      <c r="BT734" s="597"/>
    </row>
    <row r="735" ht="12.75" customHeight="1">
      <c r="A735" s="583"/>
      <c r="B735" s="584"/>
      <c r="C735" s="808" t="s">
        <v>174</v>
      </c>
      <c r="D735" s="809"/>
      <c r="E735" s="810"/>
      <c r="F735" s="811"/>
      <c r="G735" s="812"/>
      <c r="H735" s="813"/>
      <c r="I735" s="814"/>
      <c r="J735" s="815"/>
      <c r="K735" s="816"/>
      <c r="L735" s="817"/>
      <c r="M735" s="817"/>
      <c r="N735" s="818"/>
      <c r="O735" s="584"/>
      <c r="P735" s="586"/>
      <c r="Q735" s="443"/>
      <c r="R735" s="587"/>
      <c r="S735" s="819" t="s">
        <v>175</v>
      </c>
      <c r="T735" s="325" t="str">
        <f>T733</f>
        <v>#REF!</v>
      </c>
      <c r="U735" s="595"/>
      <c r="V735" s="324" t="s">
        <v>175</v>
      </c>
      <c r="W735" s="325" t="str">
        <f>W733</f>
        <v>#REF!</v>
      </c>
      <c r="X735" s="326" t="str">
        <f>Z891+AN827+BB807</f>
        <v>#REF!</v>
      </c>
      <c r="Y735" s="595"/>
      <c r="Z735" s="595"/>
      <c r="AA735" s="595"/>
      <c r="AB735" s="354"/>
      <c r="AC735" s="584"/>
      <c r="AD735" s="595"/>
      <c r="AE735" s="595"/>
      <c r="AF735" s="443"/>
      <c r="AG735" s="354"/>
      <c r="AH735" s="595"/>
      <c r="AI735" s="595"/>
      <c r="AJ735" s="595"/>
      <c r="AK735" s="327" t="str">
        <f>AK733=T756</f>
        <v>#REF!</v>
      </c>
      <c r="AL735" s="595"/>
      <c r="AM735" s="595"/>
      <c r="AN735" s="595"/>
      <c r="AO735" s="595"/>
      <c r="AP735" s="443"/>
      <c r="AQ735" s="443"/>
      <c r="AR735" s="595"/>
      <c r="AS735" s="443"/>
      <c r="AT735" s="443"/>
      <c r="AU735" s="443"/>
      <c r="AV735" s="820"/>
      <c r="AW735" s="595"/>
      <c r="AX735" s="584"/>
      <c r="AY735" s="584"/>
      <c r="AZ735" s="584"/>
      <c r="BA735" s="584"/>
      <c r="BB735" s="584"/>
      <c r="BC735" s="584"/>
      <c r="BD735" s="584"/>
      <c r="BE735" s="584"/>
      <c r="BF735" s="584"/>
      <c r="BG735" s="584"/>
      <c r="BH735" s="584"/>
      <c r="BI735" s="597"/>
      <c r="BJ735" s="597"/>
      <c r="BK735" s="597"/>
      <c r="BL735" s="597"/>
      <c r="BM735" s="597"/>
      <c r="BN735" s="597"/>
      <c r="BO735" s="597"/>
      <c r="BP735" s="597"/>
      <c r="BQ735" s="597"/>
      <c r="BR735" s="597"/>
      <c r="BS735" s="597"/>
      <c r="BT735" s="597"/>
    </row>
    <row r="736" ht="12.75" customHeight="1">
      <c r="A736" s="583"/>
      <c r="B736" s="12" t="s">
        <v>176</v>
      </c>
      <c r="C736" s="329" t="s">
        <v>177</v>
      </c>
      <c r="D736" s="821"/>
      <c r="E736" s="822"/>
      <c r="F736" s="823"/>
      <c r="G736" s="824"/>
      <c r="H736" s="825"/>
      <c r="I736" s="333" t="s">
        <v>178</v>
      </c>
      <c r="J736" s="334" t="s">
        <v>179</v>
      </c>
      <c r="K736" s="335" t="s">
        <v>180</v>
      </c>
      <c r="L736" s="336" t="s">
        <v>181</v>
      </c>
      <c r="M736" s="337" t="s">
        <v>182</v>
      </c>
      <c r="N736" s="826">
        <f>SUM(N737:N743)</f>
        <v>0</v>
      </c>
      <c r="O736" s="584"/>
      <c r="P736" s="827"/>
      <c r="Q736" s="443"/>
      <c r="R736" s="828">
        <v>0.0</v>
      </c>
      <c r="S736" s="829" t="s">
        <v>183</v>
      </c>
      <c r="T736" s="341" t="str">
        <f>(T733)*R736</f>
        <v>#REF!</v>
      </c>
      <c r="U736" s="595"/>
      <c r="V736" s="830"/>
      <c r="W736" s="831"/>
      <c r="X736" s="344" t="str">
        <f>W739-X735</f>
        <v>#REF!</v>
      </c>
      <c r="Y736" s="595"/>
      <c r="Z736" s="595"/>
      <c r="AA736" s="595"/>
      <c r="AB736" s="345" t="str">
        <f>(T735+W735)=AB733</f>
        <v>#REF!</v>
      </c>
      <c r="AC736" s="584"/>
      <c r="AD736" s="346" t="s">
        <v>184</v>
      </c>
      <c r="AE736" s="595"/>
      <c r="AF736" s="443"/>
      <c r="AG736" s="832" t="str">
        <f>AD733</f>
        <v>#REF!</v>
      </c>
      <c r="AH736" s="595"/>
      <c r="AI736" s="595"/>
      <c r="AJ736" s="595"/>
      <c r="AK736" s="595"/>
      <c r="AL736" s="595"/>
      <c r="AM736" s="595"/>
      <c r="AN736" s="595"/>
      <c r="AO736" s="595"/>
      <c r="AP736" s="443"/>
      <c r="AQ736" s="443"/>
      <c r="AR736" s="595"/>
      <c r="AS736" s="443"/>
      <c r="AT736" s="443"/>
      <c r="AU736" s="443"/>
      <c r="AV736" s="820"/>
      <c r="AW736" s="595"/>
      <c r="AX736" s="584"/>
      <c r="AY736" s="584"/>
      <c r="AZ736" s="584"/>
      <c r="BA736" s="584"/>
      <c r="BB736" s="584"/>
      <c r="BC736" s="584"/>
      <c r="BD736" s="584"/>
      <c r="BE736" s="584"/>
      <c r="BF736" s="584"/>
      <c r="BG736" s="584"/>
      <c r="BH736" s="584"/>
      <c r="BI736" s="597"/>
      <c r="BJ736" s="597"/>
      <c r="BK736" s="597"/>
      <c r="BL736" s="597"/>
      <c r="BM736" s="597"/>
      <c r="BN736" s="597"/>
      <c r="BO736" s="597"/>
      <c r="BP736" s="597"/>
      <c r="BQ736" s="597"/>
      <c r="BR736" s="597"/>
      <c r="BS736" s="597"/>
      <c r="BT736" s="597"/>
    </row>
    <row r="737" ht="12.75" customHeight="1">
      <c r="A737" s="583"/>
      <c r="B737" s="584"/>
      <c r="C737" s="347" t="s">
        <v>185</v>
      </c>
      <c r="D737" s="609"/>
      <c r="E737" s="585"/>
      <c r="F737" s="586"/>
      <c r="G737" s="587"/>
      <c r="H737" s="584"/>
      <c r="I737" s="349">
        <f>X755</f>
        <v>4</v>
      </c>
      <c r="J737" s="349">
        <f>I737</f>
        <v>4</v>
      </c>
      <c r="K737" s="349">
        <f>I737</f>
        <v>4</v>
      </c>
      <c r="L737" s="350">
        <v>2.0</v>
      </c>
      <c r="M737" s="350">
        <v>1.0</v>
      </c>
      <c r="N737" s="833"/>
      <c r="O737" s="584"/>
      <c r="P737" s="586"/>
      <c r="Q737" s="443"/>
      <c r="R737" s="834"/>
      <c r="S737" s="829" t="s">
        <v>186</v>
      </c>
      <c r="T737" s="341">
        <v>0.0</v>
      </c>
      <c r="U737" s="353" t="str">
        <f>W737/(W733)</f>
        <v>#REF!</v>
      </c>
      <c r="V737" s="340" t="s">
        <v>186</v>
      </c>
      <c r="W737" s="835"/>
      <c r="X737" s="443"/>
      <c r="Y737" s="595"/>
      <c r="Z737" s="595"/>
      <c r="AA737" s="595"/>
      <c r="AB737" s="354"/>
      <c r="AC737" s="584"/>
      <c r="AD737" s="595"/>
      <c r="AE737" s="595"/>
      <c r="AF737" s="443"/>
      <c r="AG737" s="354"/>
      <c r="AH737" s="595"/>
      <c r="AI737" s="595"/>
      <c r="AJ737" s="595"/>
      <c r="AK737" s="316"/>
      <c r="AL737" s="595"/>
      <c r="AM737" s="595"/>
      <c r="AN737" s="595"/>
      <c r="AO737" s="595"/>
      <c r="AP737" s="443"/>
      <c r="AQ737" s="443"/>
      <c r="AR737" s="595"/>
      <c r="AS737" s="443"/>
      <c r="AT737" s="443"/>
      <c r="AU737" s="443"/>
      <c r="AV737" s="820"/>
      <c r="AW737" s="595"/>
      <c r="AX737" s="584"/>
      <c r="AY737" s="584"/>
      <c r="AZ737" s="584"/>
      <c r="BA737" s="584"/>
      <c r="BB737" s="584"/>
      <c r="BC737" s="584"/>
      <c r="BD737" s="584"/>
      <c r="BE737" s="584"/>
      <c r="BF737" s="584"/>
      <c r="BG737" s="584"/>
      <c r="BH737" s="584"/>
      <c r="BI737" s="597"/>
      <c r="BJ737" s="597"/>
      <c r="BK737" s="597"/>
      <c r="BL737" s="597"/>
      <c r="BM737" s="597"/>
      <c r="BN737" s="597"/>
      <c r="BO737" s="597"/>
      <c r="BP737" s="597"/>
      <c r="BQ737" s="597"/>
      <c r="BR737" s="597"/>
      <c r="BS737" s="597"/>
      <c r="BT737" s="597"/>
    </row>
    <row r="738" ht="12.75" customHeight="1">
      <c r="A738" s="583"/>
      <c r="B738" s="584"/>
      <c r="C738" s="347" t="s">
        <v>26</v>
      </c>
      <c r="D738" s="609"/>
      <c r="E738" s="585"/>
      <c r="F738" s="586"/>
      <c r="G738" s="587"/>
      <c r="H738" s="584"/>
      <c r="I738" s="354">
        <v>350.0</v>
      </c>
      <c r="J738" s="354">
        <v>350.0</v>
      </c>
      <c r="K738" s="354">
        <v>400.0</v>
      </c>
      <c r="L738" s="350">
        <v>350.0</v>
      </c>
      <c r="M738" s="350">
        <f>55*1.25</f>
        <v>68.75</v>
      </c>
      <c r="N738" s="833"/>
      <c r="O738" s="584"/>
      <c r="P738" s="586"/>
      <c r="Q738" s="443"/>
      <c r="R738" s="587"/>
      <c r="S738" s="829"/>
      <c r="T738" s="831"/>
      <c r="U738" s="595"/>
      <c r="V738" s="830"/>
      <c r="W738" s="831"/>
      <c r="X738" s="443"/>
      <c r="Y738" s="595"/>
      <c r="Z738" s="595"/>
      <c r="AA738" s="595"/>
      <c r="AB738" s="354"/>
      <c r="AC738" s="584"/>
      <c r="AD738" s="355" t="s">
        <v>187</v>
      </c>
      <c r="AE738" s="836"/>
      <c r="AF738" s="837"/>
      <c r="AG738" s="838" t="str">
        <f>T748+U748</f>
        <v>#REF!</v>
      </c>
      <c r="AH738" s="595"/>
      <c r="AI738" s="595"/>
      <c r="AJ738" s="595"/>
      <c r="AK738" s="595"/>
      <c r="AL738" s="595"/>
      <c r="AM738" s="595"/>
      <c r="AN738" s="595"/>
      <c r="AO738" s="595"/>
      <c r="AP738" s="443"/>
      <c r="AQ738" s="443"/>
      <c r="AR738" s="595"/>
      <c r="AS738" s="443"/>
      <c r="AT738" s="443"/>
      <c r="AU738" s="443"/>
      <c r="AV738" s="820"/>
      <c r="AW738" s="595"/>
      <c r="AX738" s="584"/>
      <c r="AY738" s="584"/>
      <c r="AZ738" s="584"/>
      <c r="BA738" s="584"/>
      <c r="BB738" s="584"/>
      <c r="BC738" s="584"/>
      <c r="BD738" s="584"/>
      <c r="BE738" s="584"/>
      <c r="BF738" s="584"/>
      <c r="BG738" s="584"/>
      <c r="BH738" s="584"/>
      <c r="BI738" s="597"/>
      <c r="BJ738" s="597"/>
      <c r="BK738" s="597"/>
      <c r="BL738" s="597"/>
      <c r="BM738" s="597"/>
      <c r="BN738" s="597"/>
      <c r="BO738" s="597"/>
      <c r="BP738" s="597"/>
      <c r="BQ738" s="597"/>
      <c r="BR738" s="597"/>
      <c r="BS738" s="597"/>
      <c r="BT738" s="597"/>
    </row>
    <row r="739" ht="12.75" customHeight="1">
      <c r="A739" s="583"/>
      <c r="B739" s="584"/>
      <c r="C739" s="359" t="s">
        <v>188</v>
      </c>
      <c r="D739" s="609"/>
      <c r="E739" s="585"/>
      <c r="F739" s="586"/>
      <c r="G739" s="587"/>
      <c r="H739" s="584"/>
      <c r="I739" s="839"/>
      <c r="J739" s="839"/>
      <c r="K739" s="419"/>
      <c r="L739" s="840"/>
      <c r="M739" s="840"/>
      <c r="N739" s="833"/>
      <c r="O739" s="584"/>
      <c r="P739" s="586"/>
      <c r="Q739" s="443"/>
      <c r="R739" s="587"/>
      <c r="S739" s="841"/>
      <c r="T739" s="363" t="str">
        <f>SUM(T735:T738)</f>
        <v>#REF!</v>
      </c>
      <c r="U739" s="595"/>
      <c r="V739" s="842"/>
      <c r="W739" s="363" t="str">
        <f>SUM(W735:W738)</f>
        <v>#REF!</v>
      </c>
      <c r="X739" s="443"/>
      <c r="Y739" s="595"/>
      <c r="Z739" s="595"/>
      <c r="AA739" s="595"/>
      <c r="AB739" s="354"/>
      <c r="AC739" s="584"/>
      <c r="AD739" s="346" t="s">
        <v>24</v>
      </c>
      <c r="AE739" s="595"/>
      <c r="AF739" s="443"/>
      <c r="AG739" s="843" t="str">
        <f>N836-AH739</f>
        <v>#REF!</v>
      </c>
      <c r="AH739" s="595"/>
      <c r="AI739" s="595"/>
      <c r="AJ739" s="595"/>
      <c r="AK739" s="595"/>
      <c r="AL739" s="595"/>
      <c r="AM739" s="595"/>
      <c r="AN739" s="595"/>
      <c r="AO739" s="595"/>
      <c r="AP739" s="443"/>
      <c r="AQ739" s="443"/>
      <c r="AR739" s="595"/>
      <c r="AS739" s="443"/>
      <c r="AT739" s="443"/>
      <c r="AU739" s="443"/>
      <c r="AV739" s="820"/>
      <c r="AW739" s="595"/>
      <c r="AX739" s="584"/>
      <c r="AY739" s="584"/>
      <c r="AZ739" s="584"/>
      <c r="BA739" s="584"/>
      <c r="BB739" s="584"/>
      <c r="BC739" s="584"/>
      <c r="BD739" s="584"/>
      <c r="BE739" s="584"/>
      <c r="BF739" s="584"/>
      <c r="BG739" s="584"/>
      <c r="BH739" s="584"/>
      <c r="BI739" s="597"/>
      <c r="BJ739" s="597"/>
      <c r="BK739" s="597"/>
      <c r="BL739" s="597"/>
      <c r="BM739" s="597"/>
      <c r="BN739" s="597"/>
      <c r="BO739" s="597"/>
      <c r="BP739" s="597"/>
      <c r="BQ739" s="597"/>
      <c r="BR739" s="597"/>
      <c r="BS739" s="597"/>
      <c r="BT739" s="597"/>
    </row>
    <row r="740" ht="12.75" customHeight="1">
      <c r="A740" s="583"/>
      <c r="B740" s="584"/>
      <c r="C740" s="365" t="s">
        <v>189</v>
      </c>
      <c r="D740" s="844"/>
      <c r="E740" s="845"/>
      <c r="F740" s="846"/>
      <c r="G740" s="847"/>
      <c r="H740" s="848"/>
      <c r="I740" s="369">
        <f t="shared" ref="I740:M740" si="542">I738*I737*I739</f>
        <v>0</v>
      </c>
      <c r="J740" s="369">
        <f t="shared" si="542"/>
        <v>0</v>
      </c>
      <c r="K740" s="370">
        <f t="shared" si="542"/>
        <v>0</v>
      </c>
      <c r="L740" s="371">
        <f t="shared" si="542"/>
        <v>0</v>
      </c>
      <c r="M740" s="371">
        <f t="shared" si="542"/>
        <v>0</v>
      </c>
      <c r="N740" s="849">
        <f>SUM(I740:M740)</f>
        <v>0</v>
      </c>
      <c r="O740" s="584"/>
      <c r="P740" s="586"/>
      <c r="Q740" s="443"/>
      <c r="R740" s="587"/>
      <c r="S740" s="829"/>
      <c r="T740" s="831"/>
      <c r="U740" s="595"/>
      <c r="V740" s="830"/>
      <c r="W740" s="831"/>
      <c r="X740" s="443"/>
      <c r="Y740" s="595"/>
      <c r="Z740" s="595"/>
      <c r="AA740" s="595"/>
      <c r="AB740" s="354"/>
      <c r="AC740" s="584"/>
      <c r="AD740" s="595"/>
      <c r="AE740" s="595"/>
      <c r="AF740" s="443"/>
      <c r="AG740" s="832" t="str">
        <f>SUM(AG738:AG739)</f>
        <v>#REF!</v>
      </c>
      <c r="AH740" s="595"/>
      <c r="AI740" s="595"/>
      <c r="AJ740" s="595"/>
      <c r="AK740" s="595"/>
      <c r="AL740" s="595"/>
      <c r="AM740" s="595"/>
      <c r="AN740" s="595"/>
      <c r="AO740" s="595"/>
      <c r="AP740" s="443"/>
      <c r="AQ740" s="443"/>
      <c r="AR740" s="595"/>
      <c r="AS740" s="443"/>
      <c r="AT740" s="443"/>
      <c r="AU740" s="443"/>
      <c r="AV740" s="820"/>
      <c r="AW740" s="595"/>
      <c r="AX740" s="584"/>
      <c r="AY740" s="584"/>
      <c r="AZ740" s="584"/>
      <c r="BA740" s="584"/>
      <c r="BB740" s="584"/>
      <c r="BC740" s="584"/>
      <c r="BD740" s="584"/>
      <c r="BE740" s="584"/>
      <c r="BF740" s="584"/>
      <c r="BG740" s="584"/>
      <c r="BH740" s="584"/>
      <c r="BI740" s="597"/>
      <c r="BJ740" s="597"/>
      <c r="BK740" s="597"/>
      <c r="BL740" s="597"/>
      <c r="BM740" s="597"/>
      <c r="BN740" s="597"/>
      <c r="BO740" s="597"/>
      <c r="BP740" s="597"/>
      <c r="BQ740" s="597"/>
      <c r="BR740" s="597"/>
      <c r="BS740" s="597"/>
      <c r="BT740" s="597"/>
    </row>
    <row r="741" ht="12.75" customHeight="1">
      <c r="A741" s="583"/>
      <c r="B741" s="584"/>
      <c r="C741" s="347" t="s">
        <v>190</v>
      </c>
      <c r="D741" s="609"/>
      <c r="E741" s="585"/>
      <c r="F741" s="586"/>
      <c r="G741" s="587"/>
      <c r="H741" s="584"/>
      <c r="I741" s="373">
        <v>8.0</v>
      </c>
      <c r="J741" s="373">
        <v>2.0</v>
      </c>
      <c r="K741" s="374">
        <v>1.0</v>
      </c>
      <c r="L741" s="375">
        <v>2.0</v>
      </c>
      <c r="M741" s="588"/>
      <c r="N741" s="833"/>
      <c r="O741" s="584"/>
      <c r="P741" s="586"/>
      <c r="Q741" s="443"/>
      <c r="R741" s="587"/>
      <c r="S741" s="829"/>
      <c r="T741" s="831"/>
      <c r="U741" s="595"/>
      <c r="V741" s="830"/>
      <c r="W741" s="831"/>
      <c r="X741" s="443"/>
      <c r="Y741" s="595"/>
      <c r="Z741" s="595"/>
      <c r="AA741" s="595"/>
      <c r="AB741" s="354"/>
      <c r="AC741" s="584"/>
      <c r="AD741" s="595"/>
      <c r="AE741" s="595"/>
      <c r="AF741" s="443"/>
      <c r="AG741" s="354"/>
      <c r="AH741" s="595"/>
      <c r="AI741" s="595"/>
      <c r="AJ741" s="595"/>
      <c r="AK741" s="595"/>
      <c r="AL741" s="595"/>
      <c r="AM741" s="595"/>
      <c r="AN741" s="595"/>
      <c r="AO741" s="595"/>
      <c r="AP741" s="443"/>
      <c r="AQ741" s="443"/>
      <c r="AR741" s="595"/>
      <c r="AS741" s="443"/>
      <c r="AT741" s="443"/>
      <c r="AU741" s="443"/>
      <c r="AV741" s="820"/>
      <c r="AW741" s="595"/>
      <c r="AX741" s="584"/>
      <c r="AY741" s="584"/>
      <c r="AZ741" s="584"/>
      <c r="BA741" s="584"/>
      <c r="BB741" s="584"/>
      <c r="BC741" s="584"/>
      <c r="BD741" s="584"/>
      <c r="BE741" s="584"/>
      <c r="BF741" s="584"/>
      <c r="BG741" s="584"/>
      <c r="BH741" s="584"/>
      <c r="BI741" s="597"/>
      <c r="BJ741" s="597"/>
      <c r="BK741" s="597"/>
      <c r="BL741" s="597"/>
      <c r="BM741" s="597"/>
      <c r="BN741" s="597"/>
      <c r="BO741" s="597"/>
      <c r="BP741" s="597"/>
      <c r="BQ741" s="597"/>
      <c r="BR741" s="597"/>
      <c r="BS741" s="597"/>
      <c r="BT741" s="597"/>
    </row>
    <row r="742" ht="12.75" customHeight="1">
      <c r="A742" s="583"/>
      <c r="B742" s="584"/>
      <c r="C742" s="365" t="s">
        <v>191</v>
      </c>
      <c r="D742" s="844"/>
      <c r="E742" s="845"/>
      <c r="F742" s="846"/>
      <c r="G742" s="847"/>
      <c r="H742" s="848"/>
      <c r="I742" s="369">
        <f>I737*I739*I741*X757</f>
        <v>0</v>
      </c>
      <c r="J742" s="369">
        <f>J737*J739*J741*X757</f>
        <v>0</v>
      </c>
      <c r="K742" s="370">
        <f>K737*K739*K741*X757*X757</f>
        <v>0</v>
      </c>
      <c r="L742" s="371">
        <f>L737*L739*L741*X757</f>
        <v>0</v>
      </c>
      <c r="M742" s="850"/>
      <c r="N742" s="849">
        <f>SUM(I742:M742)</f>
        <v>0</v>
      </c>
      <c r="O742" s="584"/>
      <c r="P742" s="586"/>
      <c r="Q742" s="443"/>
      <c r="R742" s="587"/>
      <c r="S742" s="829"/>
      <c r="T742" s="831"/>
      <c r="U742" s="595"/>
      <c r="V742" s="830"/>
      <c r="W742" s="831"/>
      <c r="X742" s="443"/>
      <c r="Y742" s="595"/>
      <c r="Z742" s="595"/>
      <c r="AA742" s="595"/>
      <c r="AB742" s="354"/>
      <c r="AC742" s="584"/>
      <c r="AD742" s="346" t="s">
        <v>192</v>
      </c>
      <c r="AE742" s="595"/>
      <c r="AF742" s="443"/>
      <c r="AG742" s="832" t="str">
        <f>+AG740+AG736</f>
        <v>#REF!</v>
      </c>
      <c r="AH742" s="595"/>
      <c r="AI742" s="595"/>
      <c r="AJ742" s="595"/>
      <c r="AK742" s="595"/>
      <c r="AL742" s="595"/>
      <c r="AM742" s="595"/>
      <c r="AN742" s="595"/>
      <c r="AO742" s="595"/>
      <c r="AP742" s="443"/>
      <c r="AQ742" s="443"/>
      <c r="AR742" s="595"/>
      <c r="AS742" s="443"/>
      <c r="AT742" s="443"/>
      <c r="AU742" s="443"/>
      <c r="AV742" s="820"/>
      <c r="AW742" s="595"/>
      <c r="AX742" s="584"/>
      <c r="AY742" s="584"/>
      <c r="AZ742" s="584"/>
      <c r="BA742" s="584"/>
      <c r="BB742" s="584"/>
      <c r="BC742" s="584"/>
      <c r="BD742" s="584"/>
      <c r="BE742" s="584"/>
      <c r="BF742" s="584"/>
      <c r="BG742" s="584"/>
      <c r="BH742" s="584"/>
      <c r="BI742" s="597"/>
      <c r="BJ742" s="597"/>
      <c r="BK742" s="597"/>
      <c r="BL742" s="597"/>
      <c r="BM742" s="597"/>
      <c r="BN742" s="597"/>
      <c r="BO742" s="597"/>
      <c r="BP742" s="597"/>
      <c r="BQ742" s="597"/>
      <c r="BR742" s="597"/>
      <c r="BS742" s="597"/>
      <c r="BT742" s="597"/>
    </row>
    <row r="743" ht="12.75" customHeight="1">
      <c r="A743" s="583"/>
      <c r="B743" s="584"/>
      <c r="C743" s="851"/>
      <c r="D743" s="609"/>
      <c r="E743" s="585"/>
      <c r="F743" s="586"/>
      <c r="G743" s="587"/>
      <c r="H743" s="584"/>
      <c r="I743" s="443"/>
      <c r="J743" s="852"/>
      <c r="K743" s="853"/>
      <c r="L743" s="588"/>
      <c r="M743" s="588"/>
      <c r="N743" s="833"/>
      <c r="O743" s="584"/>
      <c r="P743" s="586"/>
      <c r="Q743" s="443"/>
      <c r="R743" s="587"/>
      <c r="S743" s="854" t="s">
        <v>193</v>
      </c>
      <c r="T743" s="379" t="str">
        <f>T739+T741</f>
        <v>#REF!</v>
      </c>
      <c r="U743" s="595"/>
      <c r="V743" s="378" t="s">
        <v>193</v>
      </c>
      <c r="W743" s="379" t="str">
        <f>W739+W741</f>
        <v>#REF!</v>
      </c>
      <c r="X743" s="443"/>
      <c r="Y743" s="595"/>
      <c r="Z743" s="595"/>
      <c r="AA743" s="595"/>
      <c r="AB743" s="354"/>
      <c r="AC743" s="584"/>
      <c r="AD743" s="346" t="s">
        <v>194</v>
      </c>
      <c r="AE743" s="595"/>
      <c r="AF743" s="855"/>
      <c r="AG743" s="843" t="str">
        <f>W748</f>
        <v>#REF!</v>
      </c>
      <c r="AH743" s="353" t="str">
        <f>AG743/AG742</f>
        <v>#REF!</v>
      </c>
      <c r="AI743" s="595"/>
      <c r="AJ743" s="595"/>
      <c r="AK743" s="595"/>
      <c r="AL743" s="595"/>
      <c r="AM743" s="595"/>
      <c r="AN743" s="595"/>
      <c r="AO743" s="595"/>
      <c r="AP743" s="443"/>
      <c r="AQ743" s="443"/>
      <c r="AR743" s="595"/>
      <c r="AS743" s="443"/>
      <c r="AT743" s="443"/>
      <c r="AU743" s="443"/>
      <c r="AV743" s="820"/>
      <c r="AW743" s="595"/>
      <c r="AX743" s="584"/>
      <c r="AY743" s="584"/>
      <c r="AZ743" s="584"/>
      <c r="BA743" s="584"/>
      <c r="BB743" s="584"/>
      <c r="BC743" s="584"/>
      <c r="BD743" s="584"/>
      <c r="BE743" s="584"/>
      <c r="BF743" s="584"/>
      <c r="BG743" s="584"/>
      <c r="BH743" s="584"/>
      <c r="BI743" s="597"/>
      <c r="BJ743" s="597"/>
      <c r="BK743" s="597"/>
      <c r="BL743" s="597"/>
      <c r="BM743" s="597"/>
      <c r="BN743" s="597"/>
      <c r="BO743" s="597"/>
      <c r="BP743" s="597"/>
      <c r="BQ743" s="597"/>
      <c r="BR743" s="597"/>
      <c r="BS743" s="597"/>
      <c r="BT743" s="597"/>
    </row>
    <row r="744" ht="12.75" customHeight="1">
      <c r="A744" s="856"/>
      <c r="B744" s="12" t="s">
        <v>176</v>
      </c>
      <c r="C744" s="329" t="s">
        <v>195</v>
      </c>
      <c r="D744" s="821"/>
      <c r="E744" s="822"/>
      <c r="F744" s="823"/>
      <c r="G744" s="824"/>
      <c r="H744" s="825"/>
      <c r="I744" s="333" t="s">
        <v>196</v>
      </c>
      <c r="J744" s="334" t="s">
        <v>197</v>
      </c>
      <c r="K744" s="335" t="s">
        <v>198</v>
      </c>
      <c r="L744" s="336" t="s">
        <v>199</v>
      </c>
      <c r="M744" s="337" t="s">
        <v>200</v>
      </c>
      <c r="N744" s="857" t="str">
        <f>SUM(N745:N749)</f>
        <v>#REF!</v>
      </c>
      <c r="O744" s="584"/>
      <c r="P744" s="586"/>
      <c r="Q744" s="443"/>
      <c r="R744" s="587"/>
      <c r="S744" s="354"/>
      <c r="T744" s="595"/>
      <c r="U744" s="443"/>
      <c r="V744" s="595"/>
      <c r="W744" s="595"/>
      <c r="X744" s="443"/>
      <c r="Y744" s="595"/>
      <c r="Z744" s="595"/>
      <c r="AA744" s="595"/>
      <c r="AB744" s="354"/>
      <c r="AC744" s="584"/>
      <c r="AD744" s="355" t="s">
        <v>201</v>
      </c>
      <c r="AE744" s="836"/>
      <c r="AF744" s="837"/>
      <c r="AG744" s="838" t="str">
        <f>SUM(AG742:AG743)</f>
        <v>#REF!</v>
      </c>
      <c r="AH744" s="836"/>
      <c r="AI744" s="595"/>
      <c r="AJ744" s="595"/>
      <c r="AK744" s="595"/>
      <c r="AL744" s="595"/>
      <c r="AM744" s="595"/>
      <c r="AN744" s="595"/>
      <c r="AO744" s="595"/>
      <c r="AP744" s="443"/>
      <c r="AQ744" s="443"/>
      <c r="AR744" s="595"/>
      <c r="AS744" s="443"/>
      <c r="AT744" s="443"/>
      <c r="AU744" s="443"/>
      <c r="AV744" s="820"/>
      <c r="AW744" s="595"/>
      <c r="AX744" s="584"/>
      <c r="AY744" s="584"/>
      <c r="AZ744" s="584"/>
      <c r="BA744" s="584"/>
      <c r="BB744" s="584"/>
      <c r="BC744" s="584"/>
      <c r="BD744" s="584"/>
      <c r="BE744" s="584"/>
      <c r="BF744" s="584"/>
      <c r="BG744" s="584"/>
      <c r="BH744" s="584"/>
      <c r="BI744" s="597"/>
      <c r="BJ744" s="597"/>
      <c r="BK744" s="597"/>
      <c r="BL744" s="597"/>
      <c r="BM744" s="597"/>
      <c r="BN744" s="597"/>
      <c r="BO744" s="597"/>
      <c r="BP744" s="597"/>
      <c r="BQ744" s="597"/>
      <c r="BR744" s="597"/>
      <c r="BS744" s="597"/>
      <c r="BT744" s="597"/>
    </row>
    <row r="745" ht="12.75" customHeight="1">
      <c r="A745" s="583"/>
      <c r="B745" s="584"/>
      <c r="C745" s="851"/>
      <c r="D745" s="609"/>
      <c r="E745" s="585"/>
      <c r="F745" s="586"/>
      <c r="G745" s="587"/>
      <c r="H745" s="584"/>
      <c r="I745" s="858" t="str">
        <f>IFERROR(__xludf.DUMMYFUNCTION("IF(
  D8="""",
  """",
  IFERROR(
    VLOOKUP(
      D8,
      IMPORTRANGE(
        ""1yRKiSiwTOx_Hj9DHPwpMhw9gK8bTY1IeLWGRh62hnCs"",
        ""Masterlist!E:M""
      ),
      9,
      FALSE
    )
  )
)"),"")</f>
        <v/>
      </c>
      <c r="J745" s="858">
        <v>4.0</v>
      </c>
      <c r="K745" s="859">
        <v>158.0</v>
      </c>
      <c r="L745" s="350">
        <v>0.0</v>
      </c>
      <c r="M745" s="350"/>
      <c r="N745" s="833"/>
      <c r="O745" s="584"/>
      <c r="P745" s="586"/>
      <c r="Q745" s="443"/>
      <c r="R745" s="860" t="s">
        <v>7</v>
      </c>
      <c r="S745" s="386" t="s">
        <v>202</v>
      </c>
      <c r="T745" s="386" t="s">
        <v>203</v>
      </c>
      <c r="U745" s="386" t="s">
        <v>186</v>
      </c>
      <c r="V745" s="387" t="s">
        <v>204</v>
      </c>
      <c r="W745" s="387" t="s">
        <v>194</v>
      </c>
      <c r="X745" s="387" t="s">
        <v>24</v>
      </c>
      <c r="Y745" s="861"/>
      <c r="Z745" s="861"/>
      <c r="AA745" s="861"/>
      <c r="AB745" s="862" t="s">
        <v>205</v>
      </c>
      <c r="AC745" s="584"/>
      <c r="AD745" s="595"/>
      <c r="AE745" s="595"/>
      <c r="AF745" s="443"/>
      <c r="AG745" s="354"/>
      <c r="AH745" s="595"/>
      <c r="AI745" s="595"/>
      <c r="AJ745" s="595"/>
      <c r="AK745" s="595"/>
      <c r="AL745" s="595"/>
      <c r="AM745" s="595"/>
      <c r="AN745" s="595"/>
      <c r="AO745" s="595"/>
      <c r="AP745" s="443"/>
      <c r="AQ745" s="443"/>
      <c r="AR745" s="595"/>
      <c r="AS745" s="443"/>
      <c r="AT745" s="443"/>
      <c r="AU745" s="443"/>
      <c r="AV745" s="820"/>
      <c r="AW745" s="595"/>
      <c r="AX745" s="584"/>
      <c r="AY745" s="584"/>
      <c r="AZ745" s="584"/>
      <c r="BA745" s="584"/>
      <c r="BB745" s="584"/>
      <c r="BC745" s="584"/>
      <c r="BD745" s="584"/>
      <c r="BE745" s="584"/>
      <c r="BF745" s="584"/>
      <c r="BG745" s="584"/>
      <c r="BH745" s="584"/>
      <c r="BI745" s="597"/>
      <c r="BJ745" s="597"/>
      <c r="BK745" s="597"/>
      <c r="BL745" s="597"/>
      <c r="BM745" s="597"/>
      <c r="BN745" s="597"/>
      <c r="BO745" s="597"/>
      <c r="BP745" s="597"/>
      <c r="BQ745" s="597"/>
      <c r="BR745" s="597"/>
      <c r="BS745" s="597"/>
      <c r="BT745" s="597"/>
    </row>
    <row r="746" ht="12.75" customHeight="1">
      <c r="A746" s="583"/>
      <c r="B746" s="584"/>
      <c r="C746" s="347" t="s">
        <v>26</v>
      </c>
      <c r="D746" s="609"/>
      <c r="E746" s="585"/>
      <c r="F746" s="586"/>
      <c r="G746" s="587"/>
      <c r="H746" s="584"/>
      <c r="I746" s="354" t="str">
        <f>$AC$758</f>
        <v>#REF!</v>
      </c>
      <c r="J746" s="354" t="str">
        <f>I746</f>
        <v>#REF!</v>
      </c>
      <c r="K746" s="390">
        <v>0.95</v>
      </c>
      <c r="L746" s="391">
        <v>1200.0</v>
      </c>
      <c r="M746" s="391">
        <v>120.0</v>
      </c>
      <c r="N746" s="833"/>
      <c r="O746" s="584"/>
      <c r="P746" s="586"/>
      <c r="Q746" s="392" t="str">
        <f>S746/S748</f>
        <v>#REF!</v>
      </c>
      <c r="R746" s="863" t="s">
        <v>206</v>
      </c>
      <c r="S746" s="864" t="str">
        <f>T733</f>
        <v>#REF!</v>
      </c>
      <c r="T746" s="394" t="str">
        <f>T736</f>
        <v>#REF!</v>
      </c>
      <c r="U746" s="394">
        <f>T737</f>
        <v>0</v>
      </c>
      <c r="V746" s="865"/>
      <c r="W746" s="396" t="str">
        <f>W749*Q746</f>
        <v>#REF!</v>
      </c>
      <c r="X746" s="866"/>
      <c r="Y746" s="867"/>
      <c r="Z746" s="867"/>
      <c r="AA746" s="867"/>
      <c r="AB746" s="868"/>
      <c r="AC746" s="584"/>
      <c r="AD746" s="595"/>
      <c r="AE746" s="595"/>
      <c r="AF746" s="443"/>
      <c r="AG746" s="354"/>
      <c r="AH746" s="595"/>
      <c r="AI746" s="595"/>
      <c r="AJ746" s="595"/>
      <c r="AK746" s="595"/>
      <c r="AL746" s="595"/>
      <c r="AM746" s="595"/>
      <c r="AN746" s="595"/>
      <c r="AO746" s="595"/>
      <c r="AP746" s="443"/>
      <c r="AQ746" s="443"/>
      <c r="AR746" s="595"/>
      <c r="AS746" s="443"/>
      <c r="AT746" s="443"/>
      <c r="AU746" s="443"/>
      <c r="AV746" s="820"/>
      <c r="AW746" s="595"/>
      <c r="AX746" s="584"/>
      <c r="AY746" s="584"/>
      <c r="AZ746" s="584"/>
      <c r="BA746" s="584"/>
      <c r="BB746" s="584"/>
      <c r="BC746" s="584"/>
      <c r="BD746" s="584"/>
      <c r="BE746" s="584"/>
      <c r="BF746" s="584"/>
      <c r="BG746" s="584"/>
      <c r="BH746" s="584"/>
      <c r="BI746" s="597"/>
      <c r="BJ746" s="597"/>
      <c r="BK746" s="597"/>
      <c r="BL746" s="597"/>
      <c r="BM746" s="597"/>
      <c r="BN746" s="597"/>
      <c r="BO746" s="597"/>
      <c r="BP746" s="597"/>
      <c r="BQ746" s="597"/>
      <c r="BR746" s="597"/>
      <c r="BS746" s="597"/>
      <c r="BT746" s="597"/>
    </row>
    <row r="747" ht="12.75" customHeight="1">
      <c r="A747" s="583"/>
      <c r="B747" s="584"/>
      <c r="C747" s="359" t="s">
        <v>188</v>
      </c>
      <c r="D747" s="609"/>
      <c r="E747" s="585"/>
      <c r="F747" s="586"/>
      <c r="G747" s="587"/>
      <c r="H747" s="584"/>
      <c r="I747" s="869">
        <v>2.0</v>
      </c>
      <c r="J747" s="869">
        <v>1.0</v>
      </c>
      <c r="K747" s="869">
        <v>2.0</v>
      </c>
      <c r="L747" s="401"/>
      <c r="M747" s="870">
        <v>1.0</v>
      </c>
      <c r="N747" s="833"/>
      <c r="O747" s="584"/>
      <c r="P747" s="586"/>
      <c r="Q747" s="392" t="str">
        <f>S747/S748</f>
        <v>#REF!</v>
      </c>
      <c r="R747" s="863" t="s">
        <v>185</v>
      </c>
      <c r="S747" s="871" t="str">
        <f>W733</f>
        <v>#REF!</v>
      </c>
      <c r="T747" s="866"/>
      <c r="U747" s="866" t="str">
        <f>W737</f>
        <v/>
      </c>
      <c r="V747" s="872"/>
      <c r="W747" s="396" t="str">
        <f>W749*Q747</f>
        <v>#REF!</v>
      </c>
      <c r="X747" s="866"/>
      <c r="Y747" s="867"/>
      <c r="Z747" s="867"/>
      <c r="AA747" s="867"/>
      <c r="AB747" s="868"/>
      <c r="AC747" s="584"/>
      <c r="AD747" s="595"/>
      <c r="AE747" s="595"/>
      <c r="AF747" s="443"/>
      <c r="AG747" s="354"/>
      <c r="AH747" s="595"/>
      <c r="AI747" s="595"/>
      <c r="AJ747" s="595"/>
      <c r="AK747" s="595"/>
      <c r="AL747" s="595"/>
      <c r="AM747" s="595"/>
      <c r="AN747" s="595"/>
      <c r="AO747" s="595"/>
      <c r="AP747" s="595"/>
      <c r="AQ747" s="595"/>
      <c r="AR747" s="595"/>
      <c r="AS747" s="595"/>
      <c r="AT747" s="595"/>
      <c r="AU747" s="595"/>
      <c r="AV747" s="595"/>
      <c r="AW747" s="595"/>
      <c r="AX747" s="595"/>
      <c r="AY747" s="595"/>
      <c r="AZ747" s="595"/>
      <c r="BA747" s="595"/>
      <c r="BB747" s="595"/>
      <c r="BC747" s="595"/>
      <c r="BD747" s="595"/>
      <c r="BE747" s="595"/>
      <c r="BF747" s="595"/>
      <c r="BG747" s="595"/>
      <c r="BH747" s="595"/>
      <c r="BI747" s="651"/>
      <c r="BJ747" s="651"/>
      <c r="BK747" s="651"/>
      <c r="BL747" s="651"/>
      <c r="BM747" s="651"/>
      <c r="BN747" s="651"/>
      <c r="BO747" s="651"/>
      <c r="BP747" s="651"/>
      <c r="BQ747" s="651"/>
      <c r="BR747" s="651"/>
      <c r="BS747" s="651"/>
      <c r="BT747" s="651"/>
    </row>
    <row r="748" ht="12.75" customHeight="1">
      <c r="A748" s="583"/>
      <c r="B748" s="584"/>
      <c r="C748" s="365" t="s">
        <v>189</v>
      </c>
      <c r="D748" s="844"/>
      <c r="E748" s="845"/>
      <c r="F748" s="846"/>
      <c r="G748" s="847"/>
      <c r="H748" s="848"/>
      <c r="I748" s="369" t="str">
        <f t="shared" ref="I748:M748" si="543">I746*I745*I747</f>
        <v>#REF!</v>
      </c>
      <c r="J748" s="369" t="str">
        <f t="shared" si="543"/>
        <v>#REF!</v>
      </c>
      <c r="K748" s="370">
        <f t="shared" si="543"/>
        <v>300.2</v>
      </c>
      <c r="L748" s="371">
        <f t="shared" si="543"/>
        <v>0</v>
      </c>
      <c r="M748" s="371">
        <f t="shared" si="543"/>
        <v>0</v>
      </c>
      <c r="N748" s="849" t="str">
        <f>SUM(I748:M748)</f>
        <v>#REF!</v>
      </c>
      <c r="O748" s="584"/>
      <c r="P748" s="586"/>
      <c r="Q748" s="443"/>
      <c r="R748" s="873" t="s">
        <v>207</v>
      </c>
      <c r="S748" s="874" t="str">
        <f>SUM(S746:S747)</f>
        <v>#REF!</v>
      </c>
      <c r="T748" s="405" t="str">
        <f>T736</f>
        <v>#REF!</v>
      </c>
      <c r="U748" s="405">
        <f>SUM(U746:U747)</f>
        <v>0</v>
      </c>
      <c r="V748" s="406" t="str">
        <f>W748/AE733</f>
        <v>#REF!</v>
      </c>
      <c r="W748" s="407" t="str">
        <f>SUM(W746:W747)</f>
        <v>#REF!</v>
      </c>
      <c r="X748" s="405" t="str">
        <f>N836</f>
        <v>#REF!</v>
      </c>
      <c r="Y748" s="875"/>
      <c r="Z748" s="875"/>
      <c r="AA748" s="875"/>
      <c r="AB748" s="876" t="str">
        <f>X748+W748+U748+T748+S748</f>
        <v>#REF!</v>
      </c>
      <c r="AC748" s="584"/>
      <c r="AD748" s="595"/>
      <c r="AE748" s="595"/>
      <c r="AF748" s="443"/>
      <c r="AG748" s="354"/>
      <c r="AH748" s="595"/>
      <c r="AI748" s="595"/>
      <c r="AJ748" s="595"/>
      <c r="AK748" s="595"/>
      <c r="AL748" s="595"/>
      <c r="AM748" s="595"/>
      <c r="AN748" s="595"/>
      <c r="AO748" s="595"/>
      <c r="AP748" s="595"/>
      <c r="AQ748" s="595"/>
      <c r="AR748" s="595"/>
      <c r="AS748" s="595"/>
      <c r="AT748" s="595"/>
      <c r="AU748" s="595"/>
      <c r="AV748" s="595"/>
      <c r="AW748" s="595"/>
      <c r="AX748" s="595"/>
      <c r="AY748" s="595"/>
      <c r="AZ748" s="595"/>
      <c r="BA748" s="595"/>
      <c r="BB748" s="595"/>
      <c r="BC748" s="595"/>
      <c r="BD748" s="595"/>
      <c r="BE748" s="595"/>
      <c r="BF748" s="595"/>
      <c r="BG748" s="595"/>
      <c r="BH748" s="595"/>
      <c r="BI748" s="651"/>
      <c r="BJ748" s="651"/>
      <c r="BK748" s="651"/>
      <c r="BL748" s="651"/>
      <c r="BM748" s="651"/>
      <c r="BN748" s="651"/>
      <c r="BO748" s="651"/>
      <c r="BP748" s="651"/>
      <c r="BQ748" s="651"/>
      <c r="BR748" s="651"/>
      <c r="BS748" s="651"/>
      <c r="BT748" s="651"/>
    </row>
    <row r="749" ht="12.75" customHeight="1">
      <c r="A749" s="583"/>
      <c r="B749" s="584"/>
      <c r="C749" s="851"/>
      <c r="D749" s="609"/>
      <c r="E749" s="585"/>
      <c r="F749" s="586"/>
      <c r="G749" s="587"/>
      <c r="H749" s="584"/>
      <c r="I749" s="584"/>
      <c r="J749" s="584"/>
      <c r="K749" s="586"/>
      <c r="L749" s="588"/>
      <c r="M749" s="588"/>
      <c r="N749" s="833"/>
      <c r="O749" s="584"/>
      <c r="P749" s="586"/>
      <c r="Q749" s="443"/>
      <c r="R749" s="587"/>
      <c r="S749" s="354"/>
      <c r="T749" s="595"/>
      <c r="U749" s="443"/>
      <c r="V749" s="410" t="str">
        <f>W749/AE733</f>
        <v>#REF!</v>
      </c>
      <c r="W749" s="411" t="str">
        <f>I859</f>
        <v>#REF!</v>
      </c>
      <c r="X749" s="443"/>
      <c r="Y749" s="595"/>
      <c r="Z749" s="595"/>
      <c r="AA749" s="595"/>
      <c r="AB749" s="354" t="str">
        <f>AB748=T756</f>
        <v>#REF!</v>
      </c>
      <c r="AC749" s="584"/>
      <c r="AD749" s="595"/>
      <c r="AE749" s="595"/>
      <c r="AF749" s="443"/>
      <c r="AG749" s="354"/>
      <c r="AH749" s="595"/>
      <c r="AI749" s="595"/>
      <c r="AJ749" s="595"/>
      <c r="AK749" s="595"/>
      <c r="AL749" s="595"/>
      <c r="AM749" s="595"/>
      <c r="AN749" s="595"/>
      <c r="AO749" s="595"/>
      <c r="AP749" s="595"/>
      <c r="AQ749" s="595"/>
      <c r="AR749" s="595"/>
      <c r="AS749" s="595"/>
      <c r="AT749" s="595"/>
      <c r="AU749" s="595"/>
      <c r="AV749" s="595"/>
      <c r="AW749" s="595"/>
      <c r="AX749" s="595"/>
      <c r="AY749" s="595"/>
      <c r="AZ749" s="595"/>
      <c r="BA749" s="595"/>
      <c r="BB749" s="595"/>
      <c r="BC749" s="595"/>
      <c r="BD749" s="595"/>
      <c r="BE749" s="595"/>
      <c r="BF749" s="595"/>
      <c r="BG749" s="595"/>
      <c r="BH749" s="595"/>
      <c r="BI749" s="651"/>
      <c r="BJ749" s="651"/>
      <c r="BK749" s="651"/>
      <c r="BL749" s="651"/>
      <c r="BM749" s="651"/>
      <c r="BN749" s="651"/>
      <c r="BO749" s="651"/>
      <c r="BP749" s="651"/>
      <c r="BQ749" s="651"/>
      <c r="BR749" s="651"/>
      <c r="BS749" s="651"/>
      <c r="BT749" s="651"/>
    </row>
    <row r="750" ht="12.75" customHeight="1">
      <c r="A750" s="583"/>
      <c r="B750" s="12" t="s">
        <v>176</v>
      </c>
      <c r="C750" s="412" t="s">
        <v>208</v>
      </c>
      <c r="D750" s="821"/>
      <c r="E750" s="822"/>
      <c r="F750" s="823"/>
      <c r="G750" s="824"/>
      <c r="H750" s="825"/>
      <c r="I750" s="333" t="s">
        <v>209</v>
      </c>
      <c r="J750" s="333" t="s">
        <v>210</v>
      </c>
      <c r="K750" s="877" t="s">
        <v>233</v>
      </c>
      <c r="L750" s="413" t="s">
        <v>212</v>
      </c>
      <c r="M750" s="878"/>
      <c r="N750" s="857">
        <f>SUM(N751:N759)</f>
        <v>1800</v>
      </c>
      <c r="O750" s="584"/>
      <c r="P750" s="586"/>
      <c r="Q750" s="584"/>
      <c r="R750" s="587"/>
      <c r="S750" s="354"/>
      <c r="T750" s="595"/>
      <c r="U750" s="443"/>
      <c r="V750" s="807"/>
      <c r="W750" s="595"/>
      <c r="X750" s="443"/>
      <c r="Y750" s="595"/>
      <c r="Z750" s="595"/>
      <c r="AA750" s="595"/>
      <c r="AB750" s="354"/>
      <c r="AC750" s="415">
        <v>1.0</v>
      </c>
      <c r="AD750" s="416" t="s">
        <v>213</v>
      </c>
      <c r="AE750" s="595"/>
      <c r="AF750" s="443"/>
      <c r="AG750" s="354"/>
      <c r="AH750" s="595"/>
      <c r="AI750" s="595"/>
      <c r="AJ750" s="595"/>
      <c r="AK750" s="595"/>
      <c r="AL750" s="595"/>
      <c r="AM750" s="595"/>
      <c r="AN750" s="595"/>
      <c r="AO750" s="595"/>
      <c r="AP750" s="595"/>
      <c r="AQ750" s="595"/>
      <c r="AR750" s="595"/>
      <c r="AS750" s="595"/>
      <c r="AT750" s="595"/>
      <c r="AU750" s="595"/>
      <c r="AV750" s="595"/>
      <c r="AW750" s="595"/>
      <c r="AX750" s="595"/>
      <c r="AY750" s="595"/>
      <c r="AZ750" s="595"/>
      <c r="BA750" s="595"/>
      <c r="BB750" s="595"/>
      <c r="BC750" s="595"/>
      <c r="BD750" s="595"/>
      <c r="BE750" s="595"/>
      <c r="BF750" s="595"/>
      <c r="BG750" s="595"/>
      <c r="BH750" s="595"/>
      <c r="BI750" s="651"/>
      <c r="BJ750" s="651"/>
      <c r="BK750" s="651"/>
      <c r="BL750" s="651"/>
      <c r="BM750" s="651"/>
      <c r="BN750" s="651"/>
      <c r="BO750" s="651"/>
      <c r="BP750" s="651"/>
      <c r="BQ750" s="651"/>
      <c r="BR750" s="651"/>
      <c r="BS750" s="651"/>
      <c r="BT750" s="651"/>
    </row>
    <row r="751" ht="12.75" customHeight="1">
      <c r="A751" s="583"/>
      <c r="B751" s="584"/>
      <c r="C751" s="851"/>
      <c r="D751" s="609"/>
      <c r="E751" s="585"/>
      <c r="F751" s="586"/>
      <c r="G751" s="587"/>
      <c r="H751" s="584"/>
      <c r="I751" s="879">
        <v>150.0</v>
      </c>
      <c r="J751" s="879">
        <v>150.0</v>
      </c>
      <c r="K751" s="879"/>
      <c r="L751" s="350">
        <v>150.0</v>
      </c>
      <c r="M751" s="588"/>
      <c r="N751" s="833"/>
      <c r="O751" s="584"/>
      <c r="P751" s="586"/>
      <c r="Q751" s="820"/>
      <c r="R751" s="880"/>
      <c r="S751" s="354"/>
      <c r="T751" s="595"/>
      <c r="U751" s="443"/>
      <c r="V751" s="417" t="s">
        <v>214</v>
      </c>
      <c r="W751" s="418">
        <f t="shared" ref="W751:W754" si="544">X751*AB751</f>
        <v>45</v>
      </c>
      <c r="X751" s="326">
        <v>1.0</v>
      </c>
      <c r="Y751" s="595"/>
      <c r="Z751" s="595"/>
      <c r="AA751" s="595"/>
      <c r="AB751" s="879">
        <v>45.0</v>
      </c>
      <c r="AC751" s="584"/>
      <c r="AD751" s="595"/>
      <c r="AE751" s="595"/>
      <c r="AF751" s="443"/>
      <c r="AG751" s="354"/>
      <c r="AH751" s="595"/>
      <c r="AI751" s="595"/>
      <c r="AJ751" s="595"/>
      <c r="AK751" s="595"/>
      <c r="AL751" s="595"/>
      <c r="AM751" s="595"/>
      <c r="AN751" s="595"/>
      <c r="AO751" s="595"/>
      <c r="AP751" s="595"/>
      <c r="AQ751" s="595"/>
      <c r="AR751" s="595"/>
      <c r="AS751" s="595"/>
      <c r="AT751" s="595"/>
      <c r="AU751" s="595"/>
      <c r="AV751" s="595"/>
      <c r="AW751" s="595"/>
      <c r="AX751" s="595"/>
      <c r="AY751" s="595"/>
      <c r="AZ751" s="595"/>
      <c r="BA751" s="595"/>
      <c r="BB751" s="595"/>
      <c r="BC751" s="595"/>
      <c r="BD751" s="595"/>
      <c r="BE751" s="595"/>
      <c r="BF751" s="595"/>
      <c r="BG751" s="595"/>
      <c r="BH751" s="595"/>
      <c r="BI751" s="651"/>
      <c r="BJ751" s="651"/>
      <c r="BK751" s="651"/>
      <c r="BL751" s="651"/>
      <c r="BM751" s="651"/>
      <c r="BN751" s="651"/>
      <c r="BO751" s="651"/>
      <c r="BP751" s="651"/>
      <c r="BQ751" s="651"/>
      <c r="BR751" s="651"/>
      <c r="BS751" s="651"/>
      <c r="BT751" s="651"/>
    </row>
    <row r="752" ht="12.75" customHeight="1">
      <c r="A752" s="583"/>
      <c r="B752" s="584"/>
      <c r="C752" s="359" t="s">
        <v>188</v>
      </c>
      <c r="D752" s="609"/>
      <c r="E752" s="585"/>
      <c r="F752" s="586"/>
      <c r="G752" s="587"/>
      <c r="H752" s="584"/>
      <c r="I752" s="881">
        <v>2.0</v>
      </c>
      <c r="J752" s="881">
        <v>4.0</v>
      </c>
      <c r="K752" s="881">
        <v>0.0</v>
      </c>
      <c r="L752" s="882">
        <v>6.0</v>
      </c>
      <c r="M752" s="840"/>
      <c r="N752" s="833"/>
      <c r="O752" s="584"/>
      <c r="P752" s="586"/>
      <c r="Q752" s="595"/>
      <c r="R752" s="883" t="str">
        <f>R751-T756</f>
        <v>#REF!</v>
      </c>
      <c r="S752" s="884" t="s">
        <v>206</v>
      </c>
      <c r="T752" s="422" t="str">
        <f t="shared" ref="T752:T753" si="546">S746+T746+U746</f>
        <v>#REF!</v>
      </c>
      <c r="U752" s="423" t="str">
        <f>T752/T756</f>
        <v>#REF!</v>
      </c>
      <c r="V752" s="424" t="s">
        <v>215</v>
      </c>
      <c r="W752" s="140">
        <f t="shared" si="544"/>
        <v>45</v>
      </c>
      <c r="X752" s="326">
        <v>1.0</v>
      </c>
      <c r="Y752" s="595"/>
      <c r="Z752" s="595"/>
      <c r="AA752" s="595"/>
      <c r="AB752" s="354">
        <v>45.0</v>
      </c>
      <c r="AC752" s="584"/>
      <c r="AD752" s="595"/>
      <c r="AE752" s="595"/>
      <c r="AF752" s="443"/>
      <c r="AG752" s="354"/>
      <c r="AH752" s="595"/>
      <c r="AI752" s="595"/>
      <c r="AJ752" s="595"/>
      <c r="AK752" s="595"/>
      <c r="AL752" s="595"/>
      <c r="AM752" s="595"/>
      <c r="AN752" s="595"/>
      <c r="AO752" s="595"/>
      <c r="AP752" s="595"/>
      <c r="AQ752" s="595"/>
      <c r="AR752" s="595"/>
      <c r="AS752" s="595"/>
      <c r="AT752" s="595"/>
      <c r="AU752" s="595"/>
      <c r="AV752" s="595"/>
      <c r="AW752" s="595"/>
      <c r="AX752" s="595"/>
      <c r="AY752" s="595"/>
      <c r="AZ752" s="595"/>
      <c r="BA752" s="595"/>
      <c r="BB752" s="595"/>
      <c r="BC752" s="595"/>
      <c r="BD752" s="595"/>
      <c r="BE752" s="595"/>
      <c r="BF752" s="595"/>
      <c r="BG752" s="595"/>
      <c r="BH752" s="595"/>
      <c r="BI752" s="651"/>
      <c r="BJ752" s="651"/>
      <c r="BK752" s="651"/>
      <c r="BL752" s="651"/>
      <c r="BM752" s="651"/>
      <c r="BN752" s="651"/>
      <c r="BO752" s="651"/>
      <c r="BP752" s="651"/>
      <c r="BQ752" s="651"/>
      <c r="BR752" s="651"/>
      <c r="BS752" s="651"/>
      <c r="BT752" s="651"/>
    </row>
    <row r="753" ht="12.75" customHeight="1">
      <c r="A753" s="583"/>
      <c r="B753" s="584"/>
      <c r="C753" s="365" t="s">
        <v>189</v>
      </c>
      <c r="D753" s="844"/>
      <c r="E753" s="845"/>
      <c r="F753" s="846"/>
      <c r="G753" s="847"/>
      <c r="H753" s="848"/>
      <c r="I753" s="369">
        <f t="shared" ref="I753:M753" si="545">I751*I752</f>
        <v>300</v>
      </c>
      <c r="J753" s="369">
        <f t="shared" si="545"/>
        <v>600</v>
      </c>
      <c r="K753" s="370">
        <f t="shared" si="545"/>
        <v>0</v>
      </c>
      <c r="L753" s="371">
        <f t="shared" si="545"/>
        <v>900</v>
      </c>
      <c r="M753" s="371">
        <f t="shared" si="545"/>
        <v>0</v>
      </c>
      <c r="N753" s="849">
        <f>SUM(I753:M753)</f>
        <v>1800</v>
      </c>
      <c r="O753" s="584"/>
      <c r="P753" s="586"/>
      <c r="Q753" s="595"/>
      <c r="R753" s="603"/>
      <c r="S753" s="885" t="s">
        <v>185</v>
      </c>
      <c r="T753" s="426" t="str">
        <f t="shared" si="546"/>
        <v>#REF!</v>
      </c>
      <c r="U753" s="423" t="str">
        <f>T753/T756</f>
        <v>#REF!</v>
      </c>
      <c r="V753" s="424" t="s">
        <v>216</v>
      </c>
      <c r="W753" s="140">
        <f t="shared" si="544"/>
        <v>35</v>
      </c>
      <c r="X753" s="326">
        <v>1.0</v>
      </c>
      <c r="Y753" s="595"/>
      <c r="Z753" s="595"/>
      <c r="AA753" s="595"/>
      <c r="AB753" s="879">
        <v>35.0</v>
      </c>
      <c r="AC753" s="584"/>
      <c r="AD753" s="595"/>
      <c r="AE753" s="595"/>
      <c r="AF753" s="443"/>
      <c r="AG753" s="354"/>
      <c r="AH753" s="595"/>
      <c r="AI753" s="595"/>
      <c r="AJ753" s="595"/>
      <c r="AK753" s="595"/>
      <c r="AL753" s="595"/>
      <c r="AM753" s="595"/>
      <c r="AN753" s="595"/>
      <c r="AO753" s="595"/>
      <c r="AP753" s="595"/>
      <c r="AQ753" s="595"/>
      <c r="AR753" s="595"/>
      <c r="AS753" s="595"/>
      <c r="AT753" s="595"/>
      <c r="AU753" s="595"/>
      <c r="AV753" s="595"/>
      <c r="AW753" s="595"/>
      <c r="AX753" s="595"/>
      <c r="AY753" s="595"/>
      <c r="AZ753" s="595"/>
      <c r="BA753" s="595"/>
      <c r="BB753" s="595"/>
      <c r="BC753" s="595"/>
      <c r="BD753" s="595"/>
      <c r="BE753" s="595"/>
      <c r="BF753" s="595"/>
      <c r="BG753" s="595"/>
      <c r="BH753" s="595"/>
      <c r="BI753" s="651"/>
      <c r="BJ753" s="651"/>
      <c r="BK753" s="651"/>
      <c r="BL753" s="651"/>
      <c r="BM753" s="651"/>
      <c r="BN753" s="651"/>
      <c r="BO753" s="651"/>
      <c r="BP753" s="651"/>
      <c r="BQ753" s="651"/>
      <c r="BR753" s="651"/>
      <c r="BS753" s="651"/>
      <c r="BT753" s="651"/>
    </row>
    <row r="754" ht="12.75" customHeight="1">
      <c r="A754" s="583"/>
      <c r="B754" s="584"/>
      <c r="C754" s="851"/>
      <c r="D754" s="609"/>
      <c r="E754" s="585"/>
      <c r="F754" s="586"/>
      <c r="G754" s="587"/>
      <c r="H754" s="584"/>
      <c r="I754" s="443"/>
      <c r="J754" s="806"/>
      <c r="K754" s="349"/>
      <c r="L754" s="588"/>
      <c r="M754" s="588"/>
      <c r="N754" s="833"/>
      <c r="O754" s="584"/>
      <c r="P754" s="586"/>
      <c r="Q754" s="595"/>
      <c r="R754" s="603"/>
      <c r="S754" s="885" t="s">
        <v>24</v>
      </c>
      <c r="T754" s="426" t="str">
        <f>N836</f>
        <v>#REF!</v>
      </c>
      <c r="U754" s="423" t="str">
        <f>T754/T756</f>
        <v>#REF!</v>
      </c>
      <c r="V754" s="424" t="s">
        <v>217</v>
      </c>
      <c r="W754" s="140">
        <f t="shared" si="544"/>
        <v>35</v>
      </c>
      <c r="X754" s="886">
        <v>1.0</v>
      </c>
      <c r="Y754" s="595"/>
      <c r="Z754" s="595"/>
      <c r="AA754" s="595"/>
      <c r="AB754" s="879">
        <v>35.0</v>
      </c>
      <c r="AC754" s="584"/>
      <c r="AD754" s="595"/>
      <c r="AE754" s="595"/>
      <c r="AF754" s="443"/>
      <c r="AG754" s="354"/>
      <c r="AH754" s="595"/>
      <c r="AI754" s="595"/>
      <c r="AJ754" s="595"/>
      <c r="AK754" s="595"/>
      <c r="AL754" s="595"/>
      <c r="AM754" s="595"/>
      <c r="AN754" s="595"/>
      <c r="AO754" s="595"/>
      <c r="AP754" s="595"/>
      <c r="AQ754" s="595"/>
      <c r="AR754" s="595"/>
      <c r="AS754" s="595"/>
      <c r="AT754" s="595"/>
      <c r="AU754" s="595"/>
      <c r="AV754" s="595"/>
      <c r="AW754" s="595"/>
      <c r="AX754" s="595"/>
      <c r="AY754" s="595"/>
      <c r="AZ754" s="595"/>
      <c r="BA754" s="595"/>
      <c r="BB754" s="595"/>
      <c r="BC754" s="595"/>
      <c r="BD754" s="595"/>
      <c r="BE754" s="595"/>
      <c r="BF754" s="595"/>
      <c r="BG754" s="595"/>
      <c r="BH754" s="595"/>
      <c r="BI754" s="651"/>
      <c r="BJ754" s="651"/>
      <c r="BK754" s="651"/>
      <c r="BL754" s="651"/>
      <c r="BM754" s="651"/>
      <c r="BN754" s="651"/>
      <c r="BO754" s="651"/>
      <c r="BP754" s="651"/>
      <c r="BQ754" s="651"/>
      <c r="BR754" s="651"/>
      <c r="BS754" s="651"/>
      <c r="BT754" s="651"/>
    </row>
    <row r="755" ht="12.75" customHeight="1">
      <c r="A755" s="583"/>
      <c r="B755" s="584"/>
      <c r="C755" s="851"/>
      <c r="D755" s="609"/>
      <c r="E755" s="585"/>
      <c r="F755" s="586"/>
      <c r="G755" s="587"/>
      <c r="H755" s="584"/>
      <c r="I755" s="887"/>
      <c r="J755" s="887"/>
      <c r="K755" s="333"/>
      <c r="L755" s="878"/>
      <c r="M755" s="878"/>
      <c r="N755" s="833"/>
      <c r="O755" s="584"/>
      <c r="P755" s="586"/>
      <c r="Q755" s="595"/>
      <c r="R755" s="603"/>
      <c r="S755" s="885" t="s">
        <v>194</v>
      </c>
      <c r="T755" s="428" t="str">
        <f>I859</f>
        <v>#REF!</v>
      </c>
      <c r="U755" s="423" t="str">
        <f>T755/T756</f>
        <v>#REF!</v>
      </c>
      <c r="V755" s="424" t="s">
        <v>218</v>
      </c>
      <c r="W755" s="140">
        <f t="shared" ref="W755:X755" si="547">SUM(W751:W754)</f>
        <v>160</v>
      </c>
      <c r="X755" s="326">
        <f t="shared" si="547"/>
        <v>4</v>
      </c>
      <c r="Y755" s="595"/>
      <c r="Z755" s="595"/>
      <c r="AA755" s="595"/>
      <c r="AB755" s="354"/>
      <c r="AC755" s="584"/>
      <c r="AD755" s="595"/>
      <c r="AE755" s="595"/>
      <c r="AF755" s="443"/>
      <c r="AG755" s="354"/>
      <c r="AH755" s="595"/>
      <c r="AI755" s="595"/>
      <c r="AJ755" s="595"/>
      <c r="AK755" s="595"/>
      <c r="AL755" s="595"/>
      <c r="AM755" s="595"/>
      <c r="AN755" s="595"/>
      <c r="AO755" s="595"/>
      <c r="AP755" s="595"/>
      <c r="AQ755" s="595"/>
      <c r="AR755" s="595"/>
      <c r="AS755" s="595"/>
      <c r="AT755" s="595"/>
      <c r="AU755" s="595"/>
      <c r="AV755" s="595"/>
      <c r="AW755" s="595"/>
      <c r="AX755" s="595"/>
      <c r="AY755" s="595"/>
      <c r="AZ755" s="595"/>
      <c r="BA755" s="595"/>
      <c r="BB755" s="595"/>
      <c r="BC755" s="595"/>
      <c r="BD755" s="595"/>
      <c r="BE755" s="595"/>
      <c r="BF755" s="595"/>
      <c r="BG755" s="595"/>
      <c r="BH755" s="595"/>
      <c r="BI755" s="651"/>
      <c r="BJ755" s="651"/>
      <c r="BK755" s="651"/>
      <c r="BL755" s="651"/>
      <c r="BM755" s="651"/>
      <c r="BN755" s="651"/>
      <c r="BO755" s="651"/>
      <c r="BP755" s="651"/>
      <c r="BQ755" s="651"/>
      <c r="BR755" s="651"/>
      <c r="BS755" s="651"/>
      <c r="BT755" s="651"/>
    </row>
    <row r="756" ht="12.75" customHeight="1">
      <c r="A756" s="583"/>
      <c r="B756" s="584"/>
      <c r="C756" s="347" t="s">
        <v>219</v>
      </c>
      <c r="D756" s="609"/>
      <c r="E756" s="585"/>
      <c r="F756" s="586"/>
      <c r="G756" s="587"/>
      <c r="H756" s="584"/>
      <c r="I756" s="595"/>
      <c r="J756" s="595"/>
      <c r="K756" s="354"/>
      <c r="L756" s="588"/>
      <c r="M756" s="588"/>
      <c r="N756" s="833"/>
      <c r="O756" s="584"/>
      <c r="P756" s="586"/>
      <c r="Q756" s="595"/>
      <c r="R756" s="888" t="str">
        <f>U762=T756</f>
        <v>#REF!</v>
      </c>
      <c r="S756" s="889" t="s">
        <v>207</v>
      </c>
      <c r="T756" s="430" t="str">
        <f>SUM(T752:T755)</f>
        <v>#REF!</v>
      </c>
      <c r="U756" s="431" t="s">
        <v>220</v>
      </c>
      <c r="V756" s="890">
        <v>0.15</v>
      </c>
      <c r="W756" s="140">
        <f>W755*(1+V756)</f>
        <v>184</v>
      </c>
      <c r="X756" s="443"/>
      <c r="Y756" s="595"/>
      <c r="Z756" s="595"/>
      <c r="AA756" s="595"/>
      <c r="AB756" s="354"/>
      <c r="AC756" s="584"/>
      <c r="AD756" s="595"/>
      <c r="AE756" s="595"/>
      <c r="AF756" s="443"/>
      <c r="AG756" s="354"/>
      <c r="AH756" s="595"/>
      <c r="AI756" s="595"/>
      <c r="AJ756" s="595"/>
      <c r="AK756" s="595"/>
      <c r="AL756" s="595"/>
      <c r="AM756" s="595"/>
      <c r="AN756" s="595"/>
      <c r="AO756" s="595"/>
      <c r="AP756" s="595"/>
      <c r="AQ756" s="595"/>
      <c r="AR756" s="595"/>
      <c r="AS756" s="595"/>
      <c r="AT756" s="595"/>
      <c r="AU756" s="595"/>
      <c r="AV756" s="595"/>
      <c r="AW756" s="595"/>
      <c r="AX756" s="595"/>
      <c r="AY756" s="595"/>
      <c r="AZ756" s="595"/>
      <c r="BA756" s="595"/>
      <c r="BB756" s="595"/>
      <c r="BC756" s="595"/>
      <c r="BD756" s="595"/>
      <c r="BE756" s="595"/>
      <c r="BF756" s="595"/>
      <c r="BG756" s="595"/>
      <c r="BH756" s="595"/>
      <c r="BI756" s="651"/>
      <c r="BJ756" s="651"/>
      <c r="BK756" s="651"/>
      <c r="BL756" s="651"/>
      <c r="BM756" s="651"/>
      <c r="BN756" s="651"/>
      <c r="BO756" s="651"/>
      <c r="BP756" s="651"/>
      <c r="BQ756" s="651"/>
      <c r="BR756" s="651"/>
      <c r="BS756" s="651"/>
      <c r="BT756" s="651"/>
    </row>
    <row r="757" ht="12.75" customHeight="1">
      <c r="A757" s="583"/>
      <c r="B757" s="584"/>
      <c r="C757" s="359" t="s">
        <v>188</v>
      </c>
      <c r="D757" s="609"/>
      <c r="E757" s="585"/>
      <c r="F757" s="586"/>
      <c r="G757" s="587"/>
      <c r="H757" s="584"/>
      <c r="I757" s="839"/>
      <c r="J757" s="839"/>
      <c r="K757" s="419"/>
      <c r="L757" s="840"/>
      <c r="M757" s="840"/>
      <c r="N757" s="833"/>
      <c r="O757" s="584"/>
      <c r="P757" s="586"/>
      <c r="Q757" s="595"/>
      <c r="R757" s="603"/>
      <c r="S757" s="354"/>
      <c r="T757" s="595"/>
      <c r="U757" s="443"/>
      <c r="V757" s="433" t="s">
        <v>221</v>
      </c>
      <c r="W757" s="434" t="str">
        <f>W739/W756/W765</f>
        <v>#REF!</v>
      </c>
      <c r="X757" s="443"/>
      <c r="Y757" s="595"/>
      <c r="Z757" s="595"/>
      <c r="AA757" s="595"/>
      <c r="AB757" s="354"/>
      <c r="AC757" s="700"/>
      <c r="AD757" s="435" t="str">
        <f>W757*W765*X755</f>
        <v>#REF!</v>
      </c>
      <c r="AE757" s="595"/>
      <c r="AF757" s="443"/>
      <c r="AG757" s="354"/>
      <c r="AH757" s="595"/>
      <c r="AI757" s="595"/>
      <c r="AJ757" s="595"/>
      <c r="AK757" s="595"/>
      <c r="AL757" s="595"/>
      <c r="AM757" s="595"/>
      <c r="AN757" s="595"/>
      <c r="AO757" s="595"/>
      <c r="AP757" s="595"/>
      <c r="AQ757" s="595"/>
      <c r="AR757" s="595"/>
      <c r="AS757" s="595"/>
      <c r="AT757" s="595"/>
      <c r="AU757" s="595"/>
      <c r="AV757" s="595"/>
      <c r="AW757" s="595"/>
      <c r="AX757" s="595"/>
      <c r="AY757" s="595"/>
      <c r="AZ757" s="595"/>
      <c r="BA757" s="595"/>
      <c r="BB757" s="595"/>
      <c r="BC757" s="595"/>
      <c r="BD757" s="595"/>
      <c r="BE757" s="595"/>
      <c r="BF757" s="595"/>
      <c r="BG757" s="595"/>
      <c r="BH757" s="595"/>
      <c r="BI757" s="651"/>
      <c r="BJ757" s="651"/>
      <c r="BK757" s="651"/>
      <c r="BL757" s="651"/>
      <c r="BM757" s="651"/>
      <c r="BN757" s="651"/>
      <c r="BO757" s="651"/>
      <c r="BP757" s="651"/>
      <c r="BQ757" s="651"/>
      <c r="BR757" s="651"/>
      <c r="BS757" s="651"/>
      <c r="BT757" s="651"/>
    </row>
    <row r="758" ht="12.75" customHeight="1">
      <c r="A758" s="583"/>
      <c r="B758" s="584"/>
      <c r="C758" s="365" t="s">
        <v>189</v>
      </c>
      <c r="D758" s="844"/>
      <c r="E758" s="845"/>
      <c r="F758" s="846"/>
      <c r="G758" s="847"/>
      <c r="H758" s="848"/>
      <c r="I758" s="436">
        <f t="shared" ref="I758:K758" si="548">I756*I757</f>
        <v>0</v>
      </c>
      <c r="J758" s="436">
        <f t="shared" si="548"/>
        <v>0</v>
      </c>
      <c r="K758" s="437">
        <f t="shared" si="548"/>
        <v>0</v>
      </c>
      <c r="L758" s="371">
        <f>SUM(L757)</f>
        <v>0</v>
      </c>
      <c r="M758" s="371">
        <f>M756*M757</f>
        <v>0</v>
      </c>
      <c r="N758" s="849">
        <f>SUM(I758:M758)</f>
        <v>0</v>
      </c>
      <c r="O758" s="584"/>
      <c r="P758" s="586"/>
      <c r="Q758" s="595"/>
      <c r="R758" s="891"/>
      <c r="S758" s="439" t="s">
        <v>222</v>
      </c>
      <c r="T758" s="440" t="s">
        <v>223</v>
      </c>
      <c r="U758" s="441" t="s">
        <v>27</v>
      </c>
      <c r="V758" s="595"/>
      <c r="W758" s="442" t="str">
        <f>W757/5</f>
        <v>#REF!</v>
      </c>
      <c r="X758" s="443" t="s">
        <v>224</v>
      </c>
      <c r="Y758" s="595"/>
      <c r="Z758" s="595"/>
      <c r="AA758" s="892"/>
      <c r="AB758" s="893"/>
      <c r="AC758" s="446" t="str">
        <f>W739/W757/X755/W765</f>
        <v>#REF!</v>
      </c>
      <c r="AD758" s="447" t="str">
        <f>AC758*AD757</f>
        <v>#REF!</v>
      </c>
      <c r="AE758" s="443" t="s">
        <v>202</v>
      </c>
      <c r="AF758" s="443"/>
      <c r="AG758" s="354"/>
      <c r="AH758" s="595"/>
      <c r="AI758" s="595"/>
      <c r="AJ758" s="595"/>
      <c r="AK758" s="595"/>
      <c r="AL758" s="595"/>
      <c r="AM758" s="595"/>
      <c r="AN758" s="595"/>
      <c r="AO758" s="595"/>
      <c r="AP758" s="595"/>
      <c r="AQ758" s="595"/>
      <c r="AR758" s="595"/>
      <c r="AS758" s="595"/>
      <c r="AT758" s="595"/>
      <c r="AU758" s="595"/>
      <c r="AV758" s="595"/>
      <c r="AW758" s="595"/>
      <c r="AX758" s="595"/>
      <c r="AY758" s="595"/>
      <c r="AZ758" s="595"/>
      <c r="BA758" s="595"/>
      <c r="BB758" s="595"/>
      <c r="BC758" s="595"/>
      <c r="BD758" s="595"/>
      <c r="BE758" s="595"/>
      <c r="BF758" s="595"/>
      <c r="BG758" s="595"/>
      <c r="BH758" s="595"/>
      <c r="BI758" s="651"/>
      <c r="BJ758" s="651"/>
      <c r="BK758" s="651"/>
      <c r="BL758" s="651"/>
      <c r="BM758" s="651"/>
      <c r="BN758" s="651"/>
      <c r="BO758" s="651"/>
      <c r="BP758" s="651"/>
      <c r="BQ758" s="651"/>
      <c r="BR758" s="651"/>
      <c r="BS758" s="651"/>
      <c r="BT758" s="651"/>
    </row>
    <row r="759" ht="12.75" customHeight="1">
      <c r="A759" s="583"/>
      <c r="B759" s="584"/>
      <c r="C759" s="851"/>
      <c r="D759" s="609"/>
      <c r="E759" s="585"/>
      <c r="F759" s="586"/>
      <c r="G759" s="587"/>
      <c r="H759" s="584"/>
      <c r="I759" s="443"/>
      <c r="J759" s="806"/>
      <c r="K759" s="354"/>
      <c r="L759" s="588"/>
      <c r="M759" s="588"/>
      <c r="N759" s="833"/>
      <c r="O759" s="584"/>
      <c r="P759" s="586"/>
      <c r="Q759" s="584"/>
      <c r="R759" s="894" t="s">
        <v>210</v>
      </c>
      <c r="S759" s="895" t="str">
        <f>IFERROR(__xludf.DUMMYFUNCTION("SUMPRODUCT(
(REGEXMATCH(R770:R888,""(?i)\b(R-Sheeting|R-TS|R-TPO|R-KS)\b""))*
(NOT(REGEXMATCH(R770:R888,""(?i)\b(xxxxxxxxx)\b"")))*
(T770:T888)
)"),"#REF!")</f>
        <v>#REF!</v>
      </c>
      <c r="T759" s="450" t="str">
        <f t="shared" ref="T759:T761" si="549">U759/S759</f>
        <v>#REF!</v>
      </c>
      <c r="U759" s="713" t="str">
        <f>AM733</f>
        <v/>
      </c>
      <c r="V759" s="451" t="s">
        <v>225</v>
      </c>
      <c r="W759" s="452" t="str">
        <f>Y891+AM827+BA807</f>
        <v>#REF!</v>
      </c>
      <c r="X759" s="443"/>
      <c r="Y759" s="595"/>
      <c r="Z759" s="595"/>
      <c r="AA759" s="892"/>
      <c r="AB759" s="893"/>
      <c r="AC759" s="446" t="str">
        <f>W743/W757/X755/W765</f>
        <v>#REF!</v>
      </c>
      <c r="AD759" s="447" t="str">
        <f>AC759*AD757</f>
        <v>#REF!</v>
      </c>
      <c r="AE759" s="443" t="s">
        <v>226</v>
      </c>
      <c r="AF759" s="443"/>
      <c r="AG759" s="354"/>
      <c r="AH759" s="595"/>
      <c r="AI759" s="595"/>
      <c r="AJ759" s="595"/>
      <c r="AK759" s="595"/>
      <c r="AL759" s="595"/>
      <c r="AM759" s="595"/>
      <c r="AN759" s="595"/>
      <c r="AO759" s="595"/>
      <c r="AP759" s="595"/>
      <c r="AQ759" s="595"/>
      <c r="AR759" s="595"/>
      <c r="AS759" s="595"/>
      <c r="AT759" s="595"/>
      <c r="AU759" s="595"/>
      <c r="AV759" s="595"/>
      <c r="AW759" s="595"/>
      <c r="AX759" s="595"/>
      <c r="AY759" s="595"/>
      <c r="AZ759" s="595"/>
      <c r="BA759" s="595"/>
      <c r="BB759" s="595"/>
      <c r="BC759" s="595"/>
      <c r="BD759" s="595"/>
      <c r="BE759" s="595"/>
      <c r="BF759" s="595"/>
      <c r="BG759" s="595"/>
      <c r="BH759" s="595"/>
      <c r="BI759" s="651"/>
      <c r="BJ759" s="651"/>
      <c r="BK759" s="651"/>
      <c r="BL759" s="651"/>
      <c r="BM759" s="651"/>
      <c r="BN759" s="651"/>
      <c r="BO759" s="651"/>
      <c r="BP759" s="651"/>
      <c r="BQ759" s="651"/>
      <c r="BR759" s="651"/>
      <c r="BS759" s="651"/>
      <c r="BT759" s="651"/>
    </row>
    <row r="760" ht="12.75" customHeight="1">
      <c r="A760" s="583"/>
      <c r="B760" s="12" t="s">
        <v>176</v>
      </c>
      <c r="C760" s="412" t="s">
        <v>227</v>
      </c>
      <c r="D760" s="821"/>
      <c r="E760" s="822"/>
      <c r="F760" s="823"/>
      <c r="G760" s="824"/>
      <c r="H760" s="825"/>
      <c r="I760" s="333" t="s">
        <v>228</v>
      </c>
      <c r="J760" s="333" t="s">
        <v>229</v>
      </c>
      <c r="K760" s="333" t="s">
        <v>230</v>
      </c>
      <c r="L760" s="413" t="s">
        <v>231</v>
      </c>
      <c r="M760" s="413" t="s">
        <v>232</v>
      </c>
      <c r="N760" s="857">
        <f>SUM(N761:N764)</f>
        <v>0</v>
      </c>
      <c r="O760" s="584"/>
      <c r="P760" s="586"/>
      <c r="Q760" s="595"/>
      <c r="R760" s="894" t="s">
        <v>233</v>
      </c>
      <c r="S760" s="895" t="str">
        <f>IFERROR(__xludf.DUMMYFUNCTION("SUMPRODUCT(
(REGEXMATCH(AF768:AF826,""(?i)\b(W-Sheeting|W-TS|W-TPO|W-KS)\b""))*
(NOT(REGEXMATCH(AF768:AF826,""(?i)\b(xxxxxxxxx)\b"")))*
(AH768:AH826)
)"),"#REF!")</f>
        <v>#REF!</v>
      </c>
      <c r="T760" s="450" t="str">
        <f t="shared" si="549"/>
        <v>#REF!</v>
      </c>
      <c r="U760" s="713" t="str">
        <f>AN733</f>
        <v/>
      </c>
      <c r="V760" s="595"/>
      <c r="W760" s="453" t="str">
        <f>W759/5</f>
        <v>#REF!</v>
      </c>
      <c r="X760" s="443" t="s">
        <v>224</v>
      </c>
      <c r="Y760" s="595"/>
      <c r="Z760" s="595"/>
      <c r="AA760" s="892"/>
      <c r="AB760" s="893"/>
      <c r="AC760" s="584"/>
      <c r="AD760" s="454" t="str">
        <f>AD759-AD758</f>
        <v>#REF!</v>
      </c>
      <c r="AE760" s="443"/>
      <c r="AF760" s="443"/>
      <c r="AG760" s="354"/>
      <c r="AH760" s="595"/>
      <c r="AI760" s="595"/>
      <c r="AJ760" s="595"/>
      <c r="AK760" s="595"/>
      <c r="AL760" s="595"/>
      <c r="AM760" s="595"/>
      <c r="AN760" s="595"/>
      <c r="AO760" s="595"/>
      <c r="AP760" s="595"/>
      <c r="AQ760" s="595"/>
      <c r="AR760" s="595"/>
      <c r="AS760" s="595"/>
      <c r="AT760" s="595"/>
      <c r="AU760" s="595"/>
      <c r="AV760" s="595"/>
      <c r="AW760" s="595"/>
      <c r="AX760" s="595"/>
      <c r="AY760" s="595"/>
      <c r="AZ760" s="595"/>
      <c r="BA760" s="595"/>
      <c r="BB760" s="595"/>
      <c r="BC760" s="595"/>
      <c r="BD760" s="595"/>
      <c r="BE760" s="595"/>
      <c r="BF760" s="595"/>
      <c r="BG760" s="595"/>
      <c r="BH760" s="595"/>
      <c r="BI760" s="651"/>
      <c r="BJ760" s="651"/>
      <c r="BK760" s="651"/>
      <c r="BL760" s="651"/>
      <c r="BM760" s="651"/>
      <c r="BN760" s="651"/>
      <c r="BO760" s="651"/>
      <c r="BP760" s="651"/>
      <c r="BQ760" s="651"/>
      <c r="BR760" s="651"/>
      <c r="BS760" s="651"/>
      <c r="BT760" s="651"/>
    </row>
    <row r="761" ht="12.75" customHeight="1">
      <c r="A761" s="583"/>
      <c r="B761" s="584"/>
      <c r="C761" s="347" t="s">
        <v>26</v>
      </c>
      <c r="D761" s="609"/>
      <c r="E761" s="585"/>
      <c r="F761" s="586"/>
      <c r="G761" s="587"/>
      <c r="H761" s="584"/>
      <c r="I761" s="354">
        <v>0.0</v>
      </c>
      <c r="J761" s="354">
        <v>0.0</v>
      </c>
      <c r="K761" s="354">
        <v>0.0</v>
      </c>
      <c r="L761" s="350">
        <v>0.0</v>
      </c>
      <c r="M761" s="350">
        <v>0.0</v>
      </c>
      <c r="N761" s="833"/>
      <c r="O761" s="584"/>
      <c r="P761" s="586"/>
      <c r="Q761" s="595"/>
      <c r="R761" s="894" t="s">
        <v>234</v>
      </c>
      <c r="S761" s="895">
        <f>IFERROR(__xludf.DUMMYFUNCTION("SUMPRODUCT(
(REGEXMATCH(AT768:AT806,""(?i)\b(S-Sheeting|S-TS|S-TPO|S-KS)\b""))*
(NOT(REGEXMATCH(AT768:AT806,""(?i)\b(xxxxxxxxx)\b"")))*
(AV768:AV806)
)"),0.0)</f>
        <v>0</v>
      </c>
      <c r="T761" s="450" t="str">
        <f t="shared" si="549"/>
        <v>#DIV/0!</v>
      </c>
      <c r="U761" s="896"/>
      <c r="V761" s="595"/>
      <c r="W761" s="453" t="str">
        <f>W760/4</f>
        <v>#REF!</v>
      </c>
      <c r="X761" s="443" t="s">
        <v>235</v>
      </c>
      <c r="Y761" s="443"/>
      <c r="Z761" s="443"/>
      <c r="AA761" s="443"/>
      <c r="AB761" s="349"/>
      <c r="AC761" s="443"/>
      <c r="AD761" s="595"/>
      <c r="AE761" s="443"/>
      <c r="AF761" s="443"/>
      <c r="AG761" s="354"/>
      <c r="AH761" s="595"/>
      <c r="AI761" s="595"/>
      <c r="AJ761" s="595"/>
      <c r="AK761" s="595"/>
      <c r="AL761" s="595"/>
      <c r="AM761" s="595"/>
      <c r="AN761" s="595"/>
      <c r="AO761" s="595"/>
      <c r="AP761" s="595"/>
      <c r="AQ761" s="595"/>
      <c r="AR761" s="595"/>
      <c r="AS761" s="595"/>
      <c r="AT761" s="595"/>
      <c r="AU761" s="595"/>
      <c r="AV761" s="595"/>
      <c r="AW761" s="595"/>
      <c r="AX761" s="595"/>
      <c r="AY761" s="595"/>
      <c r="AZ761" s="595"/>
      <c r="BA761" s="595"/>
      <c r="BB761" s="595"/>
      <c r="BC761" s="595"/>
      <c r="BD761" s="595"/>
      <c r="BE761" s="595"/>
      <c r="BF761" s="595"/>
      <c r="BG761" s="595"/>
      <c r="BH761" s="595"/>
      <c r="BI761" s="651"/>
      <c r="BJ761" s="651"/>
      <c r="BK761" s="651"/>
      <c r="BL761" s="651"/>
      <c r="BM761" s="651"/>
      <c r="BN761" s="651"/>
      <c r="BO761" s="651"/>
      <c r="BP761" s="651"/>
      <c r="BQ761" s="651"/>
      <c r="BR761" s="651"/>
      <c r="BS761" s="651"/>
      <c r="BT761" s="651"/>
    </row>
    <row r="762" ht="12.75" customHeight="1">
      <c r="A762" s="583"/>
      <c r="B762" s="584"/>
      <c r="C762" s="359" t="s">
        <v>188</v>
      </c>
      <c r="D762" s="609"/>
      <c r="E762" s="585"/>
      <c r="F762" s="586"/>
      <c r="G762" s="587"/>
      <c r="H762" s="584"/>
      <c r="I762" s="400">
        <v>1.0</v>
      </c>
      <c r="J762" s="400">
        <v>1.0</v>
      </c>
      <c r="K762" s="400">
        <v>1.0</v>
      </c>
      <c r="L762" s="401">
        <v>1.0</v>
      </c>
      <c r="M762" s="401">
        <v>1.0</v>
      </c>
      <c r="N762" s="833"/>
      <c r="O762" s="584"/>
      <c r="P762" s="586"/>
      <c r="Q762" s="595"/>
      <c r="R762" s="897" t="s">
        <v>207</v>
      </c>
      <c r="S762" s="898" t="str">
        <f>SUM(S759:S761)</f>
        <v>#REF!</v>
      </c>
      <c r="T762" s="459" t="str">
        <f>T756/S762</f>
        <v>#REF!</v>
      </c>
      <c r="U762" s="460" t="str">
        <f>T762*S762</f>
        <v>#REF!</v>
      </c>
      <c r="V762" s="595"/>
      <c r="W762" s="595"/>
      <c r="X762" s="443"/>
      <c r="Y762" s="443"/>
      <c r="Z762" s="443"/>
      <c r="AA762" s="443"/>
      <c r="AB762" s="349"/>
      <c r="AC762" s="443"/>
      <c r="AD762" s="344" t="str">
        <f>W757*X755*(55*1.25)*W765</f>
        <v>#REF!</v>
      </c>
      <c r="AE762" s="443"/>
      <c r="AF762" s="443"/>
      <c r="AG762" s="354"/>
      <c r="AH762" s="595"/>
      <c r="AI762" s="595"/>
      <c r="AJ762" s="595"/>
      <c r="AK762" s="595"/>
      <c r="AL762" s="595"/>
      <c r="AM762" s="595"/>
      <c r="AN762" s="595"/>
      <c r="AO762" s="595"/>
      <c r="AP762" s="595"/>
      <c r="AQ762" s="595"/>
      <c r="AR762" s="595"/>
      <c r="AS762" s="595"/>
      <c r="AT762" s="595"/>
      <c r="AU762" s="595"/>
      <c r="AV762" s="595"/>
      <c r="AW762" s="595"/>
      <c r="AX762" s="595"/>
      <c r="AY762" s="595"/>
      <c r="AZ762" s="595"/>
      <c r="BA762" s="595"/>
      <c r="BB762" s="595"/>
      <c r="BC762" s="595"/>
      <c r="BD762" s="595"/>
      <c r="BE762" s="595"/>
      <c r="BF762" s="595"/>
      <c r="BG762" s="595"/>
      <c r="BH762" s="595"/>
      <c r="BI762" s="651"/>
      <c r="BJ762" s="651"/>
      <c r="BK762" s="651"/>
      <c r="BL762" s="651"/>
      <c r="BM762" s="651"/>
      <c r="BN762" s="651"/>
      <c r="BO762" s="651"/>
      <c r="BP762" s="651"/>
      <c r="BQ762" s="651"/>
      <c r="BR762" s="651"/>
      <c r="BS762" s="651"/>
      <c r="BT762" s="651"/>
    </row>
    <row r="763" ht="12.75" customHeight="1">
      <c r="A763" s="583"/>
      <c r="B763" s="584"/>
      <c r="C763" s="365" t="s">
        <v>189</v>
      </c>
      <c r="D763" s="844"/>
      <c r="E763" s="845"/>
      <c r="F763" s="846"/>
      <c r="G763" s="847"/>
      <c r="H763" s="848"/>
      <c r="I763" s="369">
        <f t="shared" ref="I763:M763" si="550">I761*I762</f>
        <v>0</v>
      </c>
      <c r="J763" s="369">
        <f t="shared" si="550"/>
        <v>0</v>
      </c>
      <c r="K763" s="370">
        <f t="shared" si="550"/>
        <v>0</v>
      </c>
      <c r="L763" s="371">
        <f t="shared" si="550"/>
        <v>0</v>
      </c>
      <c r="M763" s="371">
        <f t="shared" si="550"/>
        <v>0</v>
      </c>
      <c r="N763" s="849">
        <f>SUM(I763:M763)</f>
        <v>0</v>
      </c>
      <c r="O763" s="584"/>
      <c r="P763" s="586"/>
      <c r="Q763" s="595"/>
      <c r="R763" s="587"/>
      <c r="S763" s="354"/>
      <c r="T763" s="595"/>
      <c r="U763" s="443"/>
      <c r="V763" s="595"/>
      <c r="W763" s="595"/>
      <c r="X763" s="443"/>
      <c r="Y763" s="443"/>
      <c r="Z763" s="443"/>
      <c r="AA763" s="443"/>
      <c r="AB763" s="349"/>
      <c r="AC763" s="584"/>
      <c r="AD763" s="595"/>
      <c r="AE763" s="595"/>
      <c r="AF763" s="443"/>
      <c r="AG763" s="354"/>
      <c r="AH763" s="595"/>
      <c r="AI763" s="595"/>
      <c r="AJ763" s="595"/>
      <c r="AK763" s="595"/>
      <c r="AL763" s="595"/>
      <c r="AM763" s="595"/>
      <c r="AN763" s="595"/>
      <c r="AO763" s="595"/>
      <c r="AP763" s="443"/>
      <c r="AQ763" s="443"/>
      <c r="AR763" s="443"/>
      <c r="AS763" s="595"/>
      <c r="AT763" s="443"/>
      <c r="AU763" s="443"/>
      <c r="AV763" s="443"/>
      <c r="AW763" s="820"/>
      <c r="AX763" s="595"/>
      <c r="AY763" s="584"/>
      <c r="AZ763" s="584"/>
      <c r="BA763" s="584"/>
      <c r="BB763" s="584"/>
      <c r="BC763" s="584"/>
      <c r="BD763" s="584"/>
      <c r="BE763" s="584"/>
      <c r="BF763" s="584"/>
      <c r="BG763" s="584"/>
      <c r="BH763" s="584"/>
      <c r="BI763" s="584"/>
      <c r="BJ763" s="597"/>
      <c r="BK763" s="597"/>
      <c r="BL763" s="597"/>
      <c r="BM763" s="597"/>
      <c r="BN763" s="597"/>
      <c r="BO763" s="597"/>
      <c r="BP763" s="597"/>
      <c r="BQ763" s="597"/>
      <c r="BR763" s="597"/>
      <c r="BS763" s="597"/>
      <c r="BT763" s="597"/>
    </row>
    <row r="764" ht="12.75" customHeight="1">
      <c r="A764" s="583"/>
      <c r="B764" s="584"/>
      <c r="C764" s="851"/>
      <c r="D764" s="609"/>
      <c r="E764" s="585"/>
      <c r="F764" s="586"/>
      <c r="G764" s="587"/>
      <c r="H764" s="584"/>
      <c r="I764" s="443"/>
      <c r="J764" s="806"/>
      <c r="K764" s="354"/>
      <c r="L764" s="588"/>
      <c r="M764" s="588"/>
      <c r="N764" s="833"/>
      <c r="O764" s="584"/>
      <c r="P764" s="899"/>
      <c r="Q764" s="900"/>
      <c r="R764" s="461" t="s">
        <v>236</v>
      </c>
      <c r="S764" s="354"/>
      <c r="T764" s="595"/>
      <c r="U764" s="443"/>
      <c r="V764" s="595"/>
      <c r="W764" s="595"/>
      <c r="X764" s="443"/>
      <c r="Y764" s="443"/>
      <c r="Z764" s="443"/>
      <c r="AA764" s="443"/>
      <c r="AB764" s="354"/>
      <c r="AC764" s="595"/>
      <c r="AD764" s="900"/>
      <c r="AE764" s="901"/>
      <c r="AF764" s="901" t="s">
        <v>237</v>
      </c>
      <c r="AG764" s="354"/>
      <c r="AH764" s="443"/>
      <c r="AI764" s="595"/>
      <c r="AJ764" s="595"/>
      <c r="AK764" s="443"/>
      <c r="AL764" s="443"/>
      <c r="AM764" s="443"/>
      <c r="AN764" s="443"/>
      <c r="AO764" s="595"/>
      <c r="AP764" s="605"/>
      <c r="AQ764" s="595"/>
      <c r="AR764" s="605"/>
      <c r="AS764" s="461"/>
      <c r="AT764" s="461" t="s">
        <v>238</v>
      </c>
      <c r="AU764" s="595"/>
      <c r="AV764" s="443"/>
      <c r="AW764" s="595"/>
      <c r="AX764" s="595"/>
      <c r="AY764" s="443"/>
      <c r="AZ764" s="443"/>
      <c r="BA764" s="443"/>
      <c r="BB764" s="443"/>
      <c r="BC764" s="584"/>
      <c r="BD764" s="584"/>
      <c r="BE764" s="584"/>
      <c r="BF764" s="584"/>
      <c r="BG764" s="584"/>
      <c r="BH764" s="584"/>
      <c r="BI764" s="584"/>
      <c r="BJ764" s="584"/>
      <c r="BK764" s="584"/>
      <c r="BL764" s="584"/>
      <c r="BM764" s="584"/>
      <c r="BN764" s="597"/>
      <c r="BO764" s="597"/>
      <c r="BP764" s="597"/>
      <c r="BQ764" s="597"/>
      <c r="BR764" s="597"/>
      <c r="BS764" s="597"/>
      <c r="BT764" s="597"/>
    </row>
    <row r="765">
      <c r="A765" s="583"/>
      <c r="B765" s="12" t="s">
        <v>176</v>
      </c>
      <c r="C765" s="412" t="s">
        <v>239</v>
      </c>
      <c r="D765" s="821"/>
      <c r="E765" s="822"/>
      <c r="F765" s="823"/>
      <c r="G765" s="824"/>
      <c r="H765" s="825"/>
      <c r="I765" s="333" t="s">
        <v>240</v>
      </c>
      <c r="J765" s="334" t="s">
        <v>241</v>
      </c>
      <c r="K765" s="335" t="s">
        <v>242</v>
      </c>
      <c r="L765" s="878"/>
      <c r="M765" s="337" t="s">
        <v>243</v>
      </c>
      <c r="N765" s="826">
        <f>SUM(N766:N770)</f>
        <v>0</v>
      </c>
      <c r="O765" s="902">
        <f>N765+N736</f>
        <v>0</v>
      </c>
      <c r="P765" s="903" t="s">
        <v>580</v>
      </c>
      <c r="Q765" s="904"/>
      <c r="R765" s="905"/>
      <c r="S765" s="439"/>
      <c r="T765" s="623"/>
      <c r="U765" s="621"/>
      <c r="V765" s="623"/>
      <c r="W765" s="462">
        <v>8.0</v>
      </c>
      <c r="X765" s="621"/>
      <c r="Y765" s="621"/>
      <c r="Z765" s="906"/>
      <c r="AA765" s="623"/>
      <c r="AB765" s="623"/>
      <c r="AC765" s="595"/>
      <c r="AD765" s="903" t="s">
        <v>580</v>
      </c>
      <c r="AE765" s="904"/>
      <c r="AF765" s="907"/>
      <c r="AG765" s="439"/>
      <c r="AH765" s="623"/>
      <c r="AI765" s="621"/>
      <c r="AJ765" s="623"/>
      <c r="AK765" s="462">
        <v>8.0</v>
      </c>
      <c r="AL765" s="621"/>
      <c r="AM765" s="621"/>
      <c r="AN765" s="906"/>
      <c r="AO765" s="623"/>
      <c r="AP765" s="623"/>
      <c r="AQ765" s="595"/>
      <c r="AR765" s="903" t="s">
        <v>580</v>
      </c>
      <c r="AS765" s="904"/>
      <c r="AT765" s="907"/>
      <c r="AU765" s="623"/>
      <c r="AV765" s="623"/>
      <c r="AW765" s="621"/>
      <c r="AX765" s="623"/>
      <c r="AY765" s="462">
        <v>8.0</v>
      </c>
      <c r="AZ765" s="621"/>
      <c r="BA765" s="621"/>
      <c r="BB765" s="906"/>
      <c r="BC765" s="624"/>
      <c r="BD765" s="584"/>
      <c r="BE765" s="584"/>
      <c r="BF765" s="584"/>
      <c r="BG765" s="584"/>
      <c r="BH765" s="584"/>
      <c r="BI765" s="584"/>
      <c r="BJ765" s="584"/>
      <c r="BK765" s="584"/>
      <c r="BL765" s="584"/>
      <c r="BM765" s="584"/>
      <c r="BN765" s="584"/>
      <c r="BO765" s="597"/>
      <c r="BP765" s="597"/>
      <c r="BQ765" s="597"/>
      <c r="BR765" s="597"/>
      <c r="BS765" s="597"/>
      <c r="BT765" s="597"/>
    </row>
    <row r="766">
      <c r="A766" s="583"/>
      <c r="B766" s="584"/>
      <c r="C766" s="851"/>
      <c r="D766" s="609"/>
      <c r="E766" s="585"/>
      <c r="F766" s="586"/>
      <c r="G766" s="587"/>
      <c r="H766" s="584"/>
      <c r="I766" s="382">
        <v>10.0</v>
      </c>
      <c r="J766" s="382">
        <v>0.5</v>
      </c>
      <c r="K766" s="465">
        <v>1.0</v>
      </c>
      <c r="L766" s="840"/>
      <c r="M766" s="391">
        <v>1.0</v>
      </c>
      <c r="N766" s="833"/>
      <c r="O766" s="908">
        <f>O765/6</f>
        <v>0</v>
      </c>
      <c r="P766" s="909"/>
      <c r="Q766" s="910"/>
      <c r="R766" s="911"/>
      <c r="S766" s="912"/>
      <c r="T766" s="469" t="s">
        <v>244</v>
      </c>
      <c r="U766" s="470" t="s">
        <v>245</v>
      </c>
      <c r="V766" s="912" t="s">
        <v>26</v>
      </c>
      <c r="W766" s="472" t="s">
        <v>246</v>
      </c>
      <c r="X766" s="474" t="s">
        <v>247</v>
      </c>
      <c r="Y766" s="474" t="s">
        <v>248</v>
      </c>
      <c r="Z766" s="475" t="s">
        <v>27</v>
      </c>
      <c r="AA766" s="913" t="s">
        <v>249</v>
      </c>
      <c r="AB766" s="913" t="s">
        <v>581</v>
      </c>
      <c r="AC766" s="595"/>
      <c r="AD766" s="909"/>
      <c r="AE766" s="910"/>
      <c r="AF766" s="914"/>
      <c r="AG766" s="912"/>
      <c r="AH766" s="469" t="s">
        <v>244</v>
      </c>
      <c r="AI766" s="470" t="s">
        <v>245</v>
      </c>
      <c r="AJ766" s="912" t="s">
        <v>26</v>
      </c>
      <c r="AK766" s="472" t="s">
        <v>246</v>
      </c>
      <c r="AL766" s="474" t="s">
        <v>247</v>
      </c>
      <c r="AM766" s="474" t="s">
        <v>248</v>
      </c>
      <c r="AN766" s="475" t="s">
        <v>27</v>
      </c>
      <c r="AO766" s="913" t="s">
        <v>249</v>
      </c>
      <c r="AP766" s="913" t="s">
        <v>581</v>
      </c>
      <c r="AQ766" s="595"/>
      <c r="AR766" s="909"/>
      <c r="AS766" s="910"/>
      <c r="AT766" s="914"/>
      <c r="AU766" s="471"/>
      <c r="AV766" s="469" t="s">
        <v>244</v>
      </c>
      <c r="AW766" s="470" t="s">
        <v>245</v>
      </c>
      <c r="AX766" s="912" t="s">
        <v>26</v>
      </c>
      <c r="AY766" s="472" t="s">
        <v>246</v>
      </c>
      <c r="AZ766" s="474" t="s">
        <v>247</v>
      </c>
      <c r="BA766" s="474" t="s">
        <v>248</v>
      </c>
      <c r="BB766" s="475" t="s">
        <v>27</v>
      </c>
      <c r="BC766" s="476" t="s">
        <v>249</v>
      </c>
      <c r="BD766" s="584"/>
      <c r="BE766" s="584"/>
      <c r="BF766" s="584"/>
      <c r="BG766" s="584"/>
      <c r="BH766" s="584"/>
      <c r="BI766" s="584"/>
      <c r="BJ766" s="584"/>
      <c r="BK766" s="584"/>
      <c r="BL766" s="584"/>
      <c r="BM766" s="584"/>
      <c r="BN766" s="584"/>
      <c r="BO766" s="597"/>
      <c r="BP766" s="597"/>
      <c r="BQ766" s="597"/>
      <c r="BR766" s="597"/>
      <c r="BS766" s="597"/>
      <c r="BT766" s="597"/>
    </row>
    <row r="767">
      <c r="A767" s="583"/>
      <c r="B767" s="584"/>
      <c r="C767" s="347" t="s">
        <v>26</v>
      </c>
      <c r="D767" s="609"/>
      <c r="E767" s="585"/>
      <c r="F767" s="586"/>
      <c r="G767" s="587"/>
      <c r="H767" s="584"/>
      <c r="I767" s="443"/>
      <c r="J767" s="595"/>
      <c r="K767" s="354"/>
      <c r="L767" s="588"/>
      <c r="M767" s="588"/>
      <c r="N767" s="833"/>
      <c r="O767" s="590"/>
      <c r="P767" s="915" t="s">
        <v>582</v>
      </c>
      <c r="Q767" s="916" t="b">
        <f>Q768=Q769</f>
        <v>0</v>
      </c>
      <c r="R767" s="917" t="s">
        <v>250</v>
      </c>
      <c r="S767" s="918" t="s">
        <v>251</v>
      </c>
      <c r="T767" s="919"/>
      <c r="U767" s="480">
        <f t="shared" ref="U767:U886" si="551">$X$755</f>
        <v>4</v>
      </c>
      <c r="V767" s="481" t="str">
        <f t="shared" ref="V767:V886" si="552">AC$758</f>
        <v>#REF!</v>
      </c>
      <c r="W767" s="919"/>
      <c r="X767" s="919"/>
      <c r="Y767" s="920"/>
      <c r="Z767" s="483" t="str">
        <f t="shared" ref="Z767:Z769" si="553">Y767*V767*U767*W$765</f>
        <v>#REF!</v>
      </c>
      <c r="AA767" s="921"/>
      <c r="AB767" s="921"/>
      <c r="AC767" s="595"/>
      <c r="AD767" s="922" t="s">
        <v>582</v>
      </c>
      <c r="AE767" s="923" t="b">
        <f>AE768=AE769</f>
        <v>0</v>
      </c>
      <c r="AF767" s="917" t="s">
        <v>250</v>
      </c>
      <c r="AG767" s="918" t="s">
        <v>251</v>
      </c>
      <c r="AH767" s="919"/>
      <c r="AI767" s="480">
        <f t="shared" ref="AI767:AI771" si="554">$X$755</f>
        <v>4</v>
      </c>
      <c r="AJ767" s="924" t="str">
        <f t="shared" ref="AJ767:AJ768" si="555">AC$758</f>
        <v>#REF!</v>
      </c>
      <c r="AK767" s="919"/>
      <c r="AL767" s="919"/>
      <c r="AM767" s="920"/>
      <c r="AN767" s="483" t="str">
        <f t="shared" ref="AN767:AN771" si="556">AM767*AJ767*AI767*AK$765</f>
        <v>#REF!</v>
      </c>
      <c r="AO767" s="921"/>
      <c r="AP767" s="925" t="str">
        <f t="shared" ref="AP767:AP826" si="557">iferror(VLOOKUP(AF767,$D$15:$U$730,18,false),"")</f>
        <v/>
      </c>
      <c r="AQ767" s="595"/>
      <c r="AR767" s="922" t="s">
        <v>582</v>
      </c>
      <c r="AS767" s="923" t="b">
        <f>AS768=AS769</f>
        <v>1</v>
      </c>
      <c r="AT767" s="917" t="s">
        <v>250</v>
      </c>
      <c r="AU767" s="478" t="s">
        <v>251</v>
      </c>
      <c r="AV767" s="919"/>
      <c r="AW767" s="480">
        <f t="shared" ref="AW767:AW768" si="558">$X$755</f>
        <v>4</v>
      </c>
      <c r="AX767" s="921" t="str">
        <f t="shared" ref="AX767:AX768" si="559">AY$758</f>
        <v/>
      </c>
      <c r="AY767" s="919"/>
      <c r="AZ767" s="919"/>
      <c r="BA767" s="920"/>
      <c r="BB767" s="483">
        <f t="shared" ref="BB767:BB768" si="560">BA767*AX767*AW767*AY$765</f>
        <v>0</v>
      </c>
      <c r="BC767" s="926"/>
      <c r="BD767" s="584"/>
      <c r="BE767" s="584"/>
      <c r="BF767" s="584"/>
      <c r="BG767" s="584"/>
      <c r="BH767" s="584"/>
      <c r="BI767" s="584"/>
      <c r="BJ767" s="584"/>
      <c r="BK767" s="584"/>
      <c r="BL767" s="584"/>
      <c r="BM767" s="584"/>
      <c r="BN767" s="584"/>
      <c r="BO767" s="597"/>
      <c r="BP767" s="597"/>
      <c r="BQ767" s="597"/>
      <c r="BR767" s="597"/>
      <c r="BS767" s="597"/>
      <c r="BT767" s="597"/>
    </row>
    <row r="768">
      <c r="A768" s="583"/>
      <c r="B768" s="584"/>
      <c r="C768" s="359" t="s">
        <v>188</v>
      </c>
      <c r="D768" s="609"/>
      <c r="E768" s="585"/>
      <c r="F768" s="586"/>
      <c r="G768" s="587"/>
      <c r="H768" s="584"/>
      <c r="I768" s="839"/>
      <c r="J768" s="839"/>
      <c r="K768" s="419"/>
      <c r="L768" s="840"/>
      <c r="M768" s="840"/>
      <c r="N768" s="833"/>
      <c r="O768" s="590"/>
      <c r="P768" s="927">
        <f>COUNTIF(P770:P882,"=0")</f>
        <v>4</v>
      </c>
      <c r="Q768" s="928">
        <f>COUNTIF(T770:T890,"&gt;0")</f>
        <v>31</v>
      </c>
      <c r="R768" s="929" t="s">
        <v>252</v>
      </c>
      <c r="S768" s="930" t="s">
        <v>251</v>
      </c>
      <c r="T768" s="488"/>
      <c r="U768" s="489">
        <f t="shared" si="551"/>
        <v>4</v>
      </c>
      <c r="V768" s="490" t="str">
        <f t="shared" si="552"/>
        <v>#REF!</v>
      </c>
      <c r="W768" s="491">
        <f>(20/6)*$X$755</f>
        <v>13.33333333</v>
      </c>
      <c r="X768" s="489">
        <f t="shared" ref="X768:X769" si="562">W768*W$765</f>
        <v>106.6666667</v>
      </c>
      <c r="Y768" s="492">
        <f t="shared" ref="Y768:Y769" si="563">ROUNDUP(T768/X768,2)</f>
        <v>0</v>
      </c>
      <c r="Z768" s="493" t="str">
        <f t="shared" si="553"/>
        <v>#REF!</v>
      </c>
      <c r="AA768" s="931" t="str">
        <f t="shared" ref="AA768:AA774" si="564">iferror(Z768/T768,"")</f>
        <v/>
      </c>
      <c r="AB768" s="925" t="str">
        <f t="shared" ref="AB768:AB888" si="565">iferror(VLOOKUP(R768,$D$15:$U$730,18,false),"")</f>
        <v/>
      </c>
      <c r="AC768" s="595"/>
      <c r="AD768" s="927">
        <f>COUNTIF(AD770:AD829,"=0")</f>
        <v>3</v>
      </c>
      <c r="AE768" s="928">
        <f>countif(AH768:AH826,"&gt;0")</f>
        <v>17</v>
      </c>
      <c r="AF768" s="929" t="s">
        <v>343</v>
      </c>
      <c r="AG768" s="932" t="s">
        <v>55</v>
      </c>
      <c r="AH768" s="488">
        <f t="shared" ref="AH768:AH826" si="566">sumif($D$13:$D$730,AF768,$Q$13:$Q$730)</f>
        <v>0</v>
      </c>
      <c r="AI768" s="489">
        <f t="shared" si="554"/>
        <v>4</v>
      </c>
      <c r="AJ768" s="490" t="str">
        <f t="shared" si="555"/>
        <v>#REF!</v>
      </c>
      <c r="AK768" s="491">
        <f>(6/2)*$X$755</f>
        <v>12</v>
      </c>
      <c r="AL768" s="489">
        <f t="shared" ref="AL768:AL771" si="567">AK768*AK$765</f>
        <v>96</v>
      </c>
      <c r="AM768" s="492">
        <f t="shared" ref="AM768:AM771" si="568">ROUNDUP(AH768/AL768,2)</f>
        <v>0</v>
      </c>
      <c r="AN768" s="493" t="str">
        <f t="shared" si="556"/>
        <v>#REF!</v>
      </c>
      <c r="AO768" s="931" t="str">
        <f t="shared" ref="AO768:AO778" si="569">iferror(AN768/AH768,"")</f>
        <v/>
      </c>
      <c r="AP768" s="925" t="str">
        <f t="shared" si="557"/>
        <v/>
      </c>
      <c r="AQ768" s="595"/>
      <c r="AR768" s="927">
        <f>COUNTIF(AR770:AR807,"=0")</f>
        <v>0</v>
      </c>
      <c r="AS768" s="928">
        <f>countif(AV768:AV805,"&gt;0")</f>
        <v>0</v>
      </c>
      <c r="AT768" s="929" t="s">
        <v>301</v>
      </c>
      <c r="AU768" s="487" t="s">
        <v>41</v>
      </c>
      <c r="AV768" s="488">
        <f t="shared" ref="AV768:AV806" si="570">sumif($D$13:$D$730,AT768,$Q$13:$Q$730)</f>
        <v>0</v>
      </c>
      <c r="AW768" s="489">
        <f t="shared" si="558"/>
        <v>4</v>
      </c>
      <c r="AX768" s="924" t="str">
        <f t="shared" si="559"/>
        <v/>
      </c>
      <c r="AY768" s="491">
        <f>(15/4)*$X$755</f>
        <v>15</v>
      </c>
      <c r="AZ768" s="489">
        <f>AY768*AY$765</f>
        <v>120</v>
      </c>
      <c r="BA768" s="492">
        <f>ROUNDUP(AV768/AZ768,2)</f>
        <v>0</v>
      </c>
      <c r="BB768" s="493">
        <f t="shared" si="560"/>
        <v>0</v>
      </c>
      <c r="BC768" s="494" t="str">
        <f t="shared" ref="BC768:BC806" si="571">iferror(BB768/AV768,"")</f>
        <v/>
      </c>
      <c r="BD768" s="595"/>
      <c r="BE768" s="595"/>
      <c r="BF768" s="595"/>
      <c r="BG768" s="595"/>
      <c r="BH768" s="595"/>
      <c r="BI768" s="595"/>
      <c r="BJ768" s="595"/>
      <c r="BK768" s="595"/>
      <c r="BL768" s="595"/>
      <c r="BM768" s="595"/>
      <c r="BN768" s="595"/>
      <c r="BO768" s="651"/>
      <c r="BP768" s="651"/>
      <c r="BQ768" s="651"/>
      <c r="BR768" s="651"/>
      <c r="BS768" s="651"/>
      <c r="BT768" s="651"/>
    </row>
    <row r="769">
      <c r="A769" s="583"/>
      <c r="B769" s="584"/>
      <c r="C769" s="365" t="s">
        <v>189</v>
      </c>
      <c r="D769" s="844"/>
      <c r="E769" s="845"/>
      <c r="F769" s="846"/>
      <c r="G769" s="847"/>
      <c r="H769" s="848"/>
      <c r="I769" s="369">
        <f t="shared" ref="I769:M769" si="561">I767*I766*I768</f>
        <v>0</v>
      </c>
      <c r="J769" s="369">
        <f t="shared" si="561"/>
        <v>0</v>
      </c>
      <c r="K769" s="370">
        <f t="shared" si="561"/>
        <v>0</v>
      </c>
      <c r="L769" s="371">
        <f t="shared" si="561"/>
        <v>0</v>
      </c>
      <c r="M769" s="371">
        <f t="shared" si="561"/>
        <v>0</v>
      </c>
      <c r="N769" s="849">
        <f>SUM(I769:M769)</f>
        <v>0</v>
      </c>
      <c r="O769" s="590"/>
      <c r="P769" s="933"/>
      <c r="Q769" s="934">
        <f>COUNTA(Q770:Q882)</f>
        <v>35</v>
      </c>
      <c r="R769" s="929" t="s">
        <v>253</v>
      </c>
      <c r="S769" s="930" t="s">
        <v>251</v>
      </c>
      <c r="T769" s="488"/>
      <c r="U769" s="489">
        <f t="shared" si="551"/>
        <v>4</v>
      </c>
      <c r="V769" s="490" t="str">
        <f t="shared" si="552"/>
        <v>#REF!</v>
      </c>
      <c r="W769" s="491">
        <f>(3/6)*$X$755</f>
        <v>2</v>
      </c>
      <c r="X769" s="489">
        <f t="shared" si="562"/>
        <v>16</v>
      </c>
      <c r="Y769" s="492">
        <f t="shared" si="563"/>
        <v>0</v>
      </c>
      <c r="Z769" s="493" t="str">
        <f t="shared" si="553"/>
        <v>#REF!</v>
      </c>
      <c r="AA769" s="931" t="str">
        <f t="shared" si="564"/>
        <v/>
      </c>
      <c r="AB769" s="925" t="str">
        <f t="shared" si="565"/>
        <v/>
      </c>
      <c r="AC769" s="595"/>
      <c r="AD769" s="933"/>
      <c r="AE769" s="934">
        <f>COUNTA(AE770:AE797)</f>
        <v>20</v>
      </c>
      <c r="AF769" s="929" t="s">
        <v>583</v>
      </c>
      <c r="AG769" s="932" t="s">
        <v>55</v>
      </c>
      <c r="AH769" s="488">
        <f t="shared" si="566"/>
        <v>0</v>
      </c>
      <c r="AI769" s="489">
        <f t="shared" si="554"/>
        <v>4</v>
      </c>
      <c r="AJ769" s="490" t="str">
        <f>AN$758</f>
        <v/>
      </c>
      <c r="AK769" s="491">
        <f>(30/4)*$X$755</f>
        <v>30</v>
      </c>
      <c r="AL769" s="489">
        <f t="shared" si="567"/>
        <v>240</v>
      </c>
      <c r="AM769" s="492">
        <f t="shared" si="568"/>
        <v>0</v>
      </c>
      <c r="AN769" s="493">
        <f t="shared" si="556"/>
        <v>0</v>
      </c>
      <c r="AO769" s="931" t="str">
        <f t="shared" si="569"/>
        <v/>
      </c>
      <c r="AP769" s="925" t="str">
        <f t="shared" si="557"/>
        <v/>
      </c>
      <c r="AQ769" s="595"/>
      <c r="AR769" s="933"/>
      <c r="AS769" s="934">
        <f>COUNTA(AS770:AS806)</f>
        <v>0</v>
      </c>
      <c r="AT769" s="929" t="s">
        <v>302</v>
      </c>
      <c r="AU769" s="487" t="s">
        <v>52</v>
      </c>
      <c r="AV769" s="488">
        <f t="shared" si="570"/>
        <v>0</v>
      </c>
      <c r="AW769" s="935"/>
      <c r="AX769" s="924"/>
      <c r="AY769" s="935"/>
      <c r="AZ769" s="935"/>
      <c r="BA769" s="935"/>
      <c r="BB769" s="936"/>
      <c r="BC769" s="494" t="str">
        <f t="shared" si="571"/>
        <v/>
      </c>
      <c r="BD769" s="595"/>
      <c r="BE769" s="595"/>
      <c r="BF769" s="595"/>
      <c r="BG769" s="595"/>
      <c r="BH769" s="595"/>
      <c r="BI769" s="595"/>
      <c r="BJ769" s="595"/>
      <c r="BK769" s="595"/>
      <c r="BL769" s="595"/>
      <c r="BM769" s="595"/>
      <c r="BN769" s="595"/>
      <c r="BO769" s="651"/>
      <c r="BP769" s="651"/>
      <c r="BQ769" s="651"/>
      <c r="BR769" s="651"/>
      <c r="BS769" s="651"/>
      <c r="BT769" s="651"/>
    </row>
    <row r="770">
      <c r="A770" s="583"/>
      <c r="B770" s="584"/>
      <c r="C770" s="851"/>
      <c r="D770" s="609"/>
      <c r="E770" s="585"/>
      <c r="F770" s="586"/>
      <c r="G770" s="587"/>
      <c r="H770" s="584"/>
      <c r="I770" s="443"/>
      <c r="J770" s="806"/>
      <c r="K770" s="354"/>
      <c r="L770" s="588"/>
      <c r="M770" s="588"/>
      <c r="N770" s="833"/>
      <c r="O770" s="590"/>
      <c r="P770" s="937">
        <f>IFERROR(__xludf.DUMMYFUNCTION("IF(Q770="""","""",
   IF(Q770=0,0,
      IF(ISNUMBER(MATCH(Q770,FILTER(R$770:R$890,T$770:T$890&lt;&gt;0),0)),1,0)
   )
)"),0.0)</f>
        <v>0</v>
      </c>
      <c r="Q770" s="938" t="str">
        <f>IFERROR(__xludf.DUMMYFUNCTION("UNIQUE(
  FILTER(
    D15:D730,
    O15:O730&gt;0,
    D15:D730&lt;&gt;"""",
    REGEXMATCH(D15:D730,""^R-|^WR-"")
  )
)
"),"R-Sheeting")</f>
        <v>R-Sheeting</v>
      </c>
      <c r="R770" s="929" t="s">
        <v>303</v>
      </c>
      <c r="S770" s="930" t="s">
        <v>251</v>
      </c>
      <c r="T770" s="488">
        <f t="shared" ref="T770:T888" si="572">sumif($D$13:$D$730,R770,$Q$13:$Q$730)</f>
        <v>2</v>
      </c>
      <c r="U770" s="489">
        <f t="shared" si="551"/>
        <v>4</v>
      </c>
      <c r="V770" s="490" t="str">
        <f t="shared" si="552"/>
        <v>#REF!</v>
      </c>
      <c r="W770" s="491"/>
      <c r="X770" s="489"/>
      <c r="Y770" s="492"/>
      <c r="Z770" s="493"/>
      <c r="AA770" s="931">
        <f t="shared" si="564"/>
        <v>0</v>
      </c>
      <c r="AB770" s="925" t="str">
        <f t="shared" si="565"/>
        <v/>
      </c>
      <c r="AC770" s="595"/>
      <c r="AD770" s="939">
        <f>IFERROR(__xludf.DUMMYFUNCTION("IF(AE770="""","""",
   IF(AE770=0,0,
      IF(ISNUMBER(MATCH(AE770,FILTER(AF$768:AF$826,AH$768:AH$826&lt;&gt;0),0)),1,0)
   )
)"),0.0)</f>
        <v>0</v>
      </c>
      <c r="AE770" s="940" t="str">
        <f>IFERROR(__xludf.DUMMYFUNCTION("IFERROR(
  UNIQUE(
    FILTER(
      D15:D730,
      O15:O730&gt;0,
      D15:D730&lt;&gt;"""",
      REGEXMATCH(D15:D730,""^W-"")
    )
  )
)"),"W-Sheeting")</f>
        <v>W-Sheeting</v>
      </c>
      <c r="AF770" s="929" t="s">
        <v>349</v>
      </c>
      <c r="AG770" s="932" t="s">
        <v>55</v>
      </c>
      <c r="AH770" s="488">
        <f t="shared" si="566"/>
        <v>0</v>
      </c>
      <c r="AI770" s="489">
        <f t="shared" si="554"/>
        <v>4</v>
      </c>
      <c r="AJ770" s="490" t="str">
        <f t="shared" ref="AJ770:AJ771" si="573">AC$758</f>
        <v>#REF!</v>
      </c>
      <c r="AK770" s="491">
        <f>(20/1)*$X$755</f>
        <v>80</v>
      </c>
      <c r="AL770" s="489">
        <f t="shared" si="567"/>
        <v>640</v>
      </c>
      <c r="AM770" s="492">
        <f t="shared" si="568"/>
        <v>0</v>
      </c>
      <c r="AN770" s="493" t="str">
        <f t="shared" si="556"/>
        <v>#REF!</v>
      </c>
      <c r="AO770" s="931" t="str">
        <f t="shared" si="569"/>
        <v/>
      </c>
      <c r="AP770" s="925" t="str">
        <f t="shared" si="557"/>
        <v/>
      </c>
      <c r="AQ770" s="595"/>
      <c r="AR770" s="939" t="str">
        <f>IFERROR(__xludf.DUMMYFUNCTION("IF(AS770="""","""",
   IF(AS770=0,0,
      IF(ISNUMBER(MATCH(AS770,FILTER(AT$768:AT$806,AV$768:AV$806&lt;&gt;0),0)),1,0)
   )
)"),"")</f>
        <v/>
      </c>
      <c r="AS770" s="940" t="str">
        <f>IFERROR(__xludf.DUMMYFUNCTION("iferror(UNIQUE(
  FILTER(
    D15:D730,
    O15:O730&gt;0,
    D15:D730&lt;&gt;"""",
    REGEXMATCH(D15:D730,""^S-"")
  )
)
)"),"")</f>
        <v/>
      </c>
      <c r="AT770" s="486" t="s">
        <v>304</v>
      </c>
      <c r="AU770" s="487" t="s">
        <v>52</v>
      </c>
      <c r="AV770" s="488">
        <f t="shared" si="570"/>
        <v>0</v>
      </c>
      <c r="AW770" s="935"/>
      <c r="AX770" s="924"/>
      <c r="AY770" s="935"/>
      <c r="AZ770" s="935"/>
      <c r="BA770" s="935"/>
      <c r="BB770" s="936"/>
      <c r="BC770" s="494" t="str">
        <f t="shared" si="571"/>
        <v/>
      </c>
      <c r="BD770" s="595"/>
      <c r="BE770" s="595"/>
      <c r="BF770" s="595"/>
      <c r="BG770" s="595"/>
      <c r="BH770" s="595"/>
      <c r="BI770" s="595"/>
      <c r="BJ770" s="595"/>
      <c r="BK770" s="595"/>
      <c r="BL770" s="595"/>
      <c r="BM770" s="595"/>
      <c r="BN770" s="595"/>
      <c r="BO770" s="651"/>
      <c r="BP770" s="651"/>
      <c r="BQ770" s="651"/>
      <c r="BR770" s="651"/>
      <c r="BS770" s="651"/>
      <c r="BT770" s="651"/>
    </row>
    <row r="771">
      <c r="A771" s="583"/>
      <c r="B771" s="12" t="s">
        <v>176</v>
      </c>
      <c r="C771" s="412" t="s">
        <v>254</v>
      </c>
      <c r="D771" s="821"/>
      <c r="E771" s="822"/>
      <c r="F771" s="823"/>
      <c r="G771" s="824"/>
      <c r="H771" s="825"/>
      <c r="I771" s="333" t="s">
        <v>255</v>
      </c>
      <c r="J771" s="334" t="s">
        <v>248</v>
      </c>
      <c r="K771" s="335" t="s">
        <v>256</v>
      </c>
      <c r="L771" s="336" t="s">
        <v>26</v>
      </c>
      <c r="M771" s="878"/>
      <c r="N771" s="857" t="str">
        <f>SUM(N772:N776)</f>
        <v>#REF!</v>
      </c>
      <c r="O771" s="590"/>
      <c r="P771" s="939">
        <f>IFERROR(__xludf.DUMMYFUNCTION("IF(Q771="""","""",
   IF(Q771=0,0,
      IF(ISNUMBER(MATCH(Q771,FILTER(R$770:R$890,T$770:T$890&lt;&gt;0),0)),1,0)
   )
)"),1.0)</f>
        <v>1</v>
      </c>
      <c r="Q771" s="941" t="str">
        <f>IFERROR(__xludf.DUMMYFUNCTION("""COMPUTED_VALUE"""),"R-Clips")</f>
        <v>R-Clips</v>
      </c>
      <c r="R771" s="942" t="s">
        <v>51</v>
      </c>
      <c r="S771" s="930" t="s">
        <v>52</v>
      </c>
      <c r="T771" s="488">
        <f t="shared" si="572"/>
        <v>0</v>
      </c>
      <c r="U771" s="489">
        <f t="shared" si="551"/>
        <v>4</v>
      </c>
      <c r="V771" s="490" t="str">
        <f t="shared" si="552"/>
        <v>#REF!</v>
      </c>
      <c r="W771" s="491"/>
      <c r="X771" s="489"/>
      <c r="Y771" s="492"/>
      <c r="Z771" s="493"/>
      <c r="AA771" s="931" t="str">
        <f t="shared" si="564"/>
        <v/>
      </c>
      <c r="AB771" s="925" t="str">
        <f t="shared" si="565"/>
        <v/>
      </c>
      <c r="AC771" s="595"/>
      <c r="AD771" s="939">
        <f>IFERROR(__xludf.DUMMYFUNCTION("IF(AE771="""","""",
   IF(AE771=0,0,
      IF(ISNUMBER(MATCH(AE771,FILTER(AF$768:AF$826,AH$768:AH$826&lt;&gt;0),0)),1,0)
   )
)"),1.0)</f>
        <v>1</v>
      </c>
      <c r="AE771" s="943" t="str">
        <f>IFERROR(__xludf.DUMMYFUNCTION("""COMPUTED_VALUE"""),"W-Clips")</f>
        <v>W-Clips</v>
      </c>
      <c r="AF771" s="929" t="s">
        <v>584</v>
      </c>
      <c r="AG771" s="932" t="s">
        <v>55</v>
      </c>
      <c r="AH771" s="488">
        <f t="shared" si="566"/>
        <v>0</v>
      </c>
      <c r="AI771" s="489">
        <f t="shared" si="554"/>
        <v>4</v>
      </c>
      <c r="AJ771" s="490" t="str">
        <f t="shared" si="573"/>
        <v>#REF!</v>
      </c>
      <c r="AK771" s="491">
        <f>(30/2)*$X$755</f>
        <v>60</v>
      </c>
      <c r="AL771" s="489">
        <f t="shared" si="567"/>
        <v>480</v>
      </c>
      <c r="AM771" s="492">
        <f t="shared" si="568"/>
        <v>0</v>
      </c>
      <c r="AN771" s="493" t="str">
        <f t="shared" si="556"/>
        <v>#REF!</v>
      </c>
      <c r="AO771" s="931" t="str">
        <f t="shared" si="569"/>
        <v/>
      </c>
      <c r="AP771" s="925" t="str">
        <f t="shared" si="557"/>
        <v/>
      </c>
      <c r="AQ771" s="595"/>
      <c r="AR771" s="939" t="str">
        <f>IFERROR(__xludf.DUMMYFUNCTION("IF(AS771="""","""",
   IF(AS771=0,0,
      IF(ISNUMBER(MATCH(AS771,FILTER(AT$768:AT$806,AV$768:AV$806&lt;&gt;0),0)),1,0)
   )
)"),"")</f>
        <v/>
      </c>
      <c r="AS771" s="943"/>
      <c r="AT771" s="486" t="s">
        <v>305</v>
      </c>
      <c r="AU771" s="487" t="s">
        <v>52</v>
      </c>
      <c r="AV771" s="488">
        <f t="shared" si="570"/>
        <v>0</v>
      </c>
      <c r="AW771" s="935"/>
      <c r="AX771" s="924"/>
      <c r="AY771" s="935"/>
      <c r="AZ771" s="935"/>
      <c r="BA771" s="935"/>
      <c r="BB771" s="936"/>
      <c r="BC771" s="494" t="str">
        <f t="shared" si="571"/>
        <v/>
      </c>
      <c r="BD771" s="595"/>
      <c r="BE771" s="595"/>
      <c r="BF771" s="595"/>
      <c r="BG771" s="595"/>
      <c r="BH771" s="595"/>
      <c r="BI771" s="595"/>
      <c r="BJ771" s="595"/>
      <c r="BK771" s="595"/>
      <c r="BL771" s="595"/>
      <c r="BM771" s="595"/>
      <c r="BN771" s="595"/>
      <c r="BO771" s="651"/>
      <c r="BP771" s="651"/>
      <c r="BQ771" s="651"/>
      <c r="BR771" s="651"/>
      <c r="BS771" s="651"/>
      <c r="BT771" s="651"/>
    </row>
    <row r="772">
      <c r="A772" s="583"/>
      <c r="B772" s="584"/>
      <c r="C772" s="499" t="s">
        <v>257</v>
      </c>
      <c r="D772" s="844"/>
      <c r="E772" s="845"/>
      <c r="F772" s="846"/>
      <c r="G772" s="847"/>
      <c r="H772" s="848"/>
      <c r="I772" s="437">
        <v>1.0</v>
      </c>
      <c r="J772" s="500" t="str">
        <f>W757</f>
        <v>#REF!</v>
      </c>
      <c r="K772" s="501">
        <v>0.5</v>
      </c>
      <c r="L772" s="371">
        <v>45.0</v>
      </c>
      <c r="M772" s="870">
        <v>0.0</v>
      </c>
      <c r="N772" s="849" t="str">
        <f t="shared" ref="N772:N775" si="574">M772*L772*K772*J772*I772</f>
        <v>#REF!</v>
      </c>
      <c r="O772" s="590"/>
      <c r="P772" s="939">
        <f>IFERROR(__xludf.DUMMYFUNCTION("IF(Q772="""","""",
   IF(Q772=0,0,
      IF(ISNUMBER(MATCH(Q772,FILTER(R$770:R$890,T$770:T$890&lt;&gt;0),0)),1,0)
   )
)"),1.0)</f>
        <v>1</v>
      </c>
      <c r="Q772" s="941" t="str">
        <f>IFERROR(__xludf.DUMMYFUNCTION("""COMPUTED_VALUE"""),"R-Fixings")</f>
        <v>R-Fixings</v>
      </c>
      <c r="R772" s="942" t="s">
        <v>585</v>
      </c>
      <c r="S772" s="930" t="s">
        <v>55</v>
      </c>
      <c r="T772" s="488">
        <f t="shared" si="572"/>
        <v>0</v>
      </c>
      <c r="U772" s="489">
        <f t="shared" si="551"/>
        <v>4</v>
      </c>
      <c r="V772" s="490" t="str">
        <f t="shared" si="552"/>
        <v>#REF!</v>
      </c>
      <c r="W772" s="491">
        <f>(10/1)*$X$755</f>
        <v>40</v>
      </c>
      <c r="X772" s="489">
        <f t="shared" ref="X772:X774" si="575">W772*W$765</f>
        <v>320</v>
      </c>
      <c r="Y772" s="492">
        <f t="shared" ref="Y772:Y774" si="576">ROUNDUP(T772/X772,2)</f>
        <v>0</v>
      </c>
      <c r="Z772" s="493" t="str">
        <f t="shared" ref="Z772:Z774" si="577">Y772*V772*U772*W$765</f>
        <v>#REF!</v>
      </c>
      <c r="AA772" s="931" t="str">
        <f t="shared" si="564"/>
        <v/>
      </c>
      <c r="AB772" s="925" t="str">
        <f t="shared" si="565"/>
        <v/>
      </c>
      <c r="AC772" s="595"/>
      <c r="AD772" s="939">
        <f>IFERROR(__xludf.DUMMYFUNCTION("IF(AE772="""","""",
   IF(AE772=0,0,
      IF(ISNUMBER(MATCH(AE772,FILTER(AF$768:AF$826,AH$768:AH$826&lt;&gt;0),0)),1,0)
   )
)"),1.0)</f>
        <v>1</v>
      </c>
      <c r="AE772" s="943" t="str">
        <f>IFERROR(__xludf.DUMMYFUNCTION("""COMPUTED_VALUE"""),"W-Fixings")</f>
        <v>W-Fixings</v>
      </c>
      <c r="AF772" s="929" t="s">
        <v>368</v>
      </c>
      <c r="AG772" s="930" t="s">
        <v>41</v>
      </c>
      <c r="AH772" s="488">
        <f t="shared" si="566"/>
        <v>0</v>
      </c>
      <c r="AI772" s="935"/>
      <c r="AJ772" s="924"/>
      <c r="AK772" s="935"/>
      <c r="AL772" s="935"/>
      <c r="AM772" s="935"/>
      <c r="AN772" s="936"/>
      <c r="AO772" s="931" t="str">
        <f t="shared" si="569"/>
        <v/>
      </c>
      <c r="AP772" s="925" t="str">
        <f t="shared" si="557"/>
        <v/>
      </c>
      <c r="AQ772" s="595"/>
      <c r="AR772" s="939" t="str">
        <f>IFERROR(__xludf.DUMMYFUNCTION("IF(AS772="""","""",
   IF(AS772=0,0,
      IF(ISNUMBER(MATCH(AS772,FILTER(AT$768:AT$806,AV$768:AV$806&lt;&gt;0),0)),1,0)
   )
)"),"")</f>
        <v/>
      </c>
      <c r="AS772" s="943"/>
      <c r="AT772" s="486" t="s">
        <v>307</v>
      </c>
      <c r="AU772" s="487" t="s">
        <v>41</v>
      </c>
      <c r="AV772" s="488">
        <f t="shared" si="570"/>
        <v>0</v>
      </c>
      <c r="AW772" s="489">
        <f t="shared" ref="AW772:AW776" si="578">$X$755</f>
        <v>4</v>
      </c>
      <c r="AX772" s="924" t="str">
        <f t="shared" ref="AX772:AX776" si="579">AY$758</f>
        <v/>
      </c>
      <c r="AY772" s="491">
        <f>(50/4)*$X$755</f>
        <v>50</v>
      </c>
      <c r="AZ772" s="489">
        <f t="shared" ref="AZ772:AZ776" si="580">AY772*AY$765</f>
        <v>400</v>
      </c>
      <c r="BA772" s="492">
        <f t="shared" ref="BA772:BA776" si="581">ROUNDUP(AV772/AZ772,2)</f>
        <v>0</v>
      </c>
      <c r="BB772" s="493">
        <f t="shared" ref="BB772:BB776" si="582">BA772*AX772*AW772*AY$765</f>
        <v>0</v>
      </c>
      <c r="BC772" s="494" t="str">
        <f t="shared" si="571"/>
        <v/>
      </c>
      <c r="BD772" s="595"/>
      <c r="BE772" s="595"/>
      <c r="BF772" s="595"/>
      <c r="BG772" s="595"/>
      <c r="BH772" s="595"/>
      <c r="BI772" s="595"/>
      <c r="BJ772" s="595"/>
      <c r="BK772" s="595"/>
      <c r="BL772" s="595"/>
      <c r="BM772" s="595"/>
      <c r="BN772" s="595"/>
      <c r="BO772" s="651"/>
      <c r="BP772" s="651"/>
      <c r="BQ772" s="651"/>
      <c r="BR772" s="651"/>
      <c r="BS772" s="651"/>
      <c r="BT772" s="651"/>
    </row>
    <row r="773">
      <c r="A773" s="583"/>
      <c r="B773" s="584"/>
      <c r="C773" s="499" t="s">
        <v>258</v>
      </c>
      <c r="D773" s="844"/>
      <c r="E773" s="845"/>
      <c r="F773" s="846"/>
      <c r="G773" s="847"/>
      <c r="H773" s="848"/>
      <c r="I773" s="437">
        <v>1.0</v>
      </c>
      <c r="J773" s="500" t="str">
        <f>J772</f>
        <v>#REF!</v>
      </c>
      <c r="K773" s="501">
        <v>0.5</v>
      </c>
      <c r="L773" s="371">
        <f>32*1.25</f>
        <v>40</v>
      </c>
      <c r="M773" s="870">
        <v>0.0</v>
      </c>
      <c r="N773" s="849" t="str">
        <f t="shared" si="574"/>
        <v>#REF!</v>
      </c>
      <c r="O773" s="590"/>
      <c r="P773" s="939">
        <f>IFERROR(__xludf.DUMMYFUNCTION("IF(Q773="""","""",
   IF(Q773=0,0,
      IF(ISNUMBER(MATCH(Q773,FILTER(R$770:R$890,T$770:T$890&lt;&gt;0),0)),1,0)
   )
)"),1.0)</f>
        <v>1</v>
      </c>
      <c r="Q773" s="941" t="str">
        <f>IFERROR(__xludf.DUMMYFUNCTION("""COMPUTED_VALUE"""),"R-Windclamp")</f>
        <v>R-Windclamp</v>
      </c>
      <c r="R773" s="929" t="s">
        <v>306</v>
      </c>
      <c r="S773" s="930" t="s">
        <v>55</v>
      </c>
      <c r="T773" s="488">
        <f t="shared" si="572"/>
        <v>0</v>
      </c>
      <c r="U773" s="489">
        <f t="shared" si="551"/>
        <v>4</v>
      </c>
      <c r="V773" s="490" t="str">
        <f t="shared" si="552"/>
        <v>#REF!</v>
      </c>
      <c r="W773" s="491">
        <f>(40/2)*$X$755</f>
        <v>80</v>
      </c>
      <c r="X773" s="489">
        <f t="shared" si="575"/>
        <v>640</v>
      </c>
      <c r="Y773" s="492">
        <f t="shared" si="576"/>
        <v>0</v>
      </c>
      <c r="Z773" s="493" t="str">
        <f t="shared" si="577"/>
        <v>#REF!</v>
      </c>
      <c r="AA773" s="931" t="str">
        <f t="shared" si="564"/>
        <v/>
      </c>
      <c r="AB773" s="925" t="str">
        <f t="shared" si="565"/>
        <v/>
      </c>
      <c r="AC773" s="595"/>
      <c r="AD773" s="939">
        <f>IFERROR(__xludf.DUMMYFUNCTION("IF(AE773="""","""",
   IF(AE773=0,0,
      IF(ISNUMBER(MATCH(AE773,FILTER(AF$768:AF$826,AH$768:AH$826&lt;&gt;0),0)),1,0)
   )
)"),1.0)</f>
        <v>1</v>
      </c>
      <c r="AE773" s="943" t="str">
        <f>IFERROR(__xludf.DUMMYFUNCTION("""COMPUTED_VALUE"""),"W-FFTop")</f>
        <v>W-FFTop</v>
      </c>
      <c r="AF773" s="929" t="s">
        <v>586</v>
      </c>
      <c r="AG773" s="932" t="s">
        <v>55</v>
      </c>
      <c r="AH773" s="488">
        <f t="shared" si="566"/>
        <v>0</v>
      </c>
      <c r="AI773" s="489">
        <f t="shared" ref="AI773:AI805" si="583">$X$755</f>
        <v>4</v>
      </c>
      <c r="AJ773" s="490" t="str">
        <f t="shared" ref="AJ773:AJ774" si="584">AN$758</f>
        <v/>
      </c>
      <c r="AK773" s="491">
        <f t="shared" ref="AK773:AK774" si="585">(30/4)*$X$755</f>
        <v>30</v>
      </c>
      <c r="AL773" s="489">
        <f t="shared" ref="AL773:AL778" si="586">AK773*AK$765</f>
        <v>240</v>
      </c>
      <c r="AM773" s="492">
        <f t="shared" ref="AM773:AM778" si="587">ROUNDUP(AH773/AL773,2)</f>
        <v>0</v>
      </c>
      <c r="AN773" s="493">
        <f t="shared" ref="AN773:AN778" si="588">AM773*AJ773*AI773*AK$765</f>
        <v>0</v>
      </c>
      <c r="AO773" s="931" t="str">
        <f t="shared" si="569"/>
        <v/>
      </c>
      <c r="AP773" s="925" t="str">
        <f t="shared" si="557"/>
        <v/>
      </c>
      <c r="AQ773" s="595"/>
      <c r="AR773" s="939" t="str">
        <f>IFERROR(__xludf.DUMMYFUNCTION("IF(AS773="""","""",
   IF(AS773=0,0,
      IF(ISNUMBER(MATCH(AS773,FILTER(AT$768:AT$806,AV$768:AV$806&lt;&gt;0),0)),1,0)
   )
)"),"")</f>
        <v/>
      </c>
      <c r="AS773" s="943"/>
      <c r="AT773" s="486" t="s">
        <v>309</v>
      </c>
      <c r="AU773" s="487" t="s">
        <v>55</v>
      </c>
      <c r="AV773" s="488">
        <f t="shared" si="570"/>
        <v>0</v>
      </c>
      <c r="AW773" s="489">
        <f t="shared" si="578"/>
        <v>4</v>
      </c>
      <c r="AX773" s="924" t="str">
        <f t="shared" si="579"/>
        <v/>
      </c>
      <c r="AY773" s="491">
        <f>(20/1)*$X$755</f>
        <v>80</v>
      </c>
      <c r="AZ773" s="489">
        <f t="shared" si="580"/>
        <v>640</v>
      </c>
      <c r="BA773" s="492">
        <f t="shared" si="581"/>
        <v>0</v>
      </c>
      <c r="BB773" s="493">
        <f t="shared" si="582"/>
        <v>0</v>
      </c>
      <c r="BC773" s="494" t="str">
        <f t="shared" si="571"/>
        <v/>
      </c>
      <c r="BD773" s="595"/>
      <c r="BE773" s="595"/>
      <c r="BF773" s="595"/>
      <c r="BG773" s="595"/>
      <c r="BH773" s="595"/>
      <c r="BI773" s="595"/>
      <c r="BJ773" s="595"/>
      <c r="BK773" s="595"/>
      <c r="BL773" s="595"/>
      <c r="BM773" s="595"/>
      <c r="BN773" s="595"/>
      <c r="BO773" s="651"/>
      <c r="BP773" s="651"/>
      <c r="BQ773" s="651"/>
      <c r="BR773" s="651"/>
      <c r="BS773" s="651"/>
      <c r="BT773" s="651"/>
    </row>
    <row r="774">
      <c r="A774" s="583"/>
      <c r="B774" s="584"/>
      <c r="C774" s="499" t="s">
        <v>259</v>
      </c>
      <c r="D774" s="844"/>
      <c r="E774" s="845"/>
      <c r="F774" s="846"/>
      <c r="G774" s="847"/>
      <c r="H774" s="848"/>
      <c r="I774" s="437">
        <v>1.0</v>
      </c>
      <c r="J774" s="500">
        <v>1.0</v>
      </c>
      <c r="K774" s="944">
        <v>1.0</v>
      </c>
      <c r="L774" s="371">
        <f>72</f>
        <v>72</v>
      </c>
      <c r="M774" s="870">
        <v>0.0</v>
      </c>
      <c r="N774" s="849">
        <f t="shared" si="574"/>
        <v>0</v>
      </c>
      <c r="O774" s="590"/>
      <c r="P774" s="939">
        <f>IFERROR(__xludf.DUMMYFUNCTION("IF(Q774="""","""",
   IF(Q774=0,0,
      IF(ISNUMBER(MATCH(Q774,FILTER(R$770:R$890,T$770:T$890&lt;&gt;0),0)),1,0)
   )
)"),0.0)</f>
        <v>0</v>
      </c>
      <c r="Q774" s="941" t="str">
        <f>IFERROR(__xludf.DUMMYFUNCTION("""COMPUTED_VALUE"""),"R-Underlay")</f>
        <v>R-Underlay</v>
      </c>
      <c r="R774" s="929" t="s">
        <v>308</v>
      </c>
      <c r="S774" s="930" t="s">
        <v>55</v>
      </c>
      <c r="T774" s="488">
        <f t="shared" si="572"/>
        <v>0</v>
      </c>
      <c r="U774" s="489">
        <f t="shared" si="551"/>
        <v>4</v>
      </c>
      <c r="V774" s="490" t="str">
        <f t="shared" si="552"/>
        <v>#REF!</v>
      </c>
      <c r="W774" s="491">
        <f>(10/2)*$X$755</f>
        <v>20</v>
      </c>
      <c r="X774" s="489">
        <f t="shared" si="575"/>
        <v>160</v>
      </c>
      <c r="Y774" s="492">
        <f t="shared" si="576"/>
        <v>0</v>
      </c>
      <c r="Z774" s="493" t="str">
        <f t="shared" si="577"/>
        <v>#REF!</v>
      </c>
      <c r="AA774" s="931" t="str">
        <f t="shared" si="564"/>
        <v/>
      </c>
      <c r="AB774" s="925" t="str">
        <f t="shared" si="565"/>
        <v/>
      </c>
      <c r="AC774" s="595"/>
      <c r="AD774" s="939">
        <f>IFERROR(__xludf.DUMMYFUNCTION("IF(AE774="""","""",
   IF(AE774=0,0,
      IF(ISNUMBER(MATCH(AE774,FILTER(AF$768:AF$826,AH$768:AH$826&lt;&gt;0),0)),1,0)
   )
)"),1.0)</f>
        <v>1</v>
      </c>
      <c r="AE774" s="943" t="str">
        <f>IFERROR(__xludf.DUMMYFUNCTION("""COMPUTED_VALUE"""),"W-FFBottom")</f>
        <v>W-FFBottom</v>
      </c>
      <c r="AF774" s="942" t="s">
        <v>548</v>
      </c>
      <c r="AG774" s="945" t="s">
        <v>52</v>
      </c>
      <c r="AH774" s="488">
        <f t="shared" si="566"/>
        <v>7628</v>
      </c>
      <c r="AI774" s="489">
        <f t="shared" si="583"/>
        <v>4</v>
      </c>
      <c r="AJ774" s="490" t="str">
        <f t="shared" si="584"/>
        <v/>
      </c>
      <c r="AK774" s="491">
        <f t="shared" si="585"/>
        <v>30</v>
      </c>
      <c r="AL774" s="489">
        <f t="shared" si="586"/>
        <v>240</v>
      </c>
      <c r="AM774" s="492">
        <f t="shared" si="587"/>
        <v>31.79</v>
      </c>
      <c r="AN774" s="493">
        <f t="shared" si="588"/>
        <v>0</v>
      </c>
      <c r="AO774" s="931">
        <f t="shared" si="569"/>
        <v>0</v>
      </c>
      <c r="AP774" s="925" t="str">
        <f t="shared" si="557"/>
        <v/>
      </c>
      <c r="AQ774" s="595"/>
      <c r="AR774" s="939" t="str">
        <f>IFERROR(__xludf.DUMMYFUNCTION("IF(AS774="""","""",
   IF(AS774=0,0,
      IF(ISNUMBER(MATCH(AS774,FILTER(AT$768:AT$806,AV$768:AV$806&lt;&gt;0),0)),1,0)
   )
)"),"")</f>
        <v/>
      </c>
      <c r="AS774" s="943"/>
      <c r="AT774" s="486" t="s">
        <v>312</v>
      </c>
      <c r="AU774" s="487" t="s">
        <v>41</v>
      </c>
      <c r="AV774" s="488">
        <f t="shared" si="570"/>
        <v>0</v>
      </c>
      <c r="AW774" s="489">
        <f t="shared" si="578"/>
        <v>4</v>
      </c>
      <c r="AX774" s="924" t="str">
        <f t="shared" si="579"/>
        <v/>
      </c>
      <c r="AY774" s="491">
        <f>(70/4)*$X$755</f>
        <v>70</v>
      </c>
      <c r="AZ774" s="489">
        <f t="shared" si="580"/>
        <v>560</v>
      </c>
      <c r="BA774" s="492">
        <f t="shared" si="581"/>
        <v>0</v>
      </c>
      <c r="BB774" s="493">
        <f t="shared" si="582"/>
        <v>0</v>
      </c>
      <c r="BC774" s="494" t="str">
        <f t="shared" si="571"/>
        <v/>
      </c>
      <c r="BD774" s="595"/>
      <c r="BE774" s="595"/>
      <c r="BF774" s="595"/>
      <c r="BG774" s="595"/>
      <c r="BH774" s="595"/>
      <c r="BI774" s="595"/>
      <c r="BJ774" s="595"/>
      <c r="BK774" s="595"/>
      <c r="BL774" s="595"/>
      <c r="BM774" s="595"/>
      <c r="BN774" s="595"/>
      <c r="BO774" s="651"/>
      <c r="BP774" s="651"/>
      <c r="BQ774" s="651"/>
      <c r="BR774" s="651"/>
      <c r="BS774" s="651"/>
      <c r="BT774" s="651"/>
    </row>
    <row r="775">
      <c r="A775" s="583"/>
      <c r="B775" s="584"/>
      <c r="C775" s="946"/>
      <c r="D775" s="844"/>
      <c r="E775" s="845"/>
      <c r="F775" s="846"/>
      <c r="G775" s="847"/>
      <c r="H775" s="848"/>
      <c r="I775" s="437">
        <v>1.0</v>
      </c>
      <c r="J775" s="500" t="str">
        <f>J772</f>
        <v>#REF!</v>
      </c>
      <c r="K775" s="501">
        <v>0.0</v>
      </c>
      <c r="L775" s="850"/>
      <c r="M775" s="840"/>
      <c r="N775" s="849" t="str">
        <f t="shared" si="574"/>
        <v>#REF!</v>
      </c>
      <c r="O775" s="590"/>
      <c r="P775" s="939">
        <f>IFERROR(__xludf.DUMMYFUNCTION("IF(Q775="""","""",
   IF(Q775=0,0,
      IF(ISNUMBER(MATCH(Q775,FILTER(R$770:R$890,T$770:T$890&lt;&gt;0),0)),1,0)
   )
)"),0.0)</f>
        <v>0</v>
      </c>
      <c r="Q775" s="941" t="str">
        <f>IFERROR(__xludf.DUMMYFUNCTION("""COMPUTED_VALUE"""),"R-UTape")</f>
        <v>R-UTape</v>
      </c>
      <c r="R775" s="929" t="s">
        <v>310</v>
      </c>
      <c r="S775" s="930" t="s">
        <v>52</v>
      </c>
      <c r="T775" s="488">
        <f t="shared" si="572"/>
        <v>0</v>
      </c>
      <c r="U775" s="489">
        <f t="shared" si="551"/>
        <v>4</v>
      </c>
      <c r="V775" s="490" t="str">
        <f t="shared" si="552"/>
        <v>#REF!</v>
      </c>
      <c r="W775" s="491"/>
      <c r="X775" s="489"/>
      <c r="Y775" s="492"/>
      <c r="Z775" s="493"/>
      <c r="AA775" s="931"/>
      <c r="AB775" s="925" t="str">
        <f t="shared" si="565"/>
        <v/>
      </c>
      <c r="AC775" s="595"/>
      <c r="AD775" s="939">
        <f>IFERROR(__xludf.DUMMYFUNCTION("IF(AE775="""","""",
   IF(AE775=0,0,
      IF(ISNUMBER(MATCH(AE775,FILTER(AF$768:AF$826,AH$768:AH$826&lt;&gt;0),0)),1,0)
   )
)"),1.0)</f>
        <v>1</v>
      </c>
      <c r="AE775" s="943" t="str">
        <f>IFERROR(__xludf.DUMMYFUNCTION("""COMPUTED_VALUE"""),"W-TU/TD")</f>
        <v>W-TU/TD</v>
      </c>
      <c r="AF775" s="929" t="s">
        <v>173</v>
      </c>
      <c r="AG775" s="932" t="s">
        <v>55</v>
      </c>
      <c r="AH775" s="488">
        <f t="shared" si="566"/>
        <v>0</v>
      </c>
      <c r="AI775" s="489">
        <f t="shared" si="583"/>
        <v>4</v>
      </c>
      <c r="AJ775" s="490" t="str">
        <f>AC$758</f>
        <v>#REF!</v>
      </c>
      <c r="AK775" s="491">
        <f>(40/2)*$X$755</f>
        <v>80</v>
      </c>
      <c r="AL775" s="489">
        <f t="shared" si="586"/>
        <v>640</v>
      </c>
      <c r="AM775" s="492">
        <f t="shared" si="587"/>
        <v>0</v>
      </c>
      <c r="AN775" s="493" t="str">
        <f t="shared" si="588"/>
        <v>#REF!</v>
      </c>
      <c r="AO775" s="931" t="str">
        <f t="shared" si="569"/>
        <v/>
      </c>
      <c r="AP775" s="925" t="str">
        <f t="shared" si="557"/>
        <v/>
      </c>
      <c r="AQ775" s="595"/>
      <c r="AR775" s="939" t="str">
        <f>IFERROR(__xludf.DUMMYFUNCTION("IF(AS775="""","""",
   IF(AS775=0,0,
      IF(ISNUMBER(MATCH(AS775,FILTER(AT$768:AT$806,AV$768:AV$806&lt;&gt;0),0)),1,0)
   )
)"),"")</f>
        <v/>
      </c>
      <c r="AS775" s="943"/>
      <c r="AT775" s="486" t="s">
        <v>315</v>
      </c>
      <c r="AU775" s="487" t="s">
        <v>41</v>
      </c>
      <c r="AV775" s="488">
        <f t="shared" si="570"/>
        <v>0</v>
      </c>
      <c r="AW775" s="489">
        <f t="shared" si="578"/>
        <v>4</v>
      </c>
      <c r="AX775" s="924" t="str">
        <f t="shared" si="579"/>
        <v/>
      </c>
      <c r="AY775" s="491">
        <f>(15/4)*$X$755</f>
        <v>15</v>
      </c>
      <c r="AZ775" s="489">
        <f t="shared" si="580"/>
        <v>120</v>
      </c>
      <c r="BA775" s="492">
        <f t="shared" si="581"/>
        <v>0</v>
      </c>
      <c r="BB775" s="493">
        <f t="shared" si="582"/>
        <v>0</v>
      </c>
      <c r="BC775" s="494" t="str">
        <f t="shared" si="571"/>
        <v/>
      </c>
      <c r="BD775" s="595"/>
      <c r="BE775" s="595"/>
      <c r="BF775" s="595"/>
      <c r="BG775" s="595"/>
      <c r="BH775" s="595"/>
      <c r="BI775" s="595"/>
      <c r="BJ775" s="595"/>
      <c r="BK775" s="595"/>
      <c r="BL775" s="595"/>
      <c r="BM775" s="595"/>
      <c r="BN775" s="595"/>
      <c r="BO775" s="651"/>
      <c r="BP775" s="651"/>
      <c r="BQ775" s="651"/>
      <c r="BR775" s="651"/>
      <c r="BS775" s="651"/>
      <c r="BT775" s="651"/>
    </row>
    <row r="776">
      <c r="A776" s="583"/>
      <c r="B776" s="584"/>
      <c r="C776" s="851"/>
      <c r="D776" s="609"/>
      <c r="E776" s="585"/>
      <c r="F776" s="586"/>
      <c r="G776" s="587"/>
      <c r="H776" s="584"/>
      <c r="I776" s="443"/>
      <c r="J776" s="443"/>
      <c r="K776" s="354"/>
      <c r="L776" s="588"/>
      <c r="M776" s="588"/>
      <c r="N776" s="833"/>
      <c r="O776" s="590"/>
      <c r="P776" s="939">
        <f>IFERROR(__xludf.DUMMYFUNCTION("IF(Q776="""","""",
   IF(Q776=0,0,
      IF(ISNUMBER(MATCH(Q776,FILTER(R$770:R$890,T$770:T$890&lt;&gt;0),0)),1,0)
   )
)"),0.0)</f>
        <v>0</v>
      </c>
      <c r="Q776" s="941" t="str">
        <f>IFERROR(__xludf.DUMMYFUNCTION("""COMPUTED_VALUE"""),"R-Safety Mesh")</f>
        <v>R-Safety Mesh</v>
      </c>
      <c r="R776" s="929" t="s">
        <v>313</v>
      </c>
      <c r="S776" s="930" t="s">
        <v>52</v>
      </c>
      <c r="T776" s="488">
        <f t="shared" si="572"/>
        <v>0</v>
      </c>
      <c r="U776" s="489">
        <f t="shared" si="551"/>
        <v>4</v>
      </c>
      <c r="V776" s="490" t="str">
        <f t="shared" si="552"/>
        <v>#REF!</v>
      </c>
      <c r="W776" s="491"/>
      <c r="X776" s="489"/>
      <c r="Y776" s="492"/>
      <c r="Z776" s="493"/>
      <c r="AA776" s="931"/>
      <c r="AB776" s="925" t="str">
        <f t="shared" si="565"/>
        <v/>
      </c>
      <c r="AC776" s="595"/>
      <c r="AD776" s="939">
        <f>IFERROR(__xludf.DUMMYFUNCTION("IF(AE776="""","""",
   IF(AE776=0,0,
      IF(ISNUMBER(MATCH(AE776,FILTER(AF$768:AF$826,AH$768:AH$826&lt;&gt;0),0)),1,0)
   )
)"),1.0)</f>
        <v>1</v>
      </c>
      <c r="AE776" s="943" t="str">
        <f>IFERROR(__xludf.DUMMYFUNCTION("""COMPUTED_VALUE"""),"W-TS")</f>
        <v>W-TS</v>
      </c>
      <c r="AF776" s="929" t="s">
        <v>363</v>
      </c>
      <c r="AG776" s="930" t="s">
        <v>52</v>
      </c>
      <c r="AH776" s="488">
        <f t="shared" si="566"/>
        <v>0</v>
      </c>
      <c r="AI776" s="489">
        <f t="shared" si="583"/>
        <v>4</v>
      </c>
      <c r="AJ776" s="924" t="str">
        <f>AN$758</f>
        <v/>
      </c>
      <c r="AK776" s="491">
        <f>(5/4)*$X$755</f>
        <v>5</v>
      </c>
      <c r="AL776" s="489">
        <f t="shared" si="586"/>
        <v>40</v>
      </c>
      <c r="AM776" s="492">
        <f t="shared" si="587"/>
        <v>0</v>
      </c>
      <c r="AN776" s="493">
        <f t="shared" si="588"/>
        <v>0</v>
      </c>
      <c r="AO776" s="494" t="str">
        <f t="shared" si="569"/>
        <v/>
      </c>
      <c r="AP776" s="925" t="str">
        <f t="shared" si="557"/>
        <v/>
      </c>
      <c r="AQ776" s="595"/>
      <c r="AR776" s="939" t="str">
        <f>IFERROR(__xludf.DUMMYFUNCTION("IF(AS776="""","""",
   IF(AS776=0,0,
      IF(ISNUMBER(MATCH(AS776,FILTER(AT$768:AT$806,AV$768:AV$806&lt;&gt;0),0)),1,0)
   )
)"),"")</f>
        <v/>
      </c>
      <c r="AS776" s="943"/>
      <c r="AT776" s="486" t="s">
        <v>318</v>
      </c>
      <c r="AU776" s="487" t="s">
        <v>55</v>
      </c>
      <c r="AV776" s="488">
        <f t="shared" si="570"/>
        <v>0</v>
      </c>
      <c r="AW776" s="489">
        <f t="shared" si="578"/>
        <v>4</v>
      </c>
      <c r="AX776" s="924" t="str">
        <f t="shared" si="579"/>
        <v/>
      </c>
      <c r="AY776" s="491">
        <f>(20/1)*$X$755</f>
        <v>80</v>
      </c>
      <c r="AZ776" s="489">
        <f t="shared" si="580"/>
        <v>640</v>
      </c>
      <c r="BA776" s="492">
        <f t="shared" si="581"/>
        <v>0</v>
      </c>
      <c r="BB776" s="493">
        <f t="shared" si="582"/>
        <v>0</v>
      </c>
      <c r="BC776" s="494" t="str">
        <f t="shared" si="571"/>
        <v/>
      </c>
      <c r="BD776" s="595"/>
      <c r="BE776" s="595"/>
      <c r="BF776" s="595"/>
      <c r="BG776" s="595"/>
      <c r="BH776" s="595"/>
      <c r="BI776" s="595"/>
      <c r="BJ776" s="595"/>
      <c r="BK776" s="595"/>
      <c r="BL776" s="595"/>
      <c r="BM776" s="595"/>
      <c r="BN776" s="595"/>
      <c r="BO776" s="651"/>
      <c r="BP776" s="651"/>
      <c r="BQ776" s="651"/>
      <c r="BR776" s="651"/>
      <c r="BS776" s="651"/>
      <c r="BT776" s="651"/>
    </row>
    <row r="777">
      <c r="A777" s="583"/>
      <c r="B777" s="12" t="s">
        <v>176</v>
      </c>
      <c r="C777" s="329" t="s">
        <v>260</v>
      </c>
      <c r="D777" s="821"/>
      <c r="E777" s="822"/>
      <c r="F777" s="823"/>
      <c r="G777" s="824"/>
      <c r="H777" s="825"/>
      <c r="I777" s="333" t="s">
        <v>18</v>
      </c>
      <c r="J777" s="334" t="s">
        <v>15</v>
      </c>
      <c r="K777" s="335" t="s">
        <v>26</v>
      </c>
      <c r="L777" s="878"/>
      <c r="M777" s="878"/>
      <c r="N777" s="857" t="str">
        <f>SUM(N778:N788)</f>
        <v>#REF!</v>
      </c>
      <c r="O777" s="590"/>
      <c r="P777" s="939">
        <f>IFERROR(__xludf.DUMMYFUNCTION("IF(Q777="""","""",
   IF(Q777=0,0,
      IF(ISNUMBER(MATCH(Q777,FILTER(R$770:R$890,T$770:T$890&lt;&gt;0),0)),1,0)
   )
)"),1.0)</f>
        <v>1</v>
      </c>
      <c r="Q777" s="941" t="str">
        <f>IFERROR(__xludf.DUMMYFUNCTION("""COMPUTED_VALUE"""),"R-Flashing")</f>
        <v>R-Flashing</v>
      </c>
      <c r="R777" s="929" t="s">
        <v>316</v>
      </c>
      <c r="S777" s="930" t="s">
        <v>41</v>
      </c>
      <c r="T777" s="488">
        <f t="shared" si="572"/>
        <v>0</v>
      </c>
      <c r="U777" s="489">
        <f t="shared" si="551"/>
        <v>4</v>
      </c>
      <c r="V777" s="490" t="str">
        <f t="shared" si="552"/>
        <v>#REF!</v>
      </c>
      <c r="W777" s="491">
        <f t="shared" ref="W777:W778" si="589">(120/4)*$X$755</f>
        <v>120</v>
      </c>
      <c r="X777" s="489">
        <f t="shared" ref="X777:X780" si="590">W777*W$765</f>
        <v>960</v>
      </c>
      <c r="Y777" s="492">
        <f t="shared" ref="Y777:Y780" si="591">ROUNDUP(T777/X777,2)</f>
        <v>0</v>
      </c>
      <c r="Z777" s="493" t="str">
        <f t="shared" ref="Z777:Z780" si="592">Y777*V777*U777*W$765</f>
        <v>#REF!</v>
      </c>
      <c r="AA777" s="931" t="str">
        <f t="shared" ref="AA777:AA781" si="593">iferror(Z777/T777,"")</f>
        <v/>
      </c>
      <c r="AB777" s="925" t="str">
        <f t="shared" si="565"/>
        <v/>
      </c>
      <c r="AC777" s="595"/>
      <c r="AD777" s="939">
        <f>IFERROR(__xludf.DUMMYFUNCTION("IF(AE777="""","""",
   IF(AE777=0,0,
      IF(ISNUMBER(MATCH(AE777,FILTER(AF$768:AF$826,AH$768:AH$826&lt;&gt;0),0)),1,0)
   )
)"),1.0)</f>
        <v>1</v>
      </c>
      <c r="AE777" s="943" t="str">
        <f>IFERROR(__xludf.DUMMYFUNCTION("""COMPUTED_VALUE"""),"W-TSFixing")</f>
        <v>W-TSFixing</v>
      </c>
      <c r="AF777" s="929" t="s">
        <v>170</v>
      </c>
      <c r="AG777" s="932" t="s">
        <v>55</v>
      </c>
      <c r="AH777" s="488">
        <f t="shared" si="566"/>
        <v>0</v>
      </c>
      <c r="AI777" s="489">
        <f t="shared" si="583"/>
        <v>4</v>
      </c>
      <c r="AJ777" s="490" t="str">
        <f>AC$758</f>
        <v>#REF!</v>
      </c>
      <c r="AK777" s="491">
        <f>(20/1)*$X$755</f>
        <v>80</v>
      </c>
      <c r="AL777" s="489">
        <f t="shared" si="586"/>
        <v>640</v>
      </c>
      <c r="AM777" s="492">
        <f t="shared" si="587"/>
        <v>0</v>
      </c>
      <c r="AN777" s="493" t="str">
        <f t="shared" si="588"/>
        <v>#REF!</v>
      </c>
      <c r="AO777" s="494" t="str">
        <f t="shared" si="569"/>
        <v/>
      </c>
      <c r="AP777" s="925" t="str">
        <f t="shared" si="557"/>
        <v/>
      </c>
      <c r="AQ777" s="595"/>
      <c r="AR777" s="939" t="str">
        <f>IFERROR(__xludf.DUMMYFUNCTION("IF(AS777="""","""",
   IF(AS777=0,0,
      IF(ISNUMBER(MATCH(AS777,FILTER(AT$768:AT$806,AV$768:AV$806&lt;&gt;0),0)),1,0)
   )
)"),"")</f>
        <v/>
      </c>
      <c r="AS777" s="943"/>
      <c r="AT777" s="486" t="s">
        <v>320</v>
      </c>
      <c r="AU777" s="487" t="s">
        <v>52</v>
      </c>
      <c r="AV777" s="488">
        <f t="shared" si="570"/>
        <v>0</v>
      </c>
      <c r="AW777" s="935"/>
      <c r="AX777" s="924"/>
      <c r="AY777" s="935"/>
      <c r="AZ777" s="935"/>
      <c r="BA777" s="935"/>
      <c r="BB777" s="936"/>
      <c r="BC777" s="494" t="str">
        <f t="shared" si="571"/>
        <v/>
      </c>
      <c r="BD777" s="595"/>
      <c r="BE777" s="595"/>
      <c r="BF777" s="595"/>
      <c r="BG777" s="595"/>
      <c r="BH777" s="595"/>
      <c r="BI777" s="595"/>
      <c r="BJ777" s="595"/>
      <c r="BK777" s="595"/>
      <c r="BL777" s="595"/>
      <c r="BM777" s="595"/>
      <c r="BN777" s="595"/>
      <c r="BO777" s="651"/>
      <c r="BP777" s="651"/>
      <c r="BQ777" s="651"/>
      <c r="BR777" s="651"/>
      <c r="BS777" s="651"/>
      <c r="BT777" s="651"/>
    </row>
    <row r="778">
      <c r="A778" s="583"/>
      <c r="B778" s="584"/>
      <c r="C778" s="499" t="s">
        <v>261</v>
      </c>
      <c r="D778" s="844"/>
      <c r="E778" s="845"/>
      <c r="F778" s="846"/>
      <c r="G778" s="847"/>
      <c r="H778" s="848"/>
      <c r="I778" s="437">
        <f>X755</f>
        <v>4</v>
      </c>
      <c r="J778" s="504">
        <v>1.0</v>
      </c>
      <c r="K778" s="437" t="str">
        <f>X757</f>
        <v/>
      </c>
      <c r="L778" s="371" t="str">
        <f>W757</f>
        <v>#REF!</v>
      </c>
      <c r="M778" s="840"/>
      <c r="N778" s="849" t="str">
        <f t="shared" ref="N778:N780" si="594">I778*J778*K778*M778*L778</f>
        <v>#REF!</v>
      </c>
      <c r="O778" s="590"/>
      <c r="P778" s="939">
        <f>IFERROR(__xludf.DUMMYFUNCTION("IF(Q778="""","""",
   IF(Q778=0,0,
      IF(ISNUMBER(MATCH(Q778,FILTER(R$770:R$890,T$770:T$890&lt;&gt;0),0)),1,0)
   )
)"),1.0)</f>
        <v>1</v>
      </c>
      <c r="Q778" s="941" t="str">
        <f>IFERROR(__xludf.DUMMYFUNCTION("""COMPUTED_VALUE"""),"R-Silicone")</f>
        <v>R-Silicone</v>
      </c>
      <c r="R778" s="942" t="s">
        <v>432</v>
      </c>
      <c r="S778" s="930" t="s">
        <v>52</v>
      </c>
      <c r="T778" s="488">
        <f t="shared" si="572"/>
        <v>36851.41652</v>
      </c>
      <c r="U778" s="489">
        <f t="shared" si="551"/>
        <v>4</v>
      </c>
      <c r="V778" s="490" t="str">
        <f t="shared" si="552"/>
        <v>#REF!</v>
      </c>
      <c r="W778" s="491">
        <f t="shared" si="589"/>
        <v>120</v>
      </c>
      <c r="X778" s="489">
        <f t="shared" si="590"/>
        <v>960</v>
      </c>
      <c r="Y778" s="492">
        <f t="shared" si="591"/>
        <v>38.39</v>
      </c>
      <c r="Z778" s="493" t="str">
        <f t="shared" si="592"/>
        <v>#REF!</v>
      </c>
      <c r="AA778" s="931" t="str">
        <f t="shared" si="593"/>
        <v/>
      </c>
      <c r="AB778" s="925" t="str">
        <f t="shared" si="565"/>
        <v/>
      </c>
      <c r="AC778" s="947">
        <f>T778+AH774</f>
        <v>44479.41652</v>
      </c>
      <c r="AD778" s="939">
        <f>IFERROR(__xludf.DUMMYFUNCTION("IF(AE778="""","""",
   IF(AE778=0,0,
      IF(ISNUMBER(MATCH(AE778,FILTER(AF$768:AF$826,AH$768:AH$826&lt;&gt;0),0)),1,0)
   )
)"),1.0)</f>
        <v>1</v>
      </c>
      <c r="AE778" s="943" t="str">
        <f>IFERROR(__xludf.DUMMYFUNCTION("""COMPUTED_VALUE"""),"W-TSLapSeal")</f>
        <v>W-TSLapSeal</v>
      </c>
      <c r="AF778" s="929" t="s">
        <v>373</v>
      </c>
      <c r="AG778" s="930" t="s">
        <v>55</v>
      </c>
      <c r="AH778" s="488">
        <f t="shared" si="566"/>
        <v>0</v>
      </c>
      <c r="AI778" s="489">
        <f t="shared" si="583"/>
        <v>4</v>
      </c>
      <c r="AJ778" s="924" t="str">
        <f>AN$758</f>
        <v/>
      </c>
      <c r="AK778" s="491">
        <f>(10/1)*$X$755</f>
        <v>40</v>
      </c>
      <c r="AL778" s="489">
        <f t="shared" si="586"/>
        <v>320</v>
      </c>
      <c r="AM778" s="492">
        <f t="shared" si="587"/>
        <v>0</v>
      </c>
      <c r="AN778" s="493">
        <f t="shared" si="588"/>
        <v>0</v>
      </c>
      <c r="AO778" s="494" t="str">
        <f t="shared" si="569"/>
        <v/>
      </c>
      <c r="AP778" s="925" t="str">
        <f t="shared" si="557"/>
        <v/>
      </c>
      <c r="AQ778" s="595"/>
      <c r="AR778" s="939" t="str">
        <f>IFERROR(__xludf.DUMMYFUNCTION("IF(AS778="""","""",
   IF(AS778=0,0,
      IF(ISNUMBER(MATCH(AS778,FILTER(AT$768:AT$806,AV$768:AV$806&lt;&gt;0),0)),1,0)
   )
)"),"")</f>
        <v/>
      </c>
      <c r="AS778" s="943"/>
      <c r="AT778" s="486" t="s">
        <v>323</v>
      </c>
      <c r="AU778" s="487" t="s">
        <v>52</v>
      </c>
      <c r="AV778" s="488">
        <f t="shared" si="570"/>
        <v>0</v>
      </c>
      <c r="AW778" s="935"/>
      <c r="AX778" s="924"/>
      <c r="AY778" s="935"/>
      <c r="AZ778" s="935"/>
      <c r="BA778" s="935"/>
      <c r="BB778" s="936"/>
      <c r="BC778" s="494" t="str">
        <f t="shared" si="571"/>
        <v/>
      </c>
      <c r="BD778" s="595"/>
      <c r="BE778" s="595"/>
      <c r="BF778" s="595"/>
      <c r="BG778" s="595"/>
      <c r="BH778" s="595"/>
      <c r="BI778" s="595"/>
      <c r="BJ778" s="595"/>
      <c r="BK778" s="595"/>
      <c r="BL778" s="595"/>
      <c r="BM778" s="595"/>
      <c r="BN778" s="595"/>
      <c r="BO778" s="651"/>
      <c r="BP778" s="651"/>
      <c r="BQ778" s="651"/>
      <c r="BR778" s="651"/>
      <c r="BS778" s="651"/>
      <c r="BT778" s="651"/>
    </row>
    <row r="779">
      <c r="A779" s="583"/>
      <c r="B779" s="584"/>
      <c r="C779" s="499" t="s">
        <v>262</v>
      </c>
      <c r="D779" s="844"/>
      <c r="E779" s="845"/>
      <c r="F779" s="846"/>
      <c r="G779" s="847"/>
      <c r="H779" s="848"/>
      <c r="I779" s="437">
        <f>I778</f>
        <v>4</v>
      </c>
      <c r="J779" s="506">
        <v>68.0</v>
      </c>
      <c r="K779" s="370">
        <v>1.0</v>
      </c>
      <c r="L779" s="371" t="str">
        <f>L778</f>
        <v>#REF!</v>
      </c>
      <c r="M779" s="840"/>
      <c r="N779" s="849" t="str">
        <f t="shared" si="594"/>
        <v>#REF!</v>
      </c>
      <c r="O779" s="590"/>
      <c r="P779" s="939">
        <f>IFERROR(__xludf.DUMMYFUNCTION("IF(Q779="""","""",
   IF(Q779=0,0,
      IF(ISNUMBER(MATCH(Q779,FILTER(R$770:R$890,T$770:T$890&lt;&gt;0),0)),1,0)
   )
)"),1.0)</f>
        <v>1</v>
      </c>
      <c r="Q779" s="941" t="str">
        <f>IFERROR(__xludf.DUMMYFUNCTION("""COMPUTED_VALUE"""),"R-Rivets")</f>
        <v>R-Rivets</v>
      </c>
      <c r="R779" s="929" t="s">
        <v>130</v>
      </c>
      <c r="S779" s="930" t="s">
        <v>55</v>
      </c>
      <c r="T779" s="488">
        <f t="shared" si="572"/>
        <v>326.8936199</v>
      </c>
      <c r="U779" s="489">
        <f t="shared" si="551"/>
        <v>4</v>
      </c>
      <c r="V779" s="490" t="str">
        <f t="shared" si="552"/>
        <v>#REF!</v>
      </c>
      <c r="W779" s="491">
        <f>(12/1)*$X$755</f>
        <v>48</v>
      </c>
      <c r="X779" s="489">
        <f t="shared" si="590"/>
        <v>384</v>
      </c>
      <c r="Y779" s="492">
        <f t="shared" si="591"/>
        <v>0.86</v>
      </c>
      <c r="Z779" s="493" t="str">
        <f t="shared" si="592"/>
        <v>#REF!</v>
      </c>
      <c r="AA779" s="931" t="str">
        <f t="shared" si="593"/>
        <v/>
      </c>
      <c r="AB779" s="925" t="str">
        <f t="shared" si="565"/>
        <v/>
      </c>
      <c r="AC779" s="595"/>
      <c r="AD779" s="939">
        <f>IFERROR(__xludf.DUMMYFUNCTION("IF(AE779="""","""",
   IF(AE779=0,0,
      IF(ISNUMBER(MATCH(AE779,FILTER(AF$768:AF$826,AH$768:AH$826&lt;&gt;0),0)),1,0)
   )
)"),1.0)</f>
        <v>1</v>
      </c>
      <c r="AE779" s="943" t="str">
        <f>IFERROR(__xludf.DUMMYFUNCTION("""COMPUTED_VALUE"""),"W-TSStitching")</f>
        <v>W-TSStitching</v>
      </c>
      <c r="AF779" s="929" t="s">
        <v>338</v>
      </c>
      <c r="AG779" s="930" t="s">
        <v>55</v>
      </c>
      <c r="AH779" s="488">
        <f t="shared" si="566"/>
        <v>615.45</v>
      </c>
      <c r="AI779" s="489">
        <f t="shared" si="583"/>
        <v>4</v>
      </c>
      <c r="AJ779" s="490" t="str">
        <f t="shared" ref="AJ779:AJ783" si="595">AC$758</f>
        <v>#REF!</v>
      </c>
      <c r="AK779" s="935"/>
      <c r="AL779" s="935"/>
      <c r="AM779" s="935"/>
      <c r="AN779" s="936"/>
      <c r="AO779" s="494"/>
      <c r="AP779" s="925" t="str">
        <f t="shared" si="557"/>
        <v/>
      </c>
      <c r="AQ779" s="595"/>
      <c r="AR779" s="939" t="str">
        <f>IFERROR(__xludf.DUMMYFUNCTION("IF(AS779="""","""",
   IF(AS779=0,0,
      IF(ISNUMBER(MATCH(AS779,FILTER(AT$768:AT$806,AV$768:AV$806&lt;&gt;0),0)),1,0)
   )
)"),"")</f>
        <v/>
      </c>
      <c r="AS779" s="943"/>
      <c r="AT779" s="486" t="s">
        <v>326</v>
      </c>
      <c r="AU779" s="487" t="s">
        <v>55</v>
      </c>
      <c r="AV779" s="488">
        <f t="shared" si="570"/>
        <v>0</v>
      </c>
      <c r="AW779" s="489">
        <f t="shared" ref="AW779:AW783" si="596">$X$755</f>
        <v>4</v>
      </c>
      <c r="AX779" s="924" t="str">
        <f t="shared" ref="AX779:AX783" si="597">AY$758</f>
        <v/>
      </c>
      <c r="AY779" s="491">
        <f t="shared" ref="AY779:AY783" si="598">(20/1)*$X$755</f>
        <v>80</v>
      </c>
      <c r="AZ779" s="489">
        <f t="shared" ref="AZ779:AZ783" si="599">AY779*AY$765</f>
        <v>640</v>
      </c>
      <c r="BA779" s="492">
        <f t="shared" ref="BA779:BA783" si="600">ROUNDUP(AV779/AZ779,2)</f>
        <v>0</v>
      </c>
      <c r="BB779" s="493">
        <f t="shared" ref="BB779:BB783" si="601">BA779*AX779*AW779*AY$765</f>
        <v>0</v>
      </c>
      <c r="BC779" s="494" t="str">
        <f t="shared" si="571"/>
        <v/>
      </c>
      <c r="BD779" s="595"/>
      <c r="BE779" s="595"/>
      <c r="BF779" s="595"/>
      <c r="BG779" s="595"/>
      <c r="BH779" s="595"/>
      <c r="BI779" s="595"/>
      <c r="BJ779" s="595"/>
      <c r="BK779" s="595"/>
      <c r="BL779" s="595"/>
      <c r="BM779" s="595"/>
      <c r="BN779" s="595"/>
      <c r="BO779" s="651"/>
      <c r="BP779" s="651"/>
      <c r="BQ779" s="651"/>
      <c r="BR779" s="651"/>
      <c r="BS779" s="651"/>
      <c r="BT779" s="651"/>
    </row>
    <row r="780">
      <c r="A780" s="583"/>
      <c r="B780" s="584"/>
      <c r="C780" s="499" t="s">
        <v>263</v>
      </c>
      <c r="D780" s="844"/>
      <c r="E780" s="845"/>
      <c r="F780" s="846"/>
      <c r="G780" s="847"/>
      <c r="H780" s="848"/>
      <c r="I780" s="437">
        <f>X755</f>
        <v>4</v>
      </c>
      <c r="J780" s="436">
        <v>1.0</v>
      </c>
      <c r="K780" s="370">
        <v>25.0</v>
      </c>
      <c r="L780" s="371" t="str">
        <f>L778</f>
        <v>#REF!</v>
      </c>
      <c r="M780" s="840"/>
      <c r="N780" s="849" t="str">
        <f t="shared" si="594"/>
        <v>#REF!</v>
      </c>
      <c r="O780" s="590"/>
      <c r="P780" s="939">
        <f>IFERROR(__xludf.DUMMYFUNCTION("IF(Q780="""","""",
   IF(Q780=0,0,
      IF(ISNUMBER(MATCH(Q780,FILTER(R$770:R$890,T$770:T$890&lt;&gt;0),0)),1,0)
   )
)"),1.0)</f>
        <v>1</v>
      </c>
      <c r="Q780" s="941" t="str">
        <f>IFERROR(__xludf.DUMMYFUNCTION("""COMPUTED_VALUE"""),"R-GenFix")</f>
        <v>R-GenFix</v>
      </c>
      <c r="R780" s="929" t="s">
        <v>321</v>
      </c>
      <c r="S780" s="930" t="s">
        <v>52</v>
      </c>
      <c r="T780" s="488">
        <f t="shared" si="572"/>
        <v>2</v>
      </c>
      <c r="U780" s="489">
        <f t="shared" si="551"/>
        <v>4</v>
      </c>
      <c r="V780" s="490" t="str">
        <f t="shared" si="552"/>
        <v>#REF!</v>
      </c>
      <c r="W780" s="491">
        <f>(0.5/3)*$X$755</f>
        <v>0.6666666667</v>
      </c>
      <c r="X780" s="489">
        <f t="shared" si="590"/>
        <v>5.333333333</v>
      </c>
      <c r="Y780" s="492">
        <f t="shared" si="591"/>
        <v>0.38</v>
      </c>
      <c r="Z780" s="493" t="str">
        <f t="shared" si="592"/>
        <v>#REF!</v>
      </c>
      <c r="AA780" s="931" t="str">
        <f t="shared" si="593"/>
        <v/>
      </c>
      <c r="AB780" s="925" t="str">
        <f t="shared" si="565"/>
        <v/>
      </c>
      <c r="AC780" s="595"/>
      <c r="AD780" s="939">
        <f>IFERROR(__xludf.DUMMYFUNCTION("IF(AE780="""","""",
   IF(AE780=0,0,
      IF(ISNUMBER(MATCH(AE780,FILTER(AF$768:AF$826,AH$768:AH$826&lt;&gt;0),0)),1,0)
   )
)"),1.0)</f>
        <v>1</v>
      </c>
      <c r="AE780" s="943" t="str">
        <f>IFERROR(__xludf.DUMMYFUNCTION("""COMPUTED_VALUE"""),"W-TSPurlinStrip")</f>
        <v>W-TSPurlinStrip</v>
      </c>
      <c r="AF780" s="929" t="s">
        <v>340</v>
      </c>
      <c r="AG780" s="932" t="s">
        <v>55</v>
      </c>
      <c r="AH780" s="488">
        <f t="shared" si="566"/>
        <v>242.44</v>
      </c>
      <c r="AI780" s="489">
        <f t="shared" si="583"/>
        <v>4</v>
      </c>
      <c r="AJ780" s="490" t="str">
        <f t="shared" si="595"/>
        <v>#REF!</v>
      </c>
      <c r="AK780" s="491"/>
      <c r="AL780" s="489"/>
      <c r="AM780" s="492"/>
      <c r="AN780" s="493"/>
      <c r="AO780" s="494"/>
      <c r="AP780" s="925" t="str">
        <f t="shared" si="557"/>
        <v/>
      </c>
      <c r="AQ780" s="595"/>
      <c r="AR780" s="939" t="str">
        <f>IFERROR(__xludf.DUMMYFUNCTION("IF(AS780="""","""",
   IF(AS780=0,0,
      IF(ISNUMBER(MATCH(AS780,FILTER(AT$768:AT$806,AV$768:AV$806&lt;&gt;0),0)),1,0)
   )
)"),"")</f>
        <v/>
      </c>
      <c r="AS780" s="943"/>
      <c r="AT780" s="486" t="s">
        <v>329</v>
      </c>
      <c r="AU780" s="487" t="s">
        <v>55</v>
      </c>
      <c r="AV780" s="488">
        <f t="shared" si="570"/>
        <v>0</v>
      </c>
      <c r="AW780" s="489">
        <f t="shared" si="596"/>
        <v>4</v>
      </c>
      <c r="AX780" s="924" t="str">
        <f t="shared" si="597"/>
        <v/>
      </c>
      <c r="AY780" s="491">
        <f t="shared" si="598"/>
        <v>80</v>
      </c>
      <c r="AZ780" s="489">
        <f t="shared" si="599"/>
        <v>640</v>
      </c>
      <c r="BA780" s="492">
        <f t="shared" si="600"/>
        <v>0</v>
      </c>
      <c r="BB780" s="493">
        <f t="shared" si="601"/>
        <v>0</v>
      </c>
      <c r="BC780" s="494" t="str">
        <f t="shared" si="571"/>
        <v/>
      </c>
      <c r="BD780" s="595"/>
      <c r="BE780" s="595"/>
      <c r="BF780" s="595"/>
      <c r="BG780" s="595"/>
      <c r="BH780" s="595"/>
      <c r="BI780" s="595"/>
      <c r="BJ780" s="595"/>
      <c r="BK780" s="595"/>
      <c r="BL780" s="595"/>
      <c r="BM780" s="595"/>
      <c r="BN780" s="595"/>
      <c r="BO780" s="651"/>
      <c r="BP780" s="651"/>
      <c r="BQ780" s="651"/>
      <c r="BR780" s="651"/>
      <c r="BS780" s="651"/>
      <c r="BT780" s="651"/>
    </row>
    <row r="781">
      <c r="A781" s="583"/>
      <c r="B781" s="584"/>
      <c r="C781" s="851"/>
      <c r="D781" s="609"/>
      <c r="E781" s="585"/>
      <c r="F781" s="586"/>
      <c r="G781" s="587"/>
      <c r="H781" s="584"/>
      <c r="I781" s="443"/>
      <c r="J781" s="443"/>
      <c r="K781" s="354"/>
      <c r="L781" s="588"/>
      <c r="M781" s="588"/>
      <c r="N781" s="833"/>
      <c r="O781" s="590"/>
      <c r="P781" s="939">
        <f>IFERROR(__xludf.DUMMYFUNCTION("IF(Q781="""","""",
   IF(Q781=0,0,
      IF(ISNUMBER(MATCH(Q781,FILTER(R$770:R$890,T$770:T$890&lt;&gt;0),0)),1,0)
   )
)"),1.0)</f>
        <v>1</v>
      </c>
      <c r="Q781" s="941" t="str">
        <f>IFERROR(__xludf.DUMMYFUNCTION("""COMPUTED_VALUE"""),"R-FFTop")</f>
        <v>R-FFTop</v>
      </c>
      <c r="R781" s="929" t="s">
        <v>324</v>
      </c>
      <c r="S781" s="930" t="s">
        <v>52</v>
      </c>
      <c r="T781" s="488">
        <f t="shared" si="572"/>
        <v>14</v>
      </c>
      <c r="U781" s="489">
        <f t="shared" si="551"/>
        <v>4</v>
      </c>
      <c r="V781" s="490" t="str">
        <f t="shared" si="552"/>
        <v>#REF!</v>
      </c>
      <c r="W781" s="935"/>
      <c r="X781" s="935"/>
      <c r="Y781" s="935"/>
      <c r="Z781" s="936"/>
      <c r="AA781" s="931">
        <f t="shared" si="593"/>
        <v>0</v>
      </c>
      <c r="AB781" s="925" t="str">
        <f t="shared" si="565"/>
        <v/>
      </c>
      <c r="AC781" s="595"/>
      <c r="AD781" s="939">
        <f>IFERROR(__xludf.DUMMYFUNCTION("IF(AE781="""","""",
   IF(AE781=0,0,
      IF(ISNUMBER(MATCH(AE781,FILTER(AF$768:AF$826,AH$768:AH$826&lt;&gt;0),0)),1,0)
   )
)"),0.0)</f>
        <v>0</v>
      </c>
      <c r="AE781" s="943" t="str">
        <f>IFERROR(__xludf.DUMMYFUNCTION("""COMPUTED_VALUE"""),"W-Underlay")</f>
        <v>W-Underlay</v>
      </c>
      <c r="AF781" s="929" t="s">
        <v>335</v>
      </c>
      <c r="AG781" s="932" t="s">
        <v>55</v>
      </c>
      <c r="AH781" s="488">
        <f t="shared" si="566"/>
        <v>1087.83</v>
      </c>
      <c r="AI781" s="489">
        <f t="shared" si="583"/>
        <v>4</v>
      </c>
      <c r="AJ781" s="490" t="str">
        <f t="shared" si="595"/>
        <v>#REF!</v>
      </c>
      <c r="AK781" s="491"/>
      <c r="AL781" s="489"/>
      <c r="AM781" s="492"/>
      <c r="AN781" s="493"/>
      <c r="AO781" s="494"/>
      <c r="AP781" s="925" t="str">
        <f t="shared" si="557"/>
        <v/>
      </c>
      <c r="AQ781" s="595"/>
      <c r="AR781" s="939" t="str">
        <f>IFERROR(__xludf.DUMMYFUNCTION("IF(AS781="""","""",
   IF(AS781=0,0,
      IF(ISNUMBER(MATCH(AS781,FILTER(AT$768:AT$806,AV$768:AV$806&lt;&gt;0),0)),1,0)
   )
)"),"")</f>
        <v/>
      </c>
      <c r="AS781" s="943"/>
      <c r="AT781" s="486" t="s">
        <v>331</v>
      </c>
      <c r="AU781" s="487" t="s">
        <v>55</v>
      </c>
      <c r="AV781" s="488">
        <f t="shared" si="570"/>
        <v>0</v>
      </c>
      <c r="AW781" s="489">
        <f t="shared" si="596"/>
        <v>4</v>
      </c>
      <c r="AX781" s="924" t="str">
        <f t="shared" si="597"/>
        <v/>
      </c>
      <c r="AY781" s="491">
        <f t="shared" si="598"/>
        <v>80</v>
      </c>
      <c r="AZ781" s="489">
        <f t="shared" si="599"/>
        <v>640</v>
      </c>
      <c r="BA781" s="492">
        <f t="shared" si="600"/>
        <v>0</v>
      </c>
      <c r="BB781" s="493">
        <f t="shared" si="601"/>
        <v>0</v>
      </c>
      <c r="BC781" s="494" t="str">
        <f t="shared" si="571"/>
        <v/>
      </c>
      <c r="BD781" s="595"/>
      <c r="BE781" s="595"/>
      <c r="BF781" s="595"/>
      <c r="BG781" s="595"/>
      <c r="BH781" s="595"/>
      <c r="BI781" s="595"/>
      <c r="BJ781" s="595"/>
      <c r="BK781" s="595"/>
      <c r="BL781" s="595"/>
      <c r="BM781" s="595"/>
      <c r="BN781" s="595"/>
      <c r="BO781" s="651"/>
      <c r="BP781" s="651"/>
      <c r="BQ781" s="651"/>
      <c r="BR781" s="651"/>
      <c r="BS781" s="651"/>
      <c r="BT781" s="651"/>
    </row>
    <row r="782">
      <c r="A782" s="583"/>
      <c r="B782" s="584"/>
      <c r="C782" s="499" t="s">
        <v>264</v>
      </c>
      <c r="D782" s="844"/>
      <c r="E782" s="845"/>
      <c r="F782" s="846"/>
      <c r="G782" s="847"/>
      <c r="H782" s="848"/>
      <c r="I782" s="437">
        <f>X755</f>
        <v>4</v>
      </c>
      <c r="J782" s="500" t="str">
        <f>W757</f>
        <v>#REF!</v>
      </c>
      <c r="K782" s="948">
        <v>50.0</v>
      </c>
      <c r="L782" s="850"/>
      <c r="M782" s="870">
        <v>1.0</v>
      </c>
      <c r="N782" s="849" t="str">
        <f t="shared" ref="N782:N784" si="603">I782*J782*K782*M782</f>
        <v>#REF!</v>
      </c>
      <c r="O782" s="590"/>
      <c r="P782" s="939">
        <f>IFERROR(__xludf.DUMMYFUNCTION("IF(Q782="""","""",
   IF(Q782=0,0,
      IF(ISNUMBER(MATCH(Q782,FILTER(R$770:R$890,T$770:T$890&lt;&gt;0),0)),1,0)
   )
)"),1.0)</f>
        <v>1</v>
      </c>
      <c r="Q782" s="941" t="str">
        <f>IFERROR(__xludf.DUMMYFUNCTION("""COMPUTED_VALUE"""),"R-TU/TD")</f>
        <v>R-TU/TD</v>
      </c>
      <c r="R782" s="929" t="s">
        <v>327</v>
      </c>
      <c r="S782" s="930" t="s">
        <v>52</v>
      </c>
      <c r="T782" s="488">
        <f t="shared" si="572"/>
        <v>4</v>
      </c>
      <c r="U782" s="489">
        <f t="shared" si="551"/>
        <v>4</v>
      </c>
      <c r="V782" s="490" t="str">
        <f t="shared" si="552"/>
        <v>#REF!</v>
      </c>
      <c r="W782" s="491"/>
      <c r="X782" s="489"/>
      <c r="Y782" s="492"/>
      <c r="Z782" s="493"/>
      <c r="AA782" s="931"/>
      <c r="AB782" s="925" t="str">
        <f t="shared" si="565"/>
        <v/>
      </c>
      <c r="AC782" s="595"/>
      <c r="AD782" s="939">
        <f>IFERROR(__xludf.DUMMYFUNCTION("IF(AE782="""","""",
   IF(AE782=0,0,
      IF(ISNUMBER(MATCH(AE782,FILTER(AF$768:AF$826,AH$768:AH$826&lt;&gt;0),0)),1,0)
   )
)"),0.0)</f>
        <v>0</v>
      </c>
      <c r="AE782" s="943" t="str">
        <f>IFERROR(__xludf.DUMMYFUNCTION("""COMPUTED_VALUE"""),"W-UTape")</f>
        <v>W-UTape</v>
      </c>
      <c r="AF782" s="929" t="s">
        <v>153</v>
      </c>
      <c r="AG782" s="932" t="s">
        <v>52</v>
      </c>
      <c r="AH782" s="488">
        <f t="shared" si="566"/>
        <v>15256</v>
      </c>
      <c r="AI782" s="489">
        <f t="shared" si="583"/>
        <v>4</v>
      </c>
      <c r="AJ782" s="490" t="str">
        <f t="shared" si="595"/>
        <v>#REF!</v>
      </c>
      <c r="AK782" s="935"/>
      <c r="AL782" s="935"/>
      <c r="AM782" s="935"/>
      <c r="AN782" s="936"/>
      <c r="AO782" s="494">
        <f t="shared" ref="AO782:AO798" si="604">iferror(AN782/AH782,"")</f>
        <v>0</v>
      </c>
      <c r="AP782" s="925" t="str">
        <f t="shared" si="557"/>
        <v/>
      </c>
      <c r="AQ782" s="595"/>
      <c r="AR782" s="939" t="str">
        <f>IFERROR(__xludf.DUMMYFUNCTION("IF(AS782="""","""",
   IF(AS782=0,0,
      IF(ISNUMBER(MATCH(AS782,FILTER(AT$768:AT$806,AV$768:AV$806&lt;&gt;0),0)),1,0)
   )
)"),"")</f>
        <v/>
      </c>
      <c r="AS782" s="943"/>
      <c r="AT782" s="486" t="s">
        <v>334</v>
      </c>
      <c r="AU782" s="487" t="s">
        <v>55</v>
      </c>
      <c r="AV782" s="488">
        <f t="shared" si="570"/>
        <v>0</v>
      </c>
      <c r="AW782" s="489">
        <f t="shared" si="596"/>
        <v>4</v>
      </c>
      <c r="AX782" s="924" t="str">
        <f t="shared" si="597"/>
        <v/>
      </c>
      <c r="AY782" s="491">
        <f t="shared" si="598"/>
        <v>80</v>
      </c>
      <c r="AZ782" s="489">
        <f t="shared" si="599"/>
        <v>640</v>
      </c>
      <c r="BA782" s="492">
        <f t="shared" si="600"/>
        <v>0</v>
      </c>
      <c r="BB782" s="493">
        <f t="shared" si="601"/>
        <v>0</v>
      </c>
      <c r="BC782" s="494" t="str">
        <f t="shared" si="571"/>
        <v/>
      </c>
      <c r="BD782" s="595"/>
      <c r="BE782" s="595"/>
      <c r="BF782" s="595"/>
      <c r="BG782" s="595"/>
      <c r="BH782" s="595"/>
      <c r="BI782" s="595"/>
      <c r="BJ782" s="595"/>
      <c r="BK782" s="595"/>
      <c r="BL782" s="595"/>
      <c r="BM782" s="595"/>
      <c r="BN782" s="595"/>
      <c r="BO782" s="651"/>
      <c r="BP782" s="651"/>
      <c r="BQ782" s="651"/>
      <c r="BR782" s="651"/>
      <c r="BS782" s="651"/>
      <c r="BT782" s="651"/>
    </row>
    <row r="783">
      <c r="A783" s="583"/>
      <c r="B783" s="584"/>
      <c r="C783" s="499" t="s">
        <v>265</v>
      </c>
      <c r="D783" s="844"/>
      <c r="E783" s="845"/>
      <c r="F783" s="846"/>
      <c r="G783" s="847"/>
      <c r="H783" s="848"/>
      <c r="I783" s="437">
        <f t="shared" ref="I783:J783" si="602">I782</f>
        <v>4</v>
      </c>
      <c r="J783" s="500" t="str">
        <f t="shared" si="602"/>
        <v>#REF!</v>
      </c>
      <c r="K783" s="948">
        <v>50.0</v>
      </c>
      <c r="L783" s="850"/>
      <c r="M783" s="870">
        <v>1.0</v>
      </c>
      <c r="N783" s="849" t="str">
        <f t="shared" si="603"/>
        <v>#REF!</v>
      </c>
      <c r="O783" s="590"/>
      <c r="P783" s="939">
        <f>IFERROR(__xludf.DUMMYFUNCTION("IF(Q783="""","""",
   IF(Q783=0,0,
      IF(ISNUMBER(MATCH(Q783,FILTER(R$770:R$890,T$770:T$890&lt;&gt;0),0)),1,0)
   )
)"),1.0)</f>
        <v>1</v>
      </c>
      <c r="Q783" s="941" t="str">
        <f>IFERROR(__xludf.DUMMYFUNCTION("""COMPUTED_VALUE"""),"R-Accessories")</f>
        <v>R-Accessories</v>
      </c>
      <c r="R783" s="929" t="s">
        <v>139</v>
      </c>
      <c r="S783" s="930" t="s">
        <v>55</v>
      </c>
      <c r="T783" s="488">
        <f t="shared" si="572"/>
        <v>715.8</v>
      </c>
      <c r="U783" s="489">
        <f t="shared" si="551"/>
        <v>4</v>
      </c>
      <c r="V783" s="490" t="str">
        <f t="shared" si="552"/>
        <v>#REF!</v>
      </c>
      <c r="W783" s="491">
        <f>(5/2)*$X$755</f>
        <v>10</v>
      </c>
      <c r="X783" s="489">
        <f>W783*W$765</f>
        <v>80</v>
      </c>
      <c r="Y783" s="492">
        <f>ROUNDUP(T783/X783,2)</f>
        <v>8.95</v>
      </c>
      <c r="Z783" s="493" t="str">
        <f>Y783*V783*U783*W$765</f>
        <v>#REF!</v>
      </c>
      <c r="AA783" s="931" t="str">
        <f t="shared" ref="AA783:AA789" si="605">iferror(Z783/T783,"")</f>
        <v/>
      </c>
      <c r="AB783" s="925" t="str">
        <f t="shared" si="565"/>
        <v/>
      </c>
      <c r="AC783" s="595"/>
      <c r="AD783" s="939">
        <f>IFERROR(__xludf.DUMMYFUNCTION("IF(AE783="""","""",
   IF(AE783=0,0,
      IF(ISNUMBER(MATCH(AE783,FILTER(AF$768:AF$826,AH$768:AH$826&lt;&gt;0),0)),1,0)
   )
)"),1.0)</f>
        <v>1</v>
      </c>
      <c r="AE783" s="943" t="str">
        <f>IFERROR(__xludf.DUMMYFUNCTION("""COMPUTED_VALUE"""),"W-Flashing")</f>
        <v>W-Flashing</v>
      </c>
      <c r="AF783" s="929" t="s">
        <v>161</v>
      </c>
      <c r="AG783" s="932" t="s">
        <v>55</v>
      </c>
      <c r="AH783" s="488">
        <f t="shared" si="566"/>
        <v>992.18</v>
      </c>
      <c r="AI783" s="489">
        <f t="shared" si="583"/>
        <v>4</v>
      </c>
      <c r="AJ783" s="490" t="str">
        <f t="shared" si="595"/>
        <v>#REF!</v>
      </c>
      <c r="AK783" s="491">
        <f>(8/2)*$X$755</f>
        <v>16</v>
      </c>
      <c r="AL783" s="489">
        <f t="shared" ref="AL783:AL785" si="606">AK783*AK$765</f>
        <v>128</v>
      </c>
      <c r="AM783" s="492">
        <f t="shared" ref="AM783:AM785" si="607">ROUNDUP(AH783/AL783,2)</f>
        <v>7.76</v>
      </c>
      <c r="AN783" s="493" t="str">
        <f t="shared" ref="AN783:AN785" si="608">AM783*AJ783*AI783*AK$765</f>
        <v>#REF!</v>
      </c>
      <c r="AO783" s="494" t="str">
        <f t="shared" si="604"/>
        <v/>
      </c>
      <c r="AP783" s="925" t="str">
        <f t="shared" si="557"/>
        <v/>
      </c>
      <c r="AQ783" s="595"/>
      <c r="AR783" s="939" t="str">
        <f>IFERROR(__xludf.DUMMYFUNCTION("IF(AS783="""","""",
   IF(AS783=0,0,
      IF(ISNUMBER(MATCH(AS783,FILTER(AT$768:AT$806,AV$768:AV$806&lt;&gt;0),0)),1,0)
   )
)"),"")</f>
        <v/>
      </c>
      <c r="AS783" s="943"/>
      <c r="AT783" s="486" t="s">
        <v>336</v>
      </c>
      <c r="AU783" s="487" t="s">
        <v>55</v>
      </c>
      <c r="AV783" s="488">
        <f t="shared" si="570"/>
        <v>0</v>
      </c>
      <c r="AW783" s="489">
        <f t="shared" si="596"/>
        <v>4</v>
      </c>
      <c r="AX783" s="924" t="str">
        <f t="shared" si="597"/>
        <v/>
      </c>
      <c r="AY783" s="491">
        <f t="shared" si="598"/>
        <v>80</v>
      </c>
      <c r="AZ783" s="489">
        <f t="shared" si="599"/>
        <v>640</v>
      </c>
      <c r="BA783" s="492">
        <f t="shared" si="600"/>
        <v>0</v>
      </c>
      <c r="BB783" s="493">
        <f t="shared" si="601"/>
        <v>0</v>
      </c>
      <c r="BC783" s="494" t="str">
        <f t="shared" si="571"/>
        <v/>
      </c>
      <c r="BD783" s="595"/>
      <c r="BE783" s="595"/>
      <c r="BF783" s="595"/>
      <c r="BG783" s="595"/>
      <c r="BH783" s="595"/>
      <c r="BI783" s="595"/>
      <c r="BJ783" s="595"/>
      <c r="BK783" s="595"/>
      <c r="BL783" s="595"/>
      <c r="BM783" s="595"/>
      <c r="BN783" s="595"/>
      <c r="BO783" s="651"/>
      <c r="BP783" s="651"/>
      <c r="BQ783" s="651"/>
      <c r="BR783" s="651"/>
      <c r="BS783" s="651"/>
      <c r="BT783" s="651"/>
    </row>
    <row r="784">
      <c r="A784" s="583"/>
      <c r="B784" s="584"/>
      <c r="C784" s="499" t="s">
        <v>266</v>
      </c>
      <c r="D784" s="844"/>
      <c r="E784" s="845"/>
      <c r="F784" s="846"/>
      <c r="G784" s="847"/>
      <c r="H784" s="848"/>
      <c r="I784" s="437">
        <f>I782</f>
        <v>4</v>
      </c>
      <c r="J784" s="507">
        <v>1.0</v>
      </c>
      <c r="K784" s="370">
        <v>0.0</v>
      </c>
      <c r="L784" s="850"/>
      <c r="M784" s="840"/>
      <c r="N784" s="849">
        <f t="shared" si="603"/>
        <v>0</v>
      </c>
      <c r="O784" s="590"/>
      <c r="P784" s="939">
        <f>IFERROR(__xludf.DUMMYFUNCTION("IF(Q784="""","""",
   IF(Q784=0,0,
      IF(ISNUMBER(MATCH(Q784,FILTER(R$770:R$890,T$770:T$890&lt;&gt;0),0)),1,0)
   )
)"),1.0)</f>
        <v>1</v>
      </c>
      <c r="Q784" s="941" t="str">
        <f>IFERROR(__xludf.DUMMYFUNCTION("""COMPUTED_VALUE"""),"R-ThermExpFlashClip")</f>
        <v>R-ThermExpFlashClip</v>
      </c>
      <c r="R784" s="929" t="s">
        <v>337</v>
      </c>
      <c r="S784" s="930" t="s">
        <v>52</v>
      </c>
      <c r="T784" s="488">
        <f t="shared" si="572"/>
        <v>25</v>
      </c>
      <c r="U784" s="489">
        <f t="shared" si="551"/>
        <v>4</v>
      </c>
      <c r="V784" s="490" t="str">
        <f t="shared" si="552"/>
        <v>#REF!</v>
      </c>
      <c r="W784" s="491"/>
      <c r="X784" s="489"/>
      <c r="Y784" s="492"/>
      <c r="Z784" s="493"/>
      <c r="AA784" s="931">
        <f t="shared" si="605"/>
        <v>0</v>
      </c>
      <c r="AB784" s="925" t="str">
        <f t="shared" si="565"/>
        <v/>
      </c>
      <c r="AC784" s="595"/>
      <c r="AD784" s="939">
        <f>IFERROR(__xludf.DUMMYFUNCTION("IF(AE784="""","""",
   IF(AE784=0,0,
      IF(ISNUMBER(MATCH(AE784,FILTER(AF$768:AF$826,AH$768:AH$826&lt;&gt;0),0)),1,0)
   )
)"),1.0)</f>
        <v>1</v>
      </c>
      <c r="AE784" s="943" t="str">
        <f>IFERROR(__xludf.DUMMYFUNCTION("""COMPUTED_VALUE"""),"W-Silicone")</f>
        <v>W-Silicone</v>
      </c>
      <c r="AF784" s="942" t="s">
        <v>587</v>
      </c>
      <c r="AG784" s="945" t="s">
        <v>55</v>
      </c>
      <c r="AH784" s="488">
        <f t="shared" si="566"/>
        <v>0</v>
      </c>
      <c r="AI784" s="489">
        <f t="shared" si="583"/>
        <v>4</v>
      </c>
      <c r="AJ784" s="490" t="str">
        <f t="shared" ref="AJ784:AJ785" si="609">AN$758</f>
        <v/>
      </c>
      <c r="AK784" s="491">
        <f t="shared" ref="AK784:AK785" si="610">(30/4)*$X$755</f>
        <v>30</v>
      </c>
      <c r="AL784" s="489">
        <f t="shared" si="606"/>
        <v>240</v>
      </c>
      <c r="AM784" s="492">
        <f t="shared" si="607"/>
        <v>0</v>
      </c>
      <c r="AN784" s="493">
        <f t="shared" si="608"/>
        <v>0</v>
      </c>
      <c r="AO784" s="494" t="str">
        <f t="shared" si="604"/>
        <v/>
      </c>
      <c r="AP784" s="925" t="str">
        <f t="shared" si="557"/>
        <v/>
      </c>
      <c r="AQ784" s="595"/>
      <c r="AR784" s="939" t="str">
        <f>IFERROR(__xludf.DUMMYFUNCTION("IF(AS784="""","""",
   IF(AS784=0,0,
      IF(ISNUMBER(MATCH(AS784,FILTER(AT$768:AT$806,AV$768:AV$806&lt;&gt;0),0)),1,0)
   )
)"),"")</f>
        <v/>
      </c>
      <c r="AS784" s="943"/>
      <c r="AT784" s="486" t="s">
        <v>339</v>
      </c>
      <c r="AU784" s="487" t="s">
        <v>52</v>
      </c>
      <c r="AV784" s="488">
        <f t="shared" si="570"/>
        <v>0</v>
      </c>
      <c r="AW784" s="935"/>
      <c r="AX784" s="924"/>
      <c r="AY784" s="935"/>
      <c r="AZ784" s="935"/>
      <c r="BA784" s="935"/>
      <c r="BB784" s="936"/>
      <c r="BC784" s="494" t="str">
        <f t="shared" si="571"/>
        <v/>
      </c>
      <c r="BD784" s="595"/>
      <c r="BE784" s="595"/>
      <c r="BF784" s="595"/>
      <c r="BG784" s="595"/>
      <c r="BH784" s="595"/>
      <c r="BI784" s="595"/>
      <c r="BJ784" s="595"/>
      <c r="BK784" s="595"/>
      <c r="BL784" s="595"/>
      <c r="BM784" s="595"/>
      <c r="BN784" s="595"/>
      <c r="BO784" s="651"/>
      <c r="BP784" s="651"/>
      <c r="BQ784" s="651"/>
      <c r="BR784" s="651"/>
      <c r="BS784" s="651"/>
      <c r="BT784" s="651"/>
    </row>
    <row r="785">
      <c r="A785" s="583"/>
      <c r="B785" s="584"/>
      <c r="C785" s="499" t="s">
        <v>267</v>
      </c>
      <c r="D785" s="844"/>
      <c r="E785" s="845"/>
      <c r="F785" s="846"/>
      <c r="G785" s="847"/>
      <c r="H785" s="848"/>
      <c r="I785" s="437">
        <f>I782</f>
        <v>4</v>
      </c>
      <c r="J785" s="504">
        <v>6.0</v>
      </c>
      <c r="K785" s="370" t="str">
        <f>$AC$758</f>
        <v>#REF!</v>
      </c>
      <c r="L785" s="371">
        <v>2.0</v>
      </c>
      <c r="M785" s="870">
        <v>1.0</v>
      </c>
      <c r="N785" s="849" t="str">
        <f t="shared" ref="N785:N787" si="611">I785*J785*K785*M785*L785</f>
        <v>#REF!</v>
      </c>
      <c r="O785" s="590"/>
      <c r="P785" s="939">
        <f>IFERROR(__xludf.DUMMYFUNCTION("IF(Q785="""","""",
   IF(Q785=0,0,
      IF(ISNUMBER(MATCH(Q785,FILTER(R$770:R$890,T$770:T$890&lt;&gt;0),0)),1,0)
   )
)"),1.0)</f>
        <v>1</v>
      </c>
      <c r="Q785" s="941" t="str">
        <f>IFERROR(__xludf.DUMMYFUNCTION("""COMPUTED_VALUE"""),"R-PanFlash Fix")</f>
        <v>R-PanFlash Fix</v>
      </c>
      <c r="R785" s="929" t="s">
        <v>141</v>
      </c>
      <c r="S785" s="930" t="s">
        <v>52</v>
      </c>
      <c r="T785" s="488">
        <f t="shared" si="572"/>
        <v>357</v>
      </c>
      <c r="U785" s="489">
        <f t="shared" si="551"/>
        <v>4</v>
      </c>
      <c r="V785" s="490" t="str">
        <f t="shared" si="552"/>
        <v>#REF!</v>
      </c>
      <c r="W785" s="491">
        <f>(80/4)*$X$755</f>
        <v>80</v>
      </c>
      <c r="X785" s="489">
        <f t="shared" ref="X785:X789" si="612">W785*W$765</f>
        <v>640</v>
      </c>
      <c r="Y785" s="492">
        <f t="shared" ref="Y785:Y789" si="613">ROUNDUP(T785/X785,2)</f>
        <v>0.56</v>
      </c>
      <c r="Z785" s="493" t="str">
        <f t="shared" ref="Z785:Z789" si="614">Y785*V785*U785*W$765</f>
        <v>#REF!</v>
      </c>
      <c r="AA785" s="931" t="str">
        <f t="shared" si="605"/>
        <v/>
      </c>
      <c r="AB785" s="925" t="str">
        <f t="shared" si="565"/>
        <v/>
      </c>
      <c r="AC785" s="595"/>
      <c r="AD785" s="939">
        <f>IFERROR(__xludf.DUMMYFUNCTION("IF(AE785="""","""",
   IF(AE785=0,0,
      IF(ISNUMBER(MATCH(AE785,FILTER(AF$768:AF$826,AH$768:AH$826&lt;&gt;0),0)),1,0)
   )
)"),1.0)</f>
        <v>1</v>
      </c>
      <c r="AE785" s="943" t="str">
        <f>IFERROR(__xludf.DUMMYFUNCTION("""COMPUTED_VALUE"""),"W-Rivets")</f>
        <v>W-Rivets</v>
      </c>
      <c r="AF785" s="929" t="s">
        <v>588</v>
      </c>
      <c r="AG785" s="932" t="s">
        <v>55</v>
      </c>
      <c r="AH785" s="488">
        <f t="shared" si="566"/>
        <v>0</v>
      </c>
      <c r="AI785" s="489">
        <f t="shared" si="583"/>
        <v>4</v>
      </c>
      <c r="AJ785" s="490" t="str">
        <f t="shared" si="609"/>
        <v/>
      </c>
      <c r="AK785" s="491">
        <f t="shared" si="610"/>
        <v>30</v>
      </c>
      <c r="AL785" s="489">
        <f t="shared" si="606"/>
        <v>240</v>
      </c>
      <c r="AM785" s="492">
        <f t="shared" si="607"/>
        <v>0</v>
      </c>
      <c r="AN785" s="493">
        <f t="shared" si="608"/>
        <v>0</v>
      </c>
      <c r="AO785" s="494" t="str">
        <f t="shared" si="604"/>
        <v/>
      </c>
      <c r="AP785" s="925" t="str">
        <f t="shared" si="557"/>
        <v/>
      </c>
      <c r="AQ785" s="595"/>
      <c r="AR785" s="939" t="str">
        <f>IFERROR(__xludf.DUMMYFUNCTION("IF(AS785="""","""",
   IF(AS785=0,0,
      IF(ISNUMBER(MATCH(AS785,FILTER(AT$768:AT$806,AV$768:AV$806&lt;&gt;0),0)),1,0)
   )
)"),"")</f>
        <v/>
      </c>
      <c r="AS785" s="943"/>
      <c r="AT785" s="486" t="s">
        <v>341</v>
      </c>
      <c r="AU785" s="487" t="s">
        <v>55</v>
      </c>
      <c r="AV785" s="488">
        <f t="shared" si="570"/>
        <v>0</v>
      </c>
      <c r="AW785" s="489">
        <f t="shared" ref="AW785:AW787" si="615">$X$755</f>
        <v>4</v>
      </c>
      <c r="AX785" s="924" t="str">
        <f t="shared" ref="AX785:AX787" si="616">AY$758</f>
        <v/>
      </c>
      <c r="AY785" s="491">
        <f t="shared" ref="AY785:AY786" si="617">(10/2)*$X$755</f>
        <v>20</v>
      </c>
      <c r="AZ785" s="489">
        <f t="shared" ref="AZ785:AZ787" si="618">AY785*AY$765</f>
        <v>160</v>
      </c>
      <c r="BA785" s="492">
        <f t="shared" ref="BA785:BA787" si="619">ROUNDUP(AV785/AZ785,2)</f>
        <v>0</v>
      </c>
      <c r="BB785" s="493">
        <f t="shared" ref="BB785:BB787" si="620">BA785*AX785*AW785*AY$765</f>
        <v>0</v>
      </c>
      <c r="BC785" s="494" t="str">
        <f t="shared" si="571"/>
        <v/>
      </c>
      <c r="BD785" s="595"/>
      <c r="BE785" s="595"/>
      <c r="BF785" s="595"/>
      <c r="BG785" s="595"/>
      <c r="BH785" s="595"/>
      <c r="BI785" s="595"/>
      <c r="BJ785" s="595"/>
      <c r="BK785" s="595"/>
      <c r="BL785" s="595"/>
      <c r="BM785" s="595"/>
      <c r="BN785" s="595"/>
      <c r="BO785" s="651"/>
      <c r="BP785" s="651"/>
      <c r="BQ785" s="651"/>
      <c r="BR785" s="651"/>
      <c r="BS785" s="651"/>
      <c r="BT785" s="651"/>
    </row>
    <row r="786">
      <c r="A786" s="583"/>
      <c r="B786" s="584"/>
      <c r="C786" s="499" t="s">
        <v>268</v>
      </c>
      <c r="D786" s="844"/>
      <c r="E786" s="845"/>
      <c r="F786" s="846"/>
      <c r="G786" s="847"/>
      <c r="H786" s="848"/>
      <c r="I786" s="437">
        <f t="shared" ref="I786:I787" si="621">I785</f>
        <v>4</v>
      </c>
      <c r="J786" s="504">
        <v>0.5</v>
      </c>
      <c r="K786" s="370" t="str">
        <f>K785</f>
        <v>#REF!</v>
      </c>
      <c r="L786" s="371" t="str">
        <f>L778</f>
        <v>#REF!</v>
      </c>
      <c r="M786" s="840"/>
      <c r="N786" s="849" t="str">
        <f t="shared" si="611"/>
        <v>#REF!</v>
      </c>
      <c r="O786" s="590"/>
      <c r="P786" s="939">
        <f>IFERROR(__xludf.DUMMYFUNCTION("IF(Q786="""","""",
   IF(Q786=0,0,
      IF(ISNUMBER(MATCH(Q786,FILTER(R$770:R$890,T$770:T$890&lt;&gt;0),0)),1,0)
   )
)"),1.0)</f>
        <v>1</v>
      </c>
      <c r="Q786" s="941" t="str">
        <f>IFERROR(__xludf.DUMMYFUNCTION("""COMPUTED_VALUE"""),"R-FFSide")</f>
        <v>R-FFSide</v>
      </c>
      <c r="R786" s="942" t="s">
        <v>332</v>
      </c>
      <c r="S786" s="930" t="s">
        <v>55</v>
      </c>
      <c r="T786" s="488">
        <f t="shared" si="572"/>
        <v>0</v>
      </c>
      <c r="U786" s="489">
        <f t="shared" si="551"/>
        <v>4</v>
      </c>
      <c r="V786" s="490" t="str">
        <f t="shared" si="552"/>
        <v>#REF!</v>
      </c>
      <c r="W786" s="491">
        <f>(20/1)*$X$755</f>
        <v>80</v>
      </c>
      <c r="X786" s="489">
        <f t="shared" si="612"/>
        <v>640</v>
      </c>
      <c r="Y786" s="492">
        <f t="shared" si="613"/>
        <v>0</v>
      </c>
      <c r="Z786" s="493" t="str">
        <f t="shared" si="614"/>
        <v>#REF!</v>
      </c>
      <c r="AA786" s="931" t="str">
        <f t="shared" si="605"/>
        <v/>
      </c>
      <c r="AB786" s="925" t="str">
        <f t="shared" si="565"/>
        <v/>
      </c>
      <c r="AC786" s="595"/>
      <c r="AD786" s="939">
        <f>IFERROR(__xludf.DUMMYFUNCTION("IF(AE786="""","""",
   IF(AE786=0,0,
      IF(ISNUMBER(MATCH(AE786,FILTER(AF$768:AF$826,AH$768:AH$826&lt;&gt;0),0)),1,0)
   )
)"),1.0)</f>
        <v>1</v>
      </c>
      <c r="AE786" s="943" t="str">
        <f>IFERROR(__xludf.DUMMYFUNCTION("""COMPUTED_VALUE"""),"W-GenFix")</f>
        <v>W-GenFix</v>
      </c>
      <c r="AF786" s="929" t="s">
        <v>164</v>
      </c>
      <c r="AG786" s="932" t="s">
        <v>52</v>
      </c>
      <c r="AH786" s="488">
        <f t="shared" si="566"/>
        <v>2088</v>
      </c>
      <c r="AI786" s="489">
        <f t="shared" si="583"/>
        <v>4</v>
      </c>
      <c r="AJ786" s="490" t="str">
        <f>AC$758</f>
        <v>#REF!</v>
      </c>
      <c r="AK786" s="935"/>
      <c r="AL786" s="935"/>
      <c r="AM786" s="935"/>
      <c r="AN786" s="936"/>
      <c r="AO786" s="494">
        <f t="shared" si="604"/>
        <v>0</v>
      </c>
      <c r="AP786" s="925" t="str">
        <f t="shared" si="557"/>
        <v/>
      </c>
      <c r="AQ786" s="595"/>
      <c r="AR786" s="939" t="str">
        <f>IFERROR(__xludf.DUMMYFUNCTION("IF(AS786="""","""",
   IF(AS786=0,0,
      IF(ISNUMBER(MATCH(AS786,FILTER(AT$768:AT$806,AV$768:AV$806&lt;&gt;0),0)),1,0)
   )
)"),"")</f>
        <v/>
      </c>
      <c r="AS786" s="943"/>
      <c r="AT786" s="486" t="s">
        <v>342</v>
      </c>
      <c r="AU786" s="487" t="s">
        <v>55</v>
      </c>
      <c r="AV786" s="488">
        <f t="shared" si="570"/>
        <v>0</v>
      </c>
      <c r="AW786" s="489">
        <f t="shared" si="615"/>
        <v>4</v>
      </c>
      <c r="AX786" s="924" t="str">
        <f t="shared" si="616"/>
        <v/>
      </c>
      <c r="AY786" s="491">
        <f t="shared" si="617"/>
        <v>20</v>
      </c>
      <c r="AZ786" s="489">
        <f t="shared" si="618"/>
        <v>160</v>
      </c>
      <c r="BA786" s="492">
        <f t="shared" si="619"/>
        <v>0</v>
      </c>
      <c r="BB786" s="493">
        <f t="shared" si="620"/>
        <v>0</v>
      </c>
      <c r="BC786" s="494" t="str">
        <f t="shared" si="571"/>
        <v/>
      </c>
      <c r="BD786" s="595"/>
      <c r="BE786" s="595"/>
      <c r="BF786" s="595"/>
      <c r="BG786" s="595"/>
      <c r="BH786" s="595"/>
      <c r="BI786" s="595"/>
      <c r="BJ786" s="595"/>
      <c r="BK786" s="595"/>
      <c r="BL786" s="595"/>
      <c r="BM786" s="595"/>
      <c r="BN786" s="595"/>
      <c r="BO786" s="651"/>
      <c r="BP786" s="651"/>
      <c r="BQ786" s="651"/>
      <c r="BR786" s="651"/>
      <c r="BS786" s="651"/>
      <c r="BT786" s="651"/>
    </row>
    <row r="787">
      <c r="A787" s="583"/>
      <c r="B787" s="584"/>
      <c r="C787" s="499" t="s">
        <v>269</v>
      </c>
      <c r="D787" s="844"/>
      <c r="E787" s="845"/>
      <c r="F787" s="846"/>
      <c r="G787" s="847"/>
      <c r="H787" s="848"/>
      <c r="I787" s="437">
        <f t="shared" si="621"/>
        <v>4</v>
      </c>
      <c r="J787" s="949">
        <v>158.0</v>
      </c>
      <c r="K787" s="370">
        <v>0.33</v>
      </c>
      <c r="L787" s="371">
        <v>2.0</v>
      </c>
      <c r="M787" s="401">
        <f>M785</f>
        <v>1</v>
      </c>
      <c r="N787" s="849">
        <f t="shared" si="611"/>
        <v>417.12</v>
      </c>
      <c r="O787" s="590"/>
      <c r="P787" s="939">
        <f>IFERROR(__xludf.DUMMYFUNCTION("IF(Q787="""","""",
   IF(Q787=0,0,
      IF(ISNUMBER(MATCH(Q787,FILTER(R$770:R$890,T$770:T$890&lt;&gt;0),0)),1,0)
   )
)"),1.0)</f>
        <v>1</v>
      </c>
      <c r="Q787" s="941" t="str">
        <f>IFERROR(__xludf.DUMMYFUNCTION("""COMPUTED_VALUE"""),"R-Comb Filler")</f>
        <v>R-Comb Filler</v>
      </c>
      <c r="R787" s="942" t="s">
        <v>589</v>
      </c>
      <c r="S787" s="930" t="s">
        <v>52</v>
      </c>
      <c r="T787" s="488">
        <f t="shared" si="572"/>
        <v>0</v>
      </c>
      <c r="U787" s="489">
        <f t="shared" si="551"/>
        <v>4</v>
      </c>
      <c r="V787" s="490" t="str">
        <f t="shared" si="552"/>
        <v>#REF!</v>
      </c>
      <c r="W787" s="491">
        <f>(5/1)*$X$755</f>
        <v>20</v>
      </c>
      <c r="X787" s="489">
        <f t="shared" si="612"/>
        <v>160</v>
      </c>
      <c r="Y787" s="492">
        <f t="shared" si="613"/>
        <v>0</v>
      </c>
      <c r="Z787" s="493" t="str">
        <f t="shared" si="614"/>
        <v>#REF!</v>
      </c>
      <c r="AA787" s="931" t="str">
        <f t="shared" si="605"/>
        <v/>
      </c>
      <c r="AB787" s="925" t="str">
        <f t="shared" si="565"/>
        <v/>
      </c>
      <c r="AC787" s="595"/>
      <c r="AD787" s="939">
        <f>IFERROR(__xludf.DUMMYFUNCTION("IF(AE787="""","""",
   IF(AE787=0,0,
      IF(ISNUMBER(MATCH(AE787,FILTER(AF$768:AF$826,AH$768:AH$826&lt;&gt;0),0)),1,0)
   )
)"),1.0)</f>
        <v>1</v>
      </c>
      <c r="AE787" s="943" t="str">
        <f>IFERROR(__xludf.DUMMYFUNCTION("""COMPUTED_VALUE"""),"W-FFSide")</f>
        <v>W-FFSide</v>
      </c>
      <c r="AF787" s="929" t="s">
        <v>371</v>
      </c>
      <c r="AG787" s="930" t="s">
        <v>41</v>
      </c>
      <c r="AH787" s="488">
        <f t="shared" si="566"/>
        <v>0</v>
      </c>
      <c r="AI787" s="489">
        <f t="shared" si="583"/>
        <v>4</v>
      </c>
      <c r="AJ787" s="924" t="str">
        <f t="shared" ref="AJ787:AJ795" si="622">AN$758</f>
        <v/>
      </c>
      <c r="AK787" s="491">
        <f>(6/3)*$X$755</f>
        <v>8</v>
      </c>
      <c r="AL787" s="489">
        <f t="shared" ref="AL787:AL795" si="623">AK787*AK$765</f>
        <v>64</v>
      </c>
      <c r="AM787" s="492">
        <f t="shared" ref="AM787:AM795" si="624">ROUNDUP(AH787/AL787,2)</f>
        <v>0</v>
      </c>
      <c r="AN787" s="493">
        <f t="shared" ref="AN787:AN795" si="625">AM787*AJ787*AI787*AK$765</f>
        <v>0</v>
      </c>
      <c r="AO787" s="494" t="str">
        <f t="shared" si="604"/>
        <v/>
      </c>
      <c r="AP787" s="925" t="str">
        <f t="shared" si="557"/>
        <v/>
      </c>
      <c r="AQ787" s="595"/>
      <c r="AR787" s="939" t="str">
        <f>IFERROR(__xludf.DUMMYFUNCTION("IF(AS787="""","""",
   IF(AS787=0,0,
      IF(ISNUMBER(MATCH(AS787,FILTER(AT$768:AT$806,AV$768:AV$806&lt;&gt;0),0)),1,0)
   )
)"),"")</f>
        <v/>
      </c>
      <c r="AS787" s="943"/>
      <c r="AT787" s="486" t="s">
        <v>344</v>
      </c>
      <c r="AU787" s="487" t="s">
        <v>55</v>
      </c>
      <c r="AV787" s="488">
        <f t="shared" si="570"/>
        <v>0</v>
      </c>
      <c r="AW787" s="489">
        <f t="shared" si="615"/>
        <v>4</v>
      </c>
      <c r="AX787" s="924" t="str">
        <f t="shared" si="616"/>
        <v/>
      </c>
      <c r="AY787" s="491">
        <f>(3/2)*$X$755</f>
        <v>6</v>
      </c>
      <c r="AZ787" s="489">
        <f t="shared" si="618"/>
        <v>48</v>
      </c>
      <c r="BA787" s="492">
        <f t="shared" si="619"/>
        <v>0</v>
      </c>
      <c r="BB787" s="493">
        <f t="shared" si="620"/>
        <v>0</v>
      </c>
      <c r="BC787" s="494" t="str">
        <f t="shared" si="571"/>
        <v/>
      </c>
      <c r="BD787" s="595"/>
      <c r="BE787" s="595"/>
      <c r="BF787" s="595"/>
      <c r="BG787" s="595"/>
      <c r="BH787" s="595"/>
      <c r="BI787" s="595"/>
      <c r="BJ787" s="595"/>
      <c r="BK787" s="595"/>
      <c r="BL787" s="595"/>
      <c r="BM787" s="595"/>
      <c r="BN787" s="595"/>
      <c r="BO787" s="651"/>
      <c r="BP787" s="651"/>
      <c r="BQ787" s="651"/>
      <c r="BR787" s="651"/>
      <c r="BS787" s="651"/>
      <c r="BT787" s="651"/>
    </row>
    <row r="788">
      <c r="A788" s="583"/>
      <c r="B788" s="584"/>
      <c r="C788" s="851"/>
      <c r="D788" s="609"/>
      <c r="E788" s="585"/>
      <c r="F788" s="586"/>
      <c r="G788" s="587"/>
      <c r="H788" s="584"/>
      <c r="I788" s="584"/>
      <c r="J788" s="584"/>
      <c r="K788" s="383"/>
      <c r="L788" s="588"/>
      <c r="M788" s="588"/>
      <c r="N788" s="833"/>
      <c r="O788" s="590"/>
      <c r="P788" s="939">
        <f>IFERROR(__xludf.DUMMYFUNCTION("IF(Q788="""","""",
   IF(Q788=0,0,
      IF(ISNUMBER(MATCH(Q788,FILTER(R$770:R$890,T$770:T$890&lt;&gt;0),0)),1,0)
   )
)"),1.0)</f>
        <v>1</v>
      </c>
      <c r="Q788" s="941" t="str">
        <f>IFERROR(__xludf.DUMMYFUNCTION("""COMPUTED_VALUE"""),"R-Fascia")</f>
        <v>R-Fascia</v>
      </c>
      <c r="R788" s="929" t="s">
        <v>120</v>
      </c>
      <c r="S788" s="930" t="s">
        <v>55</v>
      </c>
      <c r="T788" s="488">
        <f t="shared" si="572"/>
        <v>623.4936199</v>
      </c>
      <c r="U788" s="489">
        <f t="shared" si="551"/>
        <v>4</v>
      </c>
      <c r="V788" s="490" t="str">
        <f t="shared" si="552"/>
        <v>#REF!</v>
      </c>
      <c r="W788" s="491">
        <f>(8/4)*$X$755</f>
        <v>8</v>
      </c>
      <c r="X788" s="489">
        <f t="shared" si="612"/>
        <v>64</v>
      </c>
      <c r="Y788" s="492">
        <f t="shared" si="613"/>
        <v>9.75</v>
      </c>
      <c r="Z788" s="493" t="str">
        <f t="shared" si="614"/>
        <v>#REF!</v>
      </c>
      <c r="AA788" s="931" t="str">
        <f t="shared" si="605"/>
        <v/>
      </c>
      <c r="AB788" s="925" t="str">
        <f t="shared" si="565"/>
        <v/>
      </c>
      <c r="AC788" s="595"/>
      <c r="AD788" s="939">
        <f>IFERROR(__xludf.DUMMYFUNCTION("IF(AE788="""","""",
   IF(AE788=0,0,
      IF(ISNUMBER(MATCH(AE788,FILTER(AF$768:AF$826,AH$768:AH$826&lt;&gt;0),0)),1,0)
   )
)"),1.0)</f>
        <v>1</v>
      </c>
      <c r="AE788" s="943" t="str">
        <f>IFERROR(__xludf.DUMMYFUNCTION("""COMPUTED_VALUE"""),"W-Timber LM")</f>
        <v>W-Timber LM</v>
      </c>
      <c r="AF788" s="942" t="s">
        <v>590</v>
      </c>
      <c r="AG788" s="945" t="s">
        <v>41</v>
      </c>
      <c r="AH788" s="488">
        <f t="shared" si="566"/>
        <v>0</v>
      </c>
      <c r="AI788" s="489">
        <f t="shared" si="583"/>
        <v>4</v>
      </c>
      <c r="AJ788" s="490" t="str">
        <f t="shared" si="622"/>
        <v/>
      </c>
      <c r="AK788" s="491">
        <f>(30/4)*$X$755</f>
        <v>30</v>
      </c>
      <c r="AL788" s="489">
        <f t="shared" si="623"/>
        <v>240</v>
      </c>
      <c r="AM788" s="492">
        <f t="shared" si="624"/>
        <v>0</v>
      </c>
      <c r="AN788" s="493">
        <f t="shared" si="625"/>
        <v>0</v>
      </c>
      <c r="AO788" s="494" t="str">
        <f t="shared" si="604"/>
        <v/>
      </c>
      <c r="AP788" s="925" t="str">
        <f t="shared" si="557"/>
        <v/>
      </c>
      <c r="AQ788" s="595"/>
      <c r="AR788" s="939" t="str">
        <f>IFERROR(__xludf.DUMMYFUNCTION("IF(AS788="""","""",
   IF(AS788=0,0,
      IF(ISNUMBER(MATCH(AS788,FILTER(AT$768:AT$806,AV$768:AV$806&lt;&gt;0),0)),1,0)
   )
)"),"")</f>
        <v/>
      </c>
      <c r="AS788" s="943"/>
      <c r="AT788" s="486" t="s">
        <v>347</v>
      </c>
      <c r="AU788" s="487" t="s">
        <v>52</v>
      </c>
      <c r="AV788" s="488">
        <f t="shared" si="570"/>
        <v>0</v>
      </c>
      <c r="AW788" s="935"/>
      <c r="AX788" s="924"/>
      <c r="AY788" s="935"/>
      <c r="AZ788" s="935"/>
      <c r="BA788" s="935"/>
      <c r="BB788" s="936"/>
      <c r="BC788" s="494" t="str">
        <f t="shared" si="571"/>
        <v/>
      </c>
      <c r="BD788" s="595"/>
      <c r="BE788" s="595"/>
      <c r="BF788" s="595"/>
      <c r="BG788" s="595"/>
      <c r="BH788" s="595"/>
      <c r="BI788" s="595"/>
      <c r="BJ788" s="595"/>
      <c r="BK788" s="595"/>
      <c r="BL788" s="595"/>
      <c r="BM788" s="595"/>
      <c r="BN788" s="595"/>
      <c r="BO788" s="651"/>
      <c r="BP788" s="651"/>
      <c r="BQ788" s="651"/>
      <c r="BR788" s="651"/>
      <c r="BS788" s="651"/>
      <c r="BT788" s="651"/>
    </row>
    <row r="789">
      <c r="A789" s="583"/>
      <c r="B789" s="12" t="s">
        <v>176</v>
      </c>
      <c r="C789" s="329" t="s">
        <v>270</v>
      </c>
      <c r="D789" s="821"/>
      <c r="E789" s="822"/>
      <c r="F789" s="823"/>
      <c r="G789" s="824"/>
      <c r="H789" s="825"/>
      <c r="I789" s="333" t="s">
        <v>18</v>
      </c>
      <c r="J789" s="334" t="s">
        <v>15</v>
      </c>
      <c r="K789" s="335" t="s">
        <v>26</v>
      </c>
      <c r="L789" s="878"/>
      <c r="M789" s="878"/>
      <c r="N789" s="857">
        <f>SUM(N790:N804)</f>
        <v>0</v>
      </c>
      <c r="O789" s="950"/>
      <c r="P789" s="939">
        <f>IFERROR(__xludf.DUMMYFUNCTION("IF(Q789="""","""",
   IF(Q789=0,0,
      IF(ISNUMBER(MATCH(Q789,FILTER(R$770:R$890,T$770:T$890&lt;&gt;0),0)),1,0)
   )
)"),1.0)</f>
        <v>1</v>
      </c>
      <c r="Q789" s="941" t="str">
        <f>IFERROR(__xludf.DUMMYFUNCTION("""COMPUTED_VALUE"""),"R-PenoSmall")</f>
        <v>R-PenoSmall</v>
      </c>
      <c r="R789" s="929" t="s">
        <v>122</v>
      </c>
      <c r="S789" s="930" t="s">
        <v>52</v>
      </c>
      <c r="T789" s="488">
        <f t="shared" si="572"/>
        <v>1047.307406</v>
      </c>
      <c r="U789" s="489">
        <f t="shared" si="551"/>
        <v>4</v>
      </c>
      <c r="V789" s="490" t="str">
        <f t="shared" si="552"/>
        <v>#REF!</v>
      </c>
      <c r="W789" s="491">
        <f>(20/1)*$X$755</f>
        <v>80</v>
      </c>
      <c r="X789" s="489">
        <f t="shared" si="612"/>
        <v>640</v>
      </c>
      <c r="Y789" s="492">
        <f t="shared" si="613"/>
        <v>1.64</v>
      </c>
      <c r="Z789" s="493" t="str">
        <f t="shared" si="614"/>
        <v>#REF!</v>
      </c>
      <c r="AA789" s="931" t="str">
        <f t="shared" si="605"/>
        <v/>
      </c>
      <c r="AB789" s="925" t="str">
        <f t="shared" si="565"/>
        <v/>
      </c>
      <c r="AC789" s="595"/>
      <c r="AD789" s="939">
        <f>IFERROR(__xludf.DUMMYFUNCTION("IF(AE789="""","""",
   IF(AE789=0,0,
      IF(ISNUMBER(MATCH(AE789,FILTER(AF$768:AF$826,AH$768:AH$826&lt;&gt;0),0)),1,0)
   )
)"),1.0)</f>
        <v>1</v>
      </c>
      <c r="AE789" s="943" t="str">
        <f>IFERROR(__xludf.DUMMYFUNCTION("""COMPUTED_VALUE"""),"W-TimberLMFix")</f>
        <v>W-TimberLMFix</v>
      </c>
      <c r="AF789" s="929" t="s">
        <v>366</v>
      </c>
      <c r="AG789" s="930" t="s">
        <v>41</v>
      </c>
      <c r="AH789" s="488">
        <f t="shared" si="566"/>
        <v>0</v>
      </c>
      <c r="AI789" s="489">
        <f t="shared" si="583"/>
        <v>4</v>
      </c>
      <c r="AJ789" s="924" t="str">
        <f t="shared" si="622"/>
        <v/>
      </c>
      <c r="AK789" s="491">
        <f>(100/4)*$X$755</f>
        <v>100</v>
      </c>
      <c r="AL789" s="489">
        <f t="shared" si="623"/>
        <v>800</v>
      </c>
      <c r="AM789" s="492">
        <f t="shared" si="624"/>
        <v>0</v>
      </c>
      <c r="AN789" s="493">
        <f t="shared" si="625"/>
        <v>0</v>
      </c>
      <c r="AO789" s="494" t="str">
        <f t="shared" si="604"/>
        <v/>
      </c>
      <c r="AP789" s="925" t="str">
        <f t="shared" si="557"/>
        <v/>
      </c>
      <c r="AQ789" s="595"/>
      <c r="AR789" s="939" t="str">
        <f>IFERROR(__xludf.DUMMYFUNCTION("IF(AS789="""","""",
   IF(AS789=0,0,
      IF(ISNUMBER(MATCH(AS789,FILTER(AT$768:AT$806,AV$768:AV$806&lt;&gt;0),0)),1,0)
   )
)"),"")</f>
        <v/>
      </c>
      <c r="AS789" s="943"/>
      <c r="AT789" s="486" t="s">
        <v>350</v>
      </c>
      <c r="AU789" s="487" t="s">
        <v>55</v>
      </c>
      <c r="AV789" s="488">
        <f t="shared" si="570"/>
        <v>0</v>
      </c>
      <c r="AW789" s="489">
        <f t="shared" ref="AW789:AW797" si="626">$X$755</f>
        <v>4</v>
      </c>
      <c r="AX789" s="924" t="str">
        <f t="shared" ref="AX789:AX797" si="627">AY$758</f>
        <v/>
      </c>
      <c r="AY789" s="491">
        <f t="shared" ref="AY789:AY790" si="628">(20/1)*$X$755</f>
        <v>80</v>
      </c>
      <c r="AZ789" s="489">
        <f t="shared" ref="AZ789:AZ797" si="629">AY789*AY$765</f>
        <v>640</v>
      </c>
      <c r="BA789" s="492">
        <f t="shared" ref="BA789:BA797" si="630">ROUNDUP(AV789/AZ789,2)</f>
        <v>0</v>
      </c>
      <c r="BB789" s="493">
        <f t="shared" ref="BB789:BB797" si="631">BA789*AX789*AW789*AY$765</f>
        <v>0</v>
      </c>
      <c r="BC789" s="494" t="str">
        <f t="shared" si="571"/>
        <v/>
      </c>
      <c r="BD789" s="595"/>
      <c r="BE789" s="595"/>
      <c r="BF789" s="595"/>
      <c r="BG789" s="595"/>
      <c r="BH789" s="595"/>
      <c r="BI789" s="595"/>
      <c r="BJ789" s="595"/>
      <c r="BK789" s="595"/>
      <c r="BL789" s="595"/>
      <c r="BM789" s="595"/>
      <c r="BN789" s="595"/>
      <c r="BO789" s="651"/>
      <c r="BP789" s="651"/>
      <c r="BQ789" s="651"/>
      <c r="BR789" s="651"/>
      <c r="BS789" s="651"/>
      <c r="BT789" s="651"/>
    </row>
    <row r="790">
      <c r="A790" s="583"/>
      <c r="B790" s="584"/>
      <c r="C790" s="499" t="s">
        <v>271</v>
      </c>
      <c r="D790" s="844"/>
      <c r="E790" s="845"/>
      <c r="F790" s="846"/>
      <c r="G790" s="847"/>
      <c r="H790" s="848"/>
      <c r="I790" s="437">
        <v>2.0</v>
      </c>
      <c r="J790" s="504">
        <v>3.0</v>
      </c>
      <c r="K790" s="370">
        <v>750.0</v>
      </c>
      <c r="L790" s="850"/>
      <c r="M790" s="401">
        <v>0.0</v>
      </c>
      <c r="N790" s="849">
        <f t="shared" ref="N790:N793" si="632">M790*K790*J790*I790</f>
        <v>0</v>
      </c>
      <c r="O790" s="590"/>
      <c r="P790" s="939">
        <f>IFERROR(__xludf.DUMMYFUNCTION("IF(Q790="""","""",
   IF(Q790=0,0,
      IF(ISNUMBER(MATCH(Q790,FILTER(R$770:R$890,T$770:T$890&lt;&gt;0),0)),1,0)
   )
)"),1.0)</f>
        <v>1</v>
      </c>
      <c r="Q790" s="941" t="str">
        <f>IFERROR(__xludf.DUMMYFUNCTION("""COMPUTED_VALUE"""),"R-Dektite")</f>
        <v>R-Dektite</v>
      </c>
      <c r="R790" s="929" t="s">
        <v>123</v>
      </c>
      <c r="S790" s="930" t="s">
        <v>52</v>
      </c>
      <c r="T790" s="488">
        <f t="shared" si="572"/>
        <v>2101.616183</v>
      </c>
      <c r="U790" s="489">
        <f t="shared" si="551"/>
        <v>4</v>
      </c>
      <c r="V790" s="490" t="str">
        <f t="shared" si="552"/>
        <v>#REF!</v>
      </c>
      <c r="W790" s="491"/>
      <c r="X790" s="489"/>
      <c r="Y790" s="492"/>
      <c r="Z790" s="493"/>
      <c r="AA790" s="931"/>
      <c r="AB790" s="925" t="str">
        <f t="shared" si="565"/>
        <v/>
      </c>
      <c r="AC790" s="595"/>
      <c r="AD790" s="939" t="str">
        <f>IFERROR(__xludf.DUMMYFUNCTION("IF(AE790="""","""",
   IF(AE790=0,0,
      IF(ISNUMBER(MATCH(AE790,FILTER(AF$768:AF$826,AH$768:AH$826&lt;&gt;0),0)),1,0)
   )
)"),"")</f>
        <v/>
      </c>
      <c r="AE790" s="943"/>
      <c r="AF790" s="929" t="s">
        <v>376</v>
      </c>
      <c r="AG790" s="932" t="s">
        <v>52</v>
      </c>
      <c r="AH790" s="488">
        <f t="shared" si="566"/>
        <v>0</v>
      </c>
      <c r="AI790" s="489">
        <f t="shared" si="583"/>
        <v>4</v>
      </c>
      <c r="AJ790" s="924" t="str">
        <f t="shared" si="622"/>
        <v/>
      </c>
      <c r="AK790" s="491">
        <f t="shared" ref="AK790:AK792" si="633">(30/4)*$X$755</f>
        <v>30</v>
      </c>
      <c r="AL790" s="489">
        <f t="shared" si="623"/>
        <v>240</v>
      </c>
      <c r="AM790" s="492">
        <f t="shared" si="624"/>
        <v>0</v>
      </c>
      <c r="AN790" s="493">
        <f t="shared" si="625"/>
        <v>0</v>
      </c>
      <c r="AO790" s="494" t="str">
        <f t="shared" si="604"/>
        <v/>
      </c>
      <c r="AP790" s="925" t="str">
        <f t="shared" si="557"/>
        <v/>
      </c>
      <c r="AQ790" s="595"/>
      <c r="AR790" s="939" t="str">
        <f>IFERROR(__xludf.DUMMYFUNCTION("IF(AS790="""","""",
   IF(AS790=0,0,
      IF(ISNUMBER(MATCH(AS790,FILTER(AT$768:AT$806,AV$768:AV$806&lt;&gt;0),0)),1,0)
   )
)"),"")</f>
        <v/>
      </c>
      <c r="AS790" s="943"/>
      <c r="AT790" s="486" t="s">
        <v>336</v>
      </c>
      <c r="AU790" s="487" t="s">
        <v>55</v>
      </c>
      <c r="AV790" s="488">
        <f t="shared" si="570"/>
        <v>0</v>
      </c>
      <c r="AW790" s="489">
        <f t="shared" si="626"/>
        <v>4</v>
      </c>
      <c r="AX790" s="924" t="str">
        <f t="shared" si="627"/>
        <v/>
      </c>
      <c r="AY790" s="491">
        <f t="shared" si="628"/>
        <v>80</v>
      </c>
      <c r="AZ790" s="489">
        <f t="shared" si="629"/>
        <v>640</v>
      </c>
      <c r="BA790" s="492">
        <f t="shared" si="630"/>
        <v>0</v>
      </c>
      <c r="BB790" s="493">
        <f t="shared" si="631"/>
        <v>0</v>
      </c>
      <c r="BC790" s="494" t="str">
        <f t="shared" si="571"/>
        <v/>
      </c>
      <c r="BD790" s="595"/>
      <c r="BE790" s="595"/>
      <c r="BF790" s="595"/>
      <c r="BG790" s="595"/>
      <c r="BH790" s="595"/>
      <c r="BI790" s="595"/>
      <c r="BJ790" s="595"/>
      <c r="BK790" s="595"/>
      <c r="BL790" s="595"/>
      <c r="BM790" s="595"/>
      <c r="BN790" s="595"/>
      <c r="BO790" s="651"/>
      <c r="BP790" s="651"/>
      <c r="BQ790" s="651"/>
      <c r="BR790" s="651"/>
      <c r="BS790" s="651"/>
      <c r="BT790" s="651"/>
    </row>
    <row r="791">
      <c r="A791" s="583"/>
      <c r="B791" s="584"/>
      <c r="C791" s="499" t="s">
        <v>272</v>
      </c>
      <c r="D791" s="844"/>
      <c r="E791" s="845"/>
      <c r="F791" s="846"/>
      <c r="G791" s="847"/>
      <c r="H791" s="848"/>
      <c r="I791" s="437">
        <v>1.0</v>
      </c>
      <c r="J791" s="504">
        <v>10.0</v>
      </c>
      <c r="K791" s="370">
        <v>750.0</v>
      </c>
      <c r="L791" s="850"/>
      <c r="M791" s="401">
        <v>0.0</v>
      </c>
      <c r="N791" s="849">
        <f t="shared" si="632"/>
        <v>0</v>
      </c>
      <c r="O791" s="590"/>
      <c r="P791" s="939">
        <f>IFERROR(__xludf.DUMMYFUNCTION("IF(Q791="""","""",
   IF(Q791=0,0,
      IF(ISNUMBER(MATCH(Q791,FILTER(R$770:R$890,T$770:T$890&lt;&gt;0),0)),1,0)
   )
)"),1.0)</f>
        <v>1</v>
      </c>
      <c r="Q791" s="941" t="str">
        <f>IFERROR(__xludf.DUMMYFUNCTION("""COMPUTED_VALUE"""),"R-Dektite Seal")</f>
        <v>R-Dektite Seal</v>
      </c>
      <c r="R791" s="929" t="s">
        <v>345</v>
      </c>
      <c r="S791" s="930" t="s">
        <v>591</v>
      </c>
      <c r="T791" s="488">
        <f t="shared" si="572"/>
        <v>0</v>
      </c>
      <c r="U791" s="489">
        <f t="shared" si="551"/>
        <v>4</v>
      </c>
      <c r="V791" s="490" t="str">
        <f t="shared" si="552"/>
        <v>#REF!</v>
      </c>
      <c r="W791" s="491"/>
      <c r="X791" s="489"/>
      <c r="Y791" s="492"/>
      <c r="Z791" s="493"/>
      <c r="AA791" s="931"/>
      <c r="AB791" s="925" t="str">
        <f t="shared" si="565"/>
        <v/>
      </c>
      <c r="AC791" s="595"/>
      <c r="AD791" s="939" t="str">
        <f>IFERROR(__xludf.DUMMYFUNCTION("IF(AE791="""","""",
   IF(AE791=0,0,
      IF(ISNUMBER(MATCH(AE791,FILTER(AF$768:AF$826,AH$768:AH$826&lt;&gt;0),0)),1,0)
   )
)"),"")</f>
        <v/>
      </c>
      <c r="AE791" s="943"/>
      <c r="AF791" s="929" t="s">
        <v>381</v>
      </c>
      <c r="AG791" s="932" t="s">
        <v>52</v>
      </c>
      <c r="AH791" s="488">
        <f t="shared" si="566"/>
        <v>0</v>
      </c>
      <c r="AI791" s="489">
        <f t="shared" si="583"/>
        <v>4</v>
      </c>
      <c r="AJ791" s="490" t="str">
        <f t="shared" si="622"/>
        <v/>
      </c>
      <c r="AK791" s="491">
        <f t="shared" si="633"/>
        <v>30</v>
      </c>
      <c r="AL791" s="489">
        <f t="shared" si="623"/>
        <v>240</v>
      </c>
      <c r="AM791" s="492">
        <f t="shared" si="624"/>
        <v>0</v>
      </c>
      <c r="AN791" s="493">
        <f t="shared" si="625"/>
        <v>0</v>
      </c>
      <c r="AO791" s="494" t="str">
        <f t="shared" si="604"/>
        <v/>
      </c>
      <c r="AP791" s="925" t="str">
        <f t="shared" si="557"/>
        <v/>
      </c>
      <c r="AQ791" s="595"/>
      <c r="AR791" s="939" t="str">
        <f>IFERROR(__xludf.DUMMYFUNCTION("IF(AS791="""","""",
   IF(AS791=0,0,
      IF(ISNUMBER(MATCH(AS791,FILTER(AT$768:AT$806,AV$768:AV$806&lt;&gt;0),0)),1,0)
   )
)"),"")</f>
        <v/>
      </c>
      <c r="AS791" s="943"/>
      <c r="AT791" s="486" t="s">
        <v>354</v>
      </c>
      <c r="AU791" s="487" t="s">
        <v>52</v>
      </c>
      <c r="AV791" s="488">
        <f t="shared" si="570"/>
        <v>0</v>
      </c>
      <c r="AW791" s="489">
        <f t="shared" si="626"/>
        <v>4</v>
      </c>
      <c r="AX791" s="924" t="str">
        <f t="shared" si="627"/>
        <v/>
      </c>
      <c r="AY791" s="491">
        <f>(1/2)*$X$755</f>
        <v>2</v>
      </c>
      <c r="AZ791" s="489">
        <f t="shared" si="629"/>
        <v>16</v>
      </c>
      <c r="BA791" s="492">
        <f t="shared" si="630"/>
        <v>0</v>
      </c>
      <c r="BB791" s="493">
        <f t="shared" si="631"/>
        <v>0</v>
      </c>
      <c r="BC791" s="494" t="str">
        <f t="shared" si="571"/>
        <v/>
      </c>
      <c r="BD791" s="595"/>
      <c r="BE791" s="595"/>
      <c r="BF791" s="595"/>
      <c r="BG791" s="595"/>
      <c r="BH791" s="595"/>
      <c r="BI791" s="595"/>
      <c r="BJ791" s="595"/>
      <c r="BK791" s="595"/>
      <c r="BL791" s="595"/>
      <c r="BM791" s="595"/>
      <c r="BN791" s="595"/>
      <c r="BO791" s="651"/>
      <c r="BP791" s="651"/>
      <c r="BQ791" s="651"/>
      <c r="BR791" s="651"/>
      <c r="BS791" s="651"/>
      <c r="BT791" s="651"/>
    </row>
    <row r="792">
      <c r="A792" s="583"/>
      <c r="B792" s="584"/>
      <c r="C792" s="499" t="s">
        <v>273</v>
      </c>
      <c r="D792" s="844"/>
      <c r="E792" s="845"/>
      <c r="F792" s="846"/>
      <c r="G792" s="847"/>
      <c r="H792" s="848"/>
      <c r="I792" s="437">
        <v>1.0</v>
      </c>
      <c r="J792" s="504">
        <f>J791</f>
        <v>10</v>
      </c>
      <c r="K792" s="370">
        <v>95.0</v>
      </c>
      <c r="L792" s="850"/>
      <c r="M792" s="401">
        <v>0.0</v>
      </c>
      <c r="N792" s="849">
        <f t="shared" si="632"/>
        <v>0</v>
      </c>
      <c r="O792" s="590"/>
      <c r="P792" s="939">
        <f>IFERROR(__xludf.DUMMYFUNCTION("IF(Q792="""","""",
   IF(Q792=0,0,
      IF(ISNUMBER(MATCH(Q792,FILTER(R$770:R$890,T$770:T$890&lt;&gt;0),0)),1,0)
   )
)"),1.0)</f>
        <v>1</v>
      </c>
      <c r="Q792" s="941" t="str">
        <f>IFERROR(__xludf.DUMMYFUNCTION("""COMPUTED_VALUE"""),"R-Dektite Fix")</f>
        <v>R-Dektite Fix</v>
      </c>
      <c r="R792" s="929" t="s">
        <v>348</v>
      </c>
      <c r="S792" s="930" t="s">
        <v>55</v>
      </c>
      <c r="T792" s="488">
        <f t="shared" si="572"/>
        <v>59.52853284</v>
      </c>
      <c r="U792" s="489">
        <f t="shared" si="551"/>
        <v>4</v>
      </c>
      <c r="V792" s="490" t="str">
        <f t="shared" si="552"/>
        <v>#REF!</v>
      </c>
      <c r="W792" s="491">
        <f>(20/9)*$X$755</f>
        <v>8.888888889</v>
      </c>
      <c r="X792" s="489">
        <f t="shared" ref="X792:X793" si="634">W792*W$765</f>
        <v>71.11111111</v>
      </c>
      <c r="Y792" s="492">
        <f t="shared" ref="Y792:Y793" si="635">ROUNDUP(T792/X792,2)</f>
        <v>0.84</v>
      </c>
      <c r="Z792" s="493" t="str">
        <f t="shared" ref="Z792:Z793" si="636">Y792*V792*U792*W$765</f>
        <v>#REF!</v>
      </c>
      <c r="AA792" s="931" t="str">
        <f t="shared" ref="AA792:AA793" si="637">iferror(Z792/T792,"")</f>
        <v/>
      </c>
      <c r="AB792" s="925" t="str">
        <f t="shared" si="565"/>
        <v/>
      </c>
      <c r="AC792" s="595"/>
      <c r="AD792" s="939" t="str">
        <f>IFERROR(__xludf.DUMMYFUNCTION("IF(AE792="""","""",
   IF(AE792=0,0,
      IF(ISNUMBER(MATCH(AE792,FILTER(AF$768:AF$826,AH$768:AH$826&lt;&gt;0),0)),1,0)
   )
)"),"")</f>
        <v/>
      </c>
      <c r="AE792" s="943"/>
      <c r="AF792" s="929" t="s">
        <v>379</v>
      </c>
      <c r="AG792" s="932" t="s">
        <v>52</v>
      </c>
      <c r="AH792" s="488">
        <f t="shared" si="566"/>
        <v>0</v>
      </c>
      <c r="AI792" s="489">
        <f t="shared" si="583"/>
        <v>4</v>
      </c>
      <c r="AJ792" s="490" t="str">
        <f t="shared" si="622"/>
        <v/>
      </c>
      <c r="AK792" s="491">
        <f t="shared" si="633"/>
        <v>30</v>
      </c>
      <c r="AL792" s="489">
        <f t="shared" si="623"/>
        <v>240</v>
      </c>
      <c r="AM792" s="492">
        <f t="shared" si="624"/>
        <v>0</v>
      </c>
      <c r="AN792" s="493">
        <f t="shared" si="625"/>
        <v>0</v>
      </c>
      <c r="AO792" s="494" t="str">
        <f t="shared" si="604"/>
        <v/>
      </c>
      <c r="AP792" s="925" t="str">
        <f t="shared" si="557"/>
        <v/>
      </c>
      <c r="AQ792" s="595"/>
      <c r="AR792" s="939" t="str">
        <f>IFERROR(__xludf.DUMMYFUNCTION("IF(AS792="""","""",
   IF(AS792=0,0,
      IF(ISNUMBER(MATCH(AS792,FILTER(AT$768:AT$806,AV$768:AV$806&lt;&gt;0),0)),1,0)
   )
)"),"")</f>
        <v/>
      </c>
      <c r="AS792" s="943"/>
      <c r="AT792" s="486" t="s">
        <v>356</v>
      </c>
      <c r="AU792" s="487" t="s">
        <v>52</v>
      </c>
      <c r="AV792" s="488">
        <f t="shared" si="570"/>
        <v>0</v>
      </c>
      <c r="AW792" s="489">
        <f t="shared" si="626"/>
        <v>4</v>
      </c>
      <c r="AX792" s="924" t="str">
        <f t="shared" si="627"/>
        <v/>
      </c>
      <c r="AY792" s="491">
        <f>(0.5/2)*$X$755</f>
        <v>1</v>
      </c>
      <c r="AZ792" s="489">
        <f t="shared" si="629"/>
        <v>8</v>
      </c>
      <c r="BA792" s="492">
        <f t="shared" si="630"/>
        <v>0</v>
      </c>
      <c r="BB792" s="493">
        <f t="shared" si="631"/>
        <v>0</v>
      </c>
      <c r="BC792" s="494" t="str">
        <f t="shared" si="571"/>
        <v/>
      </c>
      <c r="BD792" s="595"/>
      <c r="BE792" s="595"/>
      <c r="BF792" s="595"/>
      <c r="BG792" s="595"/>
      <c r="BH792" s="595"/>
      <c r="BI792" s="595"/>
      <c r="BJ792" s="595"/>
      <c r="BK792" s="595"/>
      <c r="BL792" s="595"/>
      <c r="BM792" s="595"/>
      <c r="BN792" s="595"/>
      <c r="BO792" s="651"/>
      <c r="BP792" s="651"/>
      <c r="BQ792" s="651"/>
      <c r="BR792" s="651"/>
      <c r="BS792" s="651"/>
      <c r="BT792" s="651"/>
    </row>
    <row r="793">
      <c r="A793" s="583"/>
      <c r="B793" s="584"/>
      <c r="C793" s="499" t="s">
        <v>274</v>
      </c>
      <c r="D793" s="844"/>
      <c r="E793" s="845"/>
      <c r="F793" s="846"/>
      <c r="G793" s="847"/>
      <c r="H793" s="848"/>
      <c r="I793" s="437">
        <v>5.0</v>
      </c>
      <c r="J793" s="436">
        <v>2.0</v>
      </c>
      <c r="K793" s="370">
        <v>1000.0</v>
      </c>
      <c r="L793" s="850"/>
      <c r="M793" s="401">
        <v>0.0</v>
      </c>
      <c r="N793" s="849">
        <f t="shared" si="632"/>
        <v>0</v>
      </c>
      <c r="O793" s="590"/>
      <c r="P793" s="939">
        <f>IFERROR(__xludf.DUMMYFUNCTION("IF(Q793="""","""",
   IF(Q793=0,0,
      IF(ISNUMBER(MATCH(Q793,FILTER(R$770:R$890,T$770:T$890&lt;&gt;0),0)),1,0)
   )
)"),1.0)</f>
        <v>1</v>
      </c>
      <c r="Q793" s="941" t="str">
        <f>IFERROR(__xludf.DUMMYFUNCTION("""COMPUTED_VALUE"""),"R-EavesGut")</f>
        <v>R-EavesGut</v>
      </c>
      <c r="R793" s="929" t="s">
        <v>351</v>
      </c>
      <c r="S793" s="930" t="s">
        <v>52</v>
      </c>
      <c r="T793" s="488">
        <f t="shared" si="572"/>
        <v>0</v>
      </c>
      <c r="U793" s="489">
        <f t="shared" si="551"/>
        <v>4</v>
      </c>
      <c r="V793" s="490" t="str">
        <f t="shared" si="552"/>
        <v>#REF!</v>
      </c>
      <c r="W793" s="491">
        <f>(20/1)*$X$755</f>
        <v>80</v>
      </c>
      <c r="X793" s="489">
        <f t="shared" si="634"/>
        <v>640</v>
      </c>
      <c r="Y793" s="492">
        <f t="shared" si="635"/>
        <v>0</v>
      </c>
      <c r="Z793" s="493" t="str">
        <f t="shared" si="636"/>
        <v>#REF!</v>
      </c>
      <c r="AA793" s="931" t="str">
        <f t="shared" si="637"/>
        <v/>
      </c>
      <c r="AB793" s="925" t="str">
        <f t="shared" si="565"/>
        <v/>
      </c>
      <c r="AC793" s="595"/>
      <c r="AD793" s="939" t="str">
        <f>IFERROR(__xludf.DUMMYFUNCTION("IF(AE793="""","""",
   IF(AE793=0,0,
      IF(ISNUMBER(MATCH(AE793,FILTER(AF$768:AF$826,AH$768:AH$826&lt;&gt;0),0)),1,0)
   )
)"),"")</f>
        <v/>
      </c>
      <c r="AE793" s="943"/>
      <c r="AF793" s="929" t="s">
        <v>361</v>
      </c>
      <c r="AG793" s="930" t="s">
        <v>52</v>
      </c>
      <c r="AH793" s="488">
        <f t="shared" si="566"/>
        <v>0</v>
      </c>
      <c r="AI793" s="489">
        <f t="shared" si="583"/>
        <v>4</v>
      </c>
      <c r="AJ793" s="924" t="str">
        <f t="shared" si="622"/>
        <v/>
      </c>
      <c r="AK793" s="491">
        <f>(20/1)*$X$755</f>
        <v>80</v>
      </c>
      <c r="AL793" s="489">
        <f t="shared" si="623"/>
        <v>640</v>
      </c>
      <c r="AM793" s="492">
        <f t="shared" si="624"/>
        <v>0</v>
      </c>
      <c r="AN793" s="493">
        <f t="shared" si="625"/>
        <v>0</v>
      </c>
      <c r="AO793" s="494" t="str">
        <f t="shared" si="604"/>
        <v/>
      </c>
      <c r="AP793" s="925" t="str">
        <f t="shared" si="557"/>
        <v/>
      </c>
      <c r="AQ793" s="595"/>
      <c r="AR793" s="939" t="str">
        <f>IFERROR(__xludf.DUMMYFUNCTION("IF(AS793="""","""",
   IF(AS793=0,0,
      IF(ISNUMBER(MATCH(AS793,FILTER(AT$768:AT$806,AV$768:AV$806&lt;&gt;0),0)),1,0)
   )
)"),"")</f>
        <v/>
      </c>
      <c r="AS793" s="943"/>
      <c r="AT793" s="486" t="s">
        <v>357</v>
      </c>
      <c r="AU793" s="487" t="s">
        <v>52</v>
      </c>
      <c r="AV793" s="488">
        <f t="shared" si="570"/>
        <v>0</v>
      </c>
      <c r="AW793" s="489">
        <f t="shared" si="626"/>
        <v>4</v>
      </c>
      <c r="AX793" s="924" t="str">
        <f t="shared" si="627"/>
        <v/>
      </c>
      <c r="AY793" s="491">
        <f>(2/2)*$X$755</f>
        <v>4</v>
      </c>
      <c r="AZ793" s="489">
        <f t="shared" si="629"/>
        <v>32</v>
      </c>
      <c r="BA793" s="492">
        <f t="shared" si="630"/>
        <v>0</v>
      </c>
      <c r="BB793" s="493">
        <f t="shared" si="631"/>
        <v>0</v>
      </c>
      <c r="BC793" s="494" t="str">
        <f t="shared" si="571"/>
        <v/>
      </c>
      <c r="BD793" s="595"/>
      <c r="BE793" s="595"/>
      <c r="BF793" s="595"/>
      <c r="BG793" s="595"/>
      <c r="BH793" s="595"/>
      <c r="BI793" s="595"/>
      <c r="BJ793" s="595"/>
      <c r="BK793" s="595"/>
      <c r="BL793" s="595"/>
      <c r="BM793" s="595"/>
      <c r="BN793" s="595"/>
      <c r="BO793" s="651"/>
      <c r="BP793" s="651"/>
      <c r="BQ793" s="651"/>
      <c r="BR793" s="651"/>
      <c r="BS793" s="651"/>
      <c r="BT793" s="651"/>
    </row>
    <row r="794">
      <c r="A794" s="583"/>
      <c r="B794" s="584"/>
      <c r="C794" s="851"/>
      <c r="D794" s="609"/>
      <c r="E794" s="585"/>
      <c r="F794" s="586"/>
      <c r="G794" s="587"/>
      <c r="H794" s="584"/>
      <c r="I794" s="443"/>
      <c r="J794" s="443"/>
      <c r="K794" s="349"/>
      <c r="L794" s="588"/>
      <c r="M794" s="951"/>
      <c r="N794" s="833"/>
      <c r="O794" s="590"/>
      <c r="P794" s="939">
        <f>IFERROR(__xludf.DUMMYFUNCTION("IF(Q794="""","""",
   IF(Q794=0,0,
      IF(ISNUMBER(MATCH(Q794,FILTER(R$770:R$890,T$770:T$890&lt;&gt;0),0)),1,0)
   )
)"),1.0)</f>
        <v>1</v>
      </c>
      <c r="Q794" s="941" t="str">
        <f>IFERROR(__xludf.DUMMYFUNCTION("""COMPUTED_VALUE"""),"R-EGBracket")</f>
        <v>R-EGBracket</v>
      </c>
      <c r="R794" s="929" t="s">
        <v>353</v>
      </c>
      <c r="S794" s="930" t="s">
        <v>52</v>
      </c>
      <c r="T794" s="488">
        <f t="shared" si="572"/>
        <v>0</v>
      </c>
      <c r="U794" s="489">
        <f t="shared" si="551"/>
        <v>4</v>
      </c>
      <c r="V794" s="490" t="str">
        <f t="shared" si="552"/>
        <v>#REF!</v>
      </c>
      <c r="W794" s="491"/>
      <c r="X794" s="489"/>
      <c r="Y794" s="492"/>
      <c r="Z794" s="493"/>
      <c r="AA794" s="931"/>
      <c r="AB794" s="925" t="str">
        <f t="shared" si="565"/>
        <v/>
      </c>
      <c r="AC794" s="595"/>
      <c r="AD794" s="939" t="str">
        <f>IFERROR(__xludf.DUMMYFUNCTION("IF(AE794="""","""",
   IF(AE794=0,0,
      IF(ISNUMBER(MATCH(AE794,FILTER(AF$768:AF$826,AH$768:AH$826&lt;&gt;0),0)),1,0)
   )
)"),"")</f>
        <v/>
      </c>
      <c r="AE794" s="943"/>
      <c r="AF794" s="929" t="s">
        <v>358</v>
      </c>
      <c r="AG794" s="930" t="s">
        <v>52</v>
      </c>
      <c r="AH794" s="488">
        <f t="shared" si="566"/>
        <v>0</v>
      </c>
      <c r="AI794" s="489">
        <f t="shared" si="583"/>
        <v>4</v>
      </c>
      <c r="AJ794" s="924" t="str">
        <f t="shared" si="622"/>
        <v/>
      </c>
      <c r="AK794" s="491">
        <f>(10/4)*$X$755</f>
        <v>10</v>
      </c>
      <c r="AL794" s="489">
        <f t="shared" si="623"/>
        <v>80</v>
      </c>
      <c r="AM794" s="492">
        <f t="shared" si="624"/>
        <v>0</v>
      </c>
      <c r="AN794" s="493">
        <f t="shared" si="625"/>
        <v>0</v>
      </c>
      <c r="AO794" s="494" t="str">
        <f t="shared" si="604"/>
        <v/>
      </c>
      <c r="AP794" s="925" t="str">
        <f t="shared" si="557"/>
        <v/>
      </c>
      <c r="AQ794" s="595"/>
      <c r="AR794" s="939" t="str">
        <f>IFERROR(__xludf.DUMMYFUNCTION("IF(AS794="""","""",
   IF(AS794=0,0,
      IF(ISNUMBER(MATCH(AS794,FILTER(AT$768:AT$806,AV$768:AV$806&lt;&gt;0),0)),1,0)
   )
)"),"")</f>
        <v/>
      </c>
      <c r="AS794" s="943"/>
      <c r="AT794" s="486" t="s">
        <v>359</v>
      </c>
      <c r="AU794" s="487" t="s">
        <v>41</v>
      </c>
      <c r="AV794" s="488">
        <f t="shared" si="570"/>
        <v>0</v>
      </c>
      <c r="AW794" s="489">
        <f t="shared" si="626"/>
        <v>4</v>
      </c>
      <c r="AX794" s="924" t="str">
        <f t="shared" si="627"/>
        <v/>
      </c>
      <c r="AY794" s="491">
        <f>(5/4)*$X$755</f>
        <v>5</v>
      </c>
      <c r="AZ794" s="489">
        <f t="shared" si="629"/>
        <v>40</v>
      </c>
      <c r="BA794" s="492">
        <f t="shared" si="630"/>
        <v>0</v>
      </c>
      <c r="BB794" s="493">
        <f t="shared" si="631"/>
        <v>0</v>
      </c>
      <c r="BC794" s="494" t="str">
        <f t="shared" si="571"/>
        <v/>
      </c>
      <c r="BD794" s="595"/>
      <c r="BE794" s="595"/>
      <c r="BF794" s="595"/>
      <c r="BG794" s="595"/>
      <c r="BH794" s="595"/>
      <c r="BI794" s="595"/>
      <c r="BJ794" s="595"/>
      <c r="BK794" s="595"/>
      <c r="BL794" s="595"/>
      <c r="BM794" s="595"/>
      <c r="BN794" s="595"/>
      <c r="BO794" s="651"/>
      <c r="BP794" s="651"/>
      <c r="BQ794" s="651"/>
      <c r="BR794" s="651"/>
      <c r="BS794" s="651"/>
      <c r="BT794" s="651"/>
    </row>
    <row r="795">
      <c r="A795" s="583"/>
      <c r="B795" s="584"/>
      <c r="C795" s="952" t="s">
        <v>592</v>
      </c>
      <c r="D795" s="844"/>
      <c r="E795" s="845"/>
      <c r="F795" s="846"/>
      <c r="G795" s="847"/>
      <c r="H795" s="848"/>
      <c r="I795" s="953">
        <v>1.0</v>
      </c>
      <c r="J795" s="504">
        <v>1.0</v>
      </c>
      <c r="K795" s="948">
        <v>260.0</v>
      </c>
      <c r="L795" s="850"/>
      <c r="M795" s="870">
        <v>0.0</v>
      </c>
      <c r="N795" s="849">
        <f t="shared" ref="N795:N798" si="638">M795*K795*J795*I795</f>
        <v>0</v>
      </c>
      <c r="O795" s="590"/>
      <c r="P795" s="939">
        <f>IFERROR(__xludf.DUMMYFUNCTION("IF(Q795="""","""",
   IF(Q795=0,0,
      IF(ISNUMBER(MATCH(Q795,FILTER(R$770:R$890,T$770:T$890&lt;&gt;0),0)),1,0)
   )
)"),1.0)</f>
        <v>1</v>
      </c>
      <c r="Q795" s="941" t="str">
        <f>IFERROR(__xludf.DUMMYFUNCTION("""COMPUTED_VALUE"""),"R-EGBracketFixing")</f>
        <v>R-EGBracketFixing</v>
      </c>
      <c r="R795" s="929" t="s">
        <v>126</v>
      </c>
      <c r="S795" s="930" t="s">
        <v>55</v>
      </c>
      <c r="T795" s="488">
        <f t="shared" si="572"/>
        <v>623.4936199</v>
      </c>
      <c r="U795" s="489">
        <f t="shared" si="551"/>
        <v>4</v>
      </c>
      <c r="V795" s="490" t="str">
        <f t="shared" si="552"/>
        <v>#REF!</v>
      </c>
      <c r="W795" s="491">
        <f>(20/1)*$X$755</f>
        <v>80</v>
      </c>
      <c r="X795" s="489">
        <f>W795*W$765</f>
        <v>640</v>
      </c>
      <c r="Y795" s="492">
        <f>ROUNDUP(T795/X795,2)</f>
        <v>0.98</v>
      </c>
      <c r="Z795" s="493" t="str">
        <f>Y795*V795*U795*W$765</f>
        <v>#REF!</v>
      </c>
      <c r="AA795" s="931" t="str">
        <f>iferror(Z795/T795,"")</f>
        <v/>
      </c>
      <c r="AB795" s="925" t="str">
        <f t="shared" si="565"/>
        <v/>
      </c>
      <c r="AC795" s="595"/>
      <c r="AD795" s="939" t="str">
        <f>IFERROR(__xludf.DUMMYFUNCTION("IF(AE795="""","""",
   IF(AE795=0,0,
      IF(ISNUMBER(MATCH(AE795,FILTER(AF$768:AF$826,AH$768:AH$826&lt;&gt;0),0)),1,0)
   )
)"),"")</f>
        <v/>
      </c>
      <c r="AE795" s="943"/>
      <c r="AF795" s="942" t="s">
        <v>593</v>
      </c>
      <c r="AG795" s="945" t="s">
        <v>41</v>
      </c>
      <c r="AH795" s="488">
        <f t="shared" si="566"/>
        <v>0</v>
      </c>
      <c r="AI795" s="489">
        <f t="shared" si="583"/>
        <v>4</v>
      </c>
      <c r="AJ795" s="490" t="str">
        <f t="shared" si="622"/>
        <v/>
      </c>
      <c r="AK795" s="491">
        <f>(30/4)*$X$755</f>
        <v>30</v>
      </c>
      <c r="AL795" s="489">
        <f t="shared" si="623"/>
        <v>240</v>
      </c>
      <c r="AM795" s="492">
        <f t="shared" si="624"/>
        <v>0</v>
      </c>
      <c r="AN795" s="493">
        <f t="shared" si="625"/>
        <v>0</v>
      </c>
      <c r="AO795" s="494" t="str">
        <f t="shared" si="604"/>
        <v/>
      </c>
      <c r="AP795" s="925" t="str">
        <f t="shared" si="557"/>
        <v/>
      </c>
      <c r="AQ795" s="595"/>
      <c r="AR795" s="939" t="str">
        <f>IFERROR(__xludf.DUMMYFUNCTION("IF(AS795="""","""",
   IF(AS795=0,0,
      IF(ISNUMBER(MATCH(AS795,FILTER(AT$768:AT$806,AV$768:AV$806&lt;&gt;0),0)),1,0)
   )
)"),"")</f>
        <v/>
      </c>
      <c r="AS795" s="943"/>
      <c r="AT795" s="486" t="s">
        <v>362</v>
      </c>
      <c r="AU795" s="487" t="s">
        <v>55</v>
      </c>
      <c r="AV795" s="488">
        <f t="shared" si="570"/>
        <v>0</v>
      </c>
      <c r="AW795" s="489">
        <f t="shared" si="626"/>
        <v>4</v>
      </c>
      <c r="AX795" s="924" t="str">
        <f t="shared" si="627"/>
        <v/>
      </c>
      <c r="AY795" s="491">
        <f>(20/1)*$X$755</f>
        <v>80</v>
      </c>
      <c r="AZ795" s="489">
        <f t="shared" si="629"/>
        <v>640</v>
      </c>
      <c r="BA795" s="492">
        <f t="shared" si="630"/>
        <v>0</v>
      </c>
      <c r="BB795" s="493">
        <f t="shared" si="631"/>
        <v>0</v>
      </c>
      <c r="BC795" s="494" t="str">
        <f t="shared" si="571"/>
        <v/>
      </c>
      <c r="BD795" s="595"/>
      <c r="BE795" s="595"/>
      <c r="BF795" s="595"/>
      <c r="BG795" s="595"/>
      <c r="BH795" s="595"/>
      <c r="BI795" s="595"/>
      <c r="BJ795" s="595"/>
      <c r="BK795" s="595"/>
      <c r="BL795" s="595"/>
      <c r="BM795" s="595"/>
      <c r="BN795" s="595"/>
      <c r="BO795" s="651"/>
      <c r="BP795" s="651"/>
      <c r="BQ795" s="651"/>
      <c r="BR795" s="651"/>
      <c r="BS795" s="651"/>
      <c r="BT795" s="651"/>
    </row>
    <row r="796">
      <c r="A796" s="583"/>
      <c r="B796" s="584"/>
      <c r="C796" s="499" t="s">
        <v>272</v>
      </c>
      <c r="D796" s="844"/>
      <c r="E796" s="845"/>
      <c r="F796" s="846"/>
      <c r="G796" s="847"/>
      <c r="H796" s="848"/>
      <c r="I796" s="437">
        <v>1.0</v>
      </c>
      <c r="J796" s="954">
        <v>4.0</v>
      </c>
      <c r="K796" s="948">
        <v>260.0</v>
      </c>
      <c r="L796" s="850"/>
      <c r="M796" s="870">
        <v>0.0</v>
      </c>
      <c r="N796" s="849">
        <f t="shared" si="638"/>
        <v>0</v>
      </c>
      <c r="O796" s="590"/>
      <c r="P796" s="939">
        <f>IFERROR(__xludf.DUMMYFUNCTION("IF(Q796="""","""",
   IF(Q796=0,0,
      IF(ISNUMBER(MATCH(Q796,FILTER(R$770:R$890,T$770:T$890&lt;&gt;0),0)),1,0)
   )
)"),1.0)</f>
        <v>1</v>
      </c>
      <c r="Q796" s="941" t="str">
        <f>IFERROR(__xludf.DUMMYFUNCTION("""COMPUTED_VALUE"""),"R-FFBottom")</f>
        <v>R-FFBottom</v>
      </c>
      <c r="R796" s="929" t="s">
        <v>111</v>
      </c>
      <c r="S796" s="930" t="s">
        <v>55</v>
      </c>
      <c r="T796" s="488">
        <f t="shared" si="572"/>
        <v>521.0340591</v>
      </c>
      <c r="U796" s="489">
        <f t="shared" si="551"/>
        <v>4</v>
      </c>
      <c r="V796" s="490" t="str">
        <f t="shared" si="552"/>
        <v>#REF!</v>
      </c>
      <c r="W796" s="491"/>
      <c r="X796" s="489"/>
      <c r="Y796" s="492"/>
      <c r="Z796" s="493"/>
      <c r="AA796" s="931"/>
      <c r="AB796" s="925" t="str">
        <f t="shared" si="565"/>
        <v/>
      </c>
      <c r="AC796" s="595"/>
      <c r="AD796" s="939" t="str">
        <f>IFERROR(__xludf.DUMMYFUNCTION("IF(AE796="""","""",
   IF(AE796=0,0,
      IF(ISNUMBER(MATCH(AE796,FILTER(AF$768:AF$826,AH$768:AH$826&lt;&gt;0),0)),1,0)
   )
)"),"")</f>
        <v/>
      </c>
      <c r="AE796" s="943"/>
      <c r="AF796" s="929" t="s">
        <v>163</v>
      </c>
      <c r="AG796" s="932" t="s">
        <v>52</v>
      </c>
      <c r="AH796" s="488">
        <f t="shared" si="566"/>
        <v>1228</v>
      </c>
      <c r="AI796" s="489">
        <f t="shared" si="583"/>
        <v>4</v>
      </c>
      <c r="AJ796" s="490" t="str">
        <f t="shared" ref="AJ796:AJ799" si="639">AC$758</f>
        <v>#REF!</v>
      </c>
      <c r="AK796" s="935"/>
      <c r="AL796" s="935"/>
      <c r="AM796" s="935"/>
      <c r="AN796" s="936"/>
      <c r="AO796" s="494">
        <f t="shared" si="604"/>
        <v>0</v>
      </c>
      <c r="AP796" s="925" t="str">
        <f t="shared" si="557"/>
        <v/>
      </c>
      <c r="AQ796" s="595"/>
      <c r="AR796" s="939" t="str">
        <f>IFERROR(__xludf.DUMMYFUNCTION("IF(AS796="""","""",
   IF(AS796=0,0,
      IF(ISNUMBER(MATCH(AS796,FILTER(AT$768:AT$806,AV$768:AV$806&lt;&gt;0),0)),1,0)
   )
)"),"")</f>
        <v/>
      </c>
      <c r="AS796" s="943"/>
      <c r="AT796" s="486" t="s">
        <v>364</v>
      </c>
      <c r="AU796" s="487" t="s">
        <v>41</v>
      </c>
      <c r="AV796" s="488">
        <f t="shared" si="570"/>
        <v>0</v>
      </c>
      <c r="AW796" s="489">
        <f t="shared" si="626"/>
        <v>4</v>
      </c>
      <c r="AX796" s="924" t="str">
        <f t="shared" si="627"/>
        <v/>
      </c>
      <c r="AY796" s="491">
        <f>(3/4)*$X$755</f>
        <v>3</v>
      </c>
      <c r="AZ796" s="489">
        <f t="shared" si="629"/>
        <v>24</v>
      </c>
      <c r="BA796" s="492">
        <f t="shared" si="630"/>
        <v>0</v>
      </c>
      <c r="BB796" s="493">
        <f t="shared" si="631"/>
        <v>0</v>
      </c>
      <c r="BC796" s="494" t="str">
        <f t="shared" si="571"/>
        <v/>
      </c>
      <c r="BD796" s="595"/>
      <c r="BE796" s="595"/>
      <c r="BF796" s="595"/>
      <c r="BG796" s="595"/>
      <c r="BH796" s="595"/>
      <c r="BI796" s="595"/>
      <c r="BJ796" s="595"/>
      <c r="BK796" s="595"/>
      <c r="BL796" s="595"/>
      <c r="BM796" s="595"/>
      <c r="BN796" s="595"/>
      <c r="BO796" s="651"/>
      <c r="BP796" s="651"/>
      <c r="BQ796" s="651"/>
      <c r="BR796" s="651"/>
      <c r="BS796" s="651"/>
      <c r="BT796" s="651"/>
    </row>
    <row r="797">
      <c r="A797" s="583"/>
      <c r="B797" s="584"/>
      <c r="C797" s="499" t="s">
        <v>273</v>
      </c>
      <c r="D797" s="844"/>
      <c r="E797" s="845"/>
      <c r="F797" s="846"/>
      <c r="G797" s="847"/>
      <c r="H797" s="848"/>
      <c r="I797" s="437">
        <v>1.0</v>
      </c>
      <c r="J797" s="954">
        <v>4.0</v>
      </c>
      <c r="K797" s="370">
        <v>95.0</v>
      </c>
      <c r="L797" s="850"/>
      <c r="M797" s="870">
        <v>0.0</v>
      </c>
      <c r="N797" s="849">
        <f t="shared" si="638"/>
        <v>0</v>
      </c>
      <c r="O797" s="590"/>
      <c r="P797" s="939">
        <f>IFERROR(__xludf.DUMMYFUNCTION("IF(Q797="""","""",
   IF(Q797=0,0,
      IF(ISNUMBER(MATCH(Q797,FILTER(R$770:R$890,T$770:T$890&lt;&gt;0),0)),1,0)
   )
)"),1.0)</f>
        <v>1</v>
      </c>
      <c r="Q797" s="941" t="str">
        <f>IFERROR(__xludf.DUMMYFUNCTION("""COMPUTED_VALUE"""),"R-SE")</f>
        <v>R-SE</v>
      </c>
      <c r="R797" s="929" t="s">
        <v>105</v>
      </c>
      <c r="S797" s="930" t="s">
        <v>55</v>
      </c>
      <c r="T797" s="488">
        <f t="shared" si="572"/>
        <v>502.7465381</v>
      </c>
      <c r="U797" s="489">
        <f t="shared" si="551"/>
        <v>4</v>
      </c>
      <c r="V797" s="490" t="str">
        <f t="shared" si="552"/>
        <v>#REF!</v>
      </c>
      <c r="W797" s="491">
        <f>(20/1)*$X$755</f>
        <v>80</v>
      </c>
      <c r="X797" s="489">
        <f t="shared" ref="X797:X798" si="640">W797*W$765</f>
        <v>640</v>
      </c>
      <c r="Y797" s="492">
        <f t="shared" ref="Y797:Y798" si="641">ROUNDUP(T797/X797,2)</f>
        <v>0.79</v>
      </c>
      <c r="Z797" s="493" t="str">
        <f t="shared" ref="Z797:Z798" si="642">Y797*V797*U797*W$765</f>
        <v>#REF!</v>
      </c>
      <c r="AA797" s="931" t="str">
        <f t="shared" ref="AA797:AA798" si="643">iferror(Z797/T797,"")</f>
        <v/>
      </c>
      <c r="AB797" s="925" t="str">
        <f t="shared" si="565"/>
        <v/>
      </c>
      <c r="AC797" s="595"/>
      <c r="AD797" s="939" t="str">
        <f>IFERROR(__xludf.DUMMYFUNCTION("IF(AE797="""","""",
   IF(AE797=0,0,
      IF(ISNUMBER(MATCH(AE797,FILTER(AF$768:AF$826,AH$768:AH$826&lt;&gt;0),0)),1,0)
   )
)"),"")</f>
        <v/>
      </c>
      <c r="AE797" s="943"/>
      <c r="AF797" s="929" t="s">
        <v>311</v>
      </c>
      <c r="AG797" s="932" t="s">
        <v>41</v>
      </c>
      <c r="AH797" s="488">
        <f t="shared" si="566"/>
        <v>0</v>
      </c>
      <c r="AI797" s="489">
        <f t="shared" si="583"/>
        <v>4</v>
      </c>
      <c r="AJ797" s="490" t="str">
        <f t="shared" si="639"/>
        <v>#REF!</v>
      </c>
      <c r="AK797" s="491">
        <f>(50/4)*$X$755</f>
        <v>50</v>
      </c>
      <c r="AL797" s="489">
        <f t="shared" ref="AL797:AL798" si="644">AK797*AK$765</f>
        <v>400</v>
      </c>
      <c r="AM797" s="492">
        <f t="shared" ref="AM797:AM798" si="645">ROUNDUP(AH797/AL797,2)</f>
        <v>0</v>
      </c>
      <c r="AN797" s="493" t="str">
        <f t="shared" ref="AN797:AN798" si="646">AM797*AJ797*AI797*AK$765</f>
        <v>#REF!</v>
      </c>
      <c r="AO797" s="494" t="str">
        <f t="shared" si="604"/>
        <v/>
      </c>
      <c r="AP797" s="925" t="str">
        <f t="shared" si="557"/>
        <v/>
      </c>
      <c r="AQ797" s="595"/>
      <c r="AR797" s="939" t="str">
        <f>IFERROR(__xludf.DUMMYFUNCTION("IF(AS797="""","""",
   IF(AS797=0,0,
      IF(ISNUMBER(MATCH(AS797,FILTER(AT$768:AT$806,AV$768:AV$806&lt;&gt;0),0)),1,0)
   )
)"),"")</f>
        <v/>
      </c>
      <c r="AS797" s="943"/>
      <c r="AT797" s="486" t="s">
        <v>367</v>
      </c>
      <c r="AU797" s="487" t="s">
        <v>52</v>
      </c>
      <c r="AV797" s="488">
        <f t="shared" si="570"/>
        <v>0</v>
      </c>
      <c r="AW797" s="489">
        <f t="shared" si="626"/>
        <v>4</v>
      </c>
      <c r="AX797" s="924" t="str">
        <f t="shared" si="627"/>
        <v/>
      </c>
      <c r="AY797" s="491">
        <f>(100/4)*$X$755</f>
        <v>100</v>
      </c>
      <c r="AZ797" s="489">
        <f t="shared" si="629"/>
        <v>800</v>
      </c>
      <c r="BA797" s="492">
        <f t="shared" si="630"/>
        <v>0</v>
      </c>
      <c r="BB797" s="493">
        <f t="shared" si="631"/>
        <v>0</v>
      </c>
      <c r="BC797" s="494" t="str">
        <f t="shared" si="571"/>
        <v/>
      </c>
      <c r="BD797" s="595"/>
      <c r="BE797" s="595"/>
      <c r="BF797" s="595"/>
      <c r="BG797" s="595"/>
      <c r="BH797" s="595"/>
      <c r="BI797" s="595"/>
      <c r="BJ797" s="595"/>
      <c r="BK797" s="595"/>
      <c r="BL797" s="595"/>
      <c r="BM797" s="595"/>
      <c r="BN797" s="595"/>
      <c r="BO797" s="651"/>
      <c r="BP797" s="651"/>
      <c r="BQ797" s="651"/>
      <c r="BR797" s="651"/>
      <c r="BS797" s="651"/>
      <c r="BT797" s="651"/>
    </row>
    <row r="798">
      <c r="A798" s="583"/>
      <c r="B798" s="12" t="s">
        <v>176</v>
      </c>
      <c r="C798" s="499" t="s">
        <v>274</v>
      </c>
      <c r="D798" s="844"/>
      <c r="E798" s="845"/>
      <c r="F798" s="846"/>
      <c r="G798" s="847"/>
      <c r="H798" s="848"/>
      <c r="I798" s="437">
        <v>1.0</v>
      </c>
      <c r="J798" s="436">
        <v>2.0</v>
      </c>
      <c r="K798" s="370">
        <v>600.0</v>
      </c>
      <c r="L798" s="850"/>
      <c r="M798" s="401">
        <v>0.0</v>
      </c>
      <c r="N798" s="849">
        <f t="shared" si="638"/>
        <v>0</v>
      </c>
      <c r="O798" s="590"/>
      <c r="P798" s="939">
        <f>IFERROR(__xludf.DUMMYFUNCTION("IF(Q798="""","""",
   IF(Q798=0,0,
      IF(ISNUMBER(MATCH(Q798,FILTER(R$770:R$890,T$770:T$890&lt;&gt;0),0)),1,0)
   )
)"),1.0)</f>
        <v>1</v>
      </c>
      <c r="Q798" s="941" t="str">
        <f>IFERROR(__xludf.DUMMYFUNCTION("""COMPUTED_VALUE"""),"R-DP")</f>
        <v>R-DP</v>
      </c>
      <c r="R798" s="942" t="s">
        <v>594</v>
      </c>
      <c r="S798" s="930" t="s">
        <v>55</v>
      </c>
      <c r="T798" s="488">
        <f t="shared" si="572"/>
        <v>0</v>
      </c>
      <c r="U798" s="489">
        <f t="shared" si="551"/>
        <v>4</v>
      </c>
      <c r="V798" s="490" t="str">
        <f t="shared" si="552"/>
        <v>#REF!</v>
      </c>
      <c r="W798" s="491">
        <f>(5/1)*$X$755</f>
        <v>20</v>
      </c>
      <c r="X798" s="489">
        <f t="shared" si="640"/>
        <v>160</v>
      </c>
      <c r="Y798" s="492">
        <f t="shared" si="641"/>
        <v>0</v>
      </c>
      <c r="Z798" s="493" t="str">
        <f t="shared" si="642"/>
        <v>#REF!</v>
      </c>
      <c r="AA798" s="931" t="str">
        <f t="shared" si="643"/>
        <v/>
      </c>
      <c r="AB798" s="925" t="str">
        <f t="shared" si="565"/>
        <v/>
      </c>
      <c r="AC798" s="595"/>
      <c r="AD798" s="939" t="str">
        <f>IFERROR(__xludf.DUMMYFUNCTION("IF(AE798="""","""",
   IF(AE798=0,0,
      IF(ISNUMBER(MATCH(AE798,FILTER(AF$768:AF$826,AH$768:AH$826&lt;&gt;0),0)),1,0)
   )
)"),"")</f>
        <v/>
      </c>
      <c r="AE798" s="943"/>
      <c r="AF798" s="929" t="s">
        <v>149</v>
      </c>
      <c r="AG798" s="932" t="s">
        <v>41</v>
      </c>
      <c r="AH798" s="488" t="str">
        <f t="shared" si="566"/>
        <v>#REF!</v>
      </c>
      <c r="AI798" s="489">
        <f t="shared" si="583"/>
        <v>4</v>
      </c>
      <c r="AJ798" s="490" t="str">
        <f t="shared" si="639"/>
        <v>#REF!</v>
      </c>
      <c r="AK798" s="491">
        <f>(20/4)*$X$755</f>
        <v>20</v>
      </c>
      <c r="AL798" s="489">
        <f t="shared" si="644"/>
        <v>160</v>
      </c>
      <c r="AM798" s="492" t="str">
        <f t="shared" si="645"/>
        <v>#REF!</v>
      </c>
      <c r="AN798" s="493" t="str">
        <f t="shared" si="646"/>
        <v>#REF!</v>
      </c>
      <c r="AO798" s="494" t="str">
        <f t="shared" si="604"/>
        <v/>
      </c>
      <c r="AP798" s="925" t="str">
        <f t="shared" si="557"/>
        <v/>
      </c>
      <c r="AQ798" s="595"/>
      <c r="AR798" s="939" t="str">
        <f>IFERROR(__xludf.DUMMYFUNCTION("IF(AS798="""","""",
   IF(AS798=0,0,
      IF(ISNUMBER(MATCH(AS798,FILTER(AT$768:AT$806,AV$768:AV$806&lt;&gt;0),0)),1,0)
   )
)"),"")</f>
        <v/>
      </c>
      <c r="AS798" s="943"/>
      <c r="AT798" s="486" t="s">
        <v>369</v>
      </c>
      <c r="AU798" s="487" t="s">
        <v>52</v>
      </c>
      <c r="AV798" s="488">
        <f t="shared" si="570"/>
        <v>0</v>
      </c>
      <c r="AW798" s="935"/>
      <c r="AX798" s="924"/>
      <c r="AY798" s="935"/>
      <c r="AZ798" s="935"/>
      <c r="BA798" s="935"/>
      <c r="BB798" s="936"/>
      <c r="BC798" s="494" t="str">
        <f t="shared" si="571"/>
        <v/>
      </c>
      <c r="BD798" s="595"/>
      <c r="BE798" s="595"/>
      <c r="BF798" s="595"/>
      <c r="BG798" s="595"/>
      <c r="BH798" s="595"/>
      <c r="BI798" s="595"/>
      <c r="BJ798" s="595"/>
      <c r="BK798" s="595"/>
      <c r="BL798" s="595"/>
      <c r="BM798" s="595"/>
      <c r="BN798" s="595"/>
      <c r="BO798" s="651"/>
      <c r="BP798" s="651"/>
      <c r="BQ798" s="651"/>
      <c r="BR798" s="651"/>
      <c r="BS798" s="651"/>
      <c r="BT798" s="651"/>
    </row>
    <row r="799">
      <c r="A799" s="583"/>
      <c r="B799" s="584"/>
      <c r="C799" s="851"/>
      <c r="D799" s="609"/>
      <c r="E799" s="585"/>
      <c r="F799" s="586"/>
      <c r="G799" s="587"/>
      <c r="H799" s="584"/>
      <c r="I799" s="443"/>
      <c r="J799" s="443"/>
      <c r="K799" s="349"/>
      <c r="L799" s="588"/>
      <c r="M799" s="588"/>
      <c r="N799" s="833"/>
      <c r="O799" s="590"/>
      <c r="P799" s="939">
        <f>IFERROR(__xludf.DUMMYFUNCTION("IF(Q799="""","""",
   IF(Q799=0,0,
      IF(ISNUMBER(MATCH(Q799,FILTER(R$770:R$890,T$770:T$890&lt;&gt;0),0)),1,0)
   )
)"),1.0)</f>
        <v>1</v>
      </c>
      <c r="Q799" s="941" t="str">
        <f>IFERROR(__xludf.DUMMYFUNCTION("""COMPUTED_VALUE"""),"R-DPBracket")</f>
        <v>R-DPBracket</v>
      </c>
      <c r="R799" s="929" t="s">
        <v>360</v>
      </c>
      <c r="S799" s="930" t="s">
        <v>52</v>
      </c>
      <c r="T799" s="488">
        <f t="shared" si="572"/>
        <v>73718.83304</v>
      </c>
      <c r="U799" s="489">
        <f t="shared" si="551"/>
        <v>4</v>
      </c>
      <c r="V799" s="490" t="str">
        <f t="shared" si="552"/>
        <v>#REF!</v>
      </c>
      <c r="W799" s="491"/>
      <c r="X799" s="489"/>
      <c r="Y799" s="492"/>
      <c r="Z799" s="493"/>
      <c r="AA799" s="931"/>
      <c r="AB799" s="925" t="str">
        <f t="shared" si="565"/>
        <v/>
      </c>
      <c r="AC799" s="947">
        <f>T799+AH782</f>
        <v>88974.83304</v>
      </c>
      <c r="AD799" s="939" t="str">
        <f>IFERROR(__xludf.DUMMYFUNCTION("IF(AE799="""","""",
   IF(AE799=0,0,
      IF(ISNUMBER(MATCH(AE799,FILTER(AF$768:AF$826,AH$768:AH$826&lt;&gt;0),0)),1,0)
   )
)"),"")</f>
        <v/>
      </c>
      <c r="AE799" s="943"/>
      <c r="AF799" s="929" t="s">
        <v>162</v>
      </c>
      <c r="AG799" s="932" t="s">
        <v>52</v>
      </c>
      <c r="AH799" s="488">
        <f t="shared" si="566"/>
        <v>8.14375</v>
      </c>
      <c r="AI799" s="489">
        <f t="shared" si="583"/>
        <v>4</v>
      </c>
      <c r="AJ799" s="490" t="str">
        <f t="shared" si="639"/>
        <v>#REF!</v>
      </c>
      <c r="AK799" s="491"/>
      <c r="AL799" s="489"/>
      <c r="AM799" s="492"/>
      <c r="AN799" s="493"/>
      <c r="AO799" s="494"/>
      <c r="AP799" s="925" t="str">
        <f t="shared" si="557"/>
        <v/>
      </c>
      <c r="AQ799" s="595"/>
      <c r="AR799" s="939" t="str">
        <f>IFERROR(__xludf.DUMMYFUNCTION("IF(AS799="""","""",
   IF(AS799=0,0,
      IF(ISNUMBER(MATCH(AS799,FILTER(AT$768:AT$806,AV$768:AV$806&lt;&gt;0),0)),1,0)
   )
)"),"")</f>
        <v/>
      </c>
      <c r="AS799" s="943"/>
      <c r="AT799" s="486" t="s">
        <v>372</v>
      </c>
      <c r="AU799" s="487" t="s">
        <v>55</v>
      </c>
      <c r="AV799" s="488">
        <f t="shared" si="570"/>
        <v>0</v>
      </c>
      <c r="AW799" s="489">
        <f t="shared" ref="AW799:AW806" si="647">$X$755</f>
        <v>4</v>
      </c>
      <c r="AX799" s="924" t="str">
        <f t="shared" ref="AX799:AX806" si="648">AY$758</f>
        <v/>
      </c>
      <c r="AY799" s="491">
        <f>(3/3)*$X$755</f>
        <v>4</v>
      </c>
      <c r="AZ799" s="489">
        <f t="shared" ref="AZ799:AZ806" si="649">AY799*AY$765</f>
        <v>32</v>
      </c>
      <c r="BA799" s="492">
        <f t="shared" ref="BA799:BA806" si="650">ROUNDUP(AV799/AZ799,2)</f>
        <v>0</v>
      </c>
      <c r="BB799" s="493">
        <f t="shared" ref="BB799:BB806" si="651">BA799*AX799*AW799*AY$765</f>
        <v>0</v>
      </c>
      <c r="BC799" s="494" t="str">
        <f t="shared" si="571"/>
        <v/>
      </c>
      <c r="BD799" s="595"/>
      <c r="BE799" s="595"/>
      <c r="BF799" s="595"/>
      <c r="BG799" s="595"/>
      <c r="BH799" s="595"/>
      <c r="BI799" s="595"/>
      <c r="BJ799" s="595"/>
      <c r="BK799" s="595"/>
      <c r="BL799" s="595"/>
      <c r="BM799" s="595"/>
      <c r="BN799" s="595"/>
      <c r="BO799" s="651"/>
      <c r="BP799" s="651"/>
      <c r="BQ799" s="651"/>
      <c r="BR799" s="651"/>
      <c r="BS799" s="651"/>
      <c r="BT799" s="651"/>
    </row>
    <row r="800">
      <c r="A800" s="583"/>
      <c r="B800" s="584"/>
      <c r="C800" s="499" t="s">
        <v>275</v>
      </c>
      <c r="D800" s="844"/>
      <c r="E800" s="845"/>
      <c r="F800" s="846"/>
      <c r="G800" s="847"/>
      <c r="H800" s="848"/>
      <c r="I800" s="437">
        <v>2.0</v>
      </c>
      <c r="J800" s="954">
        <v>2.0</v>
      </c>
      <c r="K800" s="370">
        <v>350.0</v>
      </c>
      <c r="L800" s="850"/>
      <c r="M800" s="401">
        <v>0.0</v>
      </c>
      <c r="N800" s="849">
        <f t="shared" ref="N800:N803" si="652">M800*K800*J800*I800</f>
        <v>0</v>
      </c>
      <c r="O800" s="590"/>
      <c r="P800" s="939">
        <f>IFERROR(__xludf.DUMMYFUNCTION("IF(Q800="""","""",
   IF(Q800=0,0,
      IF(ISNUMBER(MATCH(Q800,FILTER(R$770:R$890,T$770:T$890&lt;&gt;0),0)),1,0)
   )
)"),1.0)</f>
        <v>1</v>
      </c>
      <c r="Q800" s="941" t="str">
        <f>IFERROR(__xludf.DUMMYFUNCTION("""COMPUTED_VALUE"""),"R-OP")</f>
        <v>R-OP</v>
      </c>
      <c r="R800" s="929" t="s">
        <v>96</v>
      </c>
      <c r="S800" s="930" t="s">
        <v>55</v>
      </c>
      <c r="T800" s="488">
        <f t="shared" si="572"/>
        <v>1324.230378</v>
      </c>
      <c r="U800" s="489">
        <f t="shared" si="551"/>
        <v>4</v>
      </c>
      <c r="V800" s="490" t="str">
        <f t="shared" si="552"/>
        <v>#REF!</v>
      </c>
      <c r="W800" s="491">
        <f>(6/2)*$X$755</f>
        <v>12</v>
      </c>
      <c r="X800" s="489">
        <f>W800*W$765</f>
        <v>96</v>
      </c>
      <c r="Y800" s="492">
        <f>ROUNDUP(T800/X800,2)</f>
        <v>13.8</v>
      </c>
      <c r="Z800" s="493" t="str">
        <f>Y800*V800*U800*W$765</f>
        <v>#REF!</v>
      </c>
      <c r="AA800" s="931" t="str">
        <f t="shared" ref="AA800:AA802" si="653">iferror(Z800/T800,"")</f>
        <v/>
      </c>
      <c r="AB800" s="925" t="str">
        <f t="shared" si="565"/>
        <v/>
      </c>
      <c r="AC800" s="595"/>
      <c r="AD800" s="939" t="str">
        <f>IFERROR(__xludf.DUMMYFUNCTION("IF(AE800="""","""",
   IF(AE800=0,0,
      IF(ISNUMBER(MATCH(AE800,FILTER(AF$768:AF$826,AH$768:AH$826&lt;&gt;0),0)),1,0)
   )
)"),"")</f>
        <v/>
      </c>
      <c r="AE800" s="943"/>
      <c r="AF800" s="942" t="s">
        <v>595</v>
      </c>
      <c r="AG800" s="932" t="s">
        <v>52</v>
      </c>
      <c r="AH800" s="488">
        <f t="shared" si="566"/>
        <v>0</v>
      </c>
      <c r="AI800" s="489">
        <f t="shared" si="583"/>
        <v>4</v>
      </c>
      <c r="AJ800" s="490" t="str">
        <f t="shared" ref="AJ800:AJ801" si="654">AN$758</f>
        <v/>
      </c>
      <c r="AK800" s="491">
        <f t="shared" ref="AK800:AK801" si="655">(30/4)*$X$755</f>
        <v>30</v>
      </c>
      <c r="AL800" s="489">
        <f t="shared" ref="AL800:AL805" si="656">AK800*AK$765</f>
        <v>240</v>
      </c>
      <c r="AM800" s="492">
        <f t="shared" ref="AM800:AM805" si="657">ROUNDUP(AH800/AL800,2)</f>
        <v>0</v>
      </c>
      <c r="AN800" s="493">
        <f t="shared" ref="AN800:AN805" si="658">AM800*AJ800*AI800*AK$765</f>
        <v>0</v>
      </c>
      <c r="AO800" s="494" t="str">
        <f t="shared" ref="AO800:AO809" si="659">iferror(AN800/AH800,"")</f>
        <v/>
      </c>
      <c r="AP800" s="925" t="str">
        <f t="shared" si="557"/>
        <v/>
      </c>
      <c r="AQ800" s="595"/>
      <c r="AR800" s="939" t="str">
        <f>IFERROR(__xludf.DUMMYFUNCTION("IF(AS800="""","""",
   IF(AS800=0,0,
      IF(ISNUMBER(MATCH(AS800,FILTER(AT$768:AT$806,AV$768:AV$806&lt;&gt;0),0)),1,0)
   )
)"),"")</f>
        <v/>
      </c>
      <c r="AS800" s="943"/>
      <c r="AT800" s="486" t="s">
        <v>374</v>
      </c>
      <c r="AU800" s="487" t="s">
        <v>52</v>
      </c>
      <c r="AV800" s="488">
        <f t="shared" si="570"/>
        <v>0</v>
      </c>
      <c r="AW800" s="489">
        <f t="shared" si="647"/>
        <v>4</v>
      </c>
      <c r="AX800" s="924" t="str">
        <f t="shared" si="648"/>
        <v/>
      </c>
      <c r="AY800" s="491">
        <f>(10/1)*$X$755</f>
        <v>40</v>
      </c>
      <c r="AZ800" s="489">
        <f t="shared" si="649"/>
        <v>320</v>
      </c>
      <c r="BA800" s="492">
        <f t="shared" si="650"/>
        <v>0</v>
      </c>
      <c r="BB800" s="493">
        <f t="shared" si="651"/>
        <v>0</v>
      </c>
      <c r="BC800" s="494" t="str">
        <f t="shared" si="571"/>
        <v/>
      </c>
      <c r="BD800" s="595"/>
      <c r="BE800" s="595"/>
      <c r="BF800" s="595"/>
      <c r="BG800" s="595"/>
      <c r="BH800" s="595"/>
      <c r="BI800" s="595"/>
      <c r="BJ800" s="595"/>
      <c r="BK800" s="595"/>
      <c r="BL800" s="595"/>
      <c r="BM800" s="595"/>
      <c r="BN800" s="595"/>
      <c r="BO800" s="651"/>
      <c r="BP800" s="651"/>
      <c r="BQ800" s="651"/>
      <c r="BR800" s="651"/>
      <c r="BS800" s="651"/>
      <c r="BT800" s="651"/>
    </row>
    <row r="801">
      <c r="A801" s="583"/>
      <c r="B801" s="584"/>
      <c r="C801" s="499" t="s">
        <v>272</v>
      </c>
      <c r="D801" s="844"/>
      <c r="E801" s="845"/>
      <c r="F801" s="846"/>
      <c r="G801" s="847"/>
      <c r="H801" s="848"/>
      <c r="I801" s="437">
        <v>1.0</v>
      </c>
      <c r="J801" s="504">
        <v>10.0</v>
      </c>
      <c r="K801" s="370">
        <v>350.0</v>
      </c>
      <c r="L801" s="850"/>
      <c r="M801" s="401">
        <v>0.0</v>
      </c>
      <c r="N801" s="849">
        <f t="shared" si="652"/>
        <v>0</v>
      </c>
      <c r="O801" s="590"/>
      <c r="P801" s="939">
        <f>IFERROR(__xludf.DUMMYFUNCTION("IF(Q801="""","""",
   IF(Q801=0,0,
      IF(ISNUMBER(MATCH(Q801,FILTER(R$770:R$890,T$770:T$890&lt;&gt;0),0)),1,0)
   )
)"),1.0)</f>
        <v>1</v>
      </c>
      <c r="Q801" s="941" t="str">
        <f>IFERROR(__xludf.DUMMYFUNCTION("""COMPUTED_VALUE"""),"R-OPSeal")</f>
        <v>R-OPSeal</v>
      </c>
      <c r="R801" s="942" t="s">
        <v>596</v>
      </c>
      <c r="S801" s="930" t="s">
        <v>52</v>
      </c>
      <c r="T801" s="488">
        <f t="shared" si="572"/>
        <v>0</v>
      </c>
      <c r="U801" s="489">
        <f t="shared" si="551"/>
        <v>4</v>
      </c>
      <c r="V801" s="490" t="str">
        <f t="shared" si="552"/>
        <v>#REF!</v>
      </c>
      <c r="W801" s="491"/>
      <c r="X801" s="489"/>
      <c r="Y801" s="492"/>
      <c r="Z801" s="493"/>
      <c r="AA801" s="931" t="str">
        <f t="shared" si="653"/>
        <v/>
      </c>
      <c r="AB801" s="925" t="str">
        <f t="shared" si="565"/>
        <v/>
      </c>
      <c r="AC801" s="595"/>
      <c r="AD801" s="939" t="str">
        <f>IFERROR(__xludf.DUMMYFUNCTION("IF(AE801="""","""",
   IF(AE801=0,0,
      IF(ISNUMBER(MATCH(AE801,FILTER(AF$768:AF$826,AH$768:AH$826&lt;&gt;0),0)),1,0)
   )
)"),"")</f>
        <v/>
      </c>
      <c r="AE801" s="943"/>
      <c r="AF801" s="929" t="s">
        <v>597</v>
      </c>
      <c r="AG801" s="932" t="s">
        <v>52</v>
      </c>
      <c r="AH801" s="488">
        <f t="shared" si="566"/>
        <v>0</v>
      </c>
      <c r="AI801" s="489">
        <f t="shared" si="583"/>
        <v>4</v>
      </c>
      <c r="AJ801" s="490" t="str">
        <f t="shared" si="654"/>
        <v/>
      </c>
      <c r="AK801" s="491">
        <f t="shared" si="655"/>
        <v>30</v>
      </c>
      <c r="AL801" s="489">
        <f t="shared" si="656"/>
        <v>240</v>
      </c>
      <c r="AM801" s="492">
        <f t="shared" si="657"/>
        <v>0</v>
      </c>
      <c r="AN801" s="493">
        <f t="shared" si="658"/>
        <v>0</v>
      </c>
      <c r="AO801" s="494" t="str">
        <f t="shared" si="659"/>
        <v/>
      </c>
      <c r="AP801" s="925" t="str">
        <f t="shared" si="557"/>
        <v/>
      </c>
      <c r="AQ801" s="595"/>
      <c r="AR801" s="939" t="str">
        <f>IFERROR(__xludf.DUMMYFUNCTION("IF(AS801="""","""",
   IF(AS801=0,0,
      IF(ISNUMBER(MATCH(AS801,FILTER(AT$768:AT$806,AV$768:AV$806&lt;&gt;0),0)),1,0)
   )
)"),"")</f>
        <v/>
      </c>
      <c r="AS801" s="943"/>
      <c r="AT801" s="955" t="str">
        <f>'Audit Check'!S36</f>
        <v/>
      </c>
      <c r="AU801" s="924"/>
      <c r="AV801" s="488">
        <f t="shared" si="570"/>
        <v>0</v>
      </c>
      <c r="AW801" s="489">
        <f t="shared" si="647"/>
        <v>4</v>
      </c>
      <c r="AX801" s="924" t="str">
        <f t="shared" si="648"/>
        <v/>
      </c>
      <c r="AY801" s="491">
        <f t="shared" ref="AY801:AY806" si="660">(30/4)*$X$755</f>
        <v>30</v>
      </c>
      <c r="AZ801" s="489">
        <f t="shared" si="649"/>
        <v>240</v>
      </c>
      <c r="BA801" s="492">
        <f t="shared" si="650"/>
        <v>0</v>
      </c>
      <c r="BB801" s="493">
        <f t="shared" si="651"/>
        <v>0</v>
      </c>
      <c r="BC801" s="494" t="str">
        <f t="shared" si="571"/>
        <v/>
      </c>
      <c r="BD801" s="595"/>
      <c r="BE801" s="595"/>
      <c r="BF801" s="595"/>
      <c r="BG801" s="595"/>
      <c r="BH801" s="595"/>
      <c r="BI801" s="595"/>
      <c r="BJ801" s="595"/>
      <c r="BK801" s="595"/>
      <c r="BL801" s="595"/>
      <c r="BM801" s="595"/>
      <c r="BN801" s="595"/>
      <c r="BO801" s="651"/>
      <c r="BP801" s="651"/>
      <c r="BQ801" s="651"/>
      <c r="BR801" s="651"/>
      <c r="BS801" s="651"/>
      <c r="BT801" s="651"/>
    </row>
    <row r="802">
      <c r="A802" s="583"/>
      <c r="B802" s="584"/>
      <c r="C802" s="499" t="s">
        <v>273</v>
      </c>
      <c r="D802" s="844"/>
      <c r="E802" s="845"/>
      <c r="F802" s="846"/>
      <c r="G802" s="847"/>
      <c r="H802" s="848"/>
      <c r="I802" s="437">
        <v>1.0</v>
      </c>
      <c r="J802" s="504">
        <f>J801</f>
        <v>10</v>
      </c>
      <c r="K802" s="370">
        <v>95.0</v>
      </c>
      <c r="L802" s="850"/>
      <c r="M802" s="401">
        <v>0.0</v>
      </c>
      <c r="N802" s="849">
        <f t="shared" si="652"/>
        <v>0</v>
      </c>
      <c r="O802" s="590"/>
      <c r="P802" s="939">
        <f>IFERROR(__xludf.DUMMYFUNCTION("IF(Q802="""","""",
   IF(Q802=0,0,
      IF(ISNUMBER(MATCH(Q802,FILTER(R$770:R$890,T$770:T$890&lt;&gt;0),0)),1,0)
   )
)"),1.0)</f>
        <v>1</v>
      </c>
      <c r="Q802" s="941" t="str">
        <f>IFERROR(__xludf.DUMMYFUNCTION("""COMPUTED_VALUE"""),"R-OPFixing")</f>
        <v>R-OPFixing</v>
      </c>
      <c r="R802" s="942" t="s">
        <v>598</v>
      </c>
      <c r="S802" s="930" t="s">
        <v>55</v>
      </c>
      <c r="T802" s="488">
        <f t="shared" si="572"/>
        <v>0</v>
      </c>
      <c r="U802" s="489">
        <f t="shared" si="551"/>
        <v>4</v>
      </c>
      <c r="V802" s="490" t="str">
        <f t="shared" si="552"/>
        <v>#REF!</v>
      </c>
      <c r="W802" s="491">
        <f>(5/1)*$X$755</f>
        <v>20</v>
      </c>
      <c r="X802" s="489">
        <f>W802*W$765</f>
        <v>160</v>
      </c>
      <c r="Y802" s="492">
        <f>ROUNDUP(T802/X802,2)</f>
        <v>0</v>
      </c>
      <c r="Z802" s="493" t="str">
        <f>Y802*V802*U802*W$765</f>
        <v>#REF!</v>
      </c>
      <c r="AA802" s="931" t="str">
        <f t="shared" si="653"/>
        <v/>
      </c>
      <c r="AB802" s="925" t="str">
        <f t="shared" si="565"/>
        <v/>
      </c>
      <c r="AC802" s="595"/>
      <c r="AD802" s="939" t="str">
        <f>IFERROR(__xludf.DUMMYFUNCTION("IF(AE802="""","""",
   IF(AE802=0,0,
      IF(ISNUMBER(MATCH(AE802,FILTER(AF$768:AF$826,AH$768:AH$826&lt;&gt;0),0)),1,0)
   )
)"),"")</f>
        <v/>
      </c>
      <c r="AE802" s="943"/>
      <c r="AF802" s="929" t="s">
        <v>168</v>
      </c>
      <c r="AG802" s="932" t="s">
        <v>55</v>
      </c>
      <c r="AH802" s="488">
        <f t="shared" si="566"/>
        <v>49.54</v>
      </c>
      <c r="AI802" s="489">
        <f t="shared" si="583"/>
        <v>4</v>
      </c>
      <c r="AJ802" s="490" t="str">
        <f>AC$758</f>
        <v>#REF!</v>
      </c>
      <c r="AK802" s="491">
        <f>(30/2)*$X$755</f>
        <v>60</v>
      </c>
      <c r="AL802" s="489">
        <f t="shared" si="656"/>
        <v>480</v>
      </c>
      <c r="AM802" s="492">
        <f t="shared" si="657"/>
        <v>0.11</v>
      </c>
      <c r="AN802" s="493" t="str">
        <f t="shared" si="658"/>
        <v>#REF!</v>
      </c>
      <c r="AO802" s="494" t="str">
        <f t="shared" si="659"/>
        <v/>
      </c>
      <c r="AP802" s="925" t="str">
        <f t="shared" si="557"/>
        <v/>
      </c>
      <c r="AQ802" s="595"/>
      <c r="AR802" s="939" t="str">
        <f>IFERROR(__xludf.DUMMYFUNCTION("IF(AS802="""","""",
   IF(AS802=0,0,
      IF(ISNUMBER(MATCH(AS802,FILTER(AT$768:AT$806,AV$768:AV$806&lt;&gt;0),0)),1,0)
   )
)"),"")</f>
        <v/>
      </c>
      <c r="AS802" s="943"/>
      <c r="AT802" s="955" t="str">
        <f>'Audit Check'!S37</f>
        <v/>
      </c>
      <c r="AU802" s="924"/>
      <c r="AV802" s="488">
        <f t="shared" si="570"/>
        <v>0</v>
      </c>
      <c r="AW802" s="489">
        <f t="shared" si="647"/>
        <v>4</v>
      </c>
      <c r="AX802" s="924" t="str">
        <f t="shared" si="648"/>
        <v/>
      </c>
      <c r="AY802" s="491">
        <f t="shared" si="660"/>
        <v>30</v>
      </c>
      <c r="AZ802" s="489">
        <f t="shared" si="649"/>
        <v>240</v>
      </c>
      <c r="BA802" s="492">
        <f t="shared" si="650"/>
        <v>0</v>
      </c>
      <c r="BB802" s="493">
        <f t="shared" si="651"/>
        <v>0</v>
      </c>
      <c r="BC802" s="494" t="str">
        <f t="shared" si="571"/>
        <v/>
      </c>
      <c r="BD802" s="595"/>
      <c r="BE802" s="595"/>
      <c r="BF802" s="595"/>
      <c r="BG802" s="595"/>
      <c r="BH802" s="595"/>
      <c r="BI802" s="595"/>
      <c r="BJ802" s="595"/>
      <c r="BK802" s="595"/>
      <c r="BL802" s="595"/>
      <c r="BM802" s="595"/>
      <c r="BN802" s="595"/>
      <c r="BO802" s="651"/>
      <c r="BP802" s="651"/>
      <c r="BQ802" s="651"/>
      <c r="BR802" s="651"/>
      <c r="BS802" s="651"/>
      <c r="BT802" s="651"/>
    </row>
    <row r="803">
      <c r="A803" s="583"/>
      <c r="B803" s="584"/>
      <c r="C803" s="499" t="s">
        <v>274</v>
      </c>
      <c r="D803" s="844"/>
      <c r="E803" s="845"/>
      <c r="F803" s="846"/>
      <c r="G803" s="847"/>
      <c r="H803" s="848"/>
      <c r="I803" s="437">
        <v>1.0</v>
      </c>
      <c r="J803" s="436">
        <v>2.0</v>
      </c>
      <c r="K803" s="370">
        <v>600.0</v>
      </c>
      <c r="L803" s="850"/>
      <c r="M803" s="401">
        <v>0.0</v>
      </c>
      <c r="N803" s="849">
        <f t="shared" si="652"/>
        <v>0</v>
      </c>
      <c r="O803" s="590"/>
      <c r="P803" s="939">
        <f>IFERROR(__xludf.DUMMYFUNCTION("IF(Q803="""","""",
   IF(Q803=0,0,
      IF(ISNUMBER(MATCH(Q803,FILTER(R$770:R$890,T$770:T$890&lt;&gt;0),0)),1,0)
   )
)"),1.0)</f>
        <v>1</v>
      </c>
      <c r="Q803" s="941" t="str">
        <f>IFERROR(__xludf.DUMMYFUNCTION("""COMPUTED_VALUE"""),"R-DPBends")</f>
        <v>R-DPBends</v>
      </c>
      <c r="R803" s="929" t="s">
        <v>103</v>
      </c>
      <c r="S803" s="930" t="s">
        <v>52</v>
      </c>
      <c r="T803" s="488">
        <f t="shared" si="572"/>
        <v>4888.572992</v>
      </c>
      <c r="U803" s="489">
        <f t="shared" si="551"/>
        <v>4</v>
      </c>
      <c r="V803" s="490" t="str">
        <f t="shared" si="552"/>
        <v>#REF!</v>
      </c>
      <c r="W803" s="491"/>
      <c r="X803" s="489"/>
      <c r="Y803" s="492"/>
      <c r="Z803" s="493"/>
      <c r="AA803" s="931"/>
      <c r="AB803" s="925" t="str">
        <f t="shared" si="565"/>
        <v/>
      </c>
      <c r="AC803" s="595"/>
      <c r="AD803" s="939" t="str">
        <f>IFERROR(__xludf.DUMMYFUNCTION("IF(AE803="""","""",
   IF(AE803=0,0,
      IF(ISNUMBER(MATCH(AE803,FILTER(AF$768:AF$826,AH$768:AH$826&lt;&gt;0),0)),1,0)
   )
)"),"")</f>
        <v/>
      </c>
      <c r="AE803" s="943"/>
      <c r="AF803" s="929" t="s">
        <v>385</v>
      </c>
      <c r="AG803" s="932" t="s">
        <v>41</v>
      </c>
      <c r="AH803" s="488">
        <f t="shared" si="566"/>
        <v>0</v>
      </c>
      <c r="AI803" s="489">
        <f t="shared" si="583"/>
        <v>4</v>
      </c>
      <c r="AJ803" s="490" t="str">
        <f t="shared" ref="AJ803:AJ805" si="661">AN$758</f>
        <v/>
      </c>
      <c r="AK803" s="491">
        <f t="shared" ref="AK803:AK805" si="662">(30/4)*$X$755</f>
        <v>30</v>
      </c>
      <c r="AL803" s="489">
        <f t="shared" si="656"/>
        <v>240</v>
      </c>
      <c r="AM803" s="492">
        <f t="shared" si="657"/>
        <v>0</v>
      </c>
      <c r="AN803" s="493">
        <f t="shared" si="658"/>
        <v>0</v>
      </c>
      <c r="AO803" s="494" t="str">
        <f t="shared" si="659"/>
        <v/>
      </c>
      <c r="AP803" s="925" t="str">
        <f t="shared" si="557"/>
        <v/>
      </c>
      <c r="AQ803" s="595"/>
      <c r="AR803" s="939" t="str">
        <f>IFERROR(__xludf.DUMMYFUNCTION("IF(AS803="""","""",
   IF(AS803=0,0,
      IF(ISNUMBER(MATCH(AS803,FILTER(AT$768:AT$806,AV$768:AV$806&lt;&gt;0),0)),1,0)
   )
)"),"")</f>
        <v/>
      </c>
      <c r="AS803" s="943"/>
      <c r="AT803" s="955" t="str">
        <f>'Audit Check'!S38</f>
        <v/>
      </c>
      <c r="AU803" s="924"/>
      <c r="AV803" s="488">
        <f t="shared" si="570"/>
        <v>0</v>
      </c>
      <c r="AW803" s="489">
        <f t="shared" si="647"/>
        <v>4</v>
      </c>
      <c r="AX803" s="924" t="str">
        <f t="shared" si="648"/>
        <v/>
      </c>
      <c r="AY803" s="491">
        <f t="shared" si="660"/>
        <v>30</v>
      </c>
      <c r="AZ803" s="489">
        <f t="shared" si="649"/>
        <v>240</v>
      </c>
      <c r="BA803" s="492">
        <f t="shared" si="650"/>
        <v>0</v>
      </c>
      <c r="BB803" s="493">
        <f t="shared" si="651"/>
        <v>0</v>
      </c>
      <c r="BC803" s="494" t="str">
        <f t="shared" si="571"/>
        <v/>
      </c>
      <c r="BD803" s="595"/>
      <c r="BE803" s="595"/>
      <c r="BF803" s="595"/>
      <c r="BG803" s="595"/>
      <c r="BH803" s="595"/>
      <c r="BI803" s="595"/>
      <c r="BJ803" s="595"/>
      <c r="BK803" s="595"/>
      <c r="BL803" s="595"/>
      <c r="BM803" s="595"/>
      <c r="BN803" s="595"/>
      <c r="BO803" s="651"/>
      <c r="BP803" s="651"/>
      <c r="BQ803" s="651"/>
      <c r="BR803" s="651"/>
      <c r="BS803" s="651"/>
      <c r="BT803" s="651"/>
    </row>
    <row r="804">
      <c r="A804" s="583"/>
      <c r="B804" s="584"/>
      <c r="C804" s="851"/>
      <c r="D804" s="609"/>
      <c r="E804" s="585"/>
      <c r="F804" s="586"/>
      <c r="G804" s="587"/>
      <c r="H804" s="584"/>
      <c r="I804" s="584"/>
      <c r="J804" s="584"/>
      <c r="K804" s="586"/>
      <c r="L804" s="588"/>
      <c r="M804" s="588"/>
      <c r="N804" s="833"/>
      <c r="O804" s="590"/>
      <c r="P804" s="939">
        <f>IFERROR(__xludf.DUMMYFUNCTION("IF(Q804="""","""",
   IF(Q804=0,0,
      IF(ISNUMBER(MATCH(Q804,FILTER(R$770:R$890,T$770:T$890&lt;&gt;0),0)),1,0)
   )
)"),1.0)</f>
        <v>1</v>
      </c>
      <c r="Q804" s="941" t="str">
        <f>IFERROR(__xludf.DUMMYFUNCTION("""COMPUTED_VALUE"""),"R-TPO")</f>
        <v>R-TPO</v>
      </c>
      <c r="R804" s="942" t="s">
        <v>599</v>
      </c>
      <c r="S804" s="930" t="s">
        <v>52</v>
      </c>
      <c r="T804" s="488">
        <f t="shared" si="572"/>
        <v>0</v>
      </c>
      <c r="U804" s="489">
        <f t="shared" si="551"/>
        <v>4</v>
      </c>
      <c r="V804" s="490" t="str">
        <f t="shared" si="552"/>
        <v>#REF!</v>
      </c>
      <c r="W804" s="491">
        <f t="shared" ref="W804:W805" si="663">(5/1)*$X$755</f>
        <v>20</v>
      </c>
      <c r="X804" s="489">
        <f t="shared" ref="X804:X808" si="664">W804*W$765</f>
        <v>160</v>
      </c>
      <c r="Y804" s="492">
        <f t="shared" ref="Y804:Y808" si="665">ROUNDUP(T804/X804,2)</f>
        <v>0</v>
      </c>
      <c r="Z804" s="493" t="str">
        <f t="shared" ref="Z804:Z808" si="666">Y804*V804*U804*W$765</f>
        <v>#REF!</v>
      </c>
      <c r="AA804" s="931"/>
      <c r="AB804" s="925" t="str">
        <f t="shared" si="565"/>
        <v/>
      </c>
      <c r="AC804" s="595"/>
      <c r="AD804" s="939" t="str">
        <f>IFERROR(__xludf.DUMMYFUNCTION("IF(AE804="""","""",
   IF(AE804=0,0,
      IF(ISNUMBER(MATCH(AE804,FILTER(AF$768:AF$826,AH$768:AH$826&lt;&gt;0),0)),1,0)
   )
)"),"")</f>
        <v/>
      </c>
      <c r="AE804" s="943"/>
      <c r="AF804" s="929" t="s">
        <v>386</v>
      </c>
      <c r="AG804" s="932" t="s">
        <v>52</v>
      </c>
      <c r="AH804" s="488">
        <f t="shared" si="566"/>
        <v>174</v>
      </c>
      <c r="AI804" s="489">
        <f t="shared" si="583"/>
        <v>4</v>
      </c>
      <c r="AJ804" s="490" t="str">
        <f t="shared" si="661"/>
        <v/>
      </c>
      <c r="AK804" s="491">
        <f t="shared" si="662"/>
        <v>30</v>
      </c>
      <c r="AL804" s="489">
        <f t="shared" si="656"/>
        <v>240</v>
      </c>
      <c r="AM804" s="492">
        <f t="shared" si="657"/>
        <v>0.73</v>
      </c>
      <c r="AN804" s="493">
        <f t="shared" si="658"/>
        <v>0</v>
      </c>
      <c r="AO804" s="494">
        <f t="shared" si="659"/>
        <v>0</v>
      </c>
      <c r="AP804" s="925" t="str">
        <f t="shared" si="557"/>
        <v/>
      </c>
      <c r="AQ804" s="595"/>
      <c r="AR804" s="939" t="str">
        <f>IFERROR(__xludf.DUMMYFUNCTION("IF(AS804="""","""",
   IF(AS804=0,0,
      IF(ISNUMBER(MATCH(AS804,FILTER(AT$768:AT$806,AV$768:AV$806&lt;&gt;0),0)),1,0)
   )
)"),"")</f>
        <v/>
      </c>
      <c r="AS804" s="943"/>
      <c r="AT804" s="955" t="str">
        <f>'Audit Check'!S39</f>
        <v/>
      </c>
      <c r="AU804" s="924"/>
      <c r="AV804" s="488">
        <f t="shared" si="570"/>
        <v>0</v>
      </c>
      <c r="AW804" s="489">
        <f t="shared" si="647"/>
        <v>4</v>
      </c>
      <c r="AX804" s="924" t="str">
        <f t="shared" si="648"/>
        <v/>
      </c>
      <c r="AY804" s="491">
        <f t="shared" si="660"/>
        <v>30</v>
      </c>
      <c r="AZ804" s="489">
        <f t="shared" si="649"/>
        <v>240</v>
      </c>
      <c r="BA804" s="492">
        <f t="shared" si="650"/>
        <v>0</v>
      </c>
      <c r="BB804" s="493">
        <f t="shared" si="651"/>
        <v>0</v>
      </c>
      <c r="BC804" s="494" t="str">
        <f t="shared" si="571"/>
        <v/>
      </c>
      <c r="BD804" s="595"/>
      <c r="BE804" s="595"/>
      <c r="BF804" s="595"/>
      <c r="BG804" s="595"/>
      <c r="BH804" s="595"/>
      <c r="BI804" s="595"/>
      <c r="BJ804" s="595"/>
      <c r="BK804" s="595"/>
      <c r="BL804" s="595"/>
      <c r="BM804" s="595"/>
      <c r="BN804" s="595"/>
      <c r="BO804" s="651"/>
      <c r="BP804" s="651"/>
      <c r="BQ804" s="651"/>
      <c r="BR804" s="651"/>
      <c r="BS804" s="651"/>
      <c r="BT804" s="651"/>
    </row>
    <row r="805">
      <c r="A805" s="583"/>
      <c r="B805" s="584"/>
      <c r="C805" s="329" t="s">
        <v>276</v>
      </c>
      <c r="D805" s="821"/>
      <c r="E805" s="822"/>
      <c r="F805" s="823"/>
      <c r="G805" s="824"/>
      <c r="H805" s="825"/>
      <c r="I805" s="333" t="s">
        <v>18</v>
      </c>
      <c r="J805" s="334" t="s">
        <v>15</v>
      </c>
      <c r="K805" s="335" t="s">
        <v>26</v>
      </c>
      <c r="L805" s="878"/>
      <c r="M805" s="878"/>
      <c r="N805" s="857" t="str">
        <f>SUM(N807:N827)</f>
        <v>#REF!</v>
      </c>
      <c r="O805" s="590"/>
      <c r="P805" s="939" t="str">
        <f>IFERROR(__xludf.DUMMYFUNCTION("IF(Q805="""","""",
   IF(Q805=0,0,
      IF(ISNUMBER(MATCH(Q805,FILTER(R$770:R$890,T$770:T$890&lt;&gt;0),0)),1,0)
   )
)"),"")</f>
        <v/>
      </c>
      <c r="Q805" s="941"/>
      <c r="R805" s="942" t="s">
        <v>600</v>
      </c>
      <c r="S805" s="930" t="s">
        <v>52</v>
      </c>
      <c r="T805" s="488">
        <f t="shared" si="572"/>
        <v>0</v>
      </c>
      <c r="U805" s="489">
        <f t="shared" si="551"/>
        <v>4</v>
      </c>
      <c r="V805" s="490" t="str">
        <f t="shared" si="552"/>
        <v>#REF!</v>
      </c>
      <c r="W805" s="491">
        <f t="shared" si="663"/>
        <v>20</v>
      </c>
      <c r="X805" s="489">
        <f t="shared" si="664"/>
        <v>160</v>
      </c>
      <c r="Y805" s="492">
        <f t="shared" si="665"/>
        <v>0</v>
      </c>
      <c r="Z805" s="493" t="str">
        <f t="shared" si="666"/>
        <v>#REF!</v>
      </c>
      <c r="AA805" s="931"/>
      <c r="AB805" s="925" t="str">
        <f t="shared" si="565"/>
        <v/>
      </c>
      <c r="AC805" s="595"/>
      <c r="AD805" s="939" t="str">
        <f>IFERROR(__xludf.DUMMYFUNCTION("IF(AE805="""","""",
   IF(AE805=0,0,
      IF(ISNUMBER(MATCH(AE805,FILTER(AF$768:AF$826,AH$768:AH$826&lt;&gt;0),0)),1,0)
   )
)"),"")</f>
        <v/>
      </c>
      <c r="AE805" s="943"/>
      <c r="AF805" s="929" t="s">
        <v>387</v>
      </c>
      <c r="AG805" s="932" t="s">
        <v>52</v>
      </c>
      <c r="AH805" s="488">
        <f t="shared" si="566"/>
        <v>0</v>
      </c>
      <c r="AI805" s="489">
        <f t="shared" si="583"/>
        <v>4</v>
      </c>
      <c r="AJ805" s="490" t="str">
        <f t="shared" si="661"/>
        <v/>
      </c>
      <c r="AK805" s="491">
        <f t="shared" si="662"/>
        <v>30</v>
      </c>
      <c r="AL805" s="489">
        <f t="shared" si="656"/>
        <v>240</v>
      </c>
      <c r="AM805" s="492">
        <f t="shared" si="657"/>
        <v>0</v>
      </c>
      <c r="AN805" s="493">
        <f t="shared" si="658"/>
        <v>0</v>
      </c>
      <c r="AO805" s="494" t="str">
        <f t="shared" si="659"/>
        <v/>
      </c>
      <c r="AP805" s="925" t="str">
        <f t="shared" si="557"/>
        <v/>
      </c>
      <c r="AQ805" s="595"/>
      <c r="AR805" s="939" t="str">
        <f>IFERROR(__xludf.DUMMYFUNCTION("IF(AS805="""","""",
   IF(AS805=0,0,
      IF(ISNUMBER(MATCH(AS805,FILTER(AT$768:AT$806,AV$768:AV$806&lt;&gt;0),0)),1,0)
   )
)"),"")</f>
        <v/>
      </c>
      <c r="AS805" s="943"/>
      <c r="AT805" s="955" t="str">
        <f>'Audit Check'!S40</f>
        <v/>
      </c>
      <c r="AU805" s="924"/>
      <c r="AV805" s="488">
        <f t="shared" si="570"/>
        <v>0</v>
      </c>
      <c r="AW805" s="489">
        <f t="shared" si="647"/>
        <v>4</v>
      </c>
      <c r="AX805" s="924" t="str">
        <f t="shared" si="648"/>
        <v/>
      </c>
      <c r="AY805" s="491">
        <f t="shared" si="660"/>
        <v>30</v>
      </c>
      <c r="AZ805" s="489">
        <f t="shared" si="649"/>
        <v>240</v>
      </c>
      <c r="BA805" s="492">
        <f t="shared" si="650"/>
        <v>0</v>
      </c>
      <c r="BB805" s="493">
        <f t="shared" si="651"/>
        <v>0</v>
      </c>
      <c r="BC805" s="494" t="str">
        <f t="shared" si="571"/>
        <v/>
      </c>
      <c r="BD805" s="595"/>
      <c r="BE805" s="595"/>
      <c r="BF805" s="595"/>
      <c r="BG805" s="595"/>
      <c r="BH805" s="595"/>
      <c r="BI805" s="595"/>
      <c r="BJ805" s="595"/>
      <c r="BK805" s="595"/>
      <c r="BL805" s="595"/>
      <c r="BM805" s="595"/>
      <c r="BN805" s="595"/>
      <c r="BO805" s="651"/>
      <c r="BP805" s="651"/>
      <c r="BQ805" s="651"/>
      <c r="BR805" s="651"/>
      <c r="BS805" s="651"/>
      <c r="BT805" s="651"/>
    </row>
    <row r="806">
      <c r="A806" s="583"/>
      <c r="B806" s="584"/>
      <c r="C806" s="510" t="s">
        <v>277</v>
      </c>
      <c r="D806" s="609"/>
      <c r="E806" s="585"/>
      <c r="F806" s="586"/>
      <c r="G806" s="587"/>
      <c r="H806" s="584"/>
      <c r="I806" s="820"/>
      <c r="J806" s="595"/>
      <c r="K806" s="383"/>
      <c r="L806" s="588"/>
      <c r="M806" s="588"/>
      <c r="N806" s="833"/>
      <c r="O806" s="590"/>
      <c r="P806" s="939" t="str">
        <f>IFERROR(__xludf.DUMMYFUNCTION("IF(Q806="""","""",
   IF(Q806=0,0,
      IF(ISNUMBER(MATCH(Q806,FILTER(R$770:R$890,T$770:T$890&lt;&gt;0),0)),1,0)
   )
)"),"")</f>
        <v/>
      </c>
      <c r="Q806" s="941"/>
      <c r="R806" s="929" t="s">
        <v>370</v>
      </c>
      <c r="S806" s="930" t="s">
        <v>41</v>
      </c>
      <c r="T806" s="488">
        <f t="shared" si="572"/>
        <v>0</v>
      </c>
      <c r="U806" s="489">
        <f t="shared" si="551"/>
        <v>4</v>
      </c>
      <c r="V806" s="490" t="str">
        <f t="shared" si="552"/>
        <v>#REF!</v>
      </c>
      <c r="W806" s="491">
        <f t="shared" ref="W806:W807" si="667">(15/1)*$X$755</f>
        <v>60</v>
      </c>
      <c r="X806" s="489">
        <f t="shared" si="664"/>
        <v>480</v>
      </c>
      <c r="Y806" s="492">
        <f t="shared" si="665"/>
        <v>0</v>
      </c>
      <c r="Z806" s="493" t="str">
        <f t="shared" si="666"/>
        <v>#REF!</v>
      </c>
      <c r="AA806" s="931" t="str">
        <f t="shared" ref="AA806:AA809" si="668">iferror(Z806/T806,"")</f>
        <v/>
      </c>
      <c r="AB806" s="925" t="str">
        <f t="shared" si="565"/>
        <v/>
      </c>
      <c r="AC806" s="595"/>
      <c r="AD806" s="939" t="str">
        <f>IFERROR(__xludf.DUMMYFUNCTION("IF(AE806="""","""",
   IF(AE806=0,0,
      IF(ISNUMBER(MATCH(AE806,FILTER(AF$768:AF$826,AH$768:AH$826&lt;&gt;0),0)),1,0)
   )
)"),"")</f>
        <v/>
      </c>
      <c r="AE806" s="943"/>
      <c r="AF806" s="929" t="s">
        <v>346</v>
      </c>
      <c r="AG806" s="932" t="s">
        <v>52</v>
      </c>
      <c r="AH806" s="488">
        <f t="shared" si="566"/>
        <v>0</v>
      </c>
      <c r="AI806" s="935"/>
      <c r="AJ806" s="490" t="str">
        <f>AC$758</f>
        <v>#REF!</v>
      </c>
      <c r="AK806" s="935"/>
      <c r="AL806" s="935"/>
      <c r="AM806" s="935"/>
      <c r="AN806" s="936"/>
      <c r="AO806" s="494" t="str">
        <f t="shared" si="659"/>
        <v/>
      </c>
      <c r="AP806" s="925" t="str">
        <f t="shared" si="557"/>
        <v/>
      </c>
      <c r="AQ806" s="595"/>
      <c r="AR806" s="939" t="str">
        <f>IFERROR(__xludf.DUMMYFUNCTION("IF(AS806="""","""",
   IF(AS806=0,0,
      IF(ISNUMBER(MATCH(AS806,FILTER(AT$768:AT$806,AV$768:AV$806&lt;&gt;0),0)),1,0)
   )
)"),"")</f>
        <v/>
      </c>
      <c r="AS806" s="956"/>
      <c r="AT806" s="957" t="str">
        <f>'Audit Check'!S83</f>
        <v/>
      </c>
      <c r="AU806" s="924"/>
      <c r="AV806" s="488">
        <f t="shared" si="570"/>
        <v>0</v>
      </c>
      <c r="AW806" s="489">
        <f t="shared" si="647"/>
        <v>4</v>
      </c>
      <c r="AX806" s="924" t="str">
        <f t="shared" si="648"/>
        <v/>
      </c>
      <c r="AY806" s="491">
        <f t="shared" si="660"/>
        <v>30</v>
      </c>
      <c r="AZ806" s="489">
        <f t="shared" si="649"/>
        <v>240</v>
      </c>
      <c r="BA806" s="492">
        <f t="shared" si="650"/>
        <v>0</v>
      </c>
      <c r="BB806" s="493">
        <f t="shared" si="651"/>
        <v>0</v>
      </c>
      <c r="BC806" s="494" t="str">
        <f t="shared" si="571"/>
        <v/>
      </c>
      <c r="BD806" s="595"/>
      <c r="BE806" s="595"/>
      <c r="BF806" s="595"/>
      <c r="BG806" s="595"/>
      <c r="BH806" s="595"/>
      <c r="BI806" s="595"/>
      <c r="BJ806" s="595"/>
      <c r="BK806" s="595"/>
      <c r="BL806" s="595"/>
      <c r="BM806" s="595"/>
      <c r="BN806" s="595"/>
      <c r="BO806" s="651"/>
      <c r="BP806" s="651"/>
      <c r="BQ806" s="651"/>
      <c r="BR806" s="651"/>
      <c r="BS806" s="651"/>
      <c r="BT806" s="651"/>
    </row>
    <row r="807">
      <c r="A807" s="583"/>
      <c r="B807" s="584"/>
      <c r="C807" s="499" t="s">
        <v>278</v>
      </c>
      <c r="D807" s="844"/>
      <c r="E807" s="845"/>
      <c r="F807" s="846"/>
      <c r="G807" s="847"/>
      <c r="H807" s="848"/>
      <c r="I807" s="437">
        <v>1.0</v>
      </c>
      <c r="J807" s="436">
        <v>2.0</v>
      </c>
      <c r="K807" s="370">
        <v>750.0</v>
      </c>
      <c r="L807" s="850"/>
      <c r="M807" s="401">
        <v>0.0</v>
      </c>
      <c r="N807" s="849">
        <f t="shared" ref="N807:N809" si="670">M807*K807*J807*I807</f>
        <v>0</v>
      </c>
      <c r="O807" s="590"/>
      <c r="P807" s="939" t="str">
        <f>IFERROR(__xludf.DUMMYFUNCTION("IF(Q807="""","""",
   IF(Q807=0,0,
      IF(ISNUMBER(MATCH(Q807,FILTER(R$770:R$890,T$770:T$890&lt;&gt;0),0)),1,0)
   )
)"),"")</f>
        <v/>
      </c>
      <c r="Q807" s="941"/>
      <c r="R807" s="942" t="s">
        <v>45</v>
      </c>
      <c r="S807" s="930" t="s">
        <v>41</v>
      </c>
      <c r="T807" s="488">
        <f t="shared" si="572"/>
        <v>0</v>
      </c>
      <c r="U807" s="489">
        <f t="shared" si="551"/>
        <v>4</v>
      </c>
      <c r="V807" s="490" t="str">
        <f t="shared" si="552"/>
        <v>#REF!</v>
      </c>
      <c r="W807" s="491">
        <f t="shared" si="667"/>
        <v>60</v>
      </c>
      <c r="X807" s="489">
        <f t="shared" si="664"/>
        <v>480</v>
      </c>
      <c r="Y807" s="492">
        <f t="shared" si="665"/>
        <v>0</v>
      </c>
      <c r="Z807" s="493" t="str">
        <f t="shared" si="666"/>
        <v>#REF!</v>
      </c>
      <c r="AA807" s="931" t="str">
        <f t="shared" si="668"/>
        <v/>
      </c>
      <c r="AB807" s="925" t="str">
        <f t="shared" si="565"/>
        <v/>
      </c>
      <c r="AC807" s="595"/>
      <c r="AD807" s="939" t="str">
        <f>IFERROR(__xludf.DUMMYFUNCTION("IF(AE807="""","""",
   IF(AE807=0,0,
      IF(ISNUMBER(MATCH(AE807,FILTER(AF$768:AF$826,AH$768:AH$826&lt;&gt;0),0)),1,0)
   )
)"),"")</f>
        <v/>
      </c>
      <c r="AE807" s="943"/>
      <c r="AF807" s="929" t="s">
        <v>346</v>
      </c>
      <c r="AG807" s="932" t="s">
        <v>55</v>
      </c>
      <c r="AH807" s="488">
        <f t="shared" si="566"/>
        <v>0</v>
      </c>
      <c r="AI807" s="489">
        <f t="shared" ref="AI807:AI826" si="671">$X$755</f>
        <v>4</v>
      </c>
      <c r="AJ807" s="490" t="str">
        <f>AN$758</f>
        <v/>
      </c>
      <c r="AK807" s="491">
        <f>(30/4)*$X$755</f>
        <v>30</v>
      </c>
      <c r="AL807" s="489">
        <f t="shared" ref="AL807:AL809" si="672">AK807*AK$765</f>
        <v>240</v>
      </c>
      <c r="AM807" s="492">
        <f t="shared" ref="AM807:AM809" si="673">ROUNDUP(AH807/AL807,2)</f>
        <v>0</v>
      </c>
      <c r="AN807" s="493">
        <f t="shared" ref="AN807:AN809" si="674">AM807*AJ807*AI807*AK$765</f>
        <v>0</v>
      </c>
      <c r="AO807" s="494" t="str">
        <f t="shared" si="659"/>
        <v/>
      </c>
      <c r="AP807" s="925" t="str">
        <f t="shared" si="557"/>
        <v/>
      </c>
      <c r="AQ807" s="595"/>
      <c r="AR807" s="958"/>
      <c r="AS807" s="959"/>
      <c r="AT807" s="960"/>
      <c r="AU807" s="471"/>
      <c r="AV807" s="473"/>
      <c r="AW807" s="549">
        <f>AVERAGE(AW767:AW792)</f>
        <v>4</v>
      </c>
      <c r="AX807" s="471"/>
      <c r="AY807" s="961"/>
      <c r="AZ807" s="962">
        <f>X755</f>
        <v>4</v>
      </c>
      <c r="BA807" s="552">
        <f t="shared" ref="BA807:BB807" si="669">SUM(BA767:BA806)</f>
        <v>0</v>
      </c>
      <c r="BB807" s="553">
        <f t="shared" si="669"/>
        <v>0</v>
      </c>
      <c r="BC807" s="554" t="str">
        <f>BB807/BA807/AZ807</f>
        <v>#DIV/0!</v>
      </c>
      <c r="BD807" s="595"/>
      <c r="BE807" s="595"/>
      <c r="BF807" s="595"/>
      <c r="BG807" s="595"/>
      <c r="BH807" s="595"/>
      <c r="BI807" s="595"/>
      <c r="BJ807" s="595"/>
      <c r="BK807" s="595"/>
      <c r="BL807" s="595"/>
      <c r="BM807" s="595"/>
      <c r="BN807" s="595"/>
      <c r="BO807" s="651"/>
      <c r="BP807" s="651"/>
      <c r="BQ807" s="651"/>
      <c r="BR807" s="651"/>
      <c r="BS807" s="651"/>
      <c r="BT807" s="651"/>
    </row>
    <row r="808">
      <c r="A808" s="583"/>
      <c r="B808" s="584"/>
      <c r="C808" s="499" t="s">
        <v>279</v>
      </c>
      <c r="D808" s="844"/>
      <c r="E808" s="845"/>
      <c r="F808" s="846"/>
      <c r="G808" s="847"/>
      <c r="H808" s="848"/>
      <c r="I808" s="437">
        <f t="shared" ref="I808:I809" si="675">I807</f>
        <v>1</v>
      </c>
      <c r="J808" s="436">
        <v>0.0</v>
      </c>
      <c r="K808" s="370">
        <v>3000.0</v>
      </c>
      <c r="L808" s="850"/>
      <c r="M808" s="401">
        <v>0.0</v>
      </c>
      <c r="N808" s="849">
        <f t="shared" si="670"/>
        <v>0</v>
      </c>
      <c r="O808" s="590"/>
      <c r="P808" s="939" t="str">
        <f>IFERROR(__xludf.DUMMYFUNCTION("IF(Q808="""","""",
   IF(Q808=0,0,
      IF(ISNUMBER(MATCH(Q808,FILTER(R$770:R$890,T$770:T$890&lt;&gt;0),0)),1,0)
   )
)"),"")</f>
        <v/>
      </c>
      <c r="Q808" s="941"/>
      <c r="R808" s="929" t="s">
        <v>375</v>
      </c>
      <c r="S808" s="930" t="s">
        <v>41</v>
      </c>
      <c r="T808" s="488">
        <f t="shared" si="572"/>
        <v>0</v>
      </c>
      <c r="U808" s="489">
        <f t="shared" si="551"/>
        <v>4</v>
      </c>
      <c r="V808" s="490" t="str">
        <f t="shared" si="552"/>
        <v>#REF!</v>
      </c>
      <c r="W808" s="491">
        <f>(10/4)*$X$755</f>
        <v>10</v>
      </c>
      <c r="X808" s="489">
        <f t="shared" si="664"/>
        <v>80</v>
      </c>
      <c r="Y808" s="492">
        <f t="shared" si="665"/>
        <v>0</v>
      </c>
      <c r="Z808" s="493" t="str">
        <f t="shared" si="666"/>
        <v>#REF!</v>
      </c>
      <c r="AA808" s="931" t="str">
        <f t="shared" si="668"/>
        <v/>
      </c>
      <c r="AB808" s="925" t="str">
        <f t="shared" si="565"/>
        <v/>
      </c>
      <c r="AC808" s="595"/>
      <c r="AD808" s="939" t="str">
        <f>IFERROR(__xludf.DUMMYFUNCTION("IF(AE808="""","""",
   IF(AE808=0,0,
      IF(ISNUMBER(MATCH(AE808,FILTER(AF$768:AF$826,AH$768:AH$826&lt;&gt;0),0)),1,0)
   )
)"),"")</f>
        <v/>
      </c>
      <c r="AE808" s="943"/>
      <c r="AF808" s="929" t="s">
        <v>352</v>
      </c>
      <c r="AG808" s="932" t="s">
        <v>55</v>
      </c>
      <c r="AH808" s="488">
        <f t="shared" si="566"/>
        <v>0</v>
      </c>
      <c r="AI808" s="489">
        <f t="shared" si="671"/>
        <v>4</v>
      </c>
      <c r="AJ808" s="490" t="str">
        <f t="shared" ref="AJ808:AJ816" si="676">AC$758</f>
        <v>#REF!</v>
      </c>
      <c r="AK808" s="491">
        <f>(20/1)*$X$755</f>
        <v>80</v>
      </c>
      <c r="AL808" s="489">
        <f t="shared" si="672"/>
        <v>640</v>
      </c>
      <c r="AM808" s="492">
        <f t="shared" si="673"/>
        <v>0</v>
      </c>
      <c r="AN808" s="493" t="str">
        <f t="shared" si="674"/>
        <v>#REF!</v>
      </c>
      <c r="AO808" s="494" t="str">
        <f t="shared" si="659"/>
        <v/>
      </c>
      <c r="AP808" s="925" t="str">
        <f t="shared" si="557"/>
        <v/>
      </c>
      <c r="AQ808" s="595"/>
      <c r="AR808" s="963"/>
      <c r="AS808" s="963"/>
      <c r="AT808" s="963"/>
      <c r="AU808" s="595"/>
      <c r="AV808" s="443"/>
      <c r="AW808" s="595"/>
      <c r="AX808" s="595"/>
      <c r="AY808" s="443"/>
      <c r="AZ808" s="551">
        <v>8.0</v>
      </c>
      <c r="BA808" s="552">
        <f>AZ807/AZ808*BA807</f>
        <v>0</v>
      </c>
      <c r="BB808" s="553" t="str">
        <f>BC807*BA808*AZ808</f>
        <v>#DIV/0!</v>
      </c>
      <c r="BC808" s="595"/>
      <c r="BD808" s="595"/>
      <c r="BE808" s="595"/>
      <c r="BF808" s="595"/>
      <c r="BG808" s="595"/>
      <c r="BH808" s="595"/>
      <c r="BI808" s="595"/>
      <c r="BJ808" s="595"/>
      <c r="BK808" s="595"/>
      <c r="BL808" s="595"/>
      <c r="BM808" s="595"/>
      <c r="BN808" s="595"/>
      <c r="BO808" s="651"/>
      <c r="BP808" s="651"/>
      <c r="BQ808" s="651"/>
      <c r="BR808" s="651"/>
      <c r="BS808" s="651"/>
      <c r="BT808" s="651"/>
    </row>
    <row r="809">
      <c r="A809" s="583"/>
      <c r="B809" s="584"/>
      <c r="C809" s="499" t="s">
        <v>280</v>
      </c>
      <c r="D809" s="844"/>
      <c r="E809" s="845"/>
      <c r="F809" s="846"/>
      <c r="G809" s="847"/>
      <c r="H809" s="848"/>
      <c r="I809" s="437">
        <f t="shared" si="675"/>
        <v>1</v>
      </c>
      <c r="J809" s="436">
        <f>J808</f>
        <v>0</v>
      </c>
      <c r="K809" s="370">
        <v>95.0</v>
      </c>
      <c r="L809" s="850"/>
      <c r="M809" s="840"/>
      <c r="N809" s="849">
        <f t="shared" si="670"/>
        <v>0</v>
      </c>
      <c r="O809" s="590"/>
      <c r="P809" s="939" t="str">
        <f>IFERROR(__xludf.DUMMYFUNCTION("IF(Q809="""","""",
   IF(Q809=0,0,
      IF(ISNUMBER(MATCH(Q809,FILTER(R$770:R$890,T$770:T$890&lt;&gt;0),0)),1,0)
   )
)"),"")</f>
        <v/>
      </c>
      <c r="Q809" s="941"/>
      <c r="R809" s="929" t="s">
        <v>377</v>
      </c>
      <c r="S809" s="930" t="s">
        <v>52</v>
      </c>
      <c r="T809" s="488">
        <f t="shared" si="572"/>
        <v>0</v>
      </c>
      <c r="U809" s="489">
        <f t="shared" si="551"/>
        <v>4</v>
      </c>
      <c r="V809" s="490" t="str">
        <f t="shared" si="552"/>
        <v>#REF!</v>
      </c>
      <c r="W809" s="935"/>
      <c r="X809" s="935"/>
      <c r="Y809" s="935"/>
      <c r="Z809" s="936"/>
      <c r="AA809" s="931" t="str">
        <f t="shared" si="668"/>
        <v/>
      </c>
      <c r="AB809" s="925" t="str">
        <f t="shared" si="565"/>
        <v/>
      </c>
      <c r="AC809" s="595"/>
      <c r="AD809" s="939" t="str">
        <f>IFERROR(__xludf.DUMMYFUNCTION("IF(AE809="""","""",
   IF(AE809=0,0,
      IF(ISNUMBER(MATCH(AE809,FILTER(AF$768:AF$826,AH$768:AH$826&lt;&gt;0),0)),1,0)
   )
)"),"")</f>
        <v/>
      </c>
      <c r="AE809" s="943"/>
      <c r="AF809" s="929" t="s">
        <v>314</v>
      </c>
      <c r="AG809" s="932" t="s">
        <v>41</v>
      </c>
      <c r="AH809" s="488">
        <f t="shared" si="566"/>
        <v>251.811</v>
      </c>
      <c r="AI809" s="489">
        <f t="shared" si="671"/>
        <v>4</v>
      </c>
      <c r="AJ809" s="490" t="str">
        <f t="shared" si="676"/>
        <v>#REF!</v>
      </c>
      <c r="AK809" s="491">
        <f>(20/4)*$X$755</f>
        <v>20</v>
      </c>
      <c r="AL809" s="489">
        <f t="shared" si="672"/>
        <v>160</v>
      </c>
      <c r="AM809" s="492">
        <f t="shared" si="673"/>
        <v>1.58</v>
      </c>
      <c r="AN809" s="493" t="str">
        <f t="shared" si="674"/>
        <v>#REF!</v>
      </c>
      <c r="AO809" s="494" t="str">
        <f t="shared" si="659"/>
        <v/>
      </c>
      <c r="AP809" s="925" t="str">
        <f t="shared" si="557"/>
        <v/>
      </c>
      <c r="AQ809" s="595"/>
      <c r="AR809" s="595"/>
      <c r="AS809" s="595"/>
      <c r="AT809" s="595"/>
      <c r="AU809" s="595"/>
      <c r="AV809" s="595"/>
      <c r="AW809" s="595"/>
      <c r="AX809" s="595"/>
      <c r="AY809" s="595"/>
      <c r="AZ809" s="595"/>
      <c r="BA809" s="595"/>
      <c r="BB809" s="595"/>
      <c r="BC809" s="595"/>
      <c r="BD809" s="595"/>
      <c r="BE809" s="595"/>
      <c r="BF809" s="595"/>
      <c r="BG809" s="595"/>
      <c r="BH809" s="595"/>
      <c r="BI809" s="595"/>
      <c r="BJ809" s="595"/>
      <c r="BK809" s="595"/>
      <c r="BL809" s="595"/>
      <c r="BM809" s="595"/>
      <c r="BN809" s="595"/>
      <c r="BO809" s="651"/>
      <c r="BP809" s="651"/>
      <c r="BQ809" s="651"/>
      <c r="BR809" s="651"/>
      <c r="BS809" s="651"/>
      <c r="BT809" s="651"/>
    </row>
    <row r="810">
      <c r="A810" s="583"/>
      <c r="B810" s="584"/>
      <c r="C810" s="499" t="s">
        <v>281</v>
      </c>
      <c r="D810" s="844"/>
      <c r="E810" s="845"/>
      <c r="F810" s="846"/>
      <c r="G810" s="847"/>
      <c r="H810" s="848"/>
      <c r="I810" s="964"/>
      <c r="J810" s="964"/>
      <c r="K810" s="370"/>
      <c r="L810" s="850"/>
      <c r="M810" s="840"/>
      <c r="N810" s="849">
        <f>SUM(N808)*0.3</f>
        <v>0</v>
      </c>
      <c r="O810" s="590"/>
      <c r="P810" s="939" t="str">
        <f>IFERROR(__xludf.DUMMYFUNCTION("IF(Q810="""","""",
   IF(Q810=0,0,
      IF(ISNUMBER(MATCH(Q810,FILTER(R$770:R$890,T$770:T$890&lt;&gt;0),0)),1,0)
   )
)"),"")</f>
        <v/>
      </c>
      <c r="Q810" s="941"/>
      <c r="R810" s="929" t="s">
        <v>378</v>
      </c>
      <c r="S810" s="930" t="s">
        <v>52</v>
      </c>
      <c r="T810" s="488">
        <f t="shared" si="572"/>
        <v>0</v>
      </c>
      <c r="U810" s="489">
        <f t="shared" si="551"/>
        <v>4</v>
      </c>
      <c r="V810" s="490" t="str">
        <f t="shared" si="552"/>
        <v>#REF!</v>
      </c>
      <c r="W810" s="491"/>
      <c r="X810" s="489"/>
      <c r="Y810" s="492"/>
      <c r="Z810" s="493"/>
      <c r="AA810" s="931"/>
      <c r="AB810" s="925" t="str">
        <f t="shared" si="565"/>
        <v/>
      </c>
      <c r="AC810" s="595"/>
      <c r="AD810" s="939" t="str">
        <f>IFERROR(__xludf.DUMMYFUNCTION("IF(AE810="""","""",
   IF(AE810=0,0,
      IF(ISNUMBER(MATCH(AE810,FILTER(AF$768:AF$826,AH$768:AH$826&lt;&gt;0),0)),1,0)
   )
)"),"")</f>
        <v/>
      </c>
      <c r="AE810" s="943"/>
      <c r="AF810" s="929" t="s">
        <v>328</v>
      </c>
      <c r="AG810" s="932" t="s">
        <v>55</v>
      </c>
      <c r="AH810" s="488">
        <f t="shared" si="566"/>
        <v>1512</v>
      </c>
      <c r="AI810" s="489">
        <f t="shared" si="671"/>
        <v>4</v>
      </c>
      <c r="AJ810" s="490" t="str">
        <f t="shared" si="676"/>
        <v>#REF!</v>
      </c>
      <c r="AK810" s="491"/>
      <c r="AL810" s="489"/>
      <c r="AM810" s="492"/>
      <c r="AN810" s="493"/>
      <c r="AO810" s="494"/>
      <c r="AP810" s="925" t="str">
        <f t="shared" si="557"/>
        <v/>
      </c>
      <c r="AQ810" s="595"/>
      <c r="AR810" s="595"/>
      <c r="AS810" s="595"/>
      <c r="AT810" s="595"/>
      <c r="AU810" s="595"/>
      <c r="AV810" s="595"/>
      <c r="AW810" s="595"/>
      <c r="AX810" s="595"/>
      <c r="AY810" s="595"/>
      <c r="AZ810" s="595"/>
      <c r="BA810" s="595"/>
      <c r="BB810" s="595"/>
      <c r="BC810" s="595"/>
      <c r="BD810" s="595"/>
      <c r="BE810" s="595"/>
      <c r="BF810" s="595"/>
      <c r="BG810" s="595"/>
      <c r="BH810" s="595"/>
      <c r="BI810" s="595"/>
      <c r="BJ810" s="595"/>
      <c r="BK810" s="595"/>
      <c r="BL810" s="595"/>
      <c r="BM810" s="595"/>
      <c r="BN810" s="595"/>
      <c r="BO810" s="651"/>
      <c r="BP810" s="651"/>
      <c r="BQ810" s="651"/>
      <c r="BR810" s="651"/>
      <c r="BS810" s="651"/>
      <c r="BT810" s="651"/>
    </row>
    <row r="811">
      <c r="A811" s="583"/>
      <c r="B811" s="584"/>
      <c r="C811" s="946"/>
      <c r="D811" s="844"/>
      <c r="E811" s="845"/>
      <c r="F811" s="846"/>
      <c r="G811" s="847"/>
      <c r="H811" s="848"/>
      <c r="I811" s="964"/>
      <c r="J811" s="964"/>
      <c r="K811" s="370"/>
      <c r="L811" s="850"/>
      <c r="M811" s="840"/>
      <c r="N811" s="965"/>
      <c r="O811" s="590"/>
      <c r="P811" s="939" t="str">
        <f>IFERROR(__xludf.DUMMYFUNCTION("IF(Q811="""","""",
   IF(Q811=0,0,
      IF(ISNUMBER(MATCH(Q811,FILTER(R$770:R$890,T$770:T$890&lt;&gt;0),0)),1,0)
   )
)"),"")</f>
        <v/>
      </c>
      <c r="Q811" s="941"/>
      <c r="R811" s="942" t="s">
        <v>601</v>
      </c>
      <c r="S811" s="930" t="s">
        <v>52</v>
      </c>
      <c r="T811" s="488">
        <f t="shared" si="572"/>
        <v>0</v>
      </c>
      <c r="U811" s="489">
        <f t="shared" si="551"/>
        <v>4</v>
      </c>
      <c r="V811" s="490" t="str">
        <f t="shared" si="552"/>
        <v>#REF!</v>
      </c>
      <c r="W811" s="491">
        <f>(5/1)*$X$755</f>
        <v>20</v>
      </c>
      <c r="X811" s="489">
        <f>W811*W$765</f>
        <v>160</v>
      </c>
      <c r="Y811" s="492">
        <f>ROUNDUP(T811/X811,2)</f>
        <v>0</v>
      </c>
      <c r="Z811" s="493" t="str">
        <f>Y811*V811*U811*W$765</f>
        <v>#REF!</v>
      </c>
      <c r="AA811" s="931" t="str">
        <f>iferror(Z811/T811,"")</f>
        <v/>
      </c>
      <c r="AB811" s="925" t="str">
        <f t="shared" si="565"/>
        <v/>
      </c>
      <c r="AC811" s="595"/>
      <c r="AD811" s="939" t="str">
        <f>IFERROR(__xludf.DUMMYFUNCTION("IF(AE811="""","""",
   IF(AE811=0,0,
      IF(ISNUMBER(MATCH(AE811,FILTER(AF$768:AF$826,AH$768:AH$826&lt;&gt;0),0)),1,0)
   )
)"),"")</f>
        <v/>
      </c>
      <c r="AE811" s="943"/>
      <c r="AF811" s="929" t="s">
        <v>333</v>
      </c>
      <c r="AG811" s="932" t="s">
        <v>55</v>
      </c>
      <c r="AH811" s="488">
        <f t="shared" si="566"/>
        <v>432.32</v>
      </c>
      <c r="AI811" s="489">
        <f t="shared" si="671"/>
        <v>4</v>
      </c>
      <c r="AJ811" s="490" t="str">
        <f t="shared" si="676"/>
        <v>#REF!</v>
      </c>
      <c r="AK811" s="491"/>
      <c r="AL811" s="489"/>
      <c r="AM811" s="492"/>
      <c r="AN811" s="493"/>
      <c r="AO811" s="494"/>
      <c r="AP811" s="925" t="str">
        <f t="shared" si="557"/>
        <v/>
      </c>
      <c r="AQ811" s="595"/>
      <c r="AR811" s="595"/>
      <c r="AS811" s="595"/>
      <c r="AT811" s="595"/>
      <c r="AU811" s="595"/>
      <c r="AV811" s="595"/>
      <c r="AW811" s="595"/>
      <c r="AX811" s="595"/>
      <c r="AY811" s="595"/>
      <c r="AZ811" s="595"/>
      <c r="BA811" s="595"/>
      <c r="BB811" s="595"/>
      <c r="BC811" s="595"/>
      <c r="BD811" s="595"/>
      <c r="BE811" s="595"/>
      <c r="BF811" s="595"/>
      <c r="BG811" s="595"/>
      <c r="BH811" s="595"/>
      <c r="BI811" s="595"/>
      <c r="BJ811" s="595"/>
      <c r="BK811" s="595"/>
      <c r="BL811" s="595"/>
      <c r="BM811" s="595"/>
      <c r="BN811" s="595"/>
      <c r="BO811" s="651"/>
      <c r="BP811" s="651"/>
      <c r="BQ811" s="651"/>
      <c r="BR811" s="651"/>
      <c r="BS811" s="651"/>
      <c r="BT811" s="651"/>
    </row>
    <row r="812">
      <c r="A812" s="583"/>
      <c r="B812" s="584"/>
      <c r="C812" s="966" t="s">
        <v>283</v>
      </c>
      <c r="D812" s="609"/>
      <c r="E812" s="585"/>
      <c r="F812" s="586"/>
      <c r="G812" s="587"/>
      <c r="H812" s="584"/>
      <c r="I812" s="595"/>
      <c r="J812" s="595"/>
      <c r="K812" s="383"/>
      <c r="L812" s="588"/>
      <c r="M812" s="588"/>
      <c r="N812" s="833"/>
      <c r="O812" s="590"/>
      <c r="P812" s="939" t="str">
        <f>IFERROR(__xludf.DUMMYFUNCTION("IF(Q812="""","""",
   IF(Q812=0,0,
      IF(ISNUMBER(MATCH(Q812,FILTER(R$770:R$890,T$770:T$890&lt;&gt;0),0)),1,0)
   )
)"),"")</f>
        <v/>
      </c>
      <c r="Q812" s="941"/>
      <c r="R812" s="929" t="s">
        <v>380</v>
      </c>
      <c r="S812" s="930" t="s">
        <v>55</v>
      </c>
      <c r="T812" s="488">
        <f t="shared" si="572"/>
        <v>0</v>
      </c>
      <c r="U812" s="489">
        <f t="shared" si="551"/>
        <v>4</v>
      </c>
      <c r="V812" s="490" t="str">
        <f t="shared" si="552"/>
        <v>#REF!</v>
      </c>
      <c r="W812" s="491"/>
      <c r="X812" s="489"/>
      <c r="Y812" s="492"/>
      <c r="Z812" s="493"/>
      <c r="AA812" s="931"/>
      <c r="AB812" s="925" t="str">
        <f t="shared" si="565"/>
        <v/>
      </c>
      <c r="AC812" s="595"/>
      <c r="AD812" s="939" t="str">
        <f>IFERROR(__xludf.DUMMYFUNCTION("IF(AE812="""","""",
   IF(AE812=0,0,
      IF(ISNUMBER(MATCH(AE812,FILTER(AF$768:AF$826,AH$768:AH$826&lt;&gt;0),0)),1,0)
   )
)"),"")</f>
        <v/>
      </c>
      <c r="AE812" s="943"/>
      <c r="AF812" s="929" t="s">
        <v>325</v>
      </c>
      <c r="AG812" s="932" t="s">
        <v>55</v>
      </c>
      <c r="AH812" s="488">
        <f t="shared" si="566"/>
        <v>196.19</v>
      </c>
      <c r="AI812" s="489">
        <f t="shared" si="671"/>
        <v>4</v>
      </c>
      <c r="AJ812" s="490" t="str">
        <f t="shared" si="676"/>
        <v>#REF!</v>
      </c>
      <c r="AK812" s="491"/>
      <c r="AL812" s="489"/>
      <c r="AM812" s="492"/>
      <c r="AN812" s="493"/>
      <c r="AO812" s="494"/>
      <c r="AP812" s="925" t="str">
        <f t="shared" si="557"/>
        <v/>
      </c>
      <c r="AQ812" s="595"/>
      <c r="AR812" s="595"/>
      <c r="AS812" s="595"/>
      <c r="AT812" s="595"/>
      <c r="AU812" s="595"/>
      <c r="AV812" s="595"/>
      <c r="AW812" s="595"/>
      <c r="AX812" s="595"/>
      <c r="AY812" s="595"/>
      <c r="AZ812" s="595"/>
      <c r="BA812" s="595"/>
      <c r="BB812" s="595"/>
      <c r="BC812" s="595"/>
      <c r="BD812" s="595"/>
      <c r="BE812" s="595"/>
      <c r="BF812" s="595"/>
      <c r="BG812" s="595"/>
      <c r="BH812" s="595"/>
      <c r="BI812" s="595"/>
      <c r="BJ812" s="595"/>
      <c r="BK812" s="595"/>
      <c r="BL812" s="595"/>
      <c r="BM812" s="595"/>
      <c r="BN812" s="595"/>
      <c r="BO812" s="651"/>
      <c r="BP812" s="651"/>
      <c r="BQ812" s="651"/>
      <c r="BR812" s="651"/>
      <c r="BS812" s="651"/>
      <c r="BT812" s="651"/>
    </row>
    <row r="813">
      <c r="A813" s="583"/>
      <c r="B813" s="584"/>
      <c r="C813" s="499" t="s">
        <v>278</v>
      </c>
      <c r="D813" s="844"/>
      <c r="E813" s="845"/>
      <c r="F813" s="846"/>
      <c r="G813" s="847"/>
      <c r="H813" s="848"/>
      <c r="I813" s="437">
        <v>2.0</v>
      </c>
      <c r="J813" s="436" t="str">
        <f>W758</f>
        <v>#REF!</v>
      </c>
      <c r="K813" s="948">
        <v>150.0</v>
      </c>
      <c r="L813" s="850"/>
      <c r="M813" s="870">
        <v>0.0</v>
      </c>
      <c r="N813" s="849" t="str">
        <f t="shared" ref="N813:N815" si="678">M813*K813*J813*I813</f>
        <v>#REF!</v>
      </c>
      <c r="O813" s="590"/>
      <c r="P813" s="939" t="str">
        <f>IFERROR(__xludf.DUMMYFUNCTION("IF(Q813="""","""",
   IF(Q813=0,0,
      IF(ISNUMBER(MATCH(Q813,FILTER(R$770:R$890,T$770:T$890&lt;&gt;0),0)),1,0)
   )
)"),"")</f>
        <v/>
      </c>
      <c r="Q813" s="941"/>
      <c r="R813" s="929" t="s">
        <v>382</v>
      </c>
      <c r="S813" s="930" t="s">
        <v>41</v>
      </c>
      <c r="T813" s="488">
        <f t="shared" si="572"/>
        <v>0</v>
      </c>
      <c r="U813" s="489">
        <f t="shared" si="551"/>
        <v>4</v>
      </c>
      <c r="V813" s="490" t="str">
        <f t="shared" si="552"/>
        <v>#REF!</v>
      </c>
      <c r="W813" s="491"/>
      <c r="X813" s="489"/>
      <c r="Y813" s="492"/>
      <c r="Z813" s="493"/>
      <c r="AA813" s="931"/>
      <c r="AB813" s="925" t="str">
        <f t="shared" si="565"/>
        <v/>
      </c>
      <c r="AC813" s="595"/>
      <c r="AD813" s="939" t="str">
        <f>IFERROR(__xludf.DUMMYFUNCTION("IF(AE813="""","""",
   IF(AE813=0,0,
      IF(ISNUMBER(MATCH(AE813,FILTER(AF$768:AF$826,AH$768:AH$826&lt;&gt;0),0)),1,0)
   )
)"),"")</f>
        <v/>
      </c>
      <c r="AE813" s="943"/>
      <c r="AF813" s="929" t="s">
        <v>330</v>
      </c>
      <c r="AG813" s="932" t="s">
        <v>55</v>
      </c>
      <c r="AH813" s="488">
        <f t="shared" si="566"/>
        <v>722</v>
      </c>
      <c r="AI813" s="489">
        <f t="shared" si="671"/>
        <v>4</v>
      </c>
      <c r="AJ813" s="490" t="str">
        <f t="shared" si="676"/>
        <v>#REF!</v>
      </c>
      <c r="AK813" s="491"/>
      <c r="AL813" s="489"/>
      <c r="AM813" s="492"/>
      <c r="AN813" s="493"/>
      <c r="AO813" s="494"/>
      <c r="AP813" s="925" t="str">
        <f t="shared" si="557"/>
        <v/>
      </c>
      <c r="AQ813" s="595"/>
      <c r="AR813" s="595"/>
      <c r="AS813" s="595"/>
      <c r="AT813" s="595"/>
      <c r="AU813" s="595"/>
      <c r="AV813" s="595"/>
      <c r="AW813" s="595"/>
      <c r="AX813" s="595"/>
      <c r="AY813" s="595"/>
      <c r="AZ813" s="595"/>
      <c r="BA813" s="595"/>
      <c r="BB813" s="595"/>
      <c r="BC813" s="595"/>
      <c r="BD813" s="595"/>
      <c r="BE813" s="595"/>
      <c r="BF813" s="595"/>
      <c r="BG813" s="595"/>
      <c r="BH813" s="595"/>
      <c r="BI813" s="595"/>
      <c r="BJ813" s="595"/>
      <c r="BK813" s="595"/>
      <c r="BL813" s="595"/>
      <c r="BM813" s="595"/>
      <c r="BN813" s="595"/>
      <c r="BO813" s="651"/>
      <c r="BP813" s="651"/>
      <c r="BQ813" s="651"/>
      <c r="BR813" s="651"/>
      <c r="BS813" s="651"/>
      <c r="BT813" s="651"/>
    </row>
    <row r="814">
      <c r="A814" s="583"/>
      <c r="B814" s="584"/>
      <c r="C814" s="499" t="s">
        <v>279</v>
      </c>
      <c r="D814" s="844"/>
      <c r="E814" s="845"/>
      <c r="F814" s="846"/>
      <c r="G814" s="847"/>
      <c r="H814" s="848"/>
      <c r="I814" s="437">
        <f t="shared" ref="I814:J814" si="677">I813</f>
        <v>2</v>
      </c>
      <c r="J814" s="436" t="str">
        <f t="shared" si="677"/>
        <v>#REF!</v>
      </c>
      <c r="K814" s="948">
        <v>300.0</v>
      </c>
      <c r="L814" s="850"/>
      <c r="M814" s="870">
        <v>0.0</v>
      </c>
      <c r="N814" s="849" t="str">
        <f t="shared" si="678"/>
        <v>#REF!</v>
      </c>
      <c r="O814" s="590"/>
      <c r="P814" s="939" t="str">
        <f>IFERROR(__xludf.DUMMYFUNCTION("IF(Q814="""","""",
   IF(Q814=0,0,
      IF(ISNUMBER(MATCH(Q814,FILTER(R$770:R$890,T$770:T$890&lt;&gt;0),0)),1,0)
   )
)"),"")</f>
        <v/>
      </c>
      <c r="Q814" s="941"/>
      <c r="R814" s="929" t="s">
        <v>383</v>
      </c>
      <c r="S814" s="930" t="s">
        <v>52</v>
      </c>
      <c r="T814" s="488">
        <f t="shared" si="572"/>
        <v>0</v>
      </c>
      <c r="U814" s="489">
        <f t="shared" si="551"/>
        <v>4</v>
      </c>
      <c r="V814" s="490" t="str">
        <f t="shared" si="552"/>
        <v>#REF!</v>
      </c>
      <c r="W814" s="491"/>
      <c r="X814" s="489"/>
      <c r="Y814" s="492"/>
      <c r="Z814" s="493"/>
      <c r="AA814" s="931"/>
      <c r="AB814" s="925" t="str">
        <f t="shared" si="565"/>
        <v/>
      </c>
      <c r="AC814" s="595"/>
      <c r="AD814" s="939" t="str">
        <f>IFERROR(__xludf.DUMMYFUNCTION("IF(AE814="""","""",
   IF(AE814=0,0,
      IF(ISNUMBER(MATCH(AE814,FILTER(AF$768:AF$826,AH$768:AH$826&lt;&gt;0),0)),1,0)
   )
)"),"")</f>
        <v/>
      </c>
      <c r="AE814" s="943"/>
      <c r="AF814" s="929" t="s">
        <v>355</v>
      </c>
      <c r="AG814" s="930" t="s">
        <v>55</v>
      </c>
      <c r="AH814" s="488">
        <f t="shared" si="566"/>
        <v>472.38</v>
      </c>
      <c r="AI814" s="489">
        <f t="shared" si="671"/>
        <v>4</v>
      </c>
      <c r="AJ814" s="490" t="str">
        <f t="shared" si="676"/>
        <v>#REF!</v>
      </c>
      <c r="AK814" s="491">
        <f>(40/2)*$X$755</f>
        <v>80</v>
      </c>
      <c r="AL814" s="489">
        <f t="shared" ref="AL814:AL815" si="680">AK814*AK$765</f>
        <v>640</v>
      </c>
      <c r="AM814" s="492">
        <f t="shared" ref="AM814:AM815" si="681">ROUNDUP(AH814/AL814,2)</f>
        <v>0.74</v>
      </c>
      <c r="AN814" s="493" t="str">
        <f t="shared" ref="AN814:AN815" si="682">AM814*AJ814*AI814*AK$765</f>
        <v>#REF!</v>
      </c>
      <c r="AO814" s="494" t="str">
        <f t="shared" ref="AO814:AO815" si="683">iferror(AN814/AH814,"")</f>
        <v/>
      </c>
      <c r="AP814" s="925" t="str">
        <f t="shared" si="557"/>
        <v/>
      </c>
      <c r="AQ814" s="595"/>
      <c r="AR814" s="595"/>
      <c r="AS814" s="595"/>
      <c r="AT814" s="595"/>
      <c r="AU814" s="595"/>
      <c r="AV814" s="595"/>
      <c r="AW814" s="595"/>
      <c r="AX814" s="595"/>
      <c r="AY814" s="595"/>
      <c r="AZ814" s="595"/>
      <c r="BA814" s="595"/>
      <c r="BB814" s="595"/>
      <c r="BC814" s="595"/>
      <c r="BD814" s="595"/>
      <c r="BE814" s="595"/>
      <c r="BF814" s="595"/>
      <c r="BG814" s="595"/>
      <c r="BH814" s="595"/>
      <c r="BI814" s="595"/>
      <c r="BJ814" s="595"/>
      <c r="BK814" s="595"/>
      <c r="BL814" s="595"/>
      <c r="BM814" s="595"/>
      <c r="BN814" s="595"/>
      <c r="BO814" s="651"/>
      <c r="BP814" s="651"/>
      <c r="BQ814" s="651"/>
      <c r="BR814" s="651"/>
      <c r="BS814" s="651"/>
      <c r="BT814" s="651"/>
    </row>
    <row r="815">
      <c r="A815" s="583"/>
      <c r="B815" s="584"/>
      <c r="C815" s="499" t="s">
        <v>280</v>
      </c>
      <c r="D815" s="844"/>
      <c r="E815" s="845"/>
      <c r="F815" s="846"/>
      <c r="G815" s="847"/>
      <c r="H815" s="848"/>
      <c r="I815" s="437">
        <f t="shared" ref="I815:J815" si="679">I814</f>
        <v>2</v>
      </c>
      <c r="J815" s="436" t="str">
        <f t="shared" si="679"/>
        <v>#REF!</v>
      </c>
      <c r="K815" s="370">
        <v>95.0</v>
      </c>
      <c r="L815" s="850"/>
      <c r="M815" s="840"/>
      <c r="N815" s="849" t="str">
        <f t="shared" si="678"/>
        <v>#REF!</v>
      </c>
      <c r="O815" s="590"/>
      <c r="P815" s="939" t="str">
        <f>IFERROR(__xludf.DUMMYFUNCTION("IF(Q815="""","""",
   IF(Q815=0,0,
      IF(ISNUMBER(MATCH(Q815,FILTER(R$770:R$890,T$770:T$890&lt;&gt;0),0)),1,0)
   )
)"),"")</f>
        <v/>
      </c>
      <c r="Q815" s="941"/>
      <c r="R815" s="929" t="s">
        <v>384</v>
      </c>
      <c r="S815" s="930" t="s">
        <v>52</v>
      </c>
      <c r="T815" s="488">
        <f t="shared" si="572"/>
        <v>0</v>
      </c>
      <c r="U815" s="489">
        <f t="shared" si="551"/>
        <v>4</v>
      </c>
      <c r="V815" s="490" t="str">
        <f t="shared" si="552"/>
        <v>#REF!</v>
      </c>
      <c r="W815" s="491">
        <f>(10/1)*$X$755</f>
        <v>40</v>
      </c>
      <c r="X815" s="489">
        <f t="shared" ref="X815:X816" si="684">W815*W$765</f>
        <v>320</v>
      </c>
      <c r="Y815" s="492">
        <f t="shared" ref="Y815:Y816" si="685">ROUNDUP(T815/X815,2)</f>
        <v>0</v>
      </c>
      <c r="Z815" s="493" t="str">
        <f t="shared" ref="Z815:Z816" si="686">Y815*V815*U815*W$765</f>
        <v>#REF!</v>
      </c>
      <c r="AA815" s="931" t="str">
        <f t="shared" ref="AA815:AA816" si="687">iferror(Z815/T815,"")</f>
        <v/>
      </c>
      <c r="AB815" s="925" t="str">
        <f t="shared" si="565"/>
        <v/>
      </c>
      <c r="AC815" s="595"/>
      <c r="AD815" s="939" t="str">
        <f>IFERROR(__xludf.DUMMYFUNCTION("IF(AE815="""","""",
   IF(AE815=0,0,
      IF(ISNUMBER(MATCH(AE815,FILTER(AF$768:AF$826,AH$768:AH$826&lt;&gt;0),0)),1,0)
   )
)"),"")</f>
        <v/>
      </c>
      <c r="AE815" s="943"/>
      <c r="AF815" s="929" t="s">
        <v>154</v>
      </c>
      <c r="AG815" s="932" t="s">
        <v>41</v>
      </c>
      <c r="AH815" s="488" t="str">
        <f t="shared" si="566"/>
        <v>#REF!</v>
      </c>
      <c r="AI815" s="489">
        <f t="shared" si="671"/>
        <v>4</v>
      </c>
      <c r="AJ815" s="490" t="str">
        <f t="shared" si="676"/>
        <v>#REF!</v>
      </c>
      <c r="AK815" s="491">
        <f>(50/4)*$X$755</f>
        <v>50</v>
      </c>
      <c r="AL815" s="489">
        <f t="shared" si="680"/>
        <v>400</v>
      </c>
      <c r="AM815" s="492" t="str">
        <f t="shared" si="681"/>
        <v>#REF!</v>
      </c>
      <c r="AN815" s="493" t="str">
        <f t="shared" si="682"/>
        <v>#REF!</v>
      </c>
      <c r="AO815" s="494" t="str">
        <f t="shared" si="683"/>
        <v/>
      </c>
      <c r="AP815" s="925" t="str">
        <f t="shared" si="557"/>
        <v/>
      </c>
      <c r="AQ815" s="595"/>
      <c r="AR815" s="595"/>
      <c r="AS815" s="595"/>
      <c r="AT815" s="595"/>
      <c r="AU815" s="595"/>
      <c r="AV815" s="595"/>
      <c r="AW815" s="595"/>
      <c r="AX815" s="595"/>
      <c r="AY815" s="595"/>
      <c r="AZ815" s="595"/>
      <c r="BA815" s="595"/>
      <c r="BB815" s="595"/>
      <c r="BC815" s="595"/>
      <c r="BD815" s="595"/>
      <c r="BE815" s="595"/>
      <c r="BF815" s="595"/>
      <c r="BG815" s="595"/>
      <c r="BH815" s="595"/>
      <c r="BI815" s="595"/>
      <c r="BJ815" s="595"/>
      <c r="BK815" s="595"/>
      <c r="BL815" s="595"/>
      <c r="BM815" s="595"/>
      <c r="BN815" s="595"/>
      <c r="BO815" s="651"/>
      <c r="BP815" s="651"/>
      <c r="BQ815" s="651"/>
      <c r="BR815" s="651"/>
      <c r="BS815" s="651"/>
      <c r="BT815" s="651"/>
    </row>
    <row r="816">
      <c r="A816" s="583"/>
      <c r="B816" s="584"/>
      <c r="C816" s="499" t="s">
        <v>281</v>
      </c>
      <c r="D816" s="844"/>
      <c r="E816" s="845"/>
      <c r="F816" s="846"/>
      <c r="G816" s="847"/>
      <c r="H816" s="848"/>
      <c r="I816" s="964"/>
      <c r="J816" s="964"/>
      <c r="K816" s="370"/>
      <c r="L816" s="850"/>
      <c r="M816" s="840"/>
      <c r="N816" s="849" t="str">
        <f>SUM(N814)*0.3</f>
        <v>#REF!</v>
      </c>
      <c r="O816" s="590"/>
      <c r="P816" s="939" t="str">
        <f>IFERROR(__xludf.DUMMYFUNCTION("IF(Q816="""","""",
   IF(Q816=0,0,
      IF(ISNUMBER(MATCH(Q816,FILTER(R$770:R$890,T$770:T$890&lt;&gt;0),0)),1,0)
   )
)"),"")</f>
        <v/>
      </c>
      <c r="Q816" s="941"/>
      <c r="R816" s="929" t="s">
        <v>143</v>
      </c>
      <c r="S816" s="930" t="s">
        <v>52</v>
      </c>
      <c r="T816" s="488">
        <f t="shared" si="572"/>
        <v>63</v>
      </c>
      <c r="U816" s="489">
        <f t="shared" si="551"/>
        <v>4</v>
      </c>
      <c r="V816" s="490" t="str">
        <f t="shared" si="552"/>
        <v>#REF!</v>
      </c>
      <c r="W816" s="491">
        <f>(5/1)*$X$755</f>
        <v>20</v>
      </c>
      <c r="X816" s="489">
        <f t="shared" si="684"/>
        <v>160</v>
      </c>
      <c r="Y816" s="492">
        <f t="shared" si="685"/>
        <v>0.4</v>
      </c>
      <c r="Z816" s="493" t="str">
        <f t="shared" si="686"/>
        <v>#REF!</v>
      </c>
      <c r="AA816" s="931" t="str">
        <f t="shared" si="687"/>
        <v/>
      </c>
      <c r="AB816" s="925" t="str">
        <f t="shared" si="565"/>
        <v/>
      </c>
      <c r="AC816" s="595"/>
      <c r="AD816" s="939" t="str">
        <f>IFERROR(__xludf.DUMMYFUNCTION("IF(AE816="""","""",
   IF(AE816=0,0,
      IF(ISNUMBER(MATCH(AE816,FILTER(AF$768:AF$826,AH$768:AH$826&lt;&gt;0),0)),1,0)
   )
)"),"")</f>
        <v/>
      </c>
      <c r="AE816" s="943"/>
      <c r="AF816" s="929" t="s">
        <v>155</v>
      </c>
      <c r="AG816" s="932" t="s">
        <v>55</v>
      </c>
      <c r="AH816" s="488" t="str">
        <f t="shared" si="566"/>
        <v>#REF!</v>
      </c>
      <c r="AI816" s="489">
        <f t="shared" si="671"/>
        <v>4</v>
      </c>
      <c r="AJ816" s="490" t="str">
        <f t="shared" si="676"/>
        <v>#REF!</v>
      </c>
      <c r="AK816" s="491"/>
      <c r="AL816" s="489"/>
      <c r="AM816" s="492"/>
      <c r="AN816" s="493"/>
      <c r="AO816" s="494"/>
      <c r="AP816" s="925" t="str">
        <f t="shared" si="557"/>
        <v/>
      </c>
      <c r="AQ816" s="595"/>
      <c r="AR816" s="595"/>
      <c r="AS816" s="595"/>
      <c r="AT816" s="595"/>
      <c r="AU816" s="595"/>
      <c r="AV816" s="595"/>
      <c r="AW816" s="595"/>
      <c r="AX816" s="595"/>
      <c r="AY816" s="595"/>
      <c r="AZ816" s="595"/>
      <c r="BA816" s="595"/>
      <c r="BB816" s="595"/>
      <c r="BC816" s="595"/>
      <c r="BD816" s="595"/>
      <c r="BE816" s="595"/>
      <c r="BF816" s="595"/>
      <c r="BG816" s="595"/>
      <c r="BH816" s="595"/>
      <c r="BI816" s="595"/>
      <c r="BJ816" s="595"/>
      <c r="BK816" s="595"/>
      <c r="BL816" s="595"/>
      <c r="BM816" s="595"/>
      <c r="BN816" s="595"/>
      <c r="BO816" s="651"/>
      <c r="BP816" s="651"/>
      <c r="BQ816" s="651"/>
      <c r="BR816" s="651"/>
      <c r="BS816" s="651"/>
      <c r="BT816" s="651"/>
    </row>
    <row r="817">
      <c r="A817" s="583"/>
      <c r="B817" s="584"/>
      <c r="C817" s="946"/>
      <c r="D817" s="844"/>
      <c r="E817" s="845"/>
      <c r="F817" s="846"/>
      <c r="G817" s="847"/>
      <c r="H817" s="848"/>
      <c r="I817" s="964"/>
      <c r="J817" s="967"/>
      <c r="K817" s="370"/>
      <c r="L817" s="850"/>
      <c r="M817" s="840"/>
      <c r="N817" s="965"/>
      <c r="O817" s="590"/>
      <c r="P817" s="939" t="str">
        <f>IFERROR(__xludf.DUMMYFUNCTION("IF(Q817="""","""",
   IF(Q817=0,0,
      IF(ISNUMBER(MATCH(Q817,FILTER(R$770:R$890,T$770:T$890&lt;&gt;0),0)),1,0)
   )
)"),"")</f>
        <v/>
      </c>
      <c r="Q817" s="941"/>
      <c r="R817" s="929" t="s">
        <v>144</v>
      </c>
      <c r="S817" s="930" t="s">
        <v>52</v>
      </c>
      <c r="T817" s="488">
        <f t="shared" si="572"/>
        <v>1260</v>
      </c>
      <c r="U817" s="489">
        <f t="shared" si="551"/>
        <v>4</v>
      </c>
      <c r="V817" s="490" t="str">
        <f t="shared" si="552"/>
        <v>#REF!</v>
      </c>
      <c r="W817" s="491"/>
      <c r="X817" s="489"/>
      <c r="Y817" s="492"/>
      <c r="Z817" s="493"/>
      <c r="AA817" s="931"/>
      <c r="AB817" s="925" t="str">
        <f t="shared" si="565"/>
        <v/>
      </c>
      <c r="AC817" s="595"/>
      <c r="AD817" s="939" t="str">
        <f>IFERROR(__xludf.DUMMYFUNCTION("IF(AE817="""","""",
   IF(AE817=0,0,
      IF(ISNUMBER(MATCH(AE817,FILTER(AF$768:AF$826,AH$768:AH$826&lt;&gt;0),0)),1,0)
   )
)"),"")</f>
        <v/>
      </c>
      <c r="AE817" s="943"/>
      <c r="AF817" s="942" t="s">
        <v>158</v>
      </c>
      <c r="AG817" s="945" t="s">
        <v>55</v>
      </c>
      <c r="AH817" s="488">
        <f t="shared" si="566"/>
        <v>0</v>
      </c>
      <c r="AI817" s="489">
        <f t="shared" si="671"/>
        <v>4</v>
      </c>
      <c r="AJ817" s="490" t="str">
        <f t="shared" ref="AJ817:AJ826" si="688">AN$758</f>
        <v/>
      </c>
      <c r="AK817" s="491">
        <f t="shared" ref="AK817:AK826" si="689">(30/4)*$X$755</f>
        <v>30</v>
      </c>
      <c r="AL817" s="489">
        <f t="shared" ref="AL817:AL826" si="690">AK817*AK$765</f>
        <v>240</v>
      </c>
      <c r="AM817" s="492">
        <f t="shared" ref="AM817:AM826" si="691">ROUNDUP(AH817/AL817,2)</f>
        <v>0</v>
      </c>
      <c r="AN817" s="493">
        <f t="shared" ref="AN817:AN826" si="692">AM817*AJ817*AI817*AK$765</f>
        <v>0</v>
      </c>
      <c r="AO817" s="494" t="str">
        <f t="shared" ref="AO817:AO826" si="693">iferror(AN817/AH817,"")</f>
        <v/>
      </c>
      <c r="AP817" s="925" t="str">
        <f t="shared" si="557"/>
        <v/>
      </c>
      <c r="AQ817" s="595"/>
      <c r="AR817" s="595"/>
      <c r="AS817" s="595"/>
      <c r="AT817" s="595"/>
      <c r="AU817" s="595"/>
      <c r="AV817" s="595"/>
      <c r="AW817" s="595"/>
      <c r="AX817" s="595"/>
      <c r="AY817" s="595"/>
      <c r="AZ817" s="595"/>
      <c r="BA817" s="595"/>
      <c r="BB817" s="595"/>
      <c r="BC817" s="595"/>
      <c r="BD817" s="595"/>
      <c r="BE817" s="595"/>
      <c r="BF817" s="595"/>
      <c r="BG817" s="595"/>
      <c r="BH817" s="595"/>
      <c r="BI817" s="595"/>
      <c r="BJ817" s="595"/>
      <c r="BK817" s="595"/>
      <c r="BL817" s="595"/>
      <c r="BM817" s="595"/>
      <c r="BN817" s="595"/>
      <c r="BO817" s="651"/>
      <c r="BP817" s="651"/>
      <c r="BQ817" s="651"/>
      <c r="BR817" s="651"/>
      <c r="BS817" s="651"/>
      <c r="BT817" s="651"/>
    </row>
    <row r="818">
      <c r="A818" s="583"/>
      <c r="B818" s="584"/>
      <c r="C818" s="946"/>
      <c r="D818" s="844"/>
      <c r="E818" s="845"/>
      <c r="F818" s="846"/>
      <c r="G818" s="847"/>
      <c r="H818" s="848"/>
      <c r="I818" s="964"/>
      <c r="J818" s="964"/>
      <c r="K818" s="437"/>
      <c r="L818" s="850"/>
      <c r="M818" s="850"/>
      <c r="N818" s="965"/>
      <c r="O818" s="590"/>
      <c r="P818" s="939" t="str">
        <f>IFERROR(__xludf.DUMMYFUNCTION("IF(Q818="""","""",
   IF(Q818=0,0,
      IF(ISNUMBER(MATCH(Q818,FILTER(R$770:R$890,T$770:T$890&lt;&gt;0),0)),1,0)
   )
)"),"")</f>
        <v/>
      </c>
      <c r="Q818" s="941"/>
      <c r="R818" s="929" t="s">
        <v>388</v>
      </c>
      <c r="S818" s="930" t="s">
        <v>52</v>
      </c>
      <c r="T818" s="488">
        <f t="shared" si="572"/>
        <v>7.875</v>
      </c>
      <c r="U818" s="489">
        <f t="shared" si="551"/>
        <v>4</v>
      </c>
      <c r="V818" s="490" t="str">
        <f t="shared" si="552"/>
        <v>#REF!</v>
      </c>
      <c r="W818" s="491"/>
      <c r="X818" s="489"/>
      <c r="Y818" s="492"/>
      <c r="Z818" s="493"/>
      <c r="AA818" s="931"/>
      <c r="AB818" s="925" t="str">
        <f t="shared" si="565"/>
        <v/>
      </c>
      <c r="AC818" s="595"/>
      <c r="AD818" s="939" t="str">
        <f>IFERROR(__xludf.DUMMYFUNCTION("IF(AE818="""","""",
   IF(AE818=0,0,
      IF(ISNUMBER(MATCH(AE818,FILTER(AF$768:AF$826,AH$768:AH$826&lt;&gt;0),0)),1,0)
   )
)"),"")</f>
        <v/>
      </c>
      <c r="AE818" s="943"/>
      <c r="AF818" s="942" t="s">
        <v>602</v>
      </c>
      <c r="AG818" s="932" t="s">
        <v>52</v>
      </c>
      <c r="AH818" s="488">
        <f t="shared" si="566"/>
        <v>0</v>
      </c>
      <c r="AI818" s="489">
        <f t="shared" si="671"/>
        <v>4</v>
      </c>
      <c r="AJ818" s="490" t="str">
        <f t="shared" si="688"/>
        <v/>
      </c>
      <c r="AK818" s="491">
        <f t="shared" si="689"/>
        <v>30</v>
      </c>
      <c r="AL818" s="489">
        <f t="shared" si="690"/>
        <v>240</v>
      </c>
      <c r="AM818" s="492">
        <f t="shared" si="691"/>
        <v>0</v>
      </c>
      <c r="AN818" s="493">
        <f t="shared" si="692"/>
        <v>0</v>
      </c>
      <c r="AO818" s="494" t="str">
        <f t="shared" si="693"/>
        <v/>
      </c>
      <c r="AP818" s="925" t="str">
        <f t="shared" si="557"/>
        <v/>
      </c>
      <c r="AQ818" s="595"/>
      <c r="AR818" s="595"/>
      <c r="AS818" s="595"/>
      <c r="AT818" s="595"/>
      <c r="AU818" s="595"/>
      <c r="AV818" s="595"/>
      <c r="AW818" s="595"/>
      <c r="AX818" s="595"/>
      <c r="AY818" s="595"/>
      <c r="AZ818" s="595"/>
      <c r="BA818" s="595"/>
      <c r="BB818" s="595"/>
      <c r="BC818" s="595"/>
      <c r="BD818" s="595"/>
      <c r="BE818" s="595"/>
      <c r="BF818" s="595"/>
      <c r="BG818" s="595"/>
      <c r="BH818" s="595"/>
      <c r="BI818" s="595"/>
      <c r="BJ818" s="595"/>
      <c r="BK818" s="595"/>
      <c r="BL818" s="595"/>
      <c r="BM818" s="595"/>
      <c r="BN818" s="595"/>
      <c r="BO818" s="651"/>
      <c r="BP818" s="651"/>
      <c r="BQ818" s="651"/>
      <c r="BR818" s="651"/>
      <c r="BS818" s="651"/>
      <c r="BT818" s="651"/>
    </row>
    <row r="819">
      <c r="A819" s="583"/>
      <c r="B819" s="584"/>
      <c r="C819" s="584"/>
      <c r="D819" s="584"/>
      <c r="E819" s="585"/>
      <c r="F819" s="586"/>
      <c r="G819" s="587"/>
      <c r="H819" s="584"/>
      <c r="I819" s="595"/>
      <c r="J819" s="595"/>
      <c r="K819" s="354"/>
      <c r="L819" s="588"/>
      <c r="M819" s="588"/>
      <c r="N819" s="833"/>
      <c r="O819" s="590"/>
      <c r="P819" s="939" t="str">
        <f>IFERROR(__xludf.DUMMYFUNCTION("IF(Q819="""","""",
   IF(Q819=0,0,
      IF(ISNUMBER(MATCH(Q819,FILTER(R$770:R$890,T$770:T$890&lt;&gt;0),0)),1,0)
   )
)"),"")</f>
        <v/>
      </c>
      <c r="Q819" s="941"/>
      <c r="R819" s="942" t="s">
        <v>603</v>
      </c>
      <c r="S819" s="930" t="s">
        <v>52</v>
      </c>
      <c r="T819" s="488">
        <f t="shared" si="572"/>
        <v>0</v>
      </c>
      <c r="U819" s="489">
        <f t="shared" si="551"/>
        <v>4</v>
      </c>
      <c r="V819" s="490" t="str">
        <f t="shared" si="552"/>
        <v>#REF!</v>
      </c>
      <c r="W819" s="491">
        <f>(3/1)*$X$755</f>
        <v>12</v>
      </c>
      <c r="X819" s="489">
        <f>W819*W$765</f>
        <v>96</v>
      </c>
      <c r="Y819" s="492">
        <f>ROUNDUP(T819/X819,2)</f>
        <v>0</v>
      </c>
      <c r="Z819" s="493" t="str">
        <f>Y819*V819*U819*W$765</f>
        <v>#REF!</v>
      </c>
      <c r="AA819" s="931" t="str">
        <f>iferror(Z819/T819,"")</f>
        <v/>
      </c>
      <c r="AB819" s="925" t="str">
        <f t="shared" si="565"/>
        <v/>
      </c>
      <c r="AC819" s="595"/>
      <c r="AD819" s="939" t="str">
        <f>IFERROR(__xludf.DUMMYFUNCTION("IF(AE819="""","""",
   IF(AE819=0,0,
      IF(ISNUMBER(MATCH(AE819,FILTER(AF$768:AF$826,AH$768:AH$826&lt;&gt;0),0)),1,0)
   )
)"),"")</f>
        <v/>
      </c>
      <c r="AE819" s="943"/>
      <c r="AF819" s="942" t="s">
        <v>604</v>
      </c>
      <c r="AG819" s="945" t="s">
        <v>52</v>
      </c>
      <c r="AH819" s="488">
        <f t="shared" si="566"/>
        <v>0</v>
      </c>
      <c r="AI819" s="489">
        <f t="shared" si="671"/>
        <v>4</v>
      </c>
      <c r="AJ819" s="490" t="str">
        <f t="shared" si="688"/>
        <v/>
      </c>
      <c r="AK819" s="491">
        <f t="shared" si="689"/>
        <v>30</v>
      </c>
      <c r="AL819" s="489">
        <f t="shared" si="690"/>
        <v>240</v>
      </c>
      <c r="AM819" s="492">
        <f t="shared" si="691"/>
        <v>0</v>
      </c>
      <c r="AN819" s="493">
        <f t="shared" si="692"/>
        <v>0</v>
      </c>
      <c r="AO819" s="494" t="str">
        <f t="shared" si="693"/>
        <v/>
      </c>
      <c r="AP819" s="925" t="str">
        <f t="shared" si="557"/>
        <v/>
      </c>
      <c r="AQ819" s="595"/>
      <c r="AR819" s="595"/>
      <c r="AS819" s="595"/>
      <c r="AT819" s="595"/>
      <c r="AU819" s="595"/>
      <c r="AV819" s="595"/>
      <c r="AW819" s="595"/>
      <c r="AX819" s="595"/>
      <c r="AY819" s="595"/>
      <c r="AZ819" s="595"/>
      <c r="BA819" s="595"/>
      <c r="BB819" s="595"/>
      <c r="BC819" s="595"/>
      <c r="BD819" s="595"/>
      <c r="BE819" s="595"/>
      <c r="BF819" s="595"/>
      <c r="BG819" s="595"/>
      <c r="BH819" s="595"/>
      <c r="BI819" s="595"/>
      <c r="BJ819" s="595"/>
      <c r="BK819" s="595"/>
      <c r="BL819" s="595"/>
      <c r="BM819" s="595"/>
      <c r="BN819" s="595"/>
      <c r="BO819" s="651"/>
      <c r="BP819" s="651"/>
      <c r="BQ819" s="651"/>
      <c r="BR819" s="651"/>
      <c r="BS819" s="651"/>
      <c r="BT819" s="651"/>
    </row>
    <row r="820">
      <c r="A820" s="583"/>
      <c r="B820" s="584"/>
      <c r="C820" s="510" t="s">
        <v>283</v>
      </c>
      <c r="D820" s="609"/>
      <c r="E820" s="585"/>
      <c r="F820" s="586"/>
      <c r="G820" s="587"/>
      <c r="H820" s="584"/>
      <c r="I820" s="595"/>
      <c r="J820" s="820"/>
      <c r="K820" s="383"/>
      <c r="L820" s="588"/>
      <c r="M820" s="588"/>
      <c r="N820" s="833"/>
      <c r="O820" s="590"/>
      <c r="P820" s="939" t="str">
        <f>IFERROR(__xludf.DUMMYFUNCTION("IF(Q820="""","""",
   IF(Q820=0,0,
      IF(ISNUMBER(MATCH(Q820,FILTER(R$770:R$890,T$770:T$890&lt;&gt;0),0)),1,0)
   )
)"),"")</f>
        <v/>
      </c>
      <c r="Q820" s="941"/>
      <c r="R820" s="929" t="s">
        <v>389</v>
      </c>
      <c r="S820" s="930" t="s">
        <v>52</v>
      </c>
      <c r="T820" s="488">
        <f t="shared" si="572"/>
        <v>5235.174625</v>
      </c>
      <c r="U820" s="489">
        <f t="shared" si="551"/>
        <v>4</v>
      </c>
      <c r="V820" s="490" t="str">
        <f t="shared" si="552"/>
        <v>#REF!</v>
      </c>
      <c r="W820" s="491"/>
      <c r="X820" s="489"/>
      <c r="Y820" s="492"/>
      <c r="Z820" s="493"/>
      <c r="AA820" s="931"/>
      <c r="AB820" s="925" t="str">
        <f t="shared" si="565"/>
        <v/>
      </c>
      <c r="AC820" s="595"/>
      <c r="AD820" s="939" t="str">
        <f>IFERROR(__xludf.DUMMYFUNCTION("IF(AE820="""","""",
   IF(AE820=0,0,
      IF(ISNUMBER(MATCH(AE820,FILTER(AF$768:AF$826,AH$768:AH$826&lt;&gt;0),0)),1,0)
   )
)"),"")</f>
        <v/>
      </c>
      <c r="AE820" s="943"/>
      <c r="AF820" s="929"/>
      <c r="AG820" s="968"/>
      <c r="AH820" s="488">
        <f t="shared" si="566"/>
        <v>0</v>
      </c>
      <c r="AI820" s="489">
        <f t="shared" si="671"/>
        <v>4</v>
      </c>
      <c r="AJ820" s="490" t="str">
        <f t="shared" si="688"/>
        <v/>
      </c>
      <c r="AK820" s="491">
        <f t="shared" si="689"/>
        <v>30</v>
      </c>
      <c r="AL820" s="489">
        <f t="shared" si="690"/>
        <v>240</v>
      </c>
      <c r="AM820" s="492">
        <f t="shared" si="691"/>
        <v>0</v>
      </c>
      <c r="AN820" s="493">
        <f t="shared" si="692"/>
        <v>0</v>
      </c>
      <c r="AO820" s="494" t="str">
        <f t="shared" si="693"/>
        <v/>
      </c>
      <c r="AP820" s="925" t="str">
        <f t="shared" si="557"/>
        <v/>
      </c>
      <c r="AQ820" s="595"/>
      <c r="AR820" s="595"/>
      <c r="AS820" s="595"/>
      <c r="AT820" s="595"/>
      <c r="AU820" s="595"/>
      <c r="AV820" s="595"/>
      <c r="AW820" s="595"/>
      <c r="AX820" s="595"/>
      <c r="AY820" s="595"/>
      <c r="AZ820" s="595"/>
      <c r="BA820" s="595"/>
      <c r="BB820" s="595"/>
      <c r="BC820" s="595"/>
      <c r="BD820" s="595"/>
      <c r="BE820" s="595"/>
      <c r="BF820" s="595"/>
      <c r="BG820" s="595"/>
      <c r="BH820" s="595"/>
      <c r="BI820" s="595"/>
      <c r="BJ820" s="595"/>
      <c r="BK820" s="595"/>
      <c r="BL820" s="595"/>
      <c r="BM820" s="595"/>
      <c r="BN820" s="595"/>
      <c r="BO820" s="651"/>
      <c r="BP820" s="651"/>
      <c r="BQ820" s="651"/>
      <c r="BR820" s="651"/>
      <c r="BS820" s="651"/>
      <c r="BT820" s="651"/>
    </row>
    <row r="821">
      <c r="A821" s="583"/>
      <c r="B821" s="12" t="s">
        <v>176</v>
      </c>
      <c r="C821" s="499" t="s">
        <v>278</v>
      </c>
      <c r="D821" s="844"/>
      <c r="E821" s="845"/>
      <c r="F821" s="846"/>
      <c r="G821" s="847"/>
      <c r="H821" s="848"/>
      <c r="I821" s="437">
        <v>1.0</v>
      </c>
      <c r="J821" s="436" t="str">
        <f t="shared" ref="J821:J822" si="694">J813</f>
        <v>#REF!</v>
      </c>
      <c r="K821" s="370">
        <v>225.0</v>
      </c>
      <c r="L821" s="850"/>
      <c r="M821" s="401">
        <v>0.0</v>
      </c>
      <c r="N821" s="849" t="str">
        <f t="shared" ref="N821:N823" si="695">M821*K821*J821*I821</f>
        <v>#REF!</v>
      </c>
      <c r="O821" s="950"/>
      <c r="P821" s="939" t="str">
        <f>IFERROR(__xludf.DUMMYFUNCTION("IF(Q821="""","""",
   IF(Q821=0,0,
      IF(ISNUMBER(MATCH(Q821,FILTER(R$770:R$890,T$770:T$890&lt;&gt;0),0)),1,0)
   )
)"),"")</f>
        <v/>
      </c>
      <c r="Q821" s="941"/>
      <c r="R821" s="929" t="s">
        <v>365</v>
      </c>
      <c r="S821" s="930" t="s">
        <v>55</v>
      </c>
      <c r="T821" s="488">
        <f t="shared" si="572"/>
        <v>0</v>
      </c>
      <c r="U821" s="489">
        <f t="shared" si="551"/>
        <v>4</v>
      </c>
      <c r="V821" s="490" t="str">
        <f t="shared" si="552"/>
        <v>#REF!</v>
      </c>
      <c r="W821" s="491"/>
      <c r="X821" s="489"/>
      <c r="Y821" s="492"/>
      <c r="Z821" s="493"/>
      <c r="AA821" s="931" t="str">
        <f t="shared" ref="AA821:AA824" si="696">iferror(Z821/T821,"")</f>
        <v/>
      </c>
      <c r="AB821" s="925" t="str">
        <f t="shared" si="565"/>
        <v/>
      </c>
      <c r="AC821" s="595"/>
      <c r="AD821" s="939" t="str">
        <f>IFERROR(__xludf.DUMMYFUNCTION("IF(AE821="""","""",
   IF(AE821=0,0,
      IF(ISNUMBER(MATCH(AE821,FILTER(AF$768:AF$826,AH$768:AH$826&lt;&gt;0),0)),1,0)
   )
)"),"")</f>
        <v/>
      </c>
      <c r="AE821" s="943"/>
      <c r="AF821" s="929"/>
      <c r="AG821" s="968"/>
      <c r="AH821" s="488">
        <f t="shared" si="566"/>
        <v>0</v>
      </c>
      <c r="AI821" s="489">
        <f t="shared" si="671"/>
        <v>4</v>
      </c>
      <c r="AJ821" s="490" t="str">
        <f t="shared" si="688"/>
        <v/>
      </c>
      <c r="AK821" s="491">
        <f t="shared" si="689"/>
        <v>30</v>
      </c>
      <c r="AL821" s="489">
        <f t="shared" si="690"/>
        <v>240</v>
      </c>
      <c r="AM821" s="492">
        <f t="shared" si="691"/>
        <v>0</v>
      </c>
      <c r="AN821" s="493">
        <f t="shared" si="692"/>
        <v>0</v>
      </c>
      <c r="AO821" s="494" t="str">
        <f t="shared" si="693"/>
        <v/>
      </c>
      <c r="AP821" s="925" t="str">
        <f t="shared" si="557"/>
        <v/>
      </c>
      <c r="AQ821" s="595"/>
      <c r="AR821" s="595"/>
      <c r="AS821" s="595"/>
      <c r="AT821" s="595"/>
      <c r="AU821" s="595"/>
      <c r="AV821" s="595"/>
      <c r="AW821" s="595"/>
      <c r="AX821" s="595"/>
      <c r="AY821" s="595"/>
      <c r="AZ821" s="595"/>
      <c r="BA821" s="595"/>
      <c r="BB821" s="595"/>
      <c r="BC821" s="595"/>
      <c r="BD821" s="595"/>
      <c r="BE821" s="595"/>
      <c r="BF821" s="595"/>
      <c r="BG821" s="595"/>
      <c r="BH821" s="595"/>
      <c r="BI821" s="595"/>
      <c r="BJ821" s="595"/>
      <c r="BK821" s="595"/>
      <c r="BL821" s="595"/>
      <c r="BM821" s="595"/>
      <c r="BN821" s="595"/>
      <c r="BO821" s="651"/>
      <c r="BP821" s="651"/>
      <c r="BQ821" s="651"/>
      <c r="BR821" s="651"/>
      <c r="BS821" s="651"/>
      <c r="BT821" s="651"/>
    </row>
    <row r="822">
      <c r="A822" s="583"/>
      <c r="B822" s="584"/>
      <c r="C822" s="499" t="s">
        <v>279</v>
      </c>
      <c r="D822" s="844"/>
      <c r="E822" s="845"/>
      <c r="F822" s="846"/>
      <c r="G822" s="847"/>
      <c r="H822" s="848"/>
      <c r="I822" s="437">
        <f t="shared" ref="I822:I823" si="697">I821</f>
        <v>1</v>
      </c>
      <c r="J822" s="436" t="str">
        <f t="shared" si="694"/>
        <v>#REF!</v>
      </c>
      <c r="K822" s="370">
        <v>285.0</v>
      </c>
      <c r="L822" s="850"/>
      <c r="M822" s="401">
        <v>0.0</v>
      </c>
      <c r="N822" s="849" t="str">
        <f t="shared" si="695"/>
        <v>#REF!</v>
      </c>
      <c r="O822" s="590"/>
      <c r="P822" s="939" t="str">
        <f>IFERROR(__xludf.DUMMYFUNCTION("IF(Q822="""","""",
   IF(Q822=0,0,
      IF(ISNUMBER(MATCH(Q822,FILTER(R$770:R$890,T$770:T$890&lt;&gt;0),0)),1,0)
   )
)"),"")</f>
        <v/>
      </c>
      <c r="Q822" s="941"/>
      <c r="R822" s="929" t="s">
        <v>390</v>
      </c>
      <c r="S822" s="930" t="s">
        <v>52</v>
      </c>
      <c r="T822" s="488">
        <f t="shared" si="572"/>
        <v>0</v>
      </c>
      <c r="U822" s="489">
        <f t="shared" si="551"/>
        <v>4</v>
      </c>
      <c r="V822" s="490" t="str">
        <f t="shared" si="552"/>
        <v>#REF!</v>
      </c>
      <c r="W822" s="491">
        <f>(1/5.4)*$X$755</f>
        <v>0.7407407407</v>
      </c>
      <c r="X822" s="489">
        <f t="shared" ref="X822:X824" si="698">W822*W$765</f>
        <v>5.925925926</v>
      </c>
      <c r="Y822" s="492">
        <f t="shared" ref="Y822:Y824" si="699">ROUNDUP(T822/X822,2)</f>
        <v>0</v>
      </c>
      <c r="Z822" s="493" t="str">
        <f t="shared" ref="Z822:Z824" si="700">Y822*V822*U822*W$765</f>
        <v>#REF!</v>
      </c>
      <c r="AA822" s="931" t="str">
        <f t="shared" si="696"/>
        <v/>
      </c>
      <c r="AB822" s="925" t="str">
        <f t="shared" si="565"/>
        <v/>
      </c>
      <c r="AC822" s="595"/>
      <c r="AD822" s="939" t="str">
        <f>IFERROR(__xludf.DUMMYFUNCTION("IF(AE822="""","""",
   IF(AE822=0,0,
      IF(ISNUMBER(MATCH(AE822,FILTER(AF$768:AF$826,AH$768:AH$826&lt;&gt;0),0)),1,0)
   )
)"),"")</f>
        <v/>
      </c>
      <c r="AE822" s="943"/>
      <c r="AF822" s="929"/>
      <c r="AG822" s="968"/>
      <c r="AH822" s="488">
        <f t="shared" si="566"/>
        <v>0</v>
      </c>
      <c r="AI822" s="489">
        <f t="shared" si="671"/>
        <v>4</v>
      </c>
      <c r="AJ822" s="490" t="str">
        <f t="shared" si="688"/>
        <v/>
      </c>
      <c r="AK822" s="491">
        <f t="shared" si="689"/>
        <v>30</v>
      </c>
      <c r="AL822" s="489">
        <f t="shared" si="690"/>
        <v>240</v>
      </c>
      <c r="AM822" s="492">
        <f t="shared" si="691"/>
        <v>0</v>
      </c>
      <c r="AN822" s="493">
        <f t="shared" si="692"/>
        <v>0</v>
      </c>
      <c r="AO822" s="494" t="str">
        <f t="shared" si="693"/>
        <v/>
      </c>
      <c r="AP822" s="925" t="str">
        <f t="shared" si="557"/>
        <v/>
      </c>
      <c r="AQ822" s="595"/>
      <c r="AR822" s="595"/>
      <c r="AS822" s="595"/>
      <c r="AT822" s="595"/>
      <c r="AU822" s="595"/>
      <c r="AV822" s="595"/>
      <c r="AW822" s="595"/>
      <c r="AX822" s="595"/>
      <c r="AY822" s="595"/>
      <c r="AZ822" s="595"/>
      <c r="BA822" s="595"/>
      <c r="BB822" s="595"/>
      <c r="BC822" s="595"/>
      <c r="BD822" s="595"/>
      <c r="BE822" s="595"/>
      <c r="BF822" s="595"/>
      <c r="BG822" s="595"/>
      <c r="BH822" s="595"/>
      <c r="BI822" s="595"/>
      <c r="BJ822" s="595"/>
      <c r="BK822" s="595"/>
      <c r="BL822" s="595"/>
      <c r="BM822" s="595"/>
      <c r="BN822" s="595"/>
      <c r="BO822" s="651"/>
      <c r="BP822" s="651"/>
      <c r="BQ822" s="651"/>
      <c r="BR822" s="651"/>
      <c r="BS822" s="651"/>
      <c r="BT822" s="651"/>
    </row>
    <row r="823">
      <c r="A823" s="583"/>
      <c r="B823" s="584"/>
      <c r="C823" s="499" t="s">
        <v>280</v>
      </c>
      <c r="D823" s="844"/>
      <c r="E823" s="845"/>
      <c r="F823" s="846"/>
      <c r="G823" s="847"/>
      <c r="H823" s="848"/>
      <c r="I823" s="437">
        <f t="shared" si="697"/>
        <v>1</v>
      </c>
      <c r="J823" s="964"/>
      <c r="K823" s="370">
        <v>95.0</v>
      </c>
      <c r="L823" s="850"/>
      <c r="M823" s="840"/>
      <c r="N823" s="849">
        <f t="shared" si="695"/>
        <v>0</v>
      </c>
      <c r="O823" s="590"/>
      <c r="P823" s="939" t="str">
        <f>IFERROR(__xludf.DUMMYFUNCTION("IF(Q823="""","""",
   IF(Q823=0,0,
      IF(ISNUMBER(MATCH(Q823,FILTER(R$770:R$890,T$770:T$890&lt;&gt;0),0)),1,0)
   )
)"),"")</f>
        <v/>
      </c>
      <c r="Q823" s="941"/>
      <c r="R823" s="929" t="s">
        <v>391</v>
      </c>
      <c r="S823" s="930" t="s">
        <v>52</v>
      </c>
      <c r="T823" s="488">
        <f t="shared" si="572"/>
        <v>2</v>
      </c>
      <c r="U823" s="489">
        <f t="shared" si="551"/>
        <v>4</v>
      </c>
      <c r="V823" s="490" t="str">
        <f t="shared" si="552"/>
        <v>#REF!</v>
      </c>
      <c r="W823" s="491">
        <f t="shared" ref="W823:W824" si="701">(8/2)*$X$755</f>
        <v>16</v>
      </c>
      <c r="X823" s="489">
        <f t="shared" si="698"/>
        <v>128</v>
      </c>
      <c r="Y823" s="492">
        <f t="shared" si="699"/>
        <v>0.02</v>
      </c>
      <c r="Z823" s="493" t="str">
        <f t="shared" si="700"/>
        <v>#REF!</v>
      </c>
      <c r="AA823" s="931" t="str">
        <f t="shared" si="696"/>
        <v/>
      </c>
      <c r="AB823" s="925" t="str">
        <f t="shared" si="565"/>
        <v/>
      </c>
      <c r="AC823" s="595"/>
      <c r="AD823" s="939" t="str">
        <f>IFERROR(__xludf.DUMMYFUNCTION("IF(AE823="""","""",
   IF(AE823=0,0,
      IF(ISNUMBER(MATCH(AE823,FILTER(AF$768:AF$826,AH$768:AH$826&lt;&gt;0),0)),1,0)
   )
)"),"")</f>
        <v/>
      </c>
      <c r="AE823" s="943"/>
      <c r="AF823" s="929"/>
      <c r="AG823" s="968"/>
      <c r="AH823" s="488">
        <f t="shared" si="566"/>
        <v>0</v>
      </c>
      <c r="AI823" s="489">
        <f t="shared" si="671"/>
        <v>4</v>
      </c>
      <c r="AJ823" s="490" t="str">
        <f t="shared" si="688"/>
        <v/>
      </c>
      <c r="AK823" s="491">
        <f t="shared" si="689"/>
        <v>30</v>
      </c>
      <c r="AL823" s="489">
        <f t="shared" si="690"/>
        <v>240</v>
      </c>
      <c r="AM823" s="492">
        <f t="shared" si="691"/>
        <v>0</v>
      </c>
      <c r="AN823" s="493">
        <f t="shared" si="692"/>
        <v>0</v>
      </c>
      <c r="AO823" s="494" t="str">
        <f t="shared" si="693"/>
        <v/>
      </c>
      <c r="AP823" s="925" t="str">
        <f t="shared" si="557"/>
        <v/>
      </c>
      <c r="AQ823" s="595"/>
      <c r="AR823" s="595"/>
      <c r="AS823" s="595"/>
      <c r="AT823" s="595"/>
      <c r="AU823" s="595"/>
      <c r="AV823" s="595"/>
      <c r="AW823" s="595"/>
      <c r="AX823" s="595"/>
      <c r="AY823" s="595"/>
      <c r="AZ823" s="595"/>
      <c r="BA823" s="595"/>
      <c r="BB823" s="595"/>
      <c r="BC823" s="595"/>
      <c r="BD823" s="595"/>
      <c r="BE823" s="595"/>
      <c r="BF823" s="595"/>
      <c r="BG823" s="595"/>
      <c r="BH823" s="595"/>
      <c r="BI823" s="595"/>
      <c r="BJ823" s="595"/>
      <c r="BK823" s="595"/>
      <c r="BL823" s="595"/>
      <c r="BM823" s="595"/>
      <c r="BN823" s="595"/>
      <c r="BO823" s="651"/>
      <c r="BP823" s="651"/>
      <c r="BQ823" s="651"/>
      <c r="BR823" s="651"/>
      <c r="BS823" s="651"/>
      <c r="BT823" s="651"/>
    </row>
    <row r="824">
      <c r="A824" s="583"/>
      <c r="B824" s="584"/>
      <c r="C824" s="499" t="s">
        <v>281</v>
      </c>
      <c r="D824" s="844"/>
      <c r="E824" s="845"/>
      <c r="F824" s="846"/>
      <c r="G824" s="847"/>
      <c r="H824" s="848"/>
      <c r="I824" s="964"/>
      <c r="J824" s="964"/>
      <c r="K824" s="370"/>
      <c r="L824" s="850"/>
      <c r="M824" s="840"/>
      <c r="N824" s="849" t="str">
        <f>SUM(N822)*0.3</f>
        <v>#REF!</v>
      </c>
      <c r="O824" s="590"/>
      <c r="P824" s="939" t="str">
        <f>IFERROR(__xludf.DUMMYFUNCTION("IF(Q824="""","""",
   IF(Q824=0,0,
      IF(ISNUMBER(MATCH(Q824,FILTER(R$770:R$890,T$770:T$890&lt;&gt;0),0)),1,0)
   )
)"),"")</f>
        <v/>
      </c>
      <c r="Q824" s="941"/>
      <c r="R824" s="942" t="s">
        <v>63</v>
      </c>
      <c r="S824" s="930" t="s">
        <v>52</v>
      </c>
      <c r="T824" s="488">
        <f t="shared" si="572"/>
        <v>0</v>
      </c>
      <c r="U824" s="489">
        <f t="shared" si="551"/>
        <v>4</v>
      </c>
      <c r="V824" s="490" t="str">
        <f t="shared" si="552"/>
        <v>#REF!</v>
      </c>
      <c r="W824" s="491">
        <f t="shared" si="701"/>
        <v>16</v>
      </c>
      <c r="X824" s="489">
        <f t="shared" si="698"/>
        <v>128</v>
      </c>
      <c r="Y824" s="492">
        <f t="shared" si="699"/>
        <v>0</v>
      </c>
      <c r="Z824" s="493" t="str">
        <f t="shared" si="700"/>
        <v>#REF!</v>
      </c>
      <c r="AA824" s="931" t="str">
        <f t="shared" si="696"/>
        <v/>
      </c>
      <c r="AB824" s="925" t="str">
        <f t="shared" si="565"/>
        <v/>
      </c>
      <c r="AC824" s="595"/>
      <c r="AD824" s="939" t="str">
        <f>IFERROR(__xludf.DUMMYFUNCTION("IF(AE824="""","""",
   IF(AE824=0,0,
      IF(ISNUMBER(MATCH(AE824,FILTER(AF$768:AF$826,AH$768:AH$826&lt;&gt;0),0)),1,0)
   )
)"),"")</f>
        <v/>
      </c>
      <c r="AE824" s="943"/>
      <c r="AF824" s="929"/>
      <c r="AG824" s="968"/>
      <c r="AH824" s="488">
        <f t="shared" si="566"/>
        <v>0</v>
      </c>
      <c r="AI824" s="489">
        <f t="shared" si="671"/>
        <v>4</v>
      </c>
      <c r="AJ824" s="490" t="str">
        <f t="shared" si="688"/>
        <v/>
      </c>
      <c r="AK824" s="491">
        <f t="shared" si="689"/>
        <v>30</v>
      </c>
      <c r="AL824" s="489">
        <f t="shared" si="690"/>
        <v>240</v>
      </c>
      <c r="AM824" s="492">
        <f t="shared" si="691"/>
        <v>0</v>
      </c>
      <c r="AN824" s="493">
        <f t="shared" si="692"/>
        <v>0</v>
      </c>
      <c r="AO824" s="494" t="str">
        <f t="shared" si="693"/>
        <v/>
      </c>
      <c r="AP824" s="925" t="str">
        <f t="shared" si="557"/>
        <v/>
      </c>
      <c r="AQ824" s="595"/>
      <c r="AR824" s="595"/>
      <c r="AS824" s="595"/>
      <c r="AT824" s="595"/>
      <c r="AU824" s="595"/>
      <c r="AV824" s="595"/>
      <c r="AW824" s="595"/>
      <c r="AX824" s="595"/>
      <c r="AY824" s="595"/>
      <c r="AZ824" s="595"/>
      <c r="BA824" s="595"/>
      <c r="BB824" s="595"/>
      <c r="BC824" s="595"/>
      <c r="BD824" s="595"/>
      <c r="BE824" s="595"/>
      <c r="BF824" s="595"/>
      <c r="BG824" s="595"/>
      <c r="BH824" s="595"/>
      <c r="BI824" s="595"/>
      <c r="BJ824" s="595"/>
      <c r="BK824" s="595"/>
      <c r="BL824" s="595"/>
      <c r="BM824" s="595"/>
      <c r="BN824" s="595"/>
      <c r="BO824" s="651"/>
      <c r="BP824" s="651"/>
      <c r="BQ824" s="651"/>
      <c r="BR824" s="651"/>
      <c r="BS824" s="651"/>
      <c r="BT824" s="651"/>
    </row>
    <row r="825">
      <c r="A825" s="583"/>
      <c r="B825" s="584"/>
      <c r="C825" s="946"/>
      <c r="D825" s="844"/>
      <c r="E825" s="845"/>
      <c r="F825" s="846"/>
      <c r="G825" s="847"/>
      <c r="H825" s="848"/>
      <c r="I825" s="964"/>
      <c r="J825" s="967"/>
      <c r="K825" s="370"/>
      <c r="L825" s="850"/>
      <c r="M825" s="840"/>
      <c r="N825" s="965"/>
      <c r="O825" s="590"/>
      <c r="P825" s="939" t="str">
        <f>IFERROR(__xludf.DUMMYFUNCTION("IF(Q825="""","""",
   IF(Q825=0,0,
      IF(ISNUMBER(MATCH(Q825,FILTER(R$770:R$890,T$770:T$890&lt;&gt;0),0)),1,0)
   )
)"),"")</f>
        <v/>
      </c>
      <c r="Q825" s="941"/>
      <c r="R825" s="942" t="s">
        <v>66</v>
      </c>
      <c r="S825" s="930" t="s">
        <v>52</v>
      </c>
      <c r="T825" s="488">
        <f t="shared" si="572"/>
        <v>0</v>
      </c>
      <c r="U825" s="489">
        <f t="shared" si="551"/>
        <v>4</v>
      </c>
      <c r="V825" s="490" t="str">
        <f t="shared" si="552"/>
        <v>#REF!</v>
      </c>
      <c r="W825" s="491"/>
      <c r="X825" s="489"/>
      <c r="Y825" s="492"/>
      <c r="Z825" s="493"/>
      <c r="AA825" s="931"/>
      <c r="AB825" s="925" t="str">
        <f t="shared" si="565"/>
        <v/>
      </c>
      <c r="AC825" s="595"/>
      <c r="AD825" s="939" t="str">
        <f>IFERROR(__xludf.DUMMYFUNCTION("IF(AE825="""","""",
   IF(AE825=0,0,
      IF(ISNUMBER(MATCH(AE825,FILTER(AF$768:AF$826,AH$768:AH$826&lt;&gt;0),0)),1,0)
   )
)"),"")</f>
        <v/>
      </c>
      <c r="AE825" s="943"/>
      <c r="AF825" s="929" t="str">
        <f>'Audit Check'!R82</f>
        <v/>
      </c>
      <c r="AG825" s="968"/>
      <c r="AH825" s="488">
        <f t="shared" si="566"/>
        <v>0</v>
      </c>
      <c r="AI825" s="489">
        <f t="shared" si="671"/>
        <v>4</v>
      </c>
      <c r="AJ825" s="490" t="str">
        <f t="shared" si="688"/>
        <v/>
      </c>
      <c r="AK825" s="491">
        <f t="shared" si="689"/>
        <v>30</v>
      </c>
      <c r="AL825" s="489">
        <f t="shared" si="690"/>
        <v>240</v>
      </c>
      <c r="AM825" s="492">
        <f t="shared" si="691"/>
        <v>0</v>
      </c>
      <c r="AN825" s="493">
        <f t="shared" si="692"/>
        <v>0</v>
      </c>
      <c r="AO825" s="494" t="str">
        <f t="shared" si="693"/>
        <v/>
      </c>
      <c r="AP825" s="925" t="str">
        <f t="shared" si="557"/>
        <v/>
      </c>
      <c r="AQ825" s="595"/>
      <c r="AR825" s="595"/>
      <c r="AS825" s="595"/>
      <c r="AT825" s="595"/>
      <c r="AU825" s="595"/>
      <c r="AV825" s="595"/>
      <c r="AW825" s="595"/>
      <c r="AX825" s="595"/>
      <c r="AY825" s="595"/>
      <c r="AZ825" s="595"/>
      <c r="BA825" s="595"/>
      <c r="BB825" s="595"/>
      <c r="BC825" s="595"/>
      <c r="BD825" s="595"/>
      <c r="BE825" s="595"/>
      <c r="BF825" s="595"/>
      <c r="BG825" s="595"/>
      <c r="BH825" s="595"/>
      <c r="BI825" s="595"/>
      <c r="BJ825" s="595"/>
      <c r="BK825" s="595"/>
      <c r="BL825" s="595"/>
      <c r="BM825" s="595"/>
      <c r="BN825" s="595"/>
      <c r="BO825" s="651"/>
      <c r="BP825" s="651"/>
      <c r="BQ825" s="651"/>
      <c r="BR825" s="651"/>
      <c r="BS825" s="651"/>
      <c r="BT825" s="651"/>
    </row>
    <row r="826">
      <c r="A826" s="583"/>
      <c r="B826" s="584"/>
      <c r="C826" s="969"/>
      <c r="D826" s="970"/>
      <c r="E826" s="845"/>
      <c r="F826" s="971"/>
      <c r="G826" s="972"/>
      <c r="H826" s="973"/>
      <c r="I826" s="964"/>
      <c r="J826" s="964"/>
      <c r="K826" s="437"/>
      <c r="L826" s="850"/>
      <c r="M826" s="850"/>
      <c r="N826" s="965"/>
      <c r="O826" s="590"/>
      <c r="P826" s="939" t="str">
        <f>IFERROR(__xludf.DUMMYFUNCTION("IF(Q826="""","""",
   IF(Q826=0,0,
      IF(ISNUMBER(MATCH(Q826,FILTER(R$770:R$890,T$770:T$890&lt;&gt;0),0)),1,0)
   )
)"),"")</f>
        <v/>
      </c>
      <c r="Q826" s="941"/>
      <c r="R826" s="929" t="s">
        <v>392</v>
      </c>
      <c r="S826" s="930" t="s">
        <v>52</v>
      </c>
      <c r="T826" s="488">
        <f t="shared" si="572"/>
        <v>0</v>
      </c>
      <c r="U826" s="489">
        <f t="shared" si="551"/>
        <v>4</v>
      </c>
      <c r="V826" s="490" t="str">
        <f t="shared" si="552"/>
        <v>#REF!</v>
      </c>
      <c r="W826" s="491">
        <f>(6/3)*$X$755</f>
        <v>8</v>
      </c>
      <c r="X826" s="489">
        <f t="shared" ref="X826:X830" si="702">W826*W$765</f>
        <v>64</v>
      </c>
      <c r="Y826" s="492">
        <f t="shared" ref="Y826:Y830" si="703">ROUNDUP(T826/X826,2)</f>
        <v>0</v>
      </c>
      <c r="Z826" s="493" t="str">
        <f t="shared" ref="Z826:Z830" si="704">Y826*V826*U826*W$765</f>
        <v>#REF!</v>
      </c>
      <c r="AA826" s="931" t="str">
        <f t="shared" ref="AA826:AA830" si="705">iferror(Z826/T826,"")</f>
        <v/>
      </c>
      <c r="AB826" s="925" t="str">
        <f t="shared" si="565"/>
        <v/>
      </c>
      <c r="AC826" s="595"/>
      <c r="AD826" s="939" t="str">
        <f>IFERROR(__xludf.DUMMYFUNCTION("IF(AE826="""","""",
   IF(AE826=0,0,
      IF(ISNUMBER(MATCH(AE826,FILTER(AF$768:AF$826,AH$768:AH$826&lt;&gt;0),0)),1,0)
   )
)"),"")</f>
        <v/>
      </c>
      <c r="AE826" s="943"/>
      <c r="AF826" s="929" t="str">
        <f>'Audit Check'!R83</f>
        <v/>
      </c>
      <c r="AG826" s="968"/>
      <c r="AH826" s="488">
        <f t="shared" si="566"/>
        <v>0</v>
      </c>
      <c r="AI826" s="489">
        <f t="shared" si="671"/>
        <v>4</v>
      </c>
      <c r="AJ826" s="490" t="str">
        <f t="shared" si="688"/>
        <v/>
      </c>
      <c r="AK826" s="491">
        <f t="shared" si="689"/>
        <v>30</v>
      </c>
      <c r="AL826" s="489">
        <f t="shared" si="690"/>
        <v>240</v>
      </c>
      <c r="AM826" s="492">
        <f t="shared" si="691"/>
        <v>0</v>
      </c>
      <c r="AN826" s="493">
        <f t="shared" si="692"/>
        <v>0</v>
      </c>
      <c r="AO826" s="494" t="str">
        <f t="shared" si="693"/>
        <v/>
      </c>
      <c r="AP826" s="925" t="str">
        <f t="shared" si="557"/>
        <v/>
      </c>
      <c r="AQ826" s="595"/>
      <c r="AR826" s="595"/>
      <c r="AS826" s="595"/>
      <c r="AT826" s="595"/>
      <c r="AU826" s="595"/>
      <c r="AV826" s="595"/>
      <c r="AW826" s="595"/>
      <c r="AX826" s="595"/>
      <c r="AY826" s="595"/>
      <c r="AZ826" s="595"/>
      <c r="BA826" s="595"/>
      <c r="BB826" s="595"/>
      <c r="BC826" s="595"/>
      <c r="BD826" s="595"/>
      <c r="BE826" s="595"/>
      <c r="BF826" s="595"/>
      <c r="BG826" s="595"/>
      <c r="BH826" s="595"/>
      <c r="BI826" s="595"/>
      <c r="BJ826" s="595"/>
      <c r="BK826" s="595"/>
      <c r="BL826" s="595"/>
      <c r="BM826" s="595"/>
      <c r="BN826" s="595"/>
      <c r="BO826" s="651"/>
      <c r="BP826" s="651"/>
      <c r="BQ826" s="651"/>
      <c r="BR826" s="651"/>
      <c r="BS826" s="651"/>
      <c r="BT826" s="651"/>
    </row>
    <row r="827">
      <c r="A827" s="583"/>
      <c r="B827" s="584"/>
      <c r="C827" s="851"/>
      <c r="D827" s="609"/>
      <c r="E827" s="585"/>
      <c r="F827" s="586"/>
      <c r="G827" s="587"/>
      <c r="H827" s="584"/>
      <c r="I827" s="584"/>
      <c r="J827" s="584"/>
      <c r="K827" s="383"/>
      <c r="L827" s="588"/>
      <c r="M827" s="588"/>
      <c r="N827" s="833"/>
      <c r="O827" s="590"/>
      <c r="P827" s="939" t="str">
        <f>IFERROR(__xludf.DUMMYFUNCTION("IF(Q827="""","""",
   IF(Q827=0,0,
      IF(ISNUMBER(MATCH(Q827,FILTER(R$770:R$890,T$770:T$890&lt;&gt;0),0)),1,0)
   )
)"),"")</f>
        <v/>
      </c>
      <c r="Q827" s="941"/>
      <c r="R827" s="942" t="s">
        <v>60</v>
      </c>
      <c r="S827" s="930" t="s">
        <v>55</v>
      </c>
      <c r="T827" s="488">
        <f t="shared" si="572"/>
        <v>0</v>
      </c>
      <c r="U827" s="489">
        <f t="shared" si="551"/>
        <v>4</v>
      </c>
      <c r="V827" s="490" t="str">
        <f t="shared" si="552"/>
        <v>#REF!</v>
      </c>
      <c r="W827" s="491">
        <f>(15/1)*$X$755</f>
        <v>60</v>
      </c>
      <c r="X827" s="489">
        <f t="shared" si="702"/>
        <v>480</v>
      </c>
      <c r="Y827" s="492">
        <f t="shared" si="703"/>
        <v>0</v>
      </c>
      <c r="Z827" s="493" t="str">
        <f t="shared" si="704"/>
        <v>#REF!</v>
      </c>
      <c r="AA827" s="931" t="str">
        <f t="shared" si="705"/>
        <v/>
      </c>
      <c r="AB827" s="925" t="str">
        <f t="shared" si="565"/>
        <v/>
      </c>
      <c r="AC827" s="595"/>
      <c r="AD827" s="939" t="str">
        <f>IFERROR(__xludf.DUMMYFUNCTION("IF(AE827="""","""",
   IF(AE827=0,0,
      IF(ISNUMBER(MATCH(AE827,FILTER(AF$768:AF$826,AH$768:AH$826&lt;&gt;0),0)),1,0)
   )
)"),"")</f>
        <v/>
      </c>
      <c r="AE827" s="943"/>
      <c r="AF827" s="960"/>
      <c r="AG827" s="912"/>
      <c r="AH827" s="473"/>
      <c r="AI827" s="549">
        <f>AVERAGE(AI767:AI789)</f>
        <v>4</v>
      </c>
      <c r="AJ827" s="471"/>
      <c r="AK827" s="961"/>
      <c r="AL827" s="962">
        <f>X755</f>
        <v>4</v>
      </c>
      <c r="AM827" s="552" t="str">
        <f t="shared" ref="AM827:AN827" si="706">SUM(AM767:AM826)</f>
        <v>#REF!</v>
      </c>
      <c r="AN827" s="553" t="str">
        <f t="shared" si="706"/>
        <v>#REF!</v>
      </c>
      <c r="AO827" s="554" t="str">
        <f>AN827/AM827/AL827</f>
        <v>#REF!</v>
      </c>
      <c r="AP827" s="594"/>
      <c r="AQ827" s="595"/>
      <c r="AR827" s="595"/>
      <c r="AS827" s="595"/>
      <c r="AT827" s="595"/>
      <c r="AU827" s="595"/>
      <c r="AV827" s="595"/>
      <c r="AW827" s="595"/>
      <c r="AX827" s="595"/>
      <c r="AY827" s="595"/>
      <c r="AZ827" s="595"/>
      <c r="BA827" s="595"/>
      <c r="BB827" s="595"/>
      <c r="BC827" s="595"/>
      <c r="BD827" s="595"/>
      <c r="BE827" s="595"/>
      <c r="BF827" s="595"/>
      <c r="BG827" s="595"/>
      <c r="BH827" s="595"/>
      <c r="BI827" s="595"/>
      <c r="BJ827" s="595"/>
      <c r="BK827" s="595"/>
      <c r="BL827" s="595"/>
      <c r="BM827" s="595"/>
      <c r="BN827" s="595"/>
      <c r="BO827" s="651"/>
      <c r="BP827" s="651"/>
      <c r="BQ827" s="651"/>
      <c r="BR827" s="651"/>
      <c r="BS827" s="651"/>
      <c r="BT827" s="651"/>
    </row>
    <row r="828">
      <c r="A828" s="583"/>
      <c r="B828" s="587"/>
      <c r="C828" s="329" t="s">
        <v>284</v>
      </c>
      <c r="D828" s="974" t="s">
        <v>605</v>
      </c>
      <c r="E828" s="975" t="s">
        <v>606</v>
      </c>
      <c r="F828" s="976" t="s">
        <v>607</v>
      </c>
      <c r="G828" s="976" t="s">
        <v>608</v>
      </c>
      <c r="H828" s="976" t="s">
        <v>609</v>
      </c>
      <c r="I828" s="977"/>
      <c r="J828" s="824"/>
      <c r="K828" s="978"/>
      <c r="L828" s="979"/>
      <c r="M828" s="980">
        <f t="shared" ref="M828:N828" si="707">SUM(M829:M835)</f>
        <v>0</v>
      </c>
      <c r="N828" s="981" t="str">
        <f t="shared" si="707"/>
        <v>#REF!</v>
      </c>
      <c r="O828" s="982"/>
      <c r="P828" s="983" t="str">
        <f>IFERROR(__xludf.DUMMYFUNCTION("IF(Q828="""","""",
   IF(Q828=0,0,
      IF(ISNUMBER(MATCH(Q828,FILTER(R$770:R$890,T$770:T$890&lt;&gt;0),0)),1,0)
   )
)"),"")</f>
        <v/>
      </c>
      <c r="Q828" s="941"/>
      <c r="R828" s="929" t="s">
        <v>393</v>
      </c>
      <c r="S828" s="930" t="s">
        <v>52</v>
      </c>
      <c r="T828" s="488">
        <f t="shared" si="572"/>
        <v>0</v>
      </c>
      <c r="U828" s="489">
        <f t="shared" si="551"/>
        <v>4</v>
      </c>
      <c r="V828" s="490" t="str">
        <f t="shared" si="552"/>
        <v>#REF!</v>
      </c>
      <c r="W828" s="491">
        <f>(1/2)*$X$755</f>
        <v>2</v>
      </c>
      <c r="X828" s="489">
        <f t="shared" si="702"/>
        <v>16</v>
      </c>
      <c r="Y828" s="492">
        <f t="shared" si="703"/>
        <v>0</v>
      </c>
      <c r="Z828" s="493" t="str">
        <f t="shared" si="704"/>
        <v>#REF!</v>
      </c>
      <c r="AA828" s="931" t="str">
        <f t="shared" si="705"/>
        <v/>
      </c>
      <c r="AB828" s="925" t="str">
        <f t="shared" si="565"/>
        <v/>
      </c>
      <c r="AC828" s="595"/>
      <c r="AD828" s="983" t="str">
        <f>IFERROR(__xludf.DUMMYFUNCTION("IF(AE828="""","""",
   IF(AE828=0,0,
      IF(ISNUMBER(MATCH(AE828,FILTER(AF$768:AF$826,AH$768:AH$826&lt;&gt;0),0)),1,0)
   )
)"),"")</f>
        <v/>
      </c>
      <c r="AE828" s="943"/>
      <c r="AF828" s="984"/>
      <c r="AG828" s="466"/>
      <c r="AH828" s="985"/>
      <c r="AI828" s="985"/>
      <c r="AJ828" s="603"/>
      <c r="AK828" s="985"/>
      <c r="AL828" s="986">
        <v>8.0</v>
      </c>
      <c r="AM828" s="987" t="str">
        <f>AL827/AL828*AM827</f>
        <v>#REF!</v>
      </c>
      <c r="AN828" s="988" t="str">
        <f>AN827</f>
        <v>#REF!</v>
      </c>
      <c r="AO828" s="603"/>
      <c r="AP828" s="594"/>
      <c r="AQ828" s="595"/>
      <c r="AR828" s="603"/>
      <c r="AS828" s="603"/>
      <c r="AT828" s="603"/>
      <c r="AU828" s="603"/>
      <c r="AV828" s="603"/>
      <c r="AW828" s="603"/>
      <c r="AX828" s="603"/>
      <c r="AY828" s="603"/>
      <c r="AZ828" s="603"/>
      <c r="BA828" s="603"/>
      <c r="BB828" s="603"/>
      <c r="BC828" s="603"/>
      <c r="BD828" s="603"/>
      <c r="BE828" s="603"/>
      <c r="BF828" s="603"/>
      <c r="BG828" s="603"/>
      <c r="BH828" s="603"/>
      <c r="BI828" s="603"/>
      <c r="BJ828" s="603"/>
      <c r="BK828" s="603"/>
      <c r="BL828" s="603"/>
      <c r="BM828" s="603"/>
      <c r="BN828" s="603"/>
      <c r="BO828" s="989"/>
      <c r="BP828" s="989"/>
      <c r="BQ828" s="989"/>
      <c r="BR828" s="989"/>
      <c r="BS828" s="989"/>
      <c r="BT828" s="989"/>
    </row>
    <row r="829">
      <c r="A829" s="583"/>
      <c r="B829" s="584"/>
      <c r="C829" s="990" t="s">
        <v>285</v>
      </c>
      <c r="D829" s="991"/>
      <c r="E829" s="845"/>
      <c r="F829" s="992"/>
      <c r="G829" s="993"/>
      <c r="H829" s="994"/>
      <c r="I829" s="964" t="str">
        <f t="shared" ref="I829:I830" si="708">T768</f>
        <v/>
      </c>
      <c r="J829" s="964"/>
      <c r="K829" s="964"/>
      <c r="L829" s="401">
        <v>0.0</v>
      </c>
      <c r="M829" s="840"/>
      <c r="N829" s="849">
        <f t="shared" ref="N829:N830" si="709">J829*I829*L829</f>
        <v>0</v>
      </c>
      <c r="O829" s="590"/>
      <c r="P829" s="939" t="str">
        <f>IFERROR(__xludf.DUMMYFUNCTION("IF(Q829="""","""",
   IF(Q829=0,0,
      IF(ISNUMBER(MATCH(Q829,FILTER(R$770:R$890,T$770:T$890&lt;&gt;0),0)),1,0)
   )
)"),"")</f>
        <v/>
      </c>
      <c r="Q829" s="941"/>
      <c r="R829" s="929" t="s">
        <v>394</v>
      </c>
      <c r="S829" s="930" t="s">
        <v>55</v>
      </c>
      <c r="T829" s="488">
        <f t="shared" si="572"/>
        <v>0</v>
      </c>
      <c r="U829" s="489">
        <f t="shared" si="551"/>
        <v>4</v>
      </c>
      <c r="V829" s="490" t="str">
        <f t="shared" si="552"/>
        <v>#REF!</v>
      </c>
      <c r="W829" s="491">
        <f t="shared" ref="W829:W830" si="710">(15/1)*$X$755</f>
        <v>60</v>
      </c>
      <c r="X829" s="489">
        <f t="shared" si="702"/>
        <v>480</v>
      </c>
      <c r="Y829" s="492">
        <f t="shared" si="703"/>
        <v>0</v>
      </c>
      <c r="Z829" s="493" t="str">
        <f t="shared" si="704"/>
        <v>#REF!</v>
      </c>
      <c r="AA829" s="931" t="str">
        <f t="shared" si="705"/>
        <v/>
      </c>
      <c r="AB829" s="925" t="str">
        <f t="shared" si="565"/>
        <v/>
      </c>
      <c r="AC829" s="595"/>
      <c r="AD829" s="939" t="str">
        <f>IFERROR(__xludf.DUMMYFUNCTION("IF(AE829="""","""",
   IF(AE829=0,0,
      IF(ISNUMBER(MATCH(AE829,FILTER(AF$768:AF$826,AH$768:AH$826&lt;&gt;0),0)),1,0)
   )
)"),"")</f>
        <v/>
      </c>
      <c r="AE829" s="956"/>
      <c r="AF829" s="584"/>
      <c r="AG829" s="354"/>
      <c r="AH829" s="595"/>
      <c r="AI829" s="443"/>
      <c r="AJ829" s="595"/>
      <c r="AK829" s="595"/>
      <c r="AL829" s="595"/>
      <c r="AM829" s="595"/>
      <c r="AN829" s="595"/>
      <c r="AO829" s="584"/>
      <c r="AP829" s="594"/>
      <c r="AQ829" s="595"/>
      <c r="AR829" s="595"/>
      <c r="AS829" s="595"/>
      <c r="AT829" s="595"/>
      <c r="AU829" s="595"/>
      <c r="AV829" s="595"/>
      <c r="AW829" s="595"/>
      <c r="AX829" s="595"/>
      <c r="AY829" s="595"/>
      <c r="AZ829" s="595"/>
      <c r="BA829" s="595"/>
      <c r="BB829" s="595"/>
      <c r="BC829" s="595"/>
      <c r="BD829" s="595"/>
      <c r="BE829" s="595"/>
      <c r="BF829" s="595"/>
      <c r="BG829" s="595"/>
      <c r="BH829" s="595"/>
      <c r="BI829" s="595"/>
      <c r="BJ829" s="595"/>
      <c r="BK829" s="595"/>
      <c r="BL829" s="595"/>
      <c r="BM829" s="595"/>
      <c r="BN829" s="595"/>
      <c r="BO829" s="651"/>
      <c r="BP829" s="651"/>
      <c r="BQ829" s="651"/>
      <c r="BR829" s="651"/>
      <c r="BS829" s="651"/>
      <c r="BT829" s="651"/>
    </row>
    <row r="830">
      <c r="A830" s="583"/>
      <c r="B830" s="584"/>
      <c r="C830" s="990" t="s">
        <v>286</v>
      </c>
      <c r="D830" s="991"/>
      <c r="E830" s="845"/>
      <c r="F830" s="992"/>
      <c r="G830" s="993"/>
      <c r="H830" s="994"/>
      <c r="I830" s="964" t="str">
        <f t="shared" si="708"/>
        <v/>
      </c>
      <c r="J830" s="964"/>
      <c r="K830" s="964"/>
      <c r="L830" s="401">
        <v>0.0</v>
      </c>
      <c r="M830" s="840"/>
      <c r="N830" s="849">
        <f t="shared" si="709"/>
        <v>0</v>
      </c>
      <c r="O830" s="590"/>
      <c r="P830" s="939" t="str">
        <f>IFERROR(__xludf.DUMMYFUNCTION("IF(Q830="""","""",
   IF(Q830=0,0,
      IF(ISNUMBER(MATCH(Q830,FILTER(R$770:R$890,T$770:T$890&lt;&gt;0),0)),1,0)
   )
)"),"")</f>
        <v/>
      </c>
      <c r="Q830" s="941"/>
      <c r="R830" s="929" t="s">
        <v>395</v>
      </c>
      <c r="S830" s="930" t="s">
        <v>55</v>
      </c>
      <c r="T830" s="488">
        <f t="shared" si="572"/>
        <v>0</v>
      </c>
      <c r="U830" s="489">
        <f t="shared" si="551"/>
        <v>4</v>
      </c>
      <c r="V830" s="490" t="str">
        <f t="shared" si="552"/>
        <v>#REF!</v>
      </c>
      <c r="W830" s="491">
        <f t="shared" si="710"/>
        <v>60</v>
      </c>
      <c r="X830" s="489">
        <f t="shared" si="702"/>
        <v>480</v>
      </c>
      <c r="Y830" s="492">
        <f t="shared" si="703"/>
        <v>0</v>
      </c>
      <c r="Z830" s="493" t="str">
        <f t="shared" si="704"/>
        <v>#REF!</v>
      </c>
      <c r="AA830" s="931" t="str">
        <f t="shared" si="705"/>
        <v/>
      </c>
      <c r="AB830" s="925" t="str">
        <f t="shared" si="565"/>
        <v/>
      </c>
      <c r="AC830" s="595"/>
      <c r="AD830" s="958"/>
      <c r="AE830" s="995"/>
      <c r="AF830" s="584"/>
      <c r="AG830" s="354"/>
      <c r="AH830" s="595"/>
      <c r="AI830" s="443"/>
      <c r="AJ830" s="595"/>
      <c r="AK830" s="595"/>
      <c r="AL830" s="595"/>
      <c r="AM830" s="595"/>
      <c r="AN830" s="595"/>
      <c r="AO830" s="584"/>
      <c r="AP830" s="594"/>
      <c r="AQ830" s="595"/>
      <c r="AR830" s="595"/>
      <c r="AS830" s="595"/>
      <c r="AT830" s="595"/>
      <c r="AU830" s="595"/>
      <c r="AV830" s="595"/>
      <c r="AW830" s="595"/>
      <c r="AX830" s="595"/>
      <c r="AY830" s="595"/>
      <c r="AZ830" s="595"/>
      <c r="BA830" s="595"/>
      <c r="BB830" s="595"/>
      <c r="BC830" s="595"/>
      <c r="BD830" s="595"/>
      <c r="BE830" s="595"/>
      <c r="BF830" s="595"/>
      <c r="BG830" s="595"/>
      <c r="BH830" s="595"/>
      <c r="BI830" s="595"/>
      <c r="BJ830" s="595"/>
      <c r="BK830" s="595"/>
      <c r="BL830" s="595"/>
      <c r="BM830" s="595"/>
      <c r="BN830" s="595"/>
      <c r="BO830" s="651"/>
      <c r="BP830" s="651"/>
      <c r="BQ830" s="651"/>
      <c r="BR830" s="651"/>
      <c r="BS830" s="651"/>
      <c r="BT830" s="651"/>
    </row>
    <row r="831">
      <c r="A831" s="583"/>
      <c r="B831" s="584"/>
      <c r="C831" s="522" t="s">
        <v>287</v>
      </c>
      <c r="D831" s="996"/>
      <c r="E831" s="845"/>
      <c r="F831" s="997"/>
      <c r="G831" s="998"/>
      <c r="H831" s="999"/>
      <c r="I831" s="964" t="str">
        <f t="shared" ref="I831:I832" si="711">I829</f>
        <v/>
      </c>
      <c r="J831" s="437" t="str">
        <f>W758</f>
        <v>#REF!</v>
      </c>
      <c r="K831" s="437">
        <v>3.0</v>
      </c>
      <c r="L831" s="401">
        <v>0.0</v>
      </c>
      <c r="M831" s="840"/>
      <c r="N831" s="849" t="str">
        <f t="shared" ref="N831:N832" si="712">K831*J831*I831*L831</f>
        <v>#REF!</v>
      </c>
      <c r="O831" s="590"/>
      <c r="P831" s="939" t="str">
        <f>IFERROR(__xludf.DUMMYFUNCTION("IF(Q831="""","""",
   IF(Q831=0,0,
      IF(ISNUMBER(MATCH(Q831,FILTER(R$770:R$890,T$770:T$890&lt;&gt;0),0)),1,0)
   )
)"),"")</f>
        <v/>
      </c>
      <c r="Q831" s="941"/>
      <c r="R831" s="929" t="s">
        <v>101</v>
      </c>
      <c r="S831" s="930" t="s">
        <v>52</v>
      </c>
      <c r="T831" s="488">
        <f t="shared" si="572"/>
        <v>6507.543733</v>
      </c>
      <c r="U831" s="489">
        <f t="shared" si="551"/>
        <v>4</v>
      </c>
      <c r="V831" s="490" t="str">
        <f t="shared" si="552"/>
        <v>#REF!</v>
      </c>
      <c r="W831" s="491"/>
      <c r="X831" s="489"/>
      <c r="Y831" s="492"/>
      <c r="Z831" s="493"/>
      <c r="AA831" s="931"/>
      <c r="AB831" s="925" t="str">
        <f t="shared" si="565"/>
        <v/>
      </c>
      <c r="AC831" s="947">
        <f>T831+AH796</f>
        <v>7735.543733</v>
      </c>
      <c r="AD831" s="595"/>
      <c r="AE831" s="595"/>
      <c r="AF831" s="584"/>
      <c r="AG831" s="354"/>
      <c r="AH831" s="595"/>
      <c r="AI831" s="443"/>
      <c r="AJ831" s="595"/>
      <c r="AK831" s="595"/>
      <c r="AL831" s="595"/>
      <c r="AM831" s="595"/>
      <c r="AN831" s="595"/>
      <c r="AO831" s="584"/>
      <c r="AP831" s="594"/>
      <c r="AQ831" s="595"/>
      <c r="AR831" s="595"/>
      <c r="AS831" s="595"/>
      <c r="AT831" s="595"/>
      <c r="AU831" s="595"/>
      <c r="AV831" s="595"/>
      <c r="AW831" s="595"/>
      <c r="AX831" s="595"/>
      <c r="AY831" s="595"/>
      <c r="AZ831" s="595"/>
      <c r="BA831" s="595"/>
      <c r="BB831" s="595"/>
      <c r="BC831" s="595"/>
      <c r="BD831" s="595"/>
      <c r="BE831" s="595"/>
      <c r="BF831" s="595"/>
      <c r="BG831" s="595"/>
      <c r="BH831" s="595"/>
      <c r="BI831" s="595"/>
      <c r="BJ831" s="595"/>
      <c r="BK831" s="595"/>
      <c r="BL831" s="595"/>
      <c r="BM831" s="595"/>
      <c r="BN831" s="595"/>
      <c r="BO831" s="651"/>
      <c r="BP831" s="651"/>
      <c r="BQ831" s="651"/>
      <c r="BR831" s="651"/>
      <c r="BS831" s="651"/>
      <c r="BT831" s="651"/>
    </row>
    <row r="832">
      <c r="A832" s="583"/>
      <c r="B832" s="584"/>
      <c r="C832" s="522" t="s">
        <v>288</v>
      </c>
      <c r="D832" s="996"/>
      <c r="E832" s="845"/>
      <c r="F832" s="997"/>
      <c r="G832" s="998"/>
      <c r="H832" s="999"/>
      <c r="I832" s="964" t="str">
        <f t="shared" si="711"/>
        <v/>
      </c>
      <c r="J832" s="437" t="str">
        <f>J831</f>
        <v>#REF!</v>
      </c>
      <c r="K832" s="437">
        <v>10.0</v>
      </c>
      <c r="L832" s="401">
        <v>0.0</v>
      </c>
      <c r="M832" s="840"/>
      <c r="N832" s="849" t="str">
        <f t="shared" si="712"/>
        <v>#REF!</v>
      </c>
      <c r="O832" s="590"/>
      <c r="P832" s="939" t="str">
        <f>IFERROR(__xludf.DUMMYFUNCTION("IF(Q832="""","""",
   IF(Q832=0,0,
      IF(ISNUMBER(MATCH(Q832,FILTER(R$770:R$890,T$770:T$890&lt;&gt;0),0)),1,0)
   )
)"),"")</f>
        <v/>
      </c>
      <c r="Q832" s="941"/>
      <c r="R832" s="942" t="s">
        <v>124</v>
      </c>
      <c r="S832" s="930" t="s">
        <v>52</v>
      </c>
      <c r="T832" s="488">
        <f t="shared" si="572"/>
        <v>0</v>
      </c>
      <c r="U832" s="489">
        <f t="shared" si="551"/>
        <v>4</v>
      </c>
      <c r="V832" s="490" t="str">
        <f t="shared" si="552"/>
        <v>#REF!</v>
      </c>
      <c r="W832" s="491"/>
      <c r="X832" s="489"/>
      <c r="Y832" s="492"/>
      <c r="Z832" s="493"/>
      <c r="AA832" s="931"/>
      <c r="AB832" s="925" t="str">
        <f t="shared" si="565"/>
        <v/>
      </c>
      <c r="AC832" s="595"/>
      <c r="AD832" s="594"/>
      <c r="AE832" s="595"/>
      <c r="AF832" s="584"/>
      <c r="AG832" s="354"/>
      <c r="AH832" s="595"/>
      <c r="AI832" s="443"/>
      <c r="AJ832" s="595"/>
      <c r="AK832" s="595"/>
      <c r="AL832" s="595"/>
      <c r="AM832" s="595"/>
      <c r="AN832" s="595"/>
      <c r="AO832" s="584"/>
      <c r="AP832" s="594"/>
      <c r="AQ832" s="595"/>
      <c r="AR832" s="595"/>
      <c r="AS832" s="595"/>
      <c r="AT832" s="595"/>
      <c r="AU832" s="595"/>
      <c r="AV832" s="595"/>
      <c r="AW832" s="595"/>
      <c r="AX832" s="595"/>
      <c r="AY832" s="595"/>
      <c r="AZ832" s="595"/>
      <c r="BA832" s="595"/>
      <c r="BB832" s="595"/>
      <c r="BC832" s="595"/>
      <c r="BD832" s="595"/>
      <c r="BE832" s="595"/>
      <c r="BF832" s="595"/>
      <c r="BG832" s="595"/>
      <c r="BH832" s="595"/>
      <c r="BI832" s="595"/>
      <c r="BJ832" s="595"/>
      <c r="BK832" s="595"/>
      <c r="BL832" s="595"/>
      <c r="BM832" s="595"/>
      <c r="BN832" s="595"/>
      <c r="BO832" s="651"/>
      <c r="BP832" s="651"/>
      <c r="BQ832" s="651"/>
      <c r="BR832" s="651"/>
      <c r="BS832" s="651"/>
      <c r="BT832" s="651"/>
    </row>
    <row r="833">
      <c r="A833" s="583"/>
      <c r="B833" s="584"/>
      <c r="C833" s="1000"/>
      <c r="D833" s="996"/>
      <c r="E833" s="845"/>
      <c r="F833" s="437"/>
      <c r="G833" s="1001"/>
      <c r="H833" s="964"/>
      <c r="I833" s="964"/>
      <c r="J833" s="964"/>
      <c r="K833" s="964"/>
      <c r="L833" s="840"/>
      <c r="M833" s="840"/>
      <c r="N833" s="965"/>
      <c r="O833" s="590"/>
      <c r="P833" s="939" t="str">
        <f>IFERROR(__xludf.DUMMYFUNCTION("IF(Q833="""","""",
   IF(Q833=0,0,
      IF(ISNUMBER(MATCH(Q833,FILTER(R$770:R$890,T$770:T$890&lt;&gt;0),0)),1,0)
   )
)"),"")</f>
        <v/>
      </c>
      <c r="Q833" s="941"/>
      <c r="R833" s="929" t="s">
        <v>92</v>
      </c>
      <c r="S833" s="930" t="s">
        <v>41</v>
      </c>
      <c r="T833" s="488" t="str">
        <f t="shared" si="572"/>
        <v>#REF!</v>
      </c>
      <c r="U833" s="489">
        <f t="shared" si="551"/>
        <v>4</v>
      </c>
      <c r="V833" s="490" t="str">
        <f t="shared" si="552"/>
        <v>#REF!</v>
      </c>
      <c r="W833" s="491">
        <f>(60/4)*$X$755</f>
        <v>60</v>
      </c>
      <c r="X833" s="489">
        <f t="shared" ref="X833:X837" si="713">W833*W$765</f>
        <v>480</v>
      </c>
      <c r="Y833" s="492" t="str">
        <f t="shared" ref="Y833:Y837" si="714">ROUNDUP(T833/X833,2)</f>
        <v>#REF!</v>
      </c>
      <c r="Z833" s="493" t="str">
        <f t="shared" ref="Z833:Z837" si="715">Y833*V833*U833*W$765</f>
        <v>#REF!</v>
      </c>
      <c r="AA833" s="931" t="str">
        <f t="shared" ref="AA833:AA837" si="716">iferror(Z833/T833,"")</f>
        <v/>
      </c>
      <c r="AB833" s="925" t="str">
        <f t="shared" si="565"/>
        <v/>
      </c>
      <c r="AC833" s="595"/>
      <c r="AD833" s="594"/>
      <c r="AE833" s="595"/>
      <c r="AF833" s="584"/>
      <c r="AG833" s="354"/>
      <c r="AH833" s="595"/>
      <c r="AI833" s="443"/>
      <c r="AJ833" s="595"/>
      <c r="AK833" s="595"/>
      <c r="AL833" s="595"/>
      <c r="AM833" s="595"/>
      <c r="AN833" s="595"/>
      <c r="AO833" s="584"/>
      <c r="AP833" s="594"/>
      <c r="AQ833" s="595"/>
      <c r="AR833" s="595"/>
      <c r="AS833" s="595"/>
      <c r="AT833" s="595"/>
      <c r="AU833" s="595"/>
      <c r="AV833" s="595"/>
      <c r="AW833" s="595"/>
      <c r="AX833" s="595"/>
      <c r="AY833" s="595"/>
      <c r="AZ833" s="595"/>
      <c r="BA833" s="595"/>
      <c r="BB833" s="595"/>
      <c r="BC833" s="595"/>
      <c r="BD833" s="595"/>
      <c r="BE833" s="595"/>
      <c r="BF833" s="595"/>
      <c r="BG833" s="595"/>
      <c r="BH833" s="595"/>
      <c r="BI833" s="595"/>
      <c r="BJ833" s="595"/>
      <c r="BK833" s="595"/>
      <c r="BL833" s="595"/>
      <c r="BM833" s="595"/>
      <c r="BN833" s="595"/>
      <c r="BO833" s="651"/>
      <c r="BP833" s="651"/>
      <c r="BQ833" s="651"/>
      <c r="BR833" s="651"/>
      <c r="BS833" s="651"/>
      <c r="BT833" s="651"/>
    </row>
    <row r="834">
      <c r="A834" s="583"/>
      <c r="B834" s="584"/>
      <c r="C834" s="1000"/>
      <c r="D834" s="996"/>
      <c r="E834" s="845"/>
      <c r="F834" s="437"/>
      <c r="G834" s="1001"/>
      <c r="H834" s="964"/>
      <c r="I834" s="964"/>
      <c r="J834" s="964"/>
      <c r="K834" s="964"/>
      <c r="L834" s="840"/>
      <c r="M834" s="840"/>
      <c r="N834" s="965"/>
      <c r="O834" s="590"/>
      <c r="P834" s="939" t="str">
        <f>IFERROR(__xludf.DUMMYFUNCTION("IF(Q834="""","""",
   IF(Q834=0,0,
      IF(ISNUMBER(MATCH(Q834,FILTER(R$770:R$890,T$770:T$890&lt;&gt;0),0)),1,0)
   )
)"),"")</f>
        <v/>
      </c>
      <c r="Q834" s="941"/>
      <c r="R834" s="929" t="s">
        <v>396</v>
      </c>
      <c r="S834" s="930" t="s">
        <v>41</v>
      </c>
      <c r="T834" s="488">
        <f t="shared" si="572"/>
        <v>0</v>
      </c>
      <c r="U834" s="489">
        <f t="shared" si="551"/>
        <v>4</v>
      </c>
      <c r="V834" s="490" t="str">
        <f t="shared" si="552"/>
        <v>#REF!</v>
      </c>
      <c r="W834" s="491">
        <f>(100/4)*$X$755</f>
        <v>100</v>
      </c>
      <c r="X834" s="489">
        <f t="shared" si="713"/>
        <v>800</v>
      </c>
      <c r="Y834" s="492">
        <f t="shared" si="714"/>
        <v>0</v>
      </c>
      <c r="Z834" s="493" t="str">
        <f t="shared" si="715"/>
        <v>#REF!</v>
      </c>
      <c r="AA834" s="931" t="str">
        <f t="shared" si="716"/>
        <v/>
      </c>
      <c r="AB834" s="925" t="str">
        <f t="shared" si="565"/>
        <v/>
      </c>
      <c r="AC834" s="595"/>
      <c r="AD834" s="594"/>
      <c r="AE834" s="595"/>
      <c r="AF834" s="584"/>
      <c r="AG834" s="354"/>
      <c r="AH834" s="595"/>
      <c r="AI834" s="443"/>
      <c r="AJ834" s="595"/>
      <c r="AK834" s="595"/>
      <c r="AL834" s="595"/>
      <c r="AM834" s="595"/>
      <c r="AN834" s="595"/>
      <c r="AO834" s="584"/>
      <c r="AP834" s="595"/>
      <c r="AQ834" s="595"/>
      <c r="AR834" s="595"/>
      <c r="AS834" s="595"/>
      <c r="AT834" s="595"/>
      <c r="AU834" s="595"/>
      <c r="AV834" s="595"/>
      <c r="AW834" s="595"/>
      <c r="AX834" s="595"/>
      <c r="AY834" s="595"/>
      <c r="AZ834" s="595"/>
      <c r="BA834" s="595"/>
      <c r="BB834" s="595"/>
      <c r="BC834" s="595"/>
      <c r="BD834" s="595"/>
      <c r="BE834" s="595"/>
      <c r="BF834" s="595"/>
      <c r="BG834" s="595"/>
      <c r="BH834" s="595"/>
      <c r="BI834" s="595"/>
      <c r="BJ834" s="595"/>
      <c r="BK834" s="595"/>
      <c r="BL834" s="595"/>
      <c r="BM834" s="595"/>
      <c r="BN834" s="595"/>
      <c r="BO834" s="651"/>
      <c r="BP834" s="651"/>
      <c r="BQ834" s="651"/>
      <c r="BR834" s="651"/>
      <c r="BS834" s="651"/>
      <c r="BT834" s="651"/>
    </row>
    <row r="835">
      <c r="A835" s="583"/>
      <c r="B835" s="584"/>
      <c r="C835" s="1002"/>
      <c r="D835" s="991"/>
      <c r="E835" s="994"/>
      <c r="F835" s="992"/>
      <c r="G835" s="993"/>
      <c r="H835" s="994"/>
      <c r="I835" s="964"/>
      <c r="J835" s="964"/>
      <c r="K835" s="1003"/>
      <c r="L835" s="1004"/>
      <c r="M835" s="840"/>
      <c r="N835" s="965"/>
      <c r="O835" s="590"/>
      <c r="P835" s="939" t="str">
        <f>IFERROR(__xludf.DUMMYFUNCTION("IF(Q835="""","""",
   IF(Q835=0,0,
      IF(ISNUMBER(MATCH(Q835,FILTER(R$770:R$890,T$770:T$890&lt;&gt;0),0)),1,0)
   )
)"),"")</f>
        <v/>
      </c>
      <c r="Q835" s="941"/>
      <c r="R835" s="929" t="s">
        <v>397</v>
      </c>
      <c r="S835" s="930" t="s">
        <v>52</v>
      </c>
      <c r="T835" s="488">
        <f t="shared" si="572"/>
        <v>0</v>
      </c>
      <c r="U835" s="489">
        <f t="shared" si="551"/>
        <v>4</v>
      </c>
      <c r="V835" s="490" t="str">
        <f t="shared" si="552"/>
        <v>#REF!</v>
      </c>
      <c r="W835" s="491">
        <f>(1/2)*$X$755</f>
        <v>2</v>
      </c>
      <c r="X835" s="489">
        <f t="shared" si="713"/>
        <v>16</v>
      </c>
      <c r="Y835" s="492">
        <f t="shared" si="714"/>
        <v>0</v>
      </c>
      <c r="Z835" s="493" t="str">
        <f t="shared" si="715"/>
        <v>#REF!</v>
      </c>
      <c r="AA835" s="931" t="str">
        <f t="shared" si="716"/>
        <v/>
      </c>
      <c r="AB835" s="925" t="str">
        <f t="shared" si="565"/>
        <v/>
      </c>
      <c r="AC835" s="595"/>
      <c r="AD835" s="594"/>
      <c r="AE835" s="595"/>
      <c r="AF835" s="584"/>
      <c r="AG835" s="354"/>
      <c r="AH835" s="595"/>
      <c r="AI835" s="443"/>
      <c r="AJ835" s="595"/>
      <c r="AK835" s="595"/>
      <c r="AL835" s="595"/>
      <c r="AM835" s="595"/>
      <c r="AN835" s="595"/>
      <c r="AO835" s="584"/>
      <c r="AP835" s="595"/>
      <c r="AQ835" s="595"/>
      <c r="AR835" s="595"/>
      <c r="AS835" s="595"/>
      <c r="AT835" s="595"/>
      <c r="AU835" s="595"/>
      <c r="AV835" s="595"/>
      <c r="AW835" s="595"/>
      <c r="AX835" s="595"/>
      <c r="AY835" s="595"/>
      <c r="AZ835" s="595"/>
      <c r="BA835" s="595"/>
      <c r="BB835" s="595"/>
      <c r="BC835" s="595"/>
      <c r="BD835" s="595"/>
      <c r="BE835" s="595"/>
      <c r="BF835" s="595"/>
      <c r="BG835" s="595"/>
      <c r="BH835" s="595"/>
      <c r="BI835" s="595"/>
      <c r="BJ835" s="595"/>
      <c r="BK835" s="595"/>
      <c r="BL835" s="595"/>
      <c r="BM835" s="595"/>
      <c r="BN835" s="595"/>
      <c r="BO835" s="651"/>
      <c r="BP835" s="651"/>
      <c r="BQ835" s="651"/>
      <c r="BR835" s="651"/>
      <c r="BS835" s="651"/>
      <c r="BT835" s="651"/>
    </row>
    <row r="836">
      <c r="A836" s="583"/>
      <c r="B836" s="584"/>
      <c r="C836" s="526" t="s">
        <v>193</v>
      </c>
      <c r="D836" s="1005"/>
      <c r="E836" s="1006"/>
      <c r="F836" s="1007"/>
      <c r="G836" s="1008"/>
      <c r="H836" s="1009"/>
      <c r="I836" s="1010"/>
      <c r="J836" s="1011"/>
      <c r="K836" s="1012"/>
      <c r="L836" s="1013"/>
      <c r="M836" s="1013"/>
      <c r="N836" s="1014" t="str">
        <f>+N828+N805+N789+N777+N771+N765+N760+N750+N744+N736</f>
        <v>#REF!</v>
      </c>
      <c r="O836" s="590"/>
      <c r="P836" s="939" t="str">
        <f>IFERROR(__xludf.DUMMYFUNCTION("IF(Q836="""","""",
   IF(Q836=0,0,
      IF(ISNUMBER(MATCH(Q836,FILTER(R$770:R$890,T$770:T$890&lt;&gt;0),0)),1,0)
   )
)"),"")</f>
        <v/>
      </c>
      <c r="Q836" s="941"/>
      <c r="R836" s="942" t="s">
        <v>484</v>
      </c>
      <c r="S836" s="930" t="s">
        <v>52</v>
      </c>
      <c r="T836" s="488">
        <f t="shared" si="572"/>
        <v>14.00274469</v>
      </c>
      <c r="U836" s="489">
        <f t="shared" si="551"/>
        <v>4</v>
      </c>
      <c r="V836" s="490" t="str">
        <f t="shared" si="552"/>
        <v>#REF!</v>
      </c>
      <c r="W836" s="491">
        <f>(5/1)*$X$755</f>
        <v>20</v>
      </c>
      <c r="X836" s="489">
        <f t="shared" si="713"/>
        <v>160</v>
      </c>
      <c r="Y836" s="492">
        <f t="shared" si="714"/>
        <v>0.09</v>
      </c>
      <c r="Z836" s="493" t="str">
        <f t="shared" si="715"/>
        <v>#REF!</v>
      </c>
      <c r="AA836" s="931" t="str">
        <f t="shared" si="716"/>
        <v/>
      </c>
      <c r="AB836" s="925" t="str">
        <f t="shared" si="565"/>
        <v/>
      </c>
      <c r="AC836" s="595"/>
      <c r="AD836" s="594"/>
      <c r="AE836" s="595"/>
      <c r="AF836" s="584"/>
      <c r="AG836" s="354"/>
      <c r="AH836" s="595"/>
      <c r="AI836" s="443"/>
      <c r="AJ836" s="595"/>
      <c r="AK836" s="595"/>
      <c r="AL836" s="595"/>
      <c r="AM836" s="595"/>
      <c r="AN836" s="595"/>
      <c r="AO836" s="584"/>
      <c r="AP836" s="595"/>
      <c r="AQ836" s="595"/>
      <c r="AR836" s="595"/>
      <c r="AS836" s="595"/>
      <c r="AT836" s="595"/>
      <c r="AU836" s="595"/>
      <c r="AV836" s="595"/>
      <c r="AW836" s="595"/>
      <c r="AX836" s="595"/>
      <c r="AY836" s="595"/>
      <c r="AZ836" s="595"/>
      <c r="BA836" s="595"/>
      <c r="BB836" s="595"/>
      <c r="BC836" s="595"/>
      <c r="BD836" s="595"/>
      <c r="BE836" s="595"/>
      <c r="BF836" s="595"/>
      <c r="BG836" s="595"/>
      <c r="BH836" s="595"/>
      <c r="BI836" s="595"/>
      <c r="BJ836" s="595"/>
      <c r="BK836" s="595"/>
      <c r="BL836" s="595"/>
      <c r="BM836" s="595"/>
      <c r="BN836" s="595"/>
      <c r="BO836" s="651"/>
      <c r="BP836" s="651"/>
      <c r="BQ836" s="651"/>
      <c r="BR836" s="651"/>
      <c r="BS836" s="651"/>
      <c r="BT836" s="651"/>
    </row>
    <row r="837">
      <c r="A837" s="583"/>
      <c r="B837" s="584"/>
      <c r="C837" s="443"/>
      <c r="D837" s="443"/>
      <c r="E837" s="585"/>
      <c r="F837" s="349"/>
      <c r="G837" s="985"/>
      <c r="H837" s="443"/>
      <c r="I837" s="595"/>
      <c r="J837" s="584"/>
      <c r="K837" s="354"/>
      <c r="L837" s="588"/>
      <c r="M837" s="588"/>
      <c r="N837" s="589"/>
      <c r="O837" s="590"/>
      <c r="P837" s="939" t="str">
        <f>IFERROR(__xludf.DUMMYFUNCTION("IF(Q837="""","""",
   IF(Q837=0,0,
      IF(ISNUMBER(MATCH(Q837,FILTER(R$770:R$890,T$770:T$890&lt;&gt;0),0)),1,0)
   )
)"),"")</f>
        <v/>
      </c>
      <c r="Q837" s="941"/>
      <c r="R837" s="929" t="s">
        <v>40</v>
      </c>
      <c r="S837" s="930" t="s">
        <v>41</v>
      </c>
      <c r="T837" s="488" t="str">
        <f t="shared" si="572"/>
        <v>#REF!</v>
      </c>
      <c r="U837" s="489">
        <f t="shared" si="551"/>
        <v>4</v>
      </c>
      <c r="V837" s="490" t="str">
        <f t="shared" si="552"/>
        <v>#REF!</v>
      </c>
      <c r="W837" s="491">
        <f>(30/4)*$X$755</f>
        <v>30</v>
      </c>
      <c r="X837" s="489">
        <f t="shared" si="713"/>
        <v>240</v>
      </c>
      <c r="Y837" s="492" t="str">
        <f t="shared" si="714"/>
        <v>#REF!</v>
      </c>
      <c r="Z837" s="493" t="str">
        <f t="shared" si="715"/>
        <v>#REF!</v>
      </c>
      <c r="AA837" s="931" t="str">
        <f t="shared" si="716"/>
        <v/>
      </c>
      <c r="AB837" s="925" t="str">
        <f t="shared" si="565"/>
        <v/>
      </c>
      <c r="AC837" s="595"/>
      <c r="AD837" s="594"/>
      <c r="AE837" s="595"/>
      <c r="AF837" s="584"/>
      <c r="AG837" s="354"/>
      <c r="AH837" s="595"/>
      <c r="AI837" s="443"/>
      <c r="AJ837" s="595"/>
      <c r="AK837" s="595"/>
      <c r="AL837" s="595"/>
      <c r="AM837" s="595"/>
      <c r="AN837" s="595"/>
      <c r="AO837" s="584"/>
      <c r="AP837" s="595"/>
      <c r="AQ837" s="595"/>
      <c r="AR837" s="595"/>
      <c r="AS837" s="595"/>
      <c r="AT837" s="595"/>
      <c r="AU837" s="595"/>
      <c r="AV837" s="595"/>
      <c r="AW837" s="595"/>
      <c r="AX837" s="595"/>
      <c r="AY837" s="595"/>
      <c r="AZ837" s="595"/>
      <c r="BA837" s="595"/>
      <c r="BB837" s="595"/>
      <c r="BC837" s="595"/>
      <c r="BD837" s="595"/>
      <c r="BE837" s="595"/>
      <c r="BF837" s="595"/>
      <c r="BG837" s="595"/>
      <c r="BH837" s="595"/>
      <c r="BI837" s="595"/>
      <c r="BJ837" s="595"/>
      <c r="BK837" s="595"/>
      <c r="BL837" s="595"/>
      <c r="BM837" s="595"/>
      <c r="BN837" s="595"/>
      <c r="BO837" s="651"/>
      <c r="BP837" s="651"/>
      <c r="BQ837" s="651"/>
      <c r="BR837" s="651"/>
      <c r="BS837" s="651"/>
      <c r="BT837" s="651"/>
    </row>
    <row r="838">
      <c r="A838" s="583"/>
      <c r="B838" s="584"/>
      <c r="C838" s="700"/>
      <c r="D838" s="700"/>
      <c r="E838" s="722"/>
      <c r="F838" s="128"/>
      <c r="G838" s="225"/>
      <c r="H838" s="700"/>
      <c r="I838" s="534" t="s">
        <v>175</v>
      </c>
      <c r="J838" s="1015"/>
      <c r="K838" s="1016"/>
      <c r="L838" s="588"/>
      <c r="M838" s="588"/>
      <c r="N838" s="589"/>
      <c r="O838" s="590"/>
      <c r="P838" s="939" t="str">
        <f>IFERROR(__xludf.DUMMYFUNCTION("IF(Q838="""","""",
   IF(Q838=0,0,
      IF(ISNUMBER(MATCH(Q838,FILTER(R$770:R$890,T$770:T$890&lt;&gt;0),0)),1,0)
   )
)"),"")</f>
        <v/>
      </c>
      <c r="Q838" s="941"/>
      <c r="R838" s="929" t="s">
        <v>99</v>
      </c>
      <c r="S838" s="930" t="s">
        <v>52</v>
      </c>
      <c r="T838" s="488">
        <f t="shared" si="572"/>
        <v>43.64423738</v>
      </c>
      <c r="U838" s="489">
        <f t="shared" si="551"/>
        <v>4</v>
      </c>
      <c r="V838" s="487" t="str">
        <f t="shared" si="552"/>
        <v>#REF!</v>
      </c>
      <c r="W838" s="1017"/>
      <c r="X838" s="489"/>
      <c r="Y838" s="489"/>
      <c r="Z838" s="1018"/>
      <c r="AA838" s="931"/>
      <c r="AB838" s="925" t="str">
        <f t="shared" si="565"/>
        <v/>
      </c>
      <c r="AC838" s="947">
        <f>T838+AH799</f>
        <v>51.78798738</v>
      </c>
      <c r="AD838" s="595"/>
      <c r="AE838" s="595"/>
      <c r="AF838" s="595"/>
      <c r="AG838" s="354"/>
      <c r="AH838" s="443"/>
      <c r="AI838" s="595"/>
      <c r="AJ838" s="595"/>
      <c r="AK838" s="595"/>
      <c r="AL838" s="595"/>
      <c r="AM838" s="595"/>
      <c r="AN838" s="584"/>
      <c r="AO838" s="595"/>
      <c r="AP838" s="595"/>
      <c r="AQ838" s="595"/>
      <c r="AR838" s="595"/>
      <c r="AS838" s="595"/>
      <c r="AT838" s="595"/>
      <c r="AU838" s="595"/>
      <c r="AV838" s="595"/>
      <c r="AW838" s="595"/>
      <c r="AX838" s="595"/>
      <c r="AY838" s="595"/>
      <c r="AZ838" s="595"/>
      <c r="BA838" s="595"/>
      <c r="BB838" s="595"/>
      <c r="BC838" s="595"/>
      <c r="BD838" s="595"/>
      <c r="BE838" s="595"/>
      <c r="BF838" s="595"/>
      <c r="BG838" s="595"/>
      <c r="BH838" s="595"/>
      <c r="BI838" s="595"/>
      <c r="BJ838" s="595"/>
      <c r="BK838" s="595"/>
      <c r="BL838" s="595"/>
      <c r="BM838" s="595"/>
      <c r="BN838" s="595"/>
      <c r="BO838" s="651"/>
      <c r="BP838" s="651"/>
      <c r="BQ838" s="651"/>
      <c r="BR838" s="651"/>
      <c r="BS838" s="651"/>
      <c r="BT838" s="651"/>
    </row>
    <row r="839">
      <c r="A839" s="583"/>
      <c r="B839" s="584"/>
      <c r="C839" s="537" t="s">
        <v>289</v>
      </c>
      <c r="D839" s="700"/>
      <c r="E839" s="722"/>
      <c r="F839" s="128"/>
      <c r="G839" s="225"/>
      <c r="H839" s="700"/>
      <c r="I839" s="1019"/>
      <c r="J839" s="924"/>
      <c r="K839" s="1020"/>
      <c r="L839" s="588"/>
      <c r="M839" s="588"/>
      <c r="N839" s="589"/>
      <c r="O839" s="590"/>
      <c r="P839" s="939" t="str">
        <f>IFERROR(__xludf.DUMMYFUNCTION("IF(Q839="""","""",
   IF(Q839=0,0,
      IF(ISNUMBER(MATCH(Q839,FILTER(R$770:R$890,T$770:T$890&lt;&gt;0),0)),1,0)
   )
)"),"")</f>
        <v/>
      </c>
      <c r="Q839" s="941"/>
      <c r="R839" s="929" t="s">
        <v>398</v>
      </c>
      <c r="S839" s="930" t="s">
        <v>52</v>
      </c>
      <c r="T839" s="488">
        <f t="shared" si="572"/>
        <v>0</v>
      </c>
      <c r="U839" s="489">
        <f t="shared" si="551"/>
        <v>4</v>
      </c>
      <c r="V839" s="490" t="str">
        <f t="shared" si="552"/>
        <v>#REF!</v>
      </c>
      <c r="W839" s="491"/>
      <c r="X839" s="489"/>
      <c r="Y839" s="492"/>
      <c r="Z839" s="493"/>
      <c r="AA839" s="931"/>
      <c r="AB839" s="925" t="str">
        <f t="shared" si="565"/>
        <v/>
      </c>
      <c r="AC839" s="595"/>
      <c r="AD839" s="594"/>
      <c r="AE839" s="1021"/>
      <c r="AF839" s="595"/>
      <c r="AG839" s="354"/>
      <c r="AH839" s="443"/>
      <c r="AI839" s="595"/>
      <c r="AJ839" s="595"/>
      <c r="AK839" s="595"/>
      <c r="AL839" s="595"/>
      <c r="AM839" s="595"/>
      <c r="AN839" s="584"/>
      <c r="AO839" s="595"/>
      <c r="AP839" s="595"/>
      <c r="AQ839" s="595"/>
      <c r="AR839" s="595"/>
      <c r="AS839" s="595"/>
      <c r="AT839" s="595"/>
      <c r="AU839" s="595"/>
      <c r="AV839" s="595"/>
      <c r="AW839" s="595"/>
      <c r="AX839" s="595"/>
      <c r="AY839" s="595"/>
      <c r="AZ839" s="595"/>
      <c r="BA839" s="595"/>
      <c r="BB839" s="595"/>
      <c r="BC839" s="595"/>
      <c r="BD839" s="595"/>
      <c r="BE839" s="595"/>
      <c r="BF839" s="595"/>
      <c r="BG839" s="595"/>
      <c r="BH839" s="595"/>
      <c r="BI839" s="595"/>
      <c r="BJ839" s="595"/>
      <c r="BK839" s="595"/>
      <c r="BL839" s="595"/>
      <c r="BM839" s="595"/>
      <c r="BN839" s="595"/>
      <c r="BO839" s="651"/>
      <c r="BP839" s="651"/>
      <c r="BQ839" s="651"/>
      <c r="BR839" s="651"/>
      <c r="BS839" s="651"/>
      <c r="BT839" s="651"/>
    </row>
    <row r="840">
      <c r="A840" s="583"/>
      <c r="B840" s="584"/>
      <c r="C840" s="540" t="s">
        <v>290</v>
      </c>
      <c r="D840" s="700"/>
      <c r="E840" s="722"/>
      <c r="F840" s="128"/>
      <c r="G840" s="225"/>
      <c r="H840" s="700"/>
      <c r="I840" s="541" t="str">
        <f>+T743</f>
        <v>#REF!</v>
      </c>
      <c r="J840" s="924"/>
      <c r="K840" s="1020"/>
      <c r="L840" s="375" t="str">
        <f>I840/I842</f>
        <v>#REF!</v>
      </c>
      <c r="M840" s="588"/>
      <c r="N840" s="589"/>
      <c r="O840" s="590"/>
      <c r="P840" s="939" t="str">
        <f>IFERROR(__xludf.DUMMYFUNCTION("IF(Q840="""","""",
   IF(Q840=0,0,
      IF(ISNUMBER(MATCH(Q840,FILTER(R$770:R$890,T$770:T$890&lt;&gt;0),0)),1,0)
   )
)"),"")</f>
        <v/>
      </c>
      <c r="Q840" s="941"/>
      <c r="R840" s="942" t="s">
        <v>610</v>
      </c>
      <c r="S840" s="930" t="s">
        <v>52</v>
      </c>
      <c r="T840" s="488">
        <f t="shared" si="572"/>
        <v>0</v>
      </c>
      <c r="U840" s="489">
        <f t="shared" si="551"/>
        <v>4</v>
      </c>
      <c r="V840" s="490" t="str">
        <f t="shared" si="552"/>
        <v>#REF!</v>
      </c>
      <c r="W840" s="491">
        <f>(0.1/2)*$X$755</f>
        <v>0.2</v>
      </c>
      <c r="X840" s="489">
        <f t="shared" ref="X840:X843" si="717">W840*W$765</f>
        <v>1.6</v>
      </c>
      <c r="Y840" s="492">
        <f t="shared" ref="Y840:Y843" si="718">ROUNDUP(T840/X840,2)</f>
        <v>0</v>
      </c>
      <c r="Z840" s="493" t="str">
        <f t="shared" ref="Z840:Z843" si="719">Y840*V840*U840*W$765</f>
        <v>#REF!</v>
      </c>
      <c r="AA840" s="931" t="str">
        <f t="shared" ref="AA840:AA843" si="720">iferror(Z840/T840,"")</f>
        <v/>
      </c>
      <c r="AB840" s="925" t="str">
        <f t="shared" si="565"/>
        <v/>
      </c>
      <c r="AC840" s="595"/>
      <c r="AD840" s="594"/>
      <c r="AE840" s="595"/>
      <c r="AF840" s="595"/>
      <c r="AG840" s="354"/>
      <c r="AH840" s="443"/>
      <c r="AI840" s="595"/>
      <c r="AJ840" s="595"/>
      <c r="AK840" s="595"/>
      <c r="AL840" s="595"/>
      <c r="AM840" s="595"/>
      <c r="AN840" s="584"/>
      <c r="AO840" s="595"/>
      <c r="AP840" s="595"/>
      <c r="AQ840" s="595"/>
      <c r="AR840" s="595"/>
      <c r="AS840" s="595"/>
      <c r="AT840" s="595"/>
      <c r="AU840" s="595"/>
      <c r="AV840" s="595"/>
      <c r="AW840" s="595"/>
      <c r="AX840" s="595"/>
      <c r="AY840" s="595"/>
      <c r="AZ840" s="595"/>
      <c r="BA840" s="595"/>
      <c r="BB840" s="595"/>
      <c r="BC840" s="595"/>
      <c r="BD840" s="595"/>
      <c r="BE840" s="595"/>
      <c r="BF840" s="595"/>
      <c r="BG840" s="595"/>
      <c r="BH840" s="595"/>
      <c r="BI840" s="595"/>
      <c r="BJ840" s="595"/>
      <c r="BK840" s="595"/>
      <c r="BL840" s="595"/>
      <c r="BM840" s="595"/>
      <c r="BN840" s="595"/>
      <c r="BO840" s="651"/>
      <c r="BP840" s="651"/>
      <c r="BQ840" s="651"/>
      <c r="BR840" s="651"/>
      <c r="BS840" s="651"/>
      <c r="BT840" s="651"/>
    </row>
    <row r="841">
      <c r="A841" s="583"/>
      <c r="B841" s="584"/>
      <c r="C841" s="540" t="s">
        <v>185</v>
      </c>
      <c r="D841" s="700"/>
      <c r="E841" s="722"/>
      <c r="F841" s="128"/>
      <c r="G841" s="225"/>
      <c r="H841" s="700"/>
      <c r="I841" s="542" t="str">
        <f>+W743</f>
        <v>#REF!</v>
      </c>
      <c r="J841" s="924"/>
      <c r="K841" s="1020"/>
      <c r="L841" s="375" t="str">
        <f>I841/I842</f>
        <v>#REF!</v>
      </c>
      <c r="M841" s="588"/>
      <c r="N841" s="589"/>
      <c r="O841" s="590"/>
      <c r="P841" s="939" t="str">
        <f>IFERROR(__xludf.DUMMYFUNCTION("IF(Q841="""","""",
   IF(Q841=0,0,
      IF(ISNUMBER(MATCH(Q841,FILTER(R$770:R$890,T$770:T$890&lt;&gt;0),0)),1,0)
   )
)"),"")</f>
        <v/>
      </c>
      <c r="Q841" s="941"/>
      <c r="R841" s="929" t="s">
        <v>401</v>
      </c>
      <c r="S841" s="930" t="s">
        <v>52</v>
      </c>
      <c r="T841" s="488">
        <f t="shared" si="572"/>
        <v>0</v>
      </c>
      <c r="U841" s="489">
        <f t="shared" si="551"/>
        <v>4</v>
      </c>
      <c r="V841" s="490" t="str">
        <f t="shared" si="552"/>
        <v>#REF!</v>
      </c>
      <c r="W841" s="491">
        <f t="shared" ref="W841:W843" si="721">(10/1)*$X$755</f>
        <v>40</v>
      </c>
      <c r="X841" s="489">
        <f t="shared" si="717"/>
        <v>320</v>
      </c>
      <c r="Y841" s="492">
        <f t="shared" si="718"/>
        <v>0</v>
      </c>
      <c r="Z841" s="493" t="str">
        <f t="shared" si="719"/>
        <v>#REF!</v>
      </c>
      <c r="AA841" s="931" t="str">
        <f t="shared" si="720"/>
        <v/>
      </c>
      <c r="AB841" s="925" t="str">
        <f t="shared" si="565"/>
        <v/>
      </c>
      <c r="AC841" s="595"/>
      <c r="AD841" s="595"/>
      <c r="AE841" s="584"/>
      <c r="AF841" s="595"/>
      <c r="AG841" s="354"/>
      <c r="AH841" s="443"/>
      <c r="AI841" s="595"/>
      <c r="AJ841" s="595"/>
      <c r="AK841" s="595"/>
      <c r="AL841" s="595"/>
      <c r="AM841" s="595"/>
      <c r="AN841" s="584"/>
      <c r="AO841" s="595"/>
      <c r="AP841" s="595"/>
      <c r="AQ841" s="595"/>
      <c r="AR841" s="595"/>
      <c r="AS841" s="595"/>
      <c r="AT841" s="595"/>
      <c r="AU841" s="595"/>
      <c r="AV841" s="595"/>
      <c r="AW841" s="595"/>
      <c r="AX841" s="595"/>
      <c r="AY841" s="595"/>
      <c r="AZ841" s="595"/>
      <c r="BA841" s="595"/>
      <c r="BB841" s="595"/>
      <c r="BC841" s="595"/>
      <c r="BD841" s="595"/>
      <c r="BE841" s="595"/>
      <c r="BF841" s="595"/>
      <c r="BG841" s="595"/>
      <c r="BH841" s="595"/>
      <c r="BI841" s="595"/>
      <c r="BJ841" s="595"/>
      <c r="BK841" s="595"/>
      <c r="BL841" s="595"/>
      <c r="BM841" s="595"/>
      <c r="BN841" s="651"/>
      <c r="BO841" s="651"/>
      <c r="BP841" s="651"/>
      <c r="BQ841" s="651"/>
      <c r="BR841" s="651"/>
      <c r="BS841" s="651"/>
      <c r="BT841" s="651"/>
    </row>
    <row r="842">
      <c r="A842" s="583"/>
      <c r="B842" s="584"/>
      <c r="C842" s="543" t="s">
        <v>291</v>
      </c>
      <c r="D842" s="1022"/>
      <c r="E842" s="1023"/>
      <c r="F842" s="1024"/>
      <c r="G842" s="1025"/>
      <c r="H842" s="1022"/>
      <c r="I842" s="546" t="str">
        <f>SUM(I840:I841)</f>
        <v>#REF!</v>
      </c>
      <c r="J842" s="1026"/>
      <c r="K842" s="1027"/>
      <c r="L842" s="588"/>
      <c r="M842" s="588"/>
      <c r="N842" s="589"/>
      <c r="O842" s="590"/>
      <c r="P842" s="939" t="str">
        <f>IFERROR(__xludf.DUMMYFUNCTION("IF(Q842="""","""",
   IF(Q842=0,0,
      IF(ISNUMBER(MATCH(Q842,FILTER(R$770:R$890,T$770:T$890&lt;&gt;0),0)),1,0)
   )
)"),"")</f>
        <v/>
      </c>
      <c r="Q842" s="941"/>
      <c r="R842" s="929" t="s">
        <v>399</v>
      </c>
      <c r="S842" s="930" t="s">
        <v>52</v>
      </c>
      <c r="T842" s="488">
        <f t="shared" si="572"/>
        <v>0</v>
      </c>
      <c r="U842" s="489">
        <f t="shared" si="551"/>
        <v>4</v>
      </c>
      <c r="V842" s="490" t="str">
        <f t="shared" si="552"/>
        <v>#REF!</v>
      </c>
      <c r="W842" s="491">
        <f t="shared" si="721"/>
        <v>40</v>
      </c>
      <c r="X842" s="489">
        <f t="shared" si="717"/>
        <v>320</v>
      </c>
      <c r="Y842" s="492">
        <f t="shared" si="718"/>
        <v>0</v>
      </c>
      <c r="Z842" s="493" t="str">
        <f t="shared" si="719"/>
        <v>#REF!</v>
      </c>
      <c r="AA842" s="931" t="str">
        <f t="shared" si="720"/>
        <v/>
      </c>
      <c r="AB842" s="925" t="str">
        <f t="shared" si="565"/>
        <v/>
      </c>
      <c r="AC842" s="595"/>
      <c r="AD842" s="595"/>
      <c r="AE842" s="584"/>
      <c r="AF842" s="595"/>
      <c r="AG842" s="354"/>
      <c r="AH842" s="443"/>
      <c r="AI842" s="595"/>
      <c r="AJ842" s="595"/>
      <c r="AK842" s="595"/>
      <c r="AL842" s="595"/>
      <c r="AM842" s="595"/>
      <c r="AN842" s="584"/>
      <c r="AO842" s="595"/>
      <c r="AP842" s="595"/>
      <c r="AQ842" s="595"/>
      <c r="AR842" s="595"/>
      <c r="AS842" s="595"/>
      <c r="AT842" s="595"/>
      <c r="AU842" s="595"/>
      <c r="AV842" s="595"/>
      <c r="AW842" s="595"/>
      <c r="AX842" s="595"/>
      <c r="AY842" s="595"/>
      <c r="AZ842" s="595"/>
      <c r="BA842" s="595"/>
      <c r="BB842" s="595"/>
      <c r="BC842" s="595"/>
      <c r="BD842" s="595"/>
      <c r="BE842" s="595"/>
      <c r="BF842" s="595"/>
      <c r="BG842" s="595"/>
      <c r="BH842" s="595"/>
      <c r="BI842" s="595"/>
      <c r="BJ842" s="595"/>
      <c r="BK842" s="595"/>
      <c r="BL842" s="595"/>
      <c r="BM842" s="651"/>
      <c r="BN842" s="651"/>
      <c r="BO842" s="651"/>
      <c r="BP842" s="651"/>
      <c r="BQ842" s="651"/>
      <c r="BR842" s="651"/>
      <c r="BS842" s="651"/>
      <c r="BT842" s="651"/>
    </row>
    <row r="843">
      <c r="A843" s="583"/>
      <c r="B843" s="584"/>
      <c r="C843" s="584"/>
      <c r="D843" s="584"/>
      <c r="E843" s="585"/>
      <c r="F843" s="586"/>
      <c r="G843" s="587"/>
      <c r="H843" s="584"/>
      <c r="I843" s="584"/>
      <c r="J843" s="584"/>
      <c r="K843" s="586"/>
      <c r="L843" s="588"/>
      <c r="M843" s="588"/>
      <c r="N843" s="589"/>
      <c r="O843" s="590"/>
      <c r="P843" s="939" t="str">
        <f>IFERROR(__xludf.DUMMYFUNCTION("IF(Q843="""","""",
   IF(Q843=0,0,
      IF(ISNUMBER(MATCH(Q843,FILTER(R$770:R$890,T$770:T$890&lt;&gt;0),0)),1,0)
   )
)"),"")</f>
        <v/>
      </c>
      <c r="Q843" s="941"/>
      <c r="R843" s="929" t="s">
        <v>400</v>
      </c>
      <c r="S843" s="930" t="s">
        <v>52</v>
      </c>
      <c r="T843" s="488">
        <f t="shared" si="572"/>
        <v>0</v>
      </c>
      <c r="U843" s="489">
        <f t="shared" si="551"/>
        <v>4</v>
      </c>
      <c r="V843" s="490" t="str">
        <f t="shared" si="552"/>
        <v>#REF!</v>
      </c>
      <c r="W843" s="491">
        <f t="shared" si="721"/>
        <v>40</v>
      </c>
      <c r="X843" s="489">
        <f t="shared" si="717"/>
        <v>320</v>
      </c>
      <c r="Y843" s="492">
        <f t="shared" si="718"/>
        <v>0</v>
      </c>
      <c r="Z843" s="493" t="str">
        <f t="shared" si="719"/>
        <v>#REF!</v>
      </c>
      <c r="AA843" s="931" t="str">
        <f t="shared" si="720"/>
        <v/>
      </c>
      <c r="AB843" s="925" t="str">
        <f t="shared" si="565"/>
        <v/>
      </c>
      <c r="AC843" s="595"/>
      <c r="AD843" s="595"/>
      <c r="AE843" s="584"/>
      <c r="AF843" s="595"/>
      <c r="AG843" s="354"/>
      <c r="AH843" s="443"/>
      <c r="AI843" s="595"/>
      <c r="AJ843" s="595"/>
      <c r="AK843" s="595"/>
      <c r="AL843" s="595"/>
      <c r="AM843" s="595"/>
      <c r="AN843" s="584"/>
      <c r="AO843" s="595"/>
      <c r="AP843" s="595"/>
      <c r="AQ843" s="595"/>
      <c r="AR843" s="595"/>
      <c r="AS843" s="595"/>
      <c r="AT843" s="595"/>
      <c r="AU843" s="595"/>
      <c r="AV843" s="595"/>
      <c r="AW843" s="595"/>
      <c r="AX843" s="595"/>
      <c r="AY843" s="595"/>
      <c r="AZ843" s="595"/>
      <c r="BA843" s="595"/>
      <c r="BB843" s="595"/>
      <c r="BC843" s="595"/>
      <c r="BD843" s="595"/>
      <c r="BE843" s="595"/>
      <c r="BF843" s="595"/>
      <c r="BG843" s="595"/>
      <c r="BH843" s="595"/>
      <c r="BI843" s="595"/>
      <c r="BJ843" s="595"/>
      <c r="BK843" s="595"/>
      <c r="BL843" s="595"/>
      <c r="BM843" s="651"/>
      <c r="BN843" s="651"/>
      <c r="BO843" s="651"/>
      <c r="BP843" s="651"/>
      <c r="BQ843" s="651"/>
      <c r="BR843" s="651"/>
      <c r="BS843" s="651"/>
      <c r="BT843" s="651"/>
    </row>
    <row r="844">
      <c r="A844" s="583"/>
      <c r="B844" s="584"/>
      <c r="C844" s="537" t="s">
        <v>292</v>
      </c>
      <c r="D844" s="700"/>
      <c r="E844" s="722"/>
      <c r="F844" s="128"/>
      <c r="G844" s="225"/>
      <c r="H844" s="700"/>
      <c r="I844" s="1019"/>
      <c r="J844" s="924"/>
      <c r="K844" s="1020"/>
      <c r="L844" s="588"/>
      <c r="M844" s="588"/>
      <c r="N844" s="589"/>
      <c r="O844" s="590"/>
      <c r="P844" s="939" t="str">
        <f>IFERROR(__xludf.DUMMYFUNCTION("IF(Q844="""","""",
   IF(Q844=0,0,
      IF(ISNUMBER(MATCH(Q844,FILTER(R$770:R$890,T$770:T$890&lt;&gt;0),0)),1,0)
   )
)"),"")</f>
        <v/>
      </c>
      <c r="Q844" s="941"/>
      <c r="R844" s="942" t="s">
        <v>611</v>
      </c>
      <c r="S844" s="930" t="s">
        <v>55</v>
      </c>
      <c r="T844" s="488">
        <f t="shared" si="572"/>
        <v>0</v>
      </c>
      <c r="U844" s="489">
        <f t="shared" si="551"/>
        <v>4</v>
      </c>
      <c r="V844" s="490" t="str">
        <f t="shared" si="552"/>
        <v>#REF!</v>
      </c>
      <c r="W844" s="491"/>
      <c r="X844" s="489"/>
      <c r="Y844" s="492"/>
      <c r="Z844" s="493"/>
      <c r="AA844" s="931"/>
      <c r="AB844" s="925" t="str">
        <f t="shared" si="565"/>
        <v/>
      </c>
      <c r="AC844" s="595"/>
      <c r="AD844" s="595"/>
      <c r="AE844" s="584"/>
      <c r="AF844" s="595"/>
      <c r="AG844" s="354"/>
      <c r="AH844" s="443"/>
      <c r="AI844" s="595"/>
      <c r="AJ844" s="595"/>
      <c r="AK844" s="595"/>
      <c r="AL844" s="595"/>
      <c r="AM844" s="595"/>
      <c r="AN844" s="584"/>
      <c r="AO844" s="595"/>
      <c r="AP844" s="595"/>
      <c r="AQ844" s="595"/>
      <c r="AR844" s="595"/>
      <c r="AS844" s="595"/>
      <c r="AT844" s="595"/>
      <c r="AU844" s="595"/>
      <c r="AV844" s="595"/>
      <c r="AW844" s="595"/>
      <c r="AX844" s="595"/>
      <c r="AY844" s="595"/>
      <c r="AZ844" s="595"/>
      <c r="BA844" s="595"/>
      <c r="BB844" s="595"/>
      <c r="BC844" s="595"/>
      <c r="BD844" s="595"/>
      <c r="BE844" s="595"/>
      <c r="BF844" s="595"/>
      <c r="BG844" s="595"/>
      <c r="BH844" s="595"/>
      <c r="BI844" s="595"/>
      <c r="BJ844" s="595"/>
      <c r="BK844" s="595"/>
      <c r="BL844" s="595"/>
      <c r="BM844" s="651"/>
      <c r="BN844" s="651"/>
      <c r="BO844" s="651"/>
      <c r="BP844" s="651"/>
      <c r="BQ844" s="651"/>
      <c r="BR844" s="651"/>
      <c r="BS844" s="651"/>
      <c r="BT844" s="651"/>
    </row>
    <row r="845">
      <c r="A845" s="583"/>
      <c r="B845" s="584"/>
      <c r="C845" s="540" t="str">
        <f>C736</f>
        <v>Pre-mobilisation documents</v>
      </c>
      <c r="D845" s="700"/>
      <c r="E845" s="722"/>
      <c r="F845" s="128"/>
      <c r="G845" s="225"/>
      <c r="H845" s="700"/>
      <c r="I845" s="541">
        <f>N736</f>
        <v>0</v>
      </c>
      <c r="J845" s="924"/>
      <c r="K845" s="1020"/>
      <c r="L845" s="588"/>
      <c r="M845" s="588"/>
      <c r="N845" s="589"/>
      <c r="O845" s="590"/>
      <c r="P845" s="939" t="str">
        <f>IFERROR(__xludf.DUMMYFUNCTION("IF(Q845="""","""",
   IF(Q845=0,0,
      IF(ISNUMBER(MATCH(Q845,FILTER(R$770:R$890,T$770:T$890&lt;&gt;0),0)),1,0)
   )
)"),"")</f>
        <v/>
      </c>
      <c r="Q845" s="941"/>
      <c r="R845" s="929" t="s">
        <v>404</v>
      </c>
      <c r="S845" s="930" t="s">
        <v>55</v>
      </c>
      <c r="T845" s="488">
        <f t="shared" si="572"/>
        <v>0</v>
      </c>
      <c r="U845" s="489">
        <f t="shared" si="551"/>
        <v>4</v>
      </c>
      <c r="V845" s="490" t="str">
        <f t="shared" si="552"/>
        <v>#REF!</v>
      </c>
      <c r="W845" s="491">
        <f>(5/1)*$X$755</f>
        <v>20</v>
      </c>
      <c r="X845" s="489">
        <f t="shared" ref="X845:X846" si="722">W845*W$765</f>
        <v>160</v>
      </c>
      <c r="Y845" s="492">
        <f t="shared" ref="Y845:Y846" si="723">ROUNDUP(T845/X845,2)</f>
        <v>0</v>
      </c>
      <c r="Z845" s="493" t="str">
        <f t="shared" ref="Z845:Z846" si="724">Y845*V845*U845*W$765</f>
        <v>#REF!</v>
      </c>
      <c r="AA845" s="931" t="str">
        <f t="shared" ref="AA845:AA846" si="725">iferror(Z845/T845,"")</f>
        <v/>
      </c>
      <c r="AB845" s="925" t="str">
        <f t="shared" si="565"/>
        <v/>
      </c>
      <c r="AC845" s="595"/>
      <c r="AD845" s="595"/>
      <c r="AE845" s="584"/>
      <c r="AF845" s="595"/>
      <c r="AG845" s="354"/>
      <c r="AH845" s="443"/>
      <c r="AI845" s="595"/>
      <c r="AJ845" s="595"/>
      <c r="AK845" s="595"/>
      <c r="AL845" s="595"/>
      <c r="AM845" s="595"/>
      <c r="AN845" s="584"/>
      <c r="AO845" s="595"/>
      <c r="AP845" s="595"/>
      <c r="AQ845" s="595"/>
      <c r="AR845" s="595"/>
      <c r="AS845" s="595"/>
      <c r="AT845" s="595"/>
      <c r="AU845" s="595"/>
      <c r="AV845" s="595"/>
      <c r="AW845" s="595"/>
      <c r="AX845" s="595"/>
      <c r="AY845" s="595"/>
      <c r="AZ845" s="595"/>
      <c r="BA845" s="595"/>
      <c r="BB845" s="595"/>
      <c r="BC845" s="595"/>
      <c r="BD845" s="595"/>
      <c r="BE845" s="595"/>
      <c r="BF845" s="595"/>
      <c r="BG845" s="595"/>
      <c r="BH845" s="595"/>
      <c r="BI845" s="595"/>
      <c r="BJ845" s="595"/>
      <c r="BK845" s="595"/>
      <c r="BL845" s="595"/>
      <c r="BM845" s="651"/>
      <c r="BN845" s="651"/>
      <c r="BO845" s="651"/>
      <c r="BP845" s="651"/>
      <c r="BQ845" s="651"/>
      <c r="BR845" s="651"/>
      <c r="BS845" s="651"/>
      <c r="BT845" s="651"/>
    </row>
    <row r="846">
      <c r="A846" s="583"/>
      <c r="B846" s="584"/>
      <c r="C846" s="540" t="str">
        <f>C744</f>
        <v>Site Measure &amp; Order Materials</v>
      </c>
      <c r="D846" s="700"/>
      <c r="E846" s="722"/>
      <c r="F846" s="128"/>
      <c r="G846" s="225"/>
      <c r="H846" s="700"/>
      <c r="I846" s="541" t="str">
        <f>N744</f>
        <v>#REF!</v>
      </c>
      <c r="J846" s="924"/>
      <c r="K846" s="1020"/>
      <c r="L846" s="588"/>
      <c r="M846" s="588"/>
      <c r="N846" s="589"/>
      <c r="O846" s="590"/>
      <c r="P846" s="939" t="str">
        <f>IFERROR(__xludf.DUMMYFUNCTION("IF(Q846="""","""",
   IF(Q846=0,0,
      IF(ISNUMBER(MATCH(Q846,FILTER(R$770:R$890,T$770:T$890&lt;&gt;0),0)),1,0)
   )
)"),"")</f>
        <v/>
      </c>
      <c r="Q846" s="941"/>
      <c r="R846" s="929" t="s">
        <v>405</v>
      </c>
      <c r="S846" s="930" t="s">
        <v>41</v>
      </c>
      <c r="T846" s="488">
        <f t="shared" si="572"/>
        <v>0</v>
      </c>
      <c r="U846" s="489">
        <f t="shared" si="551"/>
        <v>4</v>
      </c>
      <c r="V846" s="490" t="str">
        <f t="shared" si="552"/>
        <v>#REF!</v>
      </c>
      <c r="W846" s="491">
        <f>(10/1)*$X$755</f>
        <v>40</v>
      </c>
      <c r="X846" s="489">
        <f t="shared" si="722"/>
        <v>320</v>
      </c>
      <c r="Y846" s="492">
        <f t="shared" si="723"/>
        <v>0</v>
      </c>
      <c r="Z846" s="493" t="str">
        <f t="shared" si="724"/>
        <v>#REF!</v>
      </c>
      <c r="AA846" s="931" t="str">
        <f t="shared" si="725"/>
        <v/>
      </c>
      <c r="AB846" s="925" t="str">
        <f t="shared" si="565"/>
        <v/>
      </c>
      <c r="AC846" s="595"/>
      <c r="AD846" s="595"/>
      <c r="AE846" s="584"/>
      <c r="AF846" s="595"/>
      <c r="AG846" s="354"/>
      <c r="AH846" s="443"/>
      <c r="AI846" s="595"/>
      <c r="AJ846" s="595"/>
      <c r="AK846" s="595"/>
      <c r="AL846" s="595"/>
      <c r="AM846" s="595"/>
      <c r="AN846" s="584"/>
      <c r="AO846" s="595"/>
      <c r="AP846" s="595"/>
      <c r="AQ846" s="595"/>
      <c r="AR846" s="595"/>
      <c r="AS846" s="595"/>
      <c r="AT846" s="595"/>
      <c r="AU846" s="595"/>
      <c r="AV846" s="595"/>
      <c r="AW846" s="595"/>
      <c r="AX846" s="595"/>
      <c r="AY846" s="595"/>
      <c r="AZ846" s="595"/>
      <c r="BA846" s="595"/>
      <c r="BB846" s="595"/>
      <c r="BC846" s="595"/>
      <c r="BD846" s="595"/>
      <c r="BE846" s="595"/>
      <c r="BF846" s="595"/>
      <c r="BG846" s="595"/>
      <c r="BH846" s="595"/>
      <c r="BI846" s="595"/>
      <c r="BJ846" s="595"/>
      <c r="BK846" s="595"/>
      <c r="BL846" s="595"/>
      <c r="BM846" s="651"/>
      <c r="BN846" s="651"/>
      <c r="BO846" s="651"/>
      <c r="BP846" s="651"/>
      <c r="BQ846" s="651"/>
      <c r="BR846" s="651"/>
      <c r="BS846" s="651"/>
      <c r="BT846" s="651"/>
    </row>
    <row r="847">
      <c r="A847" s="583"/>
      <c r="B847" s="584"/>
      <c r="C847" s="540" t="str">
        <f>C750</f>
        <v>Freight materials to site</v>
      </c>
      <c r="D847" s="700"/>
      <c r="E847" s="722"/>
      <c r="F847" s="128"/>
      <c r="G847" s="225"/>
      <c r="H847" s="700"/>
      <c r="I847" s="541">
        <f>N750</f>
        <v>1800</v>
      </c>
      <c r="J847" s="924"/>
      <c r="K847" s="1020"/>
      <c r="L847" s="588"/>
      <c r="M847" s="588"/>
      <c r="N847" s="589"/>
      <c r="O847" s="590"/>
      <c r="P847" s="939" t="str">
        <f>IFERROR(__xludf.DUMMYFUNCTION("IF(Q847="""","""",
   IF(Q847=0,0,
      IF(ISNUMBER(MATCH(Q847,FILTER(R$770:R$890,T$770:T$890&lt;&gt;0),0)),1,0)
   )
)"),"")</f>
        <v/>
      </c>
      <c r="Q847" s="941"/>
      <c r="R847" s="929" t="s">
        <v>406</v>
      </c>
      <c r="S847" s="930" t="s">
        <v>52</v>
      </c>
      <c r="T847" s="488">
        <f t="shared" si="572"/>
        <v>0</v>
      </c>
      <c r="U847" s="489">
        <f t="shared" si="551"/>
        <v>4</v>
      </c>
      <c r="V847" s="490" t="str">
        <f t="shared" si="552"/>
        <v>#REF!</v>
      </c>
      <c r="W847" s="491"/>
      <c r="X847" s="489"/>
      <c r="Y847" s="492"/>
      <c r="Z847" s="493"/>
      <c r="AA847" s="931"/>
      <c r="AB847" s="925" t="str">
        <f t="shared" si="565"/>
        <v/>
      </c>
      <c r="AC847" s="595"/>
      <c r="AD847" s="595"/>
      <c r="AE847" s="584"/>
      <c r="AF847" s="595"/>
      <c r="AG847" s="354"/>
      <c r="AH847" s="443"/>
      <c r="AI847" s="595"/>
      <c r="AJ847" s="595"/>
      <c r="AK847" s="595"/>
      <c r="AL847" s="595"/>
      <c r="AM847" s="595"/>
      <c r="AN847" s="584"/>
      <c r="AO847" s="595"/>
      <c r="AP847" s="595"/>
      <c r="AQ847" s="595"/>
      <c r="AR847" s="595"/>
      <c r="AS847" s="595"/>
      <c r="AT847" s="595"/>
      <c r="AU847" s="595"/>
      <c r="AV847" s="595"/>
      <c r="AW847" s="595"/>
      <c r="AX847" s="595"/>
      <c r="AY847" s="595"/>
      <c r="AZ847" s="595"/>
      <c r="BA847" s="595"/>
      <c r="BB847" s="595"/>
      <c r="BC847" s="595"/>
      <c r="BD847" s="595"/>
      <c r="BE847" s="595"/>
      <c r="BF847" s="595"/>
      <c r="BG847" s="595"/>
      <c r="BH847" s="595"/>
      <c r="BI847" s="595"/>
      <c r="BJ847" s="595"/>
      <c r="BK847" s="595"/>
      <c r="BL847" s="595"/>
      <c r="BM847" s="651"/>
      <c r="BN847" s="651"/>
      <c r="BO847" s="651"/>
      <c r="BP847" s="651"/>
      <c r="BQ847" s="651"/>
      <c r="BR847" s="651"/>
      <c r="BS847" s="651"/>
      <c r="BT847" s="651"/>
    </row>
    <row r="848">
      <c r="A848" s="583"/>
      <c r="B848" s="584"/>
      <c r="C848" s="540" t="str">
        <f>C760</f>
        <v>Samples, warranties, maintenance manuals</v>
      </c>
      <c r="D848" s="700"/>
      <c r="E848" s="722"/>
      <c r="F848" s="128"/>
      <c r="G848" s="225"/>
      <c r="H848" s="700"/>
      <c r="I848" s="541">
        <f>N760</f>
        <v>0</v>
      </c>
      <c r="J848" s="924"/>
      <c r="K848" s="1020"/>
      <c r="L848" s="588"/>
      <c r="M848" s="588"/>
      <c r="N848" s="589"/>
      <c r="O848" s="590"/>
      <c r="P848" s="939" t="str">
        <f>IFERROR(__xludf.DUMMYFUNCTION("IF(Q848="""","""",
   IF(Q848=0,0,
      IF(ISNUMBER(MATCH(Q848,FILTER(R$770:R$890,T$770:T$890&lt;&gt;0),0)),1,0)
   )
)"),"")</f>
        <v/>
      </c>
      <c r="Q848" s="941"/>
      <c r="R848" s="929" t="s">
        <v>407</v>
      </c>
      <c r="S848" s="930" t="s">
        <v>52</v>
      </c>
      <c r="T848" s="488">
        <f t="shared" si="572"/>
        <v>0</v>
      </c>
      <c r="U848" s="489">
        <f t="shared" si="551"/>
        <v>4</v>
      </c>
      <c r="V848" s="490" t="str">
        <f t="shared" si="552"/>
        <v>#REF!</v>
      </c>
      <c r="W848" s="491"/>
      <c r="X848" s="489"/>
      <c r="Y848" s="492"/>
      <c r="Z848" s="493"/>
      <c r="AA848" s="931"/>
      <c r="AB848" s="925" t="str">
        <f t="shared" si="565"/>
        <v/>
      </c>
      <c r="AC848" s="595"/>
      <c r="AD848" s="595"/>
      <c r="AE848" s="584"/>
      <c r="AF848" s="595"/>
      <c r="AG848" s="354"/>
      <c r="AH848" s="443"/>
      <c r="AI848" s="595"/>
      <c r="AJ848" s="595"/>
      <c r="AK848" s="595"/>
      <c r="AL848" s="595"/>
      <c r="AM848" s="595"/>
      <c r="AN848" s="584"/>
      <c r="AO848" s="595"/>
      <c r="AP848" s="595"/>
      <c r="AQ848" s="595"/>
      <c r="AR848" s="595"/>
      <c r="AS848" s="595"/>
      <c r="AT848" s="595"/>
      <c r="AU848" s="595"/>
      <c r="AV848" s="595"/>
      <c r="AW848" s="595"/>
      <c r="AX848" s="595"/>
      <c r="AY848" s="595"/>
      <c r="AZ848" s="595"/>
      <c r="BA848" s="595"/>
      <c r="BB848" s="595"/>
      <c r="BC848" s="595"/>
      <c r="BD848" s="595"/>
      <c r="BE848" s="595"/>
      <c r="BF848" s="595"/>
      <c r="BG848" s="595"/>
      <c r="BH848" s="595"/>
      <c r="BI848" s="595"/>
      <c r="BJ848" s="595"/>
      <c r="BK848" s="595"/>
      <c r="BL848" s="595"/>
      <c r="BM848" s="651"/>
      <c r="BN848" s="651"/>
      <c r="BO848" s="651"/>
      <c r="BP848" s="651"/>
      <c r="BQ848" s="651"/>
      <c r="BR848" s="651"/>
      <c r="BS848" s="651"/>
      <c r="BT848" s="651"/>
    </row>
    <row r="849">
      <c r="A849" s="583"/>
      <c r="B849" s="584"/>
      <c r="C849" s="540" t="str">
        <f>C765</f>
        <v>Site IndUCtions, PPE and safety meetings</v>
      </c>
      <c r="D849" s="700"/>
      <c r="E849" s="722"/>
      <c r="F849" s="128"/>
      <c r="G849" s="225"/>
      <c r="H849" s="700"/>
      <c r="I849" s="541">
        <f>N765</f>
        <v>0</v>
      </c>
      <c r="J849" s="924"/>
      <c r="K849" s="1020"/>
      <c r="L849" s="588"/>
      <c r="M849" s="588"/>
      <c r="N849" s="589"/>
      <c r="O849" s="590"/>
      <c r="P849" s="939" t="str">
        <f>IFERROR(__xludf.DUMMYFUNCTION("IF(Q849="""","""",
   IF(Q849=0,0,
      IF(ISNUMBER(MATCH(Q849,FILTER(R$770:R$890,T$770:T$890&lt;&gt;0),0)),1,0)
   )
)"),"")</f>
        <v/>
      </c>
      <c r="Q849" s="941"/>
      <c r="R849" s="929" t="s">
        <v>408</v>
      </c>
      <c r="S849" s="930" t="s">
        <v>55</v>
      </c>
      <c r="T849" s="488">
        <f t="shared" si="572"/>
        <v>0</v>
      </c>
      <c r="U849" s="489">
        <f t="shared" si="551"/>
        <v>4</v>
      </c>
      <c r="V849" s="490" t="str">
        <f t="shared" si="552"/>
        <v>#REF!</v>
      </c>
      <c r="W849" s="491">
        <f>(10/1)*$X$755</f>
        <v>40</v>
      </c>
      <c r="X849" s="489">
        <f t="shared" ref="X849:X864" si="726">W849*W$765</f>
        <v>320</v>
      </c>
      <c r="Y849" s="492">
        <f t="shared" ref="Y849:Y851" si="727">ROUNDUP(T849/X849,2)</f>
        <v>0</v>
      </c>
      <c r="Z849" s="493" t="str">
        <f t="shared" ref="Z849:Z864" si="728">Y849*V849*U849*W$765</f>
        <v>#REF!</v>
      </c>
      <c r="AA849" s="931" t="str">
        <f t="shared" ref="AA849:AA858" si="729">iferror(Z849/T849,"")</f>
        <v/>
      </c>
      <c r="AB849" s="925" t="str">
        <f t="shared" si="565"/>
        <v/>
      </c>
      <c r="AC849" s="595"/>
      <c r="AD849" s="595"/>
      <c r="AE849" s="584"/>
      <c r="AF849" s="595"/>
      <c r="AG849" s="354"/>
      <c r="AH849" s="443"/>
      <c r="AI849" s="595"/>
      <c r="AJ849" s="595"/>
      <c r="AK849" s="595"/>
      <c r="AL849" s="595"/>
      <c r="AM849" s="595"/>
      <c r="AN849" s="584"/>
      <c r="AO849" s="595"/>
      <c r="AP849" s="595"/>
      <c r="AQ849" s="595"/>
      <c r="AR849" s="595"/>
      <c r="AS849" s="595"/>
      <c r="AT849" s="595"/>
      <c r="AU849" s="595"/>
      <c r="AV849" s="595"/>
      <c r="AW849" s="595"/>
      <c r="AX849" s="595"/>
      <c r="AY849" s="595"/>
      <c r="AZ849" s="595"/>
      <c r="BA849" s="595"/>
      <c r="BB849" s="595"/>
      <c r="BC849" s="595"/>
      <c r="BD849" s="595"/>
      <c r="BE849" s="595"/>
      <c r="BF849" s="595"/>
      <c r="BG849" s="595"/>
      <c r="BH849" s="595"/>
      <c r="BI849" s="595"/>
      <c r="BJ849" s="595"/>
      <c r="BK849" s="595"/>
      <c r="BL849" s="595"/>
      <c r="BM849" s="651"/>
      <c r="BN849" s="651"/>
      <c r="BO849" s="651"/>
      <c r="BP849" s="651"/>
      <c r="BQ849" s="651"/>
      <c r="BR849" s="651"/>
      <c r="BS849" s="651"/>
      <c r="BT849" s="651"/>
    </row>
    <row r="850">
      <c r="A850" s="583"/>
      <c r="B850" s="584"/>
      <c r="C850" s="540" t="str">
        <f>C771</f>
        <v>Administration</v>
      </c>
      <c r="D850" s="700"/>
      <c r="E850" s="722"/>
      <c r="F850" s="128"/>
      <c r="G850" s="225"/>
      <c r="H850" s="700"/>
      <c r="I850" s="541" t="str">
        <f>N771</f>
        <v>#REF!</v>
      </c>
      <c r="J850" s="924"/>
      <c r="K850" s="1020"/>
      <c r="L850" s="588"/>
      <c r="M850" s="588"/>
      <c r="N850" s="589"/>
      <c r="O850" s="590"/>
      <c r="P850" s="939" t="str">
        <f>IFERROR(__xludf.DUMMYFUNCTION("IF(Q850="""","""",
   IF(Q850=0,0,
      IF(ISNUMBER(MATCH(Q850,FILTER(R$770:R$890,T$770:T$890&lt;&gt;0),0)),1,0)
   )
)"),"")</f>
        <v/>
      </c>
      <c r="Q850" s="941"/>
      <c r="R850" s="929" t="s">
        <v>409</v>
      </c>
      <c r="S850" s="930" t="s">
        <v>41</v>
      </c>
      <c r="T850" s="488">
        <f t="shared" si="572"/>
        <v>18.2</v>
      </c>
      <c r="U850" s="489">
        <f t="shared" si="551"/>
        <v>4</v>
      </c>
      <c r="V850" s="490" t="str">
        <f t="shared" si="552"/>
        <v>#REF!</v>
      </c>
      <c r="W850" s="491">
        <f>(5/6)*$X$755</f>
        <v>3.333333333</v>
      </c>
      <c r="X850" s="489">
        <f t="shared" si="726"/>
        <v>26.66666667</v>
      </c>
      <c r="Y850" s="492">
        <f t="shared" si="727"/>
        <v>0.69</v>
      </c>
      <c r="Z850" s="493" t="str">
        <f t="shared" si="728"/>
        <v>#REF!</v>
      </c>
      <c r="AA850" s="931" t="str">
        <f t="shared" si="729"/>
        <v/>
      </c>
      <c r="AB850" s="925" t="str">
        <f t="shared" si="565"/>
        <v/>
      </c>
      <c r="AC850" s="595"/>
      <c r="AD850" s="595"/>
      <c r="AE850" s="584"/>
      <c r="AF850" s="595"/>
      <c r="AG850" s="354"/>
      <c r="AH850" s="443"/>
      <c r="AI850" s="595"/>
      <c r="AJ850" s="595"/>
      <c r="AK850" s="595"/>
      <c r="AL850" s="595"/>
      <c r="AM850" s="595"/>
      <c r="AN850" s="584"/>
      <c r="AO850" s="595"/>
      <c r="AP850" s="595"/>
      <c r="AQ850" s="595"/>
      <c r="AR850" s="595"/>
      <c r="AS850" s="595"/>
      <c r="AT850" s="595"/>
      <c r="AU850" s="595"/>
      <c r="AV850" s="595"/>
      <c r="AW850" s="595"/>
      <c r="AX850" s="595"/>
      <c r="AY850" s="595"/>
      <c r="AZ850" s="595"/>
      <c r="BA850" s="595"/>
      <c r="BB850" s="595"/>
      <c r="BC850" s="595"/>
      <c r="BD850" s="595"/>
      <c r="BE850" s="595"/>
      <c r="BF850" s="595"/>
      <c r="BG850" s="595"/>
      <c r="BH850" s="595"/>
      <c r="BI850" s="595"/>
      <c r="BJ850" s="595"/>
      <c r="BK850" s="595"/>
      <c r="BL850" s="595"/>
      <c r="BM850" s="651"/>
      <c r="BN850" s="651"/>
      <c r="BO850" s="651"/>
      <c r="BP850" s="651"/>
      <c r="BQ850" s="651"/>
      <c r="BR850" s="651"/>
      <c r="BS850" s="651"/>
      <c r="BT850" s="651"/>
    </row>
    <row r="851">
      <c r="A851" s="583"/>
      <c r="B851" s="584"/>
      <c r="C851" s="540" t="str">
        <f>C777</f>
        <v>Site Prelims</v>
      </c>
      <c r="D851" s="700"/>
      <c r="E851" s="722"/>
      <c r="F851" s="128"/>
      <c r="G851" s="225"/>
      <c r="H851" s="700"/>
      <c r="I851" s="541" t="str">
        <f>N777</f>
        <v>#REF!</v>
      </c>
      <c r="J851" s="924"/>
      <c r="K851" s="1020"/>
      <c r="L851" s="588"/>
      <c r="M851" s="588"/>
      <c r="N851" s="589"/>
      <c r="O851" s="590"/>
      <c r="P851" s="939" t="str">
        <f>IFERROR(__xludf.DUMMYFUNCTION("IF(Q851="""","""",
   IF(Q851=0,0,
      IF(ISNUMBER(MATCH(Q851,FILTER(R$770:R$890,T$770:T$890&lt;&gt;0),0)),1,0)
   )
)"),"")</f>
        <v/>
      </c>
      <c r="Q851" s="941"/>
      <c r="R851" s="929" t="s">
        <v>410</v>
      </c>
      <c r="S851" s="930" t="s">
        <v>41</v>
      </c>
      <c r="T851" s="488">
        <f t="shared" si="572"/>
        <v>0</v>
      </c>
      <c r="U851" s="489">
        <f t="shared" si="551"/>
        <v>4</v>
      </c>
      <c r="V851" s="490" t="str">
        <f t="shared" si="552"/>
        <v>#REF!</v>
      </c>
      <c r="W851" s="491">
        <f>(4.5/5)*$X$755</f>
        <v>3.6</v>
      </c>
      <c r="X851" s="489">
        <f t="shared" si="726"/>
        <v>28.8</v>
      </c>
      <c r="Y851" s="492">
        <f t="shared" si="727"/>
        <v>0</v>
      </c>
      <c r="Z851" s="493" t="str">
        <f t="shared" si="728"/>
        <v>#REF!</v>
      </c>
      <c r="AA851" s="931" t="str">
        <f t="shared" si="729"/>
        <v/>
      </c>
      <c r="AB851" s="925" t="str">
        <f t="shared" si="565"/>
        <v/>
      </c>
      <c r="AC851" s="595"/>
      <c r="AD851" s="595"/>
      <c r="AE851" s="584"/>
      <c r="AF851" s="595"/>
      <c r="AG851" s="354"/>
      <c r="AH851" s="443"/>
      <c r="AI851" s="595"/>
      <c r="AJ851" s="595"/>
      <c r="AK851" s="595"/>
      <c r="AL851" s="595"/>
      <c r="AM851" s="595"/>
      <c r="AN851" s="584"/>
      <c r="AO851" s="595"/>
      <c r="AP851" s="595"/>
      <c r="AQ851" s="595"/>
      <c r="AR851" s="595"/>
      <c r="AS851" s="595"/>
      <c r="AT851" s="595"/>
      <c r="AU851" s="595"/>
      <c r="AV851" s="595"/>
      <c r="AW851" s="595"/>
      <c r="AX851" s="595"/>
      <c r="AY851" s="595"/>
      <c r="AZ851" s="595"/>
      <c r="BA851" s="595"/>
      <c r="BB851" s="595"/>
      <c r="BC851" s="595"/>
      <c r="BD851" s="595"/>
      <c r="BE851" s="595"/>
      <c r="BF851" s="595"/>
      <c r="BG851" s="595"/>
      <c r="BH851" s="595"/>
      <c r="BI851" s="595"/>
      <c r="BJ851" s="595"/>
      <c r="BK851" s="595"/>
      <c r="BL851" s="595"/>
      <c r="BM851" s="651"/>
      <c r="BN851" s="651"/>
      <c r="BO851" s="651"/>
      <c r="BP851" s="651"/>
      <c r="BQ851" s="651"/>
      <c r="BR851" s="651"/>
      <c r="BS851" s="651"/>
      <c r="BT851" s="651"/>
    </row>
    <row r="852">
      <c r="A852" s="583"/>
      <c r="B852" s="584"/>
      <c r="C852" s="540" t="str">
        <f>C789</f>
        <v>Crane/Dogman/Handlift </v>
      </c>
      <c r="D852" s="700"/>
      <c r="E852" s="722"/>
      <c r="F852" s="128"/>
      <c r="G852" s="225"/>
      <c r="H852" s="700"/>
      <c r="I852" s="556">
        <f>N789</f>
        <v>0</v>
      </c>
      <c r="J852" s="924"/>
      <c r="K852" s="1020"/>
      <c r="L852" s="588"/>
      <c r="M852" s="588"/>
      <c r="N852" s="589"/>
      <c r="O852" s="590"/>
      <c r="P852" s="939" t="str">
        <f>IFERROR(__xludf.DUMMYFUNCTION("IF(Q852="""","""",
   IF(Q852=0,0,
      IF(ISNUMBER(MATCH(Q852,FILTER(R$770:R$890,T$770:T$890&lt;&gt;0),0)),1,0)
   )
)"),"")</f>
        <v/>
      </c>
      <c r="Q852" s="941"/>
      <c r="R852" s="942" t="s">
        <v>612</v>
      </c>
      <c r="S852" s="932" t="s">
        <v>52</v>
      </c>
      <c r="T852" s="488">
        <f t="shared" si="572"/>
        <v>0</v>
      </c>
      <c r="U852" s="489">
        <f t="shared" si="551"/>
        <v>4</v>
      </c>
      <c r="V852" s="490" t="str">
        <f t="shared" si="552"/>
        <v>#REF!</v>
      </c>
      <c r="W852" s="491">
        <f>(1/1)*$X$755</f>
        <v>4</v>
      </c>
      <c r="X852" s="489">
        <f t="shared" si="726"/>
        <v>32</v>
      </c>
      <c r="Y852" s="492">
        <f>ROUNDUP(T852/X852,2)</f>
        <v>0</v>
      </c>
      <c r="Z852" s="493" t="str">
        <f t="shared" si="728"/>
        <v>#REF!</v>
      </c>
      <c r="AA852" s="931" t="str">
        <f t="shared" si="729"/>
        <v/>
      </c>
      <c r="AB852" s="925" t="str">
        <f t="shared" si="565"/>
        <v/>
      </c>
      <c r="AC852" s="595"/>
      <c r="AD852" s="595"/>
      <c r="AE852" s="584"/>
      <c r="AF852" s="595"/>
      <c r="AG852" s="354"/>
      <c r="AH852" s="443"/>
      <c r="AI852" s="595"/>
      <c r="AJ852" s="595"/>
      <c r="AK852" s="595"/>
      <c r="AL852" s="595"/>
      <c r="AM852" s="595"/>
      <c r="AN852" s="584"/>
      <c r="AO852" s="595"/>
      <c r="AP852" s="595"/>
      <c r="AQ852" s="595"/>
      <c r="AR852" s="595"/>
      <c r="AS852" s="595"/>
      <c r="AT852" s="595"/>
      <c r="AU852" s="595"/>
      <c r="AV852" s="595"/>
      <c r="AW852" s="595"/>
      <c r="AX852" s="595"/>
      <c r="AY852" s="595"/>
      <c r="AZ852" s="595"/>
      <c r="BA852" s="595"/>
      <c r="BB852" s="595"/>
      <c r="BC852" s="595"/>
      <c r="BD852" s="595"/>
      <c r="BE852" s="595"/>
      <c r="BF852" s="595"/>
      <c r="BG852" s="595"/>
      <c r="BH852" s="595"/>
      <c r="BI852" s="595"/>
      <c r="BJ852" s="595"/>
      <c r="BK852" s="595"/>
      <c r="BL852" s="595"/>
      <c r="BM852" s="651"/>
      <c r="BN852" s="651"/>
      <c r="BO852" s="651"/>
      <c r="BP852" s="651"/>
      <c r="BQ852" s="651"/>
      <c r="BR852" s="651"/>
      <c r="BS852" s="651"/>
      <c r="BT852" s="651"/>
    </row>
    <row r="853">
      <c r="A853" s="583"/>
      <c r="B853" s="584"/>
      <c r="C853" s="540" t="str">
        <f>C805</f>
        <v>Access Machine</v>
      </c>
      <c r="D853" s="700"/>
      <c r="E853" s="722"/>
      <c r="F853" s="128"/>
      <c r="G853" s="225"/>
      <c r="H853" s="700"/>
      <c r="I853" s="556" t="str">
        <f>N805</f>
        <v>#REF!</v>
      </c>
      <c r="J853" s="936"/>
      <c r="K853" s="1020"/>
      <c r="L853" s="588"/>
      <c r="M853" s="588"/>
      <c r="N853" s="589"/>
      <c r="O853" s="950"/>
      <c r="P853" s="939" t="str">
        <f>IFERROR(__xludf.DUMMYFUNCTION("IF(Q853="""","""",
   IF(Q853=0,0,
      IF(ISNUMBER(MATCH(Q853,FILTER(R$770:R$890,T$770:T$890&lt;&gt;0),0)),1,0)
   )
)"),"")</f>
        <v/>
      </c>
      <c r="Q853" s="941"/>
      <c r="R853" s="929" t="s">
        <v>411</v>
      </c>
      <c r="S853" s="930" t="s">
        <v>55</v>
      </c>
      <c r="T853" s="488">
        <f t="shared" si="572"/>
        <v>0</v>
      </c>
      <c r="U853" s="489">
        <f t="shared" si="551"/>
        <v>4</v>
      </c>
      <c r="V853" s="490" t="str">
        <f t="shared" si="552"/>
        <v>#REF!</v>
      </c>
      <c r="W853" s="491">
        <f>(10/1)*$X$755</f>
        <v>40</v>
      </c>
      <c r="X853" s="489">
        <f t="shared" si="726"/>
        <v>320</v>
      </c>
      <c r="Y853" s="492">
        <f t="shared" ref="Y853:Y864" si="730">ROUNDUP(T853/X853,2)</f>
        <v>0</v>
      </c>
      <c r="Z853" s="493" t="str">
        <f t="shared" si="728"/>
        <v>#REF!</v>
      </c>
      <c r="AA853" s="931" t="str">
        <f t="shared" si="729"/>
        <v/>
      </c>
      <c r="AB853" s="925" t="str">
        <f t="shared" si="565"/>
        <v/>
      </c>
      <c r="AC853" s="595"/>
      <c r="AD853" s="595"/>
      <c r="AE853" s="584"/>
      <c r="AF853" s="595"/>
      <c r="AG853" s="354"/>
      <c r="AH853" s="443"/>
      <c r="AI853" s="595"/>
      <c r="AJ853" s="595"/>
      <c r="AK853" s="595"/>
      <c r="AL853" s="595"/>
      <c r="AM853" s="595"/>
      <c r="AN853" s="584"/>
      <c r="AO853" s="595"/>
      <c r="AP853" s="595"/>
      <c r="AQ853" s="595"/>
      <c r="AR853" s="595"/>
      <c r="AS853" s="595"/>
      <c r="AT853" s="595"/>
      <c r="AU853" s="595"/>
      <c r="AV853" s="595"/>
      <c r="AW853" s="595"/>
      <c r="AX853" s="595"/>
      <c r="AY853" s="595"/>
      <c r="AZ853" s="595"/>
      <c r="BA853" s="595"/>
      <c r="BB853" s="595"/>
      <c r="BC853" s="595"/>
      <c r="BD853" s="595"/>
      <c r="BE853" s="595"/>
      <c r="BF853" s="595"/>
      <c r="BG853" s="595"/>
      <c r="BH853" s="595"/>
      <c r="BI853" s="595"/>
      <c r="BJ853" s="595"/>
      <c r="BK853" s="595"/>
      <c r="BL853" s="595"/>
      <c r="BM853" s="651"/>
      <c r="BN853" s="651"/>
      <c r="BO853" s="651"/>
      <c r="BP853" s="651"/>
      <c r="BQ853" s="651"/>
      <c r="BR853" s="651"/>
      <c r="BS853" s="651"/>
      <c r="BT853" s="651"/>
    </row>
    <row r="854">
      <c r="A854" s="583"/>
      <c r="B854" s="584"/>
      <c r="C854" s="700"/>
      <c r="D854" s="700"/>
      <c r="E854" s="722"/>
      <c r="F854" s="128"/>
      <c r="G854" s="225"/>
      <c r="H854" s="700"/>
      <c r="I854" s="691"/>
      <c r="J854" s="924"/>
      <c r="K854" s="1020"/>
      <c r="L854" s="588"/>
      <c r="M854" s="588"/>
      <c r="N854" s="589"/>
      <c r="O854" s="950"/>
      <c r="P854" s="939" t="str">
        <f>IFERROR(__xludf.DUMMYFUNCTION("IF(Q854="""","""",
   IF(Q854=0,0,
      IF(ISNUMBER(MATCH(Q854,FILTER(R$770:R$890,T$770:T$890&lt;&gt;0),0)),1,0)
   )
)"),"")</f>
        <v/>
      </c>
      <c r="Q854" s="941"/>
      <c r="R854" s="929" t="s">
        <v>412</v>
      </c>
      <c r="S854" s="930" t="s">
        <v>41</v>
      </c>
      <c r="T854" s="488">
        <f t="shared" si="572"/>
        <v>0</v>
      </c>
      <c r="U854" s="489">
        <f t="shared" si="551"/>
        <v>4</v>
      </c>
      <c r="V854" s="490" t="str">
        <f t="shared" si="552"/>
        <v>#REF!</v>
      </c>
      <c r="W854" s="491">
        <f>(5/1)*$X$755</f>
        <v>20</v>
      </c>
      <c r="X854" s="489">
        <f t="shared" si="726"/>
        <v>160</v>
      </c>
      <c r="Y854" s="492">
        <f t="shared" si="730"/>
        <v>0</v>
      </c>
      <c r="Z854" s="493" t="str">
        <f t="shared" si="728"/>
        <v>#REF!</v>
      </c>
      <c r="AA854" s="931" t="str">
        <f t="shared" si="729"/>
        <v/>
      </c>
      <c r="AB854" s="925" t="str">
        <f t="shared" si="565"/>
        <v/>
      </c>
      <c r="AC854" s="595"/>
      <c r="AD854" s="595"/>
      <c r="AE854" s="584"/>
      <c r="AF854" s="595"/>
      <c r="AG854" s="354"/>
      <c r="AH854" s="443"/>
      <c r="AI854" s="595"/>
      <c r="AJ854" s="595"/>
      <c r="AK854" s="595"/>
      <c r="AL854" s="595"/>
      <c r="AM854" s="595"/>
      <c r="AN854" s="584"/>
      <c r="AO854" s="595"/>
      <c r="AP854" s="595"/>
      <c r="AQ854" s="595"/>
      <c r="AR854" s="595"/>
      <c r="AS854" s="595"/>
      <c r="AT854" s="595"/>
      <c r="AU854" s="595"/>
      <c r="AV854" s="595"/>
      <c r="AW854" s="595"/>
      <c r="AX854" s="595"/>
      <c r="AY854" s="595"/>
      <c r="AZ854" s="595"/>
      <c r="BA854" s="595"/>
      <c r="BB854" s="595"/>
      <c r="BC854" s="595"/>
      <c r="BD854" s="595"/>
      <c r="BE854" s="595"/>
      <c r="BF854" s="595"/>
      <c r="BG854" s="595"/>
      <c r="BH854" s="595"/>
      <c r="BI854" s="595"/>
      <c r="BJ854" s="595"/>
      <c r="BK854" s="595"/>
      <c r="BL854" s="595"/>
      <c r="BM854" s="651"/>
      <c r="BN854" s="651"/>
      <c r="BO854" s="651"/>
      <c r="BP854" s="651"/>
      <c r="BQ854" s="651"/>
      <c r="BR854" s="651"/>
      <c r="BS854" s="651"/>
      <c r="BT854" s="651"/>
    </row>
    <row r="855">
      <c r="A855" s="583"/>
      <c r="B855" s="584"/>
      <c r="C855" s="540" t="s">
        <v>284</v>
      </c>
      <c r="D855" s="700"/>
      <c r="E855" s="722"/>
      <c r="F855" s="128"/>
      <c r="G855" s="225"/>
      <c r="H855" s="700"/>
      <c r="I855" s="542" t="str">
        <f>N828</f>
        <v>#REF!</v>
      </c>
      <c r="J855" s="936" t="str">
        <f>L828</f>
        <v/>
      </c>
      <c r="K855" s="1020"/>
      <c r="L855" s="588"/>
      <c r="M855" s="588"/>
      <c r="N855" s="589"/>
      <c r="O855" s="950"/>
      <c r="P855" s="939" t="str">
        <f>IFERROR(__xludf.DUMMYFUNCTION("IF(Q855="""","""",
   IF(Q855=0,0,
      IF(ISNUMBER(MATCH(Q855,FILTER(R$770:R$890,T$770:T$890&lt;&gt;0),0)),1,0)
   )
)"),"")</f>
        <v/>
      </c>
      <c r="Q855" s="941"/>
      <c r="R855" s="929" t="s">
        <v>413</v>
      </c>
      <c r="S855" s="930" t="s">
        <v>52</v>
      </c>
      <c r="T855" s="488">
        <f t="shared" si="572"/>
        <v>0</v>
      </c>
      <c r="U855" s="489">
        <f t="shared" si="551"/>
        <v>4</v>
      </c>
      <c r="V855" s="490" t="str">
        <f t="shared" si="552"/>
        <v>#REF!</v>
      </c>
      <c r="W855" s="491">
        <f t="shared" ref="W855:W858" si="731">(10/1)*$X$755</f>
        <v>40</v>
      </c>
      <c r="X855" s="489">
        <f t="shared" si="726"/>
        <v>320</v>
      </c>
      <c r="Y855" s="492">
        <f t="shared" si="730"/>
        <v>0</v>
      </c>
      <c r="Z855" s="493" t="str">
        <f t="shared" si="728"/>
        <v>#REF!</v>
      </c>
      <c r="AA855" s="931" t="str">
        <f t="shared" si="729"/>
        <v/>
      </c>
      <c r="AB855" s="925" t="str">
        <f t="shared" si="565"/>
        <v/>
      </c>
      <c r="AC855" s="595"/>
      <c r="AD855" s="595"/>
      <c r="AE855" s="584"/>
      <c r="AF855" s="595"/>
      <c r="AG855" s="354"/>
      <c r="AH855" s="443"/>
      <c r="AI855" s="595"/>
      <c r="AJ855" s="595"/>
      <c r="AK855" s="595"/>
      <c r="AL855" s="595"/>
      <c r="AM855" s="595"/>
      <c r="AN855" s="584"/>
      <c r="AO855" s="595"/>
      <c r="AP855" s="595"/>
      <c r="AQ855" s="595"/>
      <c r="AR855" s="595"/>
      <c r="AS855" s="595"/>
      <c r="AT855" s="595"/>
      <c r="AU855" s="595"/>
      <c r="AV855" s="595"/>
      <c r="AW855" s="595"/>
      <c r="AX855" s="595"/>
      <c r="AY855" s="595"/>
      <c r="AZ855" s="595"/>
      <c r="BA855" s="595"/>
      <c r="BB855" s="595"/>
      <c r="BC855" s="595"/>
      <c r="BD855" s="595"/>
      <c r="BE855" s="595"/>
      <c r="BF855" s="595"/>
      <c r="BG855" s="595"/>
      <c r="BH855" s="595"/>
      <c r="BI855" s="595"/>
      <c r="BJ855" s="595"/>
      <c r="BK855" s="595"/>
      <c r="BL855" s="595"/>
      <c r="BM855" s="651"/>
      <c r="BN855" s="651"/>
      <c r="BO855" s="651"/>
      <c r="BP855" s="651"/>
      <c r="BQ855" s="651"/>
      <c r="BR855" s="651"/>
      <c r="BS855" s="651"/>
      <c r="BT855" s="651"/>
    </row>
    <row r="856">
      <c r="A856" s="583"/>
      <c r="B856" s="584"/>
      <c r="C856" s="543" t="s">
        <v>293</v>
      </c>
      <c r="D856" s="1022"/>
      <c r="E856" s="1023"/>
      <c r="F856" s="1024"/>
      <c r="G856" s="1025"/>
      <c r="H856" s="1022"/>
      <c r="I856" s="546" t="str">
        <f>SUM(I845:I855)</f>
        <v>#REF!</v>
      </c>
      <c r="J856" s="1026"/>
      <c r="K856" s="1027"/>
      <c r="L856" s="375" t="str">
        <f>I856/I842</f>
        <v>#REF!</v>
      </c>
      <c r="M856" s="588"/>
      <c r="N856" s="589"/>
      <c r="O856" s="950"/>
      <c r="P856" s="939" t="str">
        <f>IFERROR(__xludf.DUMMYFUNCTION("IF(Q856="""","""",
   IF(Q856=0,0,
      IF(ISNUMBER(MATCH(Q856,FILTER(R$770:R$890,T$770:T$890&lt;&gt;0),0)),1,0)
   )
)"),"")</f>
        <v/>
      </c>
      <c r="Q856" s="941"/>
      <c r="R856" s="929" t="s">
        <v>414</v>
      </c>
      <c r="S856" s="930" t="s">
        <v>52</v>
      </c>
      <c r="T856" s="488">
        <f t="shared" si="572"/>
        <v>0</v>
      </c>
      <c r="U856" s="489">
        <f t="shared" si="551"/>
        <v>4</v>
      </c>
      <c r="V856" s="490" t="str">
        <f t="shared" si="552"/>
        <v>#REF!</v>
      </c>
      <c r="W856" s="491">
        <f t="shared" si="731"/>
        <v>40</v>
      </c>
      <c r="X856" s="489">
        <f t="shared" si="726"/>
        <v>320</v>
      </c>
      <c r="Y856" s="492">
        <f t="shared" si="730"/>
        <v>0</v>
      </c>
      <c r="Z856" s="493" t="str">
        <f t="shared" si="728"/>
        <v>#REF!</v>
      </c>
      <c r="AA856" s="931" t="str">
        <f t="shared" si="729"/>
        <v/>
      </c>
      <c r="AB856" s="925" t="str">
        <f t="shared" si="565"/>
        <v/>
      </c>
      <c r="AC856" s="595"/>
      <c r="AD856" s="595"/>
      <c r="AE856" s="584"/>
      <c r="AF856" s="595"/>
      <c r="AG856" s="354"/>
      <c r="AH856" s="443"/>
      <c r="AI856" s="595"/>
      <c r="AJ856" s="595"/>
      <c r="AK856" s="595"/>
      <c r="AL856" s="595"/>
      <c r="AM856" s="595"/>
      <c r="AN856" s="584"/>
      <c r="AO856" s="595"/>
      <c r="AP856" s="595"/>
      <c r="AQ856" s="595"/>
      <c r="AR856" s="595"/>
      <c r="AS856" s="595"/>
      <c r="AT856" s="595"/>
      <c r="AU856" s="595"/>
      <c r="AV856" s="595"/>
      <c r="AW856" s="595"/>
      <c r="AX856" s="595"/>
      <c r="AY856" s="595"/>
      <c r="AZ856" s="595"/>
      <c r="BA856" s="595"/>
      <c r="BB856" s="595"/>
      <c r="BC856" s="595"/>
      <c r="BD856" s="595"/>
      <c r="BE856" s="595"/>
      <c r="BF856" s="595"/>
      <c r="BG856" s="595"/>
      <c r="BH856" s="595"/>
      <c r="BI856" s="595"/>
      <c r="BJ856" s="595"/>
      <c r="BK856" s="595"/>
      <c r="BL856" s="595"/>
      <c r="BM856" s="651"/>
      <c r="BN856" s="651"/>
      <c r="BO856" s="651"/>
      <c r="BP856" s="651"/>
      <c r="BQ856" s="651"/>
      <c r="BR856" s="651"/>
      <c r="BS856" s="651"/>
      <c r="BT856" s="651"/>
    </row>
    <row r="857">
      <c r="A857" s="583"/>
      <c r="B857" s="584"/>
      <c r="C857" s="584"/>
      <c r="D857" s="584"/>
      <c r="E857" s="585"/>
      <c r="F857" s="586"/>
      <c r="G857" s="587"/>
      <c r="H857" s="584"/>
      <c r="I857" s="584"/>
      <c r="J857" s="584"/>
      <c r="K857" s="586"/>
      <c r="L857" s="588"/>
      <c r="M857" s="588"/>
      <c r="N857" s="589"/>
      <c r="O857" s="950"/>
      <c r="P857" s="939" t="str">
        <f>IFERROR(__xludf.DUMMYFUNCTION("IF(Q857="""","""",
   IF(Q857=0,0,
      IF(ISNUMBER(MATCH(Q857,FILTER(R$770:R$890,T$770:T$890&lt;&gt;0),0)),1,0)
   )
)"),"")</f>
        <v/>
      </c>
      <c r="Q857" s="941"/>
      <c r="R857" s="929" t="s">
        <v>415</v>
      </c>
      <c r="S857" s="930" t="s">
        <v>55</v>
      </c>
      <c r="T857" s="488">
        <f t="shared" si="572"/>
        <v>0</v>
      </c>
      <c r="U857" s="489">
        <f t="shared" si="551"/>
        <v>4</v>
      </c>
      <c r="V857" s="490" t="str">
        <f t="shared" si="552"/>
        <v>#REF!</v>
      </c>
      <c r="W857" s="491">
        <f t="shared" si="731"/>
        <v>40</v>
      </c>
      <c r="X857" s="489">
        <f t="shared" si="726"/>
        <v>320</v>
      </c>
      <c r="Y857" s="492">
        <f t="shared" si="730"/>
        <v>0</v>
      </c>
      <c r="Z857" s="493" t="str">
        <f t="shared" si="728"/>
        <v>#REF!</v>
      </c>
      <c r="AA857" s="931" t="str">
        <f t="shared" si="729"/>
        <v/>
      </c>
      <c r="AB857" s="925" t="str">
        <f t="shared" si="565"/>
        <v/>
      </c>
      <c r="AC857" s="595"/>
      <c r="AD857" s="595"/>
      <c r="AE857" s="584"/>
      <c r="AF857" s="595"/>
      <c r="AG857" s="354"/>
      <c r="AH857" s="443"/>
      <c r="AI857" s="595"/>
      <c r="AJ857" s="595"/>
      <c r="AK857" s="595"/>
      <c r="AL857" s="595"/>
      <c r="AM857" s="595"/>
      <c r="AN857" s="584"/>
      <c r="AO857" s="595"/>
      <c r="AP857" s="595"/>
      <c r="AQ857" s="595"/>
      <c r="AR857" s="595"/>
      <c r="AS857" s="595"/>
      <c r="AT857" s="595"/>
      <c r="AU857" s="595"/>
      <c r="AV857" s="595"/>
      <c r="AW857" s="595"/>
      <c r="AX857" s="595"/>
      <c r="AY857" s="595"/>
      <c r="AZ857" s="595"/>
      <c r="BA857" s="595"/>
      <c r="BB857" s="595"/>
      <c r="BC857" s="595"/>
      <c r="BD857" s="595"/>
      <c r="BE857" s="595"/>
      <c r="BF857" s="595"/>
      <c r="BG857" s="595"/>
      <c r="BH857" s="595"/>
      <c r="BI857" s="595"/>
      <c r="BJ857" s="595"/>
      <c r="BK857" s="595"/>
      <c r="BL857" s="595"/>
      <c r="BM857" s="651"/>
      <c r="BN857" s="651"/>
      <c r="BO857" s="651"/>
      <c r="BP857" s="651"/>
      <c r="BQ857" s="651"/>
      <c r="BR857" s="651"/>
      <c r="BS857" s="651"/>
      <c r="BT857" s="651"/>
    </row>
    <row r="858">
      <c r="A858" s="583"/>
      <c r="B858" s="584"/>
      <c r="C858" s="537" t="s">
        <v>294</v>
      </c>
      <c r="D858" s="700"/>
      <c r="E858" s="722"/>
      <c r="F858" s="128"/>
      <c r="G858" s="225"/>
      <c r="H858" s="700"/>
      <c r="I858" s="691"/>
      <c r="J858" s="924"/>
      <c r="K858" s="1020"/>
      <c r="L858" s="588"/>
      <c r="M858" s="588"/>
      <c r="N858" s="589"/>
      <c r="O858" s="950"/>
      <c r="P858" s="939" t="str">
        <f>IFERROR(__xludf.DUMMYFUNCTION("IF(Q858="""","""",
   IF(Q858=0,0,
      IF(ISNUMBER(MATCH(Q858,FILTER(R$770:R$890,T$770:T$890&lt;&gt;0),0)),1,0)
   )
)"),"")</f>
        <v/>
      </c>
      <c r="Q858" s="941"/>
      <c r="R858" s="929" t="s">
        <v>416</v>
      </c>
      <c r="S858" s="930" t="s">
        <v>52</v>
      </c>
      <c r="T858" s="488">
        <f t="shared" si="572"/>
        <v>0</v>
      </c>
      <c r="U858" s="489">
        <f t="shared" si="551"/>
        <v>4</v>
      </c>
      <c r="V858" s="490" t="str">
        <f t="shared" si="552"/>
        <v>#REF!</v>
      </c>
      <c r="W858" s="491">
        <f t="shared" si="731"/>
        <v>40</v>
      </c>
      <c r="X858" s="489">
        <f t="shared" si="726"/>
        <v>320</v>
      </c>
      <c r="Y858" s="492">
        <f t="shared" si="730"/>
        <v>0</v>
      </c>
      <c r="Z858" s="493" t="str">
        <f t="shared" si="728"/>
        <v>#REF!</v>
      </c>
      <c r="AA858" s="931" t="str">
        <f t="shared" si="729"/>
        <v/>
      </c>
      <c r="AB858" s="925" t="str">
        <f t="shared" si="565"/>
        <v/>
      </c>
      <c r="AC858" s="595"/>
      <c r="AD858" s="595"/>
      <c r="AE858" s="584"/>
      <c r="AF858" s="595"/>
      <c r="AG858" s="354"/>
      <c r="AH858" s="443"/>
      <c r="AI858" s="595"/>
      <c r="AJ858" s="595"/>
      <c r="AK858" s="595"/>
      <c r="AL858" s="595"/>
      <c r="AM858" s="595"/>
      <c r="AN858" s="584"/>
      <c r="AO858" s="595"/>
      <c r="AP858" s="595"/>
      <c r="AQ858" s="595"/>
      <c r="AR858" s="595"/>
      <c r="AS858" s="595"/>
      <c r="AT858" s="595"/>
      <c r="AU858" s="595"/>
      <c r="AV858" s="595"/>
      <c r="AW858" s="595"/>
      <c r="AX858" s="595"/>
      <c r="AY858" s="595"/>
      <c r="AZ858" s="595"/>
      <c r="BA858" s="595"/>
      <c r="BB858" s="595"/>
      <c r="BC858" s="595"/>
      <c r="BD858" s="595"/>
      <c r="BE858" s="595"/>
      <c r="BF858" s="595"/>
      <c r="BG858" s="595"/>
      <c r="BH858" s="595"/>
      <c r="BI858" s="595"/>
      <c r="BJ858" s="595"/>
      <c r="BK858" s="595"/>
      <c r="BL858" s="595"/>
      <c r="BM858" s="651"/>
      <c r="BN858" s="651"/>
      <c r="BO858" s="651"/>
      <c r="BP858" s="651"/>
      <c r="BQ858" s="651"/>
      <c r="BR858" s="651"/>
      <c r="BS858" s="651"/>
      <c r="BT858" s="651"/>
    </row>
    <row r="859">
      <c r="A859" s="583"/>
      <c r="B859" s="584"/>
      <c r="C859" s="1028">
        <v>0.23</v>
      </c>
      <c r="D859" s="1029"/>
      <c r="E859" s="722"/>
      <c r="F859" s="1030"/>
      <c r="G859" s="1031"/>
      <c r="H859" s="1029"/>
      <c r="I859" s="559" t="str">
        <f>C859*I842</f>
        <v>#REF!</v>
      </c>
      <c r="J859" s="924"/>
      <c r="K859" s="1020"/>
      <c r="L859" s="588"/>
      <c r="M859" s="588"/>
      <c r="N859" s="589"/>
      <c r="O859" s="950"/>
      <c r="P859" s="939" t="str">
        <f>IFERROR(__xludf.DUMMYFUNCTION("IF(Q859="""","""",
   IF(Q859=0,0,
      IF(ISNUMBER(MATCH(Q859,FILTER(R$770:R$890,T$770:T$890&lt;&gt;0),0)),1,0)
   )
)"),"")</f>
        <v/>
      </c>
      <c r="Q859" s="941"/>
      <c r="R859" s="942" t="s">
        <v>613</v>
      </c>
      <c r="S859" s="930" t="s">
        <v>52</v>
      </c>
      <c r="T859" s="488">
        <f t="shared" si="572"/>
        <v>0</v>
      </c>
      <c r="U859" s="489">
        <f t="shared" si="551"/>
        <v>4</v>
      </c>
      <c r="V859" s="490" t="str">
        <f t="shared" si="552"/>
        <v>#REF!</v>
      </c>
      <c r="W859" s="491">
        <f>(5/1)*$X$755</f>
        <v>20</v>
      </c>
      <c r="X859" s="489">
        <f t="shared" si="726"/>
        <v>160</v>
      </c>
      <c r="Y859" s="492">
        <f t="shared" si="730"/>
        <v>0</v>
      </c>
      <c r="Z859" s="493" t="str">
        <f t="shared" si="728"/>
        <v>#REF!</v>
      </c>
      <c r="AA859" s="931"/>
      <c r="AB859" s="925" t="str">
        <f t="shared" si="565"/>
        <v/>
      </c>
      <c r="AC859" s="595"/>
      <c r="AD859" s="595"/>
      <c r="AE859" s="584"/>
      <c r="AF859" s="595"/>
      <c r="AG859" s="354"/>
      <c r="AH859" s="443"/>
      <c r="AI859" s="595"/>
      <c r="AJ859" s="595"/>
      <c r="AK859" s="595"/>
      <c r="AL859" s="595"/>
      <c r="AM859" s="595"/>
      <c r="AN859" s="584"/>
      <c r="AO859" s="595"/>
      <c r="AP859" s="595"/>
      <c r="AQ859" s="595"/>
      <c r="AR859" s="595"/>
      <c r="AS859" s="595"/>
      <c r="AT859" s="595"/>
      <c r="AU859" s="595"/>
      <c r="AV859" s="595"/>
      <c r="AW859" s="595"/>
      <c r="AX859" s="595"/>
      <c r="AY859" s="595"/>
      <c r="AZ859" s="595"/>
      <c r="BA859" s="595"/>
      <c r="BB859" s="595"/>
      <c r="BC859" s="595"/>
      <c r="BD859" s="595"/>
      <c r="BE859" s="595"/>
      <c r="BF859" s="595"/>
      <c r="BG859" s="595"/>
      <c r="BH859" s="595"/>
      <c r="BI859" s="595"/>
      <c r="BJ859" s="595"/>
      <c r="BK859" s="595"/>
      <c r="BL859" s="595"/>
      <c r="BM859" s="651"/>
      <c r="BN859" s="651"/>
      <c r="BO859" s="651"/>
      <c r="BP859" s="651"/>
      <c r="BQ859" s="651"/>
      <c r="BR859" s="651"/>
      <c r="BS859" s="651"/>
      <c r="BT859" s="651"/>
    </row>
    <row r="860">
      <c r="A860" s="583"/>
      <c r="B860" s="584"/>
      <c r="C860" s="584"/>
      <c r="D860" s="584"/>
      <c r="E860" s="585"/>
      <c r="F860" s="586"/>
      <c r="G860" s="587"/>
      <c r="H860" s="584"/>
      <c r="I860" s="584"/>
      <c r="J860" s="584"/>
      <c r="K860" s="586"/>
      <c r="L860" s="588"/>
      <c r="M860" s="588"/>
      <c r="N860" s="589"/>
      <c r="O860" s="950"/>
      <c r="P860" s="939" t="str">
        <f>IFERROR(__xludf.DUMMYFUNCTION("IF(Q860="""","""",
   IF(Q860=0,0,
      IF(ISNUMBER(MATCH(Q860,FILTER(R$770:R$890,T$770:T$890&lt;&gt;0),0)),1,0)
   )
)"),"")</f>
        <v/>
      </c>
      <c r="Q860" s="941"/>
      <c r="R860" s="929" t="s">
        <v>107</v>
      </c>
      <c r="S860" s="930" t="s">
        <v>55</v>
      </c>
      <c r="T860" s="488">
        <f t="shared" si="572"/>
        <v>810.2036199</v>
      </c>
      <c r="U860" s="489">
        <f t="shared" si="551"/>
        <v>4</v>
      </c>
      <c r="V860" s="490" t="str">
        <f t="shared" si="552"/>
        <v>#REF!</v>
      </c>
      <c r="W860" s="491">
        <f>(15/1)*$X$755</f>
        <v>60</v>
      </c>
      <c r="X860" s="489">
        <f t="shared" si="726"/>
        <v>480</v>
      </c>
      <c r="Y860" s="492">
        <f t="shared" si="730"/>
        <v>1.69</v>
      </c>
      <c r="Z860" s="493" t="str">
        <f t="shared" si="728"/>
        <v>#REF!</v>
      </c>
      <c r="AA860" s="931" t="str">
        <f t="shared" ref="AA860:AA863" si="732">iferror(Z860/T860,"")</f>
        <v/>
      </c>
      <c r="AB860" s="925" t="str">
        <f t="shared" si="565"/>
        <v/>
      </c>
      <c r="AC860" s="595"/>
      <c r="AD860" s="595"/>
      <c r="AE860" s="584"/>
      <c r="AF860" s="595"/>
      <c r="AG860" s="354"/>
      <c r="AH860" s="443"/>
      <c r="AI860" s="595"/>
      <c r="AJ860" s="595"/>
      <c r="AK860" s="595"/>
      <c r="AL860" s="595"/>
      <c r="AM860" s="595"/>
      <c r="AN860" s="584"/>
      <c r="AO860" s="595"/>
      <c r="AP860" s="595"/>
      <c r="AQ860" s="595"/>
      <c r="AR860" s="595"/>
      <c r="AS860" s="595"/>
      <c r="AT860" s="595"/>
      <c r="AU860" s="595"/>
      <c r="AV860" s="595"/>
      <c r="AW860" s="595"/>
      <c r="AX860" s="595"/>
      <c r="AY860" s="595"/>
      <c r="AZ860" s="595"/>
      <c r="BA860" s="595"/>
      <c r="BB860" s="595"/>
      <c r="BC860" s="595"/>
      <c r="BD860" s="595"/>
      <c r="BE860" s="595"/>
      <c r="BF860" s="595"/>
      <c r="BG860" s="595"/>
      <c r="BH860" s="595"/>
      <c r="BI860" s="595"/>
      <c r="BJ860" s="595"/>
      <c r="BK860" s="595"/>
      <c r="BL860" s="595"/>
      <c r="BM860" s="651"/>
      <c r="BN860" s="651"/>
      <c r="BO860" s="651"/>
      <c r="BP860" s="651"/>
      <c r="BQ860" s="651"/>
      <c r="BR860" s="651"/>
      <c r="BS860" s="651"/>
      <c r="BT860" s="651"/>
    </row>
    <row r="861">
      <c r="A861" s="583"/>
      <c r="B861" s="584"/>
      <c r="C861" s="560" t="s">
        <v>295</v>
      </c>
      <c r="D861" s="1032"/>
      <c r="E861" s="1033"/>
      <c r="F861" s="1034"/>
      <c r="G861" s="1035"/>
      <c r="H861" s="1032"/>
      <c r="I861" s="563" t="str">
        <f>+I859+I856+I842</f>
        <v>#REF!</v>
      </c>
      <c r="J861" s="1032"/>
      <c r="K861" s="1034"/>
      <c r="L861" s="588"/>
      <c r="M861" s="588"/>
      <c r="N861" s="589"/>
      <c r="O861" s="950"/>
      <c r="P861" s="939" t="str">
        <f>IFERROR(__xludf.DUMMYFUNCTION("IF(Q861="""","""",
   IF(Q861=0,0,
      IF(ISNUMBER(MATCH(Q861,FILTER(R$770:R$890,T$770:T$890&lt;&gt;0),0)),1,0)
   )
)"),"")</f>
        <v/>
      </c>
      <c r="Q861" s="941"/>
      <c r="R861" s="929" t="s">
        <v>417</v>
      </c>
      <c r="S861" s="930" t="s">
        <v>52</v>
      </c>
      <c r="T861" s="488">
        <f t="shared" si="572"/>
        <v>0</v>
      </c>
      <c r="U861" s="489">
        <f t="shared" si="551"/>
        <v>4</v>
      </c>
      <c r="V861" s="490" t="str">
        <f t="shared" si="552"/>
        <v>#REF!</v>
      </c>
      <c r="W861" s="491">
        <f t="shared" ref="W861:W862" si="733">(10/1)*$X$755</f>
        <v>40</v>
      </c>
      <c r="X861" s="489">
        <f t="shared" si="726"/>
        <v>320</v>
      </c>
      <c r="Y861" s="492">
        <f t="shared" si="730"/>
        <v>0</v>
      </c>
      <c r="Z861" s="493" t="str">
        <f t="shared" si="728"/>
        <v>#REF!</v>
      </c>
      <c r="AA861" s="931" t="str">
        <f t="shared" si="732"/>
        <v/>
      </c>
      <c r="AB861" s="925" t="str">
        <f t="shared" si="565"/>
        <v/>
      </c>
      <c r="AC861" s="595"/>
      <c r="AD861" s="595"/>
      <c r="AE861" s="584"/>
      <c r="AF861" s="595"/>
      <c r="AG861" s="354"/>
      <c r="AH861" s="443"/>
      <c r="AI861" s="595"/>
      <c r="AJ861" s="595"/>
      <c r="AK861" s="595"/>
      <c r="AL861" s="595"/>
      <c r="AM861" s="595"/>
      <c r="AN861" s="584"/>
      <c r="AO861" s="595"/>
      <c r="AP861" s="595"/>
      <c r="AQ861" s="595"/>
      <c r="AR861" s="595"/>
      <c r="AS861" s="595"/>
      <c r="AT861" s="595"/>
      <c r="AU861" s="595"/>
      <c r="AV861" s="595"/>
      <c r="AW861" s="595"/>
      <c r="AX861" s="595"/>
      <c r="AY861" s="595"/>
      <c r="AZ861" s="595"/>
      <c r="BA861" s="595"/>
      <c r="BB861" s="595"/>
      <c r="BC861" s="595"/>
      <c r="BD861" s="595"/>
      <c r="BE861" s="595"/>
      <c r="BF861" s="595"/>
      <c r="BG861" s="595"/>
      <c r="BH861" s="595"/>
      <c r="BI861" s="595"/>
      <c r="BJ861" s="595"/>
      <c r="BK861" s="595"/>
      <c r="BL861" s="595"/>
      <c r="BM861" s="651"/>
      <c r="BN861" s="651"/>
      <c r="BO861" s="651"/>
      <c r="BP861" s="651"/>
      <c r="BQ861" s="651"/>
      <c r="BR861" s="651"/>
      <c r="BS861" s="651"/>
      <c r="BT861" s="651"/>
    </row>
    <row r="862">
      <c r="A862" s="583"/>
      <c r="B862" s="584"/>
      <c r="C862" s="584"/>
      <c r="D862" s="584"/>
      <c r="E862" s="585"/>
      <c r="F862" s="586"/>
      <c r="G862" s="587"/>
      <c r="H862" s="584"/>
      <c r="I862" s="584"/>
      <c r="J862" s="584"/>
      <c r="K862" s="586"/>
      <c r="L862" s="588"/>
      <c r="M862" s="588"/>
      <c r="N862" s="589"/>
      <c r="O862" s="950"/>
      <c r="P862" s="939" t="str">
        <f>IFERROR(__xludf.DUMMYFUNCTION("IF(Q862="""","""",
   IF(Q862=0,0,
      IF(ISNUMBER(MATCH(Q862,FILTER(R$770:R$890,T$770:T$890&lt;&gt;0),0)),1,0)
   )
)"),"")</f>
        <v/>
      </c>
      <c r="Q862" s="941"/>
      <c r="R862" s="929" t="s">
        <v>418</v>
      </c>
      <c r="S862" s="930" t="s">
        <v>52</v>
      </c>
      <c r="T862" s="488">
        <f t="shared" si="572"/>
        <v>0</v>
      </c>
      <c r="U862" s="489">
        <f t="shared" si="551"/>
        <v>4</v>
      </c>
      <c r="V862" s="490" t="str">
        <f t="shared" si="552"/>
        <v>#REF!</v>
      </c>
      <c r="W862" s="491">
        <f t="shared" si="733"/>
        <v>40</v>
      </c>
      <c r="X862" s="489">
        <f t="shared" si="726"/>
        <v>320</v>
      </c>
      <c r="Y862" s="492">
        <f t="shared" si="730"/>
        <v>0</v>
      </c>
      <c r="Z862" s="493" t="str">
        <f t="shared" si="728"/>
        <v>#REF!</v>
      </c>
      <c r="AA862" s="931" t="str">
        <f t="shared" si="732"/>
        <v/>
      </c>
      <c r="AB862" s="925" t="str">
        <f t="shared" si="565"/>
        <v/>
      </c>
      <c r="AC862" s="595"/>
      <c r="AD862" s="595"/>
      <c r="AE862" s="584"/>
      <c r="AF862" s="595"/>
      <c r="AG862" s="354"/>
      <c r="AH862" s="443"/>
      <c r="AI862" s="595"/>
      <c r="AJ862" s="595"/>
      <c r="AK862" s="595"/>
      <c r="AL862" s="595"/>
      <c r="AM862" s="595"/>
      <c r="AN862" s="584"/>
      <c r="AO862" s="595"/>
      <c r="AP862" s="595"/>
      <c r="AQ862" s="595"/>
      <c r="AR862" s="595"/>
      <c r="AS862" s="595"/>
      <c r="AT862" s="595"/>
      <c r="AU862" s="595"/>
      <c r="AV862" s="595"/>
      <c r="AW862" s="595"/>
      <c r="AX862" s="595"/>
      <c r="AY862" s="595"/>
      <c r="AZ862" s="595"/>
      <c r="BA862" s="595"/>
      <c r="BB862" s="595"/>
      <c r="BC862" s="595"/>
      <c r="BD862" s="595"/>
      <c r="BE862" s="595"/>
      <c r="BF862" s="595"/>
      <c r="BG862" s="595"/>
      <c r="BH862" s="595"/>
      <c r="BI862" s="595"/>
      <c r="BJ862" s="595"/>
      <c r="BK862" s="595"/>
      <c r="BL862" s="651"/>
      <c r="BM862" s="651"/>
      <c r="BN862" s="651"/>
      <c r="BO862" s="651"/>
      <c r="BP862" s="651"/>
      <c r="BQ862" s="651"/>
      <c r="BR862" s="651"/>
      <c r="BS862" s="651"/>
      <c r="BT862" s="651"/>
    </row>
    <row r="863">
      <c r="A863" s="583"/>
      <c r="B863" s="584"/>
      <c r="C863" s="584"/>
      <c r="D863" s="584"/>
      <c r="E863" s="585"/>
      <c r="F863" s="586"/>
      <c r="G863" s="587"/>
      <c r="H863" s="584"/>
      <c r="I863" s="443"/>
      <c r="J863" s="443"/>
      <c r="K863" s="354"/>
      <c r="L863" s="588"/>
      <c r="M863" s="588"/>
      <c r="N863" s="589"/>
      <c r="O863" s="950"/>
      <c r="P863" s="939" t="str">
        <f>IFERROR(__xludf.DUMMYFUNCTION("IF(Q863="""","""",
   IF(Q863=0,0,
      IF(ISNUMBER(MATCH(Q863,FILTER(R$770:R$890,T$770:T$890&lt;&gt;0),0)),1,0)
   )
)"),"")</f>
        <v/>
      </c>
      <c r="Q863" s="941"/>
      <c r="R863" s="929" t="s">
        <v>82</v>
      </c>
      <c r="S863" s="930" t="s">
        <v>41</v>
      </c>
      <c r="T863" s="488" t="str">
        <f t="shared" si="572"/>
        <v>#REF!</v>
      </c>
      <c r="U863" s="489">
        <f t="shared" si="551"/>
        <v>4</v>
      </c>
      <c r="V863" s="490" t="str">
        <f t="shared" si="552"/>
        <v>#REF!</v>
      </c>
      <c r="W863" s="491">
        <f>(50/4)*$X$755</f>
        <v>50</v>
      </c>
      <c r="X863" s="489">
        <f t="shared" si="726"/>
        <v>400</v>
      </c>
      <c r="Y863" s="492" t="str">
        <f t="shared" si="730"/>
        <v>#REF!</v>
      </c>
      <c r="Z863" s="493" t="str">
        <f t="shared" si="728"/>
        <v>#REF!</v>
      </c>
      <c r="AA863" s="931" t="str">
        <f t="shared" si="732"/>
        <v/>
      </c>
      <c r="AB863" s="925" t="str">
        <f t="shared" si="565"/>
        <v/>
      </c>
      <c r="AC863" s="947" t="str">
        <f>T863+AH815</f>
        <v>#REF!</v>
      </c>
      <c r="AD863" s="595"/>
      <c r="AE863" s="584"/>
      <c r="AF863" s="595"/>
      <c r="AG863" s="354"/>
      <c r="AH863" s="443"/>
      <c r="AI863" s="595"/>
      <c r="AJ863" s="595"/>
      <c r="AK863" s="595"/>
      <c r="AL863" s="595"/>
      <c r="AM863" s="595"/>
      <c r="AN863" s="584"/>
      <c r="AO863" s="595"/>
      <c r="AP863" s="595"/>
      <c r="AQ863" s="595"/>
      <c r="AR863" s="595"/>
      <c r="AS863" s="595"/>
      <c r="AT863" s="595"/>
      <c r="AU863" s="595"/>
      <c r="AV863" s="595"/>
      <c r="AW863" s="595"/>
      <c r="AX863" s="595"/>
      <c r="AY863" s="595"/>
      <c r="AZ863" s="595"/>
      <c r="BA863" s="595"/>
      <c r="BB863" s="595"/>
      <c r="BC863" s="595"/>
      <c r="BD863" s="595"/>
      <c r="BE863" s="595"/>
      <c r="BF863" s="595"/>
      <c r="BG863" s="595"/>
      <c r="BH863" s="595"/>
      <c r="BI863" s="595"/>
      <c r="BJ863" s="595"/>
      <c r="BK863" s="595"/>
      <c r="BL863" s="651"/>
      <c r="BM863" s="651"/>
      <c r="BN863" s="651"/>
      <c r="BO863" s="651"/>
      <c r="BP863" s="651"/>
      <c r="BQ863" s="651"/>
      <c r="BR863" s="651"/>
      <c r="BS863" s="651"/>
      <c r="BT863" s="651"/>
    </row>
    <row r="864">
      <c r="A864" s="583"/>
      <c r="B864" s="584"/>
      <c r="C864" s="564" t="s">
        <v>290</v>
      </c>
      <c r="D864" s="1019"/>
      <c r="E864" s="722"/>
      <c r="F864" s="1036"/>
      <c r="G864" s="1037"/>
      <c r="H864" s="1019"/>
      <c r="I864" s="152" t="str">
        <f>I840</f>
        <v>#REF!</v>
      </c>
      <c r="J864" s="565" t="str">
        <f>I864/I869</f>
        <v>#REF!</v>
      </c>
      <c r="K864" s="466" t="str">
        <f t="shared" ref="K864:K868" si="734">I864/$I$871</f>
        <v>#REF!</v>
      </c>
      <c r="L864" s="588"/>
      <c r="M864" s="588"/>
      <c r="N864" s="589"/>
      <c r="O864" s="950"/>
      <c r="P864" s="939" t="str">
        <f>IFERROR(__xludf.DUMMYFUNCTION("IF(Q864="""","""",
   IF(Q864=0,0,
      IF(ISNUMBER(MATCH(Q864,FILTER(R$770:R$890,T$770:T$890&lt;&gt;0),0)),1,0)
   )
)"),"")</f>
        <v/>
      </c>
      <c r="Q864" s="941"/>
      <c r="R864" s="942" t="s">
        <v>614</v>
      </c>
      <c r="S864" s="930" t="s">
        <v>55</v>
      </c>
      <c r="T864" s="488">
        <f t="shared" si="572"/>
        <v>0</v>
      </c>
      <c r="U864" s="489">
        <f t="shared" si="551"/>
        <v>4</v>
      </c>
      <c r="V864" s="490" t="str">
        <f t="shared" si="552"/>
        <v>#REF!</v>
      </c>
      <c r="W864" s="491">
        <f>(5/1)*$X$755</f>
        <v>20</v>
      </c>
      <c r="X864" s="489">
        <f t="shared" si="726"/>
        <v>160</v>
      </c>
      <c r="Y864" s="492">
        <f t="shared" si="730"/>
        <v>0</v>
      </c>
      <c r="Z864" s="493" t="str">
        <f t="shared" si="728"/>
        <v>#REF!</v>
      </c>
      <c r="AA864" s="931"/>
      <c r="AB864" s="925" t="str">
        <f t="shared" si="565"/>
        <v/>
      </c>
      <c r="AC864" s="595"/>
      <c r="AD864" s="595"/>
      <c r="AE864" s="584"/>
      <c r="AF864" s="595"/>
      <c r="AG864" s="354"/>
      <c r="AH864" s="443"/>
      <c r="AI864" s="595"/>
      <c r="AJ864" s="595"/>
      <c r="AK864" s="595"/>
      <c r="AL864" s="595"/>
      <c r="AM864" s="595"/>
      <c r="AN864" s="584"/>
      <c r="AO864" s="595"/>
      <c r="AP864" s="595"/>
      <c r="AQ864" s="595"/>
      <c r="AR864" s="595"/>
      <c r="AS864" s="595"/>
      <c r="AT864" s="595"/>
      <c r="AU864" s="595"/>
      <c r="AV864" s="595"/>
      <c r="AW864" s="595"/>
      <c r="AX864" s="595"/>
      <c r="AY864" s="595"/>
      <c r="AZ864" s="595"/>
      <c r="BA864" s="595"/>
      <c r="BB864" s="595"/>
      <c r="BC864" s="595"/>
      <c r="BD864" s="595"/>
      <c r="BE864" s="595"/>
      <c r="BF864" s="595"/>
      <c r="BG864" s="595"/>
      <c r="BH864" s="595"/>
      <c r="BI864" s="595"/>
      <c r="BJ864" s="595"/>
      <c r="BK864" s="595"/>
      <c r="BL864" s="651"/>
      <c r="BM864" s="651"/>
      <c r="BN864" s="651"/>
      <c r="BO864" s="651"/>
      <c r="BP864" s="651"/>
      <c r="BQ864" s="651"/>
      <c r="BR864" s="651"/>
      <c r="BS864" s="651"/>
      <c r="BT864" s="651"/>
    </row>
    <row r="865">
      <c r="A865" s="583"/>
      <c r="B865" s="584"/>
      <c r="C865" s="564" t="s">
        <v>185</v>
      </c>
      <c r="D865" s="1019"/>
      <c r="E865" s="722"/>
      <c r="F865" s="1036"/>
      <c r="G865" s="1037"/>
      <c r="H865" s="1019"/>
      <c r="I865" s="152" t="str">
        <f>+I841</f>
        <v>#REF!</v>
      </c>
      <c r="J865" s="565" t="str">
        <f>I865/I869</f>
        <v>#REF!</v>
      </c>
      <c r="K865" s="466" t="str">
        <f t="shared" si="734"/>
        <v>#REF!</v>
      </c>
      <c r="L865" s="588"/>
      <c r="M865" s="588"/>
      <c r="N865" s="589"/>
      <c r="O865" s="950"/>
      <c r="P865" s="939" t="str">
        <f>IFERROR(__xludf.DUMMYFUNCTION("IF(Q865="""","""",
   IF(Q865=0,0,
      IF(ISNUMBER(MATCH(Q865,FILTER(R$770:R$890,T$770:T$890&lt;&gt;0),0)),1,0)
   )
)"),"")</f>
        <v/>
      </c>
      <c r="Q865" s="941"/>
      <c r="R865" s="929" t="s">
        <v>86</v>
      </c>
      <c r="S865" s="930" t="s">
        <v>52</v>
      </c>
      <c r="T865" s="488" t="str">
        <f t="shared" si="572"/>
        <v>#REF!</v>
      </c>
      <c r="U865" s="489">
        <f t="shared" si="551"/>
        <v>4</v>
      </c>
      <c r="V865" s="490" t="str">
        <f t="shared" si="552"/>
        <v>#REF!</v>
      </c>
      <c r="W865" s="491"/>
      <c r="X865" s="489"/>
      <c r="Y865" s="492"/>
      <c r="Z865" s="493"/>
      <c r="AA865" s="931"/>
      <c r="AB865" s="925" t="str">
        <f t="shared" si="565"/>
        <v/>
      </c>
      <c r="AC865" s="595"/>
      <c r="AD865" s="595"/>
      <c r="AE865" s="584"/>
      <c r="AF865" s="595"/>
      <c r="AG865" s="354"/>
      <c r="AH865" s="443"/>
      <c r="AI865" s="595"/>
      <c r="AJ865" s="595"/>
      <c r="AK865" s="595"/>
      <c r="AL865" s="595"/>
      <c r="AM865" s="595"/>
      <c r="AN865" s="584"/>
      <c r="AO865" s="595"/>
      <c r="AP865" s="595"/>
      <c r="AQ865" s="595"/>
      <c r="AR865" s="595"/>
      <c r="AS865" s="595"/>
      <c r="AT865" s="595"/>
      <c r="AU865" s="595"/>
      <c r="AV865" s="595"/>
      <c r="AW865" s="595"/>
      <c r="AX865" s="595"/>
      <c r="AY865" s="595"/>
      <c r="AZ865" s="595"/>
      <c r="BA865" s="595"/>
      <c r="BB865" s="595"/>
      <c r="BC865" s="595"/>
      <c r="BD865" s="595"/>
      <c r="BE865" s="595"/>
      <c r="BF865" s="595"/>
      <c r="BG865" s="595"/>
      <c r="BH865" s="595"/>
      <c r="BI865" s="595"/>
      <c r="BJ865" s="595"/>
      <c r="BK865" s="595"/>
      <c r="BL865" s="651"/>
      <c r="BM865" s="651"/>
      <c r="BN865" s="651"/>
      <c r="BO865" s="651"/>
      <c r="BP865" s="651"/>
      <c r="BQ865" s="651"/>
      <c r="BR865" s="651"/>
      <c r="BS865" s="651"/>
      <c r="BT865" s="651"/>
    </row>
    <row r="866">
      <c r="A866" s="583"/>
      <c r="B866" s="584"/>
      <c r="C866" s="564" t="s">
        <v>296</v>
      </c>
      <c r="D866" s="1019"/>
      <c r="E866" s="722"/>
      <c r="F866" s="1038"/>
      <c r="G866" s="1039"/>
      <c r="H866" s="690"/>
      <c r="I866" s="152" t="str">
        <f>+I855+I853+I852</f>
        <v>#REF!</v>
      </c>
      <c r="J866" s="565" t="str">
        <f>I866/I869</f>
        <v>#REF!</v>
      </c>
      <c r="K866" s="466" t="str">
        <f t="shared" si="734"/>
        <v>#REF!</v>
      </c>
      <c r="L866" s="588"/>
      <c r="M866" s="588"/>
      <c r="N866" s="589"/>
      <c r="O866" s="950"/>
      <c r="P866" s="939" t="str">
        <f>IFERROR(__xludf.DUMMYFUNCTION("IF(Q866="""","""",
   IF(Q866=0,0,
      IF(ISNUMBER(MATCH(Q866,FILTER(R$770:R$890,T$770:T$890&lt;&gt;0),0)),1,0)
   )
)"),"")</f>
        <v/>
      </c>
      <c r="Q866" s="941"/>
      <c r="R866" s="929" t="s">
        <v>419</v>
      </c>
      <c r="S866" s="930" t="s">
        <v>55</v>
      </c>
      <c r="T866" s="488">
        <f t="shared" si="572"/>
        <v>0</v>
      </c>
      <c r="U866" s="489">
        <f t="shared" si="551"/>
        <v>4</v>
      </c>
      <c r="V866" s="490" t="str">
        <f t="shared" si="552"/>
        <v>#REF!</v>
      </c>
      <c r="W866" s="491">
        <f>(10/1)*$X$755</f>
        <v>40</v>
      </c>
      <c r="X866" s="489">
        <f t="shared" ref="X866:X867" si="735">W866*W$765</f>
        <v>320</v>
      </c>
      <c r="Y866" s="492">
        <f t="shared" ref="Y866:Y867" si="736">ROUNDUP(T866/X866,2)</f>
        <v>0</v>
      </c>
      <c r="Z866" s="493" t="str">
        <f t="shared" ref="Z866:Z867" si="737">Y866*V866*U866*W$765</f>
        <v>#REF!</v>
      </c>
      <c r="AA866" s="931" t="str">
        <f t="shared" ref="AA866:AA867" si="738">iferror(Z866/T866,"")</f>
        <v/>
      </c>
      <c r="AB866" s="925" t="str">
        <f t="shared" si="565"/>
        <v/>
      </c>
      <c r="AC866" s="595"/>
      <c r="AD866" s="595"/>
      <c r="AE866" s="584"/>
      <c r="AF866" s="595"/>
      <c r="AG866" s="354"/>
      <c r="AH866" s="443"/>
      <c r="AI866" s="595"/>
      <c r="AJ866" s="595"/>
      <c r="AK866" s="595"/>
      <c r="AL866" s="595"/>
      <c r="AM866" s="595"/>
      <c r="AN866" s="584"/>
      <c r="AO866" s="595"/>
      <c r="AP866" s="595"/>
      <c r="AQ866" s="595"/>
      <c r="AR866" s="595"/>
      <c r="AS866" s="595"/>
      <c r="AT866" s="595"/>
      <c r="AU866" s="595"/>
      <c r="AV866" s="595"/>
      <c r="AW866" s="595"/>
      <c r="AX866" s="595"/>
      <c r="AY866" s="595"/>
      <c r="AZ866" s="595"/>
      <c r="BA866" s="595"/>
      <c r="BB866" s="595"/>
      <c r="BC866" s="595"/>
      <c r="BD866" s="595"/>
      <c r="BE866" s="595"/>
      <c r="BF866" s="595"/>
      <c r="BG866" s="595"/>
      <c r="BH866" s="595"/>
      <c r="BI866" s="595"/>
      <c r="BJ866" s="595"/>
      <c r="BK866" s="595"/>
      <c r="BL866" s="651"/>
      <c r="BM866" s="651"/>
      <c r="BN866" s="651"/>
      <c r="BO866" s="651"/>
      <c r="BP866" s="651"/>
      <c r="BQ866" s="651"/>
      <c r="BR866" s="651"/>
      <c r="BS866" s="651"/>
      <c r="BT866" s="651"/>
    </row>
    <row r="867">
      <c r="A867" s="583"/>
      <c r="B867" s="584"/>
      <c r="C867" s="564" t="s">
        <v>24</v>
      </c>
      <c r="D867" s="1019"/>
      <c r="E867" s="722"/>
      <c r="F867" s="1038"/>
      <c r="G867" s="1039"/>
      <c r="H867" s="690"/>
      <c r="I867" s="152" t="str">
        <f>+I851+I850+I849+I848+I847+I846+I845</f>
        <v>#REF!</v>
      </c>
      <c r="J867" s="565" t="str">
        <f>I867/I869</f>
        <v>#REF!</v>
      </c>
      <c r="K867" s="466" t="str">
        <f t="shared" si="734"/>
        <v>#REF!</v>
      </c>
      <c r="L867" s="588"/>
      <c r="M867" s="588"/>
      <c r="N867" s="589"/>
      <c r="O867" s="950"/>
      <c r="P867" s="939" t="str">
        <f>IFERROR(__xludf.DUMMYFUNCTION("IF(Q867="""","""",
   IF(Q867=0,0,
      IF(ISNUMBER(MATCH(Q867,FILTER(R$770:R$890,T$770:T$890&lt;&gt;0),0)),1,0)
   )
)"),"")</f>
        <v/>
      </c>
      <c r="Q867" s="941"/>
      <c r="R867" s="929" t="s">
        <v>420</v>
      </c>
      <c r="S867" s="930" t="s">
        <v>55</v>
      </c>
      <c r="T867" s="488">
        <f t="shared" si="572"/>
        <v>0</v>
      </c>
      <c r="U867" s="489">
        <f t="shared" si="551"/>
        <v>4</v>
      </c>
      <c r="V867" s="490" t="str">
        <f t="shared" si="552"/>
        <v>#REF!</v>
      </c>
      <c r="W867" s="491">
        <f>(5/1)*$X$755</f>
        <v>20</v>
      </c>
      <c r="X867" s="489">
        <f t="shared" si="735"/>
        <v>160</v>
      </c>
      <c r="Y867" s="492">
        <f t="shared" si="736"/>
        <v>0</v>
      </c>
      <c r="Z867" s="493" t="str">
        <f t="shared" si="737"/>
        <v>#REF!</v>
      </c>
      <c r="AA867" s="931" t="str">
        <f t="shared" si="738"/>
        <v/>
      </c>
      <c r="AB867" s="925" t="str">
        <f t="shared" si="565"/>
        <v/>
      </c>
      <c r="AC867" s="595"/>
      <c r="AD867" s="595"/>
      <c r="AE867" s="584"/>
      <c r="AF867" s="595"/>
      <c r="AG867" s="354"/>
      <c r="AH867" s="443"/>
      <c r="AI867" s="595"/>
      <c r="AJ867" s="595"/>
      <c r="AK867" s="595"/>
      <c r="AL867" s="595"/>
      <c r="AM867" s="595"/>
      <c r="AN867" s="584"/>
      <c r="AO867" s="595"/>
      <c r="AP867" s="595"/>
      <c r="AQ867" s="595"/>
      <c r="AR867" s="595"/>
      <c r="AS867" s="595"/>
      <c r="AT867" s="595"/>
      <c r="AU867" s="595"/>
      <c r="AV867" s="595"/>
      <c r="AW867" s="595"/>
      <c r="AX867" s="595"/>
      <c r="AY867" s="595"/>
      <c r="AZ867" s="595"/>
      <c r="BA867" s="595"/>
      <c r="BB867" s="595"/>
      <c r="BC867" s="595"/>
      <c r="BD867" s="595"/>
      <c r="BE867" s="595"/>
      <c r="BF867" s="595"/>
      <c r="BG867" s="595"/>
      <c r="BH867" s="595"/>
      <c r="BI867" s="595"/>
      <c r="BJ867" s="595"/>
      <c r="BK867" s="595"/>
      <c r="BL867" s="651"/>
      <c r="BM867" s="651"/>
      <c r="BN867" s="651"/>
      <c r="BO867" s="651"/>
      <c r="BP867" s="651"/>
      <c r="BQ867" s="651"/>
      <c r="BR867" s="651"/>
      <c r="BS867" s="651"/>
      <c r="BT867" s="651"/>
    </row>
    <row r="868">
      <c r="A868" s="583"/>
      <c r="B868" s="584"/>
      <c r="C868" s="564" t="s">
        <v>25</v>
      </c>
      <c r="D868" s="1019"/>
      <c r="E868" s="722"/>
      <c r="F868" s="1038"/>
      <c r="G868" s="1039"/>
      <c r="H868" s="690"/>
      <c r="I868" s="566" t="str">
        <f>I859</f>
        <v>#REF!</v>
      </c>
      <c r="J868" s="565" t="str">
        <f>I868/I869</f>
        <v>#REF!</v>
      </c>
      <c r="K868" s="466" t="str">
        <f t="shared" si="734"/>
        <v>#REF!</v>
      </c>
      <c r="L868" s="588"/>
      <c r="M868" s="588"/>
      <c r="N868" s="589"/>
      <c r="O868" s="950"/>
      <c r="P868" s="939" t="str">
        <f>IFERROR(__xludf.DUMMYFUNCTION("IF(Q868="""","""",
   IF(Q868=0,0,
      IF(ISNUMBER(MATCH(Q868,FILTER(R$770:R$890,T$770:T$890&lt;&gt;0),0)),1,0)
   )
)"),"")</f>
        <v/>
      </c>
      <c r="Q868" s="941"/>
      <c r="R868" s="942" t="s">
        <v>615</v>
      </c>
      <c r="S868" s="930" t="s">
        <v>52</v>
      </c>
      <c r="T868" s="488">
        <f t="shared" si="572"/>
        <v>0</v>
      </c>
      <c r="U868" s="489">
        <f t="shared" si="551"/>
        <v>4</v>
      </c>
      <c r="V868" s="490" t="str">
        <f t="shared" si="552"/>
        <v>#REF!</v>
      </c>
      <c r="W868" s="491"/>
      <c r="X868" s="489"/>
      <c r="Y868" s="492"/>
      <c r="Z868" s="493"/>
      <c r="AA868" s="931"/>
      <c r="AB868" s="925" t="str">
        <f t="shared" si="565"/>
        <v/>
      </c>
      <c r="AC868" s="595"/>
      <c r="AD868" s="595"/>
      <c r="AE868" s="584"/>
      <c r="AF868" s="595"/>
      <c r="AG868" s="354"/>
      <c r="AH868" s="443"/>
      <c r="AI868" s="595"/>
      <c r="AJ868" s="595"/>
      <c r="AK868" s="595"/>
      <c r="AL868" s="595"/>
      <c r="AM868" s="595"/>
      <c r="AN868" s="584"/>
      <c r="AO868" s="595"/>
      <c r="AP868" s="595"/>
      <c r="AQ868" s="595"/>
      <c r="AR868" s="595"/>
      <c r="AS868" s="595"/>
      <c r="AT868" s="595"/>
      <c r="AU868" s="595"/>
      <c r="AV868" s="595"/>
      <c r="AW868" s="595"/>
      <c r="AX868" s="595"/>
      <c r="AY868" s="595"/>
      <c r="AZ868" s="595"/>
      <c r="BA868" s="595"/>
      <c r="BB868" s="595"/>
      <c r="BC868" s="595"/>
      <c r="BD868" s="595"/>
      <c r="BE868" s="595"/>
      <c r="BF868" s="595"/>
      <c r="BG868" s="595"/>
      <c r="BH868" s="595"/>
      <c r="BI868" s="595"/>
      <c r="BJ868" s="595"/>
      <c r="BK868" s="595"/>
      <c r="BL868" s="651"/>
      <c r="BM868" s="651"/>
      <c r="BN868" s="651"/>
      <c r="BO868" s="651"/>
      <c r="BP868" s="651"/>
      <c r="BQ868" s="651"/>
      <c r="BR868" s="651"/>
      <c r="BS868" s="651"/>
      <c r="BT868" s="651"/>
    </row>
    <row r="869">
      <c r="A869" s="583"/>
      <c r="B869" s="584"/>
      <c r="C869" s="567" t="s">
        <v>297</v>
      </c>
      <c r="D869" s="1040"/>
      <c r="E869" s="1041"/>
      <c r="F869" s="1042"/>
      <c r="G869" s="1043"/>
      <c r="H869" s="1040"/>
      <c r="I869" s="570" t="str">
        <f>SUM(I864:I868)</f>
        <v>#REF!</v>
      </c>
      <c r="J869" s="571" t="str">
        <f>I869=T756</f>
        <v>#REF!</v>
      </c>
      <c r="K869" s="354"/>
      <c r="L869" s="375" t="str">
        <f>I869-L866</f>
        <v>#REF!</v>
      </c>
      <c r="M869" s="588"/>
      <c r="N869" s="589"/>
      <c r="O869" s="950"/>
      <c r="P869" s="939" t="str">
        <f>IFERROR(__xludf.DUMMYFUNCTION("IF(Q869="""","""",
   IF(Q869=0,0,
      IF(ISNUMBER(MATCH(Q869,FILTER(R$770:R$890,T$770:T$890&lt;&gt;0),0)),1,0)
   )
)"),"")</f>
        <v/>
      </c>
      <c r="Q869" s="941"/>
      <c r="R869" s="929" t="s">
        <v>421</v>
      </c>
      <c r="S869" s="930" t="s">
        <v>52</v>
      </c>
      <c r="T869" s="488">
        <f t="shared" si="572"/>
        <v>0</v>
      </c>
      <c r="U869" s="489">
        <f t="shared" si="551"/>
        <v>4</v>
      </c>
      <c r="V869" s="490" t="str">
        <f t="shared" si="552"/>
        <v>#REF!</v>
      </c>
      <c r="W869" s="491">
        <f>(10/1)*$X$755</f>
        <v>40</v>
      </c>
      <c r="X869" s="489">
        <f t="shared" ref="X869:X872" si="739">W869*W$765</f>
        <v>320</v>
      </c>
      <c r="Y869" s="492">
        <f t="shared" ref="Y869:Y872" si="740">ROUNDUP(T869/X869,2)</f>
        <v>0</v>
      </c>
      <c r="Z869" s="493" t="str">
        <f t="shared" ref="Z869:Z872" si="741">Y869*V869*U869*W$765</f>
        <v>#REF!</v>
      </c>
      <c r="AA869" s="931" t="str">
        <f t="shared" ref="AA869:AA872" si="742">iferror(Z869/T869,"")</f>
        <v/>
      </c>
      <c r="AB869" s="925" t="str">
        <f t="shared" si="565"/>
        <v/>
      </c>
      <c r="AC869" s="595"/>
      <c r="AD869" s="595"/>
      <c r="AE869" s="584"/>
      <c r="AF869" s="595"/>
      <c r="AG869" s="354"/>
      <c r="AH869" s="443"/>
      <c r="AI869" s="595"/>
      <c r="AJ869" s="595"/>
      <c r="AK869" s="595"/>
      <c r="AL869" s="595"/>
      <c r="AM869" s="595"/>
      <c r="AN869" s="584"/>
      <c r="AO869" s="595"/>
      <c r="AP869" s="595"/>
      <c r="AQ869" s="595"/>
      <c r="AR869" s="595"/>
      <c r="AS869" s="595"/>
      <c r="AT869" s="595"/>
      <c r="AU869" s="595"/>
      <c r="AV869" s="595"/>
      <c r="AW869" s="595"/>
      <c r="AX869" s="595"/>
      <c r="AY869" s="595"/>
      <c r="AZ869" s="595"/>
      <c r="BA869" s="595"/>
      <c r="BB869" s="595"/>
      <c r="BC869" s="595"/>
      <c r="BD869" s="595"/>
      <c r="BE869" s="595"/>
      <c r="BF869" s="595"/>
      <c r="BG869" s="595"/>
      <c r="BH869" s="595"/>
      <c r="BI869" s="595"/>
      <c r="BJ869" s="595"/>
      <c r="BK869" s="595"/>
      <c r="BL869" s="651"/>
      <c r="BM869" s="651"/>
      <c r="BN869" s="651"/>
      <c r="BO869" s="651"/>
      <c r="BP869" s="651"/>
      <c r="BQ869" s="651"/>
      <c r="BR869" s="651"/>
      <c r="BS869" s="651"/>
      <c r="BT869" s="651"/>
    </row>
    <row r="870">
      <c r="A870" s="583"/>
      <c r="B870" s="584"/>
      <c r="C870" s="584"/>
      <c r="D870" s="584"/>
      <c r="E870" s="585"/>
      <c r="F870" s="586"/>
      <c r="G870" s="587"/>
      <c r="H870" s="584"/>
      <c r="I870" s="443"/>
      <c r="J870" s="443"/>
      <c r="K870" s="354"/>
      <c r="L870" s="588"/>
      <c r="M870" s="588"/>
      <c r="N870" s="589"/>
      <c r="O870" s="950"/>
      <c r="P870" s="939" t="str">
        <f>IFERROR(__xludf.DUMMYFUNCTION("IF(Q870="""","""",
   IF(Q870=0,0,
      IF(ISNUMBER(MATCH(Q870,FILTER(R$770:R$890,T$770:T$890&lt;&gt;0),0)),1,0)
   )
)"),"")</f>
        <v/>
      </c>
      <c r="Q870" s="941"/>
      <c r="R870" s="942" t="s">
        <v>616</v>
      </c>
      <c r="S870" s="930" t="s">
        <v>52</v>
      </c>
      <c r="T870" s="488">
        <f t="shared" si="572"/>
        <v>0</v>
      </c>
      <c r="U870" s="489">
        <f t="shared" si="551"/>
        <v>4</v>
      </c>
      <c r="V870" s="490" t="str">
        <f t="shared" si="552"/>
        <v>#REF!</v>
      </c>
      <c r="W870" s="491">
        <f>(20/1)*$X$755</f>
        <v>80</v>
      </c>
      <c r="X870" s="489">
        <f t="shared" si="739"/>
        <v>640</v>
      </c>
      <c r="Y870" s="492">
        <f t="shared" si="740"/>
        <v>0</v>
      </c>
      <c r="Z870" s="493" t="str">
        <f t="shared" si="741"/>
        <v>#REF!</v>
      </c>
      <c r="AA870" s="931" t="str">
        <f t="shared" si="742"/>
        <v/>
      </c>
      <c r="AB870" s="925" t="str">
        <f t="shared" si="565"/>
        <v/>
      </c>
      <c r="AC870" s="595"/>
      <c r="AD870" s="595"/>
      <c r="AE870" s="584"/>
      <c r="AF870" s="595"/>
      <c r="AG870" s="354"/>
      <c r="AH870" s="443"/>
      <c r="AI870" s="595"/>
      <c r="AJ870" s="595"/>
      <c r="AK870" s="595"/>
      <c r="AL870" s="595"/>
      <c r="AM870" s="595"/>
      <c r="AN870" s="584"/>
      <c r="AO870" s="595"/>
      <c r="AP870" s="595"/>
      <c r="AQ870" s="595"/>
      <c r="AR870" s="595"/>
      <c r="AS870" s="595"/>
      <c r="AT870" s="595"/>
      <c r="AU870" s="595"/>
      <c r="AV870" s="595"/>
      <c r="AW870" s="595"/>
      <c r="AX870" s="595"/>
      <c r="AY870" s="595"/>
      <c r="AZ870" s="595"/>
      <c r="BA870" s="595"/>
      <c r="BB870" s="595"/>
      <c r="BC870" s="595"/>
      <c r="BD870" s="595"/>
      <c r="BE870" s="595"/>
      <c r="BF870" s="595"/>
      <c r="BG870" s="595"/>
      <c r="BH870" s="595"/>
      <c r="BI870" s="595"/>
      <c r="BJ870" s="595"/>
      <c r="BK870" s="595"/>
      <c r="BL870" s="651"/>
      <c r="BM870" s="651"/>
      <c r="BN870" s="651"/>
      <c r="BO870" s="651"/>
      <c r="BP870" s="651"/>
      <c r="BQ870" s="651"/>
      <c r="BR870" s="651"/>
      <c r="BS870" s="651"/>
      <c r="BT870" s="651"/>
    </row>
    <row r="871">
      <c r="A871" s="583"/>
      <c r="B871" s="584"/>
      <c r="C871" s="540" t="s">
        <v>298</v>
      </c>
      <c r="D871" s="700"/>
      <c r="E871" s="722"/>
      <c r="F871" s="128"/>
      <c r="G871" s="225"/>
      <c r="H871" s="700"/>
      <c r="I871" s="572" t="str">
        <f>S762</f>
        <v>#REF!</v>
      </c>
      <c r="J871" s="443"/>
      <c r="K871" s="354"/>
      <c r="L871" s="588"/>
      <c r="M871" s="588"/>
      <c r="N871" s="589"/>
      <c r="O871" s="950"/>
      <c r="P871" s="939" t="str">
        <f>IFERROR(__xludf.DUMMYFUNCTION("IF(Q871="""","""",
   IF(Q871=0,0,
      IF(ISNUMBER(MATCH(Q871,FILTER(R$770:R$890,T$770:T$890&lt;&gt;0),0)),1,0)
   )
)"),"")</f>
        <v/>
      </c>
      <c r="Q871" s="941"/>
      <c r="R871" s="942" t="s">
        <v>438</v>
      </c>
      <c r="S871" s="930" t="s">
        <v>52</v>
      </c>
      <c r="T871" s="488">
        <f t="shared" si="572"/>
        <v>907.6450026</v>
      </c>
      <c r="U871" s="489">
        <f t="shared" si="551"/>
        <v>4</v>
      </c>
      <c r="V871" s="490" t="str">
        <f t="shared" si="552"/>
        <v>#REF!</v>
      </c>
      <c r="W871" s="491">
        <f>(15/1)*$X$755</f>
        <v>60</v>
      </c>
      <c r="X871" s="489">
        <f t="shared" si="739"/>
        <v>480</v>
      </c>
      <c r="Y871" s="492">
        <f t="shared" si="740"/>
        <v>1.9</v>
      </c>
      <c r="Z871" s="493" t="str">
        <f t="shared" si="741"/>
        <v>#REF!</v>
      </c>
      <c r="AA871" s="931" t="str">
        <f t="shared" si="742"/>
        <v/>
      </c>
      <c r="AB871" s="925" t="str">
        <f t="shared" si="565"/>
        <v/>
      </c>
      <c r="AC871" s="595"/>
      <c r="AD871" s="595"/>
      <c r="AE871" s="584"/>
      <c r="AF871" s="595"/>
      <c r="AG871" s="354"/>
      <c r="AH871" s="443"/>
      <c r="AI871" s="595"/>
      <c r="AJ871" s="595"/>
      <c r="AK871" s="595"/>
      <c r="AL871" s="595"/>
      <c r="AM871" s="595"/>
      <c r="AN871" s="584"/>
      <c r="AO871" s="595"/>
      <c r="AP871" s="595"/>
      <c r="AQ871" s="595"/>
      <c r="AR871" s="595"/>
      <c r="AS871" s="595"/>
      <c r="AT871" s="595"/>
      <c r="AU871" s="595"/>
      <c r="AV871" s="595"/>
      <c r="AW871" s="595"/>
      <c r="AX871" s="595"/>
      <c r="AY871" s="595"/>
      <c r="AZ871" s="595"/>
      <c r="BA871" s="595"/>
      <c r="BB871" s="595"/>
      <c r="BC871" s="595"/>
      <c r="BD871" s="595"/>
      <c r="BE871" s="595"/>
      <c r="BF871" s="595"/>
      <c r="BG871" s="595"/>
      <c r="BH871" s="595"/>
      <c r="BI871" s="595"/>
      <c r="BJ871" s="595"/>
      <c r="BK871" s="595"/>
      <c r="BL871" s="651"/>
      <c r="BM871" s="651"/>
      <c r="BN871" s="651"/>
      <c r="BO871" s="651"/>
      <c r="BP871" s="651"/>
      <c r="BQ871" s="651"/>
      <c r="BR871" s="651"/>
      <c r="BS871" s="651"/>
      <c r="BT871" s="651"/>
    </row>
    <row r="872">
      <c r="A872" s="583"/>
      <c r="B872" s="584"/>
      <c r="C872" s="540" t="s">
        <v>299</v>
      </c>
      <c r="D872" s="700"/>
      <c r="E872" s="722"/>
      <c r="F872" s="128"/>
      <c r="G872" s="225"/>
      <c r="H872" s="700"/>
      <c r="I872" s="573" t="str">
        <f>W759</f>
        <v>#REF!</v>
      </c>
      <c r="J872" s="574">
        <f>X755</f>
        <v>4</v>
      </c>
      <c r="K872" s="354"/>
      <c r="L872" s="588"/>
      <c r="M872" s="588"/>
      <c r="N872" s="589"/>
      <c r="O872" s="950"/>
      <c r="P872" s="939" t="str">
        <f>IFERROR(__xludf.DUMMYFUNCTION("IF(Q872="""","""",
   IF(Q872=0,0,
      IF(ISNUMBER(MATCH(Q872,FILTER(R$770:R$890,T$770:T$890&lt;&gt;0),0)),1,0)
   )
)"),"")</f>
        <v/>
      </c>
      <c r="Q872" s="941"/>
      <c r="R872" s="942" t="s">
        <v>617</v>
      </c>
      <c r="S872" s="930" t="s">
        <v>52</v>
      </c>
      <c r="T872" s="488">
        <f t="shared" si="572"/>
        <v>0</v>
      </c>
      <c r="U872" s="489">
        <f t="shared" si="551"/>
        <v>4</v>
      </c>
      <c r="V872" s="490" t="str">
        <f t="shared" si="552"/>
        <v>#REF!</v>
      </c>
      <c r="W872" s="491">
        <f>(40/4)*$X$755</f>
        <v>40</v>
      </c>
      <c r="X872" s="489">
        <f t="shared" si="739"/>
        <v>320</v>
      </c>
      <c r="Y872" s="492">
        <f t="shared" si="740"/>
        <v>0</v>
      </c>
      <c r="Z872" s="493" t="str">
        <f t="shared" si="741"/>
        <v>#REF!</v>
      </c>
      <c r="AA872" s="931" t="str">
        <f t="shared" si="742"/>
        <v/>
      </c>
      <c r="AB872" s="925" t="str">
        <f t="shared" si="565"/>
        <v/>
      </c>
      <c r="AC872" s="595"/>
      <c r="AD872" s="595"/>
      <c r="AE872" s="584"/>
      <c r="AF872" s="595"/>
      <c r="AG872" s="354"/>
      <c r="AH872" s="443"/>
      <c r="AI872" s="595"/>
      <c r="AJ872" s="595"/>
      <c r="AK872" s="595"/>
      <c r="AL872" s="595"/>
      <c r="AM872" s="595"/>
      <c r="AN872" s="584"/>
      <c r="AO872" s="595"/>
      <c r="AP872" s="595"/>
      <c r="AQ872" s="595"/>
      <c r="AR872" s="595"/>
      <c r="AS872" s="595"/>
      <c r="AT872" s="595"/>
      <c r="AU872" s="595"/>
      <c r="AV872" s="595"/>
      <c r="AW872" s="595"/>
      <c r="AX872" s="595"/>
      <c r="AY872" s="595"/>
      <c r="AZ872" s="595"/>
      <c r="BA872" s="595"/>
      <c r="BB872" s="595"/>
      <c r="BC872" s="595"/>
      <c r="BD872" s="595"/>
      <c r="BE872" s="595"/>
      <c r="BF872" s="595"/>
      <c r="BG872" s="595"/>
      <c r="BH872" s="595"/>
      <c r="BI872" s="595"/>
      <c r="BJ872" s="595"/>
      <c r="BK872" s="595"/>
      <c r="BL872" s="651"/>
      <c r="BM872" s="651"/>
      <c r="BN872" s="651"/>
      <c r="BO872" s="651"/>
      <c r="BP872" s="651"/>
      <c r="BQ872" s="651"/>
      <c r="BR872" s="651"/>
      <c r="BS872" s="651"/>
      <c r="BT872" s="651"/>
    </row>
    <row r="873">
      <c r="A873" s="583"/>
      <c r="B873" s="584"/>
      <c r="C873" s="537" t="s">
        <v>26</v>
      </c>
      <c r="D873" s="700"/>
      <c r="E873" s="722"/>
      <c r="F873" s="128"/>
      <c r="G873" s="225"/>
      <c r="H873" s="700"/>
      <c r="I873" s="575" t="str">
        <f>I869/I871</f>
        <v>#REF!</v>
      </c>
      <c r="J873" s="576" t="str">
        <f>W758</f>
        <v>#REF!</v>
      </c>
      <c r="K873" s="354"/>
      <c r="L873" s="588"/>
      <c r="M873" s="588"/>
      <c r="N873" s="589"/>
      <c r="O873" s="950"/>
      <c r="P873" s="939" t="str">
        <f>IFERROR(__xludf.DUMMYFUNCTION("IF(Q873="""","""",
   IF(Q873=0,0,
      IF(ISNUMBER(MATCH(Q873,FILTER(R$770:R$890,T$770:T$890&lt;&gt;0),0)),1,0)
   )
)"),"")</f>
        <v/>
      </c>
      <c r="Q873" s="941"/>
      <c r="R873" s="942" t="s">
        <v>457</v>
      </c>
      <c r="S873" s="930" t="s">
        <v>52</v>
      </c>
      <c r="T873" s="488">
        <f t="shared" si="572"/>
        <v>335.2305541</v>
      </c>
      <c r="U873" s="489">
        <f t="shared" si="551"/>
        <v>4</v>
      </c>
      <c r="V873" s="490" t="str">
        <f t="shared" si="552"/>
        <v>#REF!</v>
      </c>
      <c r="W873" s="491"/>
      <c r="X873" s="489"/>
      <c r="Y873" s="492"/>
      <c r="Z873" s="493"/>
      <c r="AA873" s="931"/>
      <c r="AB873" s="925" t="str">
        <f t="shared" si="565"/>
        <v/>
      </c>
      <c r="AC873" s="947">
        <f>T873+AH819</f>
        <v>335.2305541</v>
      </c>
      <c r="AD873" s="595"/>
      <c r="AE873" s="584"/>
      <c r="AF873" s="595"/>
      <c r="AG873" s="354"/>
      <c r="AH873" s="443"/>
      <c r="AI873" s="595"/>
      <c r="AJ873" s="595"/>
      <c r="AK873" s="595"/>
      <c r="AL873" s="595"/>
      <c r="AM873" s="595"/>
      <c r="AN873" s="584"/>
      <c r="AO873" s="595"/>
      <c r="AP873" s="595"/>
      <c r="AQ873" s="595"/>
      <c r="AR873" s="595"/>
      <c r="AS873" s="595"/>
      <c r="AT873" s="595"/>
      <c r="AU873" s="595"/>
      <c r="AV873" s="595"/>
      <c r="AW873" s="595"/>
      <c r="AX873" s="595"/>
      <c r="AY873" s="595"/>
      <c r="AZ873" s="595"/>
      <c r="BA873" s="595"/>
      <c r="BB873" s="595"/>
      <c r="BC873" s="595"/>
      <c r="BD873" s="595"/>
      <c r="BE873" s="595"/>
      <c r="BF873" s="595"/>
      <c r="BG873" s="595"/>
      <c r="BH873" s="595"/>
      <c r="BI873" s="595"/>
      <c r="BJ873" s="595"/>
      <c r="BK873" s="595"/>
      <c r="BL873" s="651"/>
      <c r="BM873" s="651"/>
      <c r="BN873" s="651"/>
      <c r="BO873" s="651"/>
      <c r="BP873" s="651"/>
      <c r="BQ873" s="651"/>
      <c r="BR873" s="651"/>
      <c r="BS873" s="651"/>
      <c r="BT873" s="651"/>
    </row>
    <row r="874">
      <c r="A874" s="583"/>
      <c r="B874" s="584"/>
      <c r="C874" s="584"/>
      <c r="D874" s="584"/>
      <c r="E874" s="585"/>
      <c r="F874" s="586"/>
      <c r="G874" s="587"/>
      <c r="H874" s="584"/>
      <c r="I874" s="443"/>
      <c r="J874" s="443"/>
      <c r="K874" s="354"/>
      <c r="L874" s="588"/>
      <c r="M874" s="588"/>
      <c r="N874" s="589"/>
      <c r="O874" s="950"/>
      <c r="P874" s="939" t="str">
        <f>IFERROR(__xludf.DUMMYFUNCTION("IF(Q874="""","""",
   IF(Q874=0,0,
      IF(ISNUMBER(MATCH(Q874,FILTER(R$770:R$890,T$770:T$890&lt;&gt;0),0)),1,0)
   )
)"),"")</f>
        <v/>
      </c>
      <c r="Q874" s="941"/>
      <c r="R874" s="942"/>
      <c r="S874" s="930" t="s">
        <v>41</v>
      </c>
      <c r="T874" s="488">
        <f t="shared" si="572"/>
        <v>0</v>
      </c>
      <c r="U874" s="489">
        <f t="shared" si="551"/>
        <v>4</v>
      </c>
      <c r="V874" s="490" t="str">
        <f t="shared" si="552"/>
        <v>#REF!</v>
      </c>
      <c r="W874" s="491">
        <f>(90/3)*$X$755</f>
        <v>120</v>
      </c>
      <c r="X874" s="489">
        <f>W874*W$765</f>
        <v>960</v>
      </c>
      <c r="Y874" s="492">
        <f>ROUNDUP(T874/X874,2)</f>
        <v>0</v>
      </c>
      <c r="Z874" s="493" t="str">
        <f>Y874*V874*U874*W$765</f>
        <v>#REF!</v>
      </c>
      <c r="AA874" s="931" t="str">
        <f>iferror(Z874/T874,"")</f>
        <v/>
      </c>
      <c r="AB874" s="925" t="str">
        <f t="shared" si="565"/>
        <v/>
      </c>
      <c r="AC874" s="595"/>
      <c r="AD874" s="595"/>
      <c r="AE874" s="584"/>
      <c r="AF874" s="595"/>
      <c r="AG874" s="354"/>
      <c r="AH874" s="443"/>
      <c r="AI874" s="595"/>
      <c r="AJ874" s="595"/>
      <c r="AK874" s="595"/>
      <c r="AL874" s="595"/>
      <c r="AM874" s="595"/>
      <c r="AN874" s="584"/>
      <c r="AO874" s="595"/>
      <c r="AP874" s="595"/>
      <c r="AQ874" s="595"/>
      <c r="AR874" s="595"/>
      <c r="AS874" s="595"/>
      <c r="AT874" s="595"/>
      <c r="AU874" s="595"/>
      <c r="AV874" s="595"/>
      <c r="AW874" s="595"/>
      <c r="AX874" s="595"/>
      <c r="AY874" s="595"/>
      <c r="AZ874" s="595"/>
      <c r="BA874" s="595"/>
      <c r="BB874" s="595"/>
      <c r="BC874" s="595"/>
      <c r="BD874" s="595"/>
      <c r="BE874" s="595"/>
      <c r="BF874" s="595"/>
      <c r="BG874" s="595"/>
      <c r="BH874" s="595"/>
      <c r="BI874" s="595"/>
      <c r="BJ874" s="595"/>
      <c r="BK874" s="595"/>
      <c r="BL874" s="651"/>
      <c r="BM874" s="651"/>
      <c r="BN874" s="651"/>
      <c r="BO874" s="651"/>
      <c r="BP874" s="651"/>
      <c r="BQ874" s="651"/>
      <c r="BR874" s="651"/>
      <c r="BS874" s="651"/>
      <c r="BT874" s="651"/>
    </row>
    <row r="875">
      <c r="A875" s="583"/>
      <c r="B875" s="584"/>
      <c r="C875" s="584"/>
      <c r="D875" s="584"/>
      <c r="E875" s="585"/>
      <c r="F875" s="586"/>
      <c r="G875" s="587"/>
      <c r="H875" s="584"/>
      <c r="I875" s="443"/>
      <c r="J875" s="443"/>
      <c r="K875" s="354"/>
      <c r="L875" s="588"/>
      <c r="M875" s="588"/>
      <c r="N875" s="589"/>
      <c r="O875" s="950"/>
      <c r="P875" s="939" t="str">
        <f>IFERROR(__xludf.DUMMYFUNCTION("IF(Q875="""","""",
   IF(Q875=0,0,
      IF(ISNUMBER(MATCH(Q875,FILTER(R$770:R$890,T$770:T$890&lt;&gt;0),0)),1,0)
   )
)"),"")</f>
        <v/>
      </c>
      <c r="Q875" s="941"/>
      <c r="R875" s="942"/>
      <c r="S875" s="930"/>
      <c r="T875" s="488">
        <f t="shared" si="572"/>
        <v>0</v>
      </c>
      <c r="U875" s="489">
        <f t="shared" si="551"/>
        <v>4</v>
      </c>
      <c r="V875" s="490" t="str">
        <f t="shared" si="552"/>
        <v>#REF!</v>
      </c>
      <c r="W875" s="491"/>
      <c r="X875" s="489"/>
      <c r="Y875" s="492"/>
      <c r="Z875" s="493"/>
      <c r="AA875" s="931"/>
      <c r="AB875" s="925" t="str">
        <f t="shared" si="565"/>
        <v/>
      </c>
      <c r="AC875" s="595"/>
      <c r="AD875" s="595"/>
      <c r="AE875" s="584"/>
      <c r="AF875" s="595"/>
      <c r="AG875" s="354"/>
      <c r="AH875" s="443"/>
      <c r="AI875" s="595"/>
      <c r="AJ875" s="595"/>
      <c r="AK875" s="595"/>
      <c r="AL875" s="595"/>
      <c r="AM875" s="595"/>
      <c r="AN875" s="584"/>
      <c r="AO875" s="595"/>
      <c r="AP875" s="595"/>
      <c r="AQ875" s="595"/>
      <c r="AR875" s="595"/>
      <c r="AS875" s="595"/>
      <c r="AT875" s="595"/>
      <c r="AU875" s="595"/>
      <c r="AV875" s="595"/>
      <c r="AW875" s="595"/>
      <c r="AX875" s="595"/>
      <c r="AY875" s="595"/>
      <c r="AZ875" s="595"/>
      <c r="BA875" s="595"/>
      <c r="BB875" s="595"/>
      <c r="BC875" s="595"/>
      <c r="BD875" s="595"/>
      <c r="BE875" s="595"/>
      <c r="BF875" s="595"/>
      <c r="BG875" s="595"/>
      <c r="BH875" s="595"/>
      <c r="BI875" s="595"/>
      <c r="BJ875" s="595"/>
      <c r="BK875" s="595"/>
      <c r="BL875" s="651"/>
      <c r="BM875" s="651"/>
      <c r="BN875" s="651"/>
      <c r="BO875" s="651"/>
      <c r="BP875" s="651"/>
      <c r="BQ875" s="651"/>
      <c r="BR875" s="651"/>
      <c r="BS875" s="651"/>
      <c r="BT875" s="651"/>
    </row>
    <row r="876">
      <c r="A876" s="583"/>
      <c r="B876" s="584"/>
      <c r="C876" s="584"/>
      <c r="D876" s="584"/>
      <c r="E876" s="585"/>
      <c r="F876" s="586"/>
      <c r="G876" s="587"/>
      <c r="H876" s="584"/>
      <c r="I876" s="443"/>
      <c r="J876" s="443"/>
      <c r="K876" s="354"/>
      <c r="L876" s="588"/>
      <c r="M876" s="588"/>
      <c r="N876" s="589"/>
      <c r="O876" s="950"/>
      <c r="P876" s="939" t="str">
        <f>IFERROR(__xludf.DUMMYFUNCTION("IF(Q876="""","""",
   IF(Q876=0,0,
      IF(ISNUMBER(MATCH(Q876,FILTER(R$770:R$890,T$770:T$890&lt;&gt;0),0)),1,0)
   )
)"),"")</f>
        <v/>
      </c>
      <c r="Q876" s="941"/>
      <c r="R876" s="942"/>
      <c r="S876" s="930"/>
      <c r="T876" s="488">
        <f t="shared" si="572"/>
        <v>0</v>
      </c>
      <c r="U876" s="489">
        <f t="shared" si="551"/>
        <v>4</v>
      </c>
      <c r="V876" s="490" t="str">
        <f t="shared" si="552"/>
        <v>#REF!</v>
      </c>
      <c r="W876" s="491"/>
      <c r="X876" s="489"/>
      <c r="Y876" s="492"/>
      <c r="Z876" s="493"/>
      <c r="AA876" s="931"/>
      <c r="AB876" s="925" t="str">
        <f t="shared" si="565"/>
        <v/>
      </c>
      <c r="AC876" s="595"/>
      <c r="AD876" s="595"/>
      <c r="AE876" s="584"/>
      <c r="AF876" s="595"/>
      <c r="AG876" s="354"/>
      <c r="AH876" s="443"/>
      <c r="AI876" s="595"/>
      <c r="AJ876" s="595"/>
      <c r="AK876" s="595"/>
      <c r="AL876" s="595"/>
      <c r="AM876" s="595"/>
      <c r="AN876" s="584"/>
      <c r="AO876" s="595"/>
      <c r="AP876" s="595"/>
      <c r="AQ876" s="595"/>
      <c r="AR876" s="595"/>
      <c r="AS876" s="595"/>
      <c r="AT876" s="595"/>
      <c r="AU876" s="595"/>
      <c r="AV876" s="595"/>
      <c r="AW876" s="595"/>
      <c r="AX876" s="595"/>
      <c r="AY876" s="595"/>
      <c r="AZ876" s="595"/>
      <c r="BA876" s="595"/>
      <c r="BB876" s="595"/>
      <c r="BC876" s="595"/>
      <c r="BD876" s="595"/>
      <c r="BE876" s="595"/>
      <c r="BF876" s="595"/>
      <c r="BG876" s="595"/>
      <c r="BH876" s="595"/>
      <c r="BI876" s="595"/>
      <c r="BJ876" s="595"/>
      <c r="BK876" s="595"/>
      <c r="BL876" s="651"/>
      <c r="BM876" s="651"/>
      <c r="BN876" s="651"/>
      <c r="BO876" s="651"/>
      <c r="BP876" s="651"/>
      <c r="BQ876" s="651"/>
      <c r="BR876" s="651"/>
      <c r="BS876" s="651"/>
      <c r="BT876" s="651"/>
    </row>
    <row r="877">
      <c r="A877" s="583"/>
      <c r="B877" s="584"/>
      <c r="C877" s="584"/>
      <c r="D877" s="584"/>
      <c r="E877" s="585"/>
      <c r="F877" s="586"/>
      <c r="G877" s="587"/>
      <c r="H877" s="584"/>
      <c r="I877" s="443"/>
      <c r="J877" s="443"/>
      <c r="K877" s="354"/>
      <c r="L877" s="588"/>
      <c r="M877" s="588"/>
      <c r="N877" s="589"/>
      <c r="O877" s="590"/>
      <c r="P877" s="939" t="str">
        <f>IFERROR(__xludf.DUMMYFUNCTION("IF(Q877="""","""",
   IF(Q877=0,0,
      IF(ISNUMBER(MATCH(Q877,FILTER(R$770:R$890,T$770:T$890&lt;&gt;0),0)),1,0)
   )
)"),"")</f>
        <v/>
      </c>
      <c r="Q877" s="941"/>
      <c r="R877" s="942"/>
      <c r="S877" s="930"/>
      <c r="T877" s="488">
        <f t="shared" si="572"/>
        <v>0</v>
      </c>
      <c r="U877" s="489">
        <f t="shared" si="551"/>
        <v>4</v>
      </c>
      <c r="V877" s="490" t="str">
        <f t="shared" si="552"/>
        <v>#REF!</v>
      </c>
      <c r="W877" s="491"/>
      <c r="X877" s="489"/>
      <c r="Y877" s="492"/>
      <c r="Z877" s="493"/>
      <c r="AA877" s="931"/>
      <c r="AB877" s="925" t="str">
        <f t="shared" si="565"/>
        <v/>
      </c>
      <c r="AC877" s="595"/>
      <c r="AD877" s="595"/>
      <c r="AE877" s="584"/>
      <c r="AF877" s="595"/>
      <c r="AG877" s="354"/>
      <c r="AH877" s="443"/>
      <c r="AI877" s="595"/>
      <c r="AJ877" s="595"/>
      <c r="AK877" s="595"/>
      <c r="AL877" s="595"/>
      <c r="AM877" s="595"/>
      <c r="AN877" s="584"/>
      <c r="AO877" s="595"/>
      <c r="AP877" s="595"/>
      <c r="AQ877" s="595"/>
      <c r="AR877" s="595"/>
      <c r="AS877" s="595"/>
      <c r="AT877" s="595"/>
      <c r="AU877" s="595"/>
      <c r="AV877" s="595"/>
      <c r="AW877" s="595"/>
      <c r="AX877" s="595"/>
      <c r="AY877" s="595"/>
      <c r="AZ877" s="595"/>
      <c r="BA877" s="595"/>
      <c r="BB877" s="595"/>
      <c r="BC877" s="595"/>
      <c r="BD877" s="595"/>
      <c r="BE877" s="595"/>
      <c r="BF877" s="595"/>
      <c r="BG877" s="595"/>
      <c r="BH877" s="595"/>
      <c r="BI877" s="595"/>
      <c r="BJ877" s="595"/>
      <c r="BK877" s="595"/>
      <c r="BL877" s="651"/>
      <c r="BM877" s="651"/>
      <c r="BN877" s="651"/>
      <c r="BO877" s="651"/>
      <c r="BP877" s="651"/>
      <c r="BQ877" s="651"/>
      <c r="BR877" s="651"/>
      <c r="BS877" s="651"/>
      <c r="BT877" s="651"/>
    </row>
    <row r="878">
      <c r="A878" s="583"/>
      <c r="B878" s="584"/>
      <c r="C878" s="584"/>
      <c r="D878" s="584"/>
      <c r="E878" s="585"/>
      <c r="F878" s="586"/>
      <c r="G878" s="587"/>
      <c r="H878" s="584"/>
      <c r="I878" s="584"/>
      <c r="J878" s="584"/>
      <c r="K878" s="586"/>
      <c r="L878" s="588"/>
      <c r="M878" s="588"/>
      <c r="N878" s="589"/>
      <c r="O878" s="590"/>
      <c r="P878" s="939" t="str">
        <f>IFERROR(__xludf.DUMMYFUNCTION("IF(Q878="""","""",
   IF(Q878=0,0,
      IF(ISNUMBER(MATCH(Q878,FILTER(R$770:R$890,T$770:T$890&lt;&gt;0),0)),1,0)
   )
)"),"")</f>
        <v/>
      </c>
      <c r="Q878" s="941"/>
      <c r="R878" s="942"/>
      <c r="S878" s="930"/>
      <c r="T878" s="488">
        <f t="shared" si="572"/>
        <v>0</v>
      </c>
      <c r="U878" s="489">
        <f t="shared" si="551"/>
        <v>4</v>
      </c>
      <c r="V878" s="490" t="str">
        <f t="shared" si="552"/>
        <v>#REF!</v>
      </c>
      <c r="W878" s="491">
        <f>(90/3)*$X$755</f>
        <v>120</v>
      </c>
      <c r="X878" s="489">
        <f>W878*W$765</f>
        <v>960</v>
      </c>
      <c r="Y878" s="492">
        <f>ROUNDUP(T878/X878,2)</f>
        <v>0</v>
      </c>
      <c r="Z878" s="493" t="str">
        <f>Y878*V878*U878*W$765</f>
        <v>#REF!</v>
      </c>
      <c r="AA878" s="931" t="str">
        <f t="shared" ref="AA878:AA879" si="743">iferror(Z878/T878,"")</f>
        <v/>
      </c>
      <c r="AB878" s="925" t="str">
        <f t="shared" si="565"/>
        <v/>
      </c>
      <c r="AC878" s="595"/>
      <c r="AD878" s="595"/>
      <c r="AE878" s="584"/>
      <c r="AF878" s="595"/>
      <c r="AG878" s="354"/>
      <c r="AH878" s="443"/>
      <c r="AI878" s="595"/>
      <c r="AJ878" s="595"/>
      <c r="AK878" s="595"/>
      <c r="AL878" s="595"/>
      <c r="AM878" s="595"/>
      <c r="AN878" s="584"/>
      <c r="AO878" s="595"/>
      <c r="AP878" s="595"/>
      <c r="AQ878" s="595"/>
      <c r="AR878" s="595"/>
      <c r="AS878" s="595"/>
      <c r="AT878" s="595"/>
      <c r="AU878" s="595"/>
      <c r="AV878" s="595"/>
      <c r="AW878" s="595"/>
      <c r="AX878" s="595"/>
      <c r="AY878" s="595"/>
      <c r="AZ878" s="595"/>
      <c r="BA878" s="595"/>
      <c r="BB878" s="595"/>
      <c r="BC878" s="595"/>
      <c r="BD878" s="595"/>
      <c r="BE878" s="595"/>
      <c r="BF878" s="595"/>
      <c r="BG878" s="595"/>
      <c r="BH878" s="595"/>
      <c r="BI878" s="595"/>
      <c r="BJ878" s="595"/>
      <c r="BK878" s="595"/>
      <c r="BL878" s="651"/>
      <c r="BM878" s="651"/>
      <c r="BN878" s="651"/>
      <c r="BO878" s="651"/>
      <c r="BP878" s="651"/>
      <c r="BQ878" s="651"/>
      <c r="BR878" s="651"/>
      <c r="BS878" s="651"/>
      <c r="BT878" s="651"/>
    </row>
    <row r="879">
      <c r="A879" s="583"/>
      <c r="B879" s="584"/>
      <c r="C879" s="584"/>
      <c r="D879" s="584"/>
      <c r="E879" s="585"/>
      <c r="F879" s="586"/>
      <c r="G879" s="587"/>
      <c r="H879" s="584"/>
      <c r="I879" s="443"/>
      <c r="J879" s="584"/>
      <c r="K879" s="354"/>
      <c r="L879" s="588"/>
      <c r="M879" s="588"/>
      <c r="N879" s="589"/>
      <c r="O879" s="950"/>
      <c r="P879" s="939" t="str">
        <f>IFERROR(__xludf.DUMMYFUNCTION("IF(Q879="""","""",
   IF(Q879=0,0,
      IF(ISNUMBER(MATCH(Q879,FILTER(R$770:R$890,T$770:T$890&lt;&gt;0),0)),1,0)
   )
)"),"")</f>
        <v/>
      </c>
      <c r="Q879" s="941"/>
      <c r="R879" s="942"/>
      <c r="S879" s="930"/>
      <c r="T879" s="488">
        <f t="shared" si="572"/>
        <v>0</v>
      </c>
      <c r="U879" s="489">
        <f t="shared" si="551"/>
        <v>4</v>
      </c>
      <c r="V879" s="490" t="str">
        <f t="shared" si="552"/>
        <v>#REF!</v>
      </c>
      <c r="W879" s="491"/>
      <c r="X879" s="489"/>
      <c r="Y879" s="492"/>
      <c r="Z879" s="493"/>
      <c r="AA879" s="1044" t="str">
        <f t="shared" si="743"/>
        <v/>
      </c>
      <c r="AB879" s="925" t="str">
        <f t="shared" si="565"/>
        <v/>
      </c>
      <c r="AC879" s="595"/>
      <c r="AD879" s="595"/>
      <c r="AE879" s="584"/>
      <c r="AF879" s="595"/>
      <c r="AG879" s="354"/>
      <c r="AH879" s="443"/>
      <c r="AI879" s="595"/>
      <c r="AJ879" s="595"/>
      <c r="AK879" s="595"/>
      <c r="AL879" s="595"/>
      <c r="AM879" s="595"/>
      <c r="AN879" s="584"/>
      <c r="AO879" s="595"/>
      <c r="AP879" s="595"/>
      <c r="AQ879" s="595"/>
      <c r="AR879" s="595"/>
      <c r="AS879" s="595"/>
      <c r="AT879" s="595"/>
      <c r="AU879" s="595"/>
      <c r="AV879" s="595"/>
      <c r="AW879" s="595"/>
      <c r="AX879" s="595"/>
      <c r="AY879" s="595"/>
      <c r="AZ879" s="595"/>
      <c r="BA879" s="595"/>
      <c r="BB879" s="595"/>
      <c r="BC879" s="595"/>
      <c r="BD879" s="595"/>
      <c r="BE879" s="595"/>
      <c r="BF879" s="595"/>
      <c r="BG879" s="595"/>
      <c r="BH879" s="595"/>
      <c r="BI879" s="595"/>
      <c r="BJ879" s="595"/>
      <c r="BK879" s="595"/>
      <c r="BL879" s="651"/>
      <c r="BM879" s="651"/>
      <c r="BN879" s="651"/>
      <c r="BO879" s="651"/>
      <c r="BP879" s="651"/>
      <c r="BQ879" s="651"/>
      <c r="BR879" s="651"/>
      <c r="BS879" s="651"/>
      <c r="BT879" s="651"/>
    </row>
    <row r="880">
      <c r="A880" s="583"/>
      <c r="B880" s="584"/>
      <c r="C880" s="584"/>
      <c r="D880" s="584"/>
      <c r="E880" s="585"/>
      <c r="F880" s="586"/>
      <c r="G880" s="587"/>
      <c r="H880" s="584"/>
      <c r="I880" s="443"/>
      <c r="J880" s="584"/>
      <c r="K880" s="354"/>
      <c r="L880" s="588"/>
      <c r="M880" s="588"/>
      <c r="N880" s="589"/>
      <c r="O880" s="590"/>
      <c r="P880" s="939" t="str">
        <f>IFERROR(__xludf.DUMMYFUNCTION("IF(Q880="""","""",
   IF(Q880=0,0,
      IF(ISNUMBER(MATCH(Q880,FILTER(R$770:R$890,T$770:T$890&lt;&gt;0),0)),1,0)
   )
)"),"")</f>
        <v/>
      </c>
      <c r="Q880" s="941"/>
      <c r="R880" s="942"/>
      <c r="S880" s="930"/>
      <c r="T880" s="488">
        <f t="shared" si="572"/>
        <v>0</v>
      </c>
      <c r="U880" s="489">
        <f t="shared" si="551"/>
        <v>4</v>
      </c>
      <c r="V880" s="490" t="str">
        <f t="shared" si="552"/>
        <v>#REF!</v>
      </c>
      <c r="W880" s="491"/>
      <c r="X880" s="489"/>
      <c r="Y880" s="492"/>
      <c r="Z880" s="493"/>
      <c r="AA880" s="1044"/>
      <c r="AB880" s="925" t="str">
        <f t="shared" si="565"/>
        <v/>
      </c>
      <c r="AC880" s="595"/>
      <c r="AD880" s="595"/>
      <c r="AE880" s="584"/>
      <c r="AF880" s="595"/>
      <c r="AG880" s="354"/>
      <c r="AH880" s="443"/>
      <c r="AI880" s="595"/>
      <c r="AJ880" s="595"/>
      <c r="AK880" s="595"/>
      <c r="AL880" s="595"/>
      <c r="AM880" s="595"/>
      <c r="AN880" s="584"/>
      <c r="AO880" s="595"/>
      <c r="AP880" s="595"/>
      <c r="AQ880" s="595"/>
      <c r="AR880" s="595"/>
      <c r="AS880" s="595"/>
      <c r="AT880" s="595"/>
      <c r="AU880" s="595"/>
      <c r="AV880" s="595"/>
      <c r="AW880" s="595"/>
      <c r="AX880" s="595"/>
      <c r="AY880" s="595"/>
      <c r="AZ880" s="595"/>
      <c r="BA880" s="595"/>
      <c r="BB880" s="595"/>
      <c r="BC880" s="595"/>
      <c r="BD880" s="595"/>
      <c r="BE880" s="595"/>
      <c r="BF880" s="595"/>
      <c r="BG880" s="595"/>
      <c r="BH880" s="595"/>
      <c r="BI880" s="595"/>
      <c r="BJ880" s="595"/>
      <c r="BK880" s="595"/>
      <c r="BL880" s="651"/>
      <c r="BM880" s="651"/>
      <c r="BN880" s="651"/>
      <c r="BO880" s="651"/>
      <c r="BP880" s="651"/>
      <c r="BQ880" s="651"/>
      <c r="BR880" s="651"/>
      <c r="BS880" s="651"/>
      <c r="BT880" s="651"/>
    </row>
    <row r="881">
      <c r="A881" s="583"/>
      <c r="B881" s="584"/>
      <c r="C881" s="584"/>
      <c r="D881" s="584"/>
      <c r="E881" s="585"/>
      <c r="F881" s="586"/>
      <c r="G881" s="587"/>
      <c r="H881" s="584"/>
      <c r="I881" s="584"/>
      <c r="J881" s="584"/>
      <c r="K881" s="586"/>
      <c r="L881" s="588"/>
      <c r="M881" s="588"/>
      <c r="N881" s="589"/>
      <c r="O881" s="590"/>
      <c r="P881" s="939" t="str">
        <f>IFERROR(__xludf.DUMMYFUNCTION("IF(Q881="""","""",
   IF(Q881=0,0,
      IF(ISNUMBER(MATCH(Q881,FILTER(R$770:R$890,T$770:T$890&lt;&gt;0),0)),1,0)
   )
)"),"")</f>
        <v/>
      </c>
      <c r="Q881" s="941"/>
      <c r="R881" s="942"/>
      <c r="S881" s="932" t="s">
        <v>52</v>
      </c>
      <c r="T881" s="488">
        <f t="shared" si="572"/>
        <v>0</v>
      </c>
      <c r="U881" s="489">
        <f t="shared" si="551"/>
        <v>4</v>
      </c>
      <c r="V881" s="490" t="str">
        <f t="shared" si="552"/>
        <v>#REF!</v>
      </c>
      <c r="W881" s="491"/>
      <c r="X881" s="489"/>
      <c r="Y881" s="492"/>
      <c r="Z881" s="493"/>
      <c r="AA881" s="1044"/>
      <c r="AB881" s="925" t="str">
        <f t="shared" si="565"/>
        <v/>
      </c>
      <c r="AC881" s="595"/>
      <c r="AD881" s="595"/>
      <c r="AE881" s="584"/>
      <c r="AF881" s="595"/>
      <c r="AG881" s="354"/>
      <c r="AH881" s="443"/>
      <c r="AI881" s="595"/>
      <c r="AJ881" s="595"/>
      <c r="AK881" s="595"/>
      <c r="AL881" s="595"/>
      <c r="AM881" s="595"/>
      <c r="AN881" s="584"/>
      <c r="AO881" s="595"/>
      <c r="AP881" s="595"/>
      <c r="AQ881" s="595"/>
      <c r="AR881" s="595"/>
      <c r="AS881" s="595"/>
      <c r="AT881" s="595"/>
      <c r="AU881" s="595"/>
      <c r="AV881" s="595"/>
      <c r="AW881" s="595"/>
      <c r="AX881" s="595"/>
      <c r="AY881" s="595"/>
      <c r="AZ881" s="595"/>
      <c r="BA881" s="595"/>
      <c r="BB881" s="595"/>
      <c r="BC881" s="595"/>
      <c r="BD881" s="595"/>
      <c r="BE881" s="595"/>
      <c r="BF881" s="595"/>
      <c r="BG881" s="595"/>
      <c r="BH881" s="595"/>
      <c r="BI881" s="595"/>
      <c r="BJ881" s="595"/>
      <c r="BK881" s="595"/>
      <c r="BL881" s="651"/>
      <c r="BM881" s="651"/>
      <c r="BN881" s="651"/>
      <c r="BO881" s="651"/>
      <c r="BP881" s="651"/>
      <c r="BQ881" s="651"/>
      <c r="BR881" s="651"/>
      <c r="BS881" s="651"/>
      <c r="BT881" s="651"/>
    </row>
    <row r="882">
      <c r="A882" s="583"/>
      <c r="B882" s="584"/>
      <c r="C882" s="584"/>
      <c r="D882" s="584"/>
      <c r="E882" s="585"/>
      <c r="F882" s="586"/>
      <c r="G882" s="587"/>
      <c r="H882" s="584"/>
      <c r="I882" s="584"/>
      <c r="J882" s="584"/>
      <c r="K882" s="586"/>
      <c r="L882" s="588"/>
      <c r="M882" s="588"/>
      <c r="N882" s="589"/>
      <c r="O882" s="950"/>
      <c r="P882" s="939" t="str">
        <f>IFERROR(__xludf.DUMMYFUNCTION("IF(Q882="""","""",
   IF(Q882=0,0,
      IF(ISNUMBER(MATCH(Q882,FILTER(R$770:R$890,T$770:T$890&lt;&gt;0),0)),1,0)
   )
)"),"")</f>
        <v/>
      </c>
      <c r="Q882" s="941"/>
      <c r="R882" s="942"/>
      <c r="S882" s="930"/>
      <c r="T882" s="488">
        <f t="shared" si="572"/>
        <v>0</v>
      </c>
      <c r="U882" s="489">
        <f t="shared" si="551"/>
        <v>4</v>
      </c>
      <c r="V882" s="490" t="str">
        <f t="shared" si="552"/>
        <v>#REF!</v>
      </c>
      <c r="W882" s="491"/>
      <c r="X882" s="489"/>
      <c r="Y882" s="492"/>
      <c r="Z882" s="493"/>
      <c r="AA882" s="931"/>
      <c r="AB882" s="925" t="str">
        <f t="shared" si="565"/>
        <v/>
      </c>
      <c r="AC882" s="595"/>
      <c r="AD882" s="595"/>
      <c r="AE882" s="584"/>
      <c r="AF882" s="595"/>
      <c r="AG882" s="354"/>
      <c r="AH882" s="443"/>
      <c r="AI882" s="595"/>
      <c r="AJ882" s="595"/>
      <c r="AK882" s="595"/>
      <c r="AL882" s="595"/>
      <c r="AM882" s="595"/>
      <c r="AN882" s="584"/>
      <c r="AO882" s="595"/>
      <c r="AP882" s="595"/>
      <c r="AQ882" s="595"/>
      <c r="AR882" s="595"/>
      <c r="AS882" s="595"/>
      <c r="AT882" s="595"/>
      <c r="AU882" s="595"/>
      <c r="AV882" s="595"/>
      <c r="AW882" s="595"/>
      <c r="AX882" s="595"/>
      <c r="AY882" s="595"/>
      <c r="AZ882" s="595"/>
      <c r="BA882" s="595"/>
      <c r="BB882" s="595"/>
      <c r="BC882" s="595"/>
      <c r="BD882" s="595"/>
      <c r="BE882" s="595"/>
      <c r="BF882" s="595"/>
      <c r="BG882" s="595"/>
      <c r="BH882" s="595"/>
      <c r="BI882" s="595"/>
      <c r="BJ882" s="595"/>
      <c r="BK882" s="595"/>
      <c r="BL882" s="651"/>
      <c r="BM882" s="651"/>
      <c r="BN882" s="651"/>
      <c r="BO882" s="651"/>
      <c r="BP882" s="651"/>
      <c r="BQ882" s="651"/>
      <c r="BR882" s="651"/>
      <c r="BS882" s="651"/>
      <c r="BT882" s="651"/>
    </row>
    <row r="883">
      <c r="A883" s="583"/>
      <c r="B883" s="584"/>
      <c r="C883" s="584"/>
      <c r="D883" s="584"/>
      <c r="E883" s="585"/>
      <c r="F883" s="586"/>
      <c r="G883" s="587"/>
      <c r="H883" s="584"/>
      <c r="I883" s="443"/>
      <c r="J883" s="443"/>
      <c r="K883" s="354"/>
      <c r="L883" s="588"/>
      <c r="M883" s="588"/>
      <c r="N883" s="589"/>
      <c r="O883" s="950"/>
      <c r="P883" s="939"/>
      <c r="Q883" s="941"/>
      <c r="R883" s="942"/>
      <c r="S883" s="930"/>
      <c r="T883" s="488">
        <f t="shared" si="572"/>
        <v>0</v>
      </c>
      <c r="U883" s="489">
        <f t="shared" si="551"/>
        <v>4</v>
      </c>
      <c r="V883" s="490" t="str">
        <f t="shared" si="552"/>
        <v>#REF!</v>
      </c>
      <c r="W883" s="491"/>
      <c r="X883" s="489"/>
      <c r="Y883" s="492"/>
      <c r="Z883" s="493"/>
      <c r="AA883" s="1044"/>
      <c r="AB883" s="925" t="str">
        <f t="shared" si="565"/>
        <v/>
      </c>
      <c r="AC883" s="595"/>
      <c r="AD883" s="595"/>
      <c r="AE883" s="584"/>
      <c r="AF883" s="595"/>
      <c r="AG883" s="354"/>
      <c r="AH883" s="443"/>
      <c r="AI883" s="595"/>
      <c r="AJ883" s="595"/>
      <c r="AK883" s="595"/>
      <c r="AL883" s="595"/>
      <c r="AM883" s="595"/>
      <c r="AN883" s="584"/>
      <c r="AO883" s="595"/>
      <c r="AP883" s="595"/>
      <c r="AQ883" s="595"/>
      <c r="AR883" s="595"/>
      <c r="AS883" s="595"/>
      <c r="AT883" s="595"/>
      <c r="AU883" s="595"/>
      <c r="AV883" s="595"/>
      <c r="AW883" s="595"/>
      <c r="AX883" s="595"/>
      <c r="AY883" s="595"/>
      <c r="AZ883" s="595"/>
      <c r="BA883" s="595"/>
      <c r="BB883" s="595"/>
      <c r="BC883" s="595"/>
      <c r="BD883" s="595"/>
      <c r="BE883" s="595"/>
      <c r="BF883" s="595"/>
      <c r="BG883" s="595"/>
      <c r="BH883" s="595"/>
      <c r="BI883" s="595"/>
      <c r="BJ883" s="595"/>
      <c r="BK883" s="595"/>
      <c r="BL883" s="651"/>
      <c r="BM883" s="651"/>
      <c r="BN883" s="651"/>
      <c r="BO883" s="651"/>
      <c r="BP883" s="651"/>
      <c r="BQ883" s="651"/>
      <c r="BR883" s="651"/>
      <c r="BS883" s="651"/>
      <c r="BT883" s="651"/>
    </row>
    <row r="884">
      <c r="A884" s="583"/>
      <c r="B884" s="584"/>
      <c r="C884" s="584"/>
      <c r="D884" s="584"/>
      <c r="E884" s="585"/>
      <c r="F884" s="586"/>
      <c r="G884" s="587"/>
      <c r="H884" s="584"/>
      <c r="I884" s="443"/>
      <c r="J884" s="443"/>
      <c r="K884" s="354"/>
      <c r="L884" s="588"/>
      <c r="M884" s="588"/>
      <c r="N884" s="589"/>
      <c r="O884" s="595"/>
      <c r="P884" s="939"/>
      <c r="Q884" s="941"/>
      <c r="R884" s="942"/>
      <c r="S884" s="930"/>
      <c r="T884" s="488">
        <f t="shared" si="572"/>
        <v>0</v>
      </c>
      <c r="U884" s="489">
        <f t="shared" si="551"/>
        <v>4</v>
      </c>
      <c r="V884" s="490" t="str">
        <f t="shared" si="552"/>
        <v>#REF!</v>
      </c>
      <c r="W884" s="491"/>
      <c r="X884" s="489"/>
      <c r="Y884" s="492"/>
      <c r="Z884" s="493"/>
      <c r="AA884" s="931"/>
      <c r="AB884" s="925" t="str">
        <f t="shared" si="565"/>
        <v/>
      </c>
      <c r="AC884" s="595"/>
      <c r="AD884" s="595"/>
      <c r="AE884" s="584"/>
      <c r="AF884" s="595"/>
      <c r="AG884" s="354"/>
      <c r="AH884" s="443"/>
      <c r="AI884" s="595"/>
      <c r="AJ884" s="595"/>
      <c r="AK884" s="595"/>
      <c r="AL884" s="595"/>
      <c r="AM884" s="595"/>
      <c r="AN884" s="584"/>
      <c r="AO884" s="595"/>
      <c r="AP884" s="595"/>
      <c r="AQ884" s="595"/>
      <c r="AR884" s="595"/>
      <c r="AS884" s="595"/>
      <c r="AT884" s="595"/>
      <c r="AU884" s="595"/>
      <c r="AV884" s="595"/>
      <c r="AW884" s="595"/>
      <c r="AX884" s="595"/>
      <c r="AY884" s="595"/>
      <c r="AZ884" s="595"/>
      <c r="BA884" s="595"/>
      <c r="BB884" s="595"/>
      <c r="BC884" s="595"/>
      <c r="BD884" s="595"/>
      <c r="BE884" s="595"/>
      <c r="BF884" s="595"/>
      <c r="BG884" s="595"/>
      <c r="BH884" s="595"/>
      <c r="BI884" s="595"/>
      <c r="BJ884" s="595"/>
      <c r="BK884" s="595"/>
      <c r="BL884" s="651"/>
      <c r="BM884" s="651"/>
      <c r="BN884" s="651"/>
      <c r="BO884" s="651"/>
      <c r="BP884" s="651"/>
      <c r="BQ884" s="651"/>
      <c r="BR884" s="651"/>
      <c r="BS884" s="651"/>
      <c r="BT884" s="651"/>
    </row>
    <row r="885">
      <c r="A885" s="583"/>
      <c r="B885" s="584"/>
      <c r="C885" s="584"/>
      <c r="D885" s="584"/>
      <c r="E885" s="585"/>
      <c r="F885" s="586"/>
      <c r="G885" s="587"/>
      <c r="H885" s="584"/>
      <c r="I885" s="443"/>
      <c r="J885" s="443"/>
      <c r="K885" s="354"/>
      <c r="L885" s="588"/>
      <c r="M885" s="588"/>
      <c r="N885" s="589"/>
      <c r="O885" s="595"/>
      <c r="P885" s="939"/>
      <c r="Q885" s="941"/>
      <c r="R885" s="942"/>
      <c r="S885" s="932" t="s">
        <v>52</v>
      </c>
      <c r="T885" s="488">
        <f t="shared" si="572"/>
        <v>0</v>
      </c>
      <c r="U885" s="489">
        <f t="shared" si="551"/>
        <v>4</v>
      </c>
      <c r="V885" s="490" t="str">
        <f t="shared" si="552"/>
        <v>#REF!</v>
      </c>
      <c r="W885" s="491">
        <f>(40/4)*$X$755</f>
        <v>40</v>
      </c>
      <c r="X885" s="489">
        <f t="shared" ref="X885:X886" si="744">W885*W$765</f>
        <v>320</v>
      </c>
      <c r="Y885" s="492">
        <f t="shared" ref="Y885:Y886" si="745">ROUNDUP(T885/X885,2)</f>
        <v>0</v>
      </c>
      <c r="Z885" s="493" t="str">
        <f t="shared" ref="Z885:Z886" si="746">Y885*V885*U885*W$765</f>
        <v>#REF!</v>
      </c>
      <c r="AA885" s="931" t="str">
        <f t="shared" ref="AA885:AA886" si="747">iferror(Z885/T885,"")</f>
        <v/>
      </c>
      <c r="AB885" s="925" t="str">
        <f t="shared" si="565"/>
        <v/>
      </c>
      <c r="AC885" s="595"/>
      <c r="AD885" s="595"/>
      <c r="AE885" s="584"/>
      <c r="AF885" s="595"/>
      <c r="AG885" s="354"/>
      <c r="AH885" s="443"/>
      <c r="AI885" s="595"/>
      <c r="AJ885" s="595"/>
      <c r="AK885" s="595"/>
      <c r="AL885" s="595"/>
      <c r="AM885" s="595"/>
      <c r="AN885" s="584"/>
      <c r="AO885" s="595"/>
      <c r="AP885" s="595"/>
      <c r="AQ885" s="595"/>
      <c r="AR885" s="595"/>
      <c r="AS885" s="595"/>
      <c r="AT885" s="595"/>
      <c r="AU885" s="595"/>
      <c r="AV885" s="595"/>
      <c r="AW885" s="595"/>
      <c r="AX885" s="595"/>
      <c r="AY885" s="595"/>
      <c r="AZ885" s="595"/>
      <c r="BA885" s="595"/>
      <c r="BB885" s="595"/>
      <c r="BC885" s="595"/>
      <c r="BD885" s="595"/>
      <c r="BE885" s="595"/>
      <c r="BF885" s="595"/>
      <c r="BG885" s="595"/>
      <c r="BH885" s="595"/>
      <c r="BI885" s="595"/>
      <c r="BJ885" s="595"/>
      <c r="BK885" s="595"/>
      <c r="BL885" s="651"/>
      <c r="BM885" s="651"/>
      <c r="BN885" s="651"/>
      <c r="BO885" s="651"/>
      <c r="BP885" s="651"/>
      <c r="BQ885" s="651"/>
      <c r="BR885" s="651"/>
      <c r="BS885" s="651"/>
      <c r="BT885" s="651"/>
    </row>
    <row r="886">
      <c r="A886" s="583"/>
      <c r="B886" s="584"/>
      <c r="C886" s="584"/>
      <c r="D886" s="584"/>
      <c r="E886" s="585"/>
      <c r="F886" s="586"/>
      <c r="G886" s="587"/>
      <c r="H886" s="584"/>
      <c r="I886" s="443"/>
      <c r="J886" s="443"/>
      <c r="K886" s="354"/>
      <c r="L886" s="588"/>
      <c r="M886" s="588"/>
      <c r="N886" s="589"/>
      <c r="O886" s="595"/>
      <c r="P886" s="939"/>
      <c r="Q886" s="941"/>
      <c r="R886" s="942"/>
      <c r="S886" s="930"/>
      <c r="T886" s="488">
        <f t="shared" si="572"/>
        <v>0</v>
      </c>
      <c r="U886" s="489">
        <f t="shared" si="551"/>
        <v>4</v>
      </c>
      <c r="V886" s="490" t="str">
        <f t="shared" si="552"/>
        <v>#REF!</v>
      </c>
      <c r="W886" s="491">
        <f>(90/3)*$X$755</f>
        <v>120</v>
      </c>
      <c r="X886" s="489">
        <f t="shared" si="744"/>
        <v>960</v>
      </c>
      <c r="Y886" s="492">
        <f t="shared" si="745"/>
        <v>0</v>
      </c>
      <c r="Z886" s="493" t="str">
        <f t="shared" si="746"/>
        <v>#REF!</v>
      </c>
      <c r="AA886" s="1044" t="str">
        <f t="shared" si="747"/>
        <v/>
      </c>
      <c r="AB886" s="925" t="str">
        <f t="shared" si="565"/>
        <v/>
      </c>
      <c r="AC886" s="595"/>
      <c r="AD886" s="595"/>
      <c r="AE886" s="584"/>
      <c r="AF886" s="595"/>
      <c r="AG886" s="354"/>
      <c r="AH886" s="443"/>
      <c r="AI886" s="595"/>
      <c r="AJ886" s="595"/>
      <c r="AK886" s="595"/>
      <c r="AL886" s="595"/>
      <c r="AM886" s="595"/>
      <c r="AN886" s="584"/>
      <c r="AO886" s="595"/>
      <c r="AP886" s="595"/>
      <c r="AQ886" s="584"/>
      <c r="AR886" s="584"/>
      <c r="AS886" s="584"/>
      <c r="AT886" s="584"/>
      <c r="AU886" s="584"/>
      <c r="AV886" s="584"/>
      <c r="AW886" s="584"/>
      <c r="AX886" s="584"/>
      <c r="AY886" s="584"/>
      <c r="AZ886" s="584"/>
      <c r="BA886" s="584"/>
      <c r="BB886" s="595"/>
      <c r="BC886" s="595"/>
      <c r="BD886" s="595"/>
      <c r="BE886" s="595"/>
      <c r="BF886" s="595"/>
      <c r="BG886" s="595"/>
      <c r="BH886" s="595"/>
      <c r="BI886" s="595"/>
      <c r="BJ886" s="595"/>
      <c r="BK886" s="595"/>
      <c r="BL886" s="651"/>
      <c r="BM886" s="651"/>
      <c r="BN886" s="651"/>
      <c r="BO886" s="651"/>
      <c r="BP886" s="651"/>
      <c r="BQ886" s="651"/>
      <c r="BR886" s="651"/>
      <c r="BS886" s="651"/>
      <c r="BT886" s="651"/>
    </row>
    <row r="887">
      <c r="A887" s="583"/>
      <c r="B887" s="584"/>
      <c r="C887" s="584"/>
      <c r="D887" s="584"/>
      <c r="E887" s="585"/>
      <c r="F887" s="586"/>
      <c r="G887" s="587"/>
      <c r="H887" s="584"/>
      <c r="I887" s="443"/>
      <c r="J887" s="443"/>
      <c r="K887" s="354"/>
      <c r="L887" s="588"/>
      <c r="M887" s="588"/>
      <c r="N887" s="589"/>
      <c r="O887" s="595"/>
      <c r="P887" s="939"/>
      <c r="Q887" s="941"/>
      <c r="R887" s="929"/>
      <c r="S887" s="930"/>
      <c r="T887" s="488">
        <f t="shared" si="572"/>
        <v>0</v>
      </c>
      <c r="U887" s="489"/>
      <c r="V887" s="490"/>
      <c r="W887" s="491"/>
      <c r="X887" s="489"/>
      <c r="Y887" s="492"/>
      <c r="Z887" s="493"/>
      <c r="AA887" s="1044"/>
      <c r="AB887" s="925" t="str">
        <f t="shared" si="565"/>
        <v/>
      </c>
      <c r="AC887" s="595"/>
      <c r="AD887" s="595"/>
      <c r="AE887" s="584"/>
      <c r="AF887" s="595"/>
      <c r="AG887" s="354"/>
      <c r="AH887" s="443"/>
      <c r="AI887" s="595"/>
      <c r="AJ887" s="595"/>
      <c r="AK887" s="595"/>
      <c r="AL887" s="595"/>
      <c r="AM887" s="595"/>
      <c r="AN887" s="584"/>
      <c r="AO887" s="595"/>
      <c r="AP887" s="595"/>
      <c r="AQ887" s="584"/>
      <c r="AR887" s="584"/>
      <c r="AS887" s="584"/>
      <c r="AT887" s="584"/>
      <c r="AU887" s="584"/>
      <c r="AV887" s="584"/>
      <c r="AW887" s="584"/>
      <c r="AX887" s="584"/>
      <c r="AY887" s="584"/>
      <c r="AZ887" s="584"/>
      <c r="BA887" s="584"/>
      <c r="BB887" s="595"/>
      <c r="BC887" s="595"/>
      <c r="BD887" s="595"/>
      <c r="BE887" s="595"/>
      <c r="BF887" s="595"/>
      <c r="BG887" s="595"/>
      <c r="BH887" s="595"/>
      <c r="BI887" s="595"/>
      <c r="BJ887" s="595"/>
      <c r="BK887" s="595"/>
      <c r="BL887" s="651"/>
      <c r="BM887" s="651"/>
      <c r="BN887" s="651"/>
      <c r="BO887" s="651"/>
      <c r="BP887" s="651"/>
      <c r="BQ887" s="651"/>
      <c r="BR887" s="651"/>
      <c r="BS887" s="651"/>
      <c r="BT887" s="651"/>
    </row>
    <row r="888">
      <c r="A888" s="583"/>
      <c r="B888" s="584"/>
      <c r="C888" s="584"/>
      <c r="D888" s="584"/>
      <c r="E888" s="585"/>
      <c r="F888" s="586"/>
      <c r="G888" s="587"/>
      <c r="H888" s="584"/>
      <c r="I888" s="443"/>
      <c r="J888" s="443"/>
      <c r="K888" s="354"/>
      <c r="L888" s="588"/>
      <c r="M888" s="588"/>
      <c r="N888" s="589"/>
      <c r="O888" s="595"/>
      <c r="P888" s="939"/>
      <c r="Q888" s="941"/>
      <c r="R888" s="929"/>
      <c r="S888" s="930"/>
      <c r="T888" s="488">
        <f t="shared" si="572"/>
        <v>0</v>
      </c>
      <c r="U888" s="489"/>
      <c r="V888" s="490"/>
      <c r="W888" s="491"/>
      <c r="X888" s="489"/>
      <c r="Y888" s="492"/>
      <c r="Z888" s="493"/>
      <c r="AA888" s="1044"/>
      <c r="AB888" s="925" t="str">
        <f t="shared" si="565"/>
        <v/>
      </c>
      <c r="AC888" s="595"/>
      <c r="AD888" s="595"/>
      <c r="AE888" s="584"/>
      <c r="AF888" s="595"/>
      <c r="AG888" s="354"/>
      <c r="AH888" s="443"/>
      <c r="AI888" s="595"/>
      <c r="AJ888" s="595"/>
      <c r="AK888" s="595"/>
      <c r="AL888" s="595"/>
      <c r="AM888" s="595"/>
      <c r="AN888" s="584"/>
      <c r="AO888" s="595"/>
      <c r="AP888" s="595"/>
      <c r="AQ888" s="584"/>
      <c r="AR888" s="584"/>
      <c r="AS888" s="584"/>
      <c r="AT888" s="584"/>
      <c r="AU888" s="584"/>
      <c r="AV888" s="584"/>
      <c r="AW888" s="584"/>
      <c r="AX888" s="584"/>
      <c r="AY888" s="584"/>
      <c r="AZ888" s="584"/>
      <c r="BA888" s="584"/>
      <c r="BB888" s="595"/>
      <c r="BC888" s="595"/>
      <c r="BD888" s="595"/>
      <c r="BE888" s="595"/>
      <c r="BF888" s="595"/>
      <c r="BG888" s="595"/>
      <c r="BH888" s="595"/>
      <c r="BI888" s="595"/>
      <c r="BJ888" s="595"/>
      <c r="BK888" s="595"/>
      <c r="BL888" s="651"/>
      <c r="BM888" s="651"/>
      <c r="BN888" s="651"/>
      <c r="BO888" s="651"/>
      <c r="BP888" s="651"/>
      <c r="BQ888" s="651"/>
      <c r="BR888" s="651"/>
      <c r="BS888" s="651"/>
      <c r="BT888" s="651"/>
    </row>
    <row r="889">
      <c r="A889" s="583"/>
      <c r="B889" s="584"/>
      <c r="C889" s="584"/>
      <c r="D889" s="584"/>
      <c r="E889" s="585"/>
      <c r="F889" s="586"/>
      <c r="G889" s="587"/>
      <c r="H889" s="584"/>
      <c r="I889" s="443"/>
      <c r="J889" s="443"/>
      <c r="K889" s="354"/>
      <c r="L889" s="588"/>
      <c r="M889" s="588"/>
      <c r="N889" s="589"/>
      <c r="O889" s="595"/>
      <c r="P889" s="939"/>
      <c r="Q889" s="941"/>
      <c r="R889" s="1045" t="s">
        <v>618</v>
      </c>
      <c r="S889" s="918" t="s">
        <v>251</v>
      </c>
      <c r="T889" s="919"/>
      <c r="U889" s="480">
        <f t="shared" ref="U889:U890" si="748">$X$755</f>
        <v>4</v>
      </c>
      <c r="V889" s="481" t="str">
        <f t="shared" ref="V889:V890" si="749">AC$758</f>
        <v>#REF!</v>
      </c>
      <c r="W889" s="919"/>
      <c r="X889" s="919"/>
      <c r="Y889" s="1046"/>
      <c r="Z889" s="483" t="str">
        <f t="shared" ref="Z889:Z890" si="750">Y889*V889*U889*W$765</f>
        <v>#REF!</v>
      </c>
      <c r="AA889" s="921"/>
      <c r="AB889" s="921"/>
      <c r="AC889" s="595"/>
      <c r="AD889" s="595"/>
      <c r="AE889" s="584"/>
      <c r="AF889" s="595"/>
      <c r="AG889" s="354"/>
      <c r="AH889" s="443"/>
      <c r="AI889" s="595"/>
      <c r="AJ889" s="595"/>
      <c r="AK889" s="595"/>
      <c r="AL889" s="595"/>
      <c r="AM889" s="595"/>
      <c r="AN889" s="584"/>
      <c r="AO889" s="595"/>
      <c r="AP889" s="595"/>
      <c r="AQ889" s="584"/>
      <c r="AR889" s="584"/>
      <c r="AS889" s="584"/>
      <c r="AT889" s="584"/>
      <c r="AU889" s="584"/>
      <c r="AV889" s="584"/>
      <c r="AW889" s="584"/>
      <c r="AX889" s="584"/>
      <c r="AY889" s="584"/>
      <c r="AZ889" s="584"/>
      <c r="BA889" s="584"/>
      <c r="BB889" s="595"/>
      <c r="BC889" s="595"/>
      <c r="BD889" s="595"/>
      <c r="BE889" s="595"/>
      <c r="BF889" s="595"/>
      <c r="BG889" s="595"/>
      <c r="BH889" s="595"/>
      <c r="BI889" s="595"/>
      <c r="BJ889" s="595"/>
      <c r="BK889" s="595"/>
      <c r="BL889" s="651"/>
      <c r="BM889" s="651"/>
      <c r="BN889" s="651"/>
      <c r="BO889" s="651"/>
      <c r="BP889" s="651"/>
      <c r="BQ889" s="651"/>
      <c r="BR889" s="651"/>
      <c r="BS889" s="651"/>
      <c r="BT889" s="651"/>
    </row>
    <row r="890">
      <c r="A890" s="583"/>
      <c r="B890" s="584"/>
      <c r="C890" s="584"/>
      <c r="D890" s="584"/>
      <c r="E890" s="585"/>
      <c r="F890" s="586"/>
      <c r="G890" s="587"/>
      <c r="H890" s="584"/>
      <c r="I890" s="443"/>
      <c r="J890" s="443"/>
      <c r="K890" s="354"/>
      <c r="L890" s="588"/>
      <c r="M890" s="588"/>
      <c r="N890" s="589"/>
      <c r="O890" s="595"/>
      <c r="P890" s="939"/>
      <c r="Q890" s="941"/>
      <c r="R890" s="917" t="s">
        <v>250</v>
      </c>
      <c r="S890" s="918" t="s">
        <v>251</v>
      </c>
      <c r="T890" s="919"/>
      <c r="U890" s="480">
        <f t="shared" si="748"/>
        <v>4</v>
      </c>
      <c r="V890" s="481" t="str">
        <f t="shared" si="749"/>
        <v>#REF!</v>
      </c>
      <c r="W890" s="919"/>
      <c r="X890" s="919"/>
      <c r="Y890" s="920"/>
      <c r="Z890" s="483" t="str">
        <f t="shared" si="750"/>
        <v>#REF!</v>
      </c>
      <c r="AA890" s="921"/>
      <c r="AB890" s="921"/>
      <c r="AC890" s="595"/>
      <c r="AD890" s="595"/>
      <c r="AE890" s="584"/>
      <c r="AF890" s="595"/>
      <c r="AG890" s="354"/>
      <c r="AH890" s="443"/>
      <c r="AI890" s="595"/>
      <c r="AJ890" s="595"/>
      <c r="AK890" s="595"/>
      <c r="AL890" s="595"/>
      <c r="AM890" s="595"/>
      <c r="AN890" s="584"/>
      <c r="AO890" s="595"/>
      <c r="AP890" s="595"/>
      <c r="AQ890" s="584"/>
      <c r="AR890" s="584"/>
      <c r="AS890" s="584"/>
      <c r="AT890" s="584"/>
      <c r="AU890" s="584"/>
      <c r="AV890" s="584"/>
      <c r="AW890" s="584"/>
      <c r="AX890" s="584"/>
      <c r="AY890" s="584"/>
      <c r="AZ890" s="584"/>
      <c r="BA890" s="584"/>
      <c r="BB890" s="595"/>
      <c r="BC890" s="595"/>
      <c r="BD890" s="595"/>
      <c r="BE890" s="595"/>
      <c r="BF890" s="595"/>
      <c r="BG890" s="595"/>
      <c r="BH890" s="595"/>
      <c r="BI890" s="595"/>
      <c r="BJ890" s="595"/>
      <c r="BK890" s="595"/>
      <c r="BL890" s="651"/>
      <c r="BM890" s="651"/>
      <c r="BN890" s="651"/>
      <c r="BO890" s="651"/>
      <c r="BP890" s="651"/>
      <c r="BQ890" s="651"/>
      <c r="BR890" s="651"/>
      <c r="BS890" s="651"/>
      <c r="BT890" s="651"/>
    </row>
    <row r="891">
      <c r="A891" s="583"/>
      <c r="B891" s="584"/>
      <c r="C891" s="584"/>
      <c r="D891" s="584"/>
      <c r="E891" s="585"/>
      <c r="F891" s="586"/>
      <c r="G891" s="587"/>
      <c r="H891" s="584"/>
      <c r="I891" s="443"/>
      <c r="J891" s="443"/>
      <c r="K891" s="354"/>
      <c r="L891" s="588"/>
      <c r="M891" s="588"/>
      <c r="N891" s="589"/>
      <c r="O891" s="950"/>
      <c r="P891" s="1047"/>
      <c r="Q891" s="1048"/>
      <c r="R891" s="1049"/>
      <c r="S891" s="1050"/>
      <c r="T891" s="1051"/>
      <c r="U891" s="1052">
        <f>AVERAGE(U767:U791)</f>
        <v>4</v>
      </c>
      <c r="V891" s="1053"/>
      <c r="W891" s="1054"/>
      <c r="X891" s="1055">
        <f>X755</f>
        <v>4</v>
      </c>
      <c r="Y891" s="1056" t="str">
        <f t="shared" ref="Y891:Z891" si="751">SUM(Y767:Y890)</f>
        <v>#REF!</v>
      </c>
      <c r="Z891" s="1057" t="str">
        <f t="shared" si="751"/>
        <v>#REF!</v>
      </c>
      <c r="AA891" s="1058" t="str">
        <f>Z891/Y891/X891</f>
        <v>#REF!</v>
      </c>
      <c r="AB891" s="1058"/>
      <c r="AC891" s="595"/>
      <c r="AD891" s="595"/>
      <c r="AE891" s="584"/>
      <c r="AF891" s="595"/>
      <c r="AG891" s="354"/>
      <c r="AH891" s="443"/>
      <c r="AI891" s="595"/>
      <c r="AJ891" s="595"/>
      <c r="AK891" s="595"/>
      <c r="AL891" s="595"/>
      <c r="AM891" s="595"/>
      <c r="AN891" s="584"/>
      <c r="AO891" s="595"/>
      <c r="AP891" s="595"/>
      <c r="AQ891" s="584"/>
      <c r="AR891" s="584"/>
      <c r="AS891" s="584"/>
      <c r="AT891" s="584"/>
      <c r="AU891" s="584"/>
      <c r="AV891" s="584"/>
      <c r="AW891" s="584"/>
      <c r="AX891" s="584"/>
      <c r="AY891" s="584"/>
      <c r="AZ891" s="584"/>
      <c r="BA891" s="584"/>
      <c r="BB891" s="595"/>
      <c r="BC891" s="595"/>
      <c r="BD891" s="595"/>
      <c r="BE891" s="595"/>
      <c r="BF891" s="595"/>
      <c r="BG891" s="595"/>
      <c r="BH891" s="595"/>
      <c r="BI891" s="595"/>
      <c r="BJ891" s="595"/>
      <c r="BK891" s="595"/>
      <c r="BL891" s="651"/>
      <c r="BM891" s="651"/>
      <c r="BN891" s="651"/>
      <c r="BO891" s="651"/>
      <c r="BP891" s="651"/>
      <c r="BQ891" s="651"/>
      <c r="BR891" s="651"/>
      <c r="BS891" s="651"/>
      <c r="BT891" s="651"/>
    </row>
    <row r="892" ht="12.75" customHeight="1">
      <c r="A892" s="583"/>
      <c r="B892" s="584"/>
      <c r="C892" s="584"/>
      <c r="D892" s="584"/>
      <c r="E892" s="585"/>
      <c r="F892" s="586"/>
      <c r="G892" s="587"/>
      <c r="H892" s="584"/>
      <c r="I892" s="443"/>
      <c r="J892" s="443"/>
      <c r="K892" s="354"/>
      <c r="L892" s="588"/>
      <c r="M892" s="588"/>
      <c r="N892" s="589"/>
      <c r="O892" s="595"/>
      <c r="P892" s="1059"/>
      <c r="Q892" s="1060"/>
      <c r="R892" s="984"/>
      <c r="S892" s="1061"/>
      <c r="T892" s="1062"/>
      <c r="U892" s="963"/>
      <c r="V892" s="963"/>
      <c r="W892" s="1062"/>
      <c r="X892" s="1063">
        <v>8.0</v>
      </c>
      <c r="Y892" s="1064" t="str">
        <f>X891/X892*Y891</f>
        <v>#REF!</v>
      </c>
      <c r="Z892" s="1065" t="str">
        <f>AA891*Y892*X892</f>
        <v>#REF!</v>
      </c>
      <c r="AA892" s="963"/>
      <c r="AB892" s="1061"/>
      <c r="AC892" s="595"/>
      <c r="AD892" s="595"/>
      <c r="AE892" s="584"/>
      <c r="AF892" s="595"/>
      <c r="AG892" s="354"/>
      <c r="AH892" s="443"/>
      <c r="AI892" s="595"/>
      <c r="AJ892" s="595"/>
      <c r="AK892" s="595"/>
      <c r="AL892" s="595"/>
      <c r="AM892" s="595"/>
      <c r="AN892" s="584"/>
      <c r="AO892" s="595"/>
      <c r="AP892" s="595"/>
      <c r="AQ892" s="584"/>
      <c r="AR892" s="584"/>
      <c r="AS892" s="584"/>
      <c r="AT892" s="584"/>
      <c r="AU892" s="584"/>
      <c r="AV892" s="584"/>
      <c r="AW892" s="584"/>
      <c r="AX892" s="584"/>
      <c r="AY892" s="584"/>
      <c r="AZ892" s="584"/>
      <c r="BA892" s="584"/>
      <c r="BB892" s="595"/>
      <c r="BC892" s="595"/>
      <c r="BD892" s="595"/>
      <c r="BE892" s="595"/>
      <c r="BF892" s="595"/>
      <c r="BG892" s="595"/>
      <c r="BH892" s="595"/>
      <c r="BI892" s="595"/>
      <c r="BJ892" s="595"/>
      <c r="BK892" s="595"/>
      <c r="BL892" s="651"/>
      <c r="BM892" s="651"/>
      <c r="BN892" s="651"/>
      <c r="BO892" s="651"/>
      <c r="BP892" s="651"/>
      <c r="BQ892" s="651"/>
      <c r="BR892" s="651"/>
      <c r="BS892" s="651"/>
      <c r="BT892" s="651"/>
    </row>
    <row r="893" ht="12.75" customHeight="1">
      <c r="A893" s="583"/>
      <c r="B893" s="584"/>
      <c r="C893" s="584"/>
      <c r="D893" s="584"/>
      <c r="E893" s="585"/>
      <c r="F893" s="586"/>
      <c r="G893" s="587"/>
      <c r="H893" s="584"/>
      <c r="I893" s="443"/>
      <c r="J893" s="443"/>
      <c r="K893" s="354"/>
      <c r="L893" s="588"/>
      <c r="M893" s="588"/>
      <c r="N893" s="589"/>
      <c r="O893" s="595"/>
      <c r="P893" s="392"/>
      <c r="Q893" s="807"/>
      <c r="R893" s="603"/>
      <c r="S893" s="354"/>
      <c r="T893" s="584"/>
      <c r="U893" s="595"/>
      <c r="V893" s="595"/>
      <c r="W893" s="595"/>
      <c r="X893" s="443"/>
      <c r="Y893" s="595"/>
      <c r="Z893" s="595"/>
      <c r="AA893" s="595"/>
      <c r="AB893" s="354"/>
      <c r="AC893" s="595"/>
      <c r="AD893" s="595"/>
      <c r="AE893" s="584"/>
      <c r="AF893" s="595"/>
      <c r="AG893" s="354"/>
      <c r="AH893" s="443"/>
      <c r="AI893" s="595"/>
      <c r="AJ893" s="595"/>
      <c r="AK893" s="595"/>
      <c r="AL893" s="595"/>
      <c r="AM893" s="595"/>
      <c r="AN893" s="584"/>
      <c r="AO893" s="595"/>
      <c r="AP893" s="595"/>
      <c r="AQ893" s="584"/>
      <c r="AR893" s="584"/>
      <c r="AS893" s="584"/>
      <c r="AT893" s="584"/>
      <c r="AU893" s="584"/>
      <c r="AV893" s="584"/>
      <c r="AW893" s="584"/>
      <c r="AX893" s="584"/>
      <c r="AY893" s="584"/>
      <c r="AZ893" s="584"/>
      <c r="BA893" s="584"/>
      <c r="BB893" s="595"/>
      <c r="BC893" s="595"/>
      <c r="BD893" s="595"/>
      <c r="BE893" s="595"/>
      <c r="BF893" s="595"/>
      <c r="BG893" s="595"/>
      <c r="BH893" s="595"/>
      <c r="BI893" s="595"/>
      <c r="BJ893" s="595"/>
      <c r="BK893" s="595"/>
      <c r="BL893" s="651"/>
      <c r="BM893" s="651"/>
      <c r="BN893" s="651"/>
      <c r="BO893" s="651"/>
      <c r="BP893" s="651"/>
      <c r="BQ893" s="651"/>
      <c r="BR893" s="651"/>
      <c r="BS893" s="651"/>
      <c r="BT893" s="651"/>
    </row>
    <row r="894" ht="12.75" customHeight="1">
      <c r="A894" s="583"/>
      <c r="B894" s="584"/>
      <c r="C894" s="584"/>
      <c r="D894" s="584"/>
      <c r="E894" s="585"/>
      <c r="F894" s="586"/>
      <c r="G894" s="587"/>
      <c r="H894" s="584"/>
      <c r="I894" s="443"/>
      <c r="J894" s="443"/>
      <c r="K894" s="354"/>
      <c r="L894" s="588"/>
      <c r="M894" s="588"/>
      <c r="N894" s="589"/>
      <c r="O894" s="595"/>
      <c r="P894" s="392"/>
      <c r="Q894" s="807"/>
      <c r="R894" s="603"/>
      <c r="S894" s="354"/>
      <c r="T894" s="584"/>
      <c r="U894" s="595"/>
      <c r="V894" s="595"/>
      <c r="W894" s="595"/>
      <c r="X894" s="443"/>
      <c r="Y894" s="595"/>
      <c r="Z894" s="595"/>
      <c r="AA894" s="595"/>
      <c r="AB894" s="354"/>
      <c r="AC894" s="595"/>
      <c r="AD894" s="595"/>
      <c r="AE894" s="584"/>
      <c r="AF894" s="595"/>
      <c r="AG894" s="354"/>
      <c r="AH894" s="443"/>
      <c r="AI894" s="595"/>
      <c r="AJ894" s="595"/>
      <c r="AK894" s="595"/>
      <c r="AL894" s="595"/>
      <c r="AM894" s="595"/>
      <c r="AN894" s="584"/>
      <c r="AO894" s="595"/>
      <c r="AP894" s="595"/>
      <c r="AQ894" s="584"/>
      <c r="AR894" s="584"/>
      <c r="AS894" s="584"/>
      <c r="AT894" s="584"/>
      <c r="AU894" s="584"/>
      <c r="AV894" s="584"/>
      <c r="AW894" s="584"/>
      <c r="AX894" s="584"/>
      <c r="AY894" s="584"/>
      <c r="AZ894" s="584"/>
      <c r="BA894" s="584"/>
      <c r="BB894" s="595"/>
      <c r="BC894" s="595"/>
      <c r="BD894" s="595"/>
      <c r="BE894" s="595"/>
      <c r="BF894" s="595"/>
      <c r="BG894" s="595"/>
      <c r="BH894" s="595"/>
      <c r="BI894" s="595"/>
      <c r="BJ894" s="595"/>
      <c r="BK894" s="595"/>
      <c r="BL894" s="651"/>
      <c r="BM894" s="651"/>
      <c r="BN894" s="651"/>
      <c r="BO894" s="651"/>
      <c r="BP894" s="651"/>
      <c r="BQ894" s="651"/>
      <c r="BR894" s="651"/>
      <c r="BS894" s="651"/>
      <c r="BT894" s="651"/>
    </row>
    <row r="895" ht="12.75" customHeight="1">
      <c r="A895" s="583"/>
      <c r="B895" s="584"/>
      <c r="C895" s="584"/>
      <c r="D895" s="584"/>
      <c r="E895" s="585"/>
      <c r="F895" s="586"/>
      <c r="G895" s="587"/>
      <c r="H895" s="584"/>
      <c r="I895" s="443"/>
      <c r="J895" s="443"/>
      <c r="K895" s="354"/>
      <c r="L895" s="588"/>
      <c r="M895" s="588"/>
      <c r="N895" s="589"/>
      <c r="O895" s="595"/>
      <c r="P895" s="392"/>
      <c r="Q895" s="807"/>
      <c r="R895" s="603"/>
      <c r="S895" s="354"/>
      <c r="T895" s="584"/>
      <c r="U895" s="595"/>
      <c r="V895" s="595"/>
      <c r="W895" s="595"/>
      <c r="X895" s="443"/>
      <c r="Y895" s="595"/>
      <c r="Z895" s="595"/>
      <c r="AA895" s="595"/>
      <c r="AB895" s="354"/>
      <c r="AC895" s="595"/>
      <c r="AD895" s="595"/>
      <c r="AE895" s="584"/>
      <c r="AF895" s="595"/>
      <c r="AG895" s="354"/>
      <c r="AH895" s="443"/>
      <c r="AI895" s="595"/>
      <c r="AJ895" s="595"/>
      <c r="AK895" s="595"/>
      <c r="AL895" s="595"/>
      <c r="AM895" s="595"/>
      <c r="AN895" s="584"/>
      <c r="AO895" s="595"/>
      <c r="AP895" s="595"/>
      <c r="AQ895" s="584"/>
      <c r="AR895" s="584"/>
      <c r="AS895" s="584"/>
      <c r="AT895" s="584"/>
      <c r="AU895" s="584"/>
      <c r="AV895" s="584"/>
      <c r="AW895" s="584"/>
      <c r="AX895" s="584"/>
      <c r="AY895" s="584"/>
      <c r="AZ895" s="584"/>
      <c r="BA895" s="584"/>
      <c r="BB895" s="595"/>
      <c r="BC895" s="595"/>
      <c r="BD895" s="595"/>
      <c r="BE895" s="595"/>
      <c r="BF895" s="595"/>
      <c r="BG895" s="595"/>
      <c r="BH895" s="595"/>
      <c r="BI895" s="595"/>
      <c r="BJ895" s="595"/>
      <c r="BK895" s="595"/>
      <c r="BL895" s="651"/>
      <c r="BM895" s="651"/>
      <c r="BN895" s="651"/>
      <c r="BO895" s="651"/>
      <c r="BP895" s="651"/>
      <c r="BQ895" s="651"/>
      <c r="BR895" s="651"/>
      <c r="BS895" s="651"/>
      <c r="BT895" s="651"/>
    </row>
    <row r="896" ht="12.75" customHeight="1">
      <c r="A896" s="583"/>
      <c r="B896" s="584"/>
      <c r="C896" s="584"/>
      <c r="D896" s="584"/>
      <c r="E896" s="585"/>
      <c r="F896" s="586"/>
      <c r="G896" s="587"/>
      <c r="H896" s="584"/>
      <c r="I896" s="443"/>
      <c r="J896" s="443"/>
      <c r="K896" s="354"/>
      <c r="L896" s="588"/>
      <c r="M896" s="588"/>
      <c r="N896" s="589"/>
      <c r="O896" s="595"/>
      <c r="P896" s="392"/>
      <c r="Q896" s="807"/>
      <c r="R896" s="603"/>
      <c r="S896" s="354"/>
      <c r="T896" s="584"/>
      <c r="U896" s="595"/>
      <c r="V896" s="595"/>
      <c r="W896" s="595"/>
      <c r="X896" s="443"/>
      <c r="Y896" s="595"/>
      <c r="Z896" s="595"/>
      <c r="AA896" s="595"/>
      <c r="AB896" s="354"/>
      <c r="AC896" s="595"/>
      <c r="AD896" s="595"/>
      <c r="AE896" s="584"/>
      <c r="AF896" s="595"/>
      <c r="AG896" s="354"/>
      <c r="AH896" s="443"/>
      <c r="AI896" s="595"/>
      <c r="AJ896" s="595"/>
      <c r="AK896" s="595"/>
      <c r="AL896" s="595"/>
      <c r="AM896" s="595"/>
      <c r="AN896" s="584"/>
      <c r="AO896" s="595"/>
      <c r="AP896" s="595"/>
      <c r="AQ896" s="584"/>
      <c r="AR896" s="584"/>
      <c r="AS896" s="584"/>
      <c r="AT896" s="584"/>
      <c r="AU896" s="584"/>
      <c r="AV896" s="584"/>
      <c r="AW896" s="584"/>
      <c r="AX896" s="584"/>
      <c r="AY896" s="584"/>
      <c r="AZ896" s="584"/>
      <c r="BA896" s="584"/>
      <c r="BB896" s="595"/>
      <c r="BC896" s="595"/>
      <c r="BD896" s="595"/>
      <c r="BE896" s="595"/>
      <c r="BF896" s="595"/>
      <c r="BG896" s="595"/>
      <c r="BH896" s="595"/>
      <c r="BI896" s="595"/>
      <c r="BJ896" s="595"/>
      <c r="BK896" s="651"/>
      <c r="BL896" s="651"/>
      <c r="BM896" s="651"/>
      <c r="BN896" s="651"/>
      <c r="BO896" s="651"/>
      <c r="BP896" s="651"/>
      <c r="BQ896" s="651"/>
      <c r="BR896" s="651"/>
      <c r="BS896" s="651"/>
      <c r="BT896" s="651"/>
    </row>
    <row r="897" ht="12.75" customHeight="1">
      <c r="A897" s="583"/>
      <c r="B897" s="584"/>
      <c r="C897" s="584"/>
      <c r="D897" s="584"/>
      <c r="E897" s="585"/>
      <c r="F897" s="586"/>
      <c r="G897" s="587"/>
      <c r="H897" s="584"/>
      <c r="I897" s="443"/>
      <c r="J897" s="443"/>
      <c r="K897" s="354"/>
      <c r="L897" s="588"/>
      <c r="M897" s="588"/>
      <c r="N897" s="589"/>
      <c r="O897" s="595"/>
      <c r="P897" s="392"/>
      <c r="Q897" s="807"/>
      <c r="R897" s="603"/>
      <c r="S897" s="354"/>
      <c r="T897" s="584"/>
      <c r="U897" s="595"/>
      <c r="V897" s="595"/>
      <c r="W897" s="595"/>
      <c r="X897" s="443"/>
      <c r="Y897" s="595"/>
      <c r="Z897" s="595"/>
      <c r="AA897" s="595"/>
      <c r="AB897" s="354"/>
      <c r="AC897" s="595"/>
      <c r="AD897" s="595"/>
      <c r="AE897" s="584"/>
      <c r="AF897" s="595"/>
      <c r="AG897" s="354"/>
      <c r="AH897" s="443"/>
      <c r="AI897" s="595"/>
      <c r="AJ897" s="595"/>
      <c r="AK897" s="595"/>
      <c r="AL897" s="595"/>
      <c r="AM897" s="595"/>
      <c r="AN897" s="584"/>
      <c r="AO897" s="595"/>
      <c r="AP897" s="595"/>
      <c r="AQ897" s="584"/>
      <c r="AR897" s="584"/>
      <c r="AS897" s="584"/>
      <c r="AT897" s="584"/>
      <c r="AU897" s="584"/>
      <c r="AV897" s="584"/>
      <c r="AW897" s="584"/>
      <c r="AX897" s="584"/>
      <c r="AY897" s="584"/>
      <c r="AZ897" s="584"/>
      <c r="BA897" s="584"/>
      <c r="BB897" s="595"/>
      <c r="BC897" s="595"/>
      <c r="BD897" s="595"/>
      <c r="BE897" s="595"/>
      <c r="BF897" s="595"/>
      <c r="BG897" s="595"/>
      <c r="BH897" s="595"/>
      <c r="BI897" s="595"/>
      <c r="BJ897" s="595"/>
      <c r="BK897" s="651"/>
      <c r="BL897" s="651"/>
      <c r="BM897" s="651"/>
      <c r="BN897" s="651"/>
      <c r="BO897" s="651"/>
      <c r="BP897" s="651"/>
      <c r="BQ897" s="651"/>
      <c r="BR897" s="651"/>
      <c r="BS897" s="651"/>
      <c r="BT897" s="651"/>
    </row>
    <row r="898" ht="12.75" customHeight="1">
      <c r="A898" s="583"/>
      <c r="B898" s="584"/>
      <c r="C898" s="584"/>
      <c r="D898" s="584"/>
      <c r="E898" s="585"/>
      <c r="F898" s="586"/>
      <c r="G898" s="587"/>
      <c r="H898" s="584"/>
      <c r="I898" s="443"/>
      <c r="J898" s="443"/>
      <c r="K898" s="354"/>
      <c r="L898" s="588"/>
      <c r="M898" s="588"/>
      <c r="N898" s="589"/>
      <c r="O898" s="595"/>
      <c r="P898" s="392"/>
      <c r="Q898" s="807"/>
      <c r="R898" s="603"/>
      <c r="S898" s="354"/>
      <c r="T898" s="584"/>
      <c r="U898" s="595"/>
      <c r="V898" s="595"/>
      <c r="W898" s="595"/>
      <c r="X898" s="443"/>
      <c r="Y898" s="595"/>
      <c r="Z898" s="595"/>
      <c r="AA898" s="595"/>
      <c r="AB898" s="354"/>
      <c r="AC898" s="595"/>
      <c r="AD898" s="595"/>
      <c r="AE898" s="584"/>
      <c r="AF898" s="595"/>
      <c r="AG898" s="354"/>
      <c r="AH898" s="443"/>
      <c r="AI898" s="595"/>
      <c r="AJ898" s="595"/>
      <c r="AK898" s="595"/>
      <c r="AL898" s="595"/>
      <c r="AM898" s="595"/>
      <c r="AN898" s="584"/>
      <c r="AO898" s="595"/>
      <c r="AP898" s="595"/>
      <c r="AQ898" s="584"/>
      <c r="AR898" s="584"/>
      <c r="AS898" s="584"/>
      <c r="AT898" s="584"/>
      <c r="AU898" s="584"/>
      <c r="AV898" s="584"/>
      <c r="AW898" s="584"/>
      <c r="AX898" s="584"/>
      <c r="AY898" s="584"/>
      <c r="AZ898" s="584"/>
      <c r="BA898" s="584"/>
      <c r="BB898" s="595"/>
      <c r="BC898" s="595"/>
      <c r="BD898" s="595"/>
      <c r="BE898" s="595"/>
      <c r="BF898" s="595"/>
      <c r="BG898" s="595"/>
      <c r="BH898" s="595"/>
      <c r="BI898" s="595"/>
      <c r="BJ898" s="595"/>
      <c r="BK898" s="651"/>
      <c r="BL898" s="651"/>
      <c r="BM898" s="651"/>
      <c r="BN898" s="651"/>
      <c r="BO898" s="651"/>
      <c r="BP898" s="651"/>
      <c r="BQ898" s="651"/>
      <c r="BR898" s="651"/>
      <c r="BS898" s="651"/>
      <c r="BT898" s="651"/>
    </row>
    <row r="899" ht="12.75" customHeight="1">
      <c r="A899" s="583"/>
      <c r="B899" s="584"/>
      <c r="C899" s="584"/>
      <c r="D899" s="584"/>
      <c r="E899" s="585"/>
      <c r="F899" s="586"/>
      <c r="G899" s="587"/>
      <c r="H899" s="584"/>
      <c r="I899" s="443"/>
      <c r="J899" s="443"/>
      <c r="K899" s="354"/>
      <c r="L899" s="588"/>
      <c r="M899" s="588"/>
      <c r="N899" s="589"/>
      <c r="O899" s="595"/>
      <c r="P899" s="392"/>
      <c r="Q899" s="807"/>
      <c r="R899" s="603"/>
      <c r="S899" s="354"/>
      <c r="T899" s="584"/>
      <c r="U899" s="595"/>
      <c r="V899" s="595"/>
      <c r="W899" s="595"/>
      <c r="X899" s="443"/>
      <c r="Y899" s="595"/>
      <c r="Z899" s="595"/>
      <c r="AA899" s="595"/>
      <c r="AB899" s="354"/>
      <c r="AC899" s="595"/>
      <c r="AD899" s="595"/>
      <c r="AE899" s="584"/>
      <c r="AF899" s="595"/>
      <c r="AG899" s="354"/>
      <c r="AH899" s="443"/>
      <c r="AI899" s="595"/>
      <c r="AJ899" s="595"/>
      <c r="AK899" s="595"/>
      <c r="AL899" s="595"/>
      <c r="AM899" s="595"/>
      <c r="AN899" s="584"/>
      <c r="AO899" s="595"/>
      <c r="AP899" s="595"/>
      <c r="AQ899" s="584"/>
      <c r="AR899" s="584"/>
      <c r="AS899" s="584"/>
      <c r="AT899" s="584"/>
      <c r="AU899" s="584"/>
      <c r="AV899" s="584"/>
      <c r="AW899" s="584"/>
      <c r="AX899" s="584"/>
      <c r="AY899" s="584"/>
      <c r="AZ899" s="584"/>
      <c r="BA899" s="584"/>
      <c r="BB899" s="595"/>
      <c r="BC899" s="595"/>
      <c r="BD899" s="595"/>
      <c r="BE899" s="595"/>
      <c r="BF899" s="595"/>
      <c r="BG899" s="595"/>
      <c r="BH899" s="595"/>
      <c r="BI899" s="595"/>
      <c r="BJ899" s="595"/>
      <c r="BK899" s="651"/>
      <c r="BL899" s="651"/>
      <c r="BM899" s="651"/>
      <c r="BN899" s="651"/>
      <c r="BO899" s="651"/>
      <c r="BP899" s="651"/>
      <c r="BQ899" s="651"/>
      <c r="BR899" s="651"/>
      <c r="BS899" s="651"/>
      <c r="BT899" s="651"/>
    </row>
    <row r="900" ht="12.75" customHeight="1">
      <c r="A900" s="583"/>
      <c r="B900" s="584"/>
      <c r="C900" s="584"/>
      <c r="D900" s="584"/>
      <c r="E900" s="585"/>
      <c r="F900" s="586"/>
      <c r="G900" s="587"/>
      <c r="H900" s="584"/>
      <c r="I900" s="443"/>
      <c r="J900" s="443"/>
      <c r="K900" s="354"/>
      <c r="L900" s="588"/>
      <c r="M900" s="588"/>
      <c r="N900" s="589"/>
      <c r="O900" s="595"/>
      <c r="P900" s="392"/>
      <c r="Q900" s="807"/>
      <c r="R900" s="603"/>
      <c r="S900" s="354"/>
      <c r="T900" s="584"/>
      <c r="U900" s="595"/>
      <c r="V900" s="595"/>
      <c r="W900" s="595"/>
      <c r="X900" s="443"/>
      <c r="Y900" s="595"/>
      <c r="Z900" s="595"/>
      <c r="AA900" s="595"/>
      <c r="AB900" s="354"/>
      <c r="AC900" s="595"/>
      <c r="AD900" s="595"/>
      <c r="AE900" s="584"/>
      <c r="AF900" s="595"/>
      <c r="AG900" s="354"/>
      <c r="AH900" s="443"/>
      <c r="AI900" s="595"/>
      <c r="AJ900" s="595"/>
      <c r="AK900" s="595"/>
      <c r="AL900" s="595"/>
      <c r="AM900" s="595"/>
      <c r="AN900" s="584"/>
      <c r="AO900" s="595"/>
      <c r="AP900" s="595"/>
      <c r="AQ900" s="584"/>
      <c r="AR900" s="584"/>
      <c r="AS900" s="584"/>
      <c r="AT900" s="584"/>
      <c r="AU900" s="584"/>
      <c r="AV900" s="584"/>
      <c r="AW900" s="584"/>
      <c r="AX900" s="584"/>
      <c r="AY900" s="584"/>
      <c r="AZ900" s="584"/>
      <c r="BA900" s="584"/>
      <c r="BB900" s="595"/>
      <c r="BC900" s="595"/>
      <c r="BD900" s="595"/>
      <c r="BE900" s="595"/>
      <c r="BF900" s="595"/>
      <c r="BG900" s="595"/>
      <c r="BH900" s="595"/>
      <c r="BI900" s="595"/>
      <c r="BJ900" s="595"/>
      <c r="BK900" s="651"/>
      <c r="BL900" s="651"/>
      <c r="BM900" s="651"/>
      <c r="BN900" s="651"/>
      <c r="BO900" s="651"/>
      <c r="BP900" s="651"/>
      <c r="BQ900" s="651"/>
      <c r="BR900" s="651"/>
      <c r="BS900" s="651"/>
      <c r="BT900" s="651"/>
    </row>
    <row r="901" ht="12.75" customHeight="1">
      <c r="A901" s="583"/>
      <c r="B901" s="584"/>
      <c r="C901" s="584"/>
      <c r="D901" s="584"/>
      <c r="E901" s="585"/>
      <c r="F901" s="586"/>
      <c r="G901" s="587"/>
      <c r="H901" s="584"/>
      <c r="I901" s="443"/>
      <c r="J901" s="443"/>
      <c r="K901" s="354"/>
      <c r="L901" s="588"/>
      <c r="M901" s="588"/>
      <c r="N901" s="589"/>
      <c r="O901" s="595"/>
      <c r="P901" s="392"/>
      <c r="Q901" s="807"/>
      <c r="R901" s="603"/>
      <c r="S901" s="354"/>
      <c r="T901" s="584"/>
      <c r="U901" s="595"/>
      <c r="V901" s="595"/>
      <c r="W901" s="595"/>
      <c r="X901" s="443"/>
      <c r="Y901" s="595"/>
      <c r="Z901" s="595"/>
      <c r="AA901" s="595"/>
      <c r="AB901" s="354"/>
      <c r="AC901" s="595"/>
      <c r="AD901" s="595"/>
      <c r="AE901" s="584"/>
      <c r="AF901" s="595"/>
      <c r="AG901" s="354"/>
      <c r="AH901" s="443"/>
      <c r="AI901" s="595"/>
      <c r="AJ901" s="595"/>
      <c r="AK901" s="595"/>
      <c r="AL901" s="595"/>
      <c r="AM901" s="595"/>
      <c r="AN901" s="584"/>
      <c r="AO901" s="595"/>
      <c r="AP901" s="595"/>
      <c r="AQ901" s="595"/>
      <c r="AR901" s="595"/>
      <c r="AS901" s="595"/>
      <c r="AT901" s="595"/>
      <c r="AU901" s="595"/>
      <c r="AV901" s="595"/>
      <c r="AW901" s="595"/>
      <c r="AX901" s="595"/>
      <c r="AY901" s="595"/>
      <c r="AZ901" s="595"/>
      <c r="BA901" s="595"/>
      <c r="BB901" s="595"/>
      <c r="BC901" s="595"/>
      <c r="BD901" s="595"/>
      <c r="BE901" s="595"/>
      <c r="BF901" s="595"/>
      <c r="BG901" s="595"/>
      <c r="BH901" s="595"/>
      <c r="BI901" s="595"/>
      <c r="BJ901" s="595"/>
      <c r="BK901" s="651"/>
      <c r="BL901" s="651"/>
      <c r="BM901" s="651"/>
      <c r="BN901" s="651"/>
      <c r="BO901" s="651"/>
      <c r="BP901" s="651"/>
      <c r="BQ901" s="651"/>
      <c r="BR901" s="651"/>
      <c r="BS901" s="651"/>
      <c r="BT901" s="651"/>
    </row>
    <row r="902" ht="12.75" customHeight="1">
      <c r="A902" s="583"/>
      <c r="B902" s="584"/>
      <c r="C902" s="584"/>
      <c r="D902" s="584"/>
      <c r="E902" s="585"/>
      <c r="F902" s="586"/>
      <c r="G902" s="587"/>
      <c r="H902" s="584"/>
      <c r="I902" s="443"/>
      <c r="J902" s="443"/>
      <c r="K902" s="354"/>
      <c r="L902" s="588"/>
      <c r="M902" s="588"/>
      <c r="N902" s="589"/>
      <c r="O902" s="595"/>
      <c r="P902" s="392"/>
      <c r="Q902" s="807"/>
      <c r="R902" s="603"/>
      <c r="S902" s="354"/>
      <c r="T902" s="584"/>
      <c r="U902" s="595"/>
      <c r="V902" s="595"/>
      <c r="W902" s="595"/>
      <c r="X902" s="443"/>
      <c r="Y902" s="595"/>
      <c r="Z902" s="595"/>
      <c r="AA902" s="595"/>
      <c r="AB902" s="354"/>
      <c r="AC902" s="595"/>
      <c r="AD902" s="595"/>
      <c r="AE902" s="584"/>
      <c r="AF902" s="595"/>
      <c r="AG902" s="354"/>
      <c r="AH902" s="443"/>
      <c r="AI902" s="595"/>
      <c r="AJ902" s="595"/>
      <c r="AK902" s="595"/>
      <c r="AL902" s="595"/>
      <c r="AM902" s="595"/>
      <c r="AN902" s="584"/>
      <c r="AO902" s="595"/>
      <c r="AP902" s="595"/>
      <c r="AQ902" s="595"/>
      <c r="AR902" s="595"/>
      <c r="AS902" s="595"/>
      <c r="AT902" s="595"/>
      <c r="AU902" s="595"/>
      <c r="AV902" s="595"/>
      <c r="AW902" s="595"/>
      <c r="AX902" s="595"/>
      <c r="AY902" s="595"/>
      <c r="AZ902" s="595"/>
      <c r="BA902" s="595"/>
      <c r="BB902" s="595"/>
      <c r="BC902" s="595"/>
      <c r="BD902" s="595"/>
      <c r="BE902" s="595"/>
      <c r="BF902" s="595"/>
      <c r="BG902" s="595"/>
      <c r="BH902" s="595"/>
      <c r="BI902" s="595"/>
      <c r="BJ902" s="595"/>
      <c r="BK902" s="651"/>
      <c r="BL902" s="651"/>
      <c r="BM902" s="651"/>
      <c r="BN902" s="651"/>
      <c r="BO902" s="651"/>
      <c r="BP902" s="651"/>
      <c r="BQ902" s="651"/>
      <c r="BR902" s="651"/>
      <c r="BS902" s="651"/>
      <c r="BT902" s="651"/>
    </row>
    <row r="903" ht="12.75" customHeight="1">
      <c r="A903" s="583"/>
      <c r="B903" s="584"/>
      <c r="C903" s="584"/>
      <c r="D903" s="584"/>
      <c r="E903" s="585"/>
      <c r="F903" s="586"/>
      <c r="G903" s="587"/>
      <c r="H903" s="584"/>
      <c r="I903" s="443"/>
      <c r="J903" s="443"/>
      <c r="K903" s="354"/>
      <c r="L903" s="588"/>
      <c r="M903" s="588"/>
      <c r="N903" s="589"/>
      <c r="O903" s="595"/>
      <c r="P903" s="392"/>
      <c r="Q903" s="807"/>
      <c r="R903" s="603"/>
      <c r="S903" s="354"/>
      <c r="T903" s="584"/>
      <c r="U903" s="595"/>
      <c r="V903" s="595"/>
      <c r="W903" s="595"/>
      <c r="X903" s="443"/>
      <c r="Y903" s="595"/>
      <c r="Z903" s="595"/>
      <c r="AA903" s="595"/>
      <c r="AB903" s="354"/>
      <c r="AC903" s="595"/>
      <c r="AD903" s="595"/>
      <c r="AE903" s="584"/>
      <c r="AF903" s="595"/>
      <c r="AG903" s="354"/>
      <c r="AH903" s="443"/>
      <c r="AI903" s="595"/>
      <c r="AJ903" s="595"/>
      <c r="AK903" s="595"/>
      <c r="AL903" s="595"/>
      <c r="AM903" s="595"/>
      <c r="AN903" s="584"/>
      <c r="AO903" s="595"/>
      <c r="AP903" s="595"/>
      <c r="AQ903" s="595"/>
      <c r="AR903" s="595"/>
      <c r="AS903" s="595"/>
      <c r="AT903" s="595"/>
      <c r="AU903" s="595"/>
      <c r="AV903" s="595"/>
      <c r="AW903" s="595"/>
      <c r="AX903" s="595"/>
      <c r="AY903" s="595"/>
      <c r="AZ903" s="595"/>
      <c r="BA903" s="595"/>
      <c r="BB903" s="595"/>
      <c r="BC903" s="595"/>
      <c r="BD903" s="595"/>
      <c r="BE903" s="595"/>
      <c r="BF903" s="595"/>
      <c r="BG903" s="595"/>
      <c r="BH903" s="595"/>
      <c r="BI903" s="595"/>
      <c r="BJ903" s="595"/>
      <c r="BK903" s="651"/>
      <c r="BL903" s="651"/>
      <c r="BM903" s="651"/>
      <c r="BN903" s="651"/>
      <c r="BO903" s="651"/>
      <c r="BP903" s="651"/>
      <c r="BQ903" s="651"/>
      <c r="BR903" s="651"/>
      <c r="BS903" s="651"/>
      <c r="BT903" s="651"/>
    </row>
    <row r="904" ht="12.75" customHeight="1">
      <c r="A904" s="583"/>
      <c r="B904" s="584"/>
      <c r="C904" s="584"/>
      <c r="D904" s="584"/>
      <c r="E904" s="585"/>
      <c r="F904" s="586"/>
      <c r="G904" s="587"/>
      <c r="H904" s="584"/>
      <c r="I904" s="443"/>
      <c r="J904" s="443"/>
      <c r="K904" s="354"/>
      <c r="L904" s="588"/>
      <c r="M904" s="588"/>
      <c r="N904" s="589"/>
      <c r="O904" s="595"/>
      <c r="P904" s="392"/>
      <c r="Q904" s="807"/>
      <c r="R904" s="603"/>
      <c r="S904" s="354"/>
      <c r="T904" s="584"/>
      <c r="U904" s="595"/>
      <c r="V904" s="595"/>
      <c r="W904" s="595"/>
      <c r="X904" s="443"/>
      <c r="Y904" s="595"/>
      <c r="Z904" s="595"/>
      <c r="AA904" s="595"/>
      <c r="AB904" s="354"/>
      <c r="AC904" s="595"/>
      <c r="AD904" s="595"/>
      <c r="AE904" s="584"/>
      <c r="AF904" s="595"/>
      <c r="AG904" s="354"/>
      <c r="AH904" s="443"/>
      <c r="AI904" s="595"/>
      <c r="AJ904" s="595"/>
      <c r="AK904" s="595"/>
      <c r="AL904" s="595"/>
      <c r="AM904" s="595"/>
      <c r="AN904" s="584"/>
      <c r="AO904" s="595"/>
      <c r="AP904" s="595"/>
      <c r="AQ904" s="595"/>
      <c r="AR904" s="595"/>
      <c r="AS904" s="595"/>
      <c r="AT904" s="595"/>
      <c r="AU904" s="595"/>
      <c r="AV904" s="595"/>
      <c r="AW904" s="595"/>
      <c r="AX904" s="595"/>
      <c r="AY904" s="595"/>
      <c r="AZ904" s="595"/>
      <c r="BA904" s="595"/>
      <c r="BB904" s="595"/>
      <c r="BC904" s="595"/>
      <c r="BD904" s="595"/>
      <c r="BE904" s="595"/>
      <c r="BF904" s="595"/>
      <c r="BG904" s="595"/>
      <c r="BH904" s="595"/>
      <c r="BI904" s="595"/>
      <c r="BJ904" s="595"/>
      <c r="BK904" s="651"/>
      <c r="BL904" s="651"/>
      <c r="BM904" s="651"/>
      <c r="BN904" s="651"/>
      <c r="BO904" s="651"/>
      <c r="BP904" s="651"/>
      <c r="BQ904" s="651"/>
      <c r="BR904" s="651"/>
      <c r="BS904" s="651"/>
      <c r="BT904" s="651"/>
    </row>
    <row r="905" ht="12.75" customHeight="1">
      <c r="A905" s="583"/>
      <c r="B905" s="584"/>
      <c r="C905" s="584"/>
      <c r="D905" s="584"/>
      <c r="E905" s="585"/>
      <c r="F905" s="586"/>
      <c r="G905" s="587"/>
      <c r="H905" s="584"/>
      <c r="I905" s="443"/>
      <c r="J905" s="443"/>
      <c r="K905" s="354"/>
      <c r="L905" s="588"/>
      <c r="M905" s="588"/>
      <c r="N905" s="589"/>
      <c r="O905" s="595"/>
      <c r="P905" s="392"/>
      <c r="Q905" s="807"/>
      <c r="R905" s="603"/>
      <c r="S905" s="354"/>
      <c r="T905" s="584"/>
      <c r="U905" s="595"/>
      <c r="V905" s="595"/>
      <c r="W905" s="595"/>
      <c r="X905" s="443"/>
      <c r="Y905" s="595"/>
      <c r="Z905" s="595"/>
      <c r="AA905" s="595"/>
      <c r="AB905" s="354"/>
      <c r="AC905" s="595"/>
      <c r="AD905" s="595"/>
      <c r="AE905" s="584"/>
      <c r="AF905" s="595"/>
      <c r="AG905" s="354"/>
      <c r="AH905" s="443"/>
      <c r="AI905" s="595"/>
      <c r="AJ905" s="595"/>
      <c r="AK905" s="595"/>
      <c r="AL905" s="595"/>
      <c r="AM905" s="595"/>
      <c r="AN905" s="584"/>
      <c r="AO905" s="595"/>
      <c r="AP905" s="595"/>
      <c r="AQ905" s="595"/>
      <c r="AR905" s="595"/>
      <c r="AS905" s="595"/>
      <c r="AT905" s="595"/>
      <c r="AU905" s="595"/>
      <c r="AV905" s="595"/>
      <c r="AW905" s="595"/>
      <c r="AX905" s="595"/>
      <c r="AY905" s="595"/>
      <c r="AZ905" s="595"/>
      <c r="BA905" s="595"/>
      <c r="BB905" s="595"/>
      <c r="BC905" s="595"/>
      <c r="BD905" s="595"/>
      <c r="BE905" s="595"/>
      <c r="BF905" s="595"/>
      <c r="BG905" s="595"/>
      <c r="BH905" s="595"/>
      <c r="BI905" s="595"/>
      <c r="BJ905" s="595"/>
      <c r="BK905" s="651"/>
      <c r="BL905" s="651"/>
      <c r="BM905" s="651"/>
      <c r="BN905" s="651"/>
      <c r="BO905" s="651"/>
      <c r="BP905" s="651"/>
      <c r="BQ905" s="651"/>
      <c r="BR905" s="651"/>
      <c r="BS905" s="651"/>
      <c r="BT905" s="651"/>
    </row>
    <row r="906" ht="12.75" customHeight="1">
      <c r="A906" s="583"/>
      <c r="B906" s="584"/>
      <c r="C906" s="584"/>
      <c r="D906" s="584"/>
      <c r="E906" s="585"/>
      <c r="F906" s="586"/>
      <c r="G906" s="587"/>
      <c r="H906" s="584"/>
      <c r="I906" s="443"/>
      <c r="J906" s="443"/>
      <c r="K906" s="354"/>
      <c r="L906" s="588"/>
      <c r="M906" s="588"/>
      <c r="N906" s="589"/>
      <c r="O906" s="595"/>
      <c r="P906" s="392"/>
      <c r="Q906" s="807"/>
      <c r="R906" s="603"/>
      <c r="S906" s="354"/>
      <c r="T906" s="584"/>
      <c r="U906" s="595"/>
      <c r="V906" s="595"/>
      <c r="W906" s="595"/>
      <c r="X906" s="443"/>
      <c r="Y906" s="595"/>
      <c r="Z906" s="595"/>
      <c r="AA906" s="595"/>
      <c r="AB906" s="354"/>
      <c r="AC906" s="595"/>
      <c r="AD906" s="595"/>
      <c r="AE906" s="584"/>
      <c r="AF906" s="595"/>
      <c r="AG906" s="354"/>
      <c r="AH906" s="443"/>
      <c r="AI906" s="595"/>
      <c r="AJ906" s="595"/>
      <c r="AK906" s="595"/>
      <c r="AL906" s="595"/>
      <c r="AM906" s="595"/>
      <c r="AN906" s="584"/>
      <c r="AO906" s="595"/>
      <c r="AP906" s="595"/>
      <c r="AQ906" s="595"/>
      <c r="AR906" s="595"/>
      <c r="AS906" s="595"/>
      <c r="AT906" s="595"/>
      <c r="AU906" s="595"/>
      <c r="AV906" s="595"/>
      <c r="AW906" s="595"/>
      <c r="AX906" s="595"/>
      <c r="AY906" s="595"/>
      <c r="AZ906" s="595"/>
      <c r="BA906" s="595"/>
      <c r="BB906" s="595"/>
      <c r="BC906" s="595"/>
      <c r="BD906" s="595"/>
      <c r="BE906" s="595"/>
      <c r="BF906" s="595"/>
      <c r="BG906" s="595"/>
      <c r="BH906" s="595"/>
      <c r="BI906" s="595"/>
      <c r="BJ906" s="595"/>
      <c r="BK906" s="651"/>
      <c r="BL906" s="651"/>
      <c r="BM906" s="651"/>
      <c r="BN906" s="651"/>
      <c r="BO906" s="651"/>
      <c r="BP906" s="651"/>
      <c r="BQ906" s="651"/>
      <c r="BR906" s="651"/>
      <c r="BS906" s="651"/>
      <c r="BT906" s="651"/>
    </row>
    <row r="907" ht="12.75" customHeight="1">
      <c r="A907" s="583"/>
      <c r="B907" s="584"/>
      <c r="C907" s="584"/>
      <c r="D907" s="584"/>
      <c r="E907" s="585"/>
      <c r="F907" s="586"/>
      <c r="G907" s="587"/>
      <c r="H907" s="584"/>
      <c r="I907" s="443"/>
      <c r="J907" s="443"/>
      <c r="K907" s="354"/>
      <c r="L907" s="588"/>
      <c r="M907" s="588"/>
      <c r="N907" s="589"/>
      <c r="O907" s="595"/>
      <c r="P907" s="392"/>
      <c r="Q907" s="807"/>
      <c r="R907" s="603"/>
      <c r="S907" s="354"/>
      <c r="T907" s="584"/>
      <c r="U907" s="595"/>
      <c r="V907" s="595"/>
      <c r="W907" s="595"/>
      <c r="X907" s="443"/>
      <c r="Y907" s="595"/>
      <c r="Z907" s="595"/>
      <c r="AA907" s="595"/>
      <c r="AB907" s="354"/>
      <c r="AC907" s="595"/>
      <c r="AD907" s="595"/>
      <c r="AE907" s="584"/>
      <c r="AF907" s="595"/>
      <c r="AG907" s="354"/>
      <c r="AH907" s="443"/>
      <c r="AI907" s="595"/>
      <c r="AJ907" s="595"/>
      <c r="AK907" s="595"/>
      <c r="AL907" s="595"/>
      <c r="AM907" s="595"/>
      <c r="AN907" s="584"/>
      <c r="AO907" s="595"/>
      <c r="AP907" s="595"/>
      <c r="AQ907" s="595"/>
      <c r="AR907" s="595"/>
      <c r="AS907" s="595"/>
      <c r="AT907" s="595"/>
      <c r="AU907" s="595"/>
      <c r="AV907" s="595"/>
      <c r="AW907" s="595"/>
      <c r="AX907" s="595"/>
      <c r="AY907" s="595"/>
      <c r="AZ907" s="595"/>
      <c r="BA907" s="595"/>
      <c r="BB907" s="595"/>
      <c r="BC907" s="595"/>
      <c r="BD907" s="595"/>
      <c r="BE907" s="595"/>
      <c r="BF907" s="595"/>
      <c r="BG907" s="595"/>
      <c r="BH907" s="595"/>
      <c r="BI907" s="595"/>
      <c r="BJ907" s="595"/>
      <c r="BK907" s="651"/>
      <c r="BL907" s="651"/>
      <c r="BM907" s="651"/>
      <c r="BN907" s="651"/>
      <c r="BO907" s="651"/>
      <c r="BP907" s="651"/>
      <c r="BQ907" s="651"/>
      <c r="BR907" s="651"/>
      <c r="BS907" s="651"/>
      <c r="BT907" s="651"/>
    </row>
    <row r="908" ht="12.75" customHeight="1">
      <c r="A908" s="583"/>
      <c r="B908" s="584"/>
      <c r="C908" s="584"/>
      <c r="D908" s="584"/>
      <c r="E908" s="585"/>
      <c r="F908" s="586"/>
      <c r="G908" s="587"/>
      <c r="H908" s="584"/>
      <c r="I908" s="443"/>
      <c r="J908" s="443"/>
      <c r="K908" s="354"/>
      <c r="L908" s="588"/>
      <c r="M908" s="588"/>
      <c r="N908" s="589"/>
      <c r="O908" s="595"/>
      <c r="P908" s="392"/>
      <c r="Q908" s="807"/>
      <c r="R908" s="603"/>
      <c r="S908" s="354"/>
      <c r="T908" s="584"/>
      <c r="U908" s="595"/>
      <c r="V908" s="595"/>
      <c r="W908" s="595"/>
      <c r="X908" s="443"/>
      <c r="Y908" s="595"/>
      <c r="Z908" s="595"/>
      <c r="AA908" s="595"/>
      <c r="AB908" s="354"/>
      <c r="AC908" s="595"/>
      <c r="AD908" s="595"/>
      <c r="AE908" s="584"/>
      <c r="AF908" s="595"/>
      <c r="AG908" s="354"/>
      <c r="AH908" s="443"/>
      <c r="AI908" s="595"/>
      <c r="AJ908" s="595"/>
      <c r="AK908" s="595"/>
      <c r="AL908" s="595"/>
      <c r="AM908" s="595"/>
      <c r="AN908" s="584"/>
      <c r="AO908" s="595"/>
      <c r="AP908" s="595"/>
      <c r="AQ908" s="595"/>
      <c r="AR908" s="595"/>
      <c r="AS908" s="595"/>
      <c r="AT908" s="595"/>
      <c r="AU908" s="595"/>
      <c r="AV908" s="595"/>
      <c r="AW908" s="595"/>
      <c r="AX908" s="595"/>
      <c r="AY908" s="595"/>
      <c r="AZ908" s="595"/>
      <c r="BA908" s="595"/>
      <c r="BB908" s="595"/>
      <c r="BC908" s="595"/>
      <c r="BD908" s="595"/>
      <c r="BE908" s="595"/>
      <c r="BF908" s="595"/>
      <c r="BG908" s="595"/>
      <c r="BH908" s="595"/>
      <c r="BI908" s="595"/>
      <c r="BJ908" s="651"/>
      <c r="BK908" s="651"/>
      <c r="BL908" s="651"/>
      <c r="BM908" s="651"/>
      <c r="BN908" s="651"/>
      <c r="BO908" s="651"/>
      <c r="BP908" s="651"/>
      <c r="BQ908" s="651"/>
      <c r="BR908" s="651"/>
      <c r="BS908" s="651"/>
      <c r="BT908" s="651"/>
    </row>
    <row r="909" ht="12.75" customHeight="1">
      <c r="A909" s="583"/>
      <c r="B909" s="584"/>
      <c r="C909" s="584"/>
      <c r="D909" s="584"/>
      <c r="E909" s="585"/>
      <c r="F909" s="586"/>
      <c r="G909" s="587"/>
      <c r="H909" s="584"/>
      <c r="I909" s="443"/>
      <c r="J909" s="443"/>
      <c r="K909" s="354"/>
      <c r="L909" s="588"/>
      <c r="M909" s="588"/>
      <c r="N909" s="589"/>
      <c r="O909" s="595"/>
      <c r="P909" s="392"/>
      <c r="Q909" s="807"/>
      <c r="R909" s="603"/>
      <c r="S909" s="354"/>
      <c r="T909" s="584"/>
      <c r="U909" s="595"/>
      <c r="V909" s="595"/>
      <c r="W909" s="595"/>
      <c r="X909" s="443"/>
      <c r="Y909" s="595"/>
      <c r="Z909" s="595"/>
      <c r="AA909" s="595"/>
      <c r="AB909" s="354"/>
      <c r="AC909" s="595"/>
      <c r="AD909" s="595"/>
      <c r="AE909" s="584"/>
      <c r="AF909" s="595"/>
      <c r="AG909" s="354"/>
      <c r="AH909" s="443"/>
      <c r="AI909" s="595"/>
      <c r="AJ909" s="595"/>
      <c r="AK909" s="595"/>
      <c r="AL909" s="595"/>
      <c r="AM909" s="595"/>
      <c r="AN909" s="584"/>
      <c r="AO909" s="595"/>
      <c r="AP909" s="595"/>
      <c r="AQ909" s="595"/>
      <c r="AR909" s="595"/>
      <c r="AS909" s="595"/>
      <c r="AT909" s="595"/>
      <c r="AU909" s="595"/>
      <c r="AV909" s="595"/>
      <c r="AW909" s="595"/>
      <c r="AX909" s="595"/>
      <c r="AY909" s="595"/>
      <c r="AZ909" s="595"/>
      <c r="BA909" s="595"/>
      <c r="BB909" s="595"/>
      <c r="BC909" s="595"/>
      <c r="BD909" s="595"/>
      <c r="BE909" s="595"/>
      <c r="BF909" s="595"/>
      <c r="BG909" s="595"/>
      <c r="BH909" s="595"/>
      <c r="BI909" s="595"/>
      <c r="BJ909" s="651"/>
      <c r="BK909" s="651"/>
      <c r="BL909" s="651"/>
      <c r="BM909" s="651"/>
      <c r="BN909" s="651"/>
      <c r="BO909" s="651"/>
      <c r="BP909" s="651"/>
      <c r="BQ909" s="651"/>
      <c r="BR909" s="651"/>
      <c r="BS909" s="651"/>
      <c r="BT909" s="651"/>
    </row>
    <row r="910" ht="12.75" customHeight="1">
      <c r="A910" s="583"/>
      <c r="B910" s="584"/>
      <c r="C910" s="584"/>
      <c r="D910" s="584"/>
      <c r="E910" s="585"/>
      <c r="F910" s="586"/>
      <c r="G910" s="587"/>
      <c r="H910" s="584"/>
      <c r="I910" s="443"/>
      <c r="J910" s="443"/>
      <c r="K910" s="354"/>
      <c r="L910" s="588"/>
      <c r="M910" s="588"/>
      <c r="N910" s="589"/>
      <c r="O910" s="595"/>
      <c r="P910" s="392"/>
      <c r="Q910" s="807"/>
      <c r="R910" s="603"/>
      <c r="S910" s="354"/>
      <c r="T910" s="584"/>
      <c r="U910" s="595"/>
      <c r="V910" s="595"/>
      <c r="W910" s="595"/>
      <c r="X910" s="443"/>
      <c r="Y910" s="595"/>
      <c r="Z910" s="595"/>
      <c r="AA910" s="595"/>
      <c r="AB910" s="354"/>
      <c r="AC910" s="595"/>
      <c r="AD910" s="595"/>
      <c r="AE910" s="584"/>
      <c r="AF910" s="595"/>
      <c r="AG910" s="354"/>
      <c r="AH910" s="443"/>
      <c r="AI910" s="595"/>
      <c r="AJ910" s="595"/>
      <c r="AK910" s="595"/>
      <c r="AL910" s="595"/>
      <c r="AM910" s="595"/>
      <c r="AN910" s="584"/>
      <c r="AO910" s="595"/>
      <c r="AP910" s="595"/>
      <c r="AQ910" s="595"/>
      <c r="AR910" s="595"/>
      <c r="AS910" s="595"/>
      <c r="AT910" s="595"/>
      <c r="AU910" s="595"/>
      <c r="AV910" s="595"/>
      <c r="AW910" s="595"/>
      <c r="AX910" s="595"/>
      <c r="AY910" s="595"/>
      <c r="AZ910" s="595"/>
      <c r="BA910" s="595"/>
      <c r="BB910" s="595"/>
      <c r="BC910" s="595"/>
      <c r="BD910" s="595"/>
      <c r="BE910" s="595"/>
      <c r="BF910" s="595"/>
      <c r="BG910" s="595"/>
      <c r="BH910" s="595"/>
      <c r="BI910" s="595"/>
      <c r="BJ910" s="651"/>
      <c r="BK910" s="651"/>
      <c r="BL910" s="651"/>
      <c r="BM910" s="651"/>
      <c r="BN910" s="651"/>
      <c r="BO910" s="651"/>
      <c r="BP910" s="651"/>
      <c r="BQ910" s="651"/>
      <c r="BR910" s="651"/>
      <c r="BS910" s="651"/>
      <c r="BT910" s="651"/>
    </row>
    <row r="911" ht="12.75" customHeight="1">
      <c r="A911" s="583"/>
      <c r="B911" s="584"/>
      <c r="C911" s="584"/>
      <c r="D911" s="584"/>
      <c r="E911" s="585"/>
      <c r="F911" s="586"/>
      <c r="G911" s="587"/>
      <c r="H911" s="584"/>
      <c r="I911" s="443"/>
      <c r="J911" s="443"/>
      <c r="K911" s="354"/>
      <c r="L911" s="588"/>
      <c r="M911" s="588"/>
      <c r="N911" s="589"/>
      <c r="O911" s="595"/>
      <c r="P911" s="392"/>
      <c r="Q911" s="807"/>
      <c r="R911" s="603"/>
      <c r="S911" s="354"/>
      <c r="T911" s="584"/>
      <c r="U911" s="595"/>
      <c r="V911" s="595"/>
      <c r="W911" s="595"/>
      <c r="X911" s="443"/>
      <c r="Y911" s="595"/>
      <c r="Z911" s="595"/>
      <c r="AA911" s="595"/>
      <c r="AB911" s="354"/>
      <c r="AC911" s="595"/>
      <c r="AD911" s="595"/>
      <c r="AE911" s="584"/>
      <c r="AF911" s="595"/>
      <c r="AG911" s="354"/>
      <c r="AH911" s="443"/>
      <c r="AI911" s="595"/>
      <c r="AJ911" s="595"/>
      <c r="AK911" s="595"/>
      <c r="AL911" s="595"/>
      <c r="AM911" s="595"/>
      <c r="AN911" s="584"/>
      <c r="AO911" s="595"/>
      <c r="AP911" s="595"/>
      <c r="AQ911" s="595"/>
      <c r="AR911" s="595"/>
      <c r="AS911" s="595"/>
      <c r="AT911" s="595"/>
      <c r="AU911" s="595"/>
      <c r="AV911" s="595"/>
      <c r="AW911" s="595"/>
      <c r="AX911" s="595"/>
      <c r="AY911" s="595"/>
      <c r="AZ911" s="595"/>
      <c r="BA911" s="595"/>
      <c r="BB911" s="595"/>
      <c r="BC911" s="595"/>
      <c r="BD911" s="595"/>
      <c r="BE911" s="595"/>
      <c r="BF911" s="595"/>
      <c r="BG911" s="595"/>
      <c r="BH911" s="595"/>
      <c r="BI911" s="595"/>
      <c r="BJ911" s="651"/>
      <c r="BK911" s="651"/>
      <c r="BL911" s="651"/>
      <c r="BM911" s="651"/>
      <c r="BN911" s="651"/>
      <c r="BO911" s="651"/>
      <c r="BP911" s="651"/>
      <c r="BQ911" s="651"/>
      <c r="BR911" s="651"/>
      <c r="BS911" s="651"/>
      <c r="BT911" s="651"/>
    </row>
    <row r="912" ht="12.75" customHeight="1">
      <c r="A912" s="583"/>
      <c r="B912" s="584"/>
      <c r="C912" s="584"/>
      <c r="D912" s="584"/>
      <c r="E912" s="585"/>
      <c r="F912" s="586"/>
      <c r="G912" s="587"/>
      <c r="H912" s="584"/>
      <c r="I912" s="443"/>
      <c r="J912" s="443"/>
      <c r="K912" s="354"/>
      <c r="L912" s="588"/>
      <c r="M912" s="588"/>
      <c r="N912" s="589"/>
      <c r="O912" s="595"/>
      <c r="P912" s="392"/>
      <c r="Q912" s="807"/>
      <c r="R912" s="603"/>
      <c r="S912" s="354"/>
      <c r="T912" s="584"/>
      <c r="U912" s="595"/>
      <c r="V912" s="595"/>
      <c r="W912" s="595"/>
      <c r="X912" s="443"/>
      <c r="Y912" s="595"/>
      <c r="Z912" s="595"/>
      <c r="AA912" s="595"/>
      <c r="AB912" s="354"/>
      <c r="AC912" s="595"/>
      <c r="AD912" s="595"/>
      <c r="AE912" s="584"/>
      <c r="AF912" s="595"/>
      <c r="AG912" s="354"/>
      <c r="AH912" s="443"/>
      <c r="AI912" s="595"/>
      <c r="AJ912" s="595"/>
      <c r="AK912" s="595"/>
      <c r="AL912" s="595"/>
      <c r="AM912" s="595"/>
      <c r="AN912" s="584"/>
      <c r="AO912" s="595"/>
      <c r="AP912" s="595"/>
      <c r="AQ912" s="595"/>
      <c r="AR912" s="595"/>
      <c r="AS912" s="595"/>
      <c r="AT912" s="595"/>
      <c r="AU912" s="595"/>
      <c r="AV912" s="595"/>
      <c r="AW912" s="595"/>
      <c r="AX912" s="595"/>
      <c r="AY912" s="595"/>
      <c r="AZ912" s="595"/>
      <c r="BA912" s="595"/>
      <c r="BB912" s="595"/>
      <c r="BC912" s="595"/>
      <c r="BD912" s="595"/>
      <c r="BE912" s="595"/>
      <c r="BF912" s="595"/>
      <c r="BG912" s="595"/>
      <c r="BH912" s="595"/>
      <c r="BI912" s="595"/>
      <c r="BJ912" s="651"/>
      <c r="BK912" s="651"/>
      <c r="BL912" s="651"/>
      <c r="BM912" s="651"/>
      <c r="BN912" s="651"/>
      <c r="BO912" s="651"/>
      <c r="BP912" s="651"/>
      <c r="BQ912" s="651"/>
      <c r="BR912" s="651"/>
      <c r="BS912" s="651"/>
      <c r="BT912" s="651"/>
    </row>
    <row r="913" ht="12.75" customHeight="1">
      <c r="A913" s="583"/>
      <c r="B913" s="584"/>
      <c r="C913" s="584"/>
      <c r="D913" s="584"/>
      <c r="E913" s="585"/>
      <c r="F913" s="586"/>
      <c r="G913" s="587"/>
      <c r="H913" s="584"/>
      <c r="I913" s="443"/>
      <c r="J913" s="443"/>
      <c r="K913" s="354"/>
      <c r="L913" s="588"/>
      <c r="M913" s="588"/>
      <c r="N913" s="589"/>
      <c r="O913" s="595"/>
      <c r="P913" s="392"/>
      <c r="Q913" s="807"/>
      <c r="R913" s="603"/>
      <c r="S913" s="354"/>
      <c r="T913" s="584"/>
      <c r="U913" s="595"/>
      <c r="V913" s="595"/>
      <c r="W913" s="595"/>
      <c r="X913" s="443"/>
      <c r="Y913" s="595"/>
      <c r="Z913" s="595"/>
      <c r="AA913" s="595"/>
      <c r="AB913" s="354"/>
      <c r="AC913" s="595"/>
      <c r="AD913" s="595"/>
      <c r="AE913" s="584"/>
      <c r="AF913" s="595"/>
      <c r="AG913" s="354"/>
      <c r="AH913" s="443"/>
      <c r="AI913" s="595"/>
      <c r="AJ913" s="595"/>
      <c r="AK913" s="595"/>
      <c r="AL913" s="595"/>
      <c r="AM913" s="595"/>
      <c r="AN913" s="584"/>
      <c r="AO913" s="595"/>
      <c r="AP913" s="595"/>
      <c r="AQ913" s="595"/>
      <c r="AR913" s="595"/>
      <c r="AS913" s="595"/>
      <c r="AT913" s="595"/>
      <c r="AU913" s="595"/>
      <c r="AV913" s="595"/>
      <c r="AW913" s="595"/>
      <c r="AX913" s="595"/>
      <c r="AY913" s="595"/>
      <c r="AZ913" s="595"/>
      <c r="BA913" s="595"/>
      <c r="BB913" s="595"/>
      <c r="BC913" s="595"/>
      <c r="BD913" s="595"/>
      <c r="BE913" s="595"/>
      <c r="BF913" s="595"/>
      <c r="BG913" s="595"/>
      <c r="BH913" s="595"/>
      <c r="BI913" s="595"/>
      <c r="BJ913" s="651"/>
      <c r="BK913" s="651"/>
      <c r="BL913" s="651"/>
      <c r="BM913" s="651"/>
      <c r="BN913" s="651"/>
      <c r="BO913" s="651"/>
      <c r="BP913" s="651"/>
      <c r="BQ913" s="651"/>
      <c r="BR913" s="651"/>
      <c r="BS913" s="651"/>
      <c r="BT913" s="651"/>
    </row>
    <row r="914" ht="12.75" customHeight="1">
      <c r="A914" s="583"/>
      <c r="B914" s="584"/>
      <c r="C914" s="584"/>
      <c r="D914" s="584"/>
      <c r="E914" s="585"/>
      <c r="F914" s="586"/>
      <c r="G914" s="587"/>
      <c r="H914" s="584"/>
      <c r="I914" s="443"/>
      <c r="J914" s="443"/>
      <c r="K914" s="354"/>
      <c r="L914" s="588"/>
      <c r="M914" s="588"/>
      <c r="N914" s="589"/>
      <c r="O914" s="595"/>
      <c r="P914" s="392"/>
      <c r="Q914" s="807"/>
      <c r="R914" s="603"/>
      <c r="S914" s="354"/>
      <c r="T914" s="584"/>
      <c r="U914" s="595"/>
      <c r="V914" s="595"/>
      <c r="W914" s="595"/>
      <c r="X914" s="443"/>
      <c r="Y914" s="595"/>
      <c r="Z914" s="595"/>
      <c r="AA914" s="595"/>
      <c r="AB914" s="354"/>
      <c r="AC914" s="595"/>
      <c r="AD914" s="595"/>
      <c r="AE914" s="584"/>
      <c r="AF914" s="595"/>
      <c r="AG914" s="354"/>
      <c r="AH914" s="443"/>
      <c r="AI914" s="595"/>
      <c r="AJ914" s="595"/>
      <c r="AK914" s="595"/>
      <c r="AL914" s="595"/>
      <c r="AM914" s="595"/>
      <c r="AN914" s="584"/>
      <c r="AO914" s="595"/>
      <c r="AP914" s="595"/>
      <c r="AQ914" s="595"/>
      <c r="AR914" s="595"/>
      <c r="AS914" s="595"/>
      <c r="AT914" s="595"/>
      <c r="AU914" s="595"/>
      <c r="AV914" s="595"/>
      <c r="AW914" s="595"/>
      <c r="AX914" s="595"/>
      <c r="AY914" s="595"/>
      <c r="AZ914" s="595"/>
      <c r="BA914" s="595"/>
      <c r="BB914" s="595"/>
      <c r="BC914" s="595"/>
      <c r="BD914" s="595"/>
      <c r="BE914" s="595"/>
      <c r="BF914" s="595"/>
      <c r="BG914" s="595"/>
      <c r="BH914" s="595"/>
      <c r="BI914" s="595"/>
      <c r="BJ914" s="651"/>
      <c r="BK914" s="651"/>
      <c r="BL914" s="651"/>
      <c r="BM914" s="651"/>
      <c r="BN914" s="651"/>
      <c r="BO914" s="651"/>
      <c r="BP914" s="651"/>
      <c r="BQ914" s="651"/>
      <c r="BR914" s="651"/>
      <c r="BS914" s="651"/>
      <c r="BT914" s="651"/>
    </row>
    <row r="915" ht="12.75" customHeight="1">
      <c r="A915" s="583"/>
      <c r="B915" s="584"/>
      <c r="C915" s="584"/>
      <c r="D915" s="584"/>
      <c r="E915" s="585"/>
      <c r="F915" s="586"/>
      <c r="G915" s="587"/>
      <c r="H915" s="584"/>
      <c r="I915" s="443"/>
      <c r="J915" s="443"/>
      <c r="K915" s="354"/>
      <c r="L915" s="588"/>
      <c r="M915" s="588"/>
      <c r="N915" s="589"/>
      <c r="O915" s="595"/>
      <c r="P915" s="392"/>
      <c r="Q915" s="807"/>
      <c r="R915" s="603"/>
      <c r="S915" s="354"/>
      <c r="T915" s="584"/>
      <c r="U915" s="595"/>
      <c r="V915" s="595"/>
      <c r="W915" s="595"/>
      <c r="X915" s="443"/>
      <c r="Y915" s="595"/>
      <c r="Z915" s="595"/>
      <c r="AA915" s="595"/>
      <c r="AB915" s="354"/>
      <c r="AC915" s="595"/>
      <c r="AD915" s="595"/>
      <c r="AE915" s="584"/>
      <c r="AF915" s="595"/>
      <c r="AG915" s="354"/>
      <c r="AH915" s="443"/>
      <c r="AI915" s="595"/>
      <c r="AJ915" s="595"/>
      <c r="AK915" s="595"/>
      <c r="AL915" s="595"/>
      <c r="AM915" s="595"/>
      <c r="AN915" s="584"/>
      <c r="AO915" s="595"/>
      <c r="AP915" s="595"/>
      <c r="AQ915" s="595"/>
      <c r="AR915" s="595"/>
      <c r="AS915" s="595"/>
      <c r="AT915" s="595"/>
      <c r="AU915" s="595"/>
      <c r="AV915" s="595"/>
      <c r="AW915" s="595"/>
      <c r="AX915" s="595"/>
      <c r="AY915" s="595"/>
      <c r="AZ915" s="595"/>
      <c r="BA915" s="595"/>
      <c r="BB915" s="595"/>
      <c r="BC915" s="595"/>
      <c r="BD915" s="595"/>
      <c r="BE915" s="595"/>
      <c r="BF915" s="595"/>
      <c r="BG915" s="595"/>
      <c r="BH915" s="595"/>
      <c r="BI915" s="595"/>
      <c r="BJ915" s="651"/>
      <c r="BK915" s="651"/>
      <c r="BL915" s="651"/>
      <c r="BM915" s="651"/>
      <c r="BN915" s="651"/>
      <c r="BO915" s="651"/>
      <c r="BP915" s="651"/>
      <c r="BQ915" s="651"/>
      <c r="BR915" s="651"/>
      <c r="BS915" s="651"/>
      <c r="BT915" s="651"/>
    </row>
    <row r="916" ht="12.75" customHeight="1">
      <c r="A916" s="583"/>
      <c r="B916" s="584"/>
      <c r="C916" s="584"/>
      <c r="D916" s="584"/>
      <c r="E916" s="585"/>
      <c r="F916" s="586"/>
      <c r="G916" s="587"/>
      <c r="H916" s="584"/>
      <c r="I916" s="443"/>
      <c r="J916" s="443"/>
      <c r="K916" s="354"/>
      <c r="L916" s="588"/>
      <c r="M916" s="588"/>
      <c r="N916" s="589"/>
      <c r="O916" s="595"/>
      <c r="P916" s="392"/>
      <c r="Q916" s="807"/>
      <c r="R916" s="603"/>
      <c r="S916" s="354"/>
      <c r="T916" s="584"/>
      <c r="U916" s="595"/>
      <c r="V916" s="595"/>
      <c r="W916" s="595"/>
      <c r="X916" s="443"/>
      <c r="Y916" s="595"/>
      <c r="Z916" s="595"/>
      <c r="AA916" s="595"/>
      <c r="AB916" s="354"/>
      <c r="AC916" s="595"/>
      <c r="AD916" s="595"/>
      <c r="AE916" s="584"/>
      <c r="AF916" s="595"/>
      <c r="AG916" s="354"/>
      <c r="AH916" s="443"/>
      <c r="AI916" s="595"/>
      <c r="AJ916" s="595"/>
      <c r="AK916" s="595"/>
      <c r="AL916" s="595"/>
      <c r="AM916" s="595"/>
      <c r="AN916" s="584"/>
      <c r="AO916" s="595"/>
      <c r="AP916" s="595"/>
      <c r="AQ916" s="595"/>
      <c r="AR916" s="595"/>
      <c r="AS916" s="595"/>
      <c r="AT916" s="595"/>
      <c r="AU916" s="595"/>
      <c r="AV916" s="595"/>
      <c r="AW916" s="595"/>
      <c r="AX916" s="595"/>
      <c r="AY916" s="595"/>
      <c r="AZ916" s="595"/>
      <c r="BA916" s="595"/>
      <c r="BB916" s="595"/>
      <c r="BC916" s="595"/>
      <c r="BD916" s="595"/>
      <c r="BE916" s="595"/>
      <c r="BF916" s="595"/>
      <c r="BG916" s="595"/>
      <c r="BH916" s="595"/>
      <c r="BI916" s="595"/>
      <c r="BJ916" s="651"/>
      <c r="BK916" s="651"/>
      <c r="BL916" s="651"/>
      <c r="BM916" s="651"/>
      <c r="BN916" s="651"/>
      <c r="BO916" s="651"/>
      <c r="BP916" s="651"/>
      <c r="BQ916" s="651"/>
      <c r="BR916" s="651"/>
      <c r="BS916" s="651"/>
      <c r="BT916" s="651"/>
    </row>
    <row r="917" ht="12.75" customHeight="1">
      <c r="A917" s="583"/>
      <c r="B917" s="584"/>
      <c r="C917" s="584"/>
      <c r="D917" s="584"/>
      <c r="E917" s="585"/>
      <c r="F917" s="586"/>
      <c r="G917" s="587"/>
      <c r="H917" s="584"/>
      <c r="I917" s="443"/>
      <c r="J917" s="443"/>
      <c r="K917" s="354"/>
      <c r="L917" s="588"/>
      <c r="M917" s="588"/>
      <c r="N917" s="589"/>
      <c r="O917" s="595"/>
      <c r="P917" s="392"/>
      <c r="Q917" s="807"/>
      <c r="R917" s="603"/>
      <c r="S917" s="354"/>
      <c r="T917" s="584"/>
      <c r="U917" s="595"/>
      <c r="V917" s="595"/>
      <c r="W917" s="595"/>
      <c r="X917" s="443"/>
      <c r="Y917" s="595"/>
      <c r="Z917" s="595"/>
      <c r="AA917" s="595"/>
      <c r="AB917" s="354"/>
      <c r="AC917" s="595"/>
      <c r="AD917" s="595"/>
      <c r="AE917" s="584"/>
      <c r="AF917" s="595"/>
      <c r="AG917" s="349"/>
      <c r="AH917" s="595"/>
      <c r="AI917" s="595"/>
      <c r="AJ917" s="595"/>
      <c r="AK917" s="595"/>
      <c r="AL917" s="595"/>
      <c r="AM917" s="584"/>
      <c r="AN917" s="595"/>
      <c r="AO917" s="595"/>
      <c r="AP917" s="595"/>
      <c r="AQ917" s="595"/>
      <c r="AR917" s="595"/>
      <c r="AS917" s="595"/>
      <c r="AT917" s="595"/>
      <c r="AU917" s="595"/>
      <c r="AV917" s="595"/>
      <c r="AW917" s="595"/>
      <c r="AX917" s="595"/>
      <c r="AY917" s="595"/>
      <c r="AZ917" s="595"/>
      <c r="BA917" s="595"/>
      <c r="BB917" s="595"/>
      <c r="BC917" s="595"/>
      <c r="BD917" s="595"/>
      <c r="BE917" s="595"/>
      <c r="BF917" s="595"/>
      <c r="BG917" s="595"/>
      <c r="BH917" s="595"/>
      <c r="BI917" s="595"/>
      <c r="BJ917" s="651"/>
      <c r="BK917" s="651"/>
      <c r="BL917" s="651"/>
      <c r="BM917" s="651"/>
      <c r="BN917" s="651"/>
      <c r="BO917" s="651"/>
      <c r="BP917" s="651"/>
      <c r="BQ917" s="651"/>
      <c r="BR917" s="651"/>
      <c r="BS917" s="651"/>
      <c r="BT917" s="651"/>
    </row>
    <row r="918" ht="12.75" customHeight="1">
      <c r="A918" s="583"/>
      <c r="B918" s="584"/>
      <c r="C918" s="584"/>
      <c r="D918" s="584"/>
      <c r="E918" s="585"/>
      <c r="F918" s="586"/>
      <c r="G918" s="587"/>
      <c r="H918" s="584"/>
      <c r="I918" s="443"/>
      <c r="J918" s="443"/>
      <c r="K918" s="354"/>
      <c r="L918" s="588"/>
      <c r="M918" s="588"/>
      <c r="N918" s="589"/>
      <c r="O918" s="595"/>
      <c r="P918" s="392"/>
      <c r="Q918" s="807"/>
      <c r="R918" s="603"/>
      <c r="S918" s="354"/>
      <c r="T918" s="584"/>
      <c r="U918" s="595"/>
      <c r="V918" s="595"/>
      <c r="W918" s="595"/>
      <c r="X918" s="443"/>
      <c r="Y918" s="595"/>
      <c r="Z918" s="595"/>
      <c r="AA918" s="595"/>
      <c r="AB918" s="354"/>
      <c r="AC918" s="595"/>
      <c r="AD918" s="595"/>
      <c r="AE918" s="584"/>
      <c r="AF918" s="595"/>
      <c r="AG918" s="349"/>
      <c r="AH918" s="595"/>
      <c r="AI918" s="595"/>
      <c r="AJ918" s="595"/>
      <c r="AK918" s="595"/>
      <c r="AL918" s="595"/>
      <c r="AM918" s="584"/>
      <c r="AN918" s="595"/>
      <c r="AO918" s="595"/>
      <c r="AP918" s="595"/>
      <c r="AQ918" s="584"/>
      <c r="AR918" s="584"/>
      <c r="AS918" s="584"/>
      <c r="AT918" s="584"/>
      <c r="AU918" s="584"/>
      <c r="AV918" s="584"/>
      <c r="AW918" s="584"/>
      <c r="AX918" s="584"/>
      <c r="AY918" s="584"/>
      <c r="AZ918" s="584"/>
      <c r="BA918" s="584"/>
      <c r="BB918" s="595"/>
      <c r="BC918" s="595"/>
      <c r="BD918" s="595"/>
      <c r="BE918" s="595"/>
      <c r="BF918" s="595"/>
      <c r="BG918" s="595"/>
      <c r="BH918" s="595"/>
      <c r="BI918" s="595"/>
      <c r="BJ918" s="651"/>
      <c r="BK918" s="651"/>
      <c r="BL918" s="651"/>
      <c r="BM918" s="651"/>
      <c r="BN918" s="651"/>
      <c r="BO918" s="651"/>
      <c r="BP918" s="651"/>
      <c r="BQ918" s="651"/>
      <c r="BR918" s="651"/>
      <c r="BS918" s="651"/>
      <c r="BT918" s="651"/>
    </row>
    <row r="919" ht="12.75" customHeight="1">
      <c r="A919" s="583"/>
      <c r="B919" s="584"/>
      <c r="C919" s="584"/>
      <c r="D919" s="584"/>
      <c r="E919" s="585"/>
      <c r="F919" s="586"/>
      <c r="G919" s="587"/>
      <c r="H919" s="584"/>
      <c r="I919" s="443"/>
      <c r="J919" s="443"/>
      <c r="K919" s="354"/>
      <c r="L919" s="588"/>
      <c r="M919" s="588"/>
      <c r="N919" s="589"/>
      <c r="O919" s="595"/>
      <c r="P919" s="392"/>
      <c r="Q919" s="807"/>
      <c r="R919" s="603"/>
      <c r="S919" s="354"/>
      <c r="T919" s="584"/>
      <c r="U919" s="595"/>
      <c r="V919" s="595"/>
      <c r="W919" s="595"/>
      <c r="X919" s="443"/>
      <c r="Y919" s="595"/>
      <c r="Z919" s="595"/>
      <c r="AA919" s="595"/>
      <c r="AB919" s="354"/>
      <c r="AC919" s="595"/>
      <c r="AD919" s="595"/>
      <c r="AE919" s="584"/>
      <c r="AF919" s="595"/>
      <c r="AG919" s="349"/>
      <c r="AH919" s="595"/>
      <c r="AI919" s="595"/>
      <c r="AJ919" s="595"/>
      <c r="AK919" s="595"/>
      <c r="AL919" s="595"/>
      <c r="AM919" s="584"/>
      <c r="AN919" s="595"/>
      <c r="AO919" s="595"/>
      <c r="AP919" s="595"/>
      <c r="AQ919" s="584"/>
      <c r="AR919" s="584"/>
      <c r="AS919" s="584"/>
      <c r="AT919" s="584"/>
      <c r="AU919" s="584"/>
      <c r="AV919" s="584"/>
      <c r="AW919" s="584"/>
      <c r="AX919" s="584"/>
      <c r="AY919" s="584"/>
      <c r="AZ919" s="584"/>
      <c r="BA919" s="584"/>
      <c r="BB919" s="595"/>
      <c r="BC919" s="595"/>
      <c r="BD919" s="595"/>
      <c r="BE919" s="595"/>
      <c r="BF919" s="595"/>
      <c r="BG919" s="595"/>
      <c r="BH919" s="595"/>
      <c r="BI919" s="595"/>
      <c r="BJ919" s="651"/>
      <c r="BK919" s="651"/>
      <c r="BL919" s="651"/>
      <c r="BM919" s="651"/>
      <c r="BN919" s="651"/>
      <c r="BO919" s="651"/>
      <c r="BP919" s="651"/>
      <c r="BQ919" s="651"/>
      <c r="BR919" s="651"/>
      <c r="BS919" s="651"/>
      <c r="BT919" s="651"/>
    </row>
    <row r="920" ht="12.75" customHeight="1">
      <c r="A920" s="583"/>
      <c r="B920" s="584"/>
      <c r="C920" s="584"/>
      <c r="D920" s="584"/>
      <c r="E920" s="585"/>
      <c r="F920" s="586"/>
      <c r="G920" s="587"/>
      <c r="H920" s="584"/>
      <c r="I920" s="443"/>
      <c r="J920" s="443"/>
      <c r="K920" s="354"/>
      <c r="L920" s="588"/>
      <c r="M920" s="588"/>
      <c r="N920" s="589"/>
      <c r="O920" s="595"/>
      <c r="P920" s="392"/>
      <c r="Q920" s="807"/>
      <c r="R920" s="603"/>
      <c r="S920" s="354"/>
      <c r="T920" s="584"/>
      <c r="U920" s="595"/>
      <c r="V920" s="595"/>
      <c r="W920" s="595"/>
      <c r="X920" s="443"/>
      <c r="Y920" s="595"/>
      <c r="Z920" s="595"/>
      <c r="AA920" s="595"/>
      <c r="AB920" s="354"/>
      <c r="AC920" s="595"/>
      <c r="AD920" s="584"/>
      <c r="AE920" s="595"/>
      <c r="AF920" s="595"/>
      <c r="AG920" s="349"/>
      <c r="AH920" s="595"/>
      <c r="AI920" s="595"/>
      <c r="AJ920" s="595"/>
      <c r="AK920" s="595"/>
      <c r="AL920" s="595"/>
      <c r="AM920" s="584"/>
      <c r="AN920" s="595"/>
      <c r="AO920" s="595"/>
      <c r="AP920" s="595"/>
      <c r="AQ920" s="597"/>
      <c r="AR920" s="597"/>
      <c r="AS920" s="597"/>
      <c r="AT920" s="597"/>
      <c r="AU920" s="597"/>
      <c r="AV920" s="597"/>
      <c r="AW920" s="597"/>
      <c r="AX920" s="597"/>
      <c r="AY920" s="597"/>
      <c r="AZ920" s="597"/>
      <c r="BA920" s="597"/>
      <c r="BB920" s="595"/>
      <c r="BC920" s="595"/>
      <c r="BD920" s="595"/>
      <c r="BE920" s="595"/>
      <c r="BF920" s="595"/>
      <c r="BG920" s="595"/>
      <c r="BH920" s="595"/>
      <c r="BI920" s="595"/>
      <c r="BJ920" s="651"/>
      <c r="BK920" s="651"/>
      <c r="BL920" s="651"/>
      <c r="BM920" s="651"/>
      <c r="BN920" s="651"/>
      <c r="BO920" s="651"/>
      <c r="BP920" s="651"/>
      <c r="BQ920" s="651"/>
      <c r="BR920" s="651"/>
      <c r="BS920" s="651"/>
      <c r="BT920" s="651"/>
    </row>
    <row r="921" ht="12.75" customHeight="1">
      <c r="A921" s="583"/>
      <c r="B921" s="584"/>
      <c r="C921" s="584"/>
      <c r="D921" s="584"/>
      <c r="E921" s="585"/>
      <c r="F921" s="586"/>
      <c r="G921" s="587"/>
      <c r="H921" s="584"/>
      <c r="I921" s="443"/>
      <c r="J921" s="443"/>
      <c r="K921" s="354"/>
      <c r="L921" s="588"/>
      <c r="M921" s="588"/>
      <c r="N921" s="589"/>
      <c r="O921" s="595"/>
      <c r="P921" s="392"/>
      <c r="Q921" s="807"/>
      <c r="R921" s="603"/>
      <c r="S921" s="354"/>
      <c r="T921" s="584"/>
      <c r="U921" s="595"/>
      <c r="V921" s="595"/>
      <c r="W921" s="595"/>
      <c r="X921" s="443"/>
      <c r="Y921" s="595"/>
      <c r="Z921" s="595"/>
      <c r="AA921" s="595"/>
      <c r="AB921" s="354"/>
      <c r="AC921" s="595"/>
      <c r="AD921" s="584"/>
      <c r="AE921" s="595"/>
      <c r="AF921" s="595"/>
      <c r="AG921" s="349"/>
      <c r="AH921" s="595"/>
      <c r="AI921" s="595"/>
      <c r="AJ921" s="595"/>
      <c r="AK921" s="595"/>
      <c r="AL921" s="595"/>
      <c r="AM921" s="584"/>
      <c r="AN921" s="595"/>
      <c r="AO921" s="595"/>
      <c r="AP921" s="595"/>
      <c r="AQ921" s="597"/>
      <c r="AR921" s="597"/>
      <c r="AS921" s="597"/>
      <c r="AT921" s="597"/>
      <c r="AU921" s="597"/>
      <c r="AV921" s="597"/>
      <c r="AW921" s="597"/>
      <c r="AX921" s="597"/>
      <c r="AY921" s="597"/>
      <c r="AZ921" s="597"/>
      <c r="BA921" s="597"/>
      <c r="BB921" s="595"/>
      <c r="BC921" s="595"/>
      <c r="BD921" s="595"/>
      <c r="BE921" s="595"/>
      <c r="BF921" s="595"/>
      <c r="BG921" s="595"/>
      <c r="BH921" s="595"/>
      <c r="BI921" s="595"/>
      <c r="BJ921" s="651"/>
      <c r="BK921" s="651"/>
      <c r="BL921" s="651"/>
      <c r="BM921" s="651"/>
      <c r="BN921" s="651"/>
      <c r="BO921" s="651"/>
      <c r="BP921" s="651"/>
      <c r="BQ921" s="651"/>
      <c r="BR921" s="651"/>
      <c r="BS921" s="651"/>
      <c r="BT921" s="651"/>
    </row>
    <row r="922" ht="12.75" customHeight="1">
      <c r="A922" s="583"/>
      <c r="B922" s="584"/>
      <c r="C922" s="584"/>
      <c r="D922" s="584"/>
      <c r="E922" s="585"/>
      <c r="F922" s="586"/>
      <c r="G922" s="587"/>
      <c r="H922" s="584"/>
      <c r="I922" s="443"/>
      <c r="J922" s="443"/>
      <c r="K922" s="354"/>
      <c r="L922" s="588"/>
      <c r="M922" s="588"/>
      <c r="N922" s="589"/>
      <c r="O922" s="595"/>
      <c r="P922" s="392"/>
      <c r="Q922" s="807"/>
      <c r="R922" s="603"/>
      <c r="S922" s="354"/>
      <c r="T922" s="584"/>
      <c r="U922" s="595"/>
      <c r="V922" s="595"/>
      <c r="W922" s="595"/>
      <c r="X922" s="443"/>
      <c r="Y922" s="595"/>
      <c r="Z922" s="595"/>
      <c r="AA922" s="595"/>
      <c r="AB922" s="354"/>
      <c r="AC922" s="595"/>
      <c r="AD922" s="584"/>
      <c r="AE922" s="595"/>
      <c r="AF922" s="595"/>
      <c r="AG922" s="349"/>
      <c r="AH922" s="595"/>
      <c r="AI922" s="595"/>
      <c r="AJ922" s="595"/>
      <c r="AK922" s="595"/>
      <c r="AL922" s="595"/>
      <c r="AM922" s="584"/>
      <c r="AN922" s="595"/>
      <c r="AO922" s="595"/>
      <c r="AP922" s="595"/>
      <c r="AQ922" s="597"/>
      <c r="AR922" s="597"/>
      <c r="AS922" s="597"/>
      <c r="AT922" s="597"/>
      <c r="AU922" s="597"/>
      <c r="AV922" s="597"/>
      <c r="AW922" s="597"/>
      <c r="AX922" s="597"/>
      <c r="AY922" s="597"/>
      <c r="AZ922" s="597"/>
      <c r="BA922" s="597"/>
      <c r="BB922" s="595"/>
      <c r="BC922" s="595"/>
      <c r="BD922" s="595"/>
      <c r="BE922" s="595"/>
      <c r="BF922" s="595"/>
      <c r="BG922" s="595"/>
      <c r="BH922" s="595"/>
      <c r="BI922" s="595"/>
      <c r="BJ922" s="651"/>
      <c r="BK922" s="651"/>
      <c r="BL922" s="651"/>
      <c r="BM922" s="651"/>
      <c r="BN922" s="651"/>
      <c r="BO922" s="651"/>
      <c r="BP922" s="651"/>
      <c r="BQ922" s="651"/>
      <c r="BR922" s="651"/>
      <c r="BS922" s="651"/>
      <c r="BT922" s="651"/>
    </row>
    <row r="923" ht="12.75" customHeight="1">
      <c r="A923" s="583"/>
      <c r="B923" s="584"/>
      <c r="C923" s="584"/>
      <c r="D923" s="584"/>
      <c r="E923" s="585"/>
      <c r="F923" s="586"/>
      <c r="G923" s="587"/>
      <c r="H923" s="584"/>
      <c r="I923" s="443"/>
      <c r="J923" s="443"/>
      <c r="K923" s="354"/>
      <c r="L923" s="588"/>
      <c r="M923" s="588"/>
      <c r="N923" s="589"/>
      <c r="O923" s="595"/>
      <c r="P923" s="392"/>
      <c r="Q923" s="807"/>
      <c r="R923" s="603"/>
      <c r="S923" s="354"/>
      <c r="T923" s="584"/>
      <c r="U923" s="595"/>
      <c r="V923" s="595"/>
      <c r="W923" s="595"/>
      <c r="X923" s="443"/>
      <c r="Y923" s="595"/>
      <c r="Z923" s="595"/>
      <c r="AA923" s="595"/>
      <c r="AB923" s="354"/>
      <c r="AC923" s="595"/>
      <c r="AD923" s="584"/>
      <c r="AE923" s="595"/>
      <c r="AF923" s="595"/>
      <c r="AG923" s="349"/>
      <c r="AH923" s="595"/>
      <c r="AI923" s="595"/>
      <c r="AJ923" s="595"/>
      <c r="AK923" s="595"/>
      <c r="AL923" s="595"/>
      <c r="AM923" s="584"/>
      <c r="AN923" s="595"/>
      <c r="AO923" s="595"/>
      <c r="AP923" s="595"/>
      <c r="AQ923" s="597"/>
      <c r="AR923" s="597"/>
      <c r="AS923" s="597"/>
      <c r="AT923" s="597"/>
      <c r="AU923" s="597"/>
      <c r="AV923" s="597"/>
      <c r="AW923" s="597"/>
      <c r="AX923" s="597"/>
      <c r="AY923" s="597"/>
      <c r="AZ923" s="597"/>
      <c r="BA923" s="597"/>
      <c r="BB923" s="595"/>
      <c r="BC923" s="595"/>
      <c r="BD923" s="595"/>
      <c r="BE923" s="595"/>
      <c r="BF923" s="595"/>
      <c r="BG923" s="595"/>
      <c r="BH923" s="595"/>
      <c r="BI923" s="595"/>
      <c r="BJ923" s="651"/>
      <c r="BK923" s="651"/>
      <c r="BL923" s="651"/>
      <c r="BM923" s="651"/>
      <c r="BN923" s="651"/>
      <c r="BO923" s="651"/>
      <c r="BP923" s="651"/>
      <c r="BQ923" s="651"/>
      <c r="BR923" s="651"/>
      <c r="BS923" s="651"/>
      <c r="BT923" s="651"/>
    </row>
    <row r="924" ht="12.75" customHeight="1">
      <c r="A924" s="583"/>
      <c r="B924" s="584"/>
      <c r="C924" s="584"/>
      <c r="D924" s="584"/>
      <c r="E924" s="585"/>
      <c r="F924" s="586"/>
      <c r="G924" s="587"/>
      <c r="H924" s="584"/>
      <c r="I924" s="443"/>
      <c r="J924" s="443"/>
      <c r="K924" s="354"/>
      <c r="L924" s="588"/>
      <c r="M924" s="588"/>
      <c r="N924" s="589"/>
      <c r="O924" s="595"/>
      <c r="P924" s="392"/>
      <c r="Q924" s="807"/>
      <c r="R924" s="603"/>
      <c r="S924" s="354"/>
      <c r="T924" s="584"/>
      <c r="U924" s="595"/>
      <c r="V924" s="595"/>
      <c r="W924" s="595"/>
      <c r="X924" s="443"/>
      <c r="Y924" s="595"/>
      <c r="Z924" s="595"/>
      <c r="AA924" s="595"/>
      <c r="AB924" s="354"/>
      <c r="AC924" s="595"/>
      <c r="AD924" s="584"/>
      <c r="AE924" s="595"/>
      <c r="AF924" s="595"/>
      <c r="AG924" s="349"/>
      <c r="AH924" s="595"/>
      <c r="AI924" s="595"/>
      <c r="AJ924" s="595"/>
      <c r="AK924" s="595"/>
      <c r="AL924" s="595"/>
      <c r="AM924" s="584"/>
      <c r="AN924" s="595"/>
      <c r="AO924" s="595"/>
      <c r="AP924" s="595"/>
      <c r="AQ924" s="597"/>
      <c r="AR924" s="597"/>
      <c r="AS924" s="597"/>
      <c r="AT924" s="597"/>
      <c r="AU924" s="597"/>
      <c r="AV924" s="597"/>
      <c r="AW924" s="597"/>
      <c r="AX924" s="597"/>
      <c r="AY924" s="597"/>
      <c r="AZ924" s="597"/>
      <c r="BA924" s="597"/>
      <c r="BB924" s="595"/>
      <c r="BC924" s="595"/>
      <c r="BD924" s="595"/>
      <c r="BE924" s="595"/>
      <c r="BF924" s="595"/>
      <c r="BG924" s="595"/>
      <c r="BH924" s="595"/>
      <c r="BI924" s="595"/>
      <c r="BJ924" s="651"/>
      <c r="BK924" s="651"/>
      <c r="BL924" s="651"/>
      <c r="BM924" s="651"/>
      <c r="BN924" s="651"/>
      <c r="BO924" s="651"/>
      <c r="BP924" s="651"/>
      <c r="BQ924" s="651"/>
      <c r="BR924" s="651"/>
      <c r="BS924" s="651"/>
      <c r="BT924" s="651"/>
    </row>
    <row r="925" ht="12.75" customHeight="1">
      <c r="A925" s="583"/>
      <c r="B925" s="584"/>
      <c r="C925" s="584"/>
      <c r="D925" s="584"/>
      <c r="E925" s="585"/>
      <c r="F925" s="586"/>
      <c r="G925" s="587"/>
      <c r="H925" s="584"/>
      <c r="I925" s="443"/>
      <c r="J925" s="443"/>
      <c r="K925" s="354"/>
      <c r="L925" s="588"/>
      <c r="M925" s="588"/>
      <c r="N925" s="589"/>
      <c r="O925" s="595"/>
      <c r="P925" s="392"/>
      <c r="Q925" s="807"/>
      <c r="R925" s="603"/>
      <c r="S925" s="354"/>
      <c r="T925" s="584"/>
      <c r="U925" s="595"/>
      <c r="V925" s="595"/>
      <c r="W925" s="595"/>
      <c r="X925" s="443"/>
      <c r="Y925" s="595"/>
      <c r="Z925" s="595"/>
      <c r="AA925" s="595"/>
      <c r="AB925" s="354"/>
      <c r="AC925" s="595"/>
      <c r="AD925" s="584"/>
      <c r="AE925" s="595"/>
      <c r="AF925" s="595"/>
      <c r="AG925" s="349"/>
      <c r="AH925" s="595"/>
      <c r="AI925" s="595"/>
      <c r="AJ925" s="595"/>
      <c r="AK925" s="595"/>
      <c r="AL925" s="595"/>
      <c r="AM925" s="584"/>
      <c r="AN925" s="595"/>
      <c r="AO925" s="595"/>
      <c r="AP925" s="584"/>
      <c r="AQ925" s="597"/>
      <c r="AR925" s="597"/>
      <c r="AS925" s="597"/>
      <c r="AT925" s="597"/>
      <c r="AU925" s="597"/>
      <c r="AV925" s="597"/>
      <c r="AW925" s="597"/>
      <c r="AX925" s="597"/>
      <c r="AY925" s="597"/>
      <c r="AZ925" s="597"/>
      <c r="BA925" s="597"/>
      <c r="BB925" s="595"/>
      <c r="BC925" s="595"/>
      <c r="BD925" s="595"/>
      <c r="BE925" s="595"/>
      <c r="BF925" s="595"/>
      <c r="BG925" s="595"/>
      <c r="BH925" s="595"/>
      <c r="BI925" s="595"/>
      <c r="BJ925" s="651"/>
      <c r="BK925" s="651"/>
      <c r="BL925" s="651"/>
      <c r="BM925" s="651"/>
      <c r="BN925" s="651"/>
      <c r="BO925" s="651"/>
      <c r="BP925" s="651"/>
      <c r="BQ925" s="651"/>
      <c r="BR925" s="651"/>
      <c r="BS925" s="651"/>
      <c r="BT925" s="651"/>
    </row>
    <row r="926" ht="12.75" customHeight="1">
      <c r="A926" s="583"/>
      <c r="B926" s="584"/>
      <c r="C926" s="584"/>
      <c r="D926" s="584"/>
      <c r="E926" s="585"/>
      <c r="F926" s="586"/>
      <c r="G926" s="587"/>
      <c r="H926" s="584"/>
      <c r="I926" s="443"/>
      <c r="J926" s="443"/>
      <c r="K926" s="354"/>
      <c r="L926" s="588"/>
      <c r="M926" s="588"/>
      <c r="N926" s="589"/>
      <c r="O926" s="595"/>
      <c r="P926" s="392"/>
      <c r="Q926" s="807"/>
      <c r="R926" s="603"/>
      <c r="S926" s="354"/>
      <c r="T926" s="584"/>
      <c r="U926" s="595"/>
      <c r="V926" s="595"/>
      <c r="W926" s="595"/>
      <c r="X926" s="443"/>
      <c r="Y926" s="595"/>
      <c r="Z926" s="595"/>
      <c r="AA926" s="595"/>
      <c r="AB926" s="354"/>
      <c r="AC926" s="595"/>
      <c r="AD926" s="584"/>
      <c r="AE926" s="595"/>
      <c r="AF926" s="595"/>
      <c r="AG926" s="349"/>
      <c r="AH926" s="595"/>
      <c r="AI926" s="595"/>
      <c r="AJ926" s="595"/>
      <c r="AK926" s="595"/>
      <c r="AL926" s="595"/>
      <c r="AM926" s="584"/>
      <c r="AN926" s="595"/>
      <c r="AO926" s="595"/>
      <c r="AP926" s="584"/>
      <c r="AQ926" s="597"/>
      <c r="AR926" s="597"/>
      <c r="AS926" s="597"/>
      <c r="AT926" s="597"/>
      <c r="AU926" s="597"/>
      <c r="AV926" s="597"/>
      <c r="AW926" s="597"/>
      <c r="AX926" s="597"/>
      <c r="AY926" s="597"/>
      <c r="AZ926" s="597"/>
      <c r="BA926" s="597"/>
      <c r="BB926" s="595"/>
      <c r="BC926" s="595"/>
      <c r="BD926" s="595"/>
      <c r="BE926" s="595"/>
      <c r="BF926" s="595"/>
      <c r="BG926" s="595"/>
      <c r="BH926" s="595"/>
      <c r="BI926" s="595"/>
      <c r="BJ926" s="651"/>
      <c r="BK926" s="651"/>
      <c r="BL926" s="651"/>
      <c r="BM926" s="651"/>
      <c r="BN926" s="651"/>
      <c r="BO926" s="651"/>
      <c r="BP926" s="651"/>
      <c r="BQ926" s="651"/>
      <c r="BR926" s="651"/>
      <c r="BS926" s="651"/>
      <c r="BT926" s="651"/>
    </row>
    <row r="927" ht="12.75" customHeight="1">
      <c r="A927" s="583"/>
      <c r="B927" s="584"/>
      <c r="C927" s="584"/>
      <c r="D927" s="584"/>
      <c r="E927" s="585"/>
      <c r="F927" s="586"/>
      <c r="G927" s="587"/>
      <c r="H927" s="584"/>
      <c r="I927" s="443"/>
      <c r="J927" s="443"/>
      <c r="K927" s="354"/>
      <c r="L927" s="588"/>
      <c r="M927" s="588"/>
      <c r="N927" s="589"/>
      <c r="O927" s="595"/>
      <c r="P927" s="392"/>
      <c r="Q927" s="807"/>
      <c r="R927" s="603"/>
      <c r="S927" s="354"/>
      <c r="T927" s="584"/>
      <c r="U927" s="595"/>
      <c r="V927" s="595"/>
      <c r="W927" s="595"/>
      <c r="X927" s="443"/>
      <c r="Y927" s="595"/>
      <c r="Z927" s="595"/>
      <c r="AA927" s="595"/>
      <c r="AB927" s="354"/>
      <c r="AC927" s="595"/>
      <c r="AD927" s="584"/>
      <c r="AE927" s="595"/>
      <c r="AF927" s="595"/>
      <c r="AG927" s="349"/>
      <c r="AH927" s="595"/>
      <c r="AI927" s="595"/>
      <c r="AJ927" s="595"/>
      <c r="AK927" s="595"/>
      <c r="AL927" s="595"/>
      <c r="AM927" s="584"/>
      <c r="AN927" s="595"/>
      <c r="AO927" s="595"/>
      <c r="AP927" s="584"/>
      <c r="AQ927" s="597"/>
      <c r="AR927" s="597"/>
      <c r="AS927" s="597"/>
      <c r="AT927" s="597"/>
      <c r="AU927" s="597"/>
      <c r="AV927" s="597"/>
      <c r="AW927" s="597"/>
      <c r="AX927" s="597"/>
      <c r="AY927" s="597"/>
      <c r="AZ927" s="597"/>
      <c r="BA927" s="597"/>
      <c r="BB927" s="595"/>
      <c r="BC927" s="595"/>
      <c r="BD927" s="595"/>
      <c r="BE927" s="595"/>
      <c r="BF927" s="595"/>
      <c r="BG927" s="595"/>
      <c r="BH927" s="595"/>
      <c r="BI927" s="595"/>
      <c r="BJ927" s="651"/>
      <c r="BK927" s="651"/>
      <c r="BL927" s="651"/>
      <c r="BM927" s="651"/>
      <c r="BN927" s="651"/>
      <c r="BO927" s="651"/>
      <c r="BP927" s="651"/>
      <c r="BQ927" s="651"/>
      <c r="BR927" s="651"/>
      <c r="BS927" s="651"/>
      <c r="BT927" s="651"/>
    </row>
    <row r="928" ht="12.75" customHeight="1">
      <c r="A928" s="583"/>
      <c r="B928" s="584"/>
      <c r="C928" s="584"/>
      <c r="D928" s="584"/>
      <c r="E928" s="585"/>
      <c r="F928" s="586"/>
      <c r="G928" s="587"/>
      <c r="H928" s="584"/>
      <c r="I928" s="443"/>
      <c r="J928" s="443"/>
      <c r="K928" s="354"/>
      <c r="L928" s="588"/>
      <c r="M928" s="588"/>
      <c r="N928" s="589"/>
      <c r="O928" s="595"/>
      <c r="P928" s="392"/>
      <c r="Q928" s="807"/>
      <c r="R928" s="603"/>
      <c r="S928" s="354"/>
      <c r="T928" s="584"/>
      <c r="U928" s="595"/>
      <c r="V928" s="595"/>
      <c r="W928" s="595"/>
      <c r="X928" s="443"/>
      <c r="Y928" s="595"/>
      <c r="Z928" s="595"/>
      <c r="AA928" s="595"/>
      <c r="AB928" s="354"/>
      <c r="AC928" s="595"/>
      <c r="AD928" s="584"/>
      <c r="AE928" s="595"/>
      <c r="AF928" s="595"/>
      <c r="AG928" s="349"/>
      <c r="AH928" s="595"/>
      <c r="AI928" s="595"/>
      <c r="AJ928" s="595"/>
      <c r="AK928" s="595"/>
      <c r="AL928" s="595"/>
      <c r="AM928" s="584"/>
      <c r="AN928" s="595"/>
      <c r="AO928" s="595"/>
      <c r="AP928" s="584"/>
      <c r="AQ928" s="597"/>
      <c r="AR928" s="597"/>
      <c r="AS928" s="597"/>
      <c r="AT928" s="597"/>
      <c r="AU928" s="597"/>
      <c r="AV928" s="597"/>
      <c r="AW928" s="597"/>
      <c r="AX928" s="597"/>
      <c r="AY928" s="597"/>
      <c r="AZ928" s="597"/>
      <c r="BA928" s="597"/>
      <c r="BB928" s="584"/>
      <c r="BC928" s="584"/>
      <c r="BD928" s="584"/>
      <c r="BE928" s="584"/>
      <c r="BF928" s="584"/>
      <c r="BG928" s="584"/>
      <c r="BH928" s="584"/>
      <c r="BI928" s="584"/>
      <c r="BJ928" s="597"/>
      <c r="BK928" s="597"/>
      <c r="BL928" s="597"/>
      <c r="BM928" s="597"/>
      <c r="BN928" s="597"/>
      <c r="BO928" s="597"/>
      <c r="BP928" s="597"/>
      <c r="BQ928" s="597"/>
      <c r="BR928" s="597"/>
      <c r="BS928" s="597"/>
      <c r="BT928" s="597"/>
    </row>
    <row r="929" ht="12.75" customHeight="1">
      <c r="A929" s="583"/>
      <c r="B929" s="584"/>
      <c r="C929" s="584"/>
      <c r="D929" s="584"/>
      <c r="E929" s="585"/>
      <c r="F929" s="586"/>
      <c r="G929" s="587"/>
      <c r="H929" s="584"/>
      <c r="I929" s="443"/>
      <c r="J929" s="443"/>
      <c r="K929" s="354"/>
      <c r="L929" s="588"/>
      <c r="M929" s="588"/>
      <c r="N929" s="589"/>
      <c r="O929" s="595"/>
      <c r="P929" s="392"/>
      <c r="Q929" s="807"/>
      <c r="R929" s="603"/>
      <c r="S929" s="354"/>
      <c r="T929" s="584"/>
      <c r="U929" s="595"/>
      <c r="V929" s="595"/>
      <c r="W929" s="595"/>
      <c r="X929" s="443"/>
      <c r="Y929" s="595"/>
      <c r="Z929" s="595"/>
      <c r="AA929" s="595"/>
      <c r="AB929" s="354"/>
      <c r="AC929" s="595"/>
      <c r="AD929" s="584"/>
      <c r="AE929" s="595"/>
      <c r="AF929" s="595"/>
      <c r="AG929" s="349"/>
      <c r="AH929" s="595"/>
      <c r="AI929" s="595"/>
      <c r="AJ929" s="595"/>
      <c r="AK929" s="595"/>
      <c r="AL929" s="595"/>
      <c r="AM929" s="584"/>
      <c r="AN929" s="595"/>
      <c r="AO929" s="595"/>
      <c r="AP929" s="584"/>
      <c r="AQ929" s="597"/>
      <c r="AR929" s="597"/>
      <c r="AS929" s="597"/>
      <c r="AT929" s="597"/>
      <c r="AU929" s="597"/>
      <c r="AV929" s="597"/>
      <c r="AW929" s="597"/>
      <c r="AX929" s="597"/>
      <c r="AY929" s="597"/>
      <c r="AZ929" s="597"/>
      <c r="BA929" s="597"/>
      <c r="BB929" s="584"/>
      <c r="BC929" s="584"/>
      <c r="BD929" s="584"/>
      <c r="BE929" s="584"/>
      <c r="BF929" s="584"/>
      <c r="BG929" s="584"/>
      <c r="BH929" s="584"/>
      <c r="BI929" s="584"/>
      <c r="BJ929" s="597"/>
      <c r="BK929" s="597"/>
      <c r="BL929" s="597"/>
      <c r="BM929" s="597"/>
      <c r="BN929" s="597"/>
      <c r="BO929" s="597"/>
      <c r="BP929" s="597"/>
      <c r="BQ929" s="597"/>
      <c r="BR929" s="597"/>
      <c r="BS929" s="597"/>
      <c r="BT929" s="597"/>
    </row>
    <row r="930" ht="12.75" customHeight="1">
      <c r="A930" s="583"/>
      <c r="B930" s="584"/>
      <c r="C930" s="584"/>
      <c r="D930" s="584"/>
      <c r="E930" s="585"/>
      <c r="F930" s="586"/>
      <c r="G930" s="587"/>
      <c r="H930" s="584"/>
      <c r="I930" s="443"/>
      <c r="J930" s="443"/>
      <c r="K930" s="354"/>
      <c r="L930" s="588"/>
      <c r="M930" s="588"/>
      <c r="N930" s="589"/>
      <c r="O930" s="595"/>
      <c r="P930" s="392"/>
      <c r="Q930" s="807"/>
      <c r="R930" s="603"/>
      <c r="S930" s="354"/>
      <c r="T930" s="584"/>
      <c r="U930" s="595"/>
      <c r="V930" s="595"/>
      <c r="W930" s="595"/>
      <c r="X930" s="443"/>
      <c r="Y930" s="595"/>
      <c r="Z930" s="595"/>
      <c r="AA930" s="595"/>
      <c r="AB930" s="354"/>
      <c r="AC930" s="595"/>
      <c r="AD930" s="584"/>
      <c r="AE930" s="595"/>
      <c r="AF930" s="595"/>
      <c r="AG930" s="349"/>
      <c r="AH930" s="595"/>
      <c r="AI930" s="595"/>
      <c r="AJ930" s="595"/>
      <c r="AK930" s="595"/>
      <c r="AL930" s="595"/>
      <c r="AM930" s="584"/>
      <c r="AN930" s="595"/>
      <c r="AO930" s="595"/>
      <c r="AP930" s="584"/>
      <c r="AQ930" s="597"/>
      <c r="AR930" s="597"/>
      <c r="AS930" s="597"/>
      <c r="AT930" s="597"/>
      <c r="AU930" s="597"/>
      <c r="AV930" s="597"/>
      <c r="AW930" s="597"/>
      <c r="AX930" s="597"/>
      <c r="AY930" s="597"/>
      <c r="AZ930" s="597"/>
      <c r="BA930" s="597"/>
      <c r="BB930" s="584"/>
      <c r="BC930" s="584"/>
      <c r="BD930" s="584"/>
      <c r="BE930" s="584"/>
      <c r="BF930" s="584"/>
      <c r="BG930" s="584"/>
      <c r="BH930" s="584"/>
      <c r="BI930" s="584"/>
      <c r="BJ930" s="597"/>
      <c r="BK930" s="597"/>
      <c r="BL930" s="597"/>
      <c r="BM930" s="597"/>
      <c r="BN930" s="597"/>
      <c r="BO930" s="597"/>
      <c r="BP930" s="597"/>
      <c r="BQ930" s="597"/>
      <c r="BR930" s="597"/>
      <c r="BS930" s="597"/>
      <c r="BT930" s="597"/>
    </row>
    <row r="931" ht="12.75" customHeight="1">
      <c r="A931" s="583"/>
      <c r="B931" s="584"/>
      <c r="C931" s="584"/>
      <c r="D931" s="584"/>
      <c r="E931" s="585"/>
      <c r="F931" s="586"/>
      <c r="G931" s="587"/>
      <c r="H931" s="584"/>
      <c r="I931" s="443"/>
      <c r="J931" s="443"/>
      <c r="K931" s="354"/>
      <c r="L931" s="588"/>
      <c r="M931" s="588"/>
      <c r="N931" s="589"/>
      <c r="O931" s="595"/>
      <c r="P931" s="392"/>
      <c r="Q931" s="807"/>
      <c r="R931" s="603"/>
      <c r="S931" s="354"/>
      <c r="T931" s="584"/>
      <c r="U931" s="595"/>
      <c r="V931" s="595"/>
      <c r="W931" s="595"/>
      <c r="X931" s="443"/>
      <c r="Y931" s="595"/>
      <c r="Z931" s="595"/>
      <c r="AA931" s="595"/>
      <c r="AB931" s="354"/>
      <c r="AC931" s="595"/>
      <c r="AD931" s="584"/>
      <c r="AE931" s="595"/>
      <c r="AF931" s="595"/>
      <c r="AG931" s="349"/>
      <c r="AH931" s="595"/>
      <c r="AI931" s="595"/>
      <c r="AJ931" s="595"/>
      <c r="AK931" s="595"/>
      <c r="AL931" s="595"/>
      <c r="AM931" s="584"/>
      <c r="AN931" s="595"/>
      <c r="AO931" s="595"/>
      <c r="AP931" s="584"/>
      <c r="AQ931" s="597"/>
      <c r="AR931" s="597"/>
      <c r="AS931" s="597"/>
      <c r="AT931" s="597"/>
      <c r="AU931" s="597"/>
      <c r="AV931" s="597"/>
      <c r="AW931" s="597"/>
      <c r="AX931" s="597"/>
      <c r="AY931" s="597"/>
      <c r="AZ931" s="597"/>
      <c r="BA931" s="597"/>
      <c r="BB931" s="584"/>
      <c r="BC931" s="584"/>
      <c r="BD931" s="584"/>
      <c r="BE931" s="584"/>
      <c r="BF931" s="584"/>
      <c r="BG931" s="584"/>
      <c r="BH931" s="584"/>
      <c r="BI931" s="584"/>
      <c r="BJ931" s="597"/>
      <c r="BK931" s="597"/>
      <c r="BL931" s="597"/>
      <c r="BM931" s="597"/>
      <c r="BN931" s="597"/>
      <c r="BO931" s="597"/>
      <c r="BP931" s="597"/>
      <c r="BQ931" s="597"/>
      <c r="BR931" s="597"/>
      <c r="BS931" s="597"/>
      <c r="BT931" s="597"/>
    </row>
    <row r="932" ht="12.75" customHeight="1">
      <c r="A932" s="583"/>
      <c r="B932" s="584"/>
      <c r="C932" s="584"/>
      <c r="D932" s="584"/>
      <c r="E932" s="585"/>
      <c r="F932" s="586"/>
      <c r="G932" s="587"/>
      <c r="H932" s="584"/>
      <c r="I932" s="443"/>
      <c r="J932" s="443"/>
      <c r="K932" s="354"/>
      <c r="L932" s="588"/>
      <c r="M932" s="588"/>
      <c r="N932" s="589"/>
      <c r="O932" s="595"/>
      <c r="P932" s="392"/>
      <c r="Q932" s="807"/>
      <c r="R932" s="603"/>
      <c r="S932" s="354"/>
      <c r="T932" s="584"/>
      <c r="U932" s="595"/>
      <c r="V932" s="595"/>
      <c r="W932" s="595"/>
      <c r="X932" s="443"/>
      <c r="Y932" s="595"/>
      <c r="Z932" s="595"/>
      <c r="AA932" s="595"/>
      <c r="AB932" s="354"/>
      <c r="AC932" s="595"/>
      <c r="AD932" s="584"/>
      <c r="AE932" s="595"/>
      <c r="AF932" s="595"/>
      <c r="AG932" s="349"/>
      <c r="AH932" s="595"/>
      <c r="AI932" s="595"/>
      <c r="AJ932" s="595"/>
      <c r="AK932" s="595"/>
      <c r="AL932" s="595"/>
      <c r="AM932" s="584"/>
      <c r="AN932" s="595"/>
      <c r="AO932" s="595"/>
      <c r="AP932" s="584"/>
      <c r="AQ932" s="597"/>
      <c r="AR932" s="597"/>
      <c r="AS932" s="597"/>
      <c r="AT932" s="597"/>
      <c r="AU932" s="597"/>
      <c r="AV932" s="597"/>
      <c r="AW932" s="597"/>
      <c r="AX932" s="597"/>
      <c r="AY932" s="597"/>
      <c r="AZ932" s="597"/>
      <c r="BA932" s="597"/>
      <c r="BB932" s="584"/>
      <c r="BC932" s="584"/>
      <c r="BD932" s="584"/>
      <c r="BE932" s="584"/>
      <c r="BF932" s="584"/>
      <c r="BG932" s="584"/>
      <c r="BH932" s="584"/>
      <c r="BI932" s="584"/>
      <c r="BJ932" s="597"/>
      <c r="BK932" s="597"/>
      <c r="BL932" s="597"/>
      <c r="BM932" s="597"/>
      <c r="BN932" s="597"/>
      <c r="BO932" s="597"/>
      <c r="BP932" s="597"/>
      <c r="BQ932" s="597"/>
      <c r="BR932" s="597"/>
      <c r="BS932" s="597"/>
      <c r="BT932" s="597"/>
    </row>
    <row r="933" ht="12.75" customHeight="1">
      <c r="A933" s="583"/>
      <c r="B933" s="584"/>
      <c r="C933" s="584"/>
      <c r="D933" s="584"/>
      <c r="E933" s="585"/>
      <c r="F933" s="586"/>
      <c r="G933" s="587"/>
      <c r="H933" s="584"/>
      <c r="I933" s="443"/>
      <c r="J933" s="443"/>
      <c r="K933" s="354"/>
      <c r="L933" s="588"/>
      <c r="M933" s="588"/>
      <c r="N933" s="589"/>
      <c r="O933" s="595"/>
      <c r="P933" s="392"/>
      <c r="Q933" s="807"/>
      <c r="R933" s="603"/>
      <c r="S933" s="354"/>
      <c r="T933" s="584"/>
      <c r="U933" s="595"/>
      <c r="V933" s="595"/>
      <c r="W933" s="595"/>
      <c r="X933" s="443"/>
      <c r="Y933" s="595"/>
      <c r="Z933" s="595"/>
      <c r="AA933" s="595"/>
      <c r="AB933" s="354"/>
      <c r="AC933" s="595"/>
      <c r="AD933" s="584"/>
      <c r="AE933" s="595"/>
      <c r="AF933" s="595"/>
      <c r="AG933" s="349"/>
      <c r="AH933" s="595"/>
      <c r="AI933" s="595"/>
      <c r="AJ933" s="595"/>
      <c r="AK933" s="595"/>
      <c r="AL933" s="595"/>
      <c r="AM933" s="584"/>
      <c r="AN933" s="595"/>
      <c r="AO933" s="595"/>
      <c r="AP933" s="584"/>
      <c r="AQ933" s="597"/>
      <c r="AR933" s="597"/>
      <c r="AS933" s="597"/>
      <c r="AT933" s="597"/>
      <c r="AU933" s="597"/>
      <c r="AV933" s="597"/>
      <c r="AW933" s="597"/>
      <c r="AX933" s="597"/>
      <c r="AY933" s="597"/>
      <c r="AZ933" s="597"/>
      <c r="BA933" s="597"/>
      <c r="BB933" s="584"/>
      <c r="BC933" s="584"/>
      <c r="BD933" s="584"/>
      <c r="BE933" s="584"/>
      <c r="BF933" s="584"/>
      <c r="BG933" s="584"/>
      <c r="BH933" s="584"/>
      <c r="BI933" s="584"/>
      <c r="BJ933" s="597"/>
      <c r="BK933" s="597"/>
      <c r="BL933" s="597"/>
      <c r="BM933" s="597"/>
      <c r="BN933" s="597"/>
      <c r="BO933" s="597"/>
      <c r="BP933" s="597"/>
      <c r="BQ933" s="597"/>
      <c r="BR933" s="597"/>
      <c r="BS933" s="597"/>
      <c r="BT933" s="597"/>
    </row>
    <row r="934" ht="12.75" customHeight="1">
      <c r="A934" s="583"/>
      <c r="B934" s="584"/>
      <c r="C934" s="584"/>
      <c r="D934" s="584"/>
      <c r="E934" s="585"/>
      <c r="F934" s="586"/>
      <c r="G934" s="587"/>
      <c r="H934" s="584"/>
      <c r="I934" s="443"/>
      <c r="J934" s="443"/>
      <c r="K934" s="354"/>
      <c r="L934" s="588"/>
      <c r="M934" s="588"/>
      <c r="N934" s="589"/>
      <c r="O934" s="595"/>
      <c r="P934" s="392"/>
      <c r="Q934" s="807"/>
      <c r="R934" s="603"/>
      <c r="S934" s="354"/>
      <c r="T934" s="584"/>
      <c r="U934" s="595"/>
      <c r="V934" s="595"/>
      <c r="W934" s="595"/>
      <c r="X934" s="443"/>
      <c r="Y934" s="595"/>
      <c r="Z934" s="595"/>
      <c r="AA934" s="595"/>
      <c r="AB934" s="354"/>
      <c r="AC934" s="595"/>
      <c r="AD934" s="584"/>
      <c r="AE934" s="595"/>
      <c r="AF934" s="595"/>
      <c r="AG934" s="349"/>
      <c r="AH934" s="595"/>
      <c r="AI934" s="595"/>
      <c r="AJ934" s="595"/>
      <c r="AK934" s="595"/>
      <c r="AL934" s="595"/>
      <c r="AM934" s="584"/>
      <c r="AN934" s="595"/>
      <c r="AO934" s="595"/>
      <c r="AP934" s="584"/>
      <c r="AQ934" s="597"/>
      <c r="AR934" s="597"/>
      <c r="AS934" s="597"/>
      <c r="AT934" s="597"/>
      <c r="AU934" s="597"/>
      <c r="AV934" s="597"/>
      <c r="AW934" s="597"/>
      <c r="AX934" s="597"/>
      <c r="AY934" s="597"/>
      <c r="AZ934" s="597"/>
      <c r="BA934" s="597"/>
      <c r="BB934" s="584"/>
      <c r="BC934" s="584"/>
      <c r="BD934" s="584"/>
      <c r="BE934" s="584"/>
      <c r="BF934" s="584"/>
      <c r="BG934" s="584"/>
      <c r="BH934" s="584"/>
      <c r="BI934" s="584"/>
      <c r="BJ934" s="597"/>
      <c r="BK934" s="597"/>
      <c r="BL934" s="597"/>
      <c r="BM934" s="597"/>
      <c r="BN934" s="597"/>
      <c r="BO934" s="597"/>
      <c r="BP934" s="597"/>
      <c r="BQ934" s="597"/>
      <c r="BR934" s="597"/>
      <c r="BS934" s="597"/>
      <c r="BT934" s="597"/>
    </row>
    <row r="935" ht="12.75" customHeight="1">
      <c r="A935" s="583"/>
      <c r="B935" s="584"/>
      <c r="C935" s="584"/>
      <c r="D935" s="584"/>
      <c r="E935" s="585"/>
      <c r="F935" s="586"/>
      <c r="G935" s="587"/>
      <c r="H935" s="584"/>
      <c r="I935" s="443"/>
      <c r="J935" s="443"/>
      <c r="K935" s="354"/>
      <c r="L935" s="588"/>
      <c r="M935" s="588"/>
      <c r="N935" s="589"/>
      <c r="O935" s="595"/>
      <c r="P935" s="392"/>
      <c r="Q935" s="807"/>
      <c r="R935" s="603"/>
      <c r="S935" s="354"/>
      <c r="T935" s="584"/>
      <c r="U935" s="595"/>
      <c r="V935" s="595"/>
      <c r="W935" s="595"/>
      <c r="X935" s="443"/>
      <c r="Y935" s="595"/>
      <c r="Z935" s="595"/>
      <c r="AA935" s="595"/>
      <c r="AB935" s="354"/>
      <c r="AC935" s="595"/>
      <c r="AD935" s="584"/>
      <c r="AE935" s="595"/>
      <c r="AF935" s="595"/>
      <c r="AG935" s="349"/>
      <c r="AH935" s="595"/>
      <c r="AI935" s="595"/>
      <c r="AJ935" s="595"/>
      <c r="AK935" s="595"/>
      <c r="AL935" s="595"/>
      <c r="AM935" s="584"/>
      <c r="AN935" s="595"/>
      <c r="AO935" s="595"/>
      <c r="AP935" s="584"/>
      <c r="AQ935" s="597"/>
      <c r="AR935" s="597"/>
      <c r="AS935" s="597"/>
      <c r="AT935" s="597"/>
      <c r="AU935" s="597"/>
      <c r="AV935" s="597"/>
      <c r="AW935" s="597"/>
      <c r="AX935" s="597"/>
      <c r="AY935" s="597"/>
      <c r="AZ935" s="597"/>
      <c r="BA935" s="597"/>
      <c r="BB935" s="584"/>
      <c r="BC935" s="584"/>
      <c r="BD935" s="584"/>
      <c r="BE935" s="584"/>
      <c r="BF935" s="584"/>
      <c r="BG935" s="584"/>
      <c r="BH935" s="584"/>
      <c r="BI935" s="584"/>
      <c r="BJ935" s="597"/>
      <c r="BK935" s="597"/>
      <c r="BL935" s="597"/>
      <c r="BM935" s="597"/>
      <c r="BN935" s="597"/>
      <c r="BO935" s="597"/>
      <c r="BP935" s="597"/>
      <c r="BQ935" s="597"/>
      <c r="BR935" s="597"/>
      <c r="BS935" s="597"/>
      <c r="BT935" s="597"/>
    </row>
    <row r="936" ht="12.75" customHeight="1">
      <c r="A936" s="583"/>
      <c r="B936" s="584"/>
      <c r="C936" s="584"/>
      <c r="D936" s="584"/>
      <c r="E936" s="585"/>
      <c r="F936" s="586"/>
      <c r="G936" s="587"/>
      <c r="H936" s="584"/>
      <c r="I936" s="443"/>
      <c r="J936" s="443"/>
      <c r="K936" s="354"/>
      <c r="L936" s="588"/>
      <c r="M936" s="588"/>
      <c r="N936" s="589"/>
      <c r="O936" s="595"/>
      <c r="P936" s="392"/>
      <c r="Q936" s="807"/>
      <c r="R936" s="603"/>
      <c r="S936" s="354"/>
      <c r="T936" s="584"/>
      <c r="U936" s="595"/>
      <c r="V936" s="595"/>
      <c r="W936" s="595"/>
      <c r="X936" s="443"/>
      <c r="Y936" s="595"/>
      <c r="Z936" s="595"/>
      <c r="AA936" s="595"/>
      <c r="AB936" s="354"/>
      <c r="AC936" s="595"/>
      <c r="AD936" s="584"/>
      <c r="AE936" s="595"/>
      <c r="AF936" s="595"/>
      <c r="AG936" s="349"/>
      <c r="AH936" s="595"/>
      <c r="AI936" s="595"/>
      <c r="AJ936" s="595"/>
      <c r="AK936" s="595"/>
      <c r="AL936" s="595"/>
      <c r="AM936" s="584"/>
      <c r="AN936" s="595"/>
      <c r="AO936" s="595"/>
      <c r="AP936" s="584"/>
      <c r="AQ936" s="597"/>
      <c r="AR936" s="597"/>
      <c r="AS936" s="597"/>
      <c r="AT936" s="597"/>
      <c r="AU936" s="597"/>
      <c r="AV936" s="597"/>
      <c r="AW936" s="597"/>
      <c r="AX936" s="597"/>
      <c r="AY936" s="597"/>
      <c r="AZ936" s="597"/>
      <c r="BA936" s="597"/>
      <c r="BB936" s="584"/>
      <c r="BC936" s="584"/>
      <c r="BD936" s="584"/>
      <c r="BE936" s="584"/>
      <c r="BF936" s="584"/>
      <c r="BG936" s="584"/>
      <c r="BH936" s="584"/>
      <c r="BI936" s="584"/>
      <c r="BJ936" s="597"/>
      <c r="BK936" s="597"/>
      <c r="BL936" s="597"/>
      <c r="BM936" s="597"/>
      <c r="BN936" s="597"/>
      <c r="BO936" s="597"/>
      <c r="BP936" s="597"/>
      <c r="BQ936" s="597"/>
      <c r="BR936" s="597"/>
      <c r="BS936" s="597"/>
      <c r="BT936" s="597"/>
    </row>
    <row r="937" ht="12.75" customHeight="1">
      <c r="A937" s="583"/>
      <c r="B937" s="584"/>
      <c r="C937" s="584"/>
      <c r="D937" s="584"/>
      <c r="E937" s="585"/>
      <c r="F937" s="586"/>
      <c r="G937" s="587"/>
      <c r="H937" s="584"/>
      <c r="I937" s="443"/>
      <c r="J937" s="443"/>
      <c r="K937" s="354"/>
      <c r="L937" s="588"/>
      <c r="M937" s="588"/>
      <c r="N937" s="589"/>
      <c r="O937" s="595"/>
      <c r="P937" s="392"/>
      <c r="Q937" s="807"/>
      <c r="R937" s="603"/>
      <c r="S937" s="354"/>
      <c r="T937" s="584"/>
      <c r="U937" s="595"/>
      <c r="V937" s="595"/>
      <c r="W937" s="595"/>
      <c r="X937" s="443"/>
      <c r="Y937" s="595"/>
      <c r="Z937" s="595"/>
      <c r="AA937" s="595"/>
      <c r="AB937" s="354"/>
      <c r="AC937" s="595"/>
      <c r="AD937" s="584"/>
      <c r="AE937" s="595"/>
      <c r="AF937" s="595"/>
      <c r="AG937" s="349"/>
      <c r="AH937" s="595"/>
      <c r="AI937" s="595"/>
      <c r="AJ937" s="595"/>
      <c r="AK937" s="595"/>
      <c r="AL937" s="595"/>
      <c r="AM937" s="584"/>
      <c r="AN937" s="595"/>
      <c r="AO937" s="595"/>
      <c r="AP937" s="584"/>
      <c r="AQ937" s="597"/>
      <c r="AR937" s="597"/>
      <c r="AS937" s="597"/>
      <c r="AT937" s="597"/>
      <c r="AU937" s="597"/>
      <c r="AV937" s="597"/>
      <c r="AW937" s="597"/>
      <c r="AX937" s="597"/>
      <c r="AY937" s="597"/>
      <c r="AZ937" s="597"/>
      <c r="BA937" s="597"/>
      <c r="BB937" s="584"/>
      <c r="BC937" s="584"/>
      <c r="BD937" s="584"/>
      <c r="BE937" s="584"/>
      <c r="BF937" s="584"/>
      <c r="BG937" s="584"/>
      <c r="BH937" s="584"/>
      <c r="BI937" s="584"/>
      <c r="BJ937" s="597"/>
      <c r="BK937" s="597"/>
      <c r="BL937" s="597"/>
      <c r="BM937" s="597"/>
      <c r="BN937" s="597"/>
      <c r="BO937" s="597"/>
      <c r="BP937" s="597"/>
      <c r="BQ937" s="597"/>
      <c r="BR937" s="597"/>
      <c r="BS937" s="597"/>
      <c r="BT937" s="597"/>
    </row>
    <row r="938" ht="12.75" customHeight="1">
      <c r="A938" s="583"/>
      <c r="B938" s="584"/>
      <c r="C938" s="584"/>
      <c r="D938" s="584"/>
      <c r="E938" s="585"/>
      <c r="F938" s="586"/>
      <c r="G938" s="587"/>
      <c r="H938" s="584"/>
      <c r="I938" s="443"/>
      <c r="J938" s="443"/>
      <c r="K938" s="354"/>
      <c r="L938" s="588"/>
      <c r="M938" s="588"/>
      <c r="N938" s="589"/>
      <c r="O938" s="595"/>
      <c r="P938" s="392"/>
      <c r="Q938" s="807"/>
      <c r="R938" s="603"/>
      <c r="S938" s="354"/>
      <c r="T938" s="584"/>
      <c r="U938" s="595"/>
      <c r="V938" s="595"/>
      <c r="W938" s="595"/>
      <c r="X938" s="443"/>
      <c r="Y938" s="595"/>
      <c r="Z938" s="595"/>
      <c r="AA938" s="595"/>
      <c r="AB938" s="354"/>
      <c r="AC938" s="595"/>
      <c r="AD938" s="584"/>
      <c r="AE938" s="595"/>
      <c r="AF938" s="595"/>
      <c r="AG938" s="349"/>
      <c r="AH938" s="595"/>
      <c r="AI938" s="595"/>
      <c r="AJ938" s="595"/>
      <c r="AK938" s="595"/>
      <c r="AL938" s="595"/>
      <c r="AM938" s="584"/>
      <c r="AN938" s="595"/>
      <c r="AO938" s="595"/>
      <c r="AP938" s="584"/>
      <c r="AQ938" s="597"/>
      <c r="AR938" s="597"/>
      <c r="AS938" s="597"/>
      <c r="AT938" s="597"/>
      <c r="AU938" s="597"/>
      <c r="AV938" s="597"/>
      <c r="AW938" s="597"/>
      <c r="AX938" s="597"/>
      <c r="AY938" s="597"/>
      <c r="AZ938" s="597"/>
      <c r="BA938" s="597"/>
      <c r="BB938" s="584"/>
      <c r="BC938" s="584"/>
      <c r="BD938" s="584"/>
      <c r="BE938" s="584"/>
      <c r="BF938" s="584"/>
      <c r="BG938" s="584"/>
      <c r="BH938" s="584"/>
      <c r="BI938" s="584"/>
      <c r="BJ938" s="597"/>
      <c r="BK938" s="597"/>
      <c r="BL938" s="597"/>
      <c r="BM938" s="597"/>
      <c r="BN938" s="597"/>
      <c r="BO938" s="597"/>
      <c r="BP938" s="597"/>
      <c r="BQ938" s="597"/>
      <c r="BR938" s="597"/>
      <c r="BS938" s="597"/>
      <c r="BT938" s="597"/>
    </row>
    <row r="939" ht="12.75" customHeight="1">
      <c r="A939" s="583"/>
      <c r="B939" s="584"/>
      <c r="C939" s="584"/>
      <c r="D939" s="584"/>
      <c r="E939" s="585"/>
      <c r="F939" s="586"/>
      <c r="G939" s="587"/>
      <c r="H939" s="584"/>
      <c r="I939" s="443"/>
      <c r="J939" s="443"/>
      <c r="K939" s="354"/>
      <c r="L939" s="588"/>
      <c r="M939" s="588"/>
      <c r="N939" s="589"/>
      <c r="O939" s="595"/>
      <c r="P939" s="392"/>
      <c r="Q939" s="807"/>
      <c r="R939" s="603"/>
      <c r="S939" s="354"/>
      <c r="T939" s="584"/>
      <c r="U939" s="595"/>
      <c r="V939" s="595"/>
      <c r="W939" s="595"/>
      <c r="X939" s="443"/>
      <c r="Y939" s="595"/>
      <c r="Z939" s="595"/>
      <c r="AA939" s="595"/>
      <c r="AB939" s="354"/>
      <c r="AC939" s="595"/>
      <c r="AD939" s="584"/>
      <c r="AE939" s="595"/>
      <c r="AF939" s="595"/>
      <c r="AG939" s="349"/>
      <c r="AH939" s="595"/>
      <c r="AI939" s="595"/>
      <c r="AJ939" s="595"/>
      <c r="AK939" s="595"/>
      <c r="AL939" s="595"/>
      <c r="AM939" s="584"/>
      <c r="AN939" s="595"/>
      <c r="AO939" s="595"/>
      <c r="AP939" s="584"/>
      <c r="AQ939" s="597"/>
      <c r="AR939" s="597"/>
      <c r="AS939" s="597"/>
      <c r="AT939" s="597"/>
      <c r="AU939" s="597"/>
      <c r="AV939" s="597"/>
      <c r="AW939" s="597"/>
      <c r="AX939" s="597"/>
      <c r="AY939" s="597"/>
      <c r="AZ939" s="597"/>
      <c r="BA939" s="597"/>
      <c r="BB939" s="584"/>
      <c r="BC939" s="584"/>
      <c r="BD939" s="584"/>
      <c r="BE939" s="584"/>
      <c r="BF939" s="584"/>
      <c r="BG939" s="584"/>
      <c r="BH939" s="584"/>
      <c r="BI939" s="584"/>
      <c r="BJ939" s="597"/>
      <c r="BK939" s="597"/>
      <c r="BL939" s="597"/>
      <c r="BM939" s="597"/>
      <c r="BN939" s="597"/>
      <c r="BO939" s="597"/>
      <c r="BP939" s="597"/>
      <c r="BQ939" s="597"/>
      <c r="BR939" s="597"/>
      <c r="BS939" s="597"/>
      <c r="BT939" s="597"/>
    </row>
    <row r="940" ht="12.75" customHeight="1">
      <c r="A940" s="583"/>
      <c r="B940" s="584"/>
      <c r="C940" s="584"/>
      <c r="D940" s="584"/>
      <c r="E940" s="585"/>
      <c r="F940" s="586"/>
      <c r="G940" s="587"/>
      <c r="H940" s="584"/>
      <c r="I940" s="443"/>
      <c r="J940" s="443"/>
      <c r="K940" s="354"/>
      <c r="L940" s="588"/>
      <c r="M940" s="588"/>
      <c r="N940" s="589"/>
      <c r="O940" s="595"/>
      <c r="P940" s="392"/>
      <c r="Q940" s="807"/>
      <c r="R940" s="603"/>
      <c r="S940" s="354"/>
      <c r="T940" s="584"/>
      <c r="U940" s="595"/>
      <c r="V940" s="595"/>
      <c r="W940" s="595"/>
      <c r="X940" s="443"/>
      <c r="Y940" s="595"/>
      <c r="Z940" s="595"/>
      <c r="AA940" s="595"/>
      <c r="AB940" s="354"/>
      <c r="AC940" s="595"/>
      <c r="AD940" s="584"/>
      <c r="AE940" s="595"/>
      <c r="AF940" s="1066"/>
      <c r="AG940" s="1067"/>
      <c r="AH940" s="1066"/>
      <c r="AI940" s="1066"/>
      <c r="AJ940" s="1066"/>
      <c r="AK940" s="1066"/>
      <c r="AL940" s="1066"/>
      <c r="AM940" s="1066"/>
      <c r="AN940" s="595"/>
      <c r="AO940" s="595"/>
      <c r="AP940" s="595"/>
      <c r="AQ940" s="597"/>
      <c r="AR940" s="597"/>
      <c r="AS940" s="597"/>
      <c r="AT940" s="597"/>
      <c r="AU940" s="597"/>
      <c r="AV940" s="597"/>
      <c r="AW940" s="597"/>
      <c r="AX940" s="597"/>
      <c r="AY940" s="597"/>
      <c r="AZ940" s="597"/>
      <c r="BA940" s="597"/>
      <c r="BB940" s="584"/>
      <c r="BC940" s="584"/>
      <c r="BD940" s="584"/>
      <c r="BE940" s="584"/>
      <c r="BF940" s="584"/>
      <c r="BG940" s="584"/>
      <c r="BH940" s="584"/>
      <c r="BI940" s="584"/>
      <c r="BJ940" s="597"/>
      <c r="BK940" s="597"/>
      <c r="BL940" s="597"/>
      <c r="BM940" s="597"/>
      <c r="BN940" s="597"/>
      <c r="BO940" s="597"/>
      <c r="BP940" s="597"/>
      <c r="BQ940" s="597"/>
      <c r="BR940" s="597"/>
      <c r="BS940" s="597"/>
      <c r="BT940" s="597"/>
    </row>
    <row r="941" ht="12.75" customHeight="1">
      <c r="A941" s="583"/>
      <c r="B941" s="584"/>
      <c r="C941" s="584"/>
      <c r="D941" s="584"/>
      <c r="E941" s="585"/>
      <c r="F941" s="586"/>
      <c r="G941" s="587"/>
      <c r="H941" s="584"/>
      <c r="I941" s="443"/>
      <c r="J941" s="443"/>
      <c r="K941" s="354"/>
      <c r="L941" s="588"/>
      <c r="M941" s="588"/>
      <c r="N941" s="589"/>
      <c r="O941" s="595"/>
      <c r="P941" s="392"/>
      <c r="Q941" s="807"/>
      <c r="R941" s="603"/>
      <c r="S941" s="354"/>
      <c r="T941" s="584"/>
      <c r="U941" s="595"/>
      <c r="V941" s="595"/>
      <c r="W941" s="595"/>
      <c r="X941" s="443"/>
      <c r="Y941" s="595"/>
      <c r="Z941" s="595"/>
      <c r="AA941" s="595"/>
      <c r="AB941" s="354"/>
      <c r="AC941" s="595"/>
      <c r="AD941" s="584"/>
      <c r="AE941" s="595"/>
      <c r="AF941" s="1066"/>
      <c r="AG941" s="1067"/>
      <c r="AH941" s="1066"/>
      <c r="AI941" s="1066"/>
      <c r="AJ941" s="1066"/>
      <c r="AK941" s="1066"/>
      <c r="AL941" s="1066"/>
      <c r="AM941" s="1066"/>
      <c r="AN941" s="595"/>
      <c r="AO941" s="595"/>
      <c r="AP941" s="595"/>
      <c r="AQ941" s="597"/>
      <c r="AR941" s="597"/>
      <c r="AS941" s="597"/>
      <c r="AT941" s="597"/>
      <c r="AU941" s="597"/>
      <c r="AV941" s="597"/>
      <c r="AW941" s="597"/>
      <c r="AX941" s="597"/>
      <c r="AY941" s="597"/>
      <c r="AZ941" s="597"/>
      <c r="BA941" s="597"/>
      <c r="BB941" s="584"/>
      <c r="BC941" s="584"/>
      <c r="BD941" s="584"/>
      <c r="BE941" s="584"/>
      <c r="BF941" s="584"/>
      <c r="BG941" s="584"/>
      <c r="BH941" s="584"/>
      <c r="BI941" s="584"/>
      <c r="BJ941" s="597"/>
      <c r="BK941" s="597"/>
      <c r="BL941" s="597"/>
      <c r="BM941" s="597"/>
      <c r="BN941" s="597"/>
      <c r="BO941" s="597"/>
      <c r="BP941" s="597"/>
      <c r="BQ941" s="597"/>
      <c r="BR941" s="597"/>
      <c r="BS941" s="597"/>
      <c r="BT941" s="597"/>
    </row>
    <row r="942" ht="12.75" customHeight="1">
      <c r="A942" s="583"/>
      <c r="B942" s="584"/>
      <c r="C942" s="584"/>
      <c r="D942" s="584"/>
      <c r="E942" s="585"/>
      <c r="F942" s="586"/>
      <c r="G942" s="587"/>
      <c r="H942" s="584"/>
      <c r="I942" s="443"/>
      <c r="J942" s="443"/>
      <c r="K942" s="354"/>
      <c r="L942" s="588"/>
      <c r="M942" s="588"/>
      <c r="N942" s="589"/>
      <c r="O942" s="595"/>
      <c r="P942" s="392"/>
      <c r="Q942" s="807"/>
      <c r="R942" s="603"/>
      <c r="S942" s="354"/>
      <c r="T942" s="584"/>
      <c r="U942" s="595"/>
      <c r="V942" s="595"/>
      <c r="W942" s="595"/>
      <c r="X942" s="443"/>
      <c r="Y942" s="595"/>
      <c r="Z942" s="595"/>
      <c r="AA942" s="595"/>
      <c r="AB942" s="354"/>
      <c r="AC942" s="595"/>
      <c r="AD942" s="584"/>
      <c r="AE942" s="595"/>
      <c r="AF942" s="1066"/>
      <c r="AG942" s="1067"/>
      <c r="AH942" s="1066"/>
      <c r="AI942" s="1066"/>
      <c r="AJ942" s="1066"/>
      <c r="AK942" s="1066"/>
      <c r="AL942" s="1066"/>
      <c r="AM942" s="1066"/>
      <c r="AN942" s="595"/>
      <c r="AO942" s="595"/>
      <c r="AP942" s="595"/>
      <c r="AQ942" s="597"/>
      <c r="AR942" s="597"/>
      <c r="AS942" s="597"/>
      <c r="AT942" s="597"/>
      <c r="AU942" s="597"/>
      <c r="AV942" s="597"/>
      <c r="AW942" s="597"/>
      <c r="AX942" s="597"/>
      <c r="AY942" s="597"/>
      <c r="AZ942" s="597"/>
      <c r="BA942" s="597"/>
      <c r="BB942" s="584"/>
      <c r="BC942" s="584"/>
      <c r="BD942" s="584"/>
      <c r="BE942" s="584"/>
      <c r="BF942" s="584"/>
      <c r="BG942" s="584"/>
      <c r="BH942" s="584"/>
      <c r="BI942" s="584"/>
      <c r="BJ942" s="597"/>
      <c r="BK942" s="597"/>
      <c r="BL942" s="597"/>
      <c r="BM942" s="597"/>
      <c r="BN942" s="597"/>
      <c r="BO942" s="597"/>
      <c r="BP942" s="597"/>
      <c r="BQ942" s="597"/>
      <c r="BR942" s="597"/>
      <c r="BS942" s="597"/>
      <c r="BT942" s="597"/>
    </row>
    <row r="943" ht="12.75" customHeight="1">
      <c r="A943" s="583"/>
      <c r="B943" s="584"/>
      <c r="C943" s="584"/>
      <c r="D943" s="584"/>
      <c r="E943" s="585"/>
      <c r="F943" s="586"/>
      <c r="G943" s="587"/>
      <c r="H943" s="584"/>
      <c r="I943" s="443"/>
      <c r="J943" s="443"/>
      <c r="K943" s="354"/>
      <c r="L943" s="588"/>
      <c r="M943" s="588"/>
      <c r="N943" s="589"/>
      <c r="O943" s="595"/>
      <c r="P943" s="392"/>
      <c r="Q943" s="807"/>
      <c r="R943" s="603"/>
      <c r="S943" s="354"/>
      <c r="T943" s="584"/>
      <c r="U943" s="595"/>
      <c r="V943" s="595"/>
      <c r="W943" s="595"/>
      <c r="X943" s="443"/>
      <c r="Y943" s="595"/>
      <c r="Z943" s="595"/>
      <c r="AA943" s="595"/>
      <c r="AB943" s="354"/>
      <c r="AC943" s="595"/>
      <c r="AD943" s="1066"/>
      <c r="AE943" s="1066"/>
      <c r="AF943" s="1066"/>
      <c r="AG943" s="1067"/>
      <c r="AH943" s="1066"/>
      <c r="AI943" s="1066"/>
      <c r="AJ943" s="1066"/>
      <c r="AK943" s="1066"/>
      <c r="AL943" s="1066"/>
      <c r="AM943" s="1066"/>
      <c r="AN943" s="595"/>
      <c r="AO943" s="595"/>
      <c r="AP943" s="595"/>
      <c r="AQ943" s="597"/>
      <c r="AR943" s="597"/>
      <c r="AS943" s="597"/>
      <c r="AT943" s="597"/>
      <c r="AU943" s="597"/>
      <c r="AV943" s="597"/>
      <c r="AW943" s="597"/>
      <c r="AX943" s="597"/>
      <c r="AY943" s="597"/>
      <c r="AZ943" s="597"/>
      <c r="BA943" s="597"/>
      <c r="BB943" s="595"/>
      <c r="BC943" s="595"/>
      <c r="BD943" s="595"/>
      <c r="BE943" s="595"/>
      <c r="BF943" s="595"/>
      <c r="BG943" s="595"/>
      <c r="BH943" s="595"/>
      <c r="BI943" s="595"/>
      <c r="BJ943" s="651"/>
      <c r="BK943" s="651"/>
      <c r="BL943" s="651"/>
      <c r="BM943" s="651"/>
      <c r="BN943" s="651"/>
      <c r="BO943" s="651"/>
      <c r="BP943" s="651"/>
      <c r="BQ943" s="651"/>
      <c r="BR943" s="651"/>
      <c r="BS943" s="651"/>
      <c r="BT943" s="651"/>
    </row>
    <row r="944" ht="12.75" customHeight="1">
      <c r="A944" s="583"/>
      <c r="B944" s="584"/>
      <c r="C944" s="584"/>
      <c r="D944" s="584"/>
      <c r="E944" s="585"/>
      <c r="F944" s="586"/>
      <c r="G944" s="587"/>
      <c r="H944" s="584"/>
      <c r="I944" s="443"/>
      <c r="J944" s="443"/>
      <c r="K944" s="354"/>
      <c r="L944" s="588"/>
      <c r="M944" s="588"/>
      <c r="N944" s="589"/>
      <c r="O944" s="595"/>
      <c r="P944" s="392"/>
      <c r="Q944" s="807"/>
      <c r="R944" s="603"/>
      <c r="S944" s="354"/>
      <c r="T944" s="584"/>
      <c r="U944" s="595"/>
      <c r="V944" s="595"/>
      <c r="W944" s="595"/>
      <c r="X944" s="443"/>
      <c r="Y944" s="595"/>
      <c r="Z944" s="595"/>
      <c r="AA944" s="595"/>
      <c r="AB944" s="354"/>
      <c r="AC944" s="595"/>
      <c r="AD944" s="1066"/>
      <c r="AE944" s="1066"/>
      <c r="AF944" s="1066"/>
      <c r="AG944" s="1067"/>
      <c r="AH944" s="1066"/>
      <c r="AI944" s="1066"/>
      <c r="AJ944" s="1066"/>
      <c r="AK944" s="1066"/>
      <c r="AL944" s="1066"/>
      <c r="AM944" s="1066"/>
      <c r="AN944" s="595"/>
      <c r="AO944" s="595"/>
      <c r="AP944" s="595"/>
      <c r="AQ944" s="597"/>
      <c r="AR944" s="597"/>
      <c r="AS944" s="597"/>
      <c r="AT944" s="597"/>
      <c r="AU944" s="597"/>
      <c r="AV944" s="597"/>
      <c r="AW944" s="597"/>
      <c r="AX944" s="597"/>
      <c r="AY944" s="597"/>
      <c r="AZ944" s="597"/>
      <c r="BA944" s="597"/>
      <c r="BB944" s="595"/>
      <c r="BC944" s="595"/>
      <c r="BD944" s="595"/>
      <c r="BE944" s="595"/>
      <c r="BF944" s="595"/>
      <c r="BG944" s="595"/>
      <c r="BH944" s="595"/>
      <c r="BI944" s="595"/>
      <c r="BJ944" s="651"/>
      <c r="BK944" s="651"/>
      <c r="BL944" s="651"/>
      <c r="BM944" s="651"/>
      <c r="BN944" s="651"/>
      <c r="BO944" s="651"/>
      <c r="BP944" s="651"/>
      <c r="BQ944" s="651"/>
      <c r="BR944" s="651"/>
      <c r="BS944" s="651"/>
      <c r="BT944" s="651"/>
    </row>
    <row r="945" ht="12.75" customHeight="1">
      <c r="A945" s="583"/>
      <c r="B945" s="584"/>
      <c r="C945" s="584"/>
      <c r="D945" s="584"/>
      <c r="E945" s="585"/>
      <c r="F945" s="586"/>
      <c r="G945" s="587"/>
      <c r="H945" s="584"/>
      <c r="I945" s="443"/>
      <c r="J945" s="443"/>
      <c r="K945" s="354"/>
      <c r="L945" s="588"/>
      <c r="M945" s="588"/>
      <c r="N945" s="589"/>
      <c r="O945" s="595"/>
      <c r="P945" s="392"/>
      <c r="Q945" s="807"/>
      <c r="R945" s="603"/>
      <c r="S945" s="354"/>
      <c r="T945" s="584"/>
      <c r="U945" s="595"/>
      <c r="V945" s="595"/>
      <c r="W945" s="595"/>
      <c r="X945" s="443"/>
      <c r="Y945" s="595"/>
      <c r="Z945" s="595"/>
      <c r="AA945" s="595"/>
      <c r="AB945" s="354"/>
      <c r="AC945" s="595"/>
      <c r="AD945" s="1066"/>
      <c r="AE945" s="1066"/>
      <c r="AF945" s="1066"/>
      <c r="AG945" s="1067"/>
      <c r="AH945" s="1066"/>
      <c r="AI945" s="1066"/>
      <c r="AJ945" s="1066"/>
      <c r="AK945" s="1066"/>
      <c r="AL945" s="1066"/>
      <c r="AM945" s="1066"/>
      <c r="AN945" s="595"/>
      <c r="AO945" s="595"/>
      <c r="AP945" s="595"/>
      <c r="AQ945" s="597"/>
      <c r="AR945" s="597"/>
      <c r="AS945" s="597"/>
      <c r="AT945" s="597"/>
      <c r="AU945" s="597"/>
      <c r="AV945" s="597"/>
      <c r="AW945" s="597"/>
      <c r="AX945" s="597"/>
      <c r="AY945" s="597"/>
      <c r="AZ945" s="597"/>
      <c r="BA945" s="597"/>
      <c r="BB945" s="595"/>
      <c r="BC945" s="595"/>
      <c r="BD945" s="595"/>
      <c r="BE945" s="595"/>
      <c r="BF945" s="595"/>
      <c r="BG945" s="595"/>
      <c r="BH945" s="595"/>
      <c r="BI945" s="595"/>
      <c r="BJ945" s="651"/>
      <c r="BK945" s="651"/>
      <c r="BL945" s="651"/>
      <c r="BM945" s="651"/>
      <c r="BN945" s="651"/>
      <c r="BO945" s="651"/>
      <c r="BP945" s="651"/>
      <c r="BQ945" s="651"/>
      <c r="BR945" s="651"/>
      <c r="BS945" s="651"/>
      <c r="BT945" s="651"/>
    </row>
    <row r="946" ht="12.75" customHeight="1">
      <c r="A946" s="583"/>
      <c r="B946" s="584"/>
      <c r="C946" s="584"/>
      <c r="D946" s="584"/>
      <c r="E946" s="585"/>
      <c r="F946" s="586"/>
      <c r="G946" s="587"/>
      <c r="H946" s="584"/>
      <c r="I946" s="443"/>
      <c r="J946" s="443"/>
      <c r="K946" s="354"/>
      <c r="L946" s="588"/>
      <c r="M946" s="588"/>
      <c r="N946" s="589"/>
      <c r="O946" s="595"/>
      <c r="P946" s="392"/>
      <c r="Q946" s="807"/>
      <c r="R946" s="603"/>
      <c r="S946" s="354"/>
      <c r="T946" s="584"/>
      <c r="U946" s="595"/>
      <c r="V946" s="595"/>
      <c r="W946" s="595"/>
      <c r="X946" s="443"/>
      <c r="Y946" s="595"/>
      <c r="Z946" s="595"/>
      <c r="AA946" s="595"/>
      <c r="AB946" s="354"/>
      <c r="AC946" s="595"/>
      <c r="AD946" s="1066"/>
      <c r="AE946" s="1066"/>
      <c r="AF946" s="1066"/>
      <c r="AG946" s="1067"/>
      <c r="AH946" s="1066"/>
      <c r="AI946" s="1066"/>
      <c r="AJ946" s="1066"/>
      <c r="AK946" s="1066"/>
      <c r="AL946" s="1066"/>
      <c r="AM946" s="1066"/>
      <c r="AN946" s="595"/>
      <c r="AO946" s="595"/>
      <c r="AP946" s="595"/>
      <c r="AQ946" s="597"/>
      <c r="AR946" s="597"/>
      <c r="AS946" s="597"/>
      <c r="AT946" s="597"/>
      <c r="AU946" s="597"/>
      <c r="AV946" s="597"/>
      <c r="AW946" s="597"/>
      <c r="AX946" s="597"/>
      <c r="AY946" s="597"/>
      <c r="AZ946" s="597"/>
      <c r="BA946" s="597"/>
      <c r="BB946" s="595"/>
      <c r="BC946" s="595"/>
      <c r="BD946" s="595"/>
      <c r="BE946" s="595"/>
      <c r="BF946" s="595"/>
      <c r="BG946" s="595"/>
      <c r="BH946" s="595"/>
      <c r="BI946" s="595"/>
      <c r="BJ946" s="651"/>
      <c r="BK946" s="651"/>
      <c r="BL946" s="651"/>
      <c r="BM946" s="651"/>
      <c r="BN946" s="651"/>
      <c r="BO946" s="651"/>
      <c r="BP946" s="651"/>
      <c r="BQ946" s="651"/>
      <c r="BR946" s="651"/>
      <c r="BS946" s="651"/>
      <c r="BT946" s="651"/>
    </row>
    <row r="947" ht="12.75" customHeight="1">
      <c r="A947" s="583"/>
      <c r="B947" s="584"/>
      <c r="C947" s="584"/>
      <c r="D947" s="584"/>
      <c r="E947" s="585"/>
      <c r="F947" s="586"/>
      <c r="G947" s="587"/>
      <c r="H947" s="584"/>
      <c r="I947" s="443"/>
      <c r="J947" s="443"/>
      <c r="K947" s="354"/>
      <c r="L947" s="588"/>
      <c r="M947" s="588"/>
      <c r="N947" s="589"/>
      <c r="O947" s="595"/>
      <c r="P947" s="392"/>
      <c r="Q947" s="807"/>
      <c r="R947" s="603"/>
      <c r="S947" s="354"/>
      <c r="T947" s="584"/>
      <c r="U947" s="595"/>
      <c r="V947" s="595"/>
      <c r="W947" s="595"/>
      <c r="X947" s="443"/>
      <c r="Y947" s="595"/>
      <c r="Z947" s="595"/>
      <c r="AA947" s="595"/>
      <c r="AB947" s="354"/>
      <c r="AC947" s="595"/>
      <c r="AD947" s="1066"/>
      <c r="AE947" s="1066"/>
      <c r="AF947" s="1066"/>
      <c r="AG947" s="1067"/>
      <c r="AH947" s="1066"/>
      <c r="AI947" s="1066"/>
      <c r="AJ947" s="1066"/>
      <c r="AK947" s="1066"/>
      <c r="AL947" s="1066"/>
      <c r="AM947" s="1066"/>
      <c r="AN947" s="595"/>
      <c r="AO947" s="595"/>
      <c r="AP947" s="595"/>
      <c r="AQ947" s="597"/>
      <c r="AR947" s="597"/>
      <c r="AS947" s="597"/>
      <c r="AT947" s="597"/>
      <c r="AU947" s="597"/>
      <c r="AV947" s="597"/>
      <c r="AW947" s="597"/>
      <c r="AX947" s="597"/>
      <c r="AY947" s="597"/>
      <c r="AZ947" s="597"/>
      <c r="BA947" s="597"/>
      <c r="BB947" s="595"/>
      <c r="BC947" s="595"/>
      <c r="BD947" s="595"/>
      <c r="BE947" s="595"/>
      <c r="BF947" s="595"/>
      <c r="BG947" s="595"/>
      <c r="BH947" s="595"/>
      <c r="BI947" s="595"/>
      <c r="BJ947" s="651"/>
      <c r="BK947" s="651"/>
      <c r="BL947" s="651"/>
      <c r="BM947" s="651"/>
      <c r="BN947" s="651"/>
      <c r="BO947" s="651"/>
      <c r="BP947" s="651"/>
      <c r="BQ947" s="651"/>
      <c r="BR947" s="651"/>
      <c r="BS947" s="651"/>
      <c r="BT947" s="651"/>
    </row>
    <row r="948" ht="12.75" customHeight="1">
      <c r="A948" s="583"/>
      <c r="B948" s="584"/>
      <c r="C948" s="584"/>
      <c r="D948" s="584"/>
      <c r="E948" s="585"/>
      <c r="F948" s="586"/>
      <c r="G948" s="587"/>
      <c r="H948" s="584"/>
      <c r="I948" s="443"/>
      <c r="J948" s="443"/>
      <c r="K948" s="354"/>
      <c r="L948" s="588"/>
      <c r="M948" s="588"/>
      <c r="N948" s="589"/>
      <c r="O948" s="595"/>
      <c r="P948" s="392"/>
      <c r="Q948" s="807"/>
      <c r="R948" s="603"/>
      <c r="S948" s="354"/>
      <c r="T948" s="584"/>
      <c r="U948" s="595"/>
      <c r="V948" s="595"/>
      <c r="W948" s="595"/>
      <c r="X948" s="443"/>
      <c r="Y948" s="595"/>
      <c r="Z948" s="595"/>
      <c r="AA948" s="595"/>
      <c r="AB948" s="354"/>
      <c r="AC948" s="595"/>
      <c r="AD948" s="1066"/>
      <c r="AE948" s="1066"/>
      <c r="AF948" s="1066"/>
      <c r="AG948" s="1067"/>
      <c r="AH948" s="1066"/>
      <c r="AI948" s="1066"/>
      <c r="AJ948" s="1066"/>
      <c r="AK948" s="1066"/>
      <c r="AL948" s="1066"/>
      <c r="AM948" s="1066"/>
      <c r="AN948" s="595"/>
      <c r="AO948" s="595"/>
      <c r="AP948" s="595"/>
      <c r="AQ948" s="597"/>
      <c r="AR948" s="597"/>
      <c r="AS948" s="597"/>
      <c r="AT948" s="597"/>
      <c r="AU948" s="597"/>
      <c r="AV948" s="597"/>
      <c r="AW948" s="597"/>
      <c r="AX948" s="597"/>
      <c r="AY948" s="597"/>
      <c r="AZ948" s="597"/>
      <c r="BA948" s="597"/>
      <c r="BB948" s="595"/>
      <c r="BC948" s="595"/>
      <c r="BD948" s="595"/>
      <c r="BE948" s="595"/>
      <c r="BF948" s="595"/>
      <c r="BG948" s="595"/>
      <c r="BH948" s="595"/>
      <c r="BI948" s="595"/>
      <c r="BJ948" s="651"/>
      <c r="BK948" s="651"/>
      <c r="BL948" s="651"/>
      <c r="BM948" s="651"/>
      <c r="BN948" s="651"/>
      <c r="BO948" s="651"/>
      <c r="BP948" s="651"/>
      <c r="BQ948" s="651"/>
      <c r="BR948" s="651"/>
      <c r="BS948" s="651"/>
      <c r="BT948" s="651"/>
    </row>
    <row r="949" ht="12.75" customHeight="1">
      <c r="A949" s="583"/>
      <c r="B949" s="584"/>
      <c r="C949" s="584"/>
      <c r="D949" s="584"/>
      <c r="E949" s="585"/>
      <c r="F949" s="586"/>
      <c r="G949" s="587"/>
      <c r="H949" s="584"/>
      <c r="I949" s="443"/>
      <c r="J949" s="443"/>
      <c r="K949" s="354"/>
      <c r="L949" s="588"/>
      <c r="M949" s="588"/>
      <c r="N949" s="589"/>
      <c r="O949" s="595"/>
      <c r="P949" s="392"/>
      <c r="Q949" s="807"/>
      <c r="R949" s="603"/>
      <c r="S949" s="354"/>
      <c r="T949" s="584"/>
      <c r="U949" s="595"/>
      <c r="V949" s="595"/>
      <c r="W949" s="595"/>
      <c r="X949" s="443"/>
      <c r="Y949" s="595"/>
      <c r="Z949" s="595"/>
      <c r="AA949" s="595"/>
      <c r="AB949" s="354"/>
      <c r="AC949" s="595"/>
      <c r="AD949" s="1066"/>
      <c r="AE949" s="1066"/>
      <c r="AF949" s="1066"/>
      <c r="AG949" s="1067"/>
      <c r="AH949" s="1066"/>
      <c r="AI949" s="1066"/>
      <c r="AJ949" s="1066"/>
      <c r="AK949" s="1066"/>
      <c r="AL949" s="1066"/>
      <c r="AM949" s="1066"/>
      <c r="AN949" s="595"/>
      <c r="AO949" s="595"/>
      <c r="AP949" s="595"/>
      <c r="AQ949" s="597"/>
      <c r="AR949" s="597"/>
      <c r="AS949" s="597"/>
      <c r="AT949" s="597"/>
      <c r="AU949" s="597"/>
      <c r="AV949" s="597"/>
      <c r="AW949" s="597"/>
      <c r="AX949" s="597"/>
      <c r="AY949" s="597"/>
      <c r="AZ949" s="597"/>
      <c r="BA949" s="597"/>
      <c r="BB949" s="595"/>
      <c r="BC949" s="595"/>
      <c r="BD949" s="595"/>
      <c r="BE949" s="595"/>
      <c r="BF949" s="595"/>
      <c r="BG949" s="595"/>
      <c r="BH949" s="595"/>
      <c r="BI949" s="595"/>
      <c r="BJ949" s="651"/>
      <c r="BK949" s="651"/>
      <c r="BL949" s="651"/>
      <c r="BM949" s="651"/>
      <c r="BN949" s="651"/>
      <c r="BO949" s="651"/>
      <c r="BP949" s="651"/>
      <c r="BQ949" s="651"/>
      <c r="BR949" s="651"/>
      <c r="BS949" s="651"/>
      <c r="BT949" s="651"/>
    </row>
    <row r="950" ht="12.75" customHeight="1">
      <c r="A950" s="583"/>
      <c r="B950" s="584"/>
      <c r="C950" s="584"/>
      <c r="D950" s="584"/>
      <c r="E950" s="585"/>
      <c r="F950" s="586"/>
      <c r="G950" s="587"/>
      <c r="H950" s="584"/>
      <c r="I950" s="443"/>
      <c r="J950" s="443"/>
      <c r="K950" s="354"/>
      <c r="L950" s="588"/>
      <c r="M950" s="588"/>
      <c r="N950" s="589"/>
      <c r="O950" s="595"/>
      <c r="P950" s="392"/>
      <c r="Q950" s="807"/>
      <c r="R950" s="603"/>
      <c r="S950" s="354"/>
      <c r="T950" s="584"/>
      <c r="U950" s="595"/>
      <c r="V950" s="595"/>
      <c r="W950" s="595"/>
      <c r="X950" s="443"/>
      <c r="Y950" s="595"/>
      <c r="Z950" s="595"/>
      <c r="AA950" s="595"/>
      <c r="AB950" s="354"/>
      <c r="AC950" s="595"/>
      <c r="AD950" s="1066"/>
      <c r="AE950" s="1066"/>
      <c r="AF950" s="1066"/>
      <c r="AG950" s="1067"/>
      <c r="AH950" s="1066"/>
      <c r="AI950" s="1066"/>
      <c r="AJ950" s="1066"/>
      <c r="AK950" s="1066"/>
      <c r="AL950" s="1066"/>
      <c r="AM950" s="1066"/>
      <c r="AN950" s="595"/>
      <c r="AO950" s="595"/>
      <c r="AP950" s="595"/>
      <c r="AQ950" s="597"/>
      <c r="AR950" s="597"/>
      <c r="AS950" s="597"/>
      <c r="AT950" s="597"/>
      <c r="AU950" s="597"/>
      <c r="AV950" s="597"/>
      <c r="AW950" s="597"/>
      <c r="AX950" s="597"/>
      <c r="AY950" s="597"/>
      <c r="AZ950" s="597"/>
      <c r="BA950" s="597"/>
      <c r="BB950" s="595"/>
      <c r="BC950" s="595"/>
      <c r="BD950" s="595"/>
      <c r="BE950" s="595"/>
      <c r="BF950" s="595"/>
      <c r="BG950" s="595"/>
      <c r="BH950" s="595"/>
      <c r="BI950" s="595"/>
      <c r="BJ950" s="651"/>
      <c r="BK950" s="651"/>
      <c r="BL950" s="651"/>
      <c r="BM950" s="651"/>
      <c r="BN950" s="651"/>
      <c r="BO950" s="651"/>
      <c r="BP950" s="651"/>
      <c r="BQ950" s="651"/>
      <c r="BR950" s="651"/>
      <c r="BS950" s="651"/>
      <c r="BT950" s="651"/>
    </row>
    <row r="951" ht="12.75" customHeight="1">
      <c r="A951" s="583"/>
      <c r="B951" s="584"/>
      <c r="C951" s="584"/>
      <c r="D951" s="584"/>
      <c r="E951" s="585"/>
      <c r="F951" s="586"/>
      <c r="G951" s="587"/>
      <c r="H951" s="584"/>
      <c r="I951" s="443"/>
      <c r="J951" s="443"/>
      <c r="K951" s="354"/>
      <c r="L951" s="588"/>
      <c r="M951" s="588"/>
      <c r="N951" s="589"/>
      <c r="O951" s="595"/>
      <c r="P951" s="392"/>
      <c r="Q951" s="807"/>
      <c r="R951" s="603"/>
      <c r="S951" s="354"/>
      <c r="T951" s="584"/>
      <c r="U951" s="595"/>
      <c r="V951" s="595"/>
      <c r="W951" s="595"/>
      <c r="X951" s="443"/>
      <c r="Y951" s="595"/>
      <c r="Z951" s="595"/>
      <c r="AA951" s="595"/>
      <c r="AB951" s="354"/>
      <c r="AC951" s="595"/>
      <c r="AD951" s="1066"/>
      <c r="AE951" s="1066"/>
      <c r="AF951" s="1066"/>
      <c r="AG951" s="1067"/>
      <c r="AH951" s="1066"/>
      <c r="AI951" s="1066"/>
      <c r="AJ951" s="1066"/>
      <c r="AK951" s="1066"/>
      <c r="AL951" s="1066"/>
      <c r="AM951" s="1066"/>
      <c r="AN951" s="595"/>
      <c r="AO951" s="595"/>
      <c r="AP951" s="595"/>
      <c r="AQ951" s="597"/>
      <c r="AR951" s="597"/>
      <c r="AS951" s="597"/>
      <c r="AT951" s="597"/>
      <c r="AU951" s="597"/>
      <c r="AV951" s="597"/>
      <c r="AW951" s="597"/>
      <c r="AX951" s="597"/>
      <c r="AY951" s="597"/>
      <c r="AZ951" s="597"/>
      <c r="BA951" s="597"/>
      <c r="BB951" s="595"/>
      <c r="BC951" s="595"/>
      <c r="BD951" s="595"/>
      <c r="BE951" s="595"/>
      <c r="BF951" s="595"/>
      <c r="BG951" s="595"/>
      <c r="BH951" s="595"/>
      <c r="BI951" s="595"/>
      <c r="BJ951" s="651"/>
      <c r="BK951" s="651"/>
      <c r="BL951" s="651"/>
      <c r="BM951" s="651"/>
      <c r="BN951" s="651"/>
      <c r="BO951" s="651"/>
      <c r="BP951" s="651"/>
      <c r="BQ951" s="651"/>
      <c r="BR951" s="651"/>
      <c r="BS951" s="651"/>
      <c r="BT951" s="651"/>
    </row>
    <row r="952" ht="12.75" customHeight="1">
      <c r="A952" s="583"/>
      <c r="B952" s="584"/>
      <c r="C952" s="584"/>
      <c r="D952" s="584"/>
      <c r="E952" s="585"/>
      <c r="F952" s="586"/>
      <c r="G952" s="587"/>
      <c r="H952" s="584"/>
      <c r="I952" s="443"/>
      <c r="J952" s="443"/>
      <c r="K952" s="354"/>
      <c r="L952" s="588"/>
      <c r="M952" s="588"/>
      <c r="N952" s="589"/>
      <c r="O952" s="595"/>
      <c r="P952" s="392"/>
      <c r="Q952" s="807"/>
      <c r="R952" s="603"/>
      <c r="S952" s="354"/>
      <c r="T952" s="584"/>
      <c r="U952" s="595"/>
      <c r="V952" s="595"/>
      <c r="W952" s="595"/>
      <c r="X952" s="443"/>
      <c r="Y952" s="595"/>
      <c r="Z952" s="595"/>
      <c r="AA952" s="595"/>
      <c r="AB952" s="354"/>
      <c r="AC952" s="595"/>
      <c r="AD952" s="1066"/>
      <c r="AE952" s="1066"/>
      <c r="AF952" s="1066"/>
      <c r="AG952" s="1067"/>
      <c r="AH952" s="1066"/>
      <c r="AI952" s="1066"/>
      <c r="AJ952" s="1066"/>
      <c r="AK952" s="1066"/>
      <c r="AL952" s="1066"/>
      <c r="AM952" s="1066"/>
      <c r="AN952" s="595"/>
      <c r="AO952" s="595"/>
      <c r="AP952" s="595"/>
      <c r="AQ952" s="597"/>
      <c r="AR952" s="597"/>
      <c r="AS952" s="597"/>
      <c r="AT952" s="597"/>
      <c r="AU952" s="597"/>
      <c r="AV952" s="597"/>
      <c r="AW952" s="597"/>
      <c r="AX952" s="597"/>
      <c r="AY952" s="597"/>
      <c r="AZ952" s="597"/>
      <c r="BA952" s="597"/>
      <c r="BB952" s="595"/>
      <c r="BC952" s="595"/>
      <c r="BD952" s="595"/>
      <c r="BE952" s="595"/>
      <c r="BF952" s="595"/>
      <c r="BG952" s="595"/>
      <c r="BH952" s="595"/>
      <c r="BI952" s="595"/>
      <c r="BJ952" s="651"/>
      <c r="BK952" s="651"/>
      <c r="BL952" s="651"/>
      <c r="BM952" s="651"/>
      <c r="BN952" s="651"/>
      <c r="BO952" s="651"/>
      <c r="BP952" s="651"/>
      <c r="BQ952" s="651"/>
      <c r="BR952" s="651"/>
      <c r="BS952" s="651"/>
      <c r="BT952" s="651"/>
    </row>
    <row r="953" ht="12.75" customHeight="1">
      <c r="A953" s="583"/>
      <c r="B953" s="584"/>
      <c r="C953" s="584"/>
      <c r="D953" s="584"/>
      <c r="E953" s="585"/>
      <c r="F953" s="586"/>
      <c r="G953" s="587"/>
      <c r="H953" s="584"/>
      <c r="I953" s="443"/>
      <c r="J953" s="443"/>
      <c r="K953" s="354"/>
      <c r="L953" s="588"/>
      <c r="M953" s="588"/>
      <c r="N953" s="589"/>
      <c r="O953" s="595"/>
      <c r="P953" s="392"/>
      <c r="Q953" s="807"/>
      <c r="R953" s="603"/>
      <c r="S953" s="354"/>
      <c r="T953" s="584"/>
      <c r="U953" s="595"/>
      <c r="V953" s="595"/>
      <c r="W953" s="595"/>
      <c r="X953" s="443"/>
      <c r="Y953" s="595"/>
      <c r="Z953" s="595"/>
      <c r="AA953" s="595"/>
      <c r="AB953" s="354"/>
      <c r="AC953" s="595"/>
      <c r="AD953" s="1066"/>
      <c r="AE953" s="1066"/>
      <c r="AF953" s="1066"/>
      <c r="AG953" s="1067"/>
      <c r="AH953" s="1066"/>
      <c r="AI953" s="1066"/>
      <c r="AJ953" s="1066"/>
      <c r="AK953" s="1066"/>
      <c r="AL953" s="1066"/>
      <c r="AM953" s="1066"/>
      <c r="AN953" s="595"/>
      <c r="AO953" s="595"/>
      <c r="AP953" s="595"/>
      <c r="AQ953" s="597"/>
      <c r="AR953" s="597"/>
      <c r="AS953" s="597"/>
      <c r="AT953" s="597"/>
      <c r="AU953" s="597"/>
      <c r="AV953" s="597"/>
      <c r="AW953" s="597"/>
      <c r="AX953" s="597"/>
      <c r="AY953" s="597"/>
      <c r="AZ953" s="597"/>
      <c r="BA953" s="597"/>
      <c r="BB953" s="595"/>
      <c r="BC953" s="595"/>
      <c r="BD953" s="595"/>
      <c r="BE953" s="595"/>
      <c r="BF953" s="595"/>
      <c r="BG953" s="595"/>
      <c r="BH953" s="595"/>
      <c r="BI953" s="595"/>
      <c r="BJ953" s="651"/>
      <c r="BK953" s="651"/>
      <c r="BL953" s="651"/>
      <c r="BM953" s="651"/>
      <c r="BN953" s="651"/>
      <c r="BO953" s="651"/>
      <c r="BP953" s="651"/>
      <c r="BQ953" s="651"/>
      <c r="BR953" s="651"/>
      <c r="BS953" s="651"/>
      <c r="BT953" s="651"/>
    </row>
    <row r="954" ht="12.75" customHeight="1">
      <c r="A954" s="583"/>
      <c r="B954" s="584"/>
      <c r="C954" s="584"/>
      <c r="D954" s="584"/>
      <c r="E954" s="585"/>
      <c r="F954" s="586"/>
      <c r="G954" s="587"/>
      <c r="H954" s="584"/>
      <c r="I954" s="443"/>
      <c r="J954" s="443"/>
      <c r="K954" s="354"/>
      <c r="L954" s="588"/>
      <c r="M954" s="588"/>
      <c r="N954" s="589"/>
      <c r="O954" s="595"/>
      <c r="P954" s="392"/>
      <c r="Q954" s="807"/>
      <c r="R954" s="603"/>
      <c r="S954" s="354"/>
      <c r="T954" s="584"/>
      <c r="U954" s="595"/>
      <c r="V954" s="595"/>
      <c r="W954" s="595"/>
      <c r="X954" s="443"/>
      <c r="Y954" s="595"/>
      <c r="Z954" s="595"/>
      <c r="AA954" s="595"/>
      <c r="AB954" s="354"/>
      <c r="AC954" s="595"/>
      <c r="AD954" s="1066"/>
      <c r="AE954" s="1066"/>
      <c r="AF954" s="1066"/>
      <c r="AG954" s="1067"/>
      <c r="AH954" s="1066"/>
      <c r="AI954" s="1066"/>
      <c r="AJ954" s="1066"/>
      <c r="AK954" s="1066"/>
      <c r="AL954" s="1066"/>
      <c r="AM954" s="1066"/>
      <c r="AN954" s="595"/>
      <c r="AO954" s="595"/>
      <c r="AP954" s="595"/>
      <c r="AQ954" s="597"/>
      <c r="AR954" s="597"/>
      <c r="AS954" s="597"/>
      <c r="AT954" s="597"/>
      <c r="AU954" s="597"/>
      <c r="AV954" s="597"/>
      <c r="AW954" s="597"/>
      <c r="AX954" s="597"/>
      <c r="AY954" s="597"/>
      <c r="AZ954" s="597"/>
      <c r="BA954" s="597"/>
      <c r="BB954" s="595"/>
      <c r="BC954" s="595"/>
      <c r="BD954" s="595"/>
      <c r="BE954" s="595"/>
      <c r="BF954" s="595"/>
      <c r="BG954" s="595"/>
      <c r="BH954" s="595"/>
      <c r="BI954" s="595"/>
      <c r="BJ954" s="651"/>
      <c r="BK954" s="651"/>
      <c r="BL954" s="651"/>
      <c r="BM954" s="651"/>
      <c r="BN954" s="651"/>
      <c r="BO954" s="651"/>
      <c r="BP954" s="651"/>
      <c r="BQ954" s="651"/>
      <c r="BR954" s="651"/>
      <c r="BS954" s="651"/>
      <c r="BT954" s="651"/>
    </row>
    <row r="955" ht="12.75" customHeight="1">
      <c r="A955" s="583"/>
      <c r="B955" s="584"/>
      <c r="C955" s="584"/>
      <c r="D955" s="584"/>
      <c r="E955" s="585"/>
      <c r="F955" s="586"/>
      <c r="G955" s="587"/>
      <c r="H955" s="584"/>
      <c r="I955" s="443"/>
      <c r="J955" s="443"/>
      <c r="K955" s="354"/>
      <c r="L955" s="588"/>
      <c r="M955" s="588"/>
      <c r="N955" s="589"/>
      <c r="O955" s="595"/>
      <c r="P955" s="392"/>
      <c r="Q955" s="807"/>
      <c r="R955" s="603"/>
      <c r="S955" s="354"/>
      <c r="T955" s="584"/>
      <c r="U955" s="595"/>
      <c r="V955" s="595"/>
      <c r="W955" s="595"/>
      <c r="X955" s="443"/>
      <c r="Y955" s="595"/>
      <c r="Z955" s="595"/>
      <c r="AA955" s="595"/>
      <c r="AB955" s="354"/>
      <c r="AC955" s="595"/>
      <c r="AD955" s="1066"/>
      <c r="AE955" s="1066"/>
      <c r="AF955" s="1066"/>
      <c r="AG955" s="1067"/>
      <c r="AH955" s="1066"/>
      <c r="AI955" s="1066"/>
      <c r="AJ955" s="1066"/>
      <c r="AK955" s="1066"/>
      <c r="AL955" s="1066"/>
      <c r="AM955" s="1066"/>
      <c r="AN955" s="595"/>
      <c r="AO955" s="595"/>
      <c r="AP955" s="595"/>
      <c r="AQ955" s="597"/>
      <c r="AR955" s="597"/>
      <c r="AS955" s="597"/>
      <c r="AT955" s="597"/>
      <c r="AU955" s="597"/>
      <c r="AV955" s="597"/>
      <c r="AW955" s="597"/>
      <c r="AX955" s="597"/>
      <c r="AY955" s="597"/>
      <c r="AZ955" s="597"/>
      <c r="BA955" s="597"/>
      <c r="BB955" s="595"/>
      <c r="BC955" s="595"/>
      <c r="BD955" s="595"/>
      <c r="BE955" s="595"/>
      <c r="BF955" s="595"/>
      <c r="BG955" s="595"/>
      <c r="BH955" s="595"/>
      <c r="BI955" s="595"/>
      <c r="BJ955" s="651"/>
      <c r="BK955" s="651"/>
      <c r="BL955" s="651"/>
      <c r="BM955" s="651"/>
      <c r="BN955" s="651"/>
      <c r="BO955" s="651"/>
      <c r="BP955" s="651"/>
      <c r="BQ955" s="651"/>
      <c r="BR955" s="651"/>
      <c r="BS955" s="651"/>
      <c r="BT955" s="651"/>
    </row>
    <row r="956" ht="12.75" customHeight="1">
      <c r="A956" s="583"/>
      <c r="B956" s="584"/>
      <c r="C956" s="584"/>
      <c r="D956" s="584"/>
      <c r="E956" s="585"/>
      <c r="F956" s="586"/>
      <c r="G956" s="587"/>
      <c r="H956" s="584"/>
      <c r="I956" s="443"/>
      <c r="J956" s="443"/>
      <c r="K956" s="354"/>
      <c r="L956" s="588"/>
      <c r="M956" s="588"/>
      <c r="N956" s="589"/>
      <c r="O956" s="595"/>
      <c r="P956" s="354"/>
      <c r="Q956" s="584"/>
      <c r="R956" s="603"/>
      <c r="S956" s="354"/>
      <c r="T956" s="584"/>
      <c r="U956" s="595"/>
      <c r="V956" s="595"/>
      <c r="W956" s="595"/>
      <c r="X956" s="443"/>
      <c r="Y956" s="595"/>
      <c r="Z956" s="595"/>
      <c r="AA956" s="595"/>
      <c r="AB956" s="354"/>
      <c r="AC956" s="595"/>
      <c r="AD956" s="1066"/>
      <c r="AE956" s="1066"/>
      <c r="AF956" s="1066"/>
      <c r="AG956" s="1067"/>
      <c r="AH956" s="1066"/>
      <c r="AI956" s="1066"/>
      <c r="AJ956" s="1066"/>
      <c r="AK956" s="1066"/>
      <c r="AL956" s="1066"/>
      <c r="AM956" s="1066"/>
      <c r="AN956" s="595"/>
      <c r="AO956" s="595"/>
      <c r="AP956" s="595"/>
      <c r="AQ956" s="597"/>
      <c r="AR956" s="597"/>
      <c r="AS956" s="597"/>
      <c r="AT956" s="597"/>
      <c r="AU956" s="597"/>
      <c r="AV956" s="597"/>
      <c r="AW956" s="597"/>
      <c r="AX956" s="597"/>
      <c r="AY956" s="597"/>
      <c r="AZ956" s="597"/>
      <c r="BA956" s="597"/>
      <c r="BB956" s="595"/>
      <c r="BC956" s="595"/>
      <c r="BD956" s="595"/>
      <c r="BE956" s="595"/>
      <c r="BF956" s="595"/>
      <c r="BG956" s="595"/>
      <c r="BH956" s="595"/>
      <c r="BI956" s="595"/>
      <c r="BJ956" s="651"/>
      <c r="BK956" s="651"/>
      <c r="BL956" s="651"/>
      <c r="BM956" s="651"/>
      <c r="BN956" s="651"/>
      <c r="BO956" s="651"/>
      <c r="BP956" s="651"/>
      <c r="BQ956" s="651"/>
      <c r="BR956" s="651"/>
      <c r="BS956" s="651"/>
      <c r="BT956" s="651"/>
    </row>
    <row r="957" ht="12.75" customHeight="1">
      <c r="A957" s="583"/>
      <c r="B957" s="584"/>
      <c r="C957" s="584"/>
      <c r="D957" s="584"/>
      <c r="E957" s="585"/>
      <c r="F957" s="586"/>
      <c r="G957" s="587"/>
      <c r="H957" s="584"/>
      <c r="I957" s="443"/>
      <c r="J957" s="443"/>
      <c r="K957" s="354"/>
      <c r="L957" s="588"/>
      <c r="M957" s="588"/>
      <c r="N957" s="589"/>
      <c r="O957" s="595"/>
      <c r="P957" s="354"/>
      <c r="Q957" s="584"/>
      <c r="R957" s="603"/>
      <c r="S957" s="354"/>
      <c r="T957" s="584"/>
      <c r="U957" s="595"/>
      <c r="V957" s="595"/>
      <c r="W957" s="595"/>
      <c r="X957" s="443"/>
      <c r="Y957" s="595"/>
      <c r="Z957" s="595"/>
      <c r="AA957" s="595"/>
      <c r="AB957" s="354"/>
      <c r="AC957" s="595"/>
      <c r="AD957" s="1066"/>
      <c r="AE957" s="1066"/>
      <c r="AF957" s="1066"/>
      <c r="AG957" s="1067"/>
      <c r="AH957" s="1066"/>
      <c r="AI957" s="1066"/>
      <c r="AJ957" s="1066"/>
      <c r="AK957" s="1066"/>
      <c r="AL957" s="1066"/>
      <c r="AM957" s="1066"/>
      <c r="AN957" s="595"/>
      <c r="AO957" s="595"/>
      <c r="AP957" s="584"/>
      <c r="AQ957" s="597"/>
      <c r="AR957" s="597"/>
      <c r="AS957" s="597"/>
      <c r="AT957" s="597"/>
      <c r="AU957" s="597"/>
      <c r="AV957" s="597"/>
      <c r="AW957" s="597"/>
      <c r="AX957" s="597"/>
      <c r="AY957" s="597"/>
      <c r="AZ957" s="597"/>
      <c r="BA957" s="597"/>
      <c r="BB957" s="595"/>
      <c r="BC957" s="595"/>
      <c r="BD957" s="595"/>
      <c r="BE957" s="595"/>
      <c r="BF957" s="595"/>
      <c r="BG957" s="595"/>
      <c r="BH957" s="595"/>
      <c r="BI957" s="595"/>
      <c r="BJ957" s="651"/>
      <c r="BK957" s="651"/>
      <c r="BL957" s="651"/>
      <c r="BM957" s="651"/>
      <c r="BN957" s="651"/>
      <c r="BO957" s="651"/>
      <c r="BP957" s="651"/>
      <c r="BQ957" s="651"/>
      <c r="BR957" s="651"/>
      <c r="BS957" s="651"/>
      <c r="BT957" s="651"/>
    </row>
    <row r="958" ht="12.75" customHeight="1">
      <c r="A958" s="583"/>
      <c r="B958" s="584"/>
      <c r="C958" s="584"/>
      <c r="D958" s="584"/>
      <c r="E958" s="585"/>
      <c r="F958" s="586"/>
      <c r="G958" s="587"/>
      <c r="H958" s="584"/>
      <c r="I958" s="443"/>
      <c r="J958" s="443"/>
      <c r="K958" s="354"/>
      <c r="L958" s="588"/>
      <c r="M958" s="588"/>
      <c r="N958" s="589"/>
      <c r="O958" s="595"/>
      <c r="P958" s="354"/>
      <c r="Q958" s="584"/>
      <c r="R958" s="603"/>
      <c r="S958" s="354"/>
      <c r="T958" s="584"/>
      <c r="U958" s="595"/>
      <c r="V958" s="595"/>
      <c r="W958" s="595"/>
      <c r="X958" s="443"/>
      <c r="Y958" s="595"/>
      <c r="Z958" s="595"/>
      <c r="AA958" s="595"/>
      <c r="AB958" s="354"/>
      <c r="AC958" s="595"/>
      <c r="AD958" s="1066"/>
      <c r="AE958" s="1066"/>
      <c r="AF958" s="1066"/>
      <c r="AG958" s="1067"/>
      <c r="AH958" s="1066"/>
      <c r="AI958" s="1066"/>
      <c r="AJ958" s="1066"/>
      <c r="AK958" s="1066"/>
      <c r="AL958" s="1066"/>
      <c r="AM958" s="1066"/>
      <c r="AN958" s="595"/>
      <c r="AO958" s="595"/>
      <c r="AP958" s="584"/>
      <c r="AQ958" s="597"/>
      <c r="AR958" s="597"/>
      <c r="AS958" s="597"/>
      <c r="AT958" s="597"/>
      <c r="AU958" s="597"/>
      <c r="AV958" s="597"/>
      <c r="AW958" s="597"/>
      <c r="AX958" s="597"/>
      <c r="AY958" s="597"/>
      <c r="AZ958" s="597"/>
      <c r="BA958" s="597"/>
      <c r="BB958" s="595"/>
      <c r="BC958" s="595"/>
      <c r="BD958" s="595"/>
      <c r="BE958" s="595"/>
      <c r="BF958" s="595"/>
      <c r="BG958" s="595"/>
      <c r="BH958" s="595"/>
      <c r="BI958" s="595"/>
      <c r="BJ958" s="651"/>
      <c r="BK958" s="651"/>
      <c r="BL958" s="651"/>
      <c r="BM958" s="651"/>
      <c r="BN958" s="651"/>
      <c r="BO958" s="651"/>
      <c r="BP958" s="651"/>
      <c r="BQ958" s="651"/>
      <c r="BR958" s="651"/>
      <c r="BS958" s="651"/>
      <c r="BT958" s="651"/>
    </row>
    <row r="959" ht="12.75" customHeight="1">
      <c r="A959" s="583"/>
      <c r="B959" s="584"/>
      <c r="C959" s="584"/>
      <c r="D959" s="584"/>
      <c r="E959" s="585"/>
      <c r="F959" s="586"/>
      <c r="G959" s="587"/>
      <c r="H959" s="584"/>
      <c r="I959" s="443"/>
      <c r="J959" s="443"/>
      <c r="K959" s="354"/>
      <c r="L959" s="588"/>
      <c r="M959" s="588"/>
      <c r="N959" s="589"/>
      <c r="O959" s="595"/>
      <c r="P959" s="354"/>
      <c r="Q959" s="584"/>
      <c r="R959" s="603"/>
      <c r="S959" s="354"/>
      <c r="T959" s="584"/>
      <c r="U959" s="595"/>
      <c r="V959" s="595"/>
      <c r="W959" s="595"/>
      <c r="X959" s="443"/>
      <c r="Y959" s="595"/>
      <c r="Z959" s="595"/>
      <c r="AA959" s="595"/>
      <c r="AB959" s="354"/>
      <c r="AC959" s="595"/>
      <c r="AD959" s="1066"/>
      <c r="AE959" s="1066"/>
      <c r="AF959" s="1066"/>
      <c r="AG959" s="1067"/>
      <c r="AH959" s="1066"/>
      <c r="AI959" s="1066"/>
      <c r="AJ959" s="1066"/>
      <c r="AK959" s="1066"/>
      <c r="AL959" s="1066"/>
      <c r="AM959" s="1066"/>
      <c r="AN959" s="595"/>
      <c r="AO959" s="651"/>
      <c r="AP959" s="597"/>
      <c r="AQ959" s="597"/>
      <c r="AR959" s="597"/>
      <c r="AS959" s="597"/>
      <c r="AT959" s="597"/>
      <c r="AU959" s="597"/>
      <c r="AV959" s="597"/>
      <c r="AW959" s="597"/>
      <c r="AX959" s="597"/>
      <c r="AY959" s="597"/>
      <c r="AZ959" s="597"/>
      <c r="BA959" s="597"/>
      <c r="BB959" s="595"/>
      <c r="BC959" s="595"/>
      <c r="BD959" s="595"/>
      <c r="BE959" s="595"/>
      <c r="BF959" s="595"/>
      <c r="BG959" s="595"/>
      <c r="BH959" s="595"/>
      <c r="BI959" s="595"/>
      <c r="BJ959" s="651"/>
      <c r="BK959" s="651"/>
      <c r="BL959" s="651"/>
      <c r="BM959" s="651"/>
      <c r="BN959" s="651"/>
      <c r="BO959" s="651"/>
      <c r="BP959" s="651"/>
      <c r="BQ959" s="651"/>
      <c r="BR959" s="651"/>
      <c r="BS959" s="651"/>
      <c r="BT959" s="651"/>
    </row>
    <row r="960" ht="12.75" customHeight="1">
      <c r="A960" s="583"/>
      <c r="B960" s="584"/>
      <c r="C960" s="584"/>
      <c r="D960" s="584"/>
      <c r="E960" s="585"/>
      <c r="F960" s="586"/>
      <c r="G960" s="587"/>
      <c r="H960" s="584"/>
      <c r="I960" s="443"/>
      <c r="J960" s="443"/>
      <c r="K960" s="354"/>
      <c r="L960" s="588"/>
      <c r="M960" s="588"/>
      <c r="N960" s="589"/>
      <c r="O960" s="595"/>
      <c r="P960" s="586"/>
      <c r="Q960" s="584"/>
      <c r="R960" s="603"/>
      <c r="S960" s="354"/>
      <c r="T960" s="584"/>
      <c r="U960" s="595"/>
      <c r="V960" s="595"/>
      <c r="W960" s="595"/>
      <c r="X960" s="443"/>
      <c r="Y960" s="595"/>
      <c r="Z960" s="595"/>
      <c r="AA960" s="595"/>
      <c r="AB960" s="354"/>
      <c r="AC960" s="651"/>
      <c r="AD960" s="1066"/>
      <c r="AE960" s="1066"/>
      <c r="AF960" s="1066"/>
      <c r="AG960" s="1067"/>
      <c r="AH960" s="1066"/>
      <c r="AI960" s="1066"/>
      <c r="AJ960" s="1066"/>
      <c r="AK960" s="1066"/>
      <c r="AL960" s="1066"/>
      <c r="AM960" s="1066"/>
      <c r="AN960" s="595"/>
      <c r="AO960" s="651"/>
      <c r="AP960" s="597"/>
      <c r="AQ960" s="1066"/>
      <c r="AR960" s="1066"/>
      <c r="AS960" s="1066"/>
      <c r="AT960" s="1066"/>
      <c r="AU960" s="1066"/>
      <c r="AV960" s="1066"/>
      <c r="AW960" s="1066"/>
      <c r="AX960" s="1066"/>
      <c r="AY960" s="1066"/>
      <c r="AZ960" s="1066"/>
      <c r="BA960" s="1066"/>
      <c r="BB960" s="584"/>
      <c r="BC960" s="584"/>
      <c r="BD960" s="584"/>
      <c r="BE960" s="584"/>
      <c r="BF960" s="584"/>
      <c r="BG960" s="584"/>
      <c r="BH960" s="584"/>
      <c r="BI960" s="584"/>
      <c r="BJ960" s="597"/>
      <c r="BK960" s="597"/>
      <c r="BL960" s="597"/>
      <c r="BM960" s="597"/>
      <c r="BN960" s="597"/>
      <c r="BO960" s="597"/>
      <c r="BP960" s="597"/>
      <c r="BQ960" s="597"/>
      <c r="BR960" s="597"/>
      <c r="BS960" s="597"/>
      <c r="BT960" s="597"/>
    </row>
    <row r="961" ht="12.75" customHeight="1">
      <c r="A961" s="583"/>
      <c r="B961" s="584"/>
      <c r="C961" s="584"/>
      <c r="D961" s="584"/>
      <c r="E961" s="585"/>
      <c r="F961" s="586"/>
      <c r="G961" s="587"/>
      <c r="H961" s="584"/>
      <c r="I961" s="584"/>
      <c r="J961" s="584"/>
      <c r="K961" s="586"/>
      <c r="L961" s="588"/>
      <c r="M961" s="588"/>
      <c r="N961" s="589"/>
      <c r="O961" s="584"/>
      <c r="P961" s="586"/>
      <c r="Q961" s="584"/>
      <c r="R961" s="603"/>
      <c r="S961" s="354"/>
      <c r="T961" s="584"/>
      <c r="U961" s="595"/>
      <c r="V961" s="595"/>
      <c r="W961" s="595"/>
      <c r="X961" s="443"/>
      <c r="Y961" s="595"/>
      <c r="Z961" s="595"/>
      <c r="AA961" s="595"/>
      <c r="AB961" s="354"/>
      <c r="AC961" s="651"/>
      <c r="AD961" s="1066"/>
      <c r="AE961" s="1066"/>
      <c r="AF961" s="1066"/>
      <c r="AG961" s="1067"/>
      <c r="AH961" s="1066"/>
      <c r="AI961" s="1066"/>
      <c r="AJ961" s="1066"/>
      <c r="AK961" s="1066"/>
      <c r="AL961" s="1066"/>
      <c r="AM961" s="1066"/>
      <c r="AN961" s="595"/>
      <c r="AO961" s="651"/>
      <c r="AP961" s="597"/>
      <c r="AQ961" s="1066"/>
      <c r="AR961" s="1066"/>
      <c r="AS961" s="1066"/>
      <c r="AT961" s="1066"/>
      <c r="AU961" s="1066"/>
      <c r="AV961" s="1066"/>
      <c r="AW961" s="1066"/>
      <c r="AX961" s="1066"/>
      <c r="AY961" s="1066"/>
      <c r="AZ961" s="1066"/>
      <c r="BA961" s="1066"/>
      <c r="BB961" s="584"/>
      <c r="BC961" s="584"/>
      <c r="BD961" s="584"/>
      <c r="BE961" s="584"/>
      <c r="BF961" s="584"/>
      <c r="BG961" s="584"/>
      <c r="BH961" s="584"/>
      <c r="BI961" s="584"/>
      <c r="BJ961" s="597"/>
      <c r="BK961" s="597"/>
      <c r="BL961" s="597"/>
      <c r="BM961" s="597"/>
      <c r="BN961" s="597"/>
      <c r="BO961" s="597"/>
      <c r="BP961" s="597"/>
      <c r="BQ961" s="597"/>
      <c r="BR961" s="597"/>
      <c r="BS961" s="597"/>
      <c r="BT961" s="597"/>
    </row>
    <row r="962" ht="12.75" customHeight="1">
      <c r="A962" s="583"/>
      <c r="B962" s="597"/>
      <c r="C962" s="584"/>
      <c r="D962" s="584"/>
      <c r="E962" s="585"/>
      <c r="F962" s="586"/>
      <c r="G962" s="587"/>
      <c r="H962" s="584"/>
      <c r="I962" s="584"/>
      <c r="J962" s="584"/>
      <c r="K962" s="586"/>
      <c r="L962" s="588"/>
      <c r="M962" s="588"/>
      <c r="N962" s="589"/>
      <c r="O962" s="597"/>
      <c r="P962" s="1068"/>
      <c r="Q962" s="597"/>
      <c r="R962" s="603"/>
      <c r="S962" s="354"/>
      <c r="T962" s="584"/>
      <c r="U962" s="595"/>
      <c r="V962" s="595"/>
      <c r="W962" s="595"/>
      <c r="X962" s="443"/>
      <c r="Y962" s="595"/>
      <c r="Z962" s="595"/>
      <c r="AA962" s="595"/>
      <c r="AB962" s="354"/>
      <c r="AC962" s="651"/>
      <c r="AD962" s="1066"/>
      <c r="AE962" s="1066"/>
      <c r="AF962" s="1066"/>
      <c r="AG962" s="1067"/>
      <c r="AH962" s="1066"/>
      <c r="AI962" s="1066"/>
      <c r="AJ962" s="1066"/>
      <c r="AK962" s="1066"/>
      <c r="AL962" s="1066"/>
      <c r="AM962" s="1066"/>
      <c r="AN962" s="595"/>
      <c r="AO962" s="651"/>
      <c r="AP962" s="597"/>
      <c r="AQ962" s="1066"/>
      <c r="AR962" s="1066"/>
      <c r="AS962" s="1066"/>
      <c r="AT962" s="1066"/>
      <c r="AU962" s="1066"/>
      <c r="AV962" s="1066"/>
      <c r="AW962" s="1066"/>
      <c r="AX962" s="1066"/>
      <c r="AY962" s="1066"/>
      <c r="AZ962" s="1066"/>
      <c r="BA962" s="1066"/>
      <c r="BB962" s="597"/>
      <c r="BC962" s="597"/>
      <c r="BD962" s="597"/>
      <c r="BE962" s="597"/>
      <c r="BF962" s="597"/>
      <c r="BG962" s="597"/>
      <c r="BH962" s="597"/>
      <c r="BI962" s="597"/>
      <c r="BJ962" s="597"/>
      <c r="BK962" s="597"/>
      <c r="BL962" s="597"/>
      <c r="BM962" s="597"/>
      <c r="BN962" s="597"/>
      <c r="BO962" s="597"/>
      <c r="BP962" s="597"/>
      <c r="BQ962" s="597"/>
      <c r="BR962" s="597"/>
      <c r="BS962" s="597"/>
      <c r="BT962" s="597"/>
    </row>
    <row r="963" ht="12.75" customHeight="1">
      <c r="A963" s="583"/>
      <c r="B963" s="597"/>
      <c r="C963" s="597"/>
      <c r="D963" s="597"/>
      <c r="E963" s="1069"/>
      <c r="F963" s="1068"/>
      <c r="G963" s="1070"/>
      <c r="H963" s="597"/>
      <c r="I963" s="597"/>
      <c r="J963" s="597"/>
      <c r="K963" s="1068"/>
      <c r="L963" s="1071"/>
      <c r="M963" s="1071"/>
      <c r="N963" s="1072"/>
      <c r="O963" s="597"/>
      <c r="P963" s="1068"/>
      <c r="Q963" s="597"/>
      <c r="R963" s="603"/>
      <c r="S963" s="354"/>
      <c r="T963" s="584"/>
      <c r="U963" s="595"/>
      <c r="V963" s="595"/>
      <c r="W963" s="595"/>
      <c r="X963" s="443"/>
      <c r="Y963" s="595"/>
      <c r="Z963" s="595"/>
      <c r="AA963" s="595"/>
      <c r="AB963" s="354"/>
      <c r="AC963" s="651"/>
      <c r="AD963" s="1066"/>
      <c r="AE963" s="1066"/>
      <c r="AF963" s="1066"/>
      <c r="AG963" s="1067"/>
      <c r="AH963" s="1066"/>
      <c r="AI963" s="1066"/>
      <c r="AJ963" s="1066"/>
      <c r="AK963" s="1066"/>
      <c r="AL963" s="1066"/>
      <c r="AM963" s="1066"/>
      <c r="AN963" s="595"/>
      <c r="AO963" s="651"/>
      <c r="AP963" s="597"/>
      <c r="AQ963" s="1066"/>
      <c r="AR963" s="1066"/>
      <c r="AS963" s="1066"/>
      <c r="AT963" s="1066"/>
      <c r="AU963" s="1066"/>
      <c r="AV963" s="1066"/>
      <c r="AW963" s="1066"/>
      <c r="AX963" s="1066"/>
      <c r="AY963" s="1066"/>
      <c r="AZ963" s="1066"/>
      <c r="BA963" s="1066"/>
      <c r="BB963" s="597"/>
      <c r="BC963" s="597"/>
      <c r="BD963" s="597"/>
      <c r="BE963" s="597"/>
      <c r="BF963" s="597"/>
      <c r="BG963" s="597"/>
      <c r="BH963" s="597"/>
      <c r="BI963" s="597"/>
      <c r="BJ963" s="597"/>
      <c r="BK963" s="597"/>
      <c r="BL963" s="597"/>
      <c r="BM963" s="597"/>
      <c r="BN963" s="597"/>
      <c r="BO963" s="597"/>
      <c r="BP963" s="597"/>
      <c r="BQ963" s="597"/>
      <c r="BR963" s="597"/>
      <c r="BS963" s="597"/>
      <c r="BT963" s="597"/>
    </row>
    <row r="964" ht="12.75" customHeight="1">
      <c r="A964" s="583"/>
      <c r="B964" s="597"/>
      <c r="C964" s="597"/>
      <c r="D964" s="597"/>
      <c r="E964" s="1069"/>
      <c r="F964" s="1068"/>
      <c r="G964" s="1070"/>
      <c r="H964" s="597"/>
      <c r="I964" s="597"/>
      <c r="J964" s="597"/>
      <c r="K964" s="1068"/>
      <c r="L964" s="1071"/>
      <c r="M964" s="1071"/>
      <c r="N964" s="1072"/>
      <c r="O964" s="597"/>
      <c r="P964" s="1068"/>
      <c r="Q964" s="597"/>
      <c r="R964" s="603"/>
      <c r="S964" s="354"/>
      <c r="T964" s="584"/>
      <c r="U964" s="595"/>
      <c r="V964" s="595"/>
      <c r="W964" s="595"/>
      <c r="X964" s="443"/>
      <c r="Y964" s="595"/>
      <c r="Z964" s="595"/>
      <c r="AA964" s="595"/>
      <c r="AB964" s="354"/>
      <c r="AC964" s="651"/>
      <c r="AD964" s="1066"/>
      <c r="AE964" s="1066"/>
      <c r="AF964" s="1066"/>
      <c r="AG964" s="1067"/>
      <c r="AH964" s="1066"/>
      <c r="AI964" s="1066"/>
      <c r="AJ964" s="1066"/>
      <c r="AK964" s="1066"/>
      <c r="AL964" s="1066"/>
      <c r="AM964" s="1066"/>
      <c r="AN964" s="595"/>
      <c r="AO964" s="651"/>
      <c r="AP964" s="597"/>
      <c r="AQ964" s="1066"/>
      <c r="AR964" s="1066"/>
      <c r="AS964" s="1066"/>
      <c r="AT964" s="1066"/>
      <c r="AU964" s="1066"/>
      <c r="AV964" s="1066"/>
      <c r="AW964" s="1066"/>
      <c r="AX964" s="1066"/>
      <c r="AY964" s="1066"/>
      <c r="AZ964" s="1066"/>
      <c r="BA964" s="1066"/>
      <c r="BB964" s="597"/>
      <c r="BC964" s="597"/>
      <c r="BD964" s="597"/>
      <c r="BE964" s="597"/>
      <c r="BF964" s="597"/>
      <c r="BG964" s="597"/>
      <c r="BH964" s="597"/>
      <c r="BI964" s="597"/>
      <c r="BJ964" s="597"/>
      <c r="BK964" s="597"/>
      <c r="BL964" s="597"/>
      <c r="BM964" s="597"/>
      <c r="BN964" s="597"/>
      <c r="BO964" s="597"/>
      <c r="BP964" s="597"/>
      <c r="BQ964" s="597"/>
      <c r="BR964" s="597"/>
      <c r="BS964" s="597"/>
      <c r="BT964" s="597"/>
    </row>
    <row r="965" ht="12.75" customHeight="1">
      <c r="A965" s="583"/>
      <c r="B965" s="597"/>
      <c r="C965" s="597"/>
      <c r="D965" s="597"/>
      <c r="E965" s="1069"/>
      <c r="F965" s="1068"/>
      <c r="G965" s="1070"/>
      <c r="H965" s="597"/>
      <c r="I965" s="597"/>
      <c r="J965" s="597"/>
      <c r="K965" s="1068"/>
      <c r="L965" s="1071"/>
      <c r="M965" s="1071"/>
      <c r="N965" s="1072"/>
      <c r="O965" s="597"/>
      <c r="P965" s="1068"/>
      <c r="Q965" s="597"/>
      <c r="R965" s="603"/>
      <c r="S965" s="354"/>
      <c r="T965" s="584"/>
      <c r="U965" s="595"/>
      <c r="V965" s="595"/>
      <c r="W965" s="595"/>
      <c r="X965" s="443"/>
      <c r="Y965" s="595"/>
      <c r="Z965" s="595"/>
      <c r="AA965" s="595"/>
      <c r="AB965" s="354"/>
      <c r="AC965" s="651"/>
      <c r="AD965" s="1066"/>
      <c r="AE965" s="1066"/>
      <c r="AF965" s="1066"/>
      <c r="AG965" s="1067"/>
      <c r="AH965" s="1066"/>
      <c r="AI965" s="1066"/>
      <c r="AJ965" s="1066"/>
      <c r="AK965" s="1066"/>
      <c r="AL965" s="1066"/>
      <c r="AM965" s="1066"/>
      <c r="AN965" s="595"/>
      <c r="AO965" s="651"/>
      <c r="AP965" s="597"/>
      <c r="AQ965" s="1066"/>
      <c r="AR965" s="1066"/>
      <c r="AS965" s="1066"/>
      <c r="AT965" s="1066"/>
      <c r="AU965" s="1066"/>
      <c r="AV965" s="1066"/>
      <c r="AW965" s="1066"/>
      <c r="AX965" s="1066"/>
      <c r="AY965" s="1066"/>
      <c r="AZ965" s="1066"/>
      <c r="BA965" s="1066"/>
      <c r="BB965" s="597"/>
      <c r="BC965" s="597"/>
      <c r="BD965" s="597"/>
      <c r="BE965" s="597"/>
      <c r="BF965" s="597"/>
      <c r="BG965" s="597"/>
      <c r="BH965" s="597"/>
      <c r="BI965" s="597"/>
      <c r="BJ965" s="597"/>
      <c r="BK965" s="597"/>
      <c r="BL965" s="597"/>
      <c r="BM965" s="597"/>
      <c r="BN965" s="597"/>
      <c r="BO965" s="597"/>
      <c r="BP965" s="597"/>
      <c r="BQ965" s="597"/>
      <c r="BR965" s="597"/>
      <c r="BS965" s="597"/>
      <c r="BT965" s="597"/>
    </row>
    <row r="966" ht="12.75" customHeight="1">
      <c r="A966" s="583"/>
      <c r="B966" s="597"/>
      <c r="C966" s="597"/>
      <c r="D966" s="597"/>
      <c r="E966" s="1069"/>
      <c r="F966" s="1068"/>
      <c r="G966" s="1070"/>
      <c r="H966" s="597"/>
      <c r="I966" s="597"/>
      <c r="J966" s="597"/>
      <c r="K966" s="1068"/>
      <c r="L966" s="1071"/>
      <c r="M966" s="1071"/>
      <c r="N966" s="1072"/>
      <c r="O966" s="597"/>
      <c r="P966" s="1068"/>
      <c r="Q966" s="597"/>
      <c r="R966" s="603"/>
      <c r="S966" s="354"/>
      <c r="T966" s="584"/>
      <c r="U966" s="595"/>
      <c r="V966" s="595"/>
      <c r="W966" s="595"/>
      <c r="X966" s="443"/>
      <c r="Y966" s="595"/>
      <c r="Z966" s="595"/>
      <c r="AA966" s="595"/>
      <c r="AB966" s="354"/>
      <c r="AC966" s="651"/>
      <c r="AD966" s="1066"/>
      <c r="AE966" s="1066"/>
      <c r="AF966" s="1066"/>
      <c r="AG966" s="1067"/>
      <c r="AH966" s="1066"/>
      <c r="AI966" s="1066"/>
      <c r="AJ966" s="1066"/>
      <c r="AK966" s="1066"/>
      <c r="AL966" s="1066"/>
      <c r="AM966" s="595"/>
      <c r="AN966" s="651"/>
      <c r="AO966" s="651"/>
      <c r="AP966" s="597"/>
      <c r="AQ966" s="1066"/>
      <c r="AR966" s="1066"/>
      <c r="AS966" s="1066"/>
      <c r="AT966" s="1066"/>
      <c r="AU966" s="1066"/>
      <c r="AV966" s="1066"/>
      <c r="AW966" s="1066"/>
      <c r="AX966" s="1066"/>
      <c r="AY966" s="1066"/>
      <c r="AZ966" s="1066"/>
      <c r="BA966" s="1066"/>
      <c r="BB966" s="597"/>
      <c r="BC966" s="597"/>
      <c r="BD966" s="597"/>
      <c r="BE966" s="597"/>
      <c r="BF966" s="597"/>
      <c r="BG966" s="597"/>
      <c r="BH966" s="597"/>
      <c r="BI966" s="597"/>
      <c r="BJ966" s="597"/>
      <c r="BK966" s="597"/>
      <c r="BL966" s="597"/>
      <c r="BM966" s="597"/>
      <c r="BN966" s="597"/>
      <c r="BO966" s="597"/>
      <c r="BP966" s="597"/>
      <c r="BQ966" s="597"/>
      <c r="BR966" s="597"/>
      <c r="BS966" s="597"/>
      <c r="BT966" s="597"/>
    </row>
    <row r="967" ht="12.75" customHeight="1">
      <c r="A967" s="583"/>
      <c r="B967" s="597"/>
      <c r="C967" s="597"/>
      <c r="D967" s="597"/>
      <c r="E967" s="1069"/>
      <c r="F967" s="1068"/>
      <c r="G967" s="1070"/>
      <c r="H967" s="597"/>
      <c r="I967" s="597"/>
      <c r="J967" s="597"/>
      <c r="K967" s="1068"/>
      <c r="L967" s="1071"/>
      <c r="M967" s="1071"/>
      <c r="N967" s="1072"/>
      <c r="O967" s="597"/>
      <c r="P967" s="1068"/>
      <c r="Q967" s="597"/>
      <c r="R967" s="603"/>
      <c r="S967" s="354"/>
      <c r="T967" s="584"/>
      <c r="U967" s="595"/>
      <c r="V967" s="595"/>
      <c r="W967" s="595"/>
      <c r="X967" s="443"/>
      <c r="Y967" s="595"/>
      <c r="Z967" s="595"/>
      <c r="AA967" s="595"/>
      <c r="AB967" s="354"/>
      <c r="AC967" s="651"/>
      <c r="AD967" s="1066"/>
      <c r="AE967" s="1066"/>
      <c r="AF967" s="1066"/>
      <c r="AG967" s="1067"/>
      <c r="AH967" s="1066"/>
      <c r="AI967" s="1066"/>
      <c r="AJ967" s="1066"/>
      <c r="AK967" s="1066"/>
      <c r="AL967" s="1066"/>
      <c r="AM967" s="595"/>
      <c r="AN967" s="651"/>
      <c r="AO967" s="651"/>
      <c r="AP967" s="597"/>
      <c r="AQ967" s="1066"/>
      <c r="AR967" s="1066"/>
      <c r="AS967" s="1066"/>
      <c r="AT967" s="1066"/>
      <c r="AU967" s="1066"/>
      <c r="AV967" s="1066"/>
      <c r="AW967" s="1066"/>
      <c r="AX967" s="1066"/>
      <c r="AY967" s="1066"/>
      <c r="AZ967" s="1066"/>
      <c r="BA967" s="1066"/>
      <c r="BB967" s="597"/>
      <c r="BC967" s="597"/>
      <c r="BD967" s="597"/>
      <c r="BE967" s="597"/>
      <c r="BF967" s="597"/>
      <c r="BG967" s="597"/>
      <c r="BH967" s="597"/>
      <c r="BI967" s="597"/>
      <c r="BJ967" s="597"/>
      <c r="BK967" s="597"/>
      <c r="BL967" s="597"/>
      <c r="BM967" s="597"/>
      <c r="BN967" s="597"/>
      <c r="BO967" s="597"/>
      <c r="BP967" s="597"/>
      <c r="BQ967" s="597"/>
      <c r="BR967" s="597"/>
      <c r="BS967" s="597"/>
      <c r="BT967" s="597"/>
    </row>
    <row r="968" ht="12.75" customHeight="1">
      <c r="A968" s="583"/>
      <c r="B968" s="597"/>
      <c r="C968" s="597"/>
      <c r="D968" s="597"/>
      <c r="E968" s="1069"/>
      <c r="F968" s="1068"/>
      <c r="G968" s="1070"/>
      <c r="H968" s="597"/>
      <c r="I968" s="597"/>
      <c r="J968" s="597"/>
      <c r="K968" s="1068"/>
      <c r="L968" s="1071"/>
      <c r="M968" s="1071"/>
      <c r="N968" s="1072"/>
      <c r="O968" s="597"/>
      <c r="P968" s="1068"/>
      <c r="Q968" s="597"/>
      <c r="R968" s="603"/>
      <c r="S968" s="354"/>
      <c r="T968" s="584"/>
      <c r="U968" s="595"/>
      <c r="V968" s="595"/>
      <c r="W968" s="595"/>
      <c r="X968" s="443"/>
      <c r="Y968" s="595"/>
      <c r="Z968" s="595"/>
      <c r="AA968" s="595"/>
      <c r="AB968" s="354"/>
      <c r="AC968" s="651"/>
      <c r="AD968" s="1066"/>
      <c r="AE968" s="1066"/>
      <c r="AF968" s="1066"/>
      <c r="AG968" s="1067"/>
      <c r="AH968" s="1066"/>
      <c r="AI968" s="1066"/>
      <c r="AJ968" s="1066"/>
      <c r="AK968" s="1066"/>
      <c r="AL968" s="1066"/>
      <c r="AM968" s="595"/>
      <c r="AN968" s="651"/>
      <c r="AO968" s="597"/>
      <c r="AP968" s="597"/>
      <c r="AQ968" s="1066"/>
      <c r="AR968" s="1066"/>
      <c r="AS968" s="1066"/>
      <c r="AT968" s="1066"/>
      <c r="AU968" s="1066"/>
      <c r="AV968" s="1066"/>
      <c r="AW968" s="1066"/>
      <c r="AX968" s="1066"/>
      <c r="AY968" s="1066"/>
      <c r="AZ968" s="1066"/>
      <c r="BA968" s="1066"/>
      <c r="BB968" s="597"/>
      <c r="BC968" s="597"/>
      <c r="BD968" s="597"/>
      <c r="BE968" s="597"/>
      <c r="BF968" s="597"/>
      <c r="BG968" s="597"/>
      <c r="BH968" s="597"/>
      <c r="BI968" s="597"/>
      <c r="BJ968" s="597"/>
      <c r="BK968" s="597"/>
      <c r="BL968" s="597"/>
      <c r="BM968" s="597"/>
      <c r="BN968" s="597"/>
      <c r="BO968" s="597"/>
      <c r="BP968" s="597"/>
      <c r="BQ968" s="597"/>
      <c r="BR968" s="597"/>
      <c r="BS968" s="597"/>
      <c r="BT968" s="597"/>
    </row>
    <row r="969" ht="12.75" customHeight="1">
      <c r="A969" s="583"/>
      <c r="B969" s="597"/>
      <c r="C969" s="597"/>
      <c r="D969" s="597"/>
      <c r="E969" s="1069"/>
      <c r="F969" s="1068"/>
      <c r="G969" s="1070"/>
      <c r="H969" s="597"/>
      <c r="I969" s="597"/>
      <c r="J969" s="597"/>
      <c r="K969" s="1068"/>
      <c r="L969" s="1071"/>
      <c r="M969" s="1071"/>
      <c r="N969" s="1072"/>
      <c r="O969" s="597"/>
      <c r="P969" s="1068"/>
      <c r="Q969" s="597"/>
      <c r="R969" s="603"/>
      <c r="S969" s="354"/>
      <c r="T969" s="584"/>
      <c r="U969" s="595"/>
      <c r="V969" s="595"/>
      <c r="W969" s="595"/>
      <c r="X969" s="443"/>
      <c r="Y969" s="595"/>
      <c r="Z969" s="595"/>
      <c r="AA969" s="595"/>
      <c r="AB969" s="354"/>
      <c r="AC969" s="1066"/>
      <c r="AD969" s="1066"/>
      <c r="AE969" s="1066"/>
      <c r="AF969" s="1066"/>
      <c r="AG969" s="1067"/>
      <c r="AH969" s="1066"/>
      <c r="AI969" s="1066"/>
      <c r="AJ969" s="1066"/>
      <c r="AK969" s="1066"/>
      <c r="AL969" s="1066"/>
      <c r="AM969" s="595"/>
      <c r="AN969" s="651"/>
      <c r="AO969" s="597"/>
      <c r="AP969" s="597"/>
      <c r="AQ969" s="1066"/>
      <c r="AR969" s="1066"/>
      <c r="AS969" s="1066"/>
      <c r="AT969" s="1066"/>
      <c r="AU969" s="1066"/>
      <c r="AV969" s="1066"/>
      <c r="AW969" s="1066"/>
      <c r="AX969" s="1066"/>
      <c r="AY969" s="1066"/>
      <c r="AZ969" s="1066"/>
      <c r="BA969" s="1066"/>
      <c r="BB969" s="597"/>
      <c r="BC969" s="597"/>
      <c r="BD969" s="597"/>
      <c r="BE969" s="597"/>
      <c r="BF969" s="597"/>
      <c r="BG969" s="597"/>
      <c r="BH969" s="597"/>
      <c r="BI969" s="597"/>
      <c r="BJ969" s="597"/>
      <c r="BK969" s="597"/>
      <c r="BL969" s="597"/>
      <c r="BM969" s="597"/>
      <c r="BN969" s="597"/>
      <c r="BO969" s="597"/>
      <c r="BP969" s="597"/>
      <c r="BQ969" s="597"/>
      <c r="BR969" s="597"/>
      <c r="BS969" s="597"/>
      <c r="BT969" s="597"/>
    </row>
    <row r="970" ht="12.75" customHeight="1">
      <c r="A970" s="583"/>
      <c r="B970" s="597"/>
      <c r="C970" s="597"/>
      <c r="D970" s="597"/>
      <c r="E970" s="1069"/>
      <c r="F970" s="1068"/>
      <c r="G970" s="1070"/>
      <c r="H970" s="597"/>
      <c r="I970" s="597"/>
      <c r="J970" s="597"/>
      <c r="K970" s="1068"/>
      <c r="L970" s="1071"/>
      <c r="M970" s="1071"/>
      <c r="N970" s="1072"/>
      <c r="O970" s="597"/>
      <c r="P970" s="1068"/>
      <c r="Q970" s="597"/>
      <c r="R970" s="603"/>
      <c r="S970" s="354"/>
      <c r="T970" s="584"/>
      <c r="U970" s="595"/>
      <c r="V970" s="595"/>
      <c r="W970" s="595"/>
      <c r="X970" s="443"/>
      <c r="Y970" s="595"/>
      <c r="Z970" s="595"/>
      <c r="AA970" s="595"/>
      <c r="AB970" s="1073"/>
      <c r="AC970" s="1066"/>
      <c r="AD970" s="1066"/>
      <c r="AE970" s="1066"/>
      <c r="AF970" s="1066"/>
      <c r="AG970" s="1067"/>
      <c r="AH970" s="1066"/>
      <c r="AI970" s="1066"/>
      <c r="AJ970" s="1066"/>
      <c r="AK970" s="1066"/>
      <c r="AL970" s="1066"/>
      <c r="AM970" s="595"/>
      <c r="AN970" s="651"/>
      <c r="AO970" s="597"/>
      <c r="AP970" s="597"/>
      <c r="AQ970" s="1066"/>
      <c r="AR970" s="1066"/>
      <c r="AS970" s="1066"/>
      <c r="AT970" s="1066"/>
      <c r="AU970" s="1066"/>
      <c r="AV970" s="1066"/>
      <c r="AW970" s="1066"/>
      <c r="AX970" s="1066"/>
      <c r="AY970" s="1066"/>
      <c r="AZ970" s="1066"/>
      <c r="BA970" s="1066"/>
      <c r="BB970" s="597"/>
      <c r="BC970" s="597"/>
      <c r="BD970" s="597"/>
      <c r="BE970" s="597"/>
      <c r="BF970" s="597"/>
      <c r="BG970" s="597"/>
      <c r="BH970" s="597"/>
      <c r="BI970" s="597"/>
      <c r="BJ970" s="597"/>
      <c r="BK970" s="597"/>
      <c r="BL970" s="597"/>
      <c r="BM970" s="597"/>
      <c r="BN970" s="597"/>
      <c r="BO970" s="597"/>
      <c r="BP970" s="597"/>
      <c r="BQ970" s="597"/>
      <c r="BR970" s="597"/>
      <c r="BS970" s="597"/>
      <c r="BT970" s="597"/>
    </row>
    <row r="971" ht="12.75" customHeight="1">
      <c r="A971" s="583"/>
      <c r="B971" s="597"/>
      <c r="C971" s="597"/>
      <c r="D971" s="597"/>
      <c r="E971" s="1069"/>
      <c r="F971" s="1068"/>
      <c r="G971" s="1070"/>
      <c r="H971" s="597"/>
      <c r="I971" s="597"/>
      <c r="J971" s="597"/>
      <c r="K971" s="1068"/>
      <c r="L971" s="1071"/>
      <c r="M971" s="1071"/>
      <c r="N971" s="1072"/>
      <c r="O971" s="597"/>
      <c r="P971" s="1068"/>
      <c r="Q971" s="597"/>
      <c r="R971" s="603"/>
      <c r="S971" s="354"/>
      <c r="T971" s="584"/>
      <c r="U971" s="595"/>
      <c r="V971" s="595"/>
      <c r="W971" s="595"/>
      <c r="X971" s="443"/>
      <c r="Y971" s="595"/>
      <c r="Z971" s="595"/>
      <c r="AA971" s="595"/>
      <c r="AB971" s="1073"/>
      <c r="AC971" s="1066"/>
      <c r="AD971" s="1066"/>
      <c r="AE971" s="1066"/>
      <c r="AF971" s="1066"/>
      <c r="AG971" s="1067"/>
      <c r="AH971" s="1066"/>
      <c r="AI971" s="1066"/>
      <c r="AJ971" s="1066"/>
      <c r="AK971" s="1066"/>
      <c r="AL971" s="1066"/>
      <c r="AM971" s="651"/>
      <c r="AN971" s="651"/>
      <c r="AO971" s="597"/>
      <c r="AP971" s="597"/>
      <c r="AQ971" s="1066"/>
      <c r="AR971" s="1066"/>
      <c r="AS971" s="1066"/>
      <c r="AT971" s="1066"/>
      <c r="AU971" s="1066"/>
      <c r="AV971" s="1066"/>
      <c r="AW971" s="1066"/>
      <c r="AX971" s="1066"/>
      <c r="AY971" s="1066"/>
      <c r="AZ971" s="1066"/>
      <c r="BA971" s="1066"/>
      <c r="BB971" s="597"/>
      <c r="BC971" s="597"/>
      <c r="BD971" s="597"/>
      <c r="BE971" s="597"/>
      <c r="BF971" s="597"/>
      <c r="BG971" s="597"/>
      <c r="BH971" s="597"/>
      <c r="BI971" s="597"/>
      <c r="BJ971" s="597"/>
      <c r="BK971" s="597"/>
      <c r="BL971" s="597"/>
      <c r="BM971" s="597"/>
      <c r="BN971" s="597"/>
      <c r="BO971" s="597"/>
      <c r="BP971" s="597"/>
      <c r="BQ971" s="597"/>
      <c r="BR971" s="597"/>
      <c r="BS971" s="597"/>
      <c r="BT971" s="597"/>
    </row>
    <row r="972" ht="12.75" customHeight="1">
      <c r="A972" s="583"/>
      <c r="B972" s="597"/>
      <c r="C972" s="597"/>
      <c r="D972" s="597"/>
      <c r="E972" s="1069"/>
      <c r="F972" s="1068"/>
      <c r="G972" s="1070"/>
      <c r="H972" s="597"/>
      <c r="I972" s="597"/>
      <c r="J972" s="597"/>
      <c r="K972" s="1068"/>
      <c r="L972" s="1071"/>
      <c r="M972" s="1071"/>
      <c r="N972" s="1072"/>
      <c r="O972" s="597"/>
      <c r="P972" s="1068"/>
      <c r="Q972" s="597"/>
      <c r="R972" s="603"/>
      <c r="S972" s="354"/>
      <c r="T972" s="584"/>
      <c r="U972" s="595"/>
      <c r="V972" s="595"/>
      <c r="W972" s="595"/>
      <c r="X972" s="443"/>
      <c r="Y972" s="595"/>
      <c r="Z972" s="595"/>
      <c r="AA972" s="595"/>
      <c r="AB972" s="1073"/>
      <c r="AC972" s="1066"/>
      <c r="AD972" s="1066"/>
      <c r="AE972" s="1066"/>
      <c r="AF972" s="1066"/>
      <c r="AG972" s="1067"/>
      <c r="AH972" s="1066"/>
      <c r="AI972" s="1066"/>
      <c r="AJ972" s="1066"/>
      <c r="AK972" s="1066"/>
      <c r="AL972" s="1066"/>
      <c r="AM972" s="651"/>
      <c r="AN972" s="651"/>
      <c r="AO972" s="597"/>
      <c r="AP972" s="597"/>
      <c r="AQ972" s="1066"/>
      <c r="AR972" s="1066"/>
      <c r="AS972" s="1066"/>
      <c r="AT972" s="1066"/>
      <c r="AU972" s="1066"/>
      <c r="AV972" s="1066"/>
      <c r="AW972" s="1066"/>
      <c r="AX972" s="1066"/>
      <c r="AY972" s="1066"/>
      <c r="AZ972" s="1066"/>
      <c r="BA972" s="1066"/>
      <c r="BB972" s="597"/>
      <c r="BC972" s="597"/>
      <c r="BD972" s="597"/>
      <c r="BE972" s="597"/>
      <c r="BF972" s="597"/>
      <c r="BG972" s="597"/>
      <c r="BH972" s="597"/>
      <c r="BI972" s="597"/>
      <c r="BJ972" s="597"/>
      <c r="BK972" s="597"/>
      <c r="BL972" s="597"/>
      <c r="BM972" s="597"/>
      <c r="BN972" s="597"/>
      <c r="BO972" s="597"/>
      <c r="BP972" s="597"/>
      <c r="BQ972" s="597"/>
      <c r="BR972" s="597"/>
      <c r="BS972" s="597"/>
      <c r="BT972" s="597"/>
    </row>
    <row r="973" ht="12.75" customHeight="1">
      <c r="A973" s="583"/>
      <c r="B973" s="597"/>
      <c r="C973" s="597"/>
      <c r="D973" s="597"/>
      <c r="E973" s="1069"/>
      <c r="F973" s="1068"/>
      <c r="G973" s="1070"/>
      <c r="H973" s="597"/>
      <c r="I973" s="597"/>
      <c r="J973" s="597"/>
      <c r="K973" s="1068"/>
      <c r="L973" s="1071"/>
      <c r="M973" s="1071"/>
      <c r="N973" s="1072"/>
      <c r="O973" s="597"/>
      <c r="P973" s="1068"/>
      <c r="Q973" s="597"/>
      <c r="R973" s="603"/>
      <c r="S973" s="354"/>
      <c r="T973" s="584"/>
      <c r="U973" s="595"/>
      <c r="V973" s="595"/>
      <c r="W973" s="595"/>
      <c r="X973" s="443"/>
      <c r="Y973" s="595"/>
      <c r="Z973" s="595"/>
      <c r="AA973" s="595"/>
      <c r="AB973" s="1073"/>
      <c r="AC973" s="1066"/>
      <c r="AD973" s="1066"/>
      <c r="AE973" s="1066"/>
      <c r="AF973" s="1066"/>
      <c r="AG973" s="1067"/>
      <c r="AH973" s="1066"/>
      <c r="AI973" s="1066"/>
      <c r="AJ973" s="1066"/>
      <c r="AK973" s="1066"/>
      <c r="AL973" s="1066"/>
      <c r="AM973" s="651"/>
      <c r="AN973" s="651"/>
      <c r="AO973" s="597"/>
      <c r="AP973" s="597"/>
      <c r="AQ973" s="1066"/>
      <c r="AR973" s="1066"/>
      <c r="AS973" s="1066"/>
      <c r="AT973" s="1066"/>
      <c r="AU973" s="1066"/>
      <c r="AV973" s="1066"/>
      <c r="AW973" s="1066"/>
      <c r="AX973" s="1066"/>
      <c r="AY973" s="1066"/>
      <c r="AZ973" s="1066"/>
      <c r="BA973" s="1066"/>
      <c r="BB973" s="597"/>
      <c r="BC973" s="597"/>
      <c r="BD973" s="597"/>
      <c r="BE973" s="597"/>
      <c r="BF973" s="597"/>
      <c r="BG973" s="597"/>
      <c r="BH973" s="597"/>
      <c r="BI973" s="597"/>
      <c r="BJ973" s="597"/>
      <c r="BK973" s="597"/>
      <c r="BL973" s="597"/>
      <c r="BM973" s="597"/>
      <c r="BN973" s="597"/>
      <c r="BO973" s="597"/>
      <c r="BP973" s="597"/>
      <c r="BQ973" s="597"/>
      <c r="BR973" s="597"/>
      <c r="BS973" s="597"/>
      <c r="BT973" s="597"/>
    </row>
    <row r="974" ht="12.75" customHeight="1">
      <c r="A974" s="583"/>
      <c r="B974" s="597"/>
      <c r="C974" s="597"/>
      <c r="D974" s="597"/>
      <c r="E974" s="1069"/>
      <c r="F974" s="1068"/>
      <c r="G974" s="1070"/>
      <c r="H974" s="597"/>
      <c r="I974" s="597"/>
      <c r="J974" s="597"/>
      <c r="K974" s="1068"/>
      <c r="L974" s="1071"/>
      <c r="M974" s="1071"/>
      <c r="N974" s="1072"/>
      <c r="O974" s="597"/>
      <c r="P974" s="1068"/>
      <c r="Q974" s="597"/>
      <c r="R974" s="603"/>
      <c r="S974" s="354"/>
      <c r="T974" s="584"/>
      <c r="U974" s="595"/>
      <c r="V974" s="595"/>
      <c r="W974" s="595"/>
      <c r="X974" s="443"/>
      <c r="Y974" s="595"/>
      <c r="Z974" s="595"/>
      <c r="AA974" s="595"/>
      <c r="AB974" s="1073"/>
      <c r="AC974" s="1066"/>
      <c r="AD974" s="1066"/>
      <c r="AE974" s="1066"/>
      <c r="AF974" s="1066"/>
      <c r="AG974" s="1067"/>
      <c r="AH974" s="1066"/>
      <c r="AI974" s="1066"/>
      <c r="AJ974" s="1066"/>
      <c r="AK974" s="1066"/>
      <c r="AL974" s="1066"/>
      <c r="AM974" s="651"/>
      <c r="AN974" s="651"/>
      <c r="AO974" s="597"/>
      <c r="AP974" s="597"/>
      <c r="AQ974" s="1066"/>
      <c r="AR974" s="1066"/>
      <c r="AS974" s="1066"/>
      <c r="AT974" s="1066"/>
      <c r="AU974" s="1066"/>
      <c r="AV974" s="1066"/>
      <c r="AW974" s="1066"/>
      <c r="AX974" s="1066"/>
      <c r="AY974" s="1066"/>
      <c r="AZ974" s="1066"/>
      <c r="BA974" s="1066"/>
      <c r="BB974" s="597"/>
      <c r="BC974" s="597"/>
      <c r="BD974" s="597"/>
      <c r="BE974" s="597"/>
      <c r="BF974" s="597"/>
      <c r="BG974" s="597"/>
      <c r="BH974" s="597"/>
      <c r="BI974" s="597"/>
      <c r="BJ974" s="597"/>
      <c r="BK974" s="597"/>
      <c r="BL974" s="597"/>
      <c r="BM974" s="597"/>
      <c r="BN974" s="597"/>
      <c r="BO974" s="597"/>
      <c r="BP974" s="597"/>
      <c r="BQ974" s="597"/>
      <c r="BR974" s="597"/>
      <c r="BS974" s="597"/>
      <c r="BT974" s="597"/>
    </row>
    <row r="975" ht="12.75" customHeight="1">
      <c r="A975" s="583"/>
      <c r="B975" s="597"/>
      <c r="C975" s="597"/>
      <c r="D975" s="597"/>
      <c r="E975" s="1069"/>
      <c r="F975" s="1068"/>
      <c r="G975" s="1070"/>
      <c r="H975" s="597"/>
      <c r="I975" s="597"/>
      <c r="J975" s="597"/>
      <c r="K975" s="1068"/>
      <c r="L975" s="1071"/>
      <c r="M975" s="1071"/>
      <c r="N975" s="1072"/>
      <c r="O975" s="597"/>
      <c r="P975" s="1068"/>
      <c r="Q975" s="597"/>
      <c r="R975" s="603"/>
      <c r="S975" s="354"/>
      <c r="T975" s="584"/>
      <c r="U975" s="595"/>
      <c r="V975" s="595"/>
      <c r="W975" s="595"/>
      <c r="X975" s="443"/>
      <c r="Y975" s="595"/>
      <c r="Z975" s="595"/>
      <c r="AA975" s="595"/>
      <c r="AB975" s="1073"/>
      <c r="AC975" s="1066"/>
      <c r="AD975" s="1066"/>
      <c r="AE975" s="1066"/>
      <c r="AF975" s="1066"/>
      <c r="AG975" s="1067"/>
      <c r="AH975" s="1066"/>
      <c r="AI975" s="1066"/>
      <c r="AJ975" s="1066"/>
      <c r="AK975" s="1066"/>
      <c r="AL975" s="1066"/>
      <c r="AM975" s="651"/>
      <c r="AN975" s="651"/>
      <c r="AO975" s="597"/>
      <c r="AP975" s="597"/>
      <c r="AQ975" s="1066"/>
      <c r="AR975" s="1066"/>
      <c r="AS975" s="1066"/>
      <c r="AT975" s="1066"/>
      <c r="AU975" s="1066"/>
      <c r="AV975" s="1066"/>
      <c r="AW975" s="1066"/>
      <c r="AX975" s="1066"/>
      <c r="AY975" s="1066"/>
      <c r="AZ975" s="1066"/>
      <c r="BA975" s="1066"/>
      <c r="BB975" s="597"/>
      <c r="BC975" s="597"/>
      <c r="BD975" s="597"/>
      <c r="BE975" s="597"/>
      <c r="BF975" s="597"/>
      <c r="BG975" s="597"/>
      <c r="BH975" s="597"/>
      <c r="BI975" s="597"/>
      <c r="BJ975" s="597"/>
      <c r="BK975" s="597"/>
      <c r="BL975" s="597"/>
      <c r="BM975" s="597"/>
      <c r="BN975" s="597"/>
      <c r="BO975" s="597"/>
      <c r="BP975" s="597"/>
      <c r="BQ975" s="597"/>
      <c r="BR975" s="597"/>
      <c r="BS975" s="597"/>
      <c r="BT975" s="597"/>
    </row>
    <row r="976" ht="12.75" customHeight="1">
      <c r="A976" s="583"/>
      <c r="B976" s="597"/>
      <c r="C976" s="597"/>
      <c r="D976" s="597"/>
      <c r="E976" s="1069"/>
      <c r="F976" s="1068"/>
      <c r="G976" s="1070"/>
      <c r="H976" s="597"/>
      <c r="I976" s="597"/>
      <c r="J976" s="597"/>
      <c r="K976" s="1068"/>
      <c r="L976" s="1071"/>
      <c r="M976" s="1071"/>
      <c r="N976" s="1072"/>
      <c r="O976" s="597"/>
      <c r="P976" s="1068"/>
      <c r="Q976" s="597"/>
      <c r="R976" s="603"/>
      <c r="S976" s="354"/>
      <c r="T976" s="584"/>
      <c r="U976" s="595"/>
      <c r="V976" s="595"/>
      <c r="W976" s="595"/>
      <c r="X976" s="443"/>
      <c r="Y976" s="595"/>
      <c r="Z976" s="595"/>
      <c r="AA976" s="595"/>
      <c r="AB976" s="1073"/>
      <c r="AC976" s="1066"/>
      <c r="AD976" s="1066"/>
      <c r="AE976" s="1066"/>
      <c r="AF976" s="1066"/>
      <c r="AG976" s="1067"/>
      <c r="AH976" s="1066"/>
      <c r="AI976" s="1066"/>
      <c r="AJ976" s="1066"/>
      <c r="AK976" s="1066"/>
      <c r="AL976" s="1066"/>
      <c r="AM976" s="651"/>
      <c r="AN976" s="651"/>
      <c r="AO976" s="597"/>
      <c r="AP976" s="597"/>
      <c r="AQ976" s="1066"/>
      <c r="AR976" s="1066"/>
      <c r="AS976" s="1066"/>
      <c r="AT976" s="1066"/>
      <c r="AU976" s="1066"/>
      <c r="AV976" s="1066"/>
      <c r="AW976" s="1066"/>
      <c r="AX976" s="1066"/>
      <c r="AY976" s="1066"/>
      <c r="AZ976" s="1066"/>
      <c r="BA976" s="1066"/>
      <c r="BB976" s="597"/>
      <c r="BC976" s="597"/>
      <c r="BD976" s="597"/>
      <c r="BE976" s="597"/>
      <c r="BF976" s="597"/>
      <c r="BG976" s="597"/>
      <c r="BH976" s="597"/>
      <c r="BI976" s="597"/>
      <c r="BJ976" s="597"/>
      <c r="BK976" s="597"/>
      <c r="BL976" s="597"/>
      <c r="BM976" s="597"/>
      <c r="BN976" s="597"/>
      <c r="BO976" s="597"/>
      <c r="BP976" s="597"/>
      <c r="BQ976" s="597"/>
      <c r="BR976" s="597"/>
      <c r="BS976" s="597"/>
      <c r="BT976" s="597"/>
    </row>
    <row r="977" ht="12.75" customHeight="1">
      <c r="A977" s="583"/>
      <c r="B977" s="597"/>
      <c r="C977" s="597"/>
      <c r="D977" s="597"/>
      <c r="E977" s="1069"/>
      <c r="F977" s="1068"/>
      <c r="G977" s="1070"/>
      <c r="H977" s="597"/>
      <c r="I977" s="597"/>
      <c r="J977" s="597"/>
      <c r="K977" s="1068"/>
      <c r="L977" s="1071"/>
      <c r="M977" s="1071"/>
      <c r="N977" s="1072"/>
      <c r="O977" s="597"/>
      <c r="P977" s="1068"/>
      <c r="Q977" s="597"/>
      <c r="R977" s="603"/>
      <c r="S977" s="354"/>
      <c r="T977" s="584"/>
      <c r="U977" s="595"/>
      <c r="V977" s="595"/>
      <c r="W977" s="595"/>
      <c r="X977" s="443"/>
      <c r="Y977" s="595"/>
      <c r="Z977" s="595"/>
      <c r="AA977" s="595"/>
      <c r="AB977" s="1073"/>
      <c r="AC977" s="1066"/>
      <c r="AD977" s="1066"/>
      <c r="AE977" s="1066"/>
      <c r="AF977" s="1066"/>
      <c r="AG977" s="1067"/>
      <c r="AH977" s="1066"/>
      <c r="AI977" s="1066"/>
      <c r="AJ977" s="1066"/>
      <c r="AK977" s="1066"/>
      <c r="AL977" s="1066"/>
      <c r="AM977" s="651"/>
      <c r="AN977" s="651"/>
      <c r="AO977" s="597"/>
      <c r="AP977" s="597"/>
      <c r="AQ977" s="1066"/>
      <c r="AR977" s="1066"/>
      <c r="AS977" s="1066"/>
      <c r="AT977" s="1066"/>
      <c r="AU977" s="1066"/>
      <c r="AV977" s="1066"/>
      <c r="AW977" s="1066"/>
      <c r="AX977" s="1066"/>
      <c r="AY977" s="1066"/>
      <c r="AZ977" s="1066"/>
      <c r="BA977" s="1066"/>
      <c r="BB977" s="597"/>
      <c r="BC977" s="597"/>
      <c r="BD977" s="597"/>
      <c r="BE977" s="597"/>
      <c r="BF977" s="597"/>
      <c r="BG977" s="597"/>
      <c r="BH977" s="597"/>
      <c r="BI977" s="597"/>
      <c r="BJ977" s="597"/>
      <c r="BK977" s="597"/>
      <c r="BL977" s="597"/>
      <c r="BM977" s="597"/>
      <c r="BN977" s="597"/>
      <c r="BO977" s="597"/>
      <c r="BP977" s="597"/>
      <c r="BQ977" s="597"/>
      <c r="BR977" s="597"/>
      <c r="BS977" s="597"/>
      <c r="BT977" s="597"/>
    </row>
    <row r="978" ht="12.75" customHeight="1">
      <c r="A978" s="583"/>
      <c r="B978" s="597"/>
      <c r="C978" s="597"/>
      <c r="D978" s="597"/>
      <c r="E978" s="1069"/>
      <c r="F978" s="1068"/>
      <c r="G978" s="1070"/>
      <c r="H978" s="597"/>
      <c r="I978" s="597"/>
      <c r="J978" s="597"/>
      <c r="K978" s="1068"/>
      <c r="L978" s="1071"/>
      <c r="M978" s="1071"/>
      <c r="N978" s="1072"/>
      <c r="O978" s="597"/>
      <c r="P978" s="1068"/>
      <c r="Q978" s="597"/>
      <c r="R978" s="603"/>
      <c r="S978" s="354"/>
      <c r="T978" s="584"/>
      <c r="U978" s="595"/>
      <c r="V978" s="595"/>
      <c r="W978" s="595"/>
      <c r="X978" s="443"/>
      <c r="Y978" s="595"/>
      <c r="Z978" s="595"/>
      <c r="AA978" s="595"/>
      <c r="AB978" s="1073"/>
      <c r="AC978" s="1066"/>
      <c r="AD978" s="1066"/>
      <c r="AE978" s="1066"/>
      <c r="AF978" s="1066"/>
      <c r="AG978" s="1067"/>
      <c r="AH978" s="1066"/>
      <c r="AI978" s="1066"/>
      <c r="AJ978" s="1066"/>
      <c r="AK978" s="1066"/>
      <c r="AL978" s="1066"/>
      <c r="AM978" s="651"/>
      <c r="AN978" s="651"/>
      <c r="AO978" s="597"/>
      <c r="AP978" s="597"/>
      <c r="AQ978" s="1066"/>
      <c r="AR978" s="1066"/>
      <c r="AS978" s="1066"/>
      <c r="AT978" s="1066"/>
      <c r="AU978" s="1066"/>
      <c r="AV978" s="1066"/>
      <c r="AW978" s="1066"/>
      <c r="AX978" s="1066"/>
      <c r="AY978" s="1066"/>
      <c r="AZ978" s="1066"/>
      <c r="BA978" s="1066"/>
      <c r="BB978" s="597"/>
      <c r="BC978" s="597"/>
      <c r="BD978" s="597"/>
      <c r="BE978" s="597"/>
      <c r="BF978" s="597"/>
      <c r="BG978" s="597"/>
      <c r="BH978" s="597"/>
      <c r="BI978" s="597"/>
      <c r="BJ978" s="597"/>
      <c r="BK978" s="597"/>
      <c r="BL978" s="597"/>
      <c r="BM978" s="597"/>
      <c r="BN978" s="597"/>
      <c r="BO978" s="597"/>
      <c r="BP978" s="597"/>
      <c r="BQ978" s="597"/>
      <c r="BR978" s="597"/>
      <c r="BS978" s="597"/>
      <c r="BT978" s="597"/>
    </row>
    <row r="979" ht="12.75" customHeight="1">
      <c r="A979" s="583"/>
      <c r="B979" s="597"/>
      <c r="C979" s="597"/>
      <c r="D979" s="597"/>
      <c r="E979" s="1069"/>
      <c r="F979" s="1068"/>
      <c r="G979" s="1070"/>
      <c r="H979" s="597"/>
      <c r="I979" s="597"/>
      <c r="J979" s="597"/>
      <c r="K979" s="1068"/>
      <c r="L979" s="1071"/>
      <c r="M979" s="1071"/>
      <c r="N979" s="1072"/>
      <c r="O979" s="597"/>
      <c r="P979" s="1068"/>
      <c r="Q979" s="597"/>
      <c r="R979" s="603"/>
      <c r="S979" s="354"/>
      <c r="T979" s="584"/>
      <c r="U979" s="595"/>
      <c r="V979" s="595"/>
      <c r="W979" s="595"/>
      <c r="X979" s="443"/>
      <c r="Y979" s="595"/>
      <c r="Z979" s="595"/>
      <c r="AA979" s="595"/>
      <c r="AB979" s="1073"/>
      <c r="AC979" s="1066"/>
      <c r="AD979" s="1066"/>
      <c r="AE979" s="1066"/>
      <c r="AF979" s="1066"/>
      <c r="AG979" s="1067"/>
      <c r="AH979" s="1066"/>
      <c r="AI979" s="1066"/>
      <c r="AJ979" s="1066"/>
      <c r="AK979" s="1066"/>
      <c r="AL979" s="1066"/>
      <c r="AM979" s="651"/>
      <c r="AN979" s="651"/>
      <c r="AO979" s="597"/>
      <c r="AP979" s="597"/>
      <c r="AQ979" s="1066"/>
      <c r="AR979" s="1066"/>
      <c r="AS979" s="1066"/>
      <c r="AT979" s="1066"/>
      <c r="AU979" s="1066"/>
      <c r="AV979" s="1066"/>
      <c r="AW979" s="1066"/>
      <c r="AX979" s="1066"/>
      <c r="AY979" s="1066"/>
      <c r="AZ979" s="1066"/>
      <c r="BA979" s="1066"/>
      <c r="BB979" s="597"/>
      <c r="BC979" s="597"/>
      <c r="BD979" s="597"/>
      <c r="BE979" s="597"/>
      <c r="BF979" s="597"/>
      <c r="BG979" s="597"/>
      <c r="BH979" s="597"/>
      <c r="BI979" s="597"/>
      <c r="BJ979" s="597"/>
      <c r="BK979" s="597"/>
      <c r="BL979" s="597"/>
      <c r="BM979" s="597"/>
      <c r="BN979" s="597"/>
      <c r="BO979" s="597"/>
      <c r="BP979" s="597"/>
      <c r="BQ979" s="597"/>
      <c r="BR979" s="597"/>
      <c r="BS979" s="597"/>
      <c r="BT979" s="597"/>
    </row>
    <row r="980" ht="12.75" customHeight="1">
      <c r="A980" s="583"/>
      <c r="B980" s="597"/>
      <c r="C980" s="597"/>
      <c r="D980" s="597"/>
      <c r="E980" s="1069"/>
      <c r="F980" s="1068"/>
      <c r="G980" s="1070"/>
      <c r="H980" s="597"/>
      <c r="I980" s="597"/>
      <c r="J980" s="597"/>
      <c r="K980" s="1068"/>
      <c r="L980" s="1071"/>
      <c r="M980" s="1071"/>
      <c r="N980" s="1072"/>
      <c r="O980" s="597"/>
      <c r="P980" s="1068"/>
      <c r="Q980" s="597"/>
      <c r="R980" s="603"/>
      <c r="S980" s="354"/>
      <c r="T980" s="584"/>
      <c r="U980" s="595"/>
      <c r="V980" s="595"/>
      <c r="W980" s="595"/>
      <c r="X980" s="443"/>
      <c r="Y980" s="595"/>
      <c r="Z980" s="595"/>
      <c r="AA980" s="595"/>
      <c r="AB980" s="1073"/>
      <c r="AC980" s="1066"/>
      <c r="AD980" s="1066"/>
      <c r="AE980" s="1066"/>
      <c r="AF980" s="1066"/>
      <c r="AG980" s="1067"/>
      <c r="AH980" s="1066"/>
      <c r="AI980" s="1066"/>
      <c r="AJ980" s="1066"/>
      <c r="AK980" s="1066"/>
      <c r="AL980" s="1066"/>
      <c r="AM980" s="651"/>
      <c r="AN980" s="651"/>
      <c r="AO980" s="597"/>
      <c r="AP980" s="597"/>
      <c r="AQ980" s="1066"/>
      <c r="AR980" s="1066"/>
      <c r="AS980" s="1066"/>
      <c r="AT980" s="1066"/>
      <c r="AU980" s="1066"/>
      <c r="AV980" s="1066"/>
      <c r="AW980" s="1066"/>
      <c r="AX980" s="1066"/>
      <c r="AY980" s="1066"/>
      <c r="AZ980" s="1066"/>
      <c r="BA980" s="1066"/>
      <c r="BB980" s="597"/>
      <c r="BC980" s="597"/>
      <c r="BD980" s="597"/>
      <c r="BE980" s="597"/>
      <c r="BF980" s="597"/>
      <c r="BG980" s="597"/>
      <c r="BH980" s="597"/>
      <c r="BI980" s="597"/>
      <c r="BJ980" s="597"/>
      <c r="BK980" s="597"/>
      <c r="BL980" s="597"/>
      <c r="BM980" s="597"/>
      <c r="BN980" s="597"/>
      <c r="BO980" s="597"/>
      <c r="BP980" s="597"/>
      <c r="BQ980" s="597"/>
      <c r="BR980" s="597"/>
      <c r="BS980" s="597"/>
      <c r="BT980" s="597"/>
    </row>
    <row r="981" ht="12.75" customHeight="1">
      <c r="A981" s="583"/>
      <c r="B981" s="597"/>
      <c r="C981" s="597"/>
      <c r="D981" s="597"/>
      <c r="E981" s="1069"/>
      <c r="F981" s="1068"/>
      <c r="G981" s="1070"/>
      <c r="H981" s="597"/>
      <c r="I981" s="597"/>
      <c r="J981" s="597"/>
      <c r="K981" s="1068"/>
      <c r="L981" s="1071"/>
      <c r="M981" s="1071"/>
      <c r="N981" s="1072"/>
      <c r="O981" s="597"/>
      <c r="P981" s="1068"/>
      <c r="Q981" s="597"/>
      <c r="R981" s="603"/>
      <c r="S981" s="354"/>
      <c r="T981" s="584"/>
      <c r="U981" s="595"/>
      <c r="V981" s="595"/>
      <c r="W981" s="595"/>
      <c r="X981" s="443"/>
      <c r="Y981" s="595"/>
      <c r="Z981" s="595"/>
      <c r="AA981" s="595"/>
      <c r="AB981" s="1073"/>
      <c r="AC981" s="1066"/>
      <c r="AD981" s="1066"/>
      <c r="AE981" s="1066"/>
      <c r="AF981" s="1066"/>
      <c r="AG981" s="1067"/>
      <c r="AH981" s="1066"/>
      <c r="AI981" s="1066"/>
      <c r="AJ981" s="1066"/>
      <c r="AK981" s="1066"/>
      <c r="AL981" s="1066"/>
      <c r="AM981" s="651"/>
      <c r="AN981" s="651"/>
      <c r="AO981" s="597"/>
      <c r="AP981" s="597"/>
      <c r="AQ981" s="1066"/>
      <c r="AR981" s="1066"/>
      <c r="AS981" s="1066"/>
      <c r="AT981" s="1066"/>
      <c r="AU981" s="1066"/>
      <c r="AV981" s="1066"/>
      <c r="AW981" s="1066"/>
      <c r="AX981" s="1066"/>
      <c r="AY981" s="1066"/>
      <c r="AZ981" s="1066"/>
      <c r="BA981" s="1066"/>
      <c r="BB981" s="597"/>
      <c r="BC981" s="597"/>
      <c r="BD981" s="597"/>
      <c r="BE981" s="597"/>
      <c r="BF981" s="597"/>
      <c r="BG981" s="597"/>
      <c r="BH981" s="597"/>
      <c r="BI981" s="597"/>
      <c r="BJ981" s="597"/>
      <c r="BK981" s="597"/>
      <c r="BL981" s="597"/>
      <c r="BM981" s="597"/>
      <c r="BN981" s="597"/>
      <c r="BO981" s="597"/>
      <c r="BP981" s="597"/>
      <c r="BQ981" s="597"/>
      <c r="BR981" s="597"/>
      <c r="BS981" s="597"/>
      <c r="BT981" s="597"/>
    </row>
    <row r="982" ht="12.75" customHeight="1">
      <c r="A982" s="583"/>
      <c r="B982" s="597"/>
      <c r="C982" s="597"/>
      <c r="D982" s="597"/>
      <c r="E982" s="1069"/>
      <c r="F982" s="1068"/>
      <c r="G982" s="1070"/>
      <c r="H982" s="597"/>
      <c r="I982" s="597"/>
      <c r="J982" s="597"/>
      <c r="K982" s="1068"/>
      <c r="L982" s="1071"/>
      <c r="M982" s="1071"/>
      <c r="N982" s="1072"/>
      <c r="O982" s="597"/>
      <c r="P982" s="1068"/>
      <c r="Q982" s="597"/>
      <c r="R982" s="603"/>
      <c r="S982" s="354"/>
      <c r="T982" s="584"/>
      <c r="U982" s="595"/>
      <c r="V982" s="595"/>
      <c r="W982" s="595"/>
      <c r="X982" s="443"/>
      <c r="Y982" s="595"/>
      <c r="Z982" s="595"/>
      <c r="AA982" s="595"/>
      <c r="AB982" s="1073"/>
      <c r="AC982" s="1066"/>
      <c r="AD982" s="1066"/>
      <c r="AE982" s="1066"/>
      <c r="AF982" s="1066"/>
      <c r="AG982" s="1067"/>
      <c r="AH982" s="1066"/>
      <c r="AI982" s="1066"/>
      <c r="AJ982" s="1066"/>
      <c r="AK982" s="1066"/>
      <c r="AL982" s="1066"/>
      <c r="AM982" s="651"/>
      <c r="AN982" s="651"/>
      <c r="AO982" s="597"/>
      <c r="AP982" s="597"/>
      <c r="AQ982" s="1066"/>
      <c r="AR982" s="1066"/>
      <c r="AS982" s="1066"/>
      <c r="AT982" s="1066"/>
      <c r="AU982" s="1066"/>
      <c r="AV982" s="1066"/>
      <c r="AW982" s="1066"/>
      <c r="AX982" s="1066"/>
      <c r="AY982" s="1066"/>
      <c r="AZ982" s="1066"/>
      <c r="BA982" s="1066"/>
      <c r="BB982" s="597"/>
      <c r="BC982" s="597"/>
      <c r="BD982" s="597"/>
      <c r="BE982" s="597"/>
      <c r="BF982" s="597"/>
      <c r="BG982" s="597"/>
      <c r="BH982" s="597"/>
      <c r="BI982" s="597"/>
      <c r="BJ982" s="597"/>
      <c r="BK982" s="597"/>
      <c r="BL982" s="597"/>
      <c r="BM982" s="597"/>
      <c r="BN982" s="597"/>
      <c r="BO982" s="597"/>
      <c r="BP982" s="597"/>
      <c r="BQ982" s="597"/>
      <c r="BR982" s="597"/>
      <c r="BS982" s="597"/>
      <c r="BT982" s="597"/>
    </row>
    <row r="983" ht="12.75" customHeight="1">
      <c r="A983" s="583"/>
      <c r="B983" s="597"/>
      <c r="C983" s="597"/>
      <c r="D983" s="597"/>
      <c r="E983" s="1069"/>
      <c r="F983" s="1068"/>
      <c r="G983" s="1070"/>
      <c r="H983" s="597"/>
      <c r="I983" s="597"/>
      <c r="J983" s="597"/>
      <c r="K983" s="1068"/>
      <c r="L983" s="1071"/>
      <c r="M983" s="1071"/>
      <c r="N983" s="1072"/>
      <c r="O983" s="597"/>
      <c r="P983" s="1068"/>
      <c r="Q983" s="597"/>
      <c r="R983" s="603"/>
      <c r="S983" s="354"/>
      <c r="T983" s="584"/>
      <c r="U983" s="595"/>
      <c r="V983" s="595"/>
      <c r="W983" s="595"/>
      <c r="X983" s="443"/>
      <c r="Y983" s="595"/>
      <c r="Z983" s="595"/>
      <c r="AA983" s="595"/>
      <c r="AB983" s="1073"/>
      <c r="AC983" s="1066"/>
      <c r="AD983" s="1066"/>
      <c r="AE983" s="1066"/>
      <c r="AF983" s="1066"/>
      <c r="AG983" s="1067"/>
      <c r="AH983" s="1066"/>
      <c r="AI983" s="1066"/>
      <c r="AJ983" s="1066"/>
      <c r="AK983" s="1066"/>
      <c r="AL983" s="1066"/>
      <c r="AM983" s="651"/>
      <c r="AN983" s="651"/>
      <c r="AO983" s="597"/>
      <c r="AP983" s="597"/>
      <c r="AQ983" s="1066"/>
      <c r="AR983" s="1066"/>
      <c r="AS983" s="1066"/>
      <c r="AT983" s="1066"/>
      <c r="AU983" s="1066"/>
      <c r="AV983" s="1066"/>
      <c r="AW983" s="1066"/>
      <c r="AX983" s="1066"/>
      <c r="AY983" s="1066"/>
      <c r="AZ983" s="1066"/>
      <c r="BA983" s="1066"/>
      <c r="BB983" s="597"/>
      <c r="BC983" s="597"/>
      <c r="BD983" s="597"/>
      <c r="BE983" s="597"/>
      <c r="BF983" s="597"/>
      <c r="BG983" s="597"/>
      <c r="BH983" s="597"/>
      <c r="BI983" s="597"/>
      <c r="BJ983" s="597"/>
      <c r="BK983" s="597"/>
      <c r="BL983" s="597"/>
      <c r="BM983" s="597"/>
      <c r="BN983" s="597"/>
      <c r="BO983" s="597"/>
      <c r="BP983" s="597"/>
      <c r="BQ983" s="597"/>
      <c r="BR983" s="597"/>
      <c r="BS983" s="597"/>
      <c r="BT983" s="597"/>
    </row>
    <row r="984" ht="12.75" customHeight="1">
      <c r="A984" s="583"/>
      <c r="B984" s="597"/>
      <c r="C984" s="597"/>
      <c r="D984" s="597"/>
      <c r="E984" s="1069"/>
      <c r="F984" s="1068"/>
      <c r="G984" s="1070"/>
      <c r="H984" s="597"/>
      <c r="I984" s="597"/>
      <c r="J984" s="597"/>
      <c r="K984" s="1068"/>
      <c r="L984" s="1071"/>
      <c r="M984" s="1071"/>
      <c r="N984" s="1072"/>
      <c r="O984" s="597"/>
      <c r="P984" s="1068"/>
      <c r="Q984" s="597"/>
      <c r="R984" s="603"/>
      <c r="S984" s="354"/>
      <c r="T984" s="584"/>
      <c r="U984" s="595"/>
      <c r="V984" s="595"/>
      <c r="W984" s="595"/>
      <c r="X984" s="443"/>
      <c r="Y984" s="595"/>
      <c r="Z984" s="595"/>
      <c r="AA984" s="595"/>
      <c r="AB984" s="1073"/>
      <c r="AC984" s="1066"/>
      <c r="AD984" s="1066"/>
      <c r="AE984" s="1066"/>
      <c r="AF984" s="1066"/>
      <c r="AG984" s="1067"/>
      <c r="AH984" s="1066"/>
      <c r="AI984" s="1066"/>
      <c r="AJ984" s="1066"/>
      <c r="AK984" s="1066"/>
      <c r="AL984" s="1066"/>
      <c r="AM984" s="651"/>
      <c r="AN984" s="651"/>
      <c r="AO984" s="597"/>
      <c r="AP984" s="597"/>
      <c r="AQ984" s="1066"/>
      <c r="AR984" s="1066"/>
      <c r="AS984" s="1066"/>
      <c r="AT984" s="1066"/>
      <c r="AU984" s="1066"/>
      <c r="AV984" s="1066"/>
      <c r="AW984" s="1066"/>
      <c r="AX984" s="1066"/>
      <c r="AY984" s="1066"/>
      <c r="AZ984" s="1066"/>
      <c r="BA984" s="1066"/>
      <c r="BB984" s="597"/>
      <c r="BC984" s="597"/>
      <c r="BD984" s="597"/>
      <c r="BE984" s="597"/>
      <c r="BF984" s="597"/>
      <c r="BG984" s="597"/>
      <c r="BH984" s="597"/>
      <c r="BI984" s="597"/>
      <c r="BJ984" s="597"/>
      <c r="BK984" s="597"/>
      <c r="BL984" s="597"/>
      <c r="BM984" s="597"/>
      <c r="BN984" s="597"/>
      <c r="BO984" s="597"/>
      <c r="BP984" s="597"/>
      <c r="BQ984" s="597"/>
      <c r="BR984" s="597"/>
      <c r="BS984" s="597"/>
      <c r="BT984" s="597"/>
    </row>
    <row r="985" ht="12.75" customHeight="1">
      <c r="A985" s="583"/>
      <c r="B985" s="597"/>
      <c r="C985" s="597"/>
      <c r="D985" s="597"/>
      <c r="E985" s="1069"/>
      <c r="F985" s="1068"/>
      <c r="G985" s="1070"/>
      <c r="H985" s="597"/>
      <c r="I985" s="597"/>
      <c r="J985" s="597"/>
      <c r="K985" s="1068"/>
      <c r="L985" s="1071"/>
      <c r="M985" s="1071"/>
      <c r="N985" s="1072"/>
      <c r="O985" s="597"/>
      <c r="P985" s="1068"/>
      <c r="Q985" s="597"/>
      <c r="R985" s="603"/>
      <c r="S985" s="354"/>
      <c r="T985" s="584"/>
      <c r="U985" s="595"/>
      <c r="V985" s="595"/>
      <c r="W985" s="595"/>
      <c r="X985" s="443"/>
      <c r="Y985" s="595"/>
      <c r="Z985" s="595"/>
      <c r="AA985" s="595"/>
      <c r="AB985" s="1073"/>
      <c r="AC985" s="1066"/>
      <c r="AD985" s="1066"/>
      <c r="AE985" s="1066"/>
      <c r="AF985" s="1066"/>
      <c r="AG985" s="1067"/>
      <c r="AH985" s="1066"/>
      <c r="AI985" s="1066"/>
      <c r="AJ985" s="1066"/>
      <c r="AK985" s="1066"/>
      <c r="AL985" s="1066"/>
      <c r="AM985" s="651"/>
      <c r="AN985" s="651"/>
      <c r="AO985" s="597"/>
      <c r="AP985" s="597"/>
      <c r="AQ985" s="1066"/>
      <c r="AR985" s="1066"/>
      <c r="AS985" s="1066"/>
      <c r="AT985" s="1066"/>
      <c r="AU985" s="1066"/>
      <c r="AV985" s="1066"/>
      <c r="AW985" s="1066"/>
      <c r="AX985" s="1066"/>
      <c r="AY985" s="1066"/>
      <c r="AZ985" s="1066"/>
      <c r="BA985" s="1066"/>
      <c r="BB985" s="597"/>
      <c r="BC985" s="597"/>
      <c r="BD985" s="597"/>
      <c r="BE985" s="597"/>
      <c r="BF985" s="597"/>
      <c r="BG985" s="597"/>
      <c r="BH985" s="597"/>
      <c r="BI985" s="597"/>
      <c r="BJ985" s="597"/>
      <c r="BK985" s="597"/>
      <c r="BL985" s="597"/>
      <c r="BM985" s="597"/>
      <c r="BN985" s="597"/>
      <c r="BO985" s="597"/>
      <c r="BP985" s="597"/>
      <c r="BQ985" s="597"/>
      <c r="BR985" s="597"/>
      <c r="BS985" s="597"/>
      <c r="BT985" s="597"/>
    </row>
    <row r="986" ht="12.75" customHeight="1">
      <c r="A986" s="583"/>
      <c r="B986" s="597"/>
      <c r="C986" s="597"/>
      <c r="D986" s="597"/>
      <c r="E986" s="1069"/>
      <c r="F986" s="1068"/>
      <c r="G986" s="1070"/>
      <c r="H986" s="597"/>
      <c r="I986" s="597"/>
      <c r="J986" s="597"/>
      <c r="K986" s="1068"/>
      <c r="L986" s="1071"/>
      <c r="M986" s="1071"/>
      <c r="N986" s="1072"/>
      <c r="O986" s="597"/>
      <c r="P986" s="1068"/>
      <c r="Q986" s="597"/>
      <c r="R986" s="603"/>
      <c r="S986" s="354"/>
      <c r="T986" s="584"/>
      <c r="U986" s="595"/>
      <c r="V986" s="595"/>
      <c r="W986" s="595"/>
      <c r="X986" s="443"/>
      <c r="Y986" s="595"/>
      <c r="Z986" s="595"/>
      <c r="AA986" s="595"/>
      <c r="AB986" s="1073"/>
      <c r="AC986" s="1066"/>
      <c r="AD986" s="1066"/>
      <c r="AE986" s="1066"/>
      <c r="AF986" s="1066"/>
      <c r="AG986" s="1067"/>
      <c r="AH986" s="1066"/>
      <c r="AI986" s="1066"/>
      <c r="AJ986" s="1066"/>
      <c r="AK986" s="1066"/>
      <c r="AL986" s="1066"/>
      <c r="AM986" s="651"/>
      <c r="AN986" s="651"/>
      <c r="AO986" s="597"/>
      <c r="AP986" s="597"/>
      <c r="AQ986" s="1066"/>
      <c r="AR986" s="1066"/>
      <c r="AS986" s="1066"/>
      <c r="AT986" s="1066"/>
      <c r="AU986" s="1066"/>
      <c r="AV986" s="1066"/>
      <c r="AW986" s="1066"/>
      <c r="AX986" s="1066"/>
      <c r="AY986" s="1066"/>
      <c r="AZ986" s="1066"/>
      <c r="BA986" s="1066"/>
      <c r="BB986" s="597"/>
      <c r="BC986" s="597"/>
      <c r="BD986" s="597"/>
      <c r="BE986" s="597"/>
      <c r="BF986" s="597"/>
      <c r="BG986" s="597"/>
      <c r="BH986" s="597"/>
      <c r="BI986" s="597"/>
      <c r="BJ986" s="597"/>
      <c r="BK986" s="597"/>
      <c r="BL986" s="597"/>
      <c r="BM986" s="597"/>
      <c r="BN986" s="597"/>
      <c r="BO986" s="597"/>
      <c r="BP986" s="597"/>
      <c r="BQ986" s="597"/>
      <c r="BR986" s="597"/>
      <c r="BS986" s="597"/>
      <c r="BT986" s="597"/>
    </row>
    <row r="987" ht="12.75" customHeight="1">
      <c r="A987" s="583"/>
      <c r="B987" s="597"/>
      <c r="C987" s="597"/>
      <c r="D987" s="597"/>
      <c r="E987" s="1069"/>
      <c r="F987" s="1068"/>
      <c r="G987" s="1070"/>
      <c r="H987" s="597"/>
      <c r="I987" s="597"/>
      <c r="J987" s="597"/>
      <c r="K987" s="1068"/>
      <c r="L987" s="1071"/>
      <c r="M987" s="1071"/>
      <c r="N987" s="1072"/>
      <c r="O987" s="597"/>
      <c r="P987" s="1068"/>
      <c r="Q987" s="597"/>
      <c r="R987" s="603"/>
      <c r="S987" s="354"/>
      <c r="T987" s="584"/>
      <c r="U987" s="595"/>
      <c r="V987" s="595"/>
      <c r="W987" s="595"/>
      <c r="X987" s="443"/>
      <c r="Y987" s="595"/>
      <c r="Z987" s="595"/>
      <c r="AA987" s="595"/>
      <c r="AB987" s="1073"/>
      <c r="AC987" s="1066"/>
      <c r="AD987" s="1066"/>
      <c r="AE987" s="1066"/>
      <c r="AF987" s="1066"/>
      <c r="AG987" s="1067"/>
      <c r="AH987" s="1066"/>
      <c r="AI987" s="1066"/>
      <c r="AJ987" s="1066"/>
      <c r="AK987" s="1066"/>
      <c r="AL987" s="1066"/>
      <c r="AM987" s="651"/>
      <c r="AN987" s="651"/>
      <c r="AO987" s="597"/>
      <c r="AP987" s="597"/>
      <c r="AQ987" s="1066"/>
      <c r="AR987" s="1066"/>
      <c r="AS987" s="1066"/>
      <c r="AT987" s="1066"/>
      <c r="AU987" s="1066"/>
      <c r="AV987" s="1066"/>
      <c r="AW987" s="1066"/>
      <c r="AX987" s="1066"/>
      <c r="AY987" s="1066"/>
      <c r="AZ987" s="1066"/>
      <c r="BA987" s="1066"/>
      <c r="BB987" s="597"/>
      <c r="BC987" s="597"/>
      <c r="BD987" s="597"/>
      <c r="BE987" s="597"/>
      <c r="BF987" s="597"/>
      <c r="BG987" s="597"/>
      <c r="BH987" s="597"/>
      <c r="BI987" s="597"/>
      <c r="BJ987" s="597"/>
      <c r="BK987" s="597"/>
      <c r="BL987" s="597"/>
      <c r="BM987" s="597"/>
      <c r="BN987" s="597"/>
      <c r="BO987" s="597"/>
      <c r="BP987" s="597"/>
      <c r="BQ987" s="597"/>
      <c r="BR987" s="597"/>
      <c r="BS987" s="597"/>
      <c r="BT987" s="597"/>
    </row>
    <row r="988" ht="12.75" customHeight="1">
      <c r="A988" s="583"/>
      <c r="B988" s="597"/>
      <c r="C988" s="597"/>
      <c r="D988" s="597"/>
      <c r="E988" s="1069"/>
      <c r="F988" s="1068"/>
      <c r="G988" s="1070"/>
      <c r="H988" s="597"/>
      <c r="I988" s="597"/>
      <c r="J988" s="597"/>
      <c r="K988" s="1068"/>
      <c r="L988" s="1071"/>
      <c r="M988" s="1071"/>
      <c r="N988" s="1072"/>
      <c r="O988" s="597"/>
      <c r="P988" s="1068"/>
      <c r="Q988" s="597"/>
      <c r="R988" s="603"/>
      <c r="S988" s="354"/>
      <c r="T988" s="584"/>
      <c r="U988" s="595"/>
      <c r="V988" s="595"/>
      <c r="W988" s="595"/>
      <c r="X988" s="443"/>
      <c r="Y988" s="595"/>
      <c r="Z988" s="595"/>
      <c r="AA988" s="595"/>
      <c r="AB988" s="1073"/>
      <c r="AC988" s="1066"/>
      <c r="AD988" s="1066"/>
      <c r="AE988" s="1066"/>
      <c r="AF988" s="1066"/>
      <c r="AG988" s="1067"/>
      <c r="AH988" s="1066"/>
      <c r="AI988" s="1066"/>
      <c r="AJ988" s="1066"/>
      <c r="AK988" s="1066"/>
      <c r="AL988" s="1066"/>
      <c r="AM988" s="651"/>
      <c r="AN988" s="651"/>
      <c r="AO988" s="597"/>
      <c r="AP988" s="597"/>
      <c r="AQ988" s="1066"/>
      <c r="AR988" s="1066"/>
      <c r="AS988" s="1066"/>
      <c r="AT988" s="1066"/>
      <c r="AU988" s="1066"/>
      <c r="AV988" s="1066"/>
      <c r="AW988" s="1066"/>
      <c r="AX988" s="1066"/>
      <c r="AY988" s="1066"/>
      <c r="AZ988" s="1066"/>
      <c r="BA988" s="1066"/>
      <c r="BB988" s="597"/>
      <c r="BC988" s="597"/>
      <c r="BD988" s="597"/>
      <c r="BE988" s="597"/>
      <c r="BF988" s="597"/>
      <c r="BG988" s="597"/>
      <c r="BH988" s="597"/>
      <c r="BI988" s="597"/>
      <c r="BJ988" s="597"/>
      <c r="BK988" s="597"/>
      <c r="BL988" s="597"/>
      <c r="BM988" s="597"/>
      <c r="BN988" s="597"/>
      <c r="BO988" s="597"/>
      <c r="BP988" s="597"/>
      <c r="BQ988" s="597"/>
      <c r="BR988" s="597"/>
      <c r="BS988" s="597"/>
      <c r="BT988" s="597"/>
    </row>
    <row r="989" ht="12.75" customHeight="1">
      <c r="A989" s="583"/>
      <c r="B989" s="597"/>
      <c r="C989" s="597"/>
      <c r="D989" s="597"/>
      <c r="E989" s="1069"/>
      <c r="F989" s="1068"/>
      <c r="G989" s="1070"/>
      <c r="H989" s="597"/>
      <c r="I989" s="597"/>
      <c r="J989" s="597"/>
      <c r="K989" s="1068"/>
      <c r="L989" s="1071"/>
      <c r="M989" s="1071"/>
      <c r="N989" s="1072"/>
      <c r="O989" s="597"/>
      <c r="P989" s="1068"/>
      <c r="Q989" s="597"/>
      <c r="R989" s="603"/>
      <c r="S989" s="354"/>
      <c r="T989" s="584"/>
      <c r="U989" s="595"/>
      <c r="V989" s="595"/>
      <c r="W989" s="595"/>
      <c r="X989" s="584"/>
      <c r="Y989" s="595"/>
      <c r="Z989" s="595"/>
      <c r="AA989" s="595"/>
      <c r="AB989" s="1073"/>
      <c r="AC989" s="1066"/>
      <c r="AD989" s="1066"/>
      <c r="AE989" s="1066"/>
      <c r="AF989" s="1066"/>
      <c r="AG989" s="1067"/>
      <c r="AH989" s="1066"/>
      <c r="AI989" s="1066"/>
      <c r="AJ989" s="1066"/>
      <c r="AK989" s="1066"/>
      <c r="AL989" s="1066"/>
      <c r="AM989" s="651"/>
      <c r="AN989" s="651"/>
      <c r="AO989" s="597"/>
      <c r="AP989" s="597"/>
      <c r="AQ989" s="1066"/>
      <c r="AR989" s="1066"/>
      <c r="AS989" s="1066"/>
      <c r="AT989" s="1066"/>
      <c r="AU989" s="1066"/>
      <c r="AV989" s="1066"/>
      <c r="AW989" s="1066"/>
      <c r="AX989" s="1066"/>
      <c r="AY989" s="1066"/>
      <c r="AZ989" s="1066"/>
      <c r="BA989" s="1066"/>
      <c r="BB989" s="597"/>
      <c r="BC989" s="597"/>
      <c r="BD989" s="597"/>
      <c r="BE989" s="597"/>
      <c r="BF989" s="597"/>
      <c r="BG989" s="597"/>
      <c r="BH989" s="597"/>
      <c r="BI989" s="597"/>
      <c r="BJ989" s="597"/>
      <c r="BK989" s="597"/>
      <c r="BL989" s="597"/>
      <c r="BM989" s="597"/>
      <c r="BN989" s="597"/>
      <c r="BO989" s="597"/>
      <c r="BP989" s="597"/>
      <c r="BQ989" s="597"/>
      <c r="BR989" s="597"/>
      <c r="BS989" s="597"/>
      <c r="BT989" s="597"/>
    </row>
    <row r="990" ht="12.75" customHeight="1">
      <c r="A990" s="583"/>
      <c r="B990" s="597"/>
      <c r="C990" s="597"/>
      <c r="D990" s="597"/>
      <c r="E990" s="1069"/>
      <c r="F990" s="1068"/>
      <c r="G990" s="1070"/>
      <c r="H990" s="597"/>
      <c r="I990" s="597"/>
      <c r="J990" s="597"/>
      <c r="K990" s="1068"/>
      <c r="L990" s="1071"/>
      <c r="M990" s="1071"/>
      <c r="N990" s="1072"/>
      <c r="O990" s="597"/>
      <c r="P990" s="1068"/>
      <c r="Q990" s="597"/>
      <c r="R990" s="603"/>
      <c r="S990" s="354"/>
      <c r="T990" s="584"/>
      <c r="U990" s="595"/>
      <c r="V990" s="595"/>
      <c r="W990" s="595"/>
      <c r="X990" s="584"/>
      <c r="Y990" s="595"/>
      <c r="Z990" s="595"/>
      <c r="AA990" s="595"/>
      <c r="AB990" s="1073"/>
      <c r="AC990" s="1066"/>
      <c r="AD990" s="1066"/>
      <c r="AE990" s="1066"/>
      <c r="AF990" s="1066"/>
      <c r="AG990" s="1067"/>
      <c r="AH990" s="1066"/>
      <c r="AI990" s="1066"/>
      <c r="AJ990" s="1066"/>
      <c r="AK990" s="1066"/>
      <c r="AL990" s="1066"/>
      <c r="AM990" s="651"/>
      <c r="AN990" s="651"/>
      <c r="AO990" s="597"/>
      <c r="AP990" s="597"/>
      <c r="AQ990" s="1066"/>
      <c r="AR990" s="1066"/>
      <c r="AS990" s="1066"/>
      <c r="AT990" s="1066"/>
      <c r="AU990" s="1066"/>
      <c r="AV990" s="1066"/>
      <c r="AW990" s="1066"/>
      <c r="AX990" s="1066"/>
      <c r="AY990" s="1066"/>
      <c r="AZ990" s="1066"/>
      <c r="BA990" s="1066"/>
      <c r="BB990" s="597"/>
      <c r="BC990" s="597"/>
      <c r="BD990" s="597"/>
      <c r="BE990" s="597"/>
      <c r="BF990" s="597"/>
      <c r="BG990" s="597"/>
      <c r="BH990" s="597"/>
      <c r="BI990" s="597"/>
      <c r="BJ990" s="597"/>
      <c r="BK990" s="597"/>
      <c r="BL990" s="597"/>
      <c r="BM990" s="597"/>
      <c r="BN990" s="597"/>
      <c r="BO990" s="597"/>
      <c r="BP990" s="597"/>
      <c r="BQ990" s="597"/>
      <c r="BR990" s="597"/>
      <c r="BS990" s="597"/>
      <c r="BT990" s="597"/>
    </row>
    <row r="991" ht="12.75" customHeight="1">
      <c r="A991" s="583"/>
      <c r="B991" s="597"/>
      <c r="C991" s="597"/>
      <c r="D991" s="597"/>
      <c r="E991" s="1069"/>
      <c r="F991" s="1068"/>
      <c r="G991" s="1070"/>
      <c r="H991" s="597"/>
      <c r="I991" s="597"/>
      <c r="J991" s="597"/>
      <c r="K991" s="1068"/>
      <c r="L991" s="1071"/>
      <c r="M991" s="1071"/>
      <c r="N991" s="1072"/>
      <c r="O991" s="597"/>
      <c r="P991" s="1068"/>
      <c r="Q991" s="597"/>
      <c r="R991" s="603"/>
      <c r="S991" s="354"/>
      <c r="T991" s="584"/>
      <c r="U991" s="595"/>
      <c r="V991" s="595"/>
      <c r="W991" s="595"/>
      <c r="X991" s="584"/>
      <c r="Y991" s="595"/>
      <c r="Z991" s="595"/>
      <c r="AA991" s="595"/>
      <c r="AB991" s="1073"/>
      <c r="AC991" s="1066"/>
      <c r="AD991" s="1066"/>
      <c r="AE991" s="1066"/>
      <c r="AF991" s="1066"/>
      <c r="AG991" s="1067"/>
      <c r="AH991" s="1066"/>
      <c r="AI991" s="1066"/>
      <c r="AJ991" s="1066"/>
      <c r="AK991" s="1066"/>
      <c r="AL991" s="1066"/>
      <c r="AM991" s="651"/>
      <c r="AN991" s="651"/>
      <c r="AO991" s="597"/>
      <c r="AP991" s="597"/>
      <c r="AQ991" s="1066"/>
      <c r="AR991" s="1066"/>
      <c r="AS991" s="1066"/>
      <c r="AT991" s="1066"/>
      <c r="AU991" s="1066"/>
      <c r="AV991" s="1066"/>
      <c r="AW991" s="1066"/>
      <c r="AX991" s="1066"/>
      <c r="AY991" s="1066"/>
      <c r="AZ991" s="1066"/>
      <c r="BA991" s="1066"/>
      <c r="BB991" s="597"/>
      <c r="BC991" s="597"/>
      <c r="BD991" s="597"/>
      <c r="BE991" s="597"/>
      <c r="BF991" s="597"/>
      <c r="BG991" s="597"/>
      <c r="BH991" s="597"/>
      <c r="BI991" s="597"/>
      <c r="BJ991" s="597"/>
      <c r="BK991" s="597"/>
      <c r="BL991" s="597"/>
      <c r="BM991" s="597"/>
      <c r="BN991" s="597"/>
      <c r="BO991" s="597"/>
      <c r="BP991" s="597"/>
      <c r="BQ991" s="597"/>
      <c r="BR991" s="597"/>
      <c r="BS991" s="597"/>
      <c r="BT991" s="597"/>
    </row>
    <row r="992" ht="12.75" customHeight="1">
      <c r="A992" s="583"/>
      <c r="B992" s="597"/>
      <c r="C992" s="597"/>
      <c r="D992" s="597"/>
      <c r="E992" s="1069"/>
      <c r="F992" s="1068"/>
      <c r="G992" s="1070"/>
      <c r="H992" s="597"/>
      <c r="I992" s="597"/>
      <c r="J992" s="597"/>
      <c r="K992" s="1068"/>
      <c r="L992" s="1071"/>
      <c r="M992" s="1071"/>
      <c r="N992" s="1072"/>
      <c r="O992" s="597"/>
      <c r="P992" s="1068"/>
      <c r="Q992" s="597"/>
      <c r="R992" s="603"/>
      <c r="S992" s="354"/>
      <c r="T992" s="584"/>
      <c r="U992" s="595"/>
      <c r="V992" s="595"/>
      <c r="W992" s="595"/>
      <c r="X992" s="584"/>
      <c r="Y992" s="595"/>
      <c r="Z992" s="595"/>
      <c r="AA992" s="595"/>
      <c r="AB992" s="1073"/>
      <c r="AC992" s="1066"/>
      <c r="AD992" s="1066"/>
      <c r="AE992" s="1066"/>
      <c r="AF992" s="1066"/>
      <c r="AG992" s="1067"/>
      <c r="AH992" s="1066"/>
      <c r="AI992" s="1066"/>
      <c r="AJ992" s="1066"/>
      <c r="AK992" s="1066"/>
      <c r="AL992" s="1066"/>
      <c r="AM992" s="651"/>
      <c r="AN992" s="651"/>
      <c r="AO992" s="597"/>
      <c r="AP992" s="597"/>
      <c r="AQ992" s="1066"/>
      <c r="AR992" s="1066"/>
      <c r="AS992" s="1066"/>
      <c r="AT992" s="1066"/>
      <c r="AU992" s="1066"/>
      <c r="AV992" s="1066"/>
      <c r="AW992" s="1066"/>
      <c r="AX992" s="1066"/>
      <c r="AY992" s="1066"/>
      <c r="AZ992" s="1066"/>
      <c r="BA992" s="1066"/>
      <c r="BB992" s="597"/>
      <c r="BC992" s="597"/>
      <c r="BD992" s="597"/>
      <c r="BE992" s="597"/>
      <c r="BF992" s="597"/>
      <c r="BG992" s="597"/>
      <c r="BH992" s="597"/>
      <c r="BI992" s="597"/>
      <c r="BJ992" s="597"/>
      <c r="BK992" s="597"/>
      <c r="BL992" s="597"/>
      <c r="BM992" s="597"/>
      <c r="BN992" s="597"/>
      <c r="BO992" s="597"/>
      <c r="BP992" s="597"/>
      <c r="BQ992" s="597"/>
      <c r="BR992" s="597"/>
      <c r="BS992" s="597"/>
      <c r="BT992" s="597"/>
    </row>
    <row r="993" ht="12.75" customHeight="1">
      <c r="A993" s="583"/>
      <c r="B993" s="597"/>
      <c r="C993" s="597"/>
      <c r="D993" s="597"/>
      <c r="E993" s="1069"/>
      <c r="F993" s="1068"/>
      <c r="G993" s="1070"/>
      <c r="H993" s="597"/>
      <c r="I993" s="597"/>
      <c r="J993" s="597"/>
      <c r="K993" s="1068"/>
      <c r="L993" s="1071"/>
      <c r="M993" s="1071"/>
      <c r="N993" s="1072"/>
      <c r="O993" s="597"/>
      <c r="P993" s="1068"/>
      <c r="Q993" s="597"/>
      <c r="R993" s="603"/>
      <c r="S993" s="354"/>
      <c r="T993" s="584"/>
      <c r="U993" s="595"/>
      <c r="V993" s="595"/>
      <c r="W993" s="595"/>
      <c r="X993" s="584"/>
      <c r="Y993" s="595"/>
      <c r="Z993" s="595"/>
      <c r="AA993" s="595"/>
      <c r="AB993" s="1073"/>
      <c r="AC993" s="1066"/>
      <c r="AD993" s="1066"/>
      <c r="AE993" s="1066"/>
      <c r="AF993" s="1066"/>
      <c r="AG993" s="1067"/>
      <c r="AH993" s="1066"/>
      <c r="AI993" s="1066"/>
      <c r="AJ993" s="1066"/>
      <c r="AK993" s="1066"/>
      <c r="AL993" s="1066"/>
      <c r="AM993" s="651"/>
      <c r="AN993" s="651"/>
      <c r="AO993" s="597"/>
      <c r="AP993" s="597"/>
      <c r="AQ993" s="1066"/>
      <c r="AR993" s="1066"/>
      <c r="AS993" s="1066"/>
      <c r="AT993" s="1066"/>
      <c r="AU993" s="1066"/>
      <c r="AV993" s="1066"/>
      <c r="AW993" s="1066"/>
      <c r="AX993" s="1066"/>
      <c r="AY993" s="1066"/>
      <c r="AZ993" s="1066"/>
      <c r="BA993" s="1066"/>
      <c r="BB993" s="597"/>
      <c r="BC993" s="597"/>
      <c r="BD993" s="597"/>
      <c r="BE993" s="597"/>
      <c r="BF993" s="597"/>
      <c r="BG993" s="597"/>
      <c r="BH993" s="597"/>
      <c r="BI993" s="597"/>
      <c r="BJ993" s="597"/>
      <c r="BK993" s="597"/>
      <c r="BL993" s="597"/>
      <c r="BM993" s="597"/>
      <c r="BN993" s="597"/>
      <c r="BO993" s="597"/>
      <c r="BP993" s="597"/>
      <c r="BQ993" s="597"/>
      <c r="BR993" s="597"/>
      <c r="BS993" s="597"/>
      <c r="BT993" s="597"/>
    </row>
    <row r="994" ht="12.75" customHeight="1">
      <c r="A994" s="583"/>
      <c r="B994" s="597"/>
      <c r="C994" s="597"/>
      <c r="D994" s="597"/>
      <c r="E994" s="1069"/>
      <c r="F994" s="1068"/>
      <c r="G994" s="1070"/>
      <c r="H994" s="597"/>
      <c r="I994" s="597"/>
      <c r="J994" s="597"/>
      <c r="K994" s="1068"/>
      <c r="L994" s="1071"/>
      <c r="M994" s="1071"/>
      <c r="N994" s="1072"/>
      <c r="O994" s="597"/>
      <c r="P994" s="1068"/>
      <c r="Q994" s="597"/>
      <c r="R994" s="603"/>
      <c r="S994" s="354"/>
      <c r="T994" s="584"/>
      <c r="U994" s="595"/>
      <c r="V994" s="595"/>
      <c r="W994" s="595"/>
      <c r="X994" s="584"/>
      <c r="Y994" s="595"/>
      <c r="Z994" s="595"/>
      <c r="AA994" s="595"/>
      <c r="AB994" s="1073"/>
      <c r="AC994" s="1066"/>
      <c r="AD994" s="1066"/>
      <c r="AE994" s="1066"/>
      <c r="AF994" s="1066"/>
      <c r="AG994" s="1067"/>
      <c r="AH994" s="1066"/>
      <c r="AI994" s="1066"/>
      <c r="AJ994" s="1066"/>
      <c r="AK994" s="1066"/>
      <c r="AL994" s="1066"/>
      <c r="AM994" s="651"/>
      <c r="AN994" s="651"/>
      <c r="AO994" s="597"/>
      <c r="AP994" s="597"/>
      <c r="AQ994" s="1066"/>
      <c r="AR994" s="1066"/>
      <c r="AS994" s="1066"/>
      <c r="AT994" s="1066"/>
      <c r="AU994" s="1066"/>
      <c r="AV994" s="1066"/>
      <c r="AW994" s="1066"/>
      <c r="AX994" s="1066"/>
      <c r="AY994" s="1066"/>
      <c r="AZ994" s="1066"/>
      <c r="BA994" s="1066"/>
      <c r="BB994" s="597"/>
      <c r="BC994" s="597"/>
      <c r="BD994" s="597"/>
      <c r="BE994" s="597"/>
      <c r="BF994" s="597"/>
      <c r="BG994" s="597"/>
      <c r="BH994" s="597"/>
      <c r="BI994" s="597"/>
      <c r="BJ994" s="597"/>
      <c r="BK994" s="597"/>
      <c r="BL994" s="597"/>
      <c r="BM994" s="597"/>
      <c r="BN994" s="597"/>
      <c r="BO994" s="597"/>
      <c r="BP994" s="597"/>
      <c r="BQ994" s="597"/>
      <c r="BR994" s="597"/>
      <c r="BS994" s="597"/>
      <c r="BT994" s="597"/>
    </row>
    <row r="995" ht="12.75" customHeight="1">
      <c r="A995" s="583"/>
      <c r="B995" s="597"/>
      <c r="C995" s="597"/>
      <c r="D995" s="597"/>
      <c r="E995" s="1069"/>
      <c r="F995" s="1068"/>
      <c r="G995" s="1070"/>
      <c r="H995" s="597"/>
      <c r="I995" s="597"/>
      <c r="J995" s="597"/>
      <c r="K995" s="1068"/>
      <c r="L995" s="1071"/>
      <c r="M995" s="1071"/>
      <c r="N995" s="1072"/>
      <c r="O995" s="597"/>
      <c r="P995" s="1068"/>
      <c r="Q995" s="597"/>
      <c r="R995" s="1066"/>
      <c r="S995" s="1067"/>
      <c r="T995" s="1066"/>
      <c r="U995" s="1066"/>
      <c r="V995" s="1066"/>
      <c r="W995" s="1066"/>
      <c r="X995" s="1066"/>
      <c r="Y995" s="1066"/>
      <c r="Z995" s="1066"/>
      <c r="AA995" s="1066"/>
      <c r="AB995" s="1073"/>
      <c r="AC995" s="1066"/>
      <c r="AD995" s="1066"/>
      <c r="AE995" s="1066"/>
      <c r="AF995" s="1066"/>
      <c r="AG995" s="1067"/>
      <c r="AH995" s="1066"/>
      <c r="AI995" s="1066"/>
      <c r="AJ995" s="1066"/>
      <c r="AK995" s="1066"/>
      <c r="AL995" s="1066"/>
      <c r="AM995" s="651"/>
      <c r="AN995" s="651"/>
      <c r="AO995" s="597"/>
      <c r="AP995" s="597"/>
      <c r="AQ995" s="1066"/>
      <c r="AR995" s="1066"/>
      <c r="AS995" s="1066"/>
      <c r="AT995" s="1066"/>
      <c r="AU995" s="1066"/>
      <c r="AV995" s="1066"/>
      <c r="AW995" s="1066"/>
      <c r="AX995" s="1066"/>
      <c r="AY995" s="1066"/>
      <c r="AZ995" s="1066"/>
      <c r="BA995" s="1066"/>
      <c r="BB995" s="597"/>
      <c r="BC995" s="597"/>
      <c r="BD995" s="597"/>
      <c r="BE995" s="597"/>
      <c r="BF995" s="597"/>
      <c r="BG995" s="597"/>
      <c r="BH995" s="597"/>
      <c r="BI995" s="597"/>
      <c r="BJ995" s="597"/>
      <c r="BK995" s="597"/>
      <c r="BL995" s="597"/>
      <c r="BM995" s="597"/>
      <c r="BN995" s="597"/>
      <c r="BO995" s="597"/>
      <c r="BP995" s="597"/>
      <c r="BQ995" s="597"/>
      <c r="BR995" s="597"/>
      <c r="BS995" s="597"/>
      <c r="BT995" s="597"/>
    </row>
    <row r="996" ht="12.75" customHeight="1">
      <c r="A996" s="583"/>
      <c r="B996" s="597"/>
      <c r="C996" s="597"/>
      <c r="D996" s="597"/>
      <c r="E996" s="1069"/>
      <c r="F996" s="1068"/>
      <c r="G996" s="1070"/>
      <c r="H996" s="597"/>
      <c r="I996" s="597"/>
      <c r="J996" s="597"/>
      <c r="K996" s="1068"/>
      <c r="L996" s="1071"/>
      <c r="M996" s="1071"/>
      <c r="N996" s="1072"/>
      <c r="O996" s="597"/>
      <c r="P996" s="1068"/>
      <c r="Q996" s="597"/>
      <c r="R996" s="1066"/>
      <c r="S996" s="1067"/>
      <c r="T996" s="1066"/>
      <c r="U996" s="1066"/>
      <c r="V996" s="1066"/>
      <c r="W996" s="1066"/>
      <c r="X996" s="1066"/>
      <c r="Y996" s="1066"/>
      <c r="Z996" s="1066"/>
      <c r="AA996" s="1066"/>
      <c r="AB996" s="1073"/>
      <c r="AC996" s="1066"/>
      <c r="AD996" s="1066"/>
      <c r="AE996" s="1066"/>
      <c r="AF996" s="1066"/>
      <c r="AG996" s="1067"/>
      <c r="AH996" s="1066"/>
      <c r="AI996" s="1066"/>
      <c r="AJ996" s="1066"/>
      <c r="AK996" s="1066"/>
      <c r="AL996" s="1066"/>
      <c r="AM996" s="651"/>
      <c r="AN996" s="651"/>
      <c r="AO996" s="597"/>
      <c r="AP996" s="597"/>
      <c r="AQ996" s="1066"/>
      <c r="AR996" s="1066"/>
      <c r="AS996" s="1066"/>
      <c r="AT996" s="1066"/>
      <c r="AU996" s="1066"/>
      <c r="AV996" s="1066"/>
      <c r="AW996" s="1066"/>
      <c r="AX996" s="1066"/>
      <c r="AY996" s="1066"/>
      <c r="AZ996" s="1066"/>
      <c r="BA996" s="1066"/>
      <c r="BB996" s="597"/>
      <c r="BC996" s="597"/>
      <c r="BD996" s="597"/>
      <c r="BE996" s="597"/>
      <c r="BF996" s="597"/>
      <c r="BG996" s="597"/>
      <c r="BH996" s="597"/>
      <c r="BI996" s="597"/>
      <c r="BJ996" s="597"/>
      <c r="BK996" s="597"/>
      <c r="BL996" s="597"/>
      <c r="BM996" s="597"/>
      <c r="BN996" s="597"/>
      <c r="BO996" s="597"/>
      <c r="BP996" s="597"/>
      <c r="BQ996" s="597"/>
      <c r="BR996" s="597"/>
      <c r="BS996" s="597"/>
      <c r="BT996" s="597"/>
    </row>
    <row r="997" ht="12.75" customHeight="1">
      <c r="A997" s="583"/>
      <c r="B997" s="597"/>
      <c r="C997" s="597"/>
      <c r="D997" s="597"/>
      <c r="E997" s="1069"/>
      <c r="F997" s="1068"/>
      <c r="G997" s="1070"/>
      <c r="H997" s="597"/>
      <c r="I997" s="597"/>
      <c r="J997" s="597"/>
      <c r="K997" s="1068"/>
      <c r="L997" s="1071"/>
      <c r="M997" s="1071"/>
      <c r="N997" s="1072"/>
      <c r="O997" s="597"/>
      <c r="P997" s="1068"/>
      <c r="Q997" s="597"/>
      <c r="R997" s="1066"/>
      <c r="S997" s="1067"/>
      <c r="T997" s="1066"/>
      <c r="U997" s="1066"/>
      <c r="V997" s="1066"/>
      <c r="W997" s="1066"/>
      <c r="X997" s="1066"/>
      <c r="Y997" s="1066"/>
      <c r="Z997" s="1066"/>
      <c r="AA997" s="1066"/>
      <c r="AB997" s="1073"/>
      <c r="AC997" s="1066"/>
      <c r="AD997" s="1066"/>
      <c r="AE997" s="1066"/>
      <c r="AF997" s="1066"/>
      <c r="AG997" s="1067"/>
      <c r="AH997" s="1066"/>
      <c r="AI997" s="1066"/>
      <c r="AJ997" s="1066"/>
      <c r="AK997" s="1066"/>
      <c r="AL997" s="1066"/>
      <c r="AM997" s="1066"/>
      <c r="AN997" s="1066"/>
      <c r="AO997" s="597"/>
      <c r="AP997" s="597"/>
      <c r="AQ997" s="1066"/>
      <c r="AR997" s="1066"/>
      <c r="AS997" s="1066"/>
      <c r="AT997" s="1066"/>
      <c r="AU997" s="1066"/>
      <c r="AV997" s="1066"/>
      <c r="AW997" s="1066"/>
      <c r="AX997" s="1066"/>
      <c r="AY997" s="1066"/>
      <c r="AZ997" s="1066"/>
      <c r="BA997" s="1066"/>
      <c r="BB997" s="597"/>
      <c r="BC997" s="597"/>
      <c r="BD997" s="597"/>
      <c r="BE997" s="597"/>
      <c r="BF997" s="597"/>
      <c r="BG997" s="597"/>
      <c r="BH997" s="597"/>
      <c r="BI997" s="597"/>
      <c r="BJ997" s="597"/>
      <c r="BK997" s="597"/>
      <c r="BL997" s="597"/>
      <c r="BM997" s="597"/>
      <c r="BN997" s="597"/>
      <c r="BO997" s="597"/>
      <c r="BP997" s="597"/>
      <c r="BQ997" s="597"/>
      <c r="BR997" s="597"/>
      <c r="BS997" s="597"/>
      <c r="BT997" s="597"/>
    </row>
    <row r="998" ht="12.75" customHeight="1">
      <c r="A998" s="583"/>
      <c r="B998" s="597"/>
      <c r="C998" s="597"/>
      <c r="D998" s="597"/>
      <c r="E998" s="1069"/>
      <c r="F998" s="1068"/>
      <c r="G998" s="1070"/>
      <c r="H998" s="597"/>
      <c r="I998" s="597"/>
      <c r="J998" s="597"/>
      <c r="K998" s="1068"/>
      <c r="L998" s="1071"/>
      <c r="M998" s="1071"/>
      <c r="N998" s="1072"/>
      <c r="O998" s="597"/>
      <c r="P998" s="1068"/>
      <c r="Q998" s="597"/>
      <c r="R998" s="1066"/>
      <c r="S998" s="1067"/>
      <c r="T998" s="1066"/>
      <c r="U998" s="1066"/>
      <c r="V998" s="1066"/>
      <c r="W998" s="1066"/>
      <c r="X998" s="1066"/>
      <c r="Y998" s="1066"/>
      <c r="Z998" s="1066"/>
      <c r="AA998" s="1066"/>
      <c r="AB998" s="1073"/>
      <c r="AC998" s="1066"/>
      <c r="AD998" s="1066"/>
      <c r="AE998" s="1066"/>
      <c r="AF998" s="1066"/>
      <c r="AG998" s="1067"/>
      <c r="AH998" s="1066"/>
      <c r="AI998" s="1066"/>
      <c r="AJ998" s="1066"/>
      <c r="AK998" s="1066"/>
      <c r="AL998" s="1066"/>
      <c r="AM998" s="1066"/>
      <c r="AN998" s="1066"/>
      <c r="AO998" s="597"/>
      <c r="AP998" s="597"/>
      <c r="AQ998" s="1066"/>
      <c r="AR998" s="1066"/>
      <c r="AS998" s="1066"/>
      <c r="AT998" s="1066"/>
      <c r="AU998" s="1066"/>
      <c r="AV998" s="1066"/>
      <c r="AW998" s="1066"/>
      <c r="AX998" s="1066"/>
      <c r="AY998" s="1066"/>
      <c r="AZ998" s="1066"/>
      <c r="BA998" s="1066"/>
      <c r="BB998" s="597"/>
      <c r="BC998" s="597"/>
      <c r="BD998" s="597"/>
      <c r="BE998" s="597"/>
      <c r="BF998" s="597"/>
      <c r="BG998" s="597"/>
      <c r="BH998" s="597"/>
      <c r="BI998" s="597"/>
      <c r="BJ998" s="597"/>
      <c r="BK998" s="597"/>
      <c r="BL998" s="597"/>
      <c r="BM998" s="597"/>
      <c r="BN998" s="597"/>
      <c r="BO998" s="597"/>
      <c r="BP998" s="597"/>
      <c r="BQ998" s="597"/>
      <c r="BR998" s="597"/>
      <c r="BS998" s="597"/>
      <c r="BT998" s="597"/>
    </row>
    <row r="999" ht="12.75" customHeight="1">
      <c r="A999" s="583"/>
      <c r="B999" s="597"/>
      <c r="C999" s="597"/>
      <c r="D999" s="597"/>
      <c r="E999" s="1069"/>
      <c r="F999" s="1068"/>
      <c r="G999" s="1070"/>
      <c r="H999" s="597"/>
      <c r="I999" s="597"/>
      <c r="J999" s="597"/>
      <c r="K999" s="1068"/>
      <c r="L999" s="1071"/>
      <c r="M999" s="1071"/>
      <c r="N999" s="1072"/>
      <c r="O999" s="597"/>
      <c r="P999" s="1068"/>
      <c r="Q999" s="597"/>
      <c r="R999" s="1066"/>
      <c r="S999" s="1067"/>
      <c r="T999" s="1066"/>
      <c r="U999" s="1066"/>
      <c r="V999" s="1066"/>
      <c r="W999" s="1066"/>
      <c r="X999" s="1066"/>
      <c r="Y999" s="1066"/>
      <c r="Z999" s="1066"/>
      <c r="AA999" s="1066"/>
      <c r="AB999" s="1073"/>
      <c r="AC999" s="1066"/>
      <c r="AD999" s="1066"/>
      <c r="AE999" s="1066"/>
      <c r="AF999" s="1066"/>
      <c r="AG999" s="1066"/>
      <c r="AH999" s="1066"/>
      <c r="AI999" s="1066"/>
      <c r="AJ999" s="1066"/>
      <c r="AK999" s="1066"/>
      <c r="AL999" s="1066"/>
      <c r="AM999" s="1066"/>
      <c r="AN999" s="1066"/>
      <c r="AO999" s="1066"/>
      <c r="AP999" s="1066"/>
      <c r="AQ999" s="1066"/>
      <c r="AR999" s="1066"/>
      <c r="AS999" s="1066"/>
      <c r="AT999" s="1066"/>
      <c r="AU999" s="1066"/>
      <c r="AV999" s="1066"/>
      <c r="AW999" s="1066"/>
      <c r="AX999" s="1066"/>
      <c r="AY999" s="1066"/>
      <c r="AZ999" s="1066"/>
      <c r="BA999" s="1066"/>
      <c r="BB999" s="597"/>
      <c r="BC999" s="597"/>
      <c r="BD999" s="597"/>
      <c r="BE999" s="597"/>
      <c r="BF999" s="597"/>
      <c r="BG999" s="597"/>
      <c r="BH999" s="597"/>
      <c r="BI999" s="597"/>
      <c r="BJ999" s="597"/>
      <c r="BK999" s="597"/>
      <c r="BL999" s="597"/>
      <c r="BM999" s="597"/>
      <c r="BN999" s="597"/>
      <c r="BO999" s="597"/>
      <c r="BP999" s="597"/>
      <c r="BQ999" s="597"/>
      <c r="BR999" s="597"/>
      <c r="BS999" s="597"/>
      <c r="BT999" s="597"/>
    </row>
    <row r="1000" ht="12.75" customHeight="1">
      <c r="A1000" s="583"/>
      <c r="B1000" s="597"/>
      <c r="C1000" s="597"/>
      <c r="D1000" s="597"/>
      <c r="E1000" s="1069"/>
      <c r="F1000" s="1068"/>
      <c r="G1000" s="1070"/>
      <c r="H1000" s="597"/>
      <c r="I1000" s="597"/>
      <c r="J1000" s="597"/>
      <c r="K1000" s="1068"/>
      <c r="L1000" s="1071"/>
      <c r="M1000" s="1071"/>
      <c r="N1000" s="1072"/>
      <c r="O1000" s="597"/>
      <c r="P1000" s="1068"/>
      <c r="Q1000" s="597"/>
      <c r="R1000" s="1066"/>
      <c r="S1000" s="1067"/>
      <c r="T1000" s="1066"/>
      <c r="U1000" s="1066"/>
      <c r="V1000" s="1066"/>
      <c r="W1000" s="1066"/>
      <c r="X1000" s="1066"/>
      <c r="Y1000" s="1066"/>
      <c r="Z1000" s="1066"/>
      <c r="AA1000" s="1066"/>
      <c r="AB1000" s="1073"/>
      <c r="AC1000" s="1066"/>
      <c r="AD1000" s="1066"/>
      <c r="AE1000" s="1066"/>
      <c r="AF1000" s="1066"/>
      <c r="AG1000" s="1066"/>
      <c r="AH1000" s="1066"/>
      <c r="AI1000" s="1066"/>
      <c r="AJ1000" s="1066"/>
      <c r="AK1000" s="1066"/>
      <c r="AL1000" s="1066"/>
      <c r="AM1000" s="1066"/>
      <c r="AN1000" s="1066"/>
      <c r="AO1000" s="1066"/>
      <c r="AP1000" s="1066"/>
      <c r="AQ1000" s="1066"/>
      <c r="AR1000" s="1066"/>
      <c r="AS1000" s="1066"/>
      <c r="AT1000" s="1066"/>
      <c r="AU1000" s="1066"/>
      <c r="AV1000" s="1066"/>
      <c r="AW1000" s="1066"/>
      <c r="AX1000" s="1066"/>
      <c r="AY1000" s="1066"/>
      <c r="AZ1000" s="1066"/>
      <c r="BA1000" s="1066"/>
      <c r="BB1000" s="597"/>
      <c r="BC1000" s="597"/>
      <c r="BD1000" s="597"/>
      <c r="BE1000" s="597"/>
      <c r="BF1000" s="597"/>
      <c r="BG1000" s="597"/>
      <c r="BH1000" s="597"/>
      <c r="BI1000" s="597"/>
      <c r="BJ1000" s="597"/>
      <c r="BK1000" s="597"/>
      <c r="BL1000" s="597"/>
      <c r="BM1000" s="597"/>
      <c r="BN1000" s="597"/>
      <c r="BO1000" s="597"/>
      <c r="BP1000" s="597"/>
      <c r="BQ1000" s="597"/>
      <c r="BR1000" s="597"/>
      <c r="BS1000" s="597"/>
      <c r="BT1000" s="597"/>
    </row>
    <row r="1001" ht="12.75" customHeight="1">
      <c r="A1001" s="583"/>
      <c r="B1001" s="597"/>
      <c r="C1001" s="597"/>
      <c r="D1001" s="597"/>
      <c r="E1001" s="1069"/>
      <c r="F1001" s="1068"/>
      <c r="G1001" s="1070"/>
      <c r="H1001" s="597"/>
      <c r="I1001" s="597"/>
      <c r="J1001" s="597"/>
      <c r="K1001" s="1068"/>
      <c r="L1001" s="1071"/>
      <c r="M1001" s="1071"/>
      <c r="N1001" s="1072"/>
      <c r="O1001" s="597"/>
      <c r="P1001" s="1068"/>
      <c r="Q1001" s="597"/>
      <c r="R1001" s="1066"/>
      <c r="S1001" s="1067"/>
      <c r="T1001" s="1066"/>
      <c r="U1001" s="1066"/>
      <c r="V1001" s="1066"/>
      <c r="W1001" s="1066"/>
      <c r="X1001" s="1066"/>
      <c r="Y1001" s="1066"/>
      <c r="Z1001" s="1066"/>
      <c r="AA1001" s="1066"/>
      <c r="AB1001" s="1073"/>
      <c r="AC1001" s="1066"/>
      <c r="AD1001" s="1066"/>
      <c r="AE1001" s="1066"/>
      <c r="AF1001" s="1066"/>
      <c r="AG1001" s="1066"/>
      <c r="AH1001" s="1066"/>
      <c r="AI1001" s="1066"/>
      <c r="AJ1001" s="1066"/>
      <c r="AK1001" s="1066"/>
      <c r="AL1001" s="1066"/>
      <c r="AM1001" s="1066"/>
      <c r="AN1001" s="1066"/>
      <c r="AO1001" s="1066"/>
      <c r="AP1001" s="1066"/>
      <c r="AQ1001" s="1066"/>
      <c r="AR1001" s="1066"/>
      <c r="AS1001" s="1066"/>
      <c r="AT1001" s="1066"/>
      <c r="AU1001" s="1066"/>
      <c r="AV1001" s="1066"/>
      <c r="AW1001" s="1066"/>
      <c r="AX1001" s="1066"/>
      <c r="AY1001" s="1066"/>
      <c r="AZ1001" s="1066"/>
      <c r="BA1001" s="1066"/>
      <c r="BB1001" s="597"/>
      <c r="BC1001" s="597"/>
      <c r="BD1001" s="597"/>
      <c r="BE1001" s="597"/>
      <c r="BF1001" s="597"/>
      <c r="BG1001" s="597"/>
      <c r="BH1001" s="597"/>
      <c r="BI1001" s="597"/>
      <c r="BJ1001" s="597"/>
      <c r="BK1001" s="597"/>
      <c r="BL1001" s="597"/>
      <c r="BM1001" s="597"/>
      <c r="BN1001" s="597"/>
      <c r="BO1001" s="597"/>
      <c r="BP1001" s="597"/>
      <c r="BQ1001" s="597"/>
      <c r="BR1001" s="597"/>
      <c r="BS1001" s="597"/>
      <c r="BT1001" s="597"/>
    </row>
    <row r="1002" ht="12.75" customHeight="1">
      <c r="A1002" s="583"/>
      <c r="B1002" s="597"/>
      <c r="C1002" s="597"/>
      <c r="D1002" s="597"/>
      <c r="E1002" s="1069"/>
      <c r="F1002" s="1068"/>
      <c r="G1002" s="1070"/>
      <c r="H1002" s="597"/>
      <c r="I1002" s="597"/>
      <c r="J1002" s="597"/>
      <c r="K1002" s="1068"/>
      <c r="L1002" s="1071"/>
      <c r="M1002" s="1071"/>
      <c r="N1002" s="1072"/>
      <c r="O1002" s="597"/>
      <c r="P1002" s="1068"/>
      <c r="Q1002" s="597"/>
      <c r="R1002" s="1066"/>
      <c r="S1002" s="1067"/>
      <c r="T1002" s="1066"/>
      <c r="U1002" s="1066"/>
      <c r="V1002" s="1066"/>
      <c r="W1002" s="1066"/>
      <c r="X1002" s="1066"/>
      <c r="Y1002" s="1066"/>
      <c r="Z1002" s="1066"/>
      <c r="AA1002" s="1066"/>
      <c r="AB1002" s="1073"/>
      <c r="AC1002" s="1066"/>
      <c r="AD1002" s="1066"/>
      <c r="AE1002" s="1066"/>
      <c r="AF1002" s="1066"/>
      <c r="AG1002" s="1066"/>
      <c r="AH1002" s="1066"/>
      <c r="AI1002" s="1066"/>
      <c r="AJ1002" s="1066"/>
      <c r="AK1002" s="1066"/>
      <c r="AL1002" s="1066"/>
      <c r="AM1002" s="1066"/>
      <c r="AN1002" s="1066"/>
      <c r="AO1002" s="1066"/>
      <c r="AP1002" s="1066"/>
      <c r="AQ1002" s="1066"/>
      <c r="AR1002" s="1066"/>
      <c r="AS1002" s="1066"/>
      <c r="AT1002" s="1066"/>
      <c r="AU1002" s="1066"/>
      <c r="AV1002" s="1066"/>
      <c r="AW1002" s="1066"/>
      <c r="AX1002" s="1066"/>
      <c r="AY1002" s="1066"/>
      <c r="AZ1002" s="1066"/>
      <c r="BA1002" s="1066"/>
      <c r="BB1002" s="597"/>
      <c r="BC1002" s="597"/>
      <c r="BD1002" s="597"/>
      <c r="BE1002" s="597"/>
      <c r="BF1002" s="597"/>
      <c r="BG1002" s="597"/>
      <c r="BH1002" s="597"/>
      <c r="BI1002" s="597"/>
      <c r="BJ1002" s="597"/>
      <c r="BK1002" s="597"/>
      <c r="BL1002" s="597"/>
      <c r="BM1002" s="597"/>
      <c r="BN1002" s="597"/>
      <c r="BO1002" s="597"/>
      <c r="BP1002" s="597"/>
      <c r="BQ1002" s="597"/>
      <c r="BR1002" s="597"/>
      <c r="BS1002" s="597"/>
      <c r="BT1002" s="597"/>
    </row>
    <row r="1003" ht="12.75" customHeight="1">
      <c r="A1003" s="583"/>
      <c r="B1003" s="597"/>
      <c r="C1003" s="597"/>
      <c r="D1003" s="597"/>
      <c r="E1003" s="1069"/>
      <c r="F1003" s="1068"/>
      <c r="G1003" s="1070"/>
      <c r="H1003" s="597"/>
      <c r="I1003" s="597"/>
      <c r="J1003" s="597"/>
      <c r="K1003" s="1068"/>
      <c r="L1003" s="1071"/>
      <c r="M1003" s="1071"/>
      <c r="N1003" s="1072"/>
      <c r="O1003" s="597"/>
      <c r="P1003" s="1068"/>
      <c r="Q1003" s="597"/>
      <c r="R1003" s="1066"/>
      <c r="S1003" s="1067"/>
      <c r="T1003" s="1066"/>
      <c r="U1003" s="1066"/>
      <c r="V1003" s="1066"/>
      <c r="W1003" s="1066"/>
      <c r="X1003" s="1066"/>
      <c r="Y1003" s="1066"/>
      <c r="Z1003" s="1066"/>
      <c r="AA1003" s="1066"/>
      <c r="AB1003" s="1073"/>
      <c r="AC1003" s="1066"/>
      <c r="AD1003" s="1066"/>
      <c r="AE1003" s="1066"/>
      <c r="AF1003" s="1066"/>
      <c r="AG1003" s="1066"/>
      <c r="AH1003" s="1066"/>
      <c r="AI1003" s="1066"/>
      <c r="AJ1003" s="1066"/>
      <c r="AK1003" s="1066"/>
      <c r="AL1003" s="1066"/>
      <c r="AM1003" s="1066"/>
      <c r="AN1003" s="1066"/>
      <c r="AO1003" s="1066"/>
      <c r="AP1003" s="1066"/>
      <c r="AQ1003" s="1066"/>
      <c r="AR1003" s="1066"/>
      <c r="AS1003" s="1066"/>
      <c r="AT1003" s="1066"/>
      <c r="AU1003" s="1066"/>
      <c r="AV1003" s="1066"/>
      <c r="AW1003" s="1066"/>
      <c r="AX1003" s="1066"/>
      <c r="AY1003" s="1066"/>
      <c r="AZ1003" s="1066"/>
      <c r="BA1003" s="1066"/>
      <c r="BB1003" s="597"/>
      <c r="BC1003" s="597"/>
      <c r="BD1003" s="597"/>
      <c r="BE1003" s="597"/>
      <c r="BF1003" s="597"/>
      <c r="BG1003" s="597"/>
      <c r="BH1003" s="597"/>
      <c r="BI1003" s="597"/>
      <c r="BJ1003" s="597"/>
      <c r="BK1003" s="597"/>
      <c r="BL1003" s="597"/>
      <c r="BM1003" s="597"/>
      <c r="BN1003" s="597"/>
      <c r="BO1003" s="597"/>
      <c r="BP1003" s="597"/>
      <c r="BQ1003" s="597"/>
      <c r="BR1003" s="597"/>
      <c r="BS1003" s="597"/>
      <c r="BT1003" s="597"/>
    </row>
    <row r="1004" ht="12.75" customHeight="1">
      <c r="A1004" s="583"/>
      <c r="B1004" s="597"/>
      <c r="C1004" s="597"/>
      <c r="D1004" s="597"/>
      <c r="E1004" s="1069"/>
      <c r="F1004" s="1068"/>
      <c r="G1004" s="1070"/>
      <c r="H1004" s="597"/>
      <c r="I1004" s="597"/>
      <c r="J1004" s="597"/>
      <c r="K1004" s="1068"/>
      <c r="L1004" s="1071"/>
      <c r="M1004" s="1071"/>
      <c r="N1004" s="1072"/>
      <c r="O1004" s="597"/>
      <c r="P1004" s="1068"/>
      <c r="Q1004" s="597"/>
      <c r="R1004" s="1066"/>
      <c r="S1004" s="1067"/>
      <c r="T1004" s="1066"/>
      <c r="U1004" s="1066"/>
      <c r="V1004" s="1066"/>
      <c r="W1004" s="1066"/>
      <c r="X1004" s="1066"/>
      <c r="Y1004" s="1066"/>
      <c r="Z1004" s="1066"/>
      <c r="AA1004" s="1066"/>
      <c r="AB1004" s="1073"/>
      <c r="AC1004" s="1066"/>
      <c r="AD1004" s="1066"/>
      <c r="AE1004" s="1066"/>
      <c r="AF1004" s="1066"/>
      <c r="AG1004" s="1066"/>
      <c r="AH1004" s="1066"/>
      <c r="AI1004" s="1066"/>
      <c r="AJ1004" s="1066"/>
      <c r="AK1004" s="1066"/>
      <c r="AL1004" s="1066"/>
      <c r="AM1004" s="1066"/>
      <c r="AN1004" s="1066"/>
      <c r="AO1004" s="1066"/>
      <c r="AP1004" s="1066"/>
      <c r="AQ1004" s="1066"/>
      <c r="AR1004" s="1066"/>
      <c r="AS1004" s="1066"/>
      <c r="AT1004" s="1066"/>
      <c r="AU1004" s="1066"/>
      <c r="AV1004" s="1066"/>
      <c r="AW1004" s="1066"/>
      <c r="AX1004" s="1066"/>
      <c r="AY1004" s="1066"/>
      <c r="AZ1004" s="1066"/>
      <c r="BA1004" s="1066"/>
      <c r="BB1004" s="597"/>
      <c r="BC1004" s="597"/>
      <c r="BD1004" s="597"/>
      <c r="BE1004" s="597"/>
      <c r="BF1004" s="597"/>
      <c r="BG1004" s="597"/>
      <c r="BH1004" s="597"/>
      <c r="BI1004" s="597"/>
      <c r="BJ1004" s="597"/>
      <c r="BK1004" s="597"/>
      <c r="BL1004" s="597"/>
      <c r="BM1004" s="597"/>
      <c r="BN1004" s="597"/>
      <c r="BO1004" s="597"/>
      <c r="BP1004" s="597"/>
      <c r="BQ1004" s="597"/>
      <c r="BR1004" s="597"/>
      <c r="BS1004" s="597"/>
      <c r="BT1004" s="597"/>
    </row>
    <row r="1005" ht="12.75" customHeight="1">
      <c r="A1005" s="583"/>
      <c r="B1005" s="597"/>
      <c r="C1005" s="597"/>
      <c r="D1005" s="597"/>
      <c r="E1005" s="1069"/>
      <c r="F1005" s="1068"/>
      <c r="G1005" s="1070"/>
      <c r="H1005" s="597"/>
      <c r="I1005" s="597"/>
      <c r="J1005" s="597"/>
      <c r="K1005" s="1068"/>
      <c r="L1005" s="1071"/>
      <c r="M1005" s="1071"/>
      <c r="N1005" s="1072"/>
      <c r="O1005" s="597"/>
      <c r="P1005" s="1068"/>
      <c r="Q1005" s="597"/>
      <c r="R1005" s="1066"/>
      <c r="S1005" s="1067"/>
      <c r="T1005" s="1066"/>
      <c r="U1005" s="1066"/>
      <c r="V1005" s="1066"/>
      <c r="W1005" s="1066"/>
      <c r="X1005" s="1066"/>
      <c r="Y1005" s="1066"/>
      <c r="Z1005" s="1066"/>
      <c r="AA1005" s="1066"/>
      <c r="AB1005" s="1073"/>
      <c r="AC1005" s="1066"/>
      <c r="AD1005" s="1066"/>
      <c r="AE1005" s="1066"/>
      <c r="AF1005" s="1066"/>
      <c r="AG1005" s="1066"/>
      <c r="AH1005" s="1066"/>
      <c r="AI1005" s="1066"/>
      <c r="AJ1005" s="1066"/>
      <c r="AK1005" s="1066"/>
      <c r="AL1005" s="1066"/>
      <c r="AM1005" s="1066"/>
      <c r="AN1005" s="1066"/>
      <c r="AO1005" s="1066"/>
      <c r="AP1005" s="1066"/>
      <c r="AQ1005" s="1066"/>
      <c r="AR1005" s="1066"/>
      <c r="AS1005" s="1066"/>
      <c r="AT1005" s="1066"/>
      <c r="AU1005" s="1066"/>
      <c r="AV1005" s="1066"/>
      <c r="AW1005" s="1066"/>
      <c r="AX1005" s="1066"/>
      <c r="AY1005" s="1066"/>
      <c r="AZ1005" s="1066"/>
      <c r="BA1005" s="1066"/>
      <c r="BB1005" s="597"/>
      <c r="BC1005" s="597"/>
      <c r="BD1005" s="597"/>
      <c r="BE1005" s="597"/>
      <c r="BF1005" s="597"/>
      <c r="BG1005" s="597"/>
      <c r="BH1005" s="597"/>
      <c r="BI1005" s="597"/>
      <c r="BJ1005" s="597"/>
      <c r="BK1005" s="597"/>
      <c r="BL1005" s="597"/>
      <c r="BM1005" s="597"/>
      <c r="BN1005" s="597"/>
      <c r="BO1005" s="597"/>
      <c r="BP1005" s="597"/>
      <c r="BQ1005" s="597"/>
      <c r="BR1005" s="597"/>
      <c r="BS1005" s="597"/>
      <c r="BT1005" s="597"/>
    </row>
    <row r="1006" ht="12.75" customHeight="1">
      <c r="A1006" s="583"/>
      <c r="B1006" s="597"/>
      <c r="C1006" s="597"/>
      <c r="D1006" s="597"/>
      <c r="E1006" s="1069"/>
      <c r="F1006" s="1068"/>
      <c r="G1006" s="1070"/>
      <c r="H1006" s="597"/>
      <c r="I1006" s="597"/>
      <c r="J1006" s="597"/>
      <c r="K1006" s="1068"/>
      <c r="L1006" s="1071"/>
      <c r="M1006" s="1071"/>
      <c r="N1006" s="1072"/>
      <c r="O1006" s="597"/>
      <c r="P1006" s="1068"/>
      <c r="Q1006" s="597"/>
      <c r="R1006" s="1066"/>
      <c r="S1006" s="1067"/>
      <c r="T1006" s="1066"/>
      <c r="U1006" s="1066"/>
      <c r="V1006" s="1066"/>
      <c r="W1006" s="1066"/>
      <c r="X1006" s="1066"/>
      <c r="Y1006" s="1066"/>
      <c r="Z1006" s="1066"/>
      <c r="AA1006" s="1066"/>
      <c r="AB1006" s="1073"/>
      <c r="AC1006" s="1066"/>
      <c r="AD1006" s="1066"/>
      <c r="AE1006" s="1066"/>
      <c r="AF1006" s="1066"/>
      <c r="AG1006" s="1066"/>
      <c r="AH1006" s="1066"/>
      <c r="AI1006" s="1066"/>
      <c r="AJ1006" s="1066"/>
      <c r="AK1006" s="1066"/>
      <c r="AL1006" s="1066"/>
      <c r="AM1006" s="1066"/>
      <c r="AN1006" s="1066"/>
      <c r="AO1006" s="1066"/>
      <c r="AP1006" s="1066"/>
      <c r="AQ1006" s="1066"/>
      <c r="AR1006" s="1066"/>
      <c r="AS1006" s="1066"/>
      <c r="AT1006" s="1066"/>
      <c r="AU1006" s="1066"/>
      <c r="AV1006" s="1066"/>
      <c r="AW1006" s="1066"/>
      <c r="AX1006" s="1066"/>
      <c r="AY1006" s="1066"/>
      <c r="AZ1006" s="1066"/>
      <c r="BA1006" s="1066"/>
      <c r="BB1006" s="597"/>
      <c r="BC1006" s="597"/>
      <c r="BD1006" s="597"/>
      <c r="BE1006" s="597"/>
      <c r="BF1006" s="597"/>
      <c r="BG1006" s="597"/>
      <c r="BH1006" s="597"/>
      <c r="BI1006" s="597"/>
      <c r="BJ1006" s="597"/>
      <c r="BK1006" s="597"/>
      <c r="BL1006" s="597"/>
      <c r="BM1006" s="597"/>
      <c r="BN1006" s="597"/>
      <c r="BO1006" s="597"/>
      <c r="BP1006" s="597"/>
      <c r="BQ1006" s="597"/>
      <c r="BR1006" s="597"/>
      <c r="BS1006" s="597"/>
      <c r="BT1006" s="597"/>
    </row>
    <row r="1007" ht="12.75" customHeight="1">
      <c r="A1007" s="583"/>
      <c r="B1007" s="597"/>
      <c r="C1007" s="597"/>
      <c r="D1007" s="597"/>
      <c r="E1007" s="1069"/>
      <c r="F1007" s="1068"/>
      <c r="G1007" s="1070"/>
      <c r="H1007" s="597"/>
      <c r="I1007" s="597"/>
      <c r="J1007" s="597"/>
      <c r="K1007" s="1068"/>
      <c r="L1007" s="1071"/>
      <c r="M1007" s="1071"/>
      <c r="N1007" s="1072"/>
      <c r="O1007" s="597"/>
      <c r="P1007" s="1068"/>
      <c r="Q1007" s="597"/>
      <c r="R1007" s="1066"/>
      <c r="S1007" s="1067"/>
      <c r="T1007" s="1066"/>
      <c r="U1007" s="1066"/>
      <c r="V1007" s="1066"/>
      <c r="W1007" s="1066"/>
      <c r="X1007" s="1066"/>
      <c r="Y1007" s="1066"/>
      <c r="Z1007" s="1066"/>
      <c r="AA1007" s="1066"/>
      <c r="AB1007" s="1073"/>
      <c r="AC1007" s="1066"/>
      <c r="AD1007" s="1066"/>
      <c r="AE1007" s="1066"/>
      <c r="AF1007" s="1066"/>
      <c r="AG1007" s="1066"/>
      <c r="AH1007" s="1066"/>
      <c r="AI1007" s="1066"/>
      <c r="AJ1007" s="1066"/>
      <c r="AK1007" s="1066"/>
      <c r="AL1007" s="1066"/>
      <c r="AM1007" s="1066"/>
      <c r="AN1007" s="1066"/>
      <c r="AO1007" s="1066"/>
      <c r="AP1007" s="1066"/>
      <c r="AQ1007" s="1066"/>
      <c r="AR1007" s="1066"/>
      <c r="AS1007" s="1066"/>
      <c r="AT1007" s="1066"/>
      <c r="AU1007" s="1066"/>
      <c r="AV1007" s="1066"/>
      <c r="AW1007" s="1066"/>
      <c r="AX1007" s="1066"/>
      <c r="AY1007" s="1066"/>
      <c r="AZ1007" s="1066"/>
      <c r="BA1007" s="1066"/>
      <c r="BB1007" s="597"/>
      <c r="BC1007" s="597"/>
      <c r="BD1007" s="597"/>
      <c r="BE1007" s="597"/>
      <c r="BF1007" s="597"/>
      <c r="BG1007" s="597"/>
      <c r="BH1007" s="597"/>
      <c r="BI1007" s="597"/>
      <c r="BJ1007" s="597"/>
      <c r="BK1007" s="597"/>
      <c r="BL1007" s="597"/>
      <c r="BM1007" s="597"/>
      <c r="BN1007" s="597"/>
      <c r="BO1007" s="597"/>
      <c r="BP1007" s="597"/>
      <c r="BQ1007" s="597"/>
      <c r="BR1007" s="597"/>
      <c r="BS1007" s="597"/>
      <c r="BT1007" s="597"/>
    </row>
    <row r="1008" ht="12.75" customHeight="1">
      <c r="A1008" s="583"/>
      <c r="B1008" s="597"/>
      <c r="C1008" s="597"/>
      <c r="D1008" s="597"/>
      <c r="E1008" s="1069"/>
      <c r="F1008" s="1068"/>
      <c r="G1008" s="1070"/>
      <c r="H1008" s="597"/>
      <c r="I1008" s="597"/>
      <c r="J1008" s="597"/>
      <c r="K1008" s="1068"/>
      <c r="L1008" s="1071"/>
      <c r="M1008" s="1071"/>
      <c r="N1008" s="1072"/>
      <c r="O1008" s="597"/>
      <c r="P1008" s="1068"/>
      <c r="Q1008" s="597"/>
      <c r="R1008" s="1066"/>
      <c r="S1008" s="1067"/>
      <c r="T1008" s="1066"/>
      <c r="U1008" s="1066"/>
      <c r="V1008" s="1066"/>
      <c r="W1008" s="1066"/>
      <c r="X1008" s="1066"/>
      <c r="Y1008" s="1066"/>
      <c r="Z1008" s="1066"/>
      <c r="AA1008" s="1066"/>
      <c r="AB1008" s="1073"/>
      <c r="AC1008" s="1066"/>
      <c r="AD1008" s="1066"/>
      <c r="AE1008" s="1066"/>
      <c r="AF1008" s="1066"/>
      <c r="AG1008" s="1066"/>
      <c r="AH1008" s="1066"/>
      <c r="AI1008" s="1066"/>
      <c r="AJ1008" s="1066"/>
      <c r="AK1008" s="1066"/>
      <c r="AL1008" s="1066"/>
      <c r="AM1008" s="1066"/>
      <c r="AN1008" s="1066"/>
      <c r="AO1008" s="1066"/>
      <c r="AP1008" s="1066"/>
      <c r="AQ1008" s="1066"/>
      <c r="AR1008" s="1066"/>
      <c r="AS1008" s="1066"/>
      <c r="AT1008" s="1066"/>
      <c r="AU1008" s="1066"/>
      <c r="AV1008" s="1066"/>
      <c r="AW1008" s="1066"/>
      <c r="AX1008" s="1066"/>
      <c r="AY1008" s="1066"/>
      <c r="AZ1008" s="1066"/>
      <c r="BA1008" s="1066"/>
      <c r="BB1008" s="597"/>
      <c r="BC1008" s="597"/>
      <c r="BD1008" s="597"/>
      <c r="BE1008" s="597"/>
      <c r="BF1008" s="597"/>
      <c r="BG1008" s="597"/>
      <c r="BH1008" s="597"/>
      <c r="BI1008" s="597"/>
      <c r="BJ1008" s="597"/>
      <c r="BK1008" s="597"/>
      <c r="BL1008" s="597"/>
      <c r="BM1008" s="597"/>
      <c r="BN1008" s="597"/>
      <c r="BO1008" s="597"/>
      <c r="BP1008" s="597"/>
      <c r="BQ1008" s="597"/>
      <c r="BR1008" s="597"/>
      <c r="BS1008" s="597"/>
      <c r="BT1008" s="597"/>
    </row>
    <row r="1009" ht="12.75" customHeight="1">
      <c r="A1009" s="583"/>
      <c r="B1009" s="597"/>
      <c r="C1009" s="597"/>
      <c r="D1009" s="597"/>
      <c r="E1009" s="1069"/>
      <c r="F1009" s="1068"/>
      <c r="G1009" s="1070"/>
      <c r="H1009" s="597"/>
      <c r="I1009" s="597"/>
      <c r="J1009" s="597"/>
      <c r="K1009" s="1068"/>
      <c r="L1009" s="1071"/>
      <c r="M1009" s="1071"/>
      <c r="N1009" s="1072"/>
      <c r="O1009" s="597"/>
      <c r="P1009" s="1068"/>
      <c r="Q1009" s="597"/>
      <c r="R1009" s="1066"/>
      <c r="S1009" s="1067"/>
      <c r="T1009" s="1066"/>
      <c r="U1009" s="1066"/>
      <c r="V1009" s="1066"/>
      <c r="W1009" s="1066"/>
      <c r="X1009" s="1066"/>
      <c r="Y1009" s="1066"/>
      <c r="Z1009" s="1066"/>
      <c r="AA1009" s="1066"/>
      <c r="AB1009" s="1073"/>
      <c r="AC1009" s="1066"/>
      <c r="AD1009" s="1066"/>
      <c r="AE1009" s="1066"/>
      <c r="AF1009" s="1066"/>
      <c r="AG1009" s="1066"/>
      <c r="AH1009" s="1066"/>
      <c r="AI1009" s="1066"/>
      <c r="AJ1009" s="1066"/>
      <c r="AK1009" s="1066"/>
      <c r="AL1009" s="1066"/>
      <c r="AM1009" s="1066"/>
      <c r="AN1009" s="1066"/>
      <c r="AO1009" s="1066"/>
      <c r="AP1009" s="1066"/>
      <c r="AQ1009" s="1066"/>
      <c r="AR1009" s="1066"/>
      <c r="AS1009" s="1066"/>
      <c r="AT1009" s="1066"/>
      <c r="AU1009" s="1066"/>
      <c r="AV1009" s="1066"/>
      <c r="AW1009" s="1066"/>
      <c r="AX1009" s="1066"/>
      <c r="AY1009" s="1066"/>
      <c r="AZ1009" s="1066"/>
      <c r="BA1009" s="1066"/>
      <c r="BB1009" s="597"/>
      <c r="BC1009" s="597"/>
      <c r="BD1009" s="597"/>
      <c r="BE1009" s="597"/>
      <c r="BF1009" s="597"/>
      <c r="BG1009" s="597"/>
      <c r="BH1009" s="597"/>
      <c r="BI1009" s="597"/>
      <c r="BJ1009" s="597"/>
      <c r="BK1009" s="597"/>
      <c r="BL1009" s="597"/>
      <c r="BM1009" s="597"/>
      <c r="BN1009" s="597"/>
      <c r="BO1009" s="597"/>
      <c r="BP1009" s="597"/>
      <c r="BQ1009" s="597"/>
      <c r="BR1009" s="597"/>
      <c r="BS1009" s="597"/>
      <c r="BT1009" s="597"/>
    </row>
    <row r="1010" ht="12.75" customHeight="1">
      <c r="A1010" s="583"/>
      <c r="B1010" s="597"/>
      <c r="C1010" s="597"/>
      <c r="D1010" s="597"/>
      <c r="E1010" s="1069"/>
      <c r="F1010" s="1068"/>
      <c r="G1010" s="1070"/>
      <c r="H1010" s="597"/>
      <c r="I1010" s="597"/>
      <c r="J1010" s="597"/>
      <c r="K1010" s="1068"/>
      <c r="L1010" s="1071"/>
      <c r="M1010" s="1071"/>
      <c r="N1010" s="1072"/>
      <c r="O1010" s="597"/>
      <c r="P1010" s="1068"/>
      <c r="Q1010" s="597"/>
      <c r="R1010" s="1066"/>
      <c r="S1010" s="1067"/>
      <c r="T1010" s="1066"/>
      <c r="U1010" s="1066"/>
      <c r="V1010" s="1066"/>
      <c r="W1010" s="1066"/>
      <c r="X1010" s="1066"/>
      <c r="Y1010" s="1066"/>
      <c r="Z1010" s="1066"/>
      <c r="AA1010" s="1066"/>
      <c r="AB1010" s="1073"/>
      <c r="AC1010" s="1066"/>
      <c r="AD1010" s="1066"/>
      <c r="AE1010" s="1066"/>
      <c r="AF1010" s="1066"/>
      <c r="AG1010" s="1066"/>
      <c r="AH1010" s="1066"/>
      <c r="AI1010" s="1066"/>
      <c r="AJ1010" s="1066"/>
      <c r="AK1010" s="1066"/>
      <c r="AL1010" s="1066"/>
      <c r="AM1010" s="1066"/>
      <c r="AN1010" s="1066"/>
      <c r="AO1010" s="1066"/>
      <c r="AP1010" s="1066"/>
      <c r="AQ1010" s="1066"/>
      <c r="AR1010" s="1066"/>
      <c r="AS1010" s="1066"/>
      <c r="AT1010" s="1066"/>
      <c r="AU1010" s="1066"/>
      <c r="AV1010" s="1066"/>
      <c r="AW1010" s="1066"/>
      <c r="AX1010" s="1066"/>
      <c r="AY1010" s="1066"/>
      <c r="AZ1010" s="1066"/>
      <c r="BA1010" s="1066"/>
      <c r="BB1010" s="597"/>
      <c r="BC1010" s="597"/>
      <c r="BD1010" s="597"/>
      <c r="BE1010" s="597"/>
      <c r="BF1010" s="597"/>
      <c r="BG1010" s="597"/>
      <c r="BH1010" s="597"/>
      <c r="BI1010" s="597"/>
      <c r="BJ1010" s="597"/>
      <c r="BK1010" s="597"/>
      <c r="BL1010" s="597"/>
      <c r="BM1010" s="597"/>
      <c r="BN1010" s="597"/>
      <c r="BO1010" s="597"/>
      <c r="BP1010" s="597"/>
      <c r="BQ1010" s="597"/>
      <c r="BR1010" s="597"/>
      <c r="BS1010" s="597"/>
      <c r="BT1010" s="597"/>
    </row>
  </sheetData>
  <autoFilter ref="$A$1:$BH$929"/>
  <mergeCells count="18">
    <mergeCell ref="G11:G12"/>
    <mergeCell ref="H11:H12"/>
    <mergeCell ref="I11:I12"/>
    <mergeCell ref="J11:J12"/>
    <mergeCell ref="K11:K12"/>
    <mergeCell ref="M11:P11"/>
    <mergeCell ref="Q11:Q12"/>
    <mergeCell ref="R11:T11"/>
    <mergeCell ref="V11:W11"/>
    <mergeCell ref="AJ11:AJ12"/>
    <mergeCell ref="B2:AK7"/>
    <mergeCell ref="K8:AK9"/>
    <mergeCell ref="B11:B12"/>
    <mergeCell ref="C11:C12"/>
    <mergeCell ref="D11:D12"/>
    <mergeCell ref="E11:E12"/>
    <mergeCell ref="F11:F12"/>
    <mergeCell ref="AK11:AK12"/>
  </mergeCells>
  <conditionalFormatting sqref="D15:D440 D442:D730">
    <cfRule type="cellIs" dxfId="0" priority="1" operator="equal">
      <formula>"Takeoff"</formula>
    </cfRule>
  </conditionalFormatting>
  <conditionalFormatting sqref="AR770:AR806">
    <cfRule type="expression" dxfId="1" priority="2">
      <formula>$AR770=0</formula>
    </cfRule>
  </conditionalFormatting>
  <conditionalFormatting sqref="Q767">
    <cfRule type="expression" dxfId="2" priority="3">
      <formula>$Q767=TRUE</formula>
    </cfRule>
  </conditionalFormatting>
  <conditionalFormatting sqref="Q767">
    <cfRule type="expression" dxfId="3" priority="4">
      <formula>$Q767=False</formula>
    </cfRule>
  </conditionalFormatting>
  <conditionalFormatting sqref="AD770:AD830">
    <cfRule type="expression" dxfId="1" priority="5">
      <formula>$AD770=0</formula>
    </cfRule>
  </conditionalFormatting>
  <conditionalFormatting sqref="AE767">
    <cfRule type="expression" dxfId="2" priority="6">
      <formula>$AE767=TRUE</formula>
    </cfRule>
  </conditionalFormatting>
  <conditionalFormatting sqref="AE767">
    <cfRule type="expression" dxfId="3" priority="7">
      <formula>$AE767=False</formula>
    </cfRule>
  </conditionalFormatting>
  <conditionalFormatting sqref="P770:P890">
    <cfRule type="expression" dxfId="1" priority="8">
      <formula>$P770=0</formula>
    </cfRule>
  </conditionalFormatting>
  <conditionalFormatting sqref="P768">
    <cfRule type="expression" dxfId="0" priority="9">
      <formula>$P768&gt;0</formula>
    </cfRule>
  </conditionalFormatting>
  <conditionalFormatting sqref="AD768">
    <cfRule type="expression" dxfId="0" priority="10">
      <formula>$AD768&gt;0</formula>
    </cfRule>
  </conditionalFormatting>
  <conditionalFormatting sqref="AR768">
    <cfRule type="expression" dxfId="0" priority="11">
      <formula>$AR768&gt;0</formula>
    </cfRule>
  </conditionalFormatting>
  <conditionalFormatting sqref="AS767">
    <cfRule type="expression" dxfId="2" priority="12">
      <formula>$AS767=TRUE</formula>
    </cfRule>
  </conditionalFormatting>
  <conditionalFormatting sqref="AS767">
    <cfRule type="expression" dxfId="3" priority="13">
      <formula>$AS767=False</formula>
    </cfRule>
  </conditionalFormatting>
  <conditionalFormatting sqref="P16:P730">
    <cfRule type="expression" dxfId="4" priority="14">
      <formula>AND($P16=0,$P16&lt;&gt;"")</formula>
    </cfRule>
  </conditionalFormatting>
  <conditionalFormatting sqref="A16:A244 B16:W730 A269:A445 A462:A526">
    <cfRule type="expression" dxfId="5" priority="15">
      <formula>AND($P16=0,$P16&lt;&gt;"")</formula>
    </cfRule>
  </conditionalFormatting>
  <dataValidations>
    <dataValidation type="list" allowBlank="1" showDropDown="1" showErrorMessage="1" sqref="D99:D100 D104:D105">
      <formula1>Pricing!$R$220:$R$338</formula1>
    </dataValidation>
    <dataValidation type="list" allowBlank="1" showDropDown="1" showErrorMessage="1" sqref="A14:A732">
      <formula1>"1,Fl,Ma,Gu,Dp"</formula1>
    </dataValidation>
    <dataValidation type="list" allowBlank="1" showDropDown="1" showErrorMessage="1" sqref="D536:D538">
      <formula1>Template!$AF$764:$AF$822</formula1>
    </dataValidation>
    <dataValidation type="list" allowBlank="1" showDropDown="1" showErrorMessage="1" sqref="D544:D545">
      <formula1>Template!$AF$767:$AF$825</formula1>
    </dataValidation>
    <dataValidation type="list" allowBlank="1" showDropDown="1" showErrorMessage="1" sqref="D16:D39 D57:D98 D116:D186 D188:D212 D217:D307 D311 D315:D368 D370:D434 D436:D528 D603:D604">
      <formula1>Template!$R$770:$R$888</formula1>
    </dataValidation>
    <dataValidation type="list" allowBlank="1" showDropDown="1" showErrorMessage="1" sqref="D673:D674">
      <formula1>Template!$R$730:$R$841</formula1>
    </dataValidation>
    <dataValidation type="list" allowBlank="1" showDropDown="1" showErrorMessage="1" sqref="D585:D586 D642:D643 D707:D708">
      <formula1>Template!$AF$766:$AF$824</formula1>
    </dataValidation>
    <dataValidation type="list" allowBlank="1" showDropDown="1" showErrorMessage="1" sqref="D187 D369 D435">
      <formula1>Template!$R$769:$R$887</formula1>
    </dataValidation>
    <dataValidation type="list" allowBlank="1" showDropDown="1" showErrorMessage="1" sqref="F73 F81 F251 F259 F267 F342">
      <formula1>'Audit Check'!$L$2:$L$47</formula1>
    </dataValidation>
    <dataValidation type="list" allowBlank="1" showDropDown="1" showErrorMessage="1" sqref="D540:D543">
      <formula1>Template!$AF$760:$AF$818</formula1>
    </dataValidation>
    <dataValidation type="list" allowBlank="1" showDropDown="1" showErrorMessage="1" sqref="D15">
      <formula1>Template!$R$770:$R$889</formula1>
    </dataValidation>
    <dataValidation type="list" allowBlank="1" showDropDown="1" showErrorMessage="1" sqref="D40:D56 D101:D103 D115">
      <formula1>Pricing!$R$222:$R$340</formula1>
    </dataValidation>
    <dataValidation type="list" allowBlank="1" showDropDown="1" showErrorMessage="1" sqref="D548:D552">
      <formula1>Template!$AF$757:$AF$815</formula1>
    </dataValidation>
    <dataValidation type="list" allowBlank="1" showDropDown="1" showErrorMessage="1" sqref="J15:J440 J442:J730">
      <formula1>'Audit Check'!$O$2:$O$3</formula1>
    </dataValidation>
    <dataValidation type="list" allowBlank="1" showDropDown="1" showErrorMessage="1" sqref="D529:D535 D539 D546:D547 D553:D584 D587:D602 D605:D641 D644:D672 D675:D706 D709:D730">
      <formula1>Template!$AF$768:$AF$826</formula1>
    </dataValidation>
    <dataValidation type="list" allowBlank="1" showDropDown="1" showErrorMessage="1" sqref="D213:D216 D308:D310">
      <formula1>Template!$R$766:$R$884</formula1>
    </dataValidation>
    <dataValidation type="list" allowBlank="1" showDropDown="1" showErrorMessage="1" sqref="D106:D114">
      <formula1>'Acce Source'!$R$247:$R$365</formula1>
    </dataValidation>
    <dataValidation type="list" allowBlank="1" showDropDown="1" sqref="F64 F67 F69:F72 F74:F75 F77:F80 F82 F234:F235 F245 F247:F250 F252:F253 F255:F258 F260:F261 F263:F266 F268 F333:F334 F336 F338:F341 F343 F399:F400 F527:F560 F567 F574 F580 F588 F618 F625 F637 F645 F660 F667 F673:F688 F695 F702 F710 F725">
      <formula1>'Audit Check'!$K$2:$K$47</formula1>
    </dataValidation>
    <dataValidation type="list" allowBlank="1" showDropDown="1" showErrorMessage="1" sqref="D312:D314">
      <formula1>Template!$R$762:$R$880</formula1>
    </dataValidation>
  </dataValidations>
  <printOptions/>
  <pageMargins bottom="0.75" footer="0.0" header="0.0" left="0.7" right="0.7" top="0.75"/>
  <pageSetup paperSize="9"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fitToPage="1"/>
  </sheetPr>
  <sheetViews>
    <sheetView workbookViewId="0">
      <pane ySplit="13.0" topLeftCell="A14" activePane="bottomLeft" state="frozen"/>
      <selection activeCell="B15" sqref="B15" pane="bottomLeft"/>
    </sheetView>
  </sheetViews>
  <sheetFormatPr customHeight="1" defaultColWidth="14.43" defaultRowHeight="15.0" outlineLevelCol="2"/>
  <cols>
    <col customWidth="1" min="1" max="1" width="3.14"/>
    <col customWidth="1" min="2" max="2" width="12.57"/>
    <col customWidth="1" min="3" max="3" width="70.57"/>
    <col customWidth="1" min="4" max="4" width="20.57"/>
    <col customWidth="1" min="5" max="5" width="9.86"/>
    <col customWidth="1" min="6" max="6" width="9.57" outlineLevel="1"/>
    <col customWidth="1" min="7" max="7" width="15.29" outlineLevel="1"/>
    <col customWidth="1" min="8" max="8" width="8.29" outlineLevel="1"/>
    <col customWidth="1" min="9" max="9" width="20.57" outlineLevel="2"/>
    <col customWidth="1" min="10" max="10" width="15.71" outlineLevel="2"/>
    <col customWidth="1" min="11" max="11" width="14.71" outlineLevel="1"/>
    <col customWidth="1" min="12" max="12" width="11.71" outlineLevel="1"/>
    <col customWidth="1" min="13" max="13" width="12.29" outlineLevel="1"/>
    <col customWidth="1" min="14" max="14" width="14.71" outlineLevel="1"/>
    <col customWidth="1" min="15" max="15" width="10.0" outlineLevel="1"/>
    <col customWidth="1" min="16" max="16" width="11.43" outlineLevel="1"/>
    <col customWidth="1" min="17" max="17" width="18.0"/>
    <col customWidth="1" min="18" max="18" width="21.29" outlineLevel="1"/>
    <col customWidth="1" min="19" max="19" width="13.29" outlineLevel="1"/>
    <col customWidth="1" min="20" max="20" width="14.71" outlineLevel="1"/>
    <col customWidth="1" min="21" max="21" width="14.86" outlineLevel="1"/>
    <col customWidth="1" min="22" max="22" width="17.29" outlineLevel="1"/>
    <col customWidth="1" min="23" max="23" width="19.43" outlineLevel="1"/>
    <col customWidth="1" hidden="1" min="24" max="24" width="21.14" outlineLevel="1"/>
    <col customWidth="1" hidden="1" min="25" max="25" width="10.0" outlineLevel="1"/>
    <col customWidth="1" hidden="1" min="26" max="26" width="15.43" outlineLevel="1"/>
    <col customWidth="1" hidden="1" min="27" max="27" width="11.14" outlineLevel="1"/>
    <col customWidth="1" hidden="1" min="28" max="28" width="16.14" outlineLevel="1"/>
    <col customWidth="1" hidden="1" min="29" max="29" width="16.86" outlineLevel="1"/>
    <col customWidth="1" hidden="1" min="30" max="31" width="17.29" outlineLevel="1"/>
    <col customWidth="1" hidden="1" min="32" max="32" width="20.57" outlineLevel="1"/>
    <col customWidth="1" hidden="1" min="33" max="33" width="14.57" outlineLevel="1"/>
    <col customWidth="1" hidden="1" min="34" max="34" width="15.29" outlineLevel="1"/>
    <col customWidth="1" hidden="1" min="35" max="35" width="8.57" outlineLevel="1"/>
    <col customWidth="1" hidden="1" min="36" max="36" width="19.43"/>
    <col customWidth="1" hidden="1" min="37" max="38" width="21.14"/>
    <col customWidth="1" hidden="1" min="39" max="39" width="14.0"/>
    <col customWidth="1" min="40" max="40" width="14.29"/>
    <col customWidth="1" min="41" max="41" width="20.57"/>
    <col customWidth="1" min="42" max="42" width="11.57"/>
    <col customWidth="1" min="43" max="43" width="17.43"/>
    <col customWidth="1" min="44" max="44" width="20.0"/>
    <col customWidth="1" min="45" max="45" width="7.43"/>
    <col customWidth="1" min="46" max="46" width="13.43"/>
    <col customWidth="1" min="47" max="47" width="7.86"/>
    <col customWidth="1" min="48" max="48" width="5.86"/>
    <col customWidth="1" min="49" max="49" width="19.43"/>
    <col customWidth="1" min="50" max="50" width="21.14"/>
    <col customWidth="1" min="51" max="51" width="7.0"/>
    <col customWidth="1" min="52" max="52" width="10.14"/>
    <col customWidth="1" min="53" max="72" width="9.14"/>
  </cols>
  <sheetData>
    <row r="1" ht="12.75" customHeight="1">
      <c r="A1" s="1074"/>
      <c r="B1" s="584"/>
      <c r="C1" s="584"/>
      <c r="D1" s="584"/>
      <c r="E1" s="585"/>
      <c r="F1" s="1075"/>
      <c r="G1" s="587"/>
      <c r="H1" s="586"/>
      <c r="I1" s="584"/>
      <c r="J1" s="584"/>
      <c r="K1" s="586"/>
      <c r="L1" s="588"/>
      <c r="M1" s="588"/>
      <c r="N1" s="589"/>
      <c r="O1" s="584"/>
      <c r="P1" s="586"/>
      <c r="Q1" s="590"/>
      <c r="R1" s="591" t="str">
        <f>IFERROR(
  IF(B1="", "", VLOOKUP(B1, Data!$B$2:$K$905, 9, FALSE)),
  ""
)</f>
        <v/>
      </c>
      <c r="S1" s="592"/>
      <c r="T1" s="593"/>
      <c r="U1" s="591" t="str">
        <f>IFERROR(
  IF(B1="", "", VLOOKUP(B1, Data!$B$2:$K$905, 10, FALSE)),
  ""
)
</f>
        <v/>
      </c>
      <c r="V1" s="594"/>
      <c r="W1" s="595"/>
      <c r="X1" s="584"/>
      <c r="Y1" s="595"/>
      <c r="Z1" s="595"/>
      <c r="AA1" s="595"/>
      <c r="AB1" s="354"/>
      <c r="AC1" s="584"/>
      <c r="AD1" s="595"/>
      <c r="AE1" s="595"/>
      <c r="AF1" s="443"/>
      <c r="AG1" s="354"/>
      <c r="AH1" s="595"/>
      <c r="AI1" s="595"/>
      <c r="AJ1" s="595"/>
      <c r="AK1" s="595"/>
      <c r="AL1" s="584"/>
      <c r="AM1" s="596"/>
      <c r="AN1" s="595"/>
      <c r="AO1" s="584"/>
      <c r="AP1" s="584"/>
      <c r="AQ1" s="584"/>
      <c r="AR1" s="584"/>
      <c r="AS1" s="584"/>
      <c r="AT1" s="584"/>
      <c r="AU1" s="584"/>
      <c r="AV1" s="584"/>
      <c r="AW1" s="584"/>
      <c r="AX1" s="584"/>
      <c r="AY1" s="584"/>
      <c r="AZ1" s="584"/>
      <c r="BA1" s="584"/>
      <c r="BB1" s="584"/>
      <c r="BC1" s="584"/>
      <c r="BD1" s="584"/>
      <c r="BE1" s="584"/>
      <c r="BF1" s="584"/>
      <c r="BG1" s="584"/>
      <c r="BH1" s="584"/>
      <c r="BI1" s="597"/>
      <c r="BJ1" s="597"/>
      <c r="BK1" s="597"/>
      <c r="BL1" s="597"/>
      <c r="BM1" s="597"/>
      <c r="BN1" s="597"/>
      <c r="BO1" s="597"/>
      <c r="BP1" s="597"/>
      <c r="BQ1" s="597"/>
      <c r="BR1" s="597"/>
      <c r="BS1" s="597"/>
      <c r="BT1" s="597"/>
    </row>
    <row r="2" ht="12.75" customHeight="1">
      <c r="A2" s="1074">
        <v>1.0</v>
      </c>
      <c r="B2" s="598"/>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584"/>
      <c r="AM2" s="596"/>
      <c r="AN2" s="595"/>
      <c r="AO2" s="584"/>
      <c r="AP2" s="584"/>
      <c r="AQ2" s="584"/>
      <c r="AR2" s="584"/>
      <c r="AS2" s="584"/>
      <c r="AT2" s="584"/>
      <c r="AU2" s="584"/>
      <c r="AV2" s="584"/>
      <c r="AW2" s="584"/>
      <c r="AX2" s="584"/>
      <c r="AY2" s="584"/>
      <c r="AZ2" s="584"/>
      <c r="BA2" s="584"/>
      <c r="BB2" s="584"/>
      <c r="BC2" s="584"/>
      <c r="BD2" s="584"/>
      <c r="BE2" s="584"/>
      <c r="BF2" s="584"/>
      <c r="BG2" s="584"/>
      <c r="BH2" s="584"/>
      <c r="BI2" s="597"/>
      <c r="BJ2" s="597"/>
      <c r="BK2" s="597"/>
      <c r="BL2" s="597"/>
      <c r="BM2" s="597"/>
      <c r="BN2" s="597"/>
      <c r="BO2" s="597"/>
      <c r="BP2" s="597"/>
      <c r="BQ2" s="597"/>
      <c r="BR2" s="597"/>
      <c r="BS2" s="597"/>
      <c r="BT2" s="597"/>
    </row>
    <row r="3" ht="12.75" customHeight="1">
      <c r="A3" s="1074">
        <v>1.0</v>
      </c>
      <c r="B3" s="11"/>
      <c r="AL3" s="584"/>
      <c r="AM3" s="596"/>
      <c r="AN3" s="595"/>
      <c r="AO3" s="584"/>
      <c r="AP3" s="584"/>
      <c r="AQ3" s="584"/>
      <c r="AR3" s="584"/>
      <c r="AS3" s="584"/>
      <c r="AT3" s="584"/>
      <c r="AU3" s="584"/>
      <c r="AV3" s="584"/>
      <c r="AW3" s="584"/>
      <c r="AX3" s="584"/>
      <c r="AY3" s="584"/>
      <c r="AZ3" s="584"/>
      <c r="BA3" s="584"/>
      <c r="BB3" s="584"/>
      <c r="BC3" s="584"/>
      <c r="BD3" s="584"/>
      <c r="BE3" s="584"/>
      <c r="BF3" s="584"/>
      <c r="BG3" s="584"/>
      <c r="BH3" s="584"/>
      <c r="BI3" s="597"/>
      <c r="BJ3" s="597"/>
      <c r="BK3" s="597"/>
      <c r="BL3" s="597"/>
      <c r="BM3" s="597"/>
      <c r="BN3" s="597"/>
      <c r="BO3" s="597"/>
      <c r="BP3" s="597"/>
      <c r="BQ3" s="597"/>
      <c r="BR3" s="597"/>
      <c r="BS3" s="597"/>
      <c r="BT3" s="597"/>
    </row>
    <row r="4" ht="12.75" customHeight="1">
      <c r="A4" s="1074">
        <v>1.0</v>
      </c>
      <c r="B4" s="11"/>
      <c r="AL4" s="584"/>
      <c r="AM4" s="596"/>
      <c r="AN4" s="595"/>
      <c r="AO4" s="584"/>
      <c r="AP4" s="584"/>
      <c r="AQ4" s="584"/>
      <c r="AR4" s="584"/>
      <c r="AS4" s="584"/>
      <c r="AT4" s="584"/>
      <c r="AU4" s="584"/>
      <c r="AV4" s="584"/>
      <c r="AW4" s="584"/>
      <c r="AX4" s="584"/>
      <c r="AY4" s="584"/>
      <c r="AZ4" s="584"/>
      <c r="BA4" s="584"/>
      <c r="BB4" s="584"/>
      <c r="BC4" s="584"/>
      <c r="BD4" s="584"/>
      <c r="BE4" s="584"/>
      <c r="BF4" s="584"/>
      <c r="BG4" s="584"/>
      <c r="BH4" s="584"/>
      <c r="BI4" s="597"/>
      <c r="BJ4" s="597"/>
      <c r="BK4" s="597"/>
      <c r="BL4" s="597"/>
      <c r="BM4" s="597"/>
      <c r="BN4" s="597"/>
      <c r="BO4" s="597"/>
      <c r="BP4" s="597"/>
      <c r="BQ4" s="597"/>
      <c r="BR4" s="597"/>
      <c r="BS4" s="597"/>
      <c r="BT4" s="597"/>
    </row>
    <row r="5" ht="12.75" customHeight="1">
      <c r="A5" s="1074">
        <v>1.0</v>
      </c>
      <c r="B5" s="11"/>
      <c r="AL5" s="584"/>
      <c r="AM5" s="596"/>
      <c r="AN5" s="595"/>
      <c r="AO5" s="584"/>
      <c r="AP5" s="584"/>
      <c r="AQ5" s="584"/>
      <c r="AR5" s="584"/>
      <c r="AS5" s="584"/>
      <c r="AT5" s="584"/>
      <c r="AU5" s="584"/>
      <c r="AV5" s="584"/>
      <c r="AW5" s="584"/>
      <c r="AX5" s="584"/>
      <c r="AY5" s="584"/>
      <c r="AZ5" s="584"/>
      <c r="BA5" s="584"/>
      <c r="BB5" s="584"/>
      <c r="BC5" s="584"/>
      <c r="BD5" s="584"/>
      <c r="BE5" s="584"/>
      <c r="BF5" s="584"/>
      <c r="BG5" s="584"/>
      <c r="BH5" s="584"/>
      <c r="BI5" s="597"/>
      <c r="BJ5" s="597"/>
      <c r="BK5" s="597"/>
      <c r="BL5" s="597"/>
      <c r="BM5" s="597"/>
      <c r="BN5" s="597"/>
      <c r="BO5" s="597"/>
      <c r="BP5" s="597"/>
      <c r="BQ5" s="597"/>
      <c r="BR5" s="597"/>
      <c r="BS5" s="597"/>
      <c r="BT5" s="597"/>
    </row>
    <row r="6" ht="12.75" customHeight="1">
      <c r="A6" s="1074">
        <v>1.0</v>
      </c>
      <c r="B6" s="11"/>
      <c r="AL6" s="584"/>
      <c r="AM6" s="596"/>
      <c r="AN6" s="595"/>
      <c r="AO6" s="584"/>
      <c r="AP6" s="584"/>
      <c r="AQ6" s="584"/>
      <c r="AR6" s="584"/>
      <c r="AS6" s="584"/>
      <c r="AT6" s="584"/>
      <c r="AU6" s="584"/>
      <c r="AV6" s="584"/>
      <c r="AW6" s="584"/>
      <c r="AX6" s="584"/>
      <c r="AY6" s="584"/>
      <c r="AZ6" s="584"/>
      <c r="BA6" s="584"/>
      <c r="BB6" s="584"/>
      <c r="BC6" s="584"/>
      <c r="BD6" s="584"/>
      <c r="BE6" s="584"/>
      <c r="BF6" s="584"/>
      <c r="BG6" s="584"/>
      <c r="BH6" s="584"/>
      <c r="BI6" s="597"/>
      <c r="BJ6" s="597"/>
      <c r="BK6" s="597"/>
      <c r="BL6" s="597"/>
      <c r="BM6" s="597"/>
      <c r="BN6" s="597"/>
      <c r="BO6" s="597"/>
      <c r="BP6" s="597"/>
      <c r="BQ6" s="597"/>
      <c r="BR6" s="597"/>
      <c r="BS6" s="597"/>
      <c r="BT6" s="597"/>
    </row>
    <row r="7" ht="12.75" customHeight="1">
      <c r="A7" s="1074">
        <v>1.0</v>
      </c>
      <c r="B7" s="11"/>
      <c r="AL7" s="584"/>
      <c r="AM7" s="596"/>
      <c r="AN7" s="595"/>
      <c r="AO7" s="584"/>
      <c r="AP7" s="584"/>
      <c r="AQ7" s="584"/>
      <c r="AR7" s="584"/>
      <c r="AS7" s="584"/>
      <c r="AT7" s="584"/>
      <c r="AU7" s="584"/>
      <c r="AV7" s="584"/>
      <c r="AW7" s="584"/>
      <c r="AX7" s="584"/>
      <c r="AY7" s="584"/>
      <c r="AZ7" s="584"/>
      <c r="BA7" s="584"/>
      <c r="BB7" s="584"/>
      <c r="BC7" s="584"/>
      <c r="BD7" s="584"/>
      <c r="BE7" s="584"/>
      <c r="BF7" s="584"/>
      <c r="BG7" s="584"/>
      <c r="BH7" s="584"/>
      <c r="BI7" s="597"/>
      <c r="BJ7" s="597"/>
      <c r="BK7" s="597"/>
      <c r="BL7" s="597"/>
      <c r="BM7" s="597"/>
      <c r="BN7" s="597"/>
      <c r="BO7" s="597"/>
      <c r="BP7" s="597"/>
      <c r="BQ7" s="597"/>
      <c r="BR7" s="597"/>
      <c r="BS7" s="597"/>
      <c r="BT7" s="597"/>
    </row>
    <row r="8" ht="12.75" customHeight="1">
      <c r="A8" s="1074">
        <v>1.0</v>
      </c>
      <c r="B8" s="12" t="s">
        <v>0</v>
      </c>
      <c r="C8" s="13" t="str">
        <f>IFERROR(__xludf.DUMMYFUNCTION("IF(
  Pricing!D8="""",
  """",
  IFERROR(
    VLOOKUP(
      Pricing!D8,
      IMPORTRANGE(
        ""1yRKiSiwTOx_Hj9DHPwpMhw9gK8bTY1IeLWGRh62hnCs"",
        ""Masterlist!E:L""
      ),
      2,
      FALSE
    )
  )
)
"),"Lakecrest Townhouses")</f>
        <v>Lakecrest Townhouses</v>
      </c>
      <c r="D8" s="13" t="s">
        <v>619</v>
      </c>
      <c r="E8" s="585"/>
      <c r="F8" s="1075"/>
      <c r="G8" s="587"/>
      <c r="H8" s="586"/>
      <c r="I8" s="584"/>
      <c r="J8" s="584"/>
      <c r="K8" s="14" t="s">
        <v>2</v>
      </c>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584"/>
      <c r="AM8" s="596"/>
      <c r="AN8" s="595"/>
      <c r="AO8" s="584"/>
      <c r="AP8" s="584"/>
      <c r="AQ8" s="584"/>
      <c r="AR8" s="584"/>
      <c r="AS8" s="584"/>
      <c r="AT8" s="584"/>
      <c r="AU8" s="584"/>
      <c r="AV8" s="584"/>
      <c r="AW8" s="584"/>
      <c r="AX8" s="584"/>
      <c r="AY8" s="584"/>
      <c r="AZ8" s="584"/>
      <c r="BA8" s="584"/>
      <c r="BB8" s="584"/>
      <c r="BC8" s="584"/>
      <c r="BD8" s="584"/>
      <c r="BE8" s="584"/>
      <c r="BF8" s="584"/>
      <c r="BG8" s="584"/>
      <c r="BH8" s="584"/>
      <c r="BI8" s="597"/>
      <c r="BJ8" s="597"/>
      <c r="BK8" s="597"/>
      <c r="BL8" s="597"/>
      <c r="BM8" s="597"/>
      <c r="BN8" s="597"/>
      <c r="BO8" s="597"/>
      <c r="BP8" s="597"/>
      <c r="BQ8" s="597"/>
      <c r="BR8" s="597"/>
      <c r="BS8" s="597"/>
      <c r="BT8" s="597"/>
    </row>
    <row r="9" ht="12.75" customHeight="1">
      <c r="A9" s="1074">
        <v>1.0</v>
      </c>
      <c r="B9" s="12" t="s">
        <v>3</v>
      </c>
      <c r="C9" s="1076" t="str">
        <f>IFERROR(__xludf.DUMMYFUNCTION("IF(
  Pricing!D8="""",
  """",
  IFERROR(
    VLOOKUP(
      Pricing!D8,
      IMPORTRANGE(
        ""1yRKiSiwTOx_Hj9DHPwpMhw9gK8bTY1IeLWGRh62hnCs"",
        ""Masterlist!E:L""
      ),
      3,
      FALSE
    )
  )
)
"),"Tauhara Ridge Drive, Richmond Heights, Taupō 3330, New Zealand")</f>
        <v>Tauhara Ridge Drive, Richmond Heights, Taupō 3330, New Zealand</v>
      </c>
      <c r="D9" s="584"/>
      <c r="E9" s="585"/>
      <c r="F9" s="1075"/>
      <c r="G9" s="587"/>
      <c r="H9" s="586"/>
      <c r="I9" s="584"/>
      <c r="J9" s="584"/>
      <c r="K9" s="16"/>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584"/>
      <c r="AM9" s="596"/>
      <c r="AN9" s="595"/>
      <c r="AO9" s="584"/>
      <c r="AP9" s="584"/>
      <c r="AQ9" s="584"/>
      <c r="AR9" s="584"/>
      <c r="AS9" s="584"/>
      <c r="AT9" s="584"/>
      <c r="AU9" s="584"/>
      <c r="AV9" s="584"/>
      <c r="AW9" s="584"/>
      <c r="AX9" s="584"/>
      <c r="AY9" s="584"/>
      <c r="AZ9" s="584"/>
      <c r="BA9" s="584"/>
      <c r="BB9" s="584"/>
      <c r="BC9" s="584"/>
      <c r="BD9" s="584"/>
      <c r="BE9" s="584"/>
      <c r="BF9" s="584"/>
      <c r="BG9" s="584"/>
      <c r="BH9" s="584"/>
      <c r="BI9" s="597"/>
      <c r="BJ9" s="597"/>
      <c r="BK9" s="597"/>
      <c r="BL9" s="597"/>
      <c r="BM9" s="597"/>
      <c r="BN9" s="597"/>
      <c r="BO9" s="597"/>
      <c r="BP9" s="597"/>
      <c r="BQ9" s="597"/>
      <c r="BR9" s="597"/>
      <c r="BS9" s="597"/>
      <c r="BT9" s="597"/>
    </row>
    <row r="10" ht="12.75" customHeight="1">
      <c r="A10" s="1074"/>
      <c r="B10" s="584"/>
      <c r="C10" s="18" t="s">
        <v>4</v>
      </c>
      <c r="D10" s="19" t="s">
        <v>5</v>
      </c>
      <c r="E10" s="599"/>
      <c r="F10" s="1077"/>
      <c r="G10" s="601"/>
      <c r="H10" s="600"/>
      <c r="I10" s="22">
        <v>1.0</v>
      </c>
      <c r="J10" s="584"/>
      <c r="K10" s="586"/>
      <c r="L10" s="588"/>
      <c r="M10" s="588"/>
      <c r="N10" s="589"/>
      <c r="O10" s="584"/>
      <c r="P10" s="586"/>
      <c r="Q10" s="584"/>
      <c r="R10" s="603"/>
      <c r="S10" s="354"/>
      <c r="T10" s="584"/>
      <c r="U10" s="595"/>
      <c r="V10" s="595"/>
      <c r="W10" s="595"/>
      <c r="X10" s="584"/>
      <c r="Y10" s="595"/>
      <c r="Z10" s="595"/>
      <c r="AA10" s="595"/>
      <c r="AB10" s="354"/>
      <c r="AC10" s="584"/>
      <c r="AD10" s="595"/>
      <c r="AE10" s="595"/>
      <c r="AF10" s="443"/>
      <c r="AG10" s="354"/>
      <c r="AH10" s="595"/>
      <c r="AI10" s="595"/>
      <c r="AJ10" s="595"/>
      <c r="AK10" s="595"/>
      <c r="AL10" s="584"/>
      <c r="AM10" s="604"/>
      <c r="AN10" s="605"/>
      <c r="AO10" s="606"/>
      <c r="AP10" s="606"/>
      <c r="AQ10" s="584"/>
      <c r="AR10" s="584"/>
      <c r="AS10" s="584"/>
      <c r="AT10" s="584"/>
      <c r="AU10" s="584"/>
      <c r="AV10" s="584"/>
      <c r="AW10" s="584"/>
      <c r="AX10" s="584"/>
      <c r="AY10" s="584"/>
      <c r="AZ10" s="584"/>
      <c r="BA10" s="584"/>
      <c r="BB10" s="584"/>
      <c r="BC10" s="584"/>
      <c r="BD10" s="584"/>
      <c r="BE10" s="584"/>
      <c r="BF10" s="584"/>
      <c r="BG10" s="584"/>
      <c r="BH10" s="584"/>
      <c r="BI10" s="597"/>
      <c r="BJ10" s="597"/>
      <c r="BK10" s="597"/>
      <c r="BL10" s="597"/>
      <c r="BM10" s="597"/>
      <c r="BN10" s="597"/>
      <c r="BO10" s="597"/>
      <c r="BP10" s="597"/>
      <c r="BQ10" s="597"/>
      <c r="BR10" s="597"/>
      <c r="BS10" s="597"/>
      <c r="BT10" s="597"/>
    </row>
    <row r="11" ht="12.75" customHeight="1">
      <c r="A11" s="1074">
        <v>1.0</v>
      </c>
      <c r="B11" s="23" t="s">
        <v>6</v>
      </c>
      <c r="C11" s="23" t="s">
        <v>7</v>
      </c>
      <c r="D11" s="24" t="s">
        <v>8</v>
      </c>
      <c r="E11" s="607" t="s">
        <v>9</v>
      </c>
      <c r="F11" s="1078" t="s">
        <v>10</v>
      </c>
      <c r="G11" s="24" t="s">
        <v>11</v>
      </c>
      <c r="H11" s="24" t="s">
        <v>12</v>
      </c>
      <c r="I11" s="24" t="s">
        <v>13</v>
      </c>
      <c r="J11" s="26" t="s">
        <v>14</v>
      </c>
      <c r="K11" s="23" t="s">
        <v>15</v>
      </c>
      <c r="L11" s="27" t="s">
        <v>16</v>
      </c>
      <c r="M11" s="28" t="s">
        <v>17</v>
      </c>
      <c r="N11" s="29"/>
      <c r="O11" s="29"/>
      <c r="P11" s="30"/>
      <c r="Q11" s="23" t="s">
        <v>18</v>
      </c>
      <c r="R11" s="31" t="s">
        <v>19</v>
      </c>
      <c r="S11" s="29"/>
      <c r="T11" s="30"/>
      <c r="U11" s="608"/>
      <c r="V11" s="31" t="s">
        <v>20</v>
      </c>
      <c r="W11" s="30"/>
      <c r="X11" s="584"/>
      <c r="Y11" s="595"/>
      <c r="Z11" s="595"/>
      <c r="AA11" s="595"/>
      <c r="AB11" s="354"/>
      <c r="AC11" s="181"/>
      <c r="AD11" s="34" t="s">
        <v>21</v>
      </c>
      <c r="AE11" s="35" t="s">
        <v>22</v>
      </c>
      <c r="AF11" s="36" t="s">
        <v>23</v>
      </c>
      <c r="AG11" s="37" t="s">
        <v>24</v>
      </c>
      <c r="AH11" s="38" t="s">
        <v>25</v>
      </c>
      <c r="AI11" s="187"/>
      <c r="AJ11" s="40" t="s">
        <v>26</v>
      </c>
      <c r="AK11" s="40" t="s">
        <v>27</v>
      </c>
      <c r="AL11" s="590"/>
      <c r="AM11" s="595"/>
      <c r="AN11" s="595"/>
      <c r="AO11" s="595"/>
      <c r="AP11" s="595"/>
      <c r="AQ11" s="609"/>
      <c r="AR11" s="584"/>
      <c r="AS11" s="584"/>
      <c r="AT11" s="584"/>
      <c r="AU11" s="584"/>
      <c r="AV11" s="584"/>
      <c r="AW11" s="584"/>
      <c r="AX11" s="584"/>
      <c r="AY11" s="584"/>
      <c r="AZ11" s="584"/>
      <c r="BA11" s="584"/>
      <c r="BB11" s="584"/>
      <c r="BC11" s="584"/>
      <c r="BD11" s="584"/>
      <c r="BE11" s="584"/>
      <c r="BF11" s="584"/>
      <c r="BG11" s="584"/>
      <c r="BH11" s="584"/>
      <c r="BI11" s="597"/>
      <c r="BJ11" s="597"/>
      <c r="BK11" s="597"/>
      <c r="BL11" s="597"/>
      <c r="BM11" s="597"/>
      <c r="BN11" s="597"/>
      <c r="BO11" s="597"/>
      <c r="BP11" s="597"/>
      <c r="BQ11" s="597"/>
      <c r="BR11" s="597"/>
      <c r="BS11" s="597"/>
      <c r="BT11" s="597"/>
    </row>
    <row r="12" ht="28.5" customHeight="1">
      <c r="A12" s="1074">
        <v>1.0</v>
      </c>
      <c r="B12" s="42"/>
      <c r="C12" s="42"/>
      <c r="D12" s="43"/>
      <c r="E12" s="43"/>
      <c r="F12" s="43"/>
      <c r="G12" s="43"/>
      <c r="H12" s="43"/>
      <c r="I12" s="43"/>
      <c r="J12" s="44"/>
      <c r="K12" s="42"/>
      <c r="L12" s="45" t="s">
        <v>31</v>
      </c>
      <c r="M12" s="46" t="s">
        <v>18</v>
      </c>
      <c r="N12" s="47" t="s">
        <v>32</v>
      </c>
      <c r="O12" s="48">
        <v>0.0</v>
      </c>
      <c r="P12" s="49" t="s">
        <v>15</v>
      </c>
      <c r="Q12" s="42"/>
      <c r="R12" s="50" t="s">
        <v>26</v>
      </c>
      <c r="S12" s="51" t="s">
        <v>27</v>
      </c>
      <c r="T12" s="51" t="s">
        <v>33</v>
      </c>
      <c r="U12" s="50" t="s">
        <v>26</v>
      </c>
      <c r="V12" s="50" t="s">
        <v>27</v>
      </c>
      <c r="W12" s="51" t="s">
        <v>34</v>
      </c>
      <c r="X12" s="584"/>
      <c r="Y12" s="595"/>
      <c r="Z12" s="595"/>
      <c r="AA12" s="595"/>
      <c r="AB12" s="354"/>
      <c r="AC12" s="181"/>
      <c r="AD12" s="610"/>
      <c r="AE12" s="611"/>
      <c r="AF12" s="54">
        <f>SUM(AF13)</f>
        <v>0</v>
      </c>
      <c r="AG12" s="612"/>
      <c r="AH12" s="613"/>
      <c r="AI12" s="187"/>
      <c r="AJ12" s="57"/>
      <c r="AK12" s="57"/>
      <c r="AL12" s="590"/>
      <c r="AM12" s="595"/>
      <c r="AN12" s="595"/>
      <c r="AO12" s="595"/>
      <c r="AP12" s="595"/>
      <c r="AQ12" s="609"/>
      <c r="AR12" s="584"/>
      <c r="AS12" s="584"/>
      <c r="AT12" s="584"/>
      <c r="AU12" s="584"/>
      <c r="AV12" s="584"/>
      <c r="AW12" s="584"/>
      <c r="AX12" s="584"/>
      <c r="AY12" s="584"/>
      <c r="AZ12" s="584"/>
      <c r="BA12" s="584"/>
      <c r="BB12" s="584"/>
      <c r="BC12" s="584"/>
      <c r="BD12" s="584"/>
      <c r="BE12" s="584"/>
      <c r="BF12" s="584"/>
      <c r="BG12" s="584"/>
      <c r="BH12" s="584"/>
      <c r="BI12" s="597"/>
      <c r="BJ12" s="597"/>
      <c r="BK12" s="597"/>
      <c r="BL12" s="597"/>
      <c r="BM12" s="597"/>
      <c r="BN12" s="597"/>
      <c r="BO12" s="597"/>
      <c r="BP12" s="597"/>
      <c r="BQ12" s="597"/>
      <c r="BR12" s="597"/>
      <c r="BS12" s="597"/>
      <c r="BT12" s="597"/>
    </row>
    <row r="13">
      <c r="A13" s="1074">
        <v>1.0</v>
      </c>
      <c r="B13" s="614"/>
      <c r="C13" s="615"/>
      <c r="D13" s="615"/>
      <c r="E13" s="616"/>
      <c r="F13" s="1079"/>
      <c r="G13" s="618"/>
      <c r="H13" s="617"/>
      <c r="I13" s="615"/>
      <c r="J13" s="615"/>
      <c r="K13" s="617"/>
      <c r="L13" s="619"/>
      <c r="M13" s="619"/>
      <c r="N13" s="620"/>
      <c r="O13" s="615"/>
      <c r="P13" s="617"/>
      <c r="Q13" s="621"/>
      <c r="R13" s="622"/>
      <c r="S13" s="439"/>
      <c r="T13" s="621"/>
      <c r="U13" s="623"/>
      <c r="V13" s="623"/>
      <c r="W13" s="624"/>
      <c r="X13" s="584"/>
      <c r="Y13" s="595"/>
      <c r="Z13" s="595"/>
      <c r="AA13" s="595"/>
      <c r="AB13" s="354"/>
      <c r="AC13" s="181"/>
      <c r="AD13" s="625"/>
      <c r="AE13" s="626"/>
      <c r="AF13" s="627"/>
      <c r="AG13" s="628"/>
      <c r="AH13" s="629"/>
      <c r="AI13" s="187"/>
      <c r="AJ13" s="630"/>
      <c r="AK13" s="630"/>
      <c r="AL13" s="584"/>
      <c r="AM13" s="595"/>
      <c r="AN13" s="595"/>
      <c r="AO13" s="595"/>
      <c r="AP13" s="595"/>
      <c r="AQ13" s="584"/>
      <c r="AR13" s="584"/>
      <c r="AS13" s="584"/>
      <c r="AT13" s="584"/>
      <c r="AU13" s="584"/>
      <c r="AV13" s="584"/>
      <c r="AW13" s="584"/>
      <c r="AX13" s="584"/>
      <c r="AY13" s="584"/>
      <c r="AZ13" s="584"/>
      <c r="BA13" s="584"/>
      <c r="BB13" s="584"/>
      <c r="BC13" s="584"/>
      <c r="BD13" s="584"/>
      <c r="BE13" s="584"/>
      <c r="BF13" s="584"/>
      <c r="BG13" s="584"/>
      <c r="BH13" s="584"/>
      <c r="BI13" s="597"/>
      <c r="BJ13" s="597"/>
      <c r="BK13" s="597"/>
      <c r="BL13" s="597"/>
      <c r="BM13" s="597"/>
      <c r="BN13" s="597"/>
      <c r="BO13" s="597"/>
      <c r="BP13" s="597"/>
      <c r="BQ13" s="597"/>
      <c r="BR13" s="597"/>
      <c r="BS13" s="597"/>
      <c r="BT13" s="597"/>
    </row>
    <row r="14">
      <c r="A14" s="1080">
        <v>1.0</v>
      </c>
      <c r="B14" s="632" t="s">
        <v>423</v>
      </c>
      <c r="C14" s="251" t="s">
        <v>35</v>
      </c>
      <c r="D14" s="633"/>
      <c r="E14" s="634"/>
      <c r="F14" s="1081"/>
      <c r="G14" s="636"/>
      <c r="H14" s="638"/>
      <c r="I14" s="637"/>
      <c r="J14" s="633"/>
      <c r="K14" s="638"/>
      <c r="L14" s="637"/>
      <c r="M14" s="637"/>
      <c r="N14" s="639"/>
      <c r="O14" s="633"/>
      <c r="P14" s="638"/>
      <c r="Q14" s="640"/>
      <c r="R14" s="136" t="str">
        <f t="array" ref="R14">IFERROR(
    IF(
        OR(D14="R-Flashing",D14="W-Flashing",D14="R-BG"),
        LET(
            StartRow,
            MATCH(
                I14&amp;"♦"&amp;H14,
                Material!$I:$I&amp;"♦"&amp;Material!$J:$J,
                0
            ),
            INDEX(
                Material!$J:$AF,
                StartRow+1+MATCH(
                    CEILING(E14*1000,50),
                    INDEX(Material!$I:$I,StartRow+2):INDEX(Material!$I:$I,StartRow+25),
                    0
                ),
                MATCH(
                    G14,
                    INDEX(Material!$I:$V,StartRow+1,0),
                    0
                )
            )
        ),
        XLOOKUP(C14,Material!$A:$A,Material!$D:$D)
    ),
"")</f>
        <v/>
      </c>
      <c r="S14" s="641"/>
      <c r="T14" s="640"/>
      <c r="U14" s="1082" t="str">
        <f t="array" ref="U14">IFERROR(
    IF(
        D14="R-Flashing",
        XLOOKUP(CEILING(E14*1000,50),Material!I:I,Material!X:X),
        XLOOKUP(C14,Material!A:A,Material!E:E)
    ),
    ""
)</f>
        <v/>
      </c>
      <c r="V14" s="642"/>
      <c r="W14" s="643"/>
      <c r="X14" s="602"/>
      <c r="Y14" s="602"/>
      <c r="Z14" s="602"/>
      <c r="AA14" s="602"/>
      <c r="AB14" s="600"/>
      <c r="AC14" s="602"/>
      <c r="AD14" s="644"/>
      <c r="AE14" s="645"/>
      <c r="AF14" s="646"/>
      <c r="AG14" s="647"/>
      <c r="AH14" s="648"/>
      <c r="AI14" s="649"/>
      <c r="AJ14" s="650"/>
      <c r="AK14" s="650"/>
      <c r="AL14" s="595"/>
      <c r="AM14" s="595"/>
      <c r="AN14" s="595"/>
      <c r="AO14" s="595"/>
      <c r="AP14" s="595"/>
      <c r="AQ14" s="595"/>
      <c r="AR14" s="595"/>
      <c r="AS14" s="595"/>
      <c r="AT14" s="595"/>
      <c r="AU14" s="595"/>
      <c r="AV14" s="595"/>
      <c r="AW14" s="595"/>
      <c r="AX14" s="595"/>
      <c r="AY14" s="595"/>
      <c r="AZ14" s="595"/>
      <c r="BA14" s="595"/>
      <c r="BB14" s="595"/>
      <c r="BC14" s="595"/>
      <c r="BD14" s="595"/>
      <c r="BE14" s="595"/>
      <c r="BF14" s="595"/>
      <c r="BG14" s="595"/>
      <c r="BH14" s="595"/>
      <c r="BI14" s="651"/>
      <c r="BJ14" s="651"/>
      <c r="BK14" s="651"/>
      <c r="BL14" s="651"/>
      <c r="BM14" s="651"/>
      <c r="BN14" s="651"/>
      <c r="BO14" s="651"/>
      <c r="BP14" s="651"/>
      <c r="BQ14" s="651"/>
      <c r="BR14" s="651"/>
      <c r="BS14" s="651"/>
      <c r="BT14" s="651"/>
    </row>
    <row r="15">
      <c r="A15" s="1080">
        <v>1.0</v>
      </c>
      <c r="B15" s="652" t="s">
        <v>425</v>
      </c>
      <c r="C15" s="167" t="s">
        <v>36</v>
      </c>
      <c r="D15" s="653"/>
      <c r="E15" s="654"/>
      <c r="F15" s="1083"/>
      <c r="G15" s="233"/>
      <c r="H15" s="657"/>
      <c r="I15" s="656"/>
      <c r="J15" s="656"/>
      <c r="K15" s="657"/>
      <c r="L15" s="658"/>
      <c r="M15" s="658"/>
      <c r="N15" s="659"/>
      <c r="O15" s="658"/>
      <c r="P15" s="656"/>
      <c r="Q15" s="658"/>
      <c r="R15" s="136" t="str">
        <f t="array" ref="R15">IFERROR(
    IF(
        OR(D15="R-Flashing",D15="W-Flashing",D15="R-BG"),
        LET(
            StartRow,
            MATCH(
                I15&amp;"♦"&amp;H15,
                Material!$I:$I&amp;"♦"&amp;Material!$J:$J,
                0
            ),
            INDEX(
                Material!$J:$AF,
                StartRow+1+MATCH(
                    CEILING(E15*1000,50),
                    INDEX(Material!$I:$I,StartRow+2):INDEX(Material!$I:$I,StartRow+25),
                    0
                ),
                MATCH(
                    G15,
                    INDEX(Material!$I:$V,StartRow+1,0),
                    0
                )
            )
        ),
        XLOOKUP(C15,Material!$A:$A,Material!$D:$D)
    ),
"")</f>
        <v/>
      </c>
      <c r="S15" s="660"/>
      <c r="T15" s="661"/>
      <c r="U15" s="1082" t="str">
        <f t="array" ref="U15">IFERROR(
    IF(
        D15="R-Flashing",
        XLOOKUP(CEILING(E15*1000,50),Material!I:I,Material!X:X),
        XLOOKUP(C15,Material!A:A,Material!E:E)
    ),
    ""
)</f>
        <v/>
      </c>
      <c r="V15" s="662"/>
      <c r="W15" s="663"/>
      <c r="X15" s="664"/>
      <c r="Y15" s="665"/>
      <c r="Z15" s="665"/>
      <c r="AA15" s="665"/>
      <c r="AB15" s="666"/>
      <c r="AC15" s="667"/>
      <c r="AD15" s="668"/>
      <c r="AE15" s="669"/>
      <c r="AF15" s="670"/>
      <c r="AG15" s="671"/>
      <c r="AH15" s="672"/>
      <c r="AI15" s="665"/>
      <c r="AJ15" s="673"/>
      <c r="AK15" s="673"/>
      <c r="AL15" s="595"/>
      <c r="AM15" s="595"/>
      <c r="AN15" s="595"/>
      <c r="AO15" s="595"/>
      <c r="AP15" s="595"/>
      <c r="AQ15" s="595"/>
      <c r="AR15" s="595"/>
      <c r="AS15" s="595"/>
      <c r="AT15" s="595"/>
      <c r="AU15" s="595"/>
      <c r="AV15" s="595"/>
      <c r="AW15" s="595"/>
      <c r="AX15" s="595"/>
      <c r="AY15" s="595"/>
      <c r="AZ15" s="595"/>
      <c r="BA15" s="595"/>
      <c r="BB15" s="595"/>
      <c r="BC15" s="595"/>
      <c r="BD15" s="595"/>
      <c r="BE15" s="595"/>
      <c r="BF15" s="595"/>
      <c r="BG15" s="595"/>
      <c r="BH15" s="595"/>
      <c r="BI15" s="651"/>
      <c r="BJ15" s="651"/>
      <c r="BK15" s="651"/>
      <c r="BL15" s="651"/>
      <c r="BM15" s="651"/>
      <c r="BN15" s="651"/>
      <c r="BO15" s="651"/>
      <c r="BP15" s="651"/>
      <c r="BQ15" s="651"/>
      <c r="BR15" s="651"/>
      <c r="BS15" s="651"/>
      <c r="BT15" s="651"/>
    </row>
    <row r="16">
      <c r="A16" s="1080">
        <v>1.0</v>
      </c>
      <c r="B16" s="727"/>
      <c r="C16" s="103" t="s">
        <v>620</v>
      </c>
      <c r="D16" s="675"/>
      <c r="E16" s="676"/>
      <c r="F16" s="1084"/>
      <c r="G16" s="678"/>
      <c r="H16" s="728"/>
      <c r="I16" s="678"/>
      <c r="J16" s="678"/>
      <c r="K16" s="678"/>
      <c r="L16" s="106">
        <f>Q16</f>
        <v>451.7370263</v>
      </c>
      <c r="M16" s="679"/>
      <c r="N16" s="680"/>
      <c r="O16" s="679"/>
      <c r="P16" s="678"/>
      <c r="Q16" s="106">
        <f>Q17+Q22</f>
        <v>451.7370263</v>
      </c>
      <c r="R16" s="136" t="str">
        <f t="array" ref="R16">IFERROR(
    IF(
        OR(D16="R-Flashing",D16="W-Flashing",D16="R-BG"),
        LET(
            StartRow,
            MATCH(
                I16&amp;"♦"&amp;H16,
                Material!$I:$I&amp;"♦"&amp;Material!$J:$J,
                0
            ),
            INDEX(
                Material!$J:$AF,
                StartRow+1+MATCH(
                    CEILING(E16*1000,50),
                    INDEX(Material!$I:$I,StartRow+2):INDEX(Material!$I:$I,StartRow+25),
                    0
                ),
                MATCH(
                    G16,
                    INDEX(Material!$I:$V,StartRow+1,0),
                    0
                )
            )
        ),
        XLOOKUP(C16,Material!$A:$A,Material!$D:$D)
    ),
"")</f>
        <v/>
      </c>
      <c r="S16" s="682">
        <f>IFERROR(T16/Q16, 0)</f>
        <v>45.39449248</v>
      </c>
      <c r="T16" s="109">
        <f>SUM(S17:S26)</f>
        <v>20506.37305</v>
      </c>
      <c r="U16" s="1082" t="str">
        <f t="array" ref="U16">IFERROR(
    IF(
        D16="R-Flashing",
        XLOOKUP(CEILING(E16*1000,50),Material!I:I,Material!X:X),
        XLOOKUP(C16,Material!A:A,Material!E:E)
    ),
    ""
)</f>
        <v/>
      </c>
      <c r="V16" s="109">
        <f>iferror(W16/Q16,"")</f>
        <v>10</v>
      </c>
      <c r="W16" s="110">
        <f>SUM(W17:W26)</f>
        <v>4517.370263</v>
      </c>
      <c r="X16" s="111">
        <f>W16/$AC$210/$W$217/$X$207</f>
        <v>3.068865668</v>
      </c>
      <c r="Y16" s="112" t="b">
        <f>(T16+W16)=(SUM(AB17:AB26))</f>
        <v>1</v>
      </c>
      <c r="Z16" s="113">
        <f>(T16+W16)-(SUM(AB17:AB26))</f>
        <v>0</v>
      </c>
      <c r="AA16" s="595"/>
      <c r="AB16" s="595"/>
      <c r="AC16" s="181"/>
      <c r="AD16" s="114">
        <f>W16+T16</f>
        <v>25023.74331</v>
      </c>
      <c r="AE16" s="115">
        <f>AD16</f>
        <v>25023.74331</v>
      </c>
      <c r="AF16" s="116">
        <f>AE16/$AE$185</f>
        <v>0.3505492296</v>
      </c>
      <c r="AG16" s="683">
        <f>AF16*$AG$192</f>
        <v>9572.213276</v>
      </c>
      <c r="AH16" s="118">
        <f>AF16*$AG$195</f>
        <v>5581.672067</v>
      </c>
      <c r="AI16" s="187"/>
      <c r="AJ16" s="119">
        <f>ROUND(AK16/L16,2)</f>
        <v>88.94</v>
      </c>
      <c r="AK16" s="119">
        <f>ROUND(AH16+AG16+AD16,2)</f>
        <v>40177.63</v>
      </c>
      <c r="AL16" s="595"/>
      <c r="AM16" s="595"/>
      <c r="AN16" s="595"/>
      <c r="AO16" s="595"/>
      <c r="AP16" s="595"/>
      <c r="AQ16" s="595"/>
      <c r="AR16" s="595"/>
      <c r="AS16" s="595"/>
      <c r="AT16" s="595"/>
      <c r="AU16" s="595"/>
      <c r="AV16" s="595"/>
      <c r="AW16" s="595"/>
      <c r="AX16" s="595"/>
      <c r="AY16" s="595"/>
      <c r="AZ16" s="595"/>
      <c r="BA16" s="595"/>
      <c r="BB16" s="595"/>
      <c r="BC16" s="595"/>
      <c r="BD16" s="595"/>
      <c r="BE16" s="595"/>
      <c r="BF16" s="595"/>
      <c r="BG16" s="595"/>
      <c r="BH16" s="595"/>
      <c r="BI16" s="651"/>
      <c r="BJ16" s="651"/>
      <c r="BK16" s="651"/>
      <c r="BL16" s="651"/>
      <c r="BM16" s="651"/>
      <c r="BN16" s="651"/>
      <c r="BO16" s="651"/>
      <c r="BP16" s="651"/>
      <c r="BQ16" s="651"/>
      <c r="BR16" s="651"/>
      <c r="BS16" s="651"/>
      <c r="BT16" s="651"/>
    </row>
    <row r="17">
      <c r="A17" s="1080"/>
      <c r="B17" s="766"/>
      <c r="C17" s="123" t="s">
        <v>621</v>
      </c>
      <c r="D17" s="686" t="s">
        <v>40</v>
      </c>
      <c r="E17" s="687">
        <f t="array" ref="E17">XLOOKUP(C17,Material!$A:$A,Material!$F:$F)</f>
        <v>0.889</v>
      </c>
      <c r="F17" s="1085">
        <v>30.0</v>
      </c>
      <c r="G17" s="689"/>
      <c r="H17" s="128" t="str">
        <f>IFERROR(__xludf.DUMMYFUNCTION("IFERROR(REGEXEXTRACT(C17, ""(\d*\.\d+)mm""), """")"),"")</f>
        <v/>
      </c>
      <c r="I17" s="701"/>
      <c r="J17" s="126" t="s">
        <v>14</v>
      </c>
      <c r="K17" s="126" t="str">
        <f t="array" ref="K17">iferror(if(OR(D17="R-Flashing",D17="W-Flashing"),"LM",XLOOKUP(C17,Material!$A:$A,Material!$C:$C)),"")</f>
        <v>m2</v>
      </c>
      <c r="L17" s="131">
        <v>269.02</v>
      </c>
      <c r="M17" s="135">
        <f>L17*E17</f>
        <v>239.15878</v>
      </c>
      <c r="N17" s="151">
        <f>IFERROR(__xludf.DUMMYFUNCTION("IF(
  AND(
    IFERROR(REGEXEXTRACT(C17,""@\s*(\d+(?:\.\d+)?)\s*deg""),"""")&lt;&gt;"""",
    F17&lt;&gt;""""
  ),
  ""Pls Confirm °"",
  IF(
    IFERROR(REGEXEXTRACT(C17,""@\s*(\d+(?:\.\d+)?)\s*deg""),"""")&lt;&gt;"""",
    1/COS(RADIANS(REGEXEXTRACT(C17,""@\s*(\d+(?:\.\d"&amp;"+)?)\s*deg""))),
    IF(
      F17&lt;&gt;"""",
      IF(
        ISNUMBER(SEARCH(""|"",F17)),
        1/COS(
          ATAN(
            TAN(RADIANS(VALUE(INDEX(SPLIT(F17,""|""),1)))) *
            TAN(RADIANS(VALUE(INDEX(SPLIT(F17,""|""),2))))
            /
 "&amp;"           SQRT(
              TAN(RADIANS(VALUE(INDEX(SPLIT(F17,""|""),1))))^2 +
              TAN(RADIANS(VALUE(INDEX(SPLIT(F17,""|""),2))))^2
            )
          )
        ),
        1/COS(RADIANS(VALUE(F17)))
      ),
      1
    )
  )
)"),1.1547005383792515)</f>
        <v>1.154700538</v>
      </c>
      <c r="O17" s="169">
        <v>1.0</v>
      </c>
      <c r="P17" s="134">
        <v>1.0</v>
      </c>
      <c r="Q17" s="135">
        <f t="shared" ref="Q17:Q20" si="1">M17*N17*O17*P17</f>
        <v>276.156772</v>
      </c>
      <c r="R17" s="136">
        <f t="array" ref="R17">IFERROR(
    IF(
        OR(D17="R-Flashing",D17="W-Flashing",D17="R-BG"),
        LET(
            StartRow,
            MATCH(
                I17&amp;"♦"&amp;H17,
                Material!$I:$I&amp;"♦"&amp;Material!$J:$J,
                0
            ),
            INDEX(
                Material!$J:$AF,
                StartRow+1+MATCH(
                    CEILING(E17*1000,50),
                    INDEX(Material!$I:$I,StartRow+2):INDEX(Material!$I:$I,StartRow+25),
                    0
                ),
                MATCH(
                    G17,
                    INDEX(Material!$I:$V,StartRow+1,0),
                    0
                )
            )
        ),
        XLOOKUP(C17,Material!$A:$A,Material!$D:$D)
    ),
"")</f>
        <v>40.34870641</v>
      </c>
      <c r="S17" s="152">
        <f t="shared" ref="S17:S20" si="2">R17*Q17</f>
        <v>11142.56852</v>
      </c>
      <c r="T17" s="690"/>
      <c r="U17" s="1082">
        <f t="array" ref="U17">IFERROR(
    IF(
        D17="R-Flashing",
        XLOOKUP(CEILING(E17*1000,50),Material!I:I,Material!X:X),
        XLOOKUP(C17,Material!A:A,Material!E:E)
    ),
    ""
)</f>
        <v>10</v>
      </c>
      <c r="V17" s="691"/>
      <c r="W17" s="140">
        <f t="shared" ref="W17:W20" si="3">U17*Q17</f>
        <v>2761.56772</v>
      </c>
      <c r="X17" s="692"/>
      <c r="Y17" s="693"/>
      <c r="Z17" s="694"/>
      <c r="AA17" s="695"/>
      <c r="AB17" s="354">
        <f t="shared" ref="AB17:AB20" si="4">W17+S17</f>
        <v>13904.13624</v>
      </c>
      <c r="AC17" s="181"/>
      <c r="AD17" s="625"/>
      <c r="AE17" s="626"/>
      <c r="AF17" s="696"/>
      <c r="AG17" s="697"/>
      <c r="AH17" s="629"/>
      <c r="AI17" s="187"/>
      <c r="AJ17" s="630"/>
      <c r="AK17" s="630"/>
      <c r="AL17" s="595"/>
      <c r="AM17" s="595"/>
      <c r="AN17" s="595"/>
      <c r="AO17" s="595"/>
      <c r="AP17" s="595"/>
      <c r="AQ17" s="595"/>
      <c r="AR17" s="595"/>
      <c r="AS17" s="595"/>
      <c r="AT17" s="595"/>
      <c r="AU17" s="595"/>
      <c r="AV17" s="595"/>
      <c r="AW17" s="595"/>
      <c r="AX17" s="595"/>
      <c r="AY17" s="595"/>
      <c r="AZ17" s="595"/>
      <c r="BA17" s="595"/>
      <c r="BB17" s="595"/>
      <c r="BC17" s="595"/>
      <c r="BD17" s="595"/>
      <c r="BE17" s="595"/>
      <c r="BF17" s="595"/>
      <c r="BG17" s="595"/>
      <c r="BH17" s="595"/>
      <c r="BI17" s="651"/>
      <c r="BJ17" s="651"/>
      <c r="BK17" s="651"/>
      <c r="BL17" s="651"/>
      <c r="BM17" s="651"/>
      <c r="BN17" s="651"/>
      <c r="BO17" s="651"/>
      <c r="BP17" s="651"/>
      <c r="BQ17" s="651"/>
      <c r="BR17" s="651"/>
      <c r="BS17" s="651"/>
      <c r="BT17" s="651"/>
    </row>
    <row r="18">
      <c r="A18" s="1080"/>
      <c r="B18" s="766"/>
      <c r="C18" s="123" t="s">
        <v>622</v>
      </c>
      <c r="D18" s="686" t="s">
        <v>360</v>
      </c>
      <c r="E18" s="687"/>
      <c r="F18" s="1086"/>
      <c r="G18" s="700"/>
      <c r="H18" s="128" t="str">
        <f>IFERROR(__xludf.DUMMYFUNCTION("IFERROR(REGEXEXTRACT(C18, ""(\d*\.\d+)mm""), """")"),"")</f>
        <v/>
      </c>
      <c r="I18" s="701"/>
      <c r="J18" s="126" t="s">
        <v>87</v>
      </c>
      <c r="K18" s="126" t="str">
        <f t="array" ref="K18">iferror(if(OR(D18="R-Flashing",D18="W-Flashing"),"LM",XLOOKUP(C18,Material!$A:$A,Material!$C:$C)),"")</f>
        <v>ea</v>
      </c>
      <c r="L18" s="704"/>
      <c r="M18" s="150">
        <f>ROUNDUP(M17*6,0)+1</f>
        <v>1436</v>
      </c>
      <c r="N18" s="151">
        <f t="shared" ref="N18:N20" si="5">if(C18="","",(if(N17="",N16,N17)))</f>
        <v>1.154700538</v>
      </c>
      <c r="O18" s="169">
        <v>1.0</v>
      </c>
      <c r="P18" s="134">
        <v>1.0</v>
      </c>
      <c r="Q18" s="135">
        <f t="shared" si="1"/>
        <v>1658.149973</v>
      </c>
      <c r="R18" s="136">
        <f t="array" ref="R18">IFERROR(
    IF(
        OR(D18="R-Flashing",D18="W-Flashing",D18="R-BG"),
        LET(
            StartRow,
            MATCH(
                I18&amp;"♦"&amp;H18,
                Material!$I:$I&amp;"♦"&amp;Material!$J:$J,
                0
            ),
            INDEX(
                Material!$J:$AF,
                StartRow+1+MATCH(
                    CEILING(E18*1000,50),
                    INDEX(Material!$I:$I,StartRow+2):INDEX(Material!$I:$I,StartRow+25),
                    0
                ),
                MATCH(
                    G18,
                    INDEX(Material!$I:$V,StartRow+1,0),
                    0
                )
            )
        ),
        XLOOKUP(C18,Material!$A:$A,Material!$D:$D)
    ),
"")</f>
        <v>0.34</v>
      </c>
      <c r="S18" s="152">
        <f t="shared" si="2"/>
        <v>563.7709909</v>
      </c>
      <c r="T18" s="690"/>
      <c r="U18" s="1082" t="str">
        <f t="array" ref="U18">IFERROR(
    IF(
        D18="R-Flashing",
        XLOOKUP(CEILING(E18*1000,50),Material!I:I,Material!X:X),
        XLOOKUP(C18,Material!A:A,Material!E:E)
    ),
    ""
)</f>
        <v/>
      </c>
      <c r="V18" s="691"/>
      <c r="W18" s="140">
        <f t="shared" si="3"/>
        <v>0</v>
      </c>
      <c r="X18" s="692"/>
      <c r="Y18" s="693"/>
      <c r="Z18" s="694"/>
      <c r="AA18" s="695"/>
      <c r="AB18" s="354">
        <f t="shared" si="4"/>
        <v>563.7709909</v>
      </c>
      <c r="AC18" s="181"/>
      <c r="AD18" s="625"/>
      <c r="AE18" s="626"/>
      <c r="AF18" s="696"/>
      <c r="AG18" s="697"/>
      <c r="AH18" s="629"/>
      <c r="AI18" s="187"/>
      <c r="AJ18" s="630"/>
      <c r="AK18" s="630"/>
      <c r="AL18" s="595"/>
      <c r="AM18" s="595"/>
      <c r="AN18" s="595"/>
      <c r="AO18" s="595"/>
      <c r="AP18" s="595"/>
      <c r="AQ18" s="595"/>
      <c r="AR18" s="595"/>
      <c r="AS18" s="595"/>
      <c r="AT18" s="595"/>
      <c r="AU18" s="595"/>
      <c r="AV18" s="595"/>
      <c r="AW18" s="595"/>
      <c r="AX18" s="595"/>
      <c r="AY18" s="595"/>
      <c r="AZ18" s="595"/>
      <c r="BA18" s="595"/>
      <c r="BB18" s="595"/>
      <c r="BC18" s="595"/>
      <c r="BD18" s="595"/>
      <c r="BE18" s="595"/>
      <c r="BF18" s="595"/>
      <c r="BG18" s="595"/>
      <c r="BH18" s="595"/>
      <c r="BI18" s="651"/>
      <c r="BJ18" s="651"/>
      <c r="BK18" s="651"/>
      <c r="BL18" s="651"/>
      <c r="BM18" s="651"/>
      <c r="BN18" s="651"/>
      <c r="BO18" s="651"/>
      <c r="BP18" s="651"/>
      <c r="BQ18" s="651"/>
      <c r="BR18" s="651"/>
      <c r="BS18" s="651"/>
      <c r="BT18" s="651"/>
    </row>
    <row r="19">
      <c r="A19" s="1080"/>
      <c r="B19" s="766"/>
      <c r="C19" s="767" t="s">
        <v>623</v>
      </c>
      <c r="D19" s="148" t="s">
        <v>615</v>
      </c>
      <c r="E19" s="687"/>
      <c r="F19" s="1086"/>
      <c r="G19" s="700"/>
      <c r="H19" s="128"/>
      <c r="I19" s="701"/>
      <c r="J19" s="126" t="s">
        <v>87</v>
      </c>
      <c r="K19" s="126" t="str">
        <f t="array" ref="K19">iferror(if(OR(D19="R-Flashing",D19="W-Flashing"),"LM",XLOOKUP(C19,Material!$A:$A,Material!$C:$C)),"")</f>
        <v>ea</v>
      </c>
      <c r="L19" s="704"/>
      <c r="M19" s="150">
        <f t="shared" ref="M19:M20" si="6">M18</f>
        <v>1436</v>
      </c>
      <c r="N19" s="151">
        <f t="shared" si="5"/>
        <v>1.154700538</v>
      </c>
      <c r="O19" s="169">
        <v>1.0</v>
      </c>
      <c r="P19" s="134">
        <v>1.0</v>
      </c>
      <c r="Q19" s="135">
        <f t="shared" si="1"/>
        <v>1658.149973</v>
      </c>
      <c r="R19" s="136">
        <f t="array" ref="R19">IFERROR(
    IF(
        OR(D19="R-Flashing",D19="W-Flashing",D19="R-BG"),
        LET(
            StartRow,
            MATCH(
                I19&amp;"♦"&amp;H19,
                Material!$I:$I&amp;"♦"&amp;Material!$J:$J,
                0
            ),
            INDEX(
                Material!$J:$AF,
                StartRow+1+MATCH(
                    CEILING(E19*1000,50),
                    INDEX(Material!$I:$I,StartRow+2):INDEX(Material!$I:$I,StartRow+25),
                    0
                ),
                MATCH(
                    G19,
                    INDEX(Material!$I:$V,StartRow+1,0),
                    0
                )
            )
        ),
        XLOOKUP(C19,Material!$A:$A,Material!$D:$D)
    ),
"")</f>
        <v>0.3</v>
      </c>
      <c r="S19" s="152">
        <f t="shared" si="2"/>
        <v>497.4449919</v>
      </c>
      <c r="T19" s="690"/>
      <c r="U19" s="1082" t="str">
        <f t="array" ref="U19">IFERROR(
    IF(
        D19="R-Flashing",
        XLOOKUP(CEILING(E19*1000,50),Material!I:I,Material!X:X),
        XLOOKUP(C19,Material!A:A,Material!E:E)
    ),
    ""
)</f>
        <v/>
      </c>
      <c r="V19" s="691"/>
      <c r="W19" s="140">
        <f t="shared" si="3"/>
        <v>0</v>
      </c>
      <c r="X19" s="692"/>
      <c r="Y19" s="693"/>
      <c r="Z19" s="694"/>
      <c r="AA19" s="695"/>
      <c r="AB19" s="354">
        <f t="shared" si="4"/>
        <v>497.4449919</v>
      </c>
      <c r="AC19" s="181"/>
      <c r="AD19" s="625"/>
      <c r="AE19" s="626"/>
      <c r="AF19" s="696"/>
      <c r="AG19" s="697"/>
      <c r="AH19" s="629"/>
      <c r="AI19" s="187"/>
      <c r="AJ19" s="630"/>
      <c r="AK19" s="630"/>
      <c r="AL19" s="595"/>
      <c r="AM19" s="595"/>
      <c r="AN19" s="595"/>
      <c r="AO19" s="595"/>
      <c r="AP19" s="595"/>
      <c r="AQ19" s="595"/>
      <c r="AR19" s="595"/>
      <c r="AS19" s="595"/>
      <c r="AT19" s="595"/>
      <c r="AU19" s="595"/>
      <c r="AV19" s="595"/>
      <c r="AW19" s="595"/>
      <c r="AX19" s="595"/>
      <c r="AY19" s="595"/>
      <c r="AZ19" s="595"/>
      <c r="BA19" s="595"/>
      <c r="BB19" s="595"/>
      <c r="BC19" s="595"/>
      <c r="BD19" s="595"/>
      <c r="BE19" s="595"/>
      <c r="BF19" s="595"/>
      <c r="BG19" s="595"/>
      <c r="BH19" s="595"/>
      <c r="BI19" s="651"/>
      <c r="BJ19" s="651"/>
      <c r="BK19" s="651"/>
      <c r="BL19" s="651"/>
      <c r="BM19" s="651"/>
      <c r="BN19" s="651"/>
      <c r="BO19" s="651"/>
      <c r="BP19" s="651"/>
      <c r="BQ19" s="651"/>
      <c r="BR19" s="651"/>
      <c r="BS19" s="651"/>
      <c r="BT19" s="651"/>
    </row>
    <row r="20">
      <c r="A20" s="1087"/>
      <c r="B20" s="766"/>
      <c r="C20" s="767" t="s">
        <v>624</v>
      </c>
      <c r="D20" s="148" t="s">
        <v>615</v>
      </c>
      <c r="E20" s="687"/>
      <c r="F20" s="1086"/>
      <c r="G20" s="225"/>
      <c r="H20" s="128"/>
      <c r="I20" s="701"/>
      <c r="J20" s="126" t="s">
        <v>87</v>
      </c>
      <c r="K20" s="126" t="str">
        <f t="array" ref="K20">iferror(if(OR(D20="R-Flashing",D20="W-Flashing"),"LM",XLOOKUP(C20,Material!$A:$A,Material!$C:$C)),"")</f>
        <v>ea</v>
      </c>
      <c r="L20" s="704"/>
      <c r="M20" s="150">
        <f t="shared" si="6"/>
        <v>1436</v>
      </c>
      <c r="N20" s="151">
        <f t="shared" si="5"/>
        <v>1.154700538</v>
      </c>
      <c r="O20" s="169">
        <v>1.0</v>
      </c>
      <c r="P20" s="134">
        <v>1.0</v>
      </c>
      <c r="Q20" s="135">
        <f t="shared" si="1"/>
        <v>1658.149973</v>
      </c>
      <c r="R20" s="136">
        <f t="array" ref="R20">IFERROR(
    IF(
        OR(D20="R-Flashing",D20="W-Flashing",D20="R-BG"),
        LET(
            StartRow,
            MATCH(
                I20&amp;"♦"&amp;H20,
                Material!$I:$I&amp;"♦"&amp;Material!$J:$J,
                0
            ),
            INDEX(
                Material!$J:$AF,
                StartRow+1+MATCH(
                    CEILING(E20*1000,50),
                    INDEX(Material!$I:$I,StartRow+2):INDEX(Material!$I:$I,StartRow+25),
                    0
                ),
                MATCH(
                    G20,
                    INDEX(Material!$I:$V,StartRow+1,0),
                    0
                )
            )
        ),
        XLOOKUP(C20,Material!$A:$A,Material!$D:$D)
    ),
"")</f>
        <v>0.2</v>
      </c>
      <c r="S20" s="152">
        <f t="shared" si="2"/>
        <v>331.6299946</v>
      </c>
      <c r="T20" s="690"/>
      <c r="U20" s="1082" t="str">
        <f t="array" ref="U20">IFERROR(
    IF(
        D20="R-Flashing",
        XLOOKUP(CEILING(E20*1000,50),Material!I:I,Material!X:X),
        XLOOKUP(C20,Material!A:A,Material!E:E)
    ),
    ""
)</f>
        <v/>
      </c>
      <c r="V20" s="691"/>
      <c r="W20" s="140">
        <f t="shared" si="3"/>
        <v>0</v>
      </c>
      <c r="X20" s="692"/>
      <c r="Y20" s="693"/>
      <c r="Z20" s="694"/>
      <c r="AA20" s="695"/>
      <c r="AB20" s="354">
        <f t="shared" si="4"/>
        <v>331.6299946</v>
      </c>
      <c r="AC20" s="181"/>
      <c r="AD20" s="705"/>
      <c r="AE20" s="706"/>
      <c r="AF20" s="707"/>
      <c r="AG20" s="708"/>
      <c r="AH20" s="709"/>
      <c r="AI20" s="187"/>
      <c r="AJ20" s="710"/>
      <c r="AK20" s="710"/>
      <c r="AL20" s="595"/>
      <c r="AM20" s="595"/>
      <c r="AN20" s="595"/>
      <c r="AO20" s="595"/>
      <c r="AP20" s="595"/>
      <c r="AQ20" s="595"/>
      <c r="AR20" s="595"/>
      <c r="AS20" s="595"/>
      <c r="AT20" s="595"/>
      <c r="AU20" s="595"/>
      <c r="AV20" s="595"/>
      <c r="AW20" s="595"/>
      <c r="AX20" s="595"/>
      <c r="AY20" s="595"/>
      <c r="AZ20" s="595"/>
      <c r="BA20" s="595"/>
      <c r="BB20" s="595"/>
      <c r="BC20" s="595"/>
      <c r="BD20" s="595"/>
      <c r="BE20" s="595"/>
      <c r="BF20" s="595"/>
      <c r="BG20" s="595"/>
      <c r="BH20" s="595"/>
      <c r="BI20" s="651"/>
      <c r="BJ20" s="651"/>
      <c r="BK20" s="651"/>
      <c r="BL20" s="651"/>
      <c r="BM20" s="651"/>
      <c r="BN20" s="651"/>
      <c r="BO20" s="651"/>
      <c r="BP20" s="651"/>
      <c r="BQ20" s="651"/>
      <c r="BR20" s="651"/>
      <c r="BS20" s="651"/>
      <c r="BT20" s="651"/>
    </row>
    <row r="21">
      <c r="A21" s="1087"/>
      <c r="B21" s="766"/>
      <c r="C21" s="767"/>
      <c r="D21" s="148"/>
      <c r="E21" s="687"/>
      <c r="F21" s="1086"/>
      <c r="G21" s="225"/>
      <c r="H21" s="128"/>
      <c r="I21" s="701"/>
      <c r="J21" s="126"/>
      <c r="K21" s="126"/>
      <c r="L21" s="704"/>
      <c r="M21" s="150"/>
      <c r="N21" s="151"/>
      <c r="O21" s="169"/>
      <c r="P21" s="134"/>
      <c r="Q21" s="135"/>
      <c r="R21" s="136" t="str">
        <f t="array" ref="R21">IFERROR(
    IF(
        OR(D21="R-Flashing",D21="W-Flashing",D21="R-BG"),
        LET(
            StartRow,
            MATCH(
                I21&amp;"♦"&amp;H21,
                Material!$I:$I&amp;"♦"&amp;Material!$J:$J,
                0
            ),
            INDEX(
                Material!$J:$AF,
                StartRow+1+MATCH(
                    CEILING(E21*1000,50),
                    INDEX(Material!$I:$I,StartRow+2):INDEX(Material!$I:$I,StartRow+25),
                    0
                ),
                MATCH(
                    G21,
                    INDEX(Material!$I:$V,StartRow+1,0),
                    0
                )
            )
        ),
        XLOOKUP(C21,Material!$A:$A,Material!$D:$D)
    ),
"")</f>
        <v/>
      </c>
      <c r="S21" s="152"/>
      <c r="T21" s="690"/>
      <c r="U21" s="1082"/>
      <c r="V21" s="691"/>
      <c r="W21" s="140"/>
      <c r="X21" s="692"/>
      <c r="Y21" s="693"/>
      <c r="Z21" s="694"/>
      <c r="AA21" s="695"/>
      <c r="AB21" s="354"/>
      <c r="AC21" s="181"/>
      <c r="AD21" s="705"/>
      <c r="AE21" s="706"/>
      <c r="AF21" s="707"/>
      <c r="AG21" s="708"/>
      <c r="AH21" s="709"/>
      <c r="AI21" s="187"/>
      <c r="AJ21" s="710"/>
      <c r="AK21" s="710"/>
      <c r="AL21" s="595"/>
      <c r="AM21" s="595"/>
      <c r="AN21" s="595"/>
      <c r="AO21" s="595"/>
      <c r="AP21" s="595"/>
      <c r="AQ21" s="595"/>
      <c r="AR21" s="595"/>
      <c r="AS21" s="595"/>
      <c r="AT21" s="595"/>
      <c r="AU21" s="595"/>
      <c r="AV21" s="595"/>
      <c r="AW21" s="595"/>
      <c r="AX21" s="595"/>
      <c r="AY21" s="595"/>
      <c r="AZ21" s="595"/>
      <c r="BA21" s="595"/>
      <c r="BB21" s="595"/>
      <c r="BC21" s="595"/>
      <c r="BD21" s="595"/>
      <c r="BE21" s="595"/>
      <c r="BF21" s="595"/>
      <c r="BG21" s="595"/>
      <c r="BH21" s="595"/>
      <c r="BI21" s="651"/>
      <c r="BJ21" s="651"/>
      <c r="BK21" s="651"/>
      <c r="BL21" s="651"/>
      <c r="BM21" s="651"/>
      <c r="BN21" s="651"/>
      <c r="BO21" s="651"/>
      <c r="BP21" s="651"/>
      <c r="BQ21" s="651"/>
      <c r="BR21" s="651"/>
      <c r="BS21" s="651"/>
      <c r="BT21" s="651"/>
    </row>
    <row r="22">
      <c r="A22" s="1080"/>
      <c r="B22" s="766"/>
      <c r="C22" s="123" t="s">
        <v>621</v>
      </c>
      <c r="D22" s="686" t="s">
        <v>40</v>
      </c>
      <c r="E22" s="687">
        <f t="array" ref="E22">XLOOKUP(C22,Material!$A:$A,Material!$F:$F)</f>
        <v>0.889</v>
      </c>
      <c r="F22" s="1085">
        <v>15.5</v>
      </c>
      <c r="G22" s="689"/>
      <c r="H22" s="128" t="str">
        <f>IFERROR(__xludf.DUMMYFUNCTION("IFERROR(REGEXEXTRACT(C22, ""(\d*\.\d+)mm""), """")"),"")</f>
        <v/>
      </c>
      <c r="I22" s="701"/>
      <c r="J22" s="126" t="s">
        <v>14</v>
      </c>
      <c r="K22" s="126" t="str">
        <f t="array" ref="K22">iferror(if(OR(D22="R-Flashing",D22="W-Flashing"),"LM",XLOOKUP(C22,Material!$A:$A,Material!$C:$C)),"")</f>
        <v>m2</v>
      </c>
      <c r="L22" s="131">
        <v>190.32</v>
      </c>
      <c r="M22" s="135">
        <f>L22*E22</f>
        <v>169.19448</v>
      </c>
      <c r="N22" s="151">
        <f>IFERROR(__xludf.DUMMYFUNCTION("IF(
  AND(
    IFERROR(REGEXEXTRACT(C22,""@\s*(\d+(?:\.\d+)?)\s*deg""),"""")&lt;&gt;"""",
    F22&lt;&gt;""""
  ),
  ""Pls Confirm °"",
  IF(
    IFERROR(REGEXEXTRACT(C22,""@\s*(\d+(?:\.\d+)?)\s*deg""),"""")&lt;&gt;"""",
    1/COS(RADIANS(REGEXEXTRACT(C22,""@\s*(\d+(?:\.\d"&amp;"+)?)\s*deg""))),
    IF(
      F22&lt;&gt;"""",
      IF(
        ISNUMBER(SEARCH(""|"",F22)),
        1/COS(
          ATAN(
            TAN(RADIANS(VALUE(INDEX(SPLIT(F22,""|""),1)))) *
            TAN(RADIANS(VALUE(INDEX(SPLIT(F22,""|""),2))))
            /
 "&amp;"           SQRT(
              TAN(RADIANS(VALUE(INDEX(SPLIT(F22,""|""),1))))^2 +
              TAN(RADIANS(VALUE(INDEX(SPLIT(F22,""|""),2))))^2
            )
          )
        ),
        1/COS(RADIANS(VALUE(F22)))
      ),
      1
    )
  )
)"),1.0377422140098174)</f>
        <v>1.037742214</v>
      </c>
      <c r="O22" s="169">
        <v>1.0</v>
      </c>
      <c r="P22" s="134">
        <v>1.0</v>
      </c>
      <c r="Q22" s="135">
        <f t="shared" ref="Q22:Q25" si="7">M22*N22*O22*P22</f>
        <v>175.5802543</v>
      </c>
      <c r="R22" s="136">
        <f t="array" ref="R22">IFERROR(
    IF(
        OR(D22="R-Flashing",D22="W-Flashing",D22="R-BG"),
        LET(
            StartRow,
            MATCH(
                I22&amp;"♦"&amp;H22,
                Material!$I:$I&amp;"♦"&amp;Material!$J:$J,
                0
            ),
            INDEX(
                Material!$J:$AF,
                StartRow+1+MATCH(
                    CEILING(E22*1000,50),
                    INDEX(Material!$I:$I,StartRow+2):INDEX(Material!$I:$I,StartRow+25),
                    0
                ),
                MATCH(
                    G22,
                    INDEX(Material!$I:$V,StartRow+1,0),
                    0
                )
            )
        ),
        XLOOKUP(C22,Material!$A:$A,Material!$D:$D)
    ),
"")</f>
        <v>40.34870641</v>
      </c>
      <c r="S22" s="152">
        <f t="shared" ref="S22:S25" si="8">R22*Q22</f>
        <v>7084.436131</v>
      </c>
      <c r="T22" s="690"/>
      <c r="U22" s="1082">
        <f t="array" ref="U22">IFERROR(
    IF(
        D22="R-Flashing",
        XLOOKUP(CEILING(E22*1000,50),Material!I:I,Material!X:X),
        XLOOKUP(C22,Material!A:A,Material!E:E)
    ),
    ""
)</f>
        <v>10</v>
      </c>
      <c r="V22" s="691"/>
      <c r="W22" s="140">
        <f t="shared" ref="W22:W25" si="9">U22*Q22</f>
        <v>1755.802543</v>
      </c>
      <c r="X22" s="692"/>
      <c r="Y22" s="693"/>
      <c r="Z22" s="694"/>
      <c r="AA22" s="695"/>
      <c r="AB22" s="354">
        <f t="shared" ref="AB22:AB25" si="10">W22+S22</f>
        <v>8840.238674</v>
      </c>
      <c r="AC22" s="181"/>
      <c r="AD22" s="625"/>
      <c r="AE22" s="626"/>
      <c r="AF22" s="696"/>
      <c r="AG22" s="697"/>
      <c r="AH22" s="629"/>
      <c r="AI22" s="187"/>
      <c r="AJ22" s="630"/>
      <c r="AK22" s="630"/>
      <c r="AL22" s="595"/>
      <c r="AM22" s="595"/>
      <c r="AN22" s="595"/>
      <c r="AO22" s="595"/>
      <c r="AP22" s="595"/>
      <c r="AQ22" s="595"/>
      <c r="AR22" s="595"/>
      <c r="AS22" s="595"/>
      <c r="AT22" s="595"/>
      <c r="AU22" s="595"/>
      <c r="AV22" s="595"/>
      <c r="AW22" s="595"/>
      <c r="AX22" s="595"/>
      <c r="AY22" s="595"/>
      <c r="AZ22" s="595"/>
      <c r="BA22" s="595"/>
      <c r="BB22" s="595"/>
      <c r="BC22" s="595"/>
      <c r="BD22" s="595"/>
      <c r="BE22" s="595"/>
      <c r="BF22" s="595"/>
      <c r="BG22" s="595"/>
      <c r="BH22" s="595"/>
      <c r="BI22" s="651"/>
      <c r="BJ22" s="651"/>
      <c r="BK22" s="651"/>
      <c r="BL22" s="651"/>
      <c r="BM22" s="651"/>
      <c r="BN22" s="651"/>
      <c r="BO22" s="651"/>
      <c r="BP22" s="651"/>
      <c r="BQ22" s="651"/>
      <c r="BR22" s="651"/>
      <c r="BS22" s="651"/>
      <c r="BT22" s="651"/>
    </row>
    <row r="23">
      <c r="A23" s="1080"/>
      <c r="B23" s="766"/>
      <c r="C23" s="123" t="s">
        <v>622</v>
      </c>
      <c r="D23" s="686" t="s">
        <v>360</v>
      </c>
      <c r="E23" s="687"/>
      <c r="F23" s="1086"/>
      <c r="G23" s="700"/>
      <c r="H23" s="128" t="str">
        <f>IFERROR(__xludf.DUMMYFUNCTION("IFERROR(REGEXEXTRACT(C23, ""(\d*\.\d+)mm""), """")"),"")</f>
        <v/>
      </c>
      <c r="I23" s="701"/>
      <c r="J23" s="126" t="s">
        <v>87</v>
      </c>
      <c r="K23" s="126" t="str">
        <f t="array" ref="K23">iferror(if(OR(D23="R-Flashing",D23="W-Flashing"),"LM",XLOOKUP(C23,Material!$A:$A,Material!$C:$C)),"")</f>
        <v>ea</v>
      </c>
      <c r="L23" s="704"/>
      <c r="M23" s="150">
        <f>ROUNDUP(M22*6,0)+1</f>
        <v>1017</v>
      </c>
      <c r="N23" s="151">
        <f t="shared" ref="N23:N25" si="11">if(C23="","",(if(N22="",N21,N22)))</f>
        <v>1.037742214</v>
      </c>
      <c r="O23" s="169">
        <v>1.0</v>
      </c>
      <c r="P23" s="134">
        <v>1.0</v>
      </c>
      <c r="Q23" s="135">
        <f t="shared" si="7"/>
        <v>1055.383832</v>
      </c>
      <c r="R23" s="136">
        <f t="array" ref="R23">IFERROR(
    IF(
        OR(D23="R-Flashing",D23="W-Flashing",D23="R-BG"),
        LET(
            StartRow,
            MATCH(
                I23&amp;"♦"&amp;H23,
                Material!$I:$I&amp;"♦"&amp;Material!$J:$J,
                0
            ),
            INDEX(
                Material!$J:$AF,
                StartRow+1+MATCH(
                    CEILING(E23*1000,50),
                    INDEX(Material!$I:$I,StartRow+2):INDEX(Material!$I:$I,StartRow+25),
                    0
                ),
                MATCH(
                    G23,
                    INDEX(Material!$I:$V,StartRow+1,0),
                    0
                )
            )
        ),
        XLOOKUP(C23,Material!$A:$A,Material!$D:$D)
    ),
"")</f>
        <v>0.34</v>
      </c>
      <c r="S23" s="152">
        <f t="shared" si="8"/>
        <v>358.8305028</v>
      </c>
      <c r="T23" s="690"/>
      <c r="U23" s="1082" t="str">
        <f t="array" ref="U23">IFERROR(
    IF(
        D23="R-Flashing",
        XLOOKUP(CEILING(E23*1000,50),Material!I:I,Material!X:X),
        XLOOKUP(C23,Material!A:A,Material!E:E)
    ),
    ""
)</f>
        <v/>
      </c>
      <c r="V23" s="691"/>
      <c r="W23" s="140">
        <f t="shared" si="9"/>
        <v>0</v>
      </c>
      <c r="X23" s="692"/>
      <c r="Y23" s="693"/>
      <c r="Z23" s="694"/>
      <c r="AA23" s="695"/>
      <c r="AB23" s="354">
        <f t="shared" si="10"/>
        <v>358.8305028</v>
      </c>
      <c r="AC23" s="181"/>
      <c r="AD23" s="625"/>
      <c r="AE23" s="626"/>
      <c r="AF23" s="696"/>
      <c r="AG23" s="697"/>
      <c r="AH23" s="629"/>
      <c r="AI23" s="187"/>
      <c r="AJ23" s="630"/>
      <c r="AK23" s="630"/>
      <c r="AL23" s="595"/>
      <c r="AM23" s="595"/>
      <c r="AN23" s="595"/>
      <c r="AO23" s="595"/>
      <c r="AP23" s="595"/>
      <c r="AQ23" s="595"/>
      <c r="AR23" s="595"/>
      <c r="AS23" s="595"/>
      <c r="AT23" s="595"/>
      <c r="AU23" s="595"/>
      <c r="AV23" s="595"/>
      <c r="AW23" s="595"/>
      <c r="AX23" s="595"/>
      <c r="AY23" s="595"/>
      <c r="AZ23" s="595"/>
      <c r="BA23" s="595"/>
      <c r="BB23" s="595"/>
      <c r="BC23" s="595"/>
      <c r="BD23" s="595"/>
      <c r="BE23" s="595"/>
      <c r="BF23" s="595"/>
      <c r="BG23" s="595"/>
      <c r="BH23" s="595"/>
      <c r="BI23" s="651"/>
      <c r="BJ23" s="651"/>
      <c r="BK23" s="651"/>
      <c r="BL23" s="651"/>
      <c r="BM23" s="651"/>
      <c r="BN23" s="651"/>
      <c r="BO23" s="651"/>
      <c r="BP23" s="651"/>
      <c r="BQ23" s="651"/>
      <c r="BR23" s="651"/>
      <c r="BS23" s="651"/>
      <c r="BT23" s="651"/>
    </row>
    <row r="24">
      <c r="A24" s="1080"/>
      <c r="B24" s="766"/>
      <c r="C24" s="767" t="s">
        <v>623</v>
      </c>
      <c r="D24" s="148" t="s">
        <v>615</v>
      </c>
      <c r="E24" s="687"/>
      <c r="F24" s="1086"/>
      <c r="G24" s="700"/>
      <c r="H24" s="128"/>
      <c r="I24" s="701"/>
      <c r="J24" s="126" t="s">
        <v>87</v>
      </c>
      <c r="K24" s="126" t="str">
        <f t="array" ref="K24">iferror(if(OR(D24="R-Flashing",D24="W-Flashing"),"LM",XLOOKUP(C24,Material!$A:$A,Material!$C:$C)),"")</f>
        <v>ea</v>
      </c>
      <c r="L24" s="704"/>
      <c r="M24" s="150">
        <f t="shared" ref="M24:M25" si="12">M23</f>
        <v>1017</v>
      </c>
      <c r="N24" s="151">
        <f t="shared" si="11"/>
        <v>1.037742214</v>
      </c>
      <c r="O24" s="169">
        <v>1.0</v>
      </c>
      <c r="P24" s="134">
        <v>1.0</v>
      </c>
      <c r="Q24" s="135">
        <f t="shared" si="7"/>
        <v>1055.383832</v>
      </c>
      <c r="R24" s="136">
        <f t="array" ref="R24">IFERROR(
    IF(
        OR(D24="R-Flashing",D24="W-Flashing",D24="R-BG"),
        LET(
            StartRow,
            MATCH(
                I24&amp;"♦"&amp;H24,
                Material!$I:$I&amp;"♦"&amp;Material!$J:$J,
                0
            ),
            INDEX(
                Material!$J:$AF,
                StartRow+1+MATCH(
                    CEILING(E24*1000,50),
                    INDEX(Material!$I:$I,StartRow+2):INDEX(Material!$I:$I,StartRow+25),
                    0
                ),
                MATCH(
                    G24,
                    INDEX(Material!$I:$V,StartRow+1,0),
                    0
                )
            )
        ),
        XLOOKUP(C24,Material!$A:$A,Material!$D:$D)
    ),
"")</f>
        <v>0.3</v>
      </c>
      <c r="S24" s="152">
        <f t="shared" si="8"/>
        <v>316.6151495</v>
      </c>
      <c r="T24" s="690"/>
      <c r="U24" s="1082" t="str">
        <f t="array" ref="U24">IFERROR(
    IF(
        D24="R-Flashing",
        XLOOKUP(CEILING(E24*1000,50),Material!I:I,Material!X:X),
        XLOOKUP(C24,Material!A:A,Material!E:E)
    ),
    ""
)</f>
        <v/>
      </c>
      <c r="V24" s="691"/>
      <c r="W24" s="140">
        <f t="shared" si="9"/>
        <v>0</v>
      </c>
      <c r="X24" s="692"/>
      <c r="Y24" s="693"/>
      <c r="Z24" s="694"/>
      <c r="AA24" s="695"/>
      <c r="AB24" s="354">
        <f t="shared" si="10"/>
        <v>316.6151495</v>
      </c>
      <c r="AC24" s="181"/>
      <c r="AD24" s="625"/>
      <c r="AE24" s="626"/>
      <c r="AF24" s="696"/>
      <c r="AG24" s="697"/>
      <c r="AH24" s="629"/>
      <c r="AI24" s="187"/>
      <c r="AJ24" s="630"/>
      <c r="AK24" s="630"/>
      <c r="AL24" s="595"/>
      <c r="AM24" s="595"/>
      <c r="AN24" s="595"/>
      <c r="AO24" s="595"/>
      <c r="AP24" s="595"/>
      <c r="AQ24" s="595"/>
      <c r="AR24" s="595"/>
      <c r="AS24" s="595"/>
      <c r="AT24" s="595"/>
      <c r="AU24" s="595"/>
      <c r="AV24" s="595"/>
      <c r="AW24" s="595"/>
      <c r="AX24" s="595"/>
      <c r="AY24" s="595"/>
      <c r="AZ24" s="595"/>
      <c r="BA24" s="595"/>
      <c r="BB24" s="595"/>
      <c r="BC24" s="595"/>
      <c r="BD24" s="595"/>
      <c r="BE24" s="595"/>
      <c r="BF24" s="595"/>
      <c r="BG24" s="595"/>
      <c r="BH24" s="595"/>
      <c r="BI24" s="651"/>
      <c r="BJ24" s="651"/>
      <c r="BK24" s="651"/>
      <c r="BL24" s="651"/>
      <c r="BM24" s="651"/>
      <c r="BN24" s="651"/>
      <c r="BO24" s="651"/>
      <c r="BP24" s="651"/>
      <c r="BQ24" s="651"/>
      <c r="BR24" s="651"/>
      <c r="BS24" s="651"/>
      <c r="BT24" s="651"/>
    </row>
    <row r="25">
      <c r="A25" s="1087"/>
      <c r="B25" s="766"/>
      <c r="C25" s="767" t="s">
        <v>624</v>
      </c>
      <c r="D25" s="148" t="s">
        <v>615</v>
      </c>
      <c r="E25" s="687"/>
      <c r="F25" s="1086"/>
      <c r="G25" s="225"/>
      <c r="H25" s="128"/>
      <c r="I25" s="701"/>
      <c r="J25" s="126" t="s">
        <v>87</v>
      </c>
      <c r="K25" s="126" t="str">
        <f t="array" ref="K25">iferror(if(OR(D25="R-Flashing",D25="W-Flashing"),"LM",XLOOKUP(C25,Material!$A:$A,Material!$C:$C)),"")</f>
        <v>ea</v>
      </c>
      <c r="L25" s="704"/>
      <c r="M25" s="150">
        <f t="shared" si="12"/>
        <v>1017</v>
      </c>
      <c r="N25" s="151">
        <f t="shared" si="11"/>
        <v>1.037742214</v>
      </c>
      <c r="O25" s="169">
        <v>1.0</v>
      </c>
      <c r="P25" s="134">
        <v>1.0</v>
      </c>
      <c r="Q25" s="135">
        <f t="shared" si="7"/>
        <v>1055.383832</v>
      </c>
      <c r="R25" s="136">
        <f t="array" ref="R25">IFERROR(
    IF(
        OR(D25="R-Flashing",D25="W-Flashing",D25="R-BG"),
        LET(
            StartRow,
            MATCH(
                I25&amp;"♦"&amp;H25,
                Material!$I:$I&amp;"♦"&amp;Material!$J:$J,
                0
            ),
            INDEX(
                Material!$J:$AF,
                StartRow+1+MATCH(
                    CEILING(E25*1000,50),
                    INDEX(Material!$I:$I,StartRow+2):INDEX(Material!$I:$I,StartRow+25),
                    0
                ),
                MATCH(
                    G25,
                    INDEX(Material!$I:$V,StartRow+1,0),
                    0
                )
            )
        ),
        XLOOKUP(C25,Material!$A:$A,Material!$D:$D)
    ),
"")</f>
        <v>0.2</v>
      </c>
      <c r="S25" s="152">
        <f t="shared" si="8"/>
        <v>211.0767663</v>
      </c>
      <c r="T25" s="690"/>
      <c r="U25" s="1082" t="str">
        <f t="array" ref="U25">IFERROR(
    IF(
        D25="R-Flashing",
        XLOOKUP(CEILING(E25*1000,50),Material!I:I,Material!X:X),
        XLOOKUP(C25,Material!A:A,Material!E:E)
    ),
    ""
)</f>
        <v/>
      </c>
      <c r="V25" s="691"/>
      <c r="W25" s="140">
        <f t="shared" si="9"/>
        <v>0</v>
      </c>
      <c r="X25" s="692"/>
      <c r="Y25" s="693"/>
      <c r="Z25" s="694"/>
      <c r="AA25" s="695"/>
      <c r="AB25" s="354">
        <f t="shared" si="10"/>
        <v>211.0767663</v>
      </c>
      <c r="AC25" s="181"/>
      <c r="AD25" s="705"/>
      <c r="AE25" s="706"/>
      <c r="AF25" s="707"/>
      <c r="AG25" s="708"/>
      <c r="AH25" s="709"/>
      <c r="AI25" s="187"/>
      <c r="AJ25" s="710"/>
      <c r="AK25" s="710"/>
      <c r="AL25" s="595"/>
      <c r="AM25" s="595"/>
      <c r="AN25" s="595"/>
      <c r="AO25" s="595"/>
      <c r="AP25" s="595"/>
      <c r="AQ25" s="595"/>
      <c r="AR25" s="595"/>
      <c r="AS25" s="595"/>
      <c r="AT25" s="595"/>
      <c r="AU25" s="595"/>
      <c r="AV25" s="595"/>
      <c r="AW25" s="595"/>
      <c r="AX25" s="595"/>
      <c r="AY25" s="595"/>
      <c r="AZ25" s="595"/>
      <c r="BA25" s="595"/>
      <c r="BB25" s="595"/>
      <c r="BC25" s="595"/>
      <c r="BD25" s="595"/>
      <c r="BE25" s="595"/>
      <c r="BF25" s="595"/>
      <c r="BG25" s="595"/>
      <c r="BH25" s="595"/>
      <c r="BI25" s="651"/>
      <c r="BJ25" s="651"/>
      <c r="BK25" s="651"/>
      <c r="BL25" s="651"/>
      <c r="BM25" s="651"/>
      <c r="BN25" s="651"/>
      <c r="BO25" s="651"/>
      <c r="BP25" s="651"/>
      <c r="BQ25" s="651"/>
      <c r="BR25" s="651"/>
      <c r="BS25" s="651"/>
      <c r="BT25" s="651"/>
    </row>
    <row r="26">
      <c r="A26" s="1087"/>
      <c r="B26" s="766"/>
      <c r="C26" s="767"/>
      <c r="D26" s="148"/>
      <c r="E26" s="687"/>
      <c r="F26" s="1086"/>
      <c r="G26" s="225"/>
      <c r="H26" s="128"/>
      <c r="I26" s="701"/>
      <c r="J26" s="126"/>
      <c r="K26" s="126" t="str">
        <f t="array" ref="K26">iferror(if(OR(D26="R-Flashing",D26="W-Flashing"),"LM",XLOOKUP(C26,Material!$A:$A,Material!$C:$C)),"")</f>
        <v/>
      </c>
      <c r="L26" s="704"/>
      <c r="M26" s="150"/>
      <c r="N26" s="151" t="str">
        <f>if(C26="","",(if(N20="",N19,N20)))</f>
        <v/>
      </c>
      <c r="O26" s="169"/>
      <c r="P26" s="134"/>
      <c r="Q26" s="135"/>
      <c r="R26" s="136" t="str">
        <f t="array" ref="R26">IFERROR(
    IF(
        OR(D26="R-Flashing",D26="W-Flashing",D26="R-BG"),
        LET(
            StartRow,
            MATCH(
                I26&amp;"♦"&amp;H26,
                Material!$I:$I&amp;"♦"&amp;Material!$J:$J,
                0
            ),
            INDEX(
                Material!$J:$AF,
                StartRow+1+MATCH(
                    CEILING(E26*1000,50),
                    INDEX(Material!$I:$I,StartRow+2):INDEX(Material!$I:$I,StartRow+25),
                    0
                ),
                MATCH(
                    G26,
                    INDEX(Material!$I:$V,StartRow+1,0),
                    0
                )
            )
        ),
        XLOOKUP(C26,Material!$A:$A,Material!$D:$D)
    ),
"")</f>
        <v/>
      </c>
      <c r="S26" s="152"/>
      <c r="T26" s="690"/>
      <c r="U26" s="1082" t="str">
        <f t="array" ref="U26">IFERROR(
    IF(
        D26="R-Flashing",
        XLOOKUP(CEILING(E26*1000,50),Material!I:I,Material!X:X),
        XLOOKUP(C26,Material!A:A,Material!E:E)
    ),
    ""
)</f>
        <v/>
      </c>
      <c r="V26" s="691"/>
      <c r="W26" s="140"/>
      <c r="X26" s="692"/>
      <c r="Y26" s="693"/>
      <c r="Z26" s="694"/>
      <c r="AA26" s="695"/>
      <c r="AB26" s="354"/>
      <c r="AC26" s="181"/>
      <c r="AD26" s="705"/>
      <c r="AE26" s="706"/>
      <c r="AF26" s="707"/>
      <c r="AG26" s="708"/>
      <c r="AH26" s="709"/>
      <c r="AI26" s="187"/>
      <c r="AJ26" s="710"/>
      <c r="AK26" s="710"/>
      <c r="AL26" s="595"/>
      <c r="AM26" s="595"/>
      <c r="AN26" s="595"/>
      <c r="AO26" s="595"/>
      <c r="AP26" s="595"/>
      <c r="AQ26" s="595"/>
      <c r="AR26" s="595"/>
      <c r="AS26" s="595"/>
      <c r="AT26" s="595"/>
      <c r="AU26" s="595"/>
      <c r="AV26" s="595"/>
      <c r="AW26" s="595"/>
      <c r="AX26" s="595"/>
      <c r="AY26" s="595"/>
      <c r="AZ26" s="595"/>
      <c r="BA26" s="595"/>
      <c r="BB26" s="595"/>
      <c r="BC26" s="595"/>
      <c r="BD26" s="595"/>
      <c r="BE26" s="595"/>
      <c r="BF26" s="595"/>
      <c r="BG26" s="595"/>
      <c r="BH26" s="595"/>
      <c r="BI26" s="651"/>
      <c r="BJ26" s="651"/>
      <c r="BK26" s="651"/>
      <c r="BL26" s="651"/>
      <c r="BM26" s="651"/>
      <c r="BN26" s="651"/>
      <c r="BO26" s="651"/>
      <c r="BP26" s="651"/>
      <c r="BQ26" s="651"/>
      <c r="BR26" s="651"/>
      <c r="BS26" s="651"/>
      <c r="BT26" s="651"/>
    </row>
    <row r="27">
      <c r="A27" s="1080">
        <v>1.0</v>
      </c>
      <c r="B27" s="764" t="s">
        <v>425</v>
      </c>
      <c r="C27" s="89" t="s">
        <v>78</v>
      </c>
      <c r="D27" s="656"/>
      <c r="E27" s="654"/>
      <c r="F27" s="1083"/>
      <c r="G27" s="656"/>
      <c r="H27" s="657"/>
      <c r="I27" s="656"/>
      <c r="J27" s="656"/>
      <c r="K27" s="656" t="s">
        <v>42</v>
      </c>
      <c r="L27" s="658"/>
      <c r="M27" s="658"/>
      <c r="N27" s="659"/>
      <c r="O27" s="658"/>
      <c r="P27" s="656"/>
      <c r="Q27" s="658"/>
      <c r="R27" s="136" t="str">
        <f t="array" ref="R27">IFERROR(
    IF(
        OR(D27="R-Flashing",D27="W-Flashing",D27="R-BG"),
        LET(
            StartRow,
            MATCH(
                I27&amp;"♦"&amp;H27,
                Material!$I:$I&amp;"♦"&amp;Material!$J:$J,
                0
            ),
            INDEX(
                Material!$J:$AF,
                StartRow+1+MATCH(
                    CEILING(E27*1000,50),
                    INDEX(Material!$I:$I,StartRow+2):INDEX(Material!$I:$I,StartRow+25),
                    0
                ),
                MATCH(
                    G27,
                    INDEX(Material!$I:$V,StartRow+1,0),
                    0
                )
            )
        ),
        XLOOKUP(C27,Material!$A:$A,Material!$D:$D)
    ),
"")</f>
        <v/>
      </c>
      <c r="S27" s="662"/>
      <c r="T27" s="661"/>
      <c r="U27" s="1082" t="str">
        <f t="array" ref="U27">IFERROR(
    IF(
        D27="R-Flashing",
        XLOOKUP(CEILING(E27*1000,50),Material!I:I,Material!X:X),
        XLOOKUP(C27,Material!A:A,Material!E:E)
    ),
    ""
)</f>
        <v/>
      </c>
      <c r="V27" s="662"/>
      <c r="W27" s="663"/>
      <c r="X27" s="664"/>
      <c r="Y27" s="595"/>
      <c r="Z27" s="595"/>
      <c r="AA27" s="595"/>
      <c r="AB27" s="595"/>
      <c r="AC27" s="181"/>
      <c r="AD27" s="668"/>
      <c r="AE27" s="669"/>
      <c r="AF27" s="670"/>
      <c r="AG27" s="715"/>
      <c r="AH27" s="672"/>
      <c r="AI27" s="187"/>
      <c r="AJ27" s="673"/>
      <c r="AK27" s="673"/>
      <c r="AL27" s="595"/>
      <c r="AM27" s="595"/>
      <c r="AN27" s="595"/>
      <c r="AO27" s="595"/>
      <c r="AP27" s="595"/>
      <c r="AQ27" s="595"/>
      <c r="AR27" s="595"/>
      <c r="AS27" s="595"/>
      <c r="AT27" s="595"/>
      <c r="AU27" s="595"/>
      <c r="AV27" s="595"/>
      <c r="AW27" s="595"/>
      <c r="AX27" s="595"/>
      <c r="AY27" s="595"/>
      <c r="AZ27" s="595"/>
      <c r="BA27" s="595"/>
      <c r="BB27" s="595"/>
      <c r="BC27" s="595"/>
      <c r="BD27" s="595"/>
      <c r="BE27" s="595"/>
      <c r="BF27" s="595"/>
      <c r="BG27" s="595"/>
      <c r="BH27" s="595"/>
      <c r="BI27" s="651"/>
      <c r="BJ27" s="651"/>
      <c r="BK27" s="651"/>
      <c r="BL27" s="651"/>
      <c r="BM27" s="651"/>
      <c r="BN27" s="651"/>
      <c r="BO27" s="651"/>
      <c r="BP27" s="651"/>
      <c r="BQ27" s="651"/>
      <c r="BR27" s="651"/>
      <c r="BS27" s="651"/>
      <c r="BT27" s="651"/>
    </row>
    <row r="28">
      <c r="A28" s="1080">
        <v>1.0</v>
      </c>
      <c r="B28" s="727"/>
      <c r="C28" s="157" t="s">
        <v>79</v>
      </c>
      <c r="D28" s="678"/>
      <c r="E28" s="676"/>
      <c r="F28" s="1084"/>
      <c r="G28" s="678"/>
      <c r="H28" s="728"/>
      <c r="I28" s="678"/>
      <c r="J28" s="678"/>
      <c r="K28" s="678" t="s">
        <v>42</v>
      </c>
      <c r="L28" s="106">
        <f>Q28</f>
        <v>513.3375299</v>
      </c>
      <c r="M28" s="679"/>
      <c r="N28" s="680"/>
      <c r="O28" s="679"/>
      <c r="P28" s="678"/>
      <c r="Q28" s="106">
        <f>Q29</f>
        <v>513.3375299</v>
      </c>
      <c r="R28" s="136" t="str">
        <f t="array" ref="R28">IFERROR(
    IF(
        OR(D28="R-Flashing",D28="W-Flashing",D28="R-BG"),
        LET(
            StartRow,
            MATCH(
                I28&amp;"♦"&amp;H28,
                Material!$I:$I&amp;"♦"&amp;Material!$J:$J,
                0
            ),
            INDEX(
                Material!$J:$AF,
                StartRow+1+MATCH(
                    CEILING(E28*1000,50),
                    INDEX(Material!$I:$I,StartRow+2):INDEX(Material!$I:$I,StartRow+25),
                    0
                ),
                MATCH(
                    G28,
                    INDEX(Material!$I:$V,StartRow+1,0),
                    0
                )
            )
        ),
        XLOOKUP(C28,Material!$A:$A,Material!$D:$D)
    ),
"")</f>
        <v/>
      </c>
      <c r="S28" s="682">
        <f>IFERROR(T28/Q28, 0)</f>
        <v>8.314909091</v>
      </c>
      <c r="T28" s="109">
        <f>SUM(S29:S31)</f>
        <v>4268.354894</v>
      </c>
      <c r="U28" s="1082" t="str">
        <f t="array" ref="U28">IFERROR(
    IF(
        D28="R-Flashing",
        XLOOKUP(CEILING(E28*1000,50),Material!I:I,Material!X:X),
        XLOOKUP(C28,Material!A:A,Material!E:E)
    ),
    ""
)</f>
        <v/>
      </c>
      <c r="V28" s="109">
        <f>iferror(W28/Q28,"")</f>
        <v>0</v>
      </c>
      <c r="W28" s="110">
        <f>SUM(W29:W31)</f>
        <v>0</v>
      </c>
      <c r="X28" s="111">
        <f>W28/$AC$210/$W$217/$X$207</f>
        <v>0</v>
      </c>
      <c r="Y28" s="112" t="b">
        <f>(T28+W28)=(SUM(AB29:AB31))</f>
        <v>1</v>
      </c>
      <c r="Z28" s="113">
        <f>(T28+W28)-(SUM(AB29:AB31))</f>
        <v>0</v>
      </c>
      <c r="AA28" s="595"/>
      <c r="AB28" s="595"/>
      <c r="AC28" s="181"/>
      <c r="AD28" s="114">
        <f>W28+T28</f>
        <v>4268.354894</v>
      </c>
      <c r="AE28" s="115">
        <f>AD28</f>
        <v>4268.354894</v>
      </c>
      <c r="AF28" s="116">
        <f>AE28/$AE$185</f>
        <v>0.05979395254</v>
      </c>
      <c r="AG28" s="683">
        <f>AF28*$AG$192</f>
        <v>1632.753457</v>
      </c>
      <c r="AH28" s="118">
        <f>AF28*$AG$195</f>
        <v>952.0780721</v>
      </c>
      <c r="AI28" s="187"/>
      <c r="AJ28" s="119">
        <f>ROUND(AK28/L28,2)</f>
        <v>13.35</v>
      </c>
      <c r="AK28" s="119">
        <f>ROUND(AH28+AG28+AD28,2)</f>
        <v>6853.19</v>
      </c>
      <c r="AL28" s="595"/>
      <c r="AM28" s="595"/>
      <c r="AN28" s="595"/>
      <c r="AO28" s="595"/>
      <c r="AP28" s="595"/>
      <c r="AQ28" s="595"/>
      <c r="AR28" s="595"/>
      <c r="AS28" s="595"/>
      <c r="AT28" s="595"/>
      <c r="AU28" s="595"/>
      <c r="AV28" s="595"/>
      <c r="AW28" s="595"/>
      <c r="AX28" s="595"/>
      <c r="AY28" s="595"/>
      <c r="AZ28" s="595"/>
      <c r="BA28" s="595"/>
      <c r="BB28" s="595"/>
      <c r="BC28" s="595"/>
      <c r="BD28" s="595"/>
      <c r="BE28" s="595"/>
      <c r="BF28" s="595"/>
      <c r="BG28" s="595"/>
      <c r="BH28" s="595"/>
      <c r="BI28" s="651"/>
      <c r="BJ28" s="651"/>
      <c r="BK28" s="651"/>
      <c r="BL28" s="651"/>
      <c r="BM28" s="651"/>
      <c r="BN28" s="651"/>
      <c r="BO28" s="651"/>
      <c r="BP28" s="651"/>
      <c r="BQ28" s="651"/>
      <c r="BR28" s="651"/>
      <c r="BS28" s="651"/>
      <c r="BT28" s="651"/>
    </row>
    <row r="29">
      <c r="A29" s="1080" t="s">
        <v>435</v>
      </c>
      <c r="B29" s="122"/>
      <c r="C29" s="123" t="s">
        <v>625</v>
      </c>
      <c r="D29" s="124" t="s">
        <v>82</v>
      </c>
      <c r="E29" s="687">
        <f t="array" ref="E29">XLOOKUP(C29,Material!$A:$A,Material!$F:$F)</f>
        <v>1.25</v>
      </c>
      <c r="F29" s="1088"/>
      <c r="G29" s="689"/>
      <c r="H29" s="128" t="str">
        <f>IFERROR(__xludf.DUMMYFUNCTION("IFERROR(REGEXEXTRACT(C29, ""(\d*\.\d+)mm""), """")"),"")</f>
        <v/>
      </c>
      <c r="I29" s="700"/>
      <c r="J29" s="126" t="s">
        <v>14</v>
      </c>
      <c r="K29" s="126" t="str">
        <f t="array" ref="K29">iferror(if(OR(D29="R-Flashing",D29="W-Flashing"),"LM",XLOOKUP(C29,Material!$A:$A,Material!$C:$C)),"")</f>
        <v>m2</v>
      </c>
      <c r="L29" s="135">
        <f>Q16</f>
        <v>451.7370263</v>
      </c>
      <c r="M29" s="150">
        <f>((L29)/(E29-0.15))*0.15+(L29)</f>
        <v>513.3375299</v>
      </c>
      <c r="N29" s="151">
        <f>IFERROR(__xludf.DUMMYFUNCTION("IF(
  AND(
    IFERROR(REGEXEXTRACT(C29,""@\s*(\d+(?:\.\d+)?)\s*deg""),"""")&lt;&gt;"""",
    F29&lt;&gt;""""
  ),
  ""Pls Confirm °"",
  IF(
    IFERROR(REGEXEXTRACT(C29,""@\s*(\d+(?:\.\d+)?)\s*deg""),"""")&lt;&gt;"""",
    1/COS(RADIANS(REGEXEXTRACT(C29,""@\s*(\d+(?:\.\d"&amp;"+)?)\s*deg""))),
    IF(
      F29&lt;&gt;"""",
      IF(
        ISNUMBER(SEARCH(""|"",F29)),
        1/COS(
          ATAN(
            TAN(RADIANS(VALUE(INDEX(SPLIT(F29,""|""),1)))) *
            TAN(RADIANS(VALUE(INDEX(SPLIT(F29,""|""),2))))
            /
 "&amp;"           SQRT(
              TAN(RADIANS(VALUE(INDEX(SPLIT(F29,""|""),1))))^2 +
              TAN(RADIANS(VALUE(INDEX(SPLIT(F29,""|""),2))))^2
            )
          )
        ),
        1/COS(RADIANS(VALUE(F29)))
      ),
      1
    )
  )
)"),1.0)</f>
        <v>1</v>
      </c>
      <c r="O29" s="169">
        <v>1.0</v>
      </c>
      <c r="P29" s="134">
        <v>1.0</v>
      </c>
      <c r="Q29" s="135">
        <f t="shared" ref="Q29:Q30" si="13">M29*N29*O29*P29</f>
        <v>513.3375299</v>
      </c>
      <c r="R29" s="136">
        <f t="array" ref="R29">IFERROR(
    IF(
        OR(D29="R-Flashing",D29="W-Flashing",D29="R-BG"),
        LET(
            StartRow,
            MATCH(
                I29&amp;"♦"&amp;H29,
                Material!$I:$I&amp;"♦"&amp;Material!$J:$J,
                0
            ),
            INDEX(
                Material!$J:$AF,
                StartRow+1+MATCH(
                    CEILING(E29*1000,50),
                    INDEX(Material!$I:$I,StartRow+2):INDEX(Material!$I:$I,StartRow+25),
                    0
                ),
                MATCH(
                    G29,
                    INDEX(Material!$I:$V,StartRow+1,0),
                    0
                )
            )
        ),
        XLOOKUP(C29,Material!$A:$A,Material!$D:$D)
    ),
"")</f>
        <v>7.82</v>
      </c>
      <c r="S29" s="152">
        <f t="shared" ref="S29:S30" si="14">R29*Q29</f>
        <v>4014.299484</v>
      </c>
      <c r="T29" s="690"/>
      <c r="U29" s="1082" t="str">
        <f t="array" ref="U29">IFERROR(
    IF(
        D29="R-Flashing",
        XLOOKUP(CEILING(E29*1000,50),Material!I:I,Material!X:X),
        XLOOKUP(C29,Material!A:A,Material!E:E)
    ),
    ""
)</f>
        <v/>
      </c>
      <c r="V29" s="691"/>
      <c r="W29" s="140">
        <f t="shared" ref="W29:W30" si="15">U29*Q29</f>
        <v>0</v>
      </c>
      <c r="X29" s="692"/>
      <c r="Y29" s="595"/>
      <c r="Z29" s="595"/>
      <c r="AA29" s="595"/>
      <c r="AB29" s="354">
        <f t="shared" ref="AB29:AB30" si="16">W29+S29</f>
        <v>4014.299484</v>
      </c>
      <c r="AC29" s="181"/>
      <c r="AD29" s="625"/>
      <c r="AE29" s="626"/>
      <c r="AF29" s="696"/>
      <c r="AG29" s="697"/>
      <c r="AH29" s="629"/>
      <c r="AI29" s="187"/>
      <c r="AJ29" s="630"/>
      <c r="AK29" s="630"/>
      <c r="AL29" s="595"/>
      <c r="AM29" s="595"/>
      <c r="AN29" s="595"/>
      <c r="AO29" s="595"/>
      <c r="AP29" s="595"/>
      <c r="AQ29" s="595"/>
      <c r="AR29" s="595"/>
      <c r="AS29" s="595"/>
      <c r="AT29" s="595"/>
      <c r="AU29" s="595"/>
      <c r="AV29" s="595"/>
      <c r="AW29" s="595"/>
      <c r="AX29" s="595"/>
      <c r="AY29" s="595"/>
      <c r="AZ29" s="595"/>
      <c r="BA29" s="595"/>
      <c r="BB29" s="595"/>
      <c r="BC29" s="595"/>
      <c r="BD29" s="595"/>
      <c r="BE29" s="595"/>
      <c r="BF29" s="595"/>
      <c r="BG29" s="595"/>
      <c r="BH29" s="595"/>
      <c r="BI29" s="651"/>
      <c r="BJ29" s="651"/>
      <c r="BK29" s="651"/>
      <c r="BL29" s="651"/>
      <c r="BM29" s="651"/>
      <c r="BN29" s="651"/>
      <c r="BO29" s="651"/>
      <c r="BP29" s="651"/>
      <c r="BQ29" s="651"/>
      <c r="BR29" s="651"/>
      <c r="BS29" s="651"/>
      <c r="BT29" s="651"/>
    </row>
    <row r="30">
      <c r="A30" s="1080" t="s">
        <v>435</v>
      </c>
      <c r="B30" s="768"/>
      <c r="C30" s="223" t="s">
        <v>626</v>
      </c>
      <c r="D30" s="124" t="s">
        <v>86</v>
      </c>
      <c r="E30" s="720">
        <f>E29</f>
        <v>1.25</v>
      </c>
      <c r="F30" s="1088"/>
      <c r="G30" s="700"/>
      <c r="H30" s="687">
        <f t="array" ref="H30">XLOOKUP(C30,Material!$A:$A,Material!$F:$F)</f>
        <v>66</v>
      </c>
      <c r="I30" s="700"/>
      <c r="J30" s="126" t="s">
        <v>87</v>
      </c>
      <c r="K30" s="126" t="str">
        <f t="array" ref="K30">iferror(if(OR(D30="R-Flashing",D30="W-Flashing"),"LM",XLOOKUP(C30,Material!$A:$A,Material!$C:$C)),"")</f>
        <v>ea</v>
      </c>
      <c r="L30" s="712"/>
      <c r="M30" s="169">
        <f>M29/E30/H30</f>
        <v>6.222273089</v>
      </c>
      <c r="N30" s="151">
        <f t="shared" ref="N30:N31" si="17">if(C30="","",(if(N29="",N28,N29)))</f>
        <v>1</v>
      </c>
      <c r="O30" s="169">
        <v>1.0</v>
      </c>
      <c r="P30" s="134">
        <v>1.0</v>
      </c>
      <c r="Q30" s="135">
        <f t="shared" si="13"/>
        <v>6.222273089</v>
      </c>
      <c r="R30" s="136">
        <f t="array" ref="R30">IFERROR(
    IF(
        OR(D30="R-Flashing",D30="W-Flashing",D30="R-BG"),
        LET(
            StartRow,
            MATCH(
                I30&amp;"♦"&amp;H30,
                Material!$I:$I&amp;"♦"&amp;Material!$J:$J,
                0
            ),
            INDEX(
                Material!$J:$AF,
                StartRow+1+MATCH(
                    CEILING(E30*1000,50),
                    INDEX(Material!$I:$I,StartRow+2):INDEX(Material!$I:$I,StartRow+25),
                    0
                ),
                MATCH(
                    G30,
                    INDEX(Material!$I:$V,StartRow+1,0),
                    0
                )
            )
        ),
        XLOOKUP(C30,Material!$A:$A,Material!$D:$D)
    ),
"")</f>
        <v>40.83</v>
      </c>
      <c r="S30" s="152">
        <f t="shared" si="14"/>
        <v>254.0554102</v>
      </c>
      <c r="T30" s="690"/>
      <c r="U30" s="1082" t="str">
        <f t="array" ref="U30">IFERROR(
    IF(
        D30="R-Flashing",
        XLOOKUP(CEILING(E30*1000,50),Material!I:I,Material!X:X),
        XLOOKUP(C30,Material!A:A,Material!E:E)
    ),
    ""
)</f>
        <v/>
      </c>
      <c r="V30" s="691"/>
      <c r="W30" s="140">
        <f t="shared" si="15"/>
        <v>0</v>
      </c>
      <c r="X30" s="692"/>
      <c r="Y30" s="693"/>
      <c r="Z30" s="694"/>
      <c r="AA30" s="595"/>
      <c r="AB30" s="354">
        <f t="shared" si="16"/>
        <v>254.0554102</v>
      </c>
      <c r="AC30" s="181"/>
      <c r="AD30" s="625"/>
      <c r="AE30" s="626"/>
      <c r="AF30" s="696"/>
      <c r="AG30" s="697"/>
      <c r="AH30" s="629"/>
      <c r="AI30" s="187"/>
      <c r="AJ30" s="630"/>
      <c r="AK30" s="630"/>
      <c r="AL30" s="595"/>
      <c r="AM30" s="595"/>
      <c r="AN30" s="595"/>
      <c r="AO30" s="595"/>
      <c r="AP30" s="595"/>
      <c r="AQ30" s="595"/>
      <c r="AR30" s="595"/>
      <c r="AS30" s="595"/>
      <c r="AT30" s="595"/>
      <c r="AU30" s="595"/>
      <c r="AV30" s="595"/>
      <c r="AW30" s="595"/>
      <c r="AX30" s="595"/>
      <c r="AY30" s="595"/>
      <c r="AZ30" s="595"/>
      <c r="BA30" s="595"/>
      <c r="BB30" s="595"/>
      <c r="BC30" s="595"/>
      <c r="BD30" s="595"/>
      <c r="BE30" s="595"/>
      <c r="BF30" s="595"/>
      <c r="BG30" s="595"/>
      <c r="BH30" s="595"/>
      <c r="BI30" s="651"/>
      <c r="BJ30" s="651"/>
      <c r="BK30" s="651"/>
      <c r="BL30" s="651"/>
      <c r="BM30" s="651"/>
      <c r="BN30" s="651"/>
      <c r="BO30" s="651"/>
      <c r="BP30" s="651"/>
      <c r="BQ30" s="651"/>
      <c r="BR30" s="651"/>
      <c r="BS30" s="651"/>
      <c r="BT30" s="651"/>
    </row>
    <row r="31">
      <c r="A31" s="1080"/>
      <c r="B31" s="154"/>
      <c r="C31" s="701"/>
      <c r="D31" s="701"/>
      <c r="E31" s="722"/>
      <c r="F31" s="1086"/>
      <c r="G31" s="700"/>
      <c r="H31" s="128"/>
      <c r="I31" s="700"/>
      <c r="J31" s="701"/>
      <c r="K31" s="126" t="str">
        <f t="array" ref="K31">iferror(if(OR(D31="R-Flashing",D31="W-Flashing"),"LM",XLOOKUP(C31,Material!$A:$A,Material!$C:$C)),"")</f>
        <v/>
      </c>
      <c r="L31" s="704"/>
      <c r="M31" s="704"/>
      <c r="N31" s="151" t="str">
        <f t="shared" si="17"/>
        <v/>
      </c>
      <c r="O31" s="712"/>
      <c r="P31" s="700"/>
      <c r="Q31" s="704"/>
      <c r="R31" s="136" t="str">
        <f t="array" ref="R31">IFERROR(
    IF(
        OR(D31="R-Flashing",D31="W-Flashing",D31="R-BG"),
        LET(
            StartRow,
            MATCH(
                I31&amp;"♦"&amp;H31,
                Material!$I:$I&amp;"♦"&amp;Material!$J:$J,
                0
            ),
            INDEX(
                Material!$J:$AF,
                StartRow+1+MATCH(
                    CEILING(E31*1000,50),
                    INDEX(Material!$I:$I,StartRow+2):INDEX(Material!$I:$I,StartRow+25),
                    0
                ),
                MATCH(
                    G31,
                    INDEX(Material!$I:$V,StartRow+1,0),
                    0
                )
            )
        ),
        XLOOKUP(C31,Material!$A:$A,Material!$D:$D)
    ),
"")</f>
        <v/>
      </c>
      <c r="S31" s="691"/>
      <c r="T31" s="690"/>
      <c r="U31" s="1082" t="str">
        <f t="array" ref="U31">IFERROR(
    IF(
        D31="R-Flashing",
        XLOOKUP(CEILING(E31*1000,50),Material!I:I,Material!X:X),
        XLOOKUP(C31,Material!A:A,Material!E:E)
    ),
    ""
)</f>
        <v/>
      </c>
      <c r="V31" s="691"/>
      <c r="W31" s="713"/>
      <c r="X31" s="692"/>
      <c r="Y31" s="595"/>
      <c r="Z31" s="595"/>
      <c r="AA31" s="595"/>
      <c r="AB31" s="595"/>
      <c r="AC31" s="181"/>
      <c r="AD31" s="625"/>
      <c r="AE31" s="626"/>
      <c r="AF31" s="696"/>
      <c r="AG31" s="697"/>
      <c r="AH31" s="629"/>
      <c r="AI31" s="187"/>
      <c r="AJ31" s="630"/>
      <c r="AK31" s="630"/>
      <c r="AL31" s="595"/>
      <c r="AM31" s="595"/>
      <c r="AN31" s="595"/>
      <c r="AO31" s="595"/>
      <c r="AP31" s="595"/>
      <c r="AQ31" s="595"/>
      <c r="AR31" s="595"/>
      <c r="AS31" s="595"/>
      <c r="AT31" s="595"/>
      <c r="AU31" s="595"/>
      <c r="AV31" s="595"/>
      <c r="AW31" s="595"/>
      <c r="AX31" s="595"/>
      <c r="AY31" s="595"/>
      <c r="AZ31" s="595"/>
      <c r="BA31" s="595"/>
      <c r="BB31" s="595"/>
      <c r="BC31" s="595"/>
      <c r="BD31" s="595"/>
      <c r="BE31" s="595"/>
      <c r="BF31" s="595"/>
      <c r="BG31" s="595"/>
      <c r="BH31" s="595"/>
      <c r="BI31" s="651"/>
      <c r="BJ31" s="651"/>
      <c r="BK31" s="651"/>
      <c r="BL31" s="651"/>
      <c r="BM31" s="651"/>
      <c r="BN31" s="651"/>
      <c r="BO31" s="651"/>
      <c r="BP31" s="651"/>
      <c r="BQ31" s="651"/>
      <c r="BR31" s="651"/>
      <c r="BS31" s="651"/>
      <c r="BT31" s="651"/>
    </row>
    <row r="32">
      <c r="A32" s="1080">
        <v>1.0</v>
      </c>
      <c r="B32" s="764" t="s">
        <v>425</v>
      </c>
      <c r="C32" s="167" t="s">
        <v>627</v>
      </c>
      <c r="D32" s="656"/>
      <c r="E32" s="654"/>
      <c r="F32" s="1083"/>
      <c r="G32" s="656"/>
      <c r="H32" s="657"/>
      <c r="I32" s="656"/>
      <c r="J32" s="656"/>
      <c r="K32" s="656" t="s">
        <v>42</v>
      </c>
      <c r="L32" s="658"/>
      <c r="M32" s="658"/>
      <c r="N32" s="659"/>
      <c r="O32" s="658"/>
      <c r="P32" s="656"/>
      <c r="Q32" s="658"/>
      <c r="R32" s="136">
        <f t="array" ref="R32">IFERROR(
    IF(
        OR(D32="R-Flashing",D32="W-Flashing",D32="R-BG"),
        LET(
            StartRow,
            MATCH(
                I32&amp;"♦"&amp;H32,
                Material!$I:$I&amp;"♦"&amp;Material!$J:$J,
                0
            ),
            INDEX(
                Material!$J:$AF,
                StartRow+1+MATCH(
                    CEILING(E32*1000,50),
                    INDEX(Material!$I:$I,StartRow+2):INDEX(Material!$I:$I,StartRow+25),
                    0
                ),
                MATCH(
                    G32,
                    INDEX(Material!$I:$V,StartRow+1,0),
                    0
                )
            )
        ),
        XLOOKUP(C32,Material!$A:$A,Material!$D:$D)
    ),
"")</f>
        <v>1.6</v>
      </c>
      <c r="S32" s="662"/>
      <c r="T32" s="661"/>
      <c r="U32" s="1082">
        <f t="array" ref="U32">IFERROR(
    IF(
        D32="R-Flashing",
        XLOOKUP(CEILING(E32*1000,50),Material!I:I,Material!X:X),
        XLOOKUP(C32,Material!A:A,Material!E:E)
    ),
    ""
)</f>
        <v>3</v>
      </c>
      <c r="V32" s="662"/>
      <c r="W32" s="663"/>
      <c r="X32" s="664"/>
      <c r="Y32" s="595"/>
      <c r="Z32" s="595"/>
      <c r="AA32" s="595"/>
      <c r="AB32" s="595"/>
      <c r="AC32" s="181"/>
      <c r="AD32" s="668"/>
      <c r="AE32" s="669"/>
      <c r="AF32" s="670"/>
      <c r="AG32" s="715"/>
      <c r="AH32" s="672"/>
      <c r="AI32" s="187"/>
      <c r="AJ32" s="673"/>
      <c r="AK32" s="673"/>
      <c r="AL32" s="595"/>
      <c r="AM32" s="595"/>
      <c r="AN32" s="595"/>
      <c r="AO32" s="595"/>
      <c r="AP32" s="595"/>
      <c r="AQ32" s="595"/>
      <c r="AR32" s="595"/>
      <c r="AS32" s="595"/>
      <c r="AT32" s="595"/>
      <c r="AU32" s="595"/>
      <c r="AV32" s="595"/>
      <c r="AW32" s="595"/>
      <c r="AX32" s="595"/>
      <c r="AY32" s="595"/>
      <c r="AZ32" s="595"/>
      <c r="BA32" s="595"/>
      <c r="BB32" s="595"/>
      <c r="BC32" s="595"/>
      <c r="BD32" s="595"/>
      <c r="BE32" s="595"/>
      <c r="BF32" s="595"/>
      <c r="BG32" s="595"/>
      <c r="BH32" s="595"/>
      <c r="BI32" s="651"/>
      <c r="BJ32" s="651"/>
      <c r="BK32" s="651"/>
      <c r="BL32" s="651"/>
      <c r="BM32" s="651"/>
      <c r="BN32" s="651"/>
      <c r="BO32" s="651"/>
      <c r="BP32" s="651"/>
      <c r="BQ32" s="651"/>
      <c r="BR32" s="651"/>
      <c r="BS32" s="651"/>
      <c r="BT32" s="651"/>
    </row>
    <row r="33">
      <c r="A33" s="1080">
        <v>1.0</v>
      </c>
      <c r="B33" s="727"/>
      <c r="C33" s="103" t="s">
        <v>90</v>
      </c>
      <c r="D33" s="678"/>
      <c r="E33" s="676"/>
      <c r="F33" s="1084"/>
      <c r="G33" s="678"/>
      <c r="H33" s="728"/>
      <c r="I33" s="678"/>
      <c r="J33" s="678"/>
      <c r="K33" s="678" t="s">
        <v>42</v>
      </c>
      <c r="L33" s="106">
        <f>Q33</f>
        <v>451.7370263</v>
      </c>
      <c r="M33" s="679"/>
      <c r="N33" s="680"/>
      <c r="O33" s="679"/>
      <c r="P33" s="678"/>
      <c r="Q33" s="106">
        <f>Q34</f>
        <v>451.7370263</v>
      </c>
      <c r="R33" s="136" t="str">
        <f t="array" ref="R33">IFERROR(
    IF(
        OR(D33="R-Flashing",D33="W-Flashing",D33="R-BG"),
        LET(
            StartRow,
            MATCH(
                I33&amp;"♦"&amp;H33,
                Material!$I:$I&amp;"♦"&amp;Material!$J:$J,
                0
            ),
            INDEX(
                Material!$J:$AF,
                StartRow+1+MATCH(
                    CEILING(E33*1000,50),
                    INDEX(Material!$I:$I,StartRow+2):INDEX(Material!$I:$I,StartRow+25),
                    0
                ),
                MATCH(
                    G33,
                    INDEX(Material!$I:$V,StartRow+1,0),
                    0
                )
            )
        ),
        XLOOKUP(C33,Material!$A:$A,Material!$D:$D)
    ),
"")</f>
        <v/>
      </c>
      <c r="S33" s="682">
        <f>IFERROR(T33/Q33, 0)</f>
        <v>1.6</v>
      </c>
      <c r="T33" s="109">
        <f>SUM(S34:S35)</f>
        <v>722.7792421</v>
      </c>
      <c r="U33" s="1082" t="str">
        <f t="array" ref="U33">IFERROR(
    IF(
        D33="R-Flashing",
        XLOOKUP(CEILING(E33*1000,50),Material!I:I,Material!X:X),
        XLOOKUP(C33,Material!A:A,Material!E:E)
    ),
    ""
)</f>
        <v/>
      </c>
      <c r="V33" s="109">
        <f>iferror(W33/Q33,"")</f>
        <v>3</v>
      </c>
      <c r="W33" s="110">
        <f>SUM(W34:W35)</f>
        <v>1355.211079</v>
      </c>
      <c r="X33" s="111">
        <f>W33/$AC$210/$W$217/$X$207</f>
        <v>0.9206597003</v>
      </c>
      <c r="Y33" s="112" t="b">
        <f>(T33+W33)=(SUM(AB34:AB35))</f>
        <v>1</v>
      </c>
      <c r="Z33" s="113">
        <f>(T33+W33)-(SUM(AB34:AB35))</f>
        <v>0</v>
      </c>
      <c r="AA33" s="595"/>
      <c r="AB33" s="595"/>
      <c r="AC33" s="181"/>
      <c r="AD33" s="114">
        <f>W33+T33</f>
        <v>2077.990321</v>
      </c>
      <c r="AE33" s="115">
        <f>AD33</f>
        <v>2077.990321</v>
      </c>
      <c r="AF33" s="116">
        <f>AE33/$AE$185</f>
        <v>0.02910986966</v>
      </c>
      <c r="AG33" s="683">
        <f>AF33*$AG$192</f>
        <v>794.8837347</v>
      </c>
      <c r="AH33" s="118">
        <f>AF33*$AG$195</f>
        <v>463.5062144</v>
      </c>
      <c r="AI33" s="187"/>
      <c r="AJ33" s="119">
        <f>ROUND(AK33/L33,2)</f>
        <v>7.39</v>
      </c>
      <c r="AK33" s="119">
        <f>ROUND(AH33+AG33+AD33,2)</f>
        <v>3336.38</v>
      </c>
      <c r="AL33" s="595"/>
      <c r="AM33" s="595"/>
      <c r="AN33" s="595"/>
      <c r="AO33" s="595"/>
      <c r="AP33" s="595"/>
      <c r="AQ33" s="595"/>
      <c r="AR33" s="595"/>
      <c r="AS33" s="595"/>
      <c r="AT33" s="595"/>
      <c r="AU33" s="595"/>
      <c r="AV33" s="595"/>
      <c r="AW33" s="595"/>
      <c r="AX33" s="595"/>
      <c r="AY33" s="595"/>
      <c r="AZ33" s="595"/>
      <c r="BA33" s="595"/>
      <c r="BB33" s="595"/>
      <c r="BC33" s="595"/>
      <c r="BD33" s="595"/>
      <c r="BE33" s="595"/>
      <c r="BF33" s="595"/>
      <c r="BG33" s="595"/>
      <c r="BH33" s="595"/>
      <c r="BI33" s="651"/>
      <c r="BJ33" s="651"/>
      <c r="BK33" s="651"/>
      <c r="BL33" s="651"/>
      <c r="BM33" s="651"/>
      <c r="BN33" s="651"/>
      <c r="BO33" s="651"/>
      <c r="BP33" s="651"/>
      <c r="BQ33" s="651"/>
      <c r="BR33" s="651"/>
      <c r="BS33" s="651"/>
      <c r="BT33" s="651"/>
    </row>
    <row r="34">
      <c r="A34" s="1080" t="s">
        <v>435</v>
      </c>
      <c r="B34" s="122"/>
      <c r="C34" s="123" t="s">
        <v>627</v>
      </c>
      <c r="D34" s="124" t="s">
        <v>82</v>
      </c>
      <c r="E34" s="687" t="str">
        <f t="array" ref="E34">XLOOKUP(C34,Material!$A:$A,Material!$F:$F)</f>
        <v/>
      </c>
      <c r="F34" s="1088"/>
      <c r="G34" s="689"/>
      <c r="H34" s="128" t="str">
        <f>IFERROR(__xludf.DUMMYFUNCTION("IFERROR(REGEXEXTRACT(C34, ""(\d*\.\d+)mm""), """")"),"")</f>
        <v/>
      </c>
      <c r="I34" s="700"/>
      <c r="J34" s="126" t="s">
        <v>14</v>
      </c>
      <c r="K34" s="126" t="str">
        <f t="array" ref="K34">iferror(if(OR(D34="R-Flashing",D34="W-Flashing"),"LM",XLOOKUP(C34,Material!$A:$A,Material!$C:$C)),"")</f>
        <v>m2</v>
      </c>
      <c r="L34" s="135"/>
      <c r="M34" s="150">
        <f>Q16</f>
        <v>451.7370263</v>
      </c>
      <c r="N34" s="151">
        <f>IFERROR(__xludf.DUMMYFUNCTION("IF(
  AND(
    IFERROR(REGEXEXTRACT(C34,""@\s*(\d+(?:\.\d+)?)\s*deg""),"""")&lt;&gt;"""",
    F34&lt;&gt;""""
  ),
  ""Pls Confirm °"",
  IF(
    IFERROR(REGEXEXTRACT(C34,""@\s*(\d+(?:\.\d+)?)\s*deg""),"""")&lt;&gt;"""",
    1/COS(RADIANS(REGEXEXTRACT(C34,""@\s*(\d+(?:\.\d"&amp;"+)?)\s*deg""))),
    IF(
      F34&lt;&gt;"""",
      IF(
        ISNUMBER(SEARCH(""|"",F34)),
        1/COS(
          ATAN(
            TAN(RADIANS(VALUE(INDEX(SPLIT(F34,""|""),1)))) *
            TAN(RADIANS(VALUE(INDEX(SPLIT(F34,""|""),2))))
            /
 "&amp;"           SQRT(
              TAN(RADIANS(VALUE(INDEX(SPLIT(F34,""|""),1))))^2 +
              TAN(RADIANS(VALUE(INDEX(SPLIT(F34,""|""),2))))^2
            )
          )
        ),
        1/COS(RADIANS(VALUE(F34)))
      ),
      1
    )
  )
)"),1.0)</f>
        <v>1</v>
      </c>
      <c r="O34" s="169">
        <v>1.0</v>
      </c>
      <c r="P34" s="134">
        <v>1.0</v>
      </c>
      <c r="Q34" s="135">
        <f>M34*N34*O34*P34</f>
        <v>451.7370263</v>
      </c>
      <c r="R34" s="136">
        <f t="array" ref="R34">IFERROR(
    IF(
        OR(D34="R-Flashing",D34="W-Flashing",D34="R-BG"),
        LET(
            StartRow,
            MATCH(
                I34&amp;"♦"&amp;H34,
                Material!$I:$I&amp;"♦"&amp;Material!$J:$J,
                0
            ),
            INDEX(
                Material!$J:$AF,
                StartRow+1+MATCH(
                    CEILING(E34*1000,50),
                    INDEX(Material!$I:$I,StartRow+2):INDEX(Material!$I:$I,StartRow+25),
                    0
                ),
                MATCH(
                    G34,
                    INDEX(Material!$I:$V,StartRow+1,0),
                    0
                )
            )
        ),
        XLOOKUP(C34,Material!$A:$A,Material!$D:$D)
    ),
"")</f>
        <v>1.6</v>
      </c>
      <c r="S34" s="152">
        <f>R34*Q34</f>
        <v>722.7792421</v>
      </c>
      <c r="T34" s="690"/>
      <c r="U34" s="1082">
        <f t="array" ref="U34">IFERROR(
    IF(
        D34="R-Flashing",
        XLOOKUP(CEILING(E34*1000,50),Material!I:I,Material!X:X),
        XLOOKUP(C34,Material!A:A,Material!E:E)
    ),
    ""
)</f>
        <v>3</v>
      </c>
      <c r="V34" s="691"/>
      <c r="W34" s="140">
        <f>U34*Q34</f>
        <v>1355.211079</v>
      </c>
      <c r="X34" s="692"/>
      <c r="Y34" s="595"/>
      <c r="Z34" s="595"/>
      <c r="AA34" s="595"/>
      <c r="AB34" s="354">
        <f>W34+S34</f>
        <v>2077.990321</v>
      </c>
      <c r="AC34" s="181"/>
      <c r="AD34" s="625"/>
      <c r="AE34" s="626"/>
      <c r="AF34" s="696"/>
      <c r="AG34" s="697"/>
      <c r="AH34" s="629"/>
      <c r="AI34" s="187"/>
      <c r="AJ34" s="630"/>
      <c r="AK34" s="630"/>
      <c r="AL34" s="595"/>
      <c r="AM34" s="595"/>
      <c r="AN34" s="595"/>
      <c r="AO34" s="595"/>
      <c r="AP34" s="595"/>
      <c r="AQ34" s="595"/>
      <c r="AR34" s="595"/>
      <c r="AS34" s="595"/>
      <c r="AT34" s="595"/>
      <c r="AU34" s="595"/>
      <c r="AV34" s="595"/>
      <c r="AW34" s="595"/>
      <c r="AX34" s="595"/>
      <c r="AY34" s="595"/>
      <c r="AZ34" s="595"/>
      <c r="BA34" s="595"/>
      <c r="BB34" s="595"/>
      <c r="BC34" s="595"/>
      <c r="BD34" s="595"/>
      <c r="BE34" s="595"/>
      <c r="BF34" s="595"/>
      <c r="BG34" s="595"/>
      <c r="BH34" s="595"/>
      <c r="BI34" s="651"/>
      <c r="BJ34" s="651"/>
      <c r="BK34" s="651"/>
      <c r="BL34" s="651"/>
      <c r="BM34" s="651"/>
      <c r="BN34" s="651"/>
      <c r="BO34" s="651"/>
      <c r="BP34" s="651"/>
      <c r="BQ34" s="651"/>
      <c r="BR34" s="651"/>
      <c r="BS34" s="651"/>
      <c r="BT34" s="651"/>
    </row>
    <row r="35">
      <c r="A35" s="1080"/>
      <c r="B35" s="154"/>
      <c r="C35" s="701"/>
      <c r="D35" s="701"/>
      <c r="E35" s="722"/>
      <c r="F35" s="1086"/>
      <c r="G35" s="700"/>
      <c r="H35" s="128"/>
      <c r="I35" s="700"/>
      <c r="J35" s="701"/>
      <c r="K35" s="126" t="str">
        <f t="array" ref="K35">iferror(if(OR(D35="R-Flashing",D35="W-Flashing"),"LM",XLOOKUP(C35,Material!$A:$A,Material!$C:$C)),"")</f>
        <v/>
      </c>
      <c r="L35" s="704"/>
      <c r="M35" s="704"/>
      <c r="N35" s="151" t="str">
        <f>if(C35="","",(if(#REF!="",N34,#REF!)))</f>
        <v/>
      </c>
      <c r="O35" s="712"/>
      <c r="P35" s="700"/>
      <c r="Q35" s="704"/>
      <c r="R35" s="136" t="str">
        <f t="array" ref="R35">IFERROR(
    IF(
        OR(D35="R-Flashing",D35="W-Flashing",D35="R-BG"),
        LET(
            StartRow,
            MATCH(
                I35&amp;"♦"&amp;H35,
                Material!$I:$I&amp;"♦"&amp;Material!$J:$J,
                0
            ),
            INDEX(
                Material!$J:$AF,
                StartRow+1+MATCH(
                    CEILING(E35*1000,50),
                    INDEX(Material!$I:$I,StartRow+2):INDEX(Material!$I:$I,StartRow+25),
                    0
                ),
                MATCH(
                    G35,
                    INDEX(Material!$I:$V,StartRow+1,0),
                    0
                )
            )
        ),
        XLOOKUP(C35,Material!$A:$A,Material!$D:$D)
    ),
"")</f>
        <v/>
      </c>
      <c r="S35" s="691"/>
      <c r="T35" s="690"/>
      <c r="U35" s="1082" t="str">
        <f t="array" ref="U35">IFERROR(
    IF(
        D35="R-Flashing",
        XLOOKUP(CEILING(E35*1000,50),Material!I:I,Material!X:X),
        XLOOKUP(C35,Material!A:A,Material!E:E)
    ),
    ""
)</f>
        <v/>
      </c>
      <c r="V35" s="691"/>
      <c r="W35" s="713"/>
      <c r="X35" s="692"/>
      <c r="Y35" s="595"/>
      <c r="Z35" s="595"/>
      <c r="AA35" s="595"/>
      <c r="AB35" s="595"/>
      <c r="AC35" s="181"/>
      <c r="AD35" s="625"/>
      <c r="AE35" s="626"/>
      <c r="AF35" s="696"/>
      <c r="AG35" s="697"/>
      <c r="AH35" s="629"/>
      <c r="AI35" s="187"/>
      <c r="AJ35" s="630"/>
      <c r="AK35" s="630"/>
      <c r="AL35" s="595"/>
      <c r="AM35" s="595"/>
      <c r="AN35" s="595"/>
      <c r="AO35" s="595"/>
      <c r="AP35" s="595"/>
      <c r="AQ35" s="595"/>
      <c r="AR35" s="595"/>
      <c r="AS35" s="595"/>
      <c r="AT35" s="595"/>
      <c r="AU35" s="595"/>
      <c r="AV35" s="595"/>
      <c r="AW35" s="595"/>
      <c r="AX35" s="595"/>
      <c r="AY35" s="595"/>
      <c r="AZ35" s="595"/>
      <c r="BA35" s="595"/>
      <c r="BB35" s="595"/>
      <c r="BC35" s="595"/>
      <c r="BD35" s="595"/>
      <c r="BE35" s="595"/>
      <c r="BF35" s="595"/>
      <c r="BG35" s="595"/>
      <c r="BH35" s="595"/>
      <c r="BI35" s="651"/>
      <c r="BJ35" s="651"/>
      <c r="BK35" s="651"/>
      <c r="BL35" s="651"/>
      <c r="BM35" s="651"/>
      <c r="BN35" s="651"/>
      <c r="BO35" s="651"/>
      <c r="BP35" s="651"/>
      <c r="BQ35" s="651"/>
      <c r="BR35" s="651"/>
      <c r="BS35" s="651"/>
      <c r="BT35" s="651"/>
    </row>
    <row r="36">
      <c r="A36" s="1080">
        <v>1.0</v>
      </c>
      <c r="B36" s="764" t="s">
        <v>425</v>
      </c>
      <c r="C36" s="89" t="s">
        <v>93</v>
      </c>
      <c r="D36" s="172"/>
      <c r="E36" s="654"/>
      <c r="F36" s="1083"/>
      <c r="G36" s="656"/>
      <c r="H36" s="657"/>
      <c r="I36" s="656"/>
      <c r="J36" s="656"/>
      <c r="K36" s="656" t="s">
        <v>42</v>
      </c>
      <c r="L36" s="658"/>
      <c r="M36" s="658" t="s">
        <v>42</v>
      </c>
      <c r="N36" s="659"/>
      <c r="O36" s="658"/>
      <c r="P36" s="656"/>
      <c r="Q36" s="658"/>
      <c r="R36" s="136" t="str">
        <f t="array" ref="R36">IFERROR(
    IF(
        OR(D36="R-Flashing",D36="W-Flashing",D36="R-BG"),
        LET(
            StartRow,
            MATCH(
                I36&amp;"♦"&amp;H36,
                Material!$I:$I&amp;"♦"&amp;Material!$J:$J,
                0
            ),
            INDEX(
                Material!$J:$AF,
                StartRow+1+MATCH(
                    CEILING(E36*1000,50),
                    INDEX(Material!$I:$I,StartRow+2):INDEX(Material!$I:$I,StartRow+25),
                    0
                ),
                MATCH(
                    G36,
                    INDEX(Material!$I:$V,StartRow+1,0),
                    0
                )
            )
        ),
        XLOOKUP(C36,Material!$A:$A,Material!$D:$D)
    ),
"")</f>
        <v/>
      </c>
      <c r="S36" s="662"/>
      <c r="T36" s="661"/>
      <c r="U36" s="1082" t="str">
        <f t="array" ref="U36">IFERROR(
    IF(
        D36="R-Flashing",
        XLOOKUP(CEILING(E36*1000,50),Material!I:I,Material!X:X),
        XLOOKUP(C36,Material!A:A,Material!E:E)
    ),
    ""
)</f>
        <v/>
      </c>
      <c r="V36" s="662"/>
      <c r="W36" s="663"/>
      <c r="X36" s="692"/>
      <c r="Y36" s="595"/>
      <c r="Z36" s="595"/>
      <c r="AA36" s="595"/>
      <c r="AB36" s="595"/>
      <c r="AC36" s="181"/>
      <c r="AD36" s="625"/>
      <c r="AE36" s="626"/>
      <c r="AF36" s="696"/>
      <c r="AG36" s="697"/>
      <c r="AH36" s="629"/>
      <c r="AI36" s="187"/>
      <c r="AJ36" s="630"/>
      <c r="AK36" s="630"/>
      <c r="AL36" s="595"/>
      <c r="AM36" s="595"/>
      <c r="AN36" s="595"/>
      <c r="AO36" s="595"/>
      <c r="AP36" s="595"/>
      <c r="AQ36" s="595"/>
      <c r="AR36" s="595"/>
      <c r="AS36" s="595"/>
      <c r="AT36" s="595"/>
      <c r="AU36" s="595"/>
      <c r="AV36" s="595"/>
      <c r="AW36" s="595"/>
      <c r="AX36" s="595"/>
      <c r="AY36" s="595"/>
      <c r="AZ36" s="595"/>
      <c r="BA36" s="595"/>
      <c r="BB36" s="595"/>
      <c r="BC36" s="595"/>
      <c r="BD36" s="595"/>
      <c r="BE36" s="595"/>
      <c r="BF36" s="595"/>
      <c r="BG36" s="595"/>
      <c r="BH36" s="595"/>
      <c r="BI36" s="651"/>
      <c r="BJ36" s="651"/>
      <c r="BK36" s="651"/>
      <c r="BL36" s="651"/>
      <c r="BM36" s="651"/>
      <c r="BN36" s="651"/>
      <c r="BO36" s="651"/>
      <c r="BP36" s="651"/>
      <c r="BQ36" s="651"/>
      <c r="BR36" s="651"/>
      <c r="BS36" s="651"/>
      <c r="BT36" s="651"/>
    </row>
    <row r="37">
      <c r="A37" s="1080">
        <v>1.0</v>
      </c>
      <c r="B37" s="102"/>
      <c r="C37" s="103" t="s">
        <v>628</v>
      </c>
      <c r="D37" s="104"/>
      <c r="E37" s="749"/>
      <c r="F37" s="1089"/>
      <c r="G37" s="104"/>
      <c r="H37" s="104"/>
      <c r="I37" s="104"/>
      <c r="J37" s="104"/>
      <c r="K37" s="104" t="s">
        <v>42</v>
      </c>
      <c r="L37" s="106">
        <f>Q37</f>
        <v>52</v>
      </c>
      <c r="M37" s="105" t="s">
        <v>42</v>
      </c>
      <c r="N37" s="107"/>
      <c r="O37" s="105"/>
      <c r="P37" s="104"/>
      <c r="Q37" s="106">
        <f>Q38</f>
        <v>52</v>
      </c>
      <c r="R37" s="136" t="str">
        <f t="array" ref="R37">IFERROR(
    IF(
        OR(D37="R-Flashing",D37="W-Flashing",D37="R-BG"),
        LET(
            StartRow,
            MATCH(
                I37&amp;"♦"&amp;H37,
                Material!$I:$I&amp;"♦"&amp;Material!$J:$J,
                0
            ),
            INDEX(
                Material!$J:$AF,
                StartRow+1+MATCH(
                    CEILING(E37*1000,50),
                    INDEX(Material!$I:$I,StartRow+2):INDEX(Material!$I:$I,StartRow+25),
                    0
                ),
                MATCH(
                    G37,
                    INDEX(Material!$I:$V,StartRow+1,0),
                    0
                )
            )
        ),
        XLOOKUP(C37,Material!$A:$A,Material!$D:$D)
    ),
"")</f>
        <v/>
      </c>
      <c r="S37" s="682">
        <f>IFERROR(T37/Q37, 0)</f>
        <v>43.92947115</v>
      </c>
      <c r="T37" s="109">
        <f>SUM(S38:S44)</f>
        <v>2284.3325</v>
      </c>
      <c r="U37" s="1082" t="str">
        <f t="array" ref="U37">IFERROR(
    IF(
        D37="R-Flashing",
        XLOOKUP(CEILING(E37*1000,50),Material!I:I,Material!X:X),
        XLOOKUP(C37,Material!A:A,Material!E:E)
    ),
    ""
)</f>
        <v/>
      </c>
      <c r="V37" s="109">
        <f>W37/Q37</f>
        <v>21</v>
      </c>
      <c r="W37" s="110">
        <f>SUM(W38:W44)</f>
        <v>1092</v>
      </c>
      <c r="X37" s="111">
        <f>W37/$AC$210/$W$217/$X$207</f>
        <v>0.7418478261</v>
      </c>
      <c r="Y37" s="112" t="b">
        <f>(T37+W37)=(SUM(AB38:AB44))</f>
        <v>1</v>
      </c>
      <c r="Z37" s="113">
        <f>(T37+W37)-(SUM(AB38:AB44))</f>
        <v>0</v>
      </c>
      <c r="AA37" s="5"/>
      <c r="AB37" s="5"/>
      <c r="AC37" s="33"/>
      <c r="AD37" s="114">
        <f>W37+T37</f>
        <v>3376.3325</v>
      </c>
      <c r="AE37" s="115">
        <f>AD37</f>
        <v>3376.3325</v>
      </c>
      <c r="AF37" s="116">
        <f>AE37/$AE$185</f>
        <v>0.04729790992</v>
      </c>
      <c r="AG37" s="683">
        <f>AF37*$AG$192</f>
        <v>1291.532381</v>
      </c>
      <c r="AH37" s="118">
        <f>AF37*$AG$195</f>
        <v>753.1079812</v>
      </c>
      <c r="AI37" s="187"/>
      <c r="AJ37" s="119">
        <f>ROUND(AK37/L37,2)</f>
        <v>104.25</v>
      </c>
      <c r="AK37" s="119">
        <f>ROUND(AH37+AG37+AD37,2)</f>
        <v>5420.97</v>
      </c>
      <c r="AL37" s="5"/>
      <c r="AM37" s="5"/>
      <c r="AN37" s="5"/>
      <c r="AO37" s="5"/>
      <c r="AP37" s="5"/>
      <c r="AQ37" s="5"/>
      <c r="AR37" s="5"/>
      <c r="AS37" s="5"/>
      <c r="AT37" s="5"/>
      <c r="AU37" s="5"/>
      <c r="AV37" s="5"/>
      <c r="AW37" s="5"/>
      <c r="AX37" s="5"/>
      <c r="AY37" s="5"/>
      <c r="AZ37" s="5"/>
      <c r="BA37" s="5"/>
      <c r="BB37" s="5"/>
      <c r="BC37" s="5"/>
      <c r="BD37" s="5"/>
      <c r="BE37" s="5"/>
      <c r="BF37" s="5"/>
      <c r="BG37" s="5"/>
      <c r="BH37" s="5"/>
      <c r="BI37" s="260"/>
      <c r="BJ37" s="260"/>
      <c r="BK37" s="260"/>
      <c r="BL37" s="260"/>
      <c r="BM37" s="260"/>
      <c r="BN37" s="260"/>
      <c r="BO37" s="260"/>
      <c r="BP37" s="260"/>
      <c r="BQ37" s="260"/>
      <c r="BR37" s="260"/>
      <c r="BS37" s="260"/>
      <c r="BT37" s="260"/>
    </row>
    <row r="38">
      <c r="A38" s="1080" t="s">
        <v>444</v>
      </c>
      <c r="B38" s="154"/>
      <c r="C38" s="123" t="s">
        <v>629</v>
      </c>
      <c r="D38" s="124" t="s">
        <v>96</v>
      </c>
      <c r="E38" s="687">
        <f>VALUE(MID(C38, FIND("(", C38)+1, FIND("/", C38)-FIND("(", C38)-1)) / 1000</f>
        <v>0.67</v>
      </c>
      <c r="F38" s="1085"/>
      <c r="G38" s="128">
        <f>VALUE(MID(C38,FIND("/",C38)+1,FIND("B",C38,FIND("/",C38))-FIND("/",C38)-1))</f>
        <v>3</v>
      </c>
      <c r="H38" s="128" t="str">
        <f>IFERROR(__xludf.DUMMYFUNCTION("IFERROR(REGEXEXTRACT(C38,""(\d*\.?\d+)\s*bmt""),IFERROR(REGEXEXTRACT(C38,""(\d*\.?\d+)\s*mm""),""""))"),"0.55")</f>
        <v>0.55</v>
      </c>
      <c r="I38" s="125" t="s">
        <v>630</v>
      </c>
      <c r="J38" s="126" t="s">
        <v>14</v>
      </c>
      <c r="K38" s="126" t="str">
        <f t="array" ref="K38">iferror(if(OR(D38="R-Flashing",D38="W-Flashing"),"LM",XLOOKUP(C38,Material!$A:$A,Material!$C:$C)),"")</f>
        <v>LM</v>
      </c>
      <c r="L38" s="163"/>
      <c r="M38" s="730">
        <v>52.0</v>
      </c>
      <c r="N38" s="151">
        <f>IFERROR(__xludf.DUMMYFUNCTION("IF(
  AND(
    IFERROR(REGEXEXTRACT(C38,""@\s*(\d+(?:\.\d+)?)\s*deg""),"""")&lt;&gt;"""",
    F38&lt;&gt;""""
  ),
  ""Pls Confirm °"",
  IF(
    IFERROR(REGEXEXTRACT(C38,""@\s*(\d+(?:\.\d+)?)\s*deg""),"""")&lt;&gt;"""",
    1/COS(RADIANS(REGEXEXTRACT(C38,""@\s*(\d+(?:\.\d"&amp;"+)?)\s*deg""))),
    IF(
      F38&lt;&gt;"""",
      IF(
        ISNUMBER(SEARCH(""|"",F38)),
        1/COS(
          ATAN(
            TAN(RADIANS(VALUE(INDEX(SPLIT(F38,""|""),1)))) *
            TAN(RADIANS(VALUE(INDEX(SPLIT(F38,""|""),2))))
            /
 "&amp;"           SQRT(
              TAN(RADIANS(VALUE(INDEX(SPLIT(F38,""|""),1))))^2 +
              TAN(RADIANS(VALUE(INDEX(SPLIT(F38,""|""),2))))^2
            )
          )
        ),
        1/COS(RADIANS(VALUE(F38)))
      ),
      1
    )
  )
)"),1.0)</f>
        <v>1</v>
      </c>
      <c r="O38" s="169">
        <v>1.0</v>
      </c>
      <c r="P38" s="134">
        <v>1.0</v>
      </c>
      <c r="Q38" s="168">
        <f t="shared" ref="Q38:Q43" si="18">M38*N38*O38*P38</f>
        <v>52</v>
      </c>
      <c r="R38" s="136">
        <f t="array" ref="R38">IFERROR(
    IF(
        OR(D38="R-Flashing",D38="W-Flashing",D38="R-BG"),
        LET(
            StartRow,
            MATCH(
                I38&amp;"♦"&amp;H38,
                Material!$I:$I&amp;"♦"&amp;Material!$J:$J,
                0
            ),
            INDEX(
                Material!$J:$AF,
                StartRow+1+MATCH(
                    CEILING(E38*1000,50),
                    INDEX(Material!$I:$I,StartRow+2):INDEX(Material!$I:$I,StartRow+25),
                    0
                ),
                MATCH(
                    G38,
                    INDEX(Material!$I:$V,StartRow+1,0),
                    0
                )
            )
        ),
        XLOOKUP(C38,Material!$A:$A,Material!$D:$D)
    ),
"")</f>
        <v>32.84</v>
      </c>
      <c r="S38" s="152">
        <f t="shared" ref="S38:S43" si="19">R38*Q38</f>
        <v>1707.68</v>
      </c>
      <c r="T38" s="138"/>
      <c r="U38" s="1082">
        <f t="array" ref="U38">IFERROR(
    IF(
        D38="R-Flashing",
        XLOOKUP(CEILING(E38*1000,50),Material!I:I,Material!X:X),
        XLOOKUP(C38,Material!A:A,Material!E:E)
    ),
    ""
)</f>
        <v>15</v>
      </c>
      <c r="V38" s="139"/>
      <c r="W38" s="140">
        <f t="shared" ref="W38:W43" si="20">U38*Q38</f>
        <v>780</v>
      </c>
      <c r="X38" s="159"/>
      <c r="Y38" s="165"/>
      <c r="Z38" s="1090"/>
      <c r="AA38" s="5"/>
      <c r="AB38" s="354">
        <f t="shared" ref="AB38:AB43" si="21">W38+S38</f>
        <v>2487.68</v>
      </c>
      <c r="AC38" s="33"/>
      <c r="AD38" s="65"/>
      <c r="AE38" s="66"/>
      <c r="AF38" s="144"/>
      <c r="AG38" s="68"/>
      <c r="AH38" s="69"/>
      <c r="AI38" s="39"/>
      <c r="AJ38" s="70"/>
      <c r="AK38" s="70"/>
      <c r="AL38" s="5"/>
      <c r="AM38" s="5"/>
      <c r="AN38" s="5"/>
      <c r="AO38" s="5"/>
      <c r="AP38" s="5"/>
      <c r="AQ38" s="5"/>
      <c r="AR38" s="5"/>
      <c r="AS38" s="5"/>
      <c r="AT38" s="5"/>
      <c r="AU38" s="5"/>
      <c r="AV38" s="5"/>
      <c r="AW38" s="5"/>
      <c r="AX38" s="5"/>
      <c r="AY38" s="5"/>
      <c r="AZ38" s="5"/>
      <c r="BA38" s="5"/>
      <c r="BB38" s="5"/>
      <c r="BC38" s="5"/>
      <c r="BD38" s="5"/>
      <c r="BE38" s="5"/>
      <c r="BF38" s="5"/>
      <c r="BG38" s="5"/>
      <c r="BH38" s="5"/>
      <c r="BI38" s="260"/>
      <c r="BJ38" s="260"/>
      <c r="BK38" s="260"/>
      <c r="BL38" s="260"/>
      <c r="BM38" s="260"/>
      <c r="BN38" s="260"/>
      <c r="BO38" s="260"/>
      <c r="BP38" s="260"/>
      <c r="BQ38" s="260"/>
      <c r="BR38" s="260"/>
      <c r="BS38" s="260"/>
      <c r="BT38" s="260"/>
    </row>
    <row r="39">
      <c r="A39" s="1080"/>
      <c r="B39" s="154"/>
      <c r="C39" s="734" t="s">
        <v>98</v>
      </c>
      <c r="D39" s="124" t="s">
        <v>99</v>
      </c>
      <c r="E39" s="687">
        <f>E38</f>
        <v>0.67</v>
      </c>
      <c r="F39" s="1085" t="str">
        <f>IFERROR(__xludf.DUMMYFUNCTION("iferror(ROUND(
  DEGREES(
    ATAN(
      TAN(RADIANS(VALUE(INDEX(SPLIT(F38,""|""),1)))) *
      TAN(RADIANS(VALUE(INDEX(SPLIT(F38,""|""),2))))
      /
      SQRT(
        TAN(RADIANS(VALUE(INDEX(SPLIT(F38,""|""),1))))^2 +
        TAN(RADIANS(VALUE(INDEX("&amp;"SPLIT(F38,""|""),2))))^2
      )
    )
  ),
  2
))"),"")</f>
        <v/>
      </c>
      <c r="G39" s="127"/>
      <c r="H39" s="127" t="str">
        <f>IFERROR(__xludf.DUMMYFUNCTION("IFERROR(REGEXEXTRACT(C39, ""(\d*\.\d+)mm""), """")"),"")</f>
        <v/>
      </c>
      <c r="I39" s="127"/>
      <c r="J39" s="126" t="s">
        <v>87</v>
      </c>
      <c r="K39" s="126" t="str">
        <f t="array" ref="K39">iferror(if(OR(D39="R-Flashing",D39="W-Flashing"),"LM",XLOOKUP(C39,Material!$A:$A,Material!$C:$C)),"")</f>
        <v>ea</v>
      </c>
      <c r="L39" s="163"/>
      <c r="M39" s="150">
        <f>(ROUNDDOWN((M38/5.7)+2,0)*E39)/8</f>
        <v>0.92125</v>
      </c>
      <c r="N39" s="151">
        <f t="shared" ref="N39:N44" si="22">if(C39="","",(if(N38="",N37,N38)))</f>
        <v>1</v>
      </c>
      <c r="O39" s="169">
        <v>1.0</v>
      </c>
      <c r="P39" s="134">
        <v>1.0</v>
      </c>
      <c r="Q39" s="168">
        <f t="shared" si="18"/>
        <v>0.92125</v>
      </c>
      <c r="R39" s="136">
        <f t="array" ref="R39">IFERROR(
    IF(
        OR(D39="R-Flashing",D39="W-Flashing",D39="R-BG"),
        LET(
            StartRow,
            MATCH(
                I39&amp;"♦"&amp;H39,
                Material!$I:$I&amp;"♦"&amp;Material!$J:$J,
                0
            ),
            INDEX(
                Material!$J:$AF,
                StartRow+1+MATCH(
                    CEILING(E39*1000,50),
                    INDEX(Material!$I:$I,StartRow+2):INDEX(Material!$I:$I,StartRow+25),
                    0
                ),
                MATCH(
                    G39,
                    INDEX(Material!$I:$V,StartRow+1,0),
                    0
                )
            )
        ),
        XLOOKUP(C39,Material!$A:$A,Material!$D:$D)
    ),
"")</f>
        <v>10</v>
      </c>
      <c r="S39" s="152">
        <f t="shared" si="19"/>
        <v>9.2125</v>
      </c>
      <c r="T39" s="138"/>
      <c r="U39" s="1082" t="str">
        <f t="array" ref="U39">IFERROR(
    IF(
        D39="R-Flashing",
        XLOOKUP(CEILING(E39*1000,50),Material!I:I,Material!X:X),
        XLOOKUP(C39,Material!A:A,Material!E:E)
    ),
    ""
)</f>
        <v/>
      </c>
      <c r="V39" s="139"/>
      <c r="W39" s="140">
        <f t="shared" si="20"/>
        <v>0</v>
      </c>
      <c r="X39" s="159"/>
      <c r="Y39" s="5"/>
      <c r="Z39" s="5"/>
      <c r="AA39" s="5"/>
      <c r="AB39" s="354">
        <f t="shared" si="21"/>
        <v>9.2125</v>
      </c>
      <c r="AC39" s="33"/>
      <c r="AD39" s="65"/>
      <c r="AE39" s="66"/>
      <c r="AF39" s="144"/>
      <c r="AG39" s="68"/>
      <c r="AH39" s="69"/>
      <c r="AI39" s="39"/>
      <c r="AJ39" s="70"/>
      <c r="AK39" s="70"/>
      <c r="AL39" s="5"/>
      <c r="AM39" s="5"/>
      <c r="AN39" s="5"/>
      <c r="AO39" s="5"/>
      <c r="AP39" s="5"/>
      <c r="AQ39" s="5"/>
      <c r="AR39" s="5"/>
      <c r="AS39" s="5"/>
      <c r="AT39" s="5"/>
      <c r="AU39" s="5"/>
      <c r="AV39" s="5"/>
      <c r="AW39" s="5"/>
      <c r="AX39" s="5"/>
      <c r="AY39" s="5"/>
      <c r="AZ39" s="5"/>
      <c r="BA39" s="5"/>
      <c r="BB39" s="5"/>
      <c r="BC39" s="5"/>
      <c r="BD39" s="5"/>
      <c r="BE39" s="5"/>
      <c r="BF39" s="5"/>
      <c r="BG39" s="5"/>
      <c r="BH39" s="5"/>
      <c r="BI39" s="260"/>
      <c r="BJ39" s="260"/>
      <c r="BK39" s="260"/>
      <c r="BL39" s="260"/>
      <c r="BM39" s="260"/>
      <c r="BN39" s="260"/>
      <c r="BO39" s="260"/>
      <c r="BP39" s="260"/>
      <c r="BQ39" s="260"/>
      <c r="BR39" s="260"/>
      <c r="BS39" s="260"/>
      <c r="BT39" s="260"/>
    </row>
    <row r="40">
      <c r="A40" s="1080"/>
      <c r="B40" s="154"/>
      <c r="C40" s="734" t="s">
        <v>100</v>
      </c>
      <c r="D40" s="124" t="s">
        <v>101</v>
      </c>
      <c r="E40" s="687">
        <f>E38</f>
        <v>0.67</v>
      </c>
      <c r="F40" s="1085"/>
      <c r="G40" s="127"/>
      <c r="H40" s="127" t="str">
        <f>IFERROR(__xludf.DUMMYFUNCTION("IFERROR(REGEXEXTRACT(C40, ""(\d*\.\d+)mm""), """")"),"")</f>
        <v/>
      </c>
      <c r="I40" s="127"/>
      <c r="J40" s="126" t="s">
        <v>87</v>
      </c>
      <c r="K40" s="126" t="str">
        <f t="array" ref="K40">iferror(if(OR(D40="R-Flashing",D40="W-Flashing"),"LM",XLOOKUP(C40,Material!$A:$A,Material!$C:$C)),"")</f>
        <v>ea</v>
      </c>
      <c r="L40" s="163"/>
      <c r="M40" s="150">
        <f>ROUNDUP(((M38/5.7)+1)*(E40/0.05),0)</f>
        <v>136</v>
      </c>
      <c r="N40" s="151">
        <f t="shared" si="22"/>
        <v>1</v>
      </c>
      <c r="O40" s="169">
        <v>1.0</v>
      </c>
      <c r="P40" s="134">
        <v>1.0</v>
      </c>
      <c r="Q40" s="168">
        <f t="shared" si="18"/>
        <v>136</v>
      </c>
      <c r="R40" s="136">
        <f t="array" ref="R40">IFERROR(
    IF(
        OR(D40="R-Flashing",D40="W-Flashing",D40="R-BG"),
        LET(
            StartRow,
            MATCH(
                I40&amp;"♦"&amp;H40,
                Material!$I:$I&amp;"♦"&amp;Material!$J:$J,
                0
            ),
            INDEX(
                Material!$J:$AF,
                StartRow+1+MATCH(
                    CEILING(E40*1000,50),
                    INDEX(Material!$I:$I,StartRow+2):INDEX(Material!$I:$I,StartRow+25),
                    0
                ),
                MATCH(
                    G40,
                    INDEX(Material!$I:$V,StartRow+1,0),
                    0
                )
            )
        ),
        XLOOKUP(C40,Material!$A:$A,Material!$D:$D)
    ),
"")</f>
        <v>0.09</v>
      </c>
      <c r="S40" s="152">
        <f t="shared" si="19"/>
        <v>12.24</v>
      </c>
      <c r="T40" s="138"/>
      <c r="U40" s="1082" t="str">
        <f t="array" ref="U40">IFERROR(
    IF(
        D40="R-Flashing",
        XLOOKUP(CEILING(E40*1000,50),Material!I:I,Material!X:X),
        XLOOKUP(C40,Material!A:A,Material!E:E)
    ),
    ""
)</f>
        <v/>
      </c>
      <c r="V40" s="139"/>
      <c r="W40" s="140">
        <f t="shared" si="20"/>
        <v>0</v>
      </c>
      <c r="X40" s="159"/>
      <c r="Y40" s="5"/>
      <c r="Z40" s="5"/>
      <c r="AA40" s="5"/>
      <c r="AB40" s="354">
        <f t="shared" si="21"/>
        <v>12.24</v>
      </c>
      <c r="AC40" s="33"/>
      <c r="AD40" s="65"/>
      <c r="AE40" s="66"/>
      <c r="AF40" s="144"/>
      <c r="AG40" s="68"/>
      <c r="AH40" s="69"/>
      <c r="AI40" s="39"/>
      <c r="AJ40" s="70"/>
      <c r="AK40" s="70"/>
      <c r="AL40" s="5"/>
      <c r="AM40" s="5"/>
      <c r="AN40" s="5"/>
      <c r="AO40" s="5"/>
      <c r="AP40" s="5"/>
      <c r="AQ40" s="5"/>
      <c r="AR40" s="5"/>
      <c r="AS40" s="5"/>
      <c r="AT40" s="5"/>
      <c r="AU40" s="5"/>
      <c r="AV40" s="5"/>
      <c r="AW40" s="5"/>
      <c r="AX40" s="5"/>
      <c r="AY40" s="5"/>
      <c r="AZ40" s="5"/>
      <c r="BA40" s="5"/>
      <c r="BB40" s="5"/>
      <c r="BC40" s="5"/>
      <c r="BD40" s="5"/>
      <c r="BE40" s="5"/>
      <c r="BF40" s="5"/>
      <c r="BG40" s="5"/>
      <c r="BH40" s="5"/>
      <c r="BI40" s="260"/>
      <c r="BJ40" s="260"/>
      <c r="BK40" s="260"/>
      <c r="BL40" s="260"/>
      <c r="BM40" s="260"/>
      <c r="BN40" s="260"/>
      <c r="BO40" s="260"/>
      <c r="BP40" s="260"/>
      <c r="BQ40" s="260"/>
      <c r="BR40" s="260"/>
      <c r="BS40" s="260"/>
      <c r="BT40" s="260"/>
    </row>
    <row r="41">
      <c r="A41" s="1080"/>
      <c r="B41" s="154"/>
      <c r="C41" s="123" t="s">
        <v>631</v>
      </c>
      <c r="D41" s="124" t="s">
        <v>103</v>
      </c>
      <c r="E41" s="752"/>
      <c r="F41" s="1085"/>
      <c r="G41" s="129"/>
      <c r="H41" s="127"/>
      <c r="I41" s="127"/>
      <c r="J41" s="126" t="s">
        <v>87</v>
      </c>
      <c r="K41" s="126" t="str">
        <f t="array" ref="K41">iferror(if(OR(D41="R-Flashing",D41="W-Flashing"),"LM",XLOOKUP(C41,Material!$A:$A,Material!$C:$C)),"")</f>
        <v>ea</v>
      </c>
      <c r="L41" s="161"/>
      <c r="M41" s="150">
        <f>ROUNDUP(M38/0.6,0)+1</f>
        <v>88</v>
      </c>
      <c r="N41" s="151">
        <f t="shared" si="22"/>
        <v>1</v>
      </c>
      <c r="O41" s="169">
        <v>1.0</v>
      </c>
      <c r="P41" s="134">
        <v>2.0</v>
      </c>
      <c r="Q41" s="168">
        <f t="shared" si="18"/>
        <v>176</v>
      </c>
      <c r="R41" s="136">
        <f t="array" ref="R41">IFERROR(
    IF(
        OR(D41="R-Flashing",D41="W-Flashing",D41="R-BG"),
        LET(
            StartRow,
            MATCH(
                I41&amp;"♦"&amp;H41,
                Material!$I:$I&amp;"♦"&amp;Material!$J:$J,
                0
            ),
            INDEX(
                Material!$J:$AF,
                StartRow+1+MATCH(
                    CEILING(E41*1000,50),
                    INDEX(Material!$I:$I,StartRow+2):INDEX(Material!$I:$I,StartRow+25),
                    0
                ),
                MATCH(
                    G41,
                    INDEX(Material!$I:$V,StartRow+1,0),
                    0
                )
            )
        ),
        XLOOKUP(C41,Material!$A:$A,Material!$D:$D)
    ),
"")</f>
        <v>0.2</v>
      </c>
      <c r="S41" s="152">
        <f t="shared" si="19"/>
        <v>35.2</v>
      </c>
      <c r="T41" s="138"/>
      <c r="U41" s="1082" t="str">
        <f t="array" ref="U41">IFERROR(
    IF(
        D41="R-Flashing",
        XLOOKUP(CEILING(E41*1000,50),Material!I:I,Material!X:X),
        XLOOKUP(C41,Material!A:A,Material!E:E)
    ),
    ""
)</f>
        <v/>
      </c>
      <c r="V41" s="139"/>
      <c r="W41" s="140">
        <f t="shared" si="20"/>
        <v>0</v>
      </c>
      <c r="X41" s="159"/>
      <c r="Y41" s="5"/>
      <c r="Z41" s="5"/>
      <c r="AA41" s="5"/>
      <c r="AB41" s="354">
        <f t="shared" si="21"/>
        <v>35.2</v>
      </c>
      <c r="AC41" s="33"/>
      <c r="AD41" s="65"/>
      <c r="AE41" s="66"/>
      <c r="AF41" s="144"/>
      <c r="AG41" s="68"/>
      <c r="AH41" s="69"/>
      <c r="AI41" s="39"/>
      <c r="AJ41" s="70"/>
      <c r="AK41" s="70"/>
      <c r="AL41" s="5"/>
      <c r="AM41" s="5"/>
      <c r="AN41" s="5"/>
      <c r="AO41" s="5"/>
      <c r="AP41" s="5"/>
      <c r="AQ41" s="5"/>
      <c r="AR41" s="5"/>
      <c r="AS41" s="5"/>
      <c r="AT41" s="5"/>
      <c r="AU41" s="5"/>
      <c r="AV41" s="5"/>
      <c r="AW41" s="5"/>
      <c r="AX41" s="5"/>
      <c r="AY41" s="5"/>
      <c r="AZ41" s="5"/>
      <c r="BA41" s="5"/>
      <c r="BB41" s="5"/>
      <c r="BC41" s="5"/>
      <c r="BD41" s="5"/>
      <c r="BE41" s="5"/>
      <c r="BF41" s="5"/>
      <c r="BG41" s="5"/>
      <c r="BH41" s="5"/>
      <c r="BI41" s="260"/>
      <c r="BJ41" s="260"/>
      <c r="BK41" s="260"/>
      <c r="BL41" s="260"/>
      <c r="BM41" s="260"/>
      <c r="BN41" s="260"/>
      <c r="BO41" s="260"/>
      <c r="BP41" s="260"/>
      <c r="BQ41" s="260"/>
      <c r="BR41" s="260"/>
      <c r="BS41" s="260"/>
      <c r="BT41" s="260"/>
    </row>
    <row r="42">
      <c r="A42" s="1080"/>
      <c r="B42" s="154"/>
      <c r="C42" s="223" t="s">
        <v>632</v>
      </c>
      <c r="D42" s="124" t="s">
        <v>105</v>
      </c>
      <c r="E42" s="752"/>
      <c r="F42" s="1085"/>
      <c r="G42" s="129"/>
      <c r="H42" s="127"/>
      <c r="I42" s="127"/>
      <c r="J42" s="126" t="s">
        <v>87</v>
      </c>
      <c r="K42" s="126" t="str">
        <f t="array" ref="K42">iferror(if(OR(D42="R-Flashing",D42="W-Flashing"),"LM",XLOOKUP(C42,Material!$A:$A,Material!$C:$C)),"")</f>
        <v>LM</v>
      </c>
      <c r="L42" s="161"/>
      <c r="M42" s="150">
        <f>M38</f>
        <v>52</v>
      </c>
      <c r="N42" s="151">
        <f t="shared" si="22"/>
        <v>1</v>
      </c>
      <c r="O42" s="169">
        <v>1.0</v>
      </c>
      <c r="P42" s="156">
        <v>2.0</v>
      </c>
      <c r="Q42" s="168">
        <f t="shared" si="18"/>
        <v>104</v>
      </c>
      <c r="R42" s="136">
        <f t="array" ref="R42">IFERROR(
    IF(
        OR(D42="R-Flashing",D42="W-Flashing",D42="R-BG"),
        LET(
            StartRow,
            MATCH(
                I42&amp;"♦"&amp;H42,
                Material!$I:$I&amp;"♦"&amp;Material!$J:$J,
                0
            ),
            INDEX(
                Material!$J:$AF,
                StartRow+1+MATCH(
                    CEILING(E42*1000,50),
                    INDEX(Material!$I:$I,StartRow+2):INDEX(Material!$I:$I,StartRow+25),
                    0
                ),
                MATCH(
                    G42,
                    INDEX(Material!$I:$V,StartRow+1,0),
                    0
                )
            )
        ),
        XLOOKUP(C42,Material!$A:$A,Material!$D:$D)
    ),
"")</f>
        <v>5</v>
      </c>
      <c r="S42" s="152">
        <f t="shared" si="19"/>
        <v>520</v>
      </c>
      <c r="T42" s="138"/>
      <c r="U42" s="1082" t="str">
        <f t="array" ref="U42">IFERROR(
    IF(
        D42="R-Flashing",
        XLOOKUP(CEILING(E42*1000,50),Material!I:I,Material!X:X),
        XLOOKUP(C42,Material!A:A,Material!E:E)
    ),
    ""
)</f>
        <v/>
      </c>
      <c r="V42" s="139"/>
      <c r="W42" s="140">
        <f t="shared" si="20"/>
        <v>0</v>
      </c>
      <c r="X42" s="159"/>
      <c r="Y42" s="5"/>
      <c r="Z42" s="5"/>
      <c r="AA42" s="5"/>
      <c r="AB42" s="354">
        <f t="shared" si="21"/>
        <v>520</v>
      </c>
      <c r="AC42" s="33"/>
      <c r="AD42" s="65"/>
      <c r="AE42" s="66"/>
      <c r="AF42" s="144"/>
      <c r="AG42" s="68"/>
      <c r="AH42" s="69"/>
      <c r="AI42" s="39"/>
      <c r="AJ42" s="70"/>
      <c r="AK42" s="70"/>
      <c r="AL42" s="5"/>
      <c r="AM42" s="5"/>
      <c r="AN42" s="5"/>
      <c r="AO42" s="5"/>
      <c r="AP42" s="5"/>
      <c r="AQ42" s="5"/>
      <c r="AR42" s="5"/>
      <c r="AS42" s="5"/>
      <c r="AT42" s="5"/>
      <c r="AU42" s="5"/>
      <c r="AV42" s="5"/>
      <c r="AW42" s="5"/>
      <c r="AX42" s="5"/>
      <c r="AY42" s="5"/>
      <c r="AZ42" s="5"/>
      <c r="BA42" s="5"/>
      <c r="BB42" s="5"/>
      <c r="BC42" s="5"/>
      <c r="BD42" s="5"/>
      <c r="BE42" s="5"/>
      <c r="BF42" s="5"/>
      <c r="BG42" s="5"/>
      <c r="BH42" s="5"/>
      <c r="BI42" s="260"/>
      <c r="BJ42" s="260"/>
      <c r="BK42" s="260"/>
      <c r="BL42" s="260"/>
      <c r="BM42" s="260"/>
      <c r="BN42" s="260"/>
      <c r="BO42" s="260"/>
      <c r="BP42" s="260"/>
      <c r="BQ42" s="260"/>
      <c r="BR42" s="260"/>
      <c r="BS42" s="260"/>
      <c r="BT42" s="260"/>
    </row>
    <row r="43">
      <c r="A43" s="1080"/>
      <c r="B43" s="154"/>
      <c r="C43" s="734" t="s">
        <v>446</v>
      </c>
      <c r="D43" s="124" t="s">
        <v>107</v>
      </c>
      <c r="E43" s="752"/>
      <c r="F43" s="1085"/>
      <c r="G43" s="129"/>
      <c r="H43" s="127"/>
      <c r="I43" s="127"/>
      <c r="J43" s="126" t="s">
        <v>87</v>
      </c>
      <c r="K43" s="126" t="str">
        <f t="array" ref="K43">iferror(if(OR(D43="R-Flashing",D43="W-Flashing"),"LM",XLOOKUP(C43,Material!$A:$A,Material!$C:$C)),"")</f>
        <v>LM</v>
      </c>
      <c r="L43" s="161"/>
      <c r="M43" s="150">
        <f>M38</f>
        <v>52</v>
      </c>
      <c r="N43" s="151">
        <f t="shared" si="22"/>
        <v>1</v>
      </c>
      <c r="O43" s="169">
        <v>1.0</v>
      </c>
      <c r="P43" s="156">
        <v>2.0</v>
      </c>
      <c r="Q43" s="168">
        <f t="shared" si="18"/>
        <v>104</v>
      </c>
      <c r="R43" s="136" t="str">
        <f t="array" ref="R43">IFERROR(
    IF(
        OR(D43="R-Flashing",D43="W-Flashing",D43="R-BG"),
        LET(
            StartRow,
            MATCH(
                I43&amp;"♦"&amp;H43,
                Material!$I:$I&amp;"♦"&amp;Material!$J:$J,
                0
            ),
            INDEX(
                Material!$J:$AF,
                StartRow+1+MATCH(
                    CEILING(E43*1000,50),
                    INDEX(Material!$I:$I,StartRow+2):INDEX(Material!$I:$I,StartRow+25),
                    0
                ),
                MATCH(
                    G43,
                    INDEX(Material!$I:$V,StartRow+1,0),
                    0
                )
            )
        ),
        XLOOKUP(C43,Material!$A:$A,Material!$D:$D)
    ),
"")</f>
        <v/>
      </c>
      <c r="S43" s="152">
        <f t="shared" si="19"/>
        <v>0</v>
      </c>
      <c r="T43" s="138"/>
      <c r="U43" s="1082">
        <f t="array" ref="U43">IFERROR(
    IF(
        D43="R-Flashing",
        XLOOKUP(CEILING(E43*1000,50),Material!I:I,Material!X:X),
        XLOOKUP(C43,Material!A:A,Material!E:E)
    ),
    ""
)</f>
        <v>3</v>
      </c>
      <c r="V43" s="139"/>
      <c r="W43" s="140">
        <f t="shared" si="20"/>
        <v>312</v>
      </c>
      <c r="X43" s="159"/>
      <c r="Y43" s="5"/>
      <c r="Z43" s="5"/>
      <c r="AA43" s="5"/>
      <c r="AB43" s="354">
        <f t="shared" si="21"/>
        <v>312</v>
      </c>
      <c r="AC43" s="33"/>
      <c r="AD43" s="65"/>
      <c r="AE43" s="66"/>
      <c r="AF43" s="144"/>
      <c r="AG43" s="68"/>
      <c r="AH43" s="69"/>
      <c r="AI43" s="39"/>
      <c r="AJ43" s="70"/>
      <c r="AK43" s="70"/>
      <c r="AL43" s="5"/>
      <c r="AM43" s="5"/>
      <c r="AN43" s="5"/>
      <c r="AO43" s="5"/>
      <c r="AP43" s="5"/>
      <c r="AQ43" s="5"/>
      <c r="AR43" s="5"/>
      <c r="AS43" s="5"/>
      <c r="AT43" s="5"/>
      <c r="AU43" s="5"/>
      <c r="AV43" s="5"/>
      <c r="AW43" s="5"/>
      <c r="AX43" s="5"/>
      <c r="AY43" s="5"/>
      <c r="AZ43" s="5"/>
      <c r="BA43" s="5"/>
      <c r="BB43" s="5"/>
      <c r="BC43" s="5"/>
      <c r="BD43" s="5"/>
      <c r="BE43" s="5"/>
      <c r="BF43" s="5"/>
      <c r="BG43" s="5"/>
      <c r="BH43" s="5"/>
      <c r="BI43" s="260"/>
      <c r="BJ43" s="260"/>
      <c r="BK43" s="260"/>
      <c r="BL43" s="260"/>
      <c r="BM43" s="260"/>
      <c r="BN43" s="260"/>
      <c r="BO43" s="260"/>
      <c r="BP43" s="260"/>
      <c r="BQ43" s="260"/>
      <c r="BR43" s="260"/>
      <c r="BS43" s="260"/>
      <c r="BT43" s="260"/>
    </row>
    <row r="44">
      <c r="A44" s="1080"/>
      <c r="B44" s="160"/>
      <c r="C44" s="757"/>
      <c r="D44" s="129"/>
      <c r="E44" s="752"/>
      <c r="F44" s="1085"/>
      <c r="G44" s="129"/>
      <c r="H44" s="127"/>
      <c r="I44" s="127"/>
      <c r="J44" s="129"/>
      <c r="K44" s="126" t="str">
        <f t="array" ref="K44">iferror(if(OR(D44="R-Flashing",D44="W-Flashing"),"LM",XLOOKUP(C44,Material!$A:$A,Material!$C:$C)),"")</f>
        <v/>
      </c>
      <c r="L44" s="161"/>
      <c r="M44" s="163"/>
      <c r="N44" s="151" t="str">
        <f t="shared" si="22"/>
        <v/>
      </c>
      <c r="O44" s="161"/>
      <c r="P44" s="127"/>
      <c r="Q44" s="161"/>
      <c r="R44" s="136" t="str">
        <f t="array" ref="R44">IFERROR(
    IF(
        OR(D44="R-Flashing",D44="W-Flashing",D44="R-BG"),
        LET(
            StartRow,
            MATCH(
                I44&amp;"♦"&amp;H44,
                Material!$I:$I&amp;"♦"&amp;Material!$J:$J,
                0
            ),
            INDEX(
                Material!$J:$AF,
                StartRow+1+MATCH(
                    CEILING(E44*1000,50),
                    INDEX(Material!$I:$I,StartRow+2):INDEX(Material!$I:$I,StartRow+25),
                    0
                ),
                MATCH(
                    G44,
                    INDEX(Material!$I:$V,StartRow+1,0),
                    0
                )
            )
        ),
        XLOOKUP(C44,Material!$A:$A,Material!$D:$D)
    ),
"")</f>
        <v/>
      </c>
      <c r="S44" s="139"/>
      <c r="T44" s="138"/>
      <c r="U44" s="1082" t="str">
        <f t="array" ref="U44">IFERROR(
    IF(
        D44="R-Flashing",
        XLOOKUP(CEILING(E44*1000,50),Material!I:I,Material!X:X),
        XLOOKUP(C44,Material!A:A,Material!E:E)
    ),
    ""
)</f>
        <v/>
      </c>
      <c r="V44" s="139"/>
      <c r="W44" s="164"/>
      <c r="X44" s="159"/>
      <c r="Y44" s="5"/>
      <c r="Z44" s="5"/>
      <c r="AA44" s="5"/>
      <c r="AB44" s="5"/>
      <c r="AC44" s="33"/>
      <c r="AD44" s="65"/>
      <c r="AE44" s="66"/>
      <c r="AF44" s="144"/>
      <c r="AG44" s="68"/>
      <c r="AH44" s="69"/>
      <c r="AI44" s="39"/>
      <c r="AJ44" s="70"/>
      <c r="AK44" s="70"/>
      <c r="AL44" s="5"/>
      <c r="AM44" s="5"/>
      <c r="AN44" s="5"/>
      <c r="AO44" s="5"/>
      <c r="AP44" s="5"/>
      <c r="AQ44" s="5"/>
      <c r="AR44" s="5"/>
      <c r="AS44" s="5"/>
      <c r="AT44" s="5"/>
      <c r="AU44" s="5"/>
      <c r="AV44" s="5"/>
      <c r="AW44" s="5"/>
      <c r="AX44" s="5"/>
      <c r="AY44" s="5"/>
      <c r="AZ44" s="5"/>
      <c r="BA44" s="5"/>
      <c r="BB44" s="5"/>
      <c r="BC44" s="5"/>
      <c r="BD44" s="5"/>
      <c r="BE44" s="5"/>
      <c r="BF44" s="5"/>
      <c r="BG44" s="5"/>
      <c r="BH44" s="5"/>
      <c r="BI44" s="260"/>
      <c r="BJ44" s="260"/>
      <c r="BK44" s="260"/>
      <c r="BL44" s="260"/>
      <c r="BM44" s="260"/>
      <c r="BN44" s="260"/>
      <c r="BO44" s="260"/>
      <c r="BP44" s="260"/>
      <c r="BQ44" s="260"/>
      <c r="BR44" s="260"/>
      <c r="BS44" s="260"/>
      <c r="BT44" s="260"/>
    </row>
    <row r="45">
      <c r="A45" s="1080">
        <v>1.0</v>
      </c>
      <c r="B45" s="102"/>
      <c r="C45" s="103" t="s">
        <v>633</v>
      </c>
      <c r="D45" s="104"/>
      <c r="E45" s="749"/>
      <c r="F45" s="1089"/>
      <c r="G45" s="104"/>
      <c r="H45" s="104"/>
      <c r="I45" s="104"/>
      <c r="J45" s="104"/>
      <c r="K45" s="104" t="s">
        <v>42</v>
      </c>
      <c r="L45" s="106">
        <f>Q45</f>
        <v>17.3</v>
      </c>
      <c r="M45" s="105" t="s">
        <v>42</v>
      </c>
      <c r="N45" s="107"/>
      <c r="O45" s="105"/>
      <c r="P45" s="104"/>
      <c r="Q45" s="106">
        <f>Q46</f>
        <v>17.3</v>
      </c>
      <c r="R45" s="136" t="str">
        <f t="array" ref="R45">IFERROR(
    IF(
        OR(D45="R-Flashing",D45="W-Flashing",D45="R-BG"),
        LET(
            StartRow,
            MATCH(
                I45&amp;"♦"&amp;H45,
                Material!$I:$I&amp;"♦"&amp;Material!$J:$J,
                0
            ),
            INDEX(
                Material!$J:$AF,
                StartRow+1+MATCH(
                    CEILING(E45*1000,50),
                    INDEX(Material!$I:$I,StartRow+2):INDEX(Material!$I:$I,StartRow+25),
                    0
                ),
                MATCH(
                    G45,
                    INDEX(Material!$I:$V,StartRow+1,0),
                    0
                )
            )
        ),
        XLOOKUP(C45,Material!$A:$A,Material!$D:$D)
    ),
"")</f>
        <v/>
      </c>
      <c r="S45" s="682">
        <f>IFERROR(T45/Q45, 0)</f>
        <v>44.06182081</v>
      </c>
      <c r="T45" s="109">
        <f>SUM(S46:S52)</f>
        <v>762.2695</v>
      </c>
      <c r="U45" s="1082" t="str">
        <f t="array" ref="U45">IFERROR(
    IF(
        D45="R-Flashing",
        XLOOKUP(CEILING(E45*1000,50),Material!I:I,Material!X:X),
        XLOOKUP(C45,Material!A:A,Material!E:E)
    ),
    ""
)</f>
        <v/>
      </c>
      <c r="V45" s="109">
        <f>W45/Q45</f>
        <v>21</v>
      </c>
      <c r="W45" s="110">
        <f>SUM(W46:W52)</f>
        <v>363.3</v>
      </c>
      <c r="X45" s="111">
        <f>W45/$AC$210/$W$217/$X$207</f>
        <v>0.2468070652</v>
      </c>
      <c r="Y45" s="112" t="b">
        <f>(T45+W45)=(SUM(AB46:AB52))</f>
        <v>1</v>
      </c>
      <c r="Z45" s="113">
        <f>(T45+W45)-(SUM(AB46:AB52))</f>
        <v>0</v>
      </c>
      <c r="AA45" s="5"/>
      <c r="AB45" s="5"/>
      <c r="AC45" s="33"/>
      <c r="AD45" s="114">
        <f>W45+T45</f>
        <v>1125.5695</v>
      </c>
      <c r="AE45" s="115">
        <f>AD45</f>
        <v>1125.5695</v>
      </c>
      <c r="AF45" s="116">
        <f>AE45/$AE$185</f>
        <v>0.01576772572</v>
      </c>
      <c r="AG45" s="683">
        <f>AF45*$AG$192</f>
        <v>430.5587369</v>
      </c>
      <c r="AH45" s="118">
        <f>AF45*$AG$195</f>
        <v>251.06395</v>
      </c>
      <c r="AI45" s="187"/>
      <c r="AJ45" s="119">
        <f>ROUND(AK45/L45,2)</f>
        <v>104.46</v>
      </c>
      <c r="AK45" s="119">
        <f>ROUND(AH45+AG45+AD45,2)</f>
        <v>1807.19</v>
      </c>
      <c r="AL45" s="5"/>
      <c r="AM45" s="5"/>
      <c r="AN45" s="5"/>
      <c r="AO45" s="5"/>
      <c r="AP45" s="5"/>
      <c r="AQ45" s="5"/>
      <c r="AR45" s="5"/>
      <c r="AS45" s="5"/>
      <c r="AT45" s="5"/>
      <c r="AU45" s="5"/>
      <c r="AV45" s="5"/>
      <c r="AW45" s="5"/>
      <c r="AX45" s="5"/>
      <c r="AY45" s="5"/>
      <c r="AZ45" s="5"/>
      <c r="BA45" s="5"/>
      <c r="BB45" s="5"/>
      <c r="BC45" s="5"/>
      <c r="BD45" s="5"/>
      <c r="BE45" s="5"/>
      <c r="BF45" s="5"/>
      <c r="BG45" s="5"/>
      <c r="BH45" s="5"/>
      <c r="BI45" s="260"/>
      <c r="BJ45" s="260"/>
      <c r="BK45" s="260"/>
      <c r="BL45" s="260"/>
      <c r="BM45" s="260"/>
      <c r="BN45" s="260"/>
      <c r="BO45" s="260"/>
      <c r="BP45" s="260"/>
      <c r="BQ45" s="260"/>
      <c r="BR45" s="260"/>
      <c r="BS45" s="260"/>
      <c r="BT45" s="260"/>
    </row>
    <row r="46">
      <c r="A46" s="1080" t="s">
        <v>444</v>
      </c>
      <c r="B46" s="154"/>
      <c r="C46" s="123" t="s">
        <v>634</v>
      </c>
      <c r="D46" s="124" t="s">
        <v>96</v>
      </c>
      <c r="E46" s="687">
        <f>VALUE(MID(C46, FIND("(", C46)+1, FIND("/", C46)-FIND("(", C46)-1)) / 1000</f>
        <v>0.67</v>
      </c>
      <c r="F46" s="1085"/>
      <c r="G46" s="128">
        <f>VALUE(MID(C46,FIND("/",C46)+1,FIND("B",C46,FIND("/",C46))-FIND("/",C46)-1))</f>
        <v>3</v>
      </c>
      <c r="H46" s="128" t="str">
        <f>IFERROR(__xludf.DUMMYFUNCTION("IFERROR(REGEXEXTRACT(C46,""(\d*\.?\d+)\s*bmt""),IFERROR(REGEXEXTRACT(C46,""(\d*\.?\d+)\s*mm""),""""))"),"0.55")</f>
        <v>0.55</v>
      </c>
      <c r="I46" s="125" t="s">
        <v>630</v>
      </c>
      <c r="J46" s="126" t="s">
        <v>14</v>
      </c>
      <c r="K46" s="126" t="str">
        <f t="array" ref="K46">iferror(if(OR(D46="R-Flashing",D46="W-Flashing"),"LM",XLOOKUP(C46,Material!$A:$A,Material!$C:$C)),"")</f>
        <v>LM</v>
      </c>
      <c r="L46" s="163"/>
      <c r="M46" s="730">
        <v>17.3</v>
      </c>
      <c r="N46" s="151">
        <f>IFERROR(__xludf.DUMMYFUNCTION("IF(
  AND(
    IFERROR(REGEXEXTRACT(C46,""@\s*(\d+(?:\.\d+)?)\s*deg""),"""")&lt;&gt;"""",
    F46&lt;&gt;""""
  ),
  ""Pls Confirm °"",
  IF(
    IFERROR(REGEXEXTRACT(C46,""@\s*(\d+(?:\.\d+)?)\s*deg""),"""")&lt;&gt;"""",
    1/COS(RADIANS(REGEXEXTRACT(C46,""@\s*(\d+(?:\.\d"&amp;"+)?)\s*deg""))),
    IF(
      F46&lt;&gt;"""",
      IF(
        ISNUMBER(SEARCH(""|"",F46)),
        1/COS(
          ATAN(
            TAN(RADIANS(VALUE(INDEX(SPLIT(F46,""|""),1)))) *
            TAN(RADIANS(VALUE(INDEX(SPLIT(F46,""|""),2))))
            /
 "&amp;"           SQRT(
              TAN(RADIANS(VALUE(INDEX(SPLIT(F46,""|""),1))))^2 +
              TAN(RADIANS(VALUE(INDEX(SPLIT(F46,""|""),2))))^2
            )
          )
        ),
        1/COS(RADIANS(VALUE(F46)))
      ),
      1
    )
  )
)"),1.0)</f>
        <v>1</v>
      </c>
      <c r="O46" s="169">
        <v>1.0</v>
      </c>
      <c r="P46" s="134">
        <v>1.0</v>
      </c>
      <c r="Q46" s="168">
        <f t="shared" ref="Q46:Q51" si="23">M46*N46*O46*P46</f>
        <v>17.3</v>
      </c>
      <c r="R46" s="136">
        <f t="array" ref="R46">IFERROR(
    IF(
        OR(D46="R-Flashing",D46="W-Flashing",D46="R-BG"),
        LET(
            StartRow,
            MATCH(
                I46&amp;"♦"&amp;H46,
                Material!$I:$I&amp;"♦"&amp;Material!$J:$J,
                0
            ),
            INDEX(
                Material!$J:$AF,
                StartRow+1+MATCH(
                    CEILING(E46*1000,50),
                    INDEX(Material!$I:$I,StartRow+2):INDEX(Material!$I:$I,StartRow+25),
                    0
                ),
                MATCH(
                    G46,
                    INDEX(Material!$I:$V,StartRow+1,0),
                    0
                )
            )
        ),
        XLOOKUP(C46,Material!$A:$A,Material!$D:$D)
    ),
"")</f>
        <v>32.84</v>
      </c>
      <c r="S46" s="152">
        <f t="shared" ref="S46:S51" si="24">R46*Q46</f>
        <v>568.132</v>
      </c>
      <c r="T46" s="138"/>
      <c r="U46" s="1082">
        <f t="array" ref="U46">IFERROR(
    IF(
        D46="R-Flashing",
        XLOOKUP(CEILING(E46*1000,50),Material!I:I,Material!X:X),
        XLOOKUP(C46,Material!A:A,Material!E:E)
    ),
    ""
)</f>
        <v>15</v>
      </c>
      <c r="V46" s="139"/>
      <c r="W46" s="140">
        <f t="shared" ref="W46:W51" si="25">U46*Q46</f>
        <v>259.5</v>
      </c>
      <c r="X46" s="159"/>
      <c r="Y46" s="165"/>
      <c r="Z46" s="1090"/>
      <c r="AA46" s="5"/>
      <c r="AB46" s="354">
        <f t="shared" ref="AB46:AB51" si="26">W46+S46</f>
        <v>827.632</v>
      </c>
      <c r="AC46" s="33"/>
      <c r="AD46" s="65"/>
      <c r="AE46" s="66"/>
      <c r="AF46" s="144"/>
      <c r="AG46" s="68"/>
      <c r="AH46" s="69"/>
      <c r="AI46" s="39"/>
      <c r="AJ46" s="70"/>
      <c r="AK46" s="70"/>
      <c r="AL46" s="5"/>
      <c r="AM46" s="5"/>
      <c r="AN46" s="5"/>
      <c r="AO46" s="5"/>
      <c r="AP46" s="5"/>
      <c r="AQ46" s="5"/>
      <c r="AR46" s="5"/>
      <c r="AS46" s="5"/>
      <c r="AT46" s="5"/>
      <c r="AU46" s="5"/>
      <c r="AV46" s="5"/>
      <c r="AW46" s="5"/>
      <c r="AX46" s="5"/>
      <c r="AY46" s="5"/>
      <c r="AZ46" s="5"/>
      <c r="BA46" s="5"/>
      <c r="BB46" s="5"/>
      <c r="BC46" s="5"/>
      <c r="BD46" s="5"/>
      <c r="BE46" s="5"/>
      <c r="BF46" s="5"/>
      <c r="BG46" s="5"/>
      <c r="BH46" s="5"/>
      <c r="BI46" s="260"/>
      <c r="BJ46" s="260"/>
      <c r="BK46" s="260"/>
      <c r="BL46" s="260"/>
      <c r="BM46" s="260"/>
      <c r="BN46" s="260"/>
      <c r="BO46" s="260"/>
      <c r="BP46" s="260"/>
      <c r="BQ46" s="260"/>
      <c r="BR46" s="260"/>
      <c r="BS46" s="260"/>
      <c r="BT46" s="260"/>
    </row>
    <row r="47">
      <c r="A47" s="1080"/>
      <c r="B47" s="154"/>
      <c r="C47" s="734" t="s">
        <v>98</v>
      </c>
      <c r="D47" s="124" t="s">
        <v>99</v>
      </c>
      <c r="E47" s="687">
        <f>E46</f>
        <v>0.67</v>
      </c>
      <c r="F47" s="1085" t="str">
        <f>IFERROR(__xludf.DUMMYFUNCTION("iferror(ROUND(
  DEGREES(
    ATAN(
      TAN(RADIANS(VALUE(INDEX(SPLIT(F46,""|""),1)))) *
      TAN(RADIANS(VALUE(INDEX(SPLIT(F46,""|""),2))))
      /
      SQRT(
        TAN(RADIANS(VALUE(INDEX(SPLIT(F46,""|""),1))))^2 +
        TAN(RADIANS(VALUE(INDEX("&amp;"SPLIT(F46,""|""),2))))^2
      )
    )
  ),
  2
))"),"")</f>
        <v/>
      </c>
      <c r="G47" s="127"/>
      <c r="H47" s="127" t="str">
        <f>IFERROR(__xludf.DUMMYFUNCTION("IFERROR(REGEXEXTRACT(C47, ""(\d*\.\d+)mm""), """")"),"")</f>
        <v/>
      </c>
      <c r="I47" s="127"/>
      <c r="J47" s="126" t="s">
        <v>87</v>
      </c>
      <c r="K47" s="126" t="str">
        <f t="array" ref="K47">iferror(if(OR(D47="R-Flashing",D47="W-Flashing"),"LM",XLOOKUP(C47,Material!$A:$A,Material!$C:$C)),"")</f>
        <v>ea</v>
      </c>
      <c r="L47" s="163"/>
      <c r="M47" s="150">
        <f>(ROUNDDOWN((M46/5.7)+2,0)*E47)/8</f>
        <v>0.41875</v>
      </c>
      <c r="N47" s="151">
        <f t="shared" ref="N47:N52" si="27">if(C47="","",(if(N46="",N45,N46)))</f>
        <v>1</v>
      </c>
      <c r="O47" s="169">
        <v>1.0</v>
      </c>
      <c r="P47" s="134">
        <v>1.0</v>
      </c>
      <c r="Q47" s="168">
        <f t="shared" si="23"/>
        <v>0.41875</v>
      </c>
      <c r="R47" s="136">
        <f t="array" ref="R47">IFERROR(
    IF(
        OR(D47="R-Flashing",D47="W-Flashing",D47="R-BG"),
        LET(
            StartRow,
            MATCH(
                I47&amp;"♦"&amp;H47,
                Material!$I:$I&amp;"♦"&amp;Material!$J:$J,
                0
            ),
            INDEX(
                Material!$J:$AF,
                StartRow+1+MATCH(
                    CEILING(E47*1000,50),
                    INDEX(Material!$I:$I,StartRow+2):INDEX(Material!$I:$I,StartRow+25),
                    0
                ),
                MATCH(
                    G47,
                    INDEX(Material!$I:$V,StartRow+1,0),
                    0
                )
            )
        ),
        XLOOKUP(C47,Material!$A:$A,Material!$D:$D)
    ),
"")</f>
        <v>10</v>
      </c>
      <c r="S47" s="152">
        <f t="shared" si="24"/>
        <v>4.1875</v>
      </c>
      <c r="T47" s="138"/>
      <c r="U47" s="1082" t="str">
        <f t="array" ref="U47">IFERROR(
    IF(
        D47="R-Flashing",
        XLOOKUP(CEILING(E47*1000,50),Material!I:I,Material!X:X),
        XLOOKUP(C47,Material!A:A,Material!E:E)
    ),
    ""
)</f>
        <v/>
      </c>
      <c r="V47" s="139"/>
      <c r="W47" s="140">
        <f t="shared" si="25"/>
        <v>0</v>
      </c>
      <c r="X47" s="159"/>
      <c r="Y47" s="5"/>
      <c r="Z47" s="5"/>
      <c r="AA47" s="5"/>
      <c r="AB47" s="354">
        <f t="shared" si="26"/>
        <v>4.1875</v>
      </c>
      <c r="AC47" s="33"/>
      <c r="AD47" s="65"/>
      <c r="AE47" s="66"/>
      <c r="AF47" s="144"/>
      <c r="AG47" s="68"/>
      <c r="AH47" s="69"/>
      <c r="AI47" s="39"/>
      <c r="AJ47" s="70"/>
      <c r="AK47" s="70"/>
      <c r="AL47" s="5"/>
      <c r="AM47" s="5"/>
      <c r="AN47" s="5"/>
      <c r="AO47" s="5"/>
      <c r="AP47" s="5"/>
      <c r="AQ47" s="5"/>
      <c r="AR47" s="5"/>
      <c r="AS47" s="5"/>
      <c r="AT47" s="5"/>
      <c r="AU47" s="5"/>
      <c r="AV47" s="5"/>
      <c r="AW47" s="5"/>
      <c r="AX47" s="5"/>
      <c r="AY47" s="5"/>
      <c r="AZ47" s="5"/>
      <c r="BA47" s="5"/>
      <c r="BB47" s="5"/>
      <c r="BC47" s="5"/>
      <c r="BD47" s="5"/>
      <c r="BE47" s="5"/>
      <c r="BF47" s="5"/>
      <c r="BG47" s="5"/>
      <c r="BH47" s="5"/>
      <c r="BI47" s="260"/>
      <c r="BJ47" s="260"/>
      <c r="BK47" s="260"/>
      <c r="BL47" s="260"/>
      <c r="BM47" s="260"/>
      <c r="BN47" s="260"/>
      <c r="BO47" s="260"/>
      <c r="BP47" s="260"/>
      <c r="BQ47" s="260"/>
      <c r="BR47" s="260"/>
      <c r="BS47" s="260"/>
      <c r="BT47" s="260"/>
    </row>
    <row r="48">
      <c r="A48" s="1080"/>
      <c r="B48" s="154"/>
      <c r="C48" s="734" t="s">
        <v>100</v>
      </c>
      <c r="D48" s="124" t="s">
        <v>101</v>
      </c>
      <c r="E48" s="687">
        <f>E46</f>
        <v>0.67</v>
      </c>
      <c r="F48" s="1085"/>
      <c r="G48" s="127"/>
      <c r="H48" s="127" t="str">
        <f>IFERROR(__xludf.DUMMYFUNCTION("IFERROR(REGEXEXTRACT(C48, ""(\d*\.\d+)mm""), """")"),"")</f>
        <v/>
      </c>
      <c r="I48" s="127"/>
      <c r="J48" s="126" t="s">
        <v>87</v>
      </c>
      <c r="K48" s="126" t="str">
        <f t="array" ref="K48">iferror(if(OR(D48="R-Flashing",D48="W-Flashing"),"LM",XLOOKUP(C48,Material!$A:$A,Material!$C:$C)),"")</f>
        <v>ea</v>
      </c>
      <c r="L48" s="163"/>
      <c r="M48" s="150">
        <f>ROUNDUP(((M46/5.7)+1)*(E48/0.05),0)</f>
        <v>55</v>
      </c>
      <c r="N48" s="151">
        <f t="shared" si="27"/>
        <v>1</v>
      </c>
      <c r="O48" s="169">
        <v>1.0</v>
      </c>
      <c r="P48" s="134">
        <v>1.0</v>
      </c>
      <c r="Q48" s="168">
        <f t="shared" si="23"/>
        <v>55</v>
      </c>
      <c r="R48" s="136">
        <f t="array" ref="R48">IFERROR(
    IF(
        OR(D48="R-Flashing",D48="W-Flashing",D48="R-BG"),
        LET(
            StartRow,
            MATCH(
                I48&amp;"♦"&amp;H48,
                Material!$I:$I&amp;"♦"&amp;Material!$J:$J,
                0
            ),
            INDEX(
                Material!$J:$AF,
                StartRow+1+MATCH(
                    CEILING(E48*1000,50),
                    INDEX(Material!$I:$I,StartRow+2):INDEX(Material!$I:$I,StartRow+25),
                    0
                ),
                MATCH(
                    G48,
                    INDEX(Material!$I:$V,StartRow+1,0),
                    0
                )
            )
        ),
        XLOOKUP(C48,Material!$A:$A,Material!$D:$D)
    ),
"")</f>
        <v>0.09</v>
      </c>
      <c r="S48" s="152">
        <f t="shared" si="24"/>
        <v>4.95</v>
      </c>
      <c r="T48" s="138"/>
      <c r="U48" s="1082" t="str">
        <f t="array" ref="U48">IFERROR(
    IF(
        D48="R-Flashing",
        XLOOKUP(CEILING(E48*1000,50),Material!I:I,Material!X:X),
        XLOOKUP(C48,Material!A:A,Material!E:E)
    ),
    ""
)</f>
        <v/>
      </c>
      <c r="V48" s="139"/>
      <c r="W48" s="140">
        <f t="shared" si="25"/>
        <v>0</v>
      </c>
      <c r="X48" s="159"/>
      <c r="Y48" s="5"/>
      <c r="Z48" s="5"/>
      <c r="AA48" s="5"/>
      <c r="AB48" s="354">
        <f t="shared" si="26"/>
        <v>4.95</v>
      </c>
      <c r="AC48" s="33"/>
      <c r="AD48" s="65"/>
      <c r="AE48" s="66"/>
      <c r="AF48" s="144"/>
      <c r="AG48" s="68"/>
      <c r="AH48" s="69"/>
      <c r="AI48" s="39"/>
      <c r="AJ48" s="70"/>
      <c r="AK48" s="70"/>
      <c r="AL48" s="5"/>
      <c r="AM48" s="5"/>
      <c r="AN48" s="5"/>
      <c r="AO48" s="5"/>
      <c r="AP48" s="5"/>
      <c r="AQ48" s="5"/>
      <c r="AR48" s="5"/>
      <c r="AS48" s="5"/>
      <c r="AT48" s="5"/>
      <c r="AU48" s="5"/>
      <c r="AV48" s="5"/>
      <c r="AW48" s="5"/>
      <c r="AX48" s="5"/>
      <c r="AY48" s="5"/>
      <c r="AZ48" s="5"/>
      <c r="BA48" s="5"/>
      <c r="BB48" s="5"/>
      <c r="BC48" s="5"/>
      <c r="BD48" s="5"/>
      <c r="BE48" s="5"/>
      <c r="BF48" s="5"/>
      <c r="BG48" s="5"/>
      <c r="BH48" s="5"/>
      <c r="BI48" s="260"/>
      <c r="BJ48" s="260"/>
      <c r="BK48" s="260"/>
      <c r="BL48" s="260"/>
      <c r="BM48" s="260"/>
      <c r="BN48" s="260"/>
      <c r="BO48" s="260"/>
      <c r="BP48" s="260"/>
      <c r="BQ48" s="260"/>
      <c r="BR48" s="260"/>
      <c r="BS48" s="260"/>
      <c r="BT48" s="260"/>
    </row>
    <row r="49">
      <c r="A49" s="1080"/>
      <c r="B49" s="154"/>
      <c r="C49" s="123" t="s">
        <v>631</v>
      </c>
      <c r="D49" s="124" t="s">
        <v>103</v>
      </c>
      <c r="E49" s="752"/>
      <c r="F49" s="1085"/>
      <c r="G49" s="129"/>
      <c r="H49" s="127"/>
      <c r="I49" s="127"/>
      <c r="J49" s="126" t="s">
        <v>87</v>
      </c>
      <c r="K49" s="126" t="str">
        <f t="array" ref="K49">iferror(if(OR(D49="R-Flashing",D49="W-Flashing"),"LM",XLOOKUP(C49,Material!$A:$A,Material!$C:$C)),"")</f>
        <v>ea</v>
      </c>
      <c r="L49" s="161"/>
      <c r="M49" s="150">
        <f>ROUNDUP(M46/0.6,0)+1</f>
        <v>30</v>
      </c>
      <c r="N49" s="151">
        <f t="shared" si="27"/>
        <v>1</v>
      </c>
      <c r="O49" s="169">
        <v>1.0</v>
      </c>
      <c r="P49" s="134">
        <v>2.0</v>
      </c>
      <c r="Q49" s="168">
        <f t="shared" si="23"/>
        <v>60</v>
      </c>
      <c r="R49" s="136">
        <f t="array" ref="R49">IFERROR(
    IF(
        OR(D49="R-Flashing",D49="W-Flashing",D49="R-BG"),
        LET(
            StartRow,
            MATCH(
                I49&amp;"♦"&amp;H49,
                Material!$I:$I&amp;"♦"&amp;Material!$J:$J,
                0
            ),
            INDEX(
                Material!$J:$AF,
                StartRow+1+MATCH(
                    CEILING(E49*1000,50),
                    INDEX(Material!$I:$I,StartRow+2):INDEX(Material!$I:$I,StartRow+25),
                    0
                ),
                MATCH(
                    G49,
                    INDEX(Material!$I:$V,StartRow+1,0),
                    0
                )
            )
        ),
        XLOOKUP(C49,Material!$A:$A,Material!$D:$D)
    ),
"")</f>
        <v>0.2</v>
      </c>
      <c r="S49" s="152">
        <f t="shared" si="24"/>
        <v>12</v>
      </c>
      <c r="T49" s="138"/>
      <c r="U49" s="1082" t="str">
        <f t="array" ref="U49">IFERROR(
    IF(
        D49="R-Flashing",
        XLOOKUP(CEILING(E49*1000,50),Material!I:I,Material!X:X),
        XLOOKUP(C49,Material!A:A,Material!E:E)
    ),
    ""
)</f>
        <v/>
      </c>
      <c r="V49" s="139"/>
      <c r="W49" s="140">
        <f t="shared" si="25"/>
        <v>0</v>
      </c>
      <c r="X49" s="159"/>
      <c r="Y49" s="5"/>
      <c r="Z49" s="5"/>
      <c r="AA49" s="5"/>
      <c r="AB49" s="354">
        <f t="shared" si="26"/>
        <v>12</v>
      </c>
      <c r="AC49" s="33"/>
      <c r="AD49" s="65"/>
      <c r="AE49" s="66"/>
      <c r="AF49" s="144"/>
      <c r="AG49" s="68"/>
      <c r="AH49" s="69"/>
      <c r="AI49" s="39"/>
      <c r="AJ49" s="70"/>
      <c r="AK49" s="70"/>
      <c r="AL49" s="5"/>
      <c r="AM49" s="5"/>
      <c r="AN49" s="5"/>
      <c r="AO49" s="5"/>
      <c r="AP49" s="5"/>
      <c r="AQ49" s="5"/>
      <c r="AR49" s="5"/>
      <c r="AS49" s="5"/>
      <c r="AT49" s="5"/>
      <c r="AU49" s="5"/>
      <c r="AV49" s="5"/>
      <c r="AW49" s="5"/>
      <c r="AX49" s="5"/>
      <c r="AY49" s="5"/>
      <c r="AZ49" s="5"/>
      <c r="BA49" s="5"/>
      <c r="BB49" s="5"/>
      <c r="BC49" s="5"/>
      <c r="BD49" s="5"/>
      <c r="BE49" s="5"/>
      <c r="BF49" s="5"/>
      <c r="BG49" s="5"/>
      <c r="BH49" s="5"/>
      <c r="BI49" s="260"/>
      <c r="BJ49" s="260"/>
      <c r="BK49" s="260"/>
      <c r="BL49" s="260"/>
      <c r="BM49" s="260"/>
      <c r="BN49" s="260"/>
      <c r="BO49" s="260"/>
      <c r="BP49" s="260"/>
      <c r="BQ49" s="260"/>
      <c r="BR49" s="260"/>
      <c r="BS49" s="260"/>
      <c r="BT49" s="260"/>
    </row>
    <row r="50">
      <c r="A50" s="1080"/>
      <c r="B50" s="154"/>
      <c r="C50" s="223" t="s">
        <v>632</v>
      </c>
      <c r="D50" s="124" t="s">
        <v>105</v>
      </c>
      <c r="E50" s="752"/>
      <c r="F50" s="1085"/>
      <c r="G50" s="129"/>
      <c r="H50" s="127"/>
      <c r="I50" s="127"/>
      <c r="J50" s="126" t="s">
        <v>87</v>
      </c>
      <c r="K50" s="126" t="str">
        <f t="array" ref="K50">iferror(if(OR(D50="R-Flashing",D50="W-Flashing"),"LM",XLOOKUP(C50,Material!$A:$A,Material!$C:$C)),"")</f>
        <v>LM</v>
      </c>
      <c r="L50" s="161"/>
      <c r="M50" s="150">
        <f>M46</f>
        <v>17.3</v>
      </c>
      <c r="N50" s="151">
        <f t="shared" si="27"/>
        <v>1</v>
      </c>
      <c r="O50" s="169">
        <v>1.0</v>
      </c>
      <c r="P50" s="156">
        <v>2.0</v>
      </c>
      <c r="Q50" s="168">
        <f t="shared" si="23"/>
        <v>34.6</v>
      </c>
      <c r="R50" s="136">
        <f t="array" ref="R50">IFERROR(
    IF(
        OR(D50="R-Flashing",D50="W-Flashing",D50="R-BG"),
        LET(
            StartRow,
            MATCH(
                I50&amp;"♦"&amp;H50,
                Material!$I:$I&amp;"♦"&amp;Material!$J:$J,
                0
            ),
            INDEX(
                Material!$J:$AF,
                StartRow+1+MATCH(
                    CEILING(E50*1000,50),
                    INDEX(Material!$I:$I,StartRow+2):INDEX(Material!$I:$I,StartRow+25),
                    0
                ),
                MATCH(
                    G50,
                    INDEX(Material!$I:$V,StartRow+1,0),
                    0
                )
            )
        ),
        XLOOKUP(C50,Material!$A:$A,Material!$D:$D)
    ),
"")</f>
        <v>5</v>
      </c>
      <c r="S50" s="152">
        <f t="shared" si="24"/>
        <v>173</v>
      </c>
      <c r="T50" s="138"/>
      <c r="U50" s="1082" t="str">
        <f t="array" ref="U50">IFERROR(
    IF(
        D50="R-Flashing",
        XLOOKUP(CEILING(E50*1000,50),Material!I:I,Material!X:X),
        XLOOKUP(C50,Material!A:A,Material!E:E)
    ),
    ""
)</f>
        <v/>
      </c>
      <c r="V50" s="139"/>
      <c r="W50" s="140">
        <f t="shared" si="25"/>
        <v>0</v>
      </c>
      <c r="X50" s="159"/>
      <c r="Y50" s="5"/>
      <c r="Z50" s="5"/>
      <c r="AA50" s="5"/>
      <c r="AB50" s="354">
        <f t="shared" si="26"/>
        <v>173</v>
      </c>
      <c r="AC50" s="33"/>
      <c r="AD50" s="65"/>
      <c r="AE50" s="66"/>
      <c r="AF50" s="144"/>
      <c r="AG50" s="68"/>
      <c r="AH50" s="69"/>
      <c r="AI50" s="39"/>
      <c r="AJ50" s="70"/>
      <c r="AK50" s="70"/>
      <c r="AL50" s="5"/>
      <c r="AM50" s="5"/>
      <c r="AN50" s="5"/>
      <c r="AO50" s="5"/>
      <c r="AP50" s="5"/>
      <c r="AQ50" s="5"/>
      <c r="AR50" s="5"/>
      <c r="AS50" s="5"/>
      <c r="AT50" s="5"/>
      <c r="AU50" s="5"/>
      <c r="AV50" s="5"/>
      <c r="AW50" s="5"/>
      <c r="AX50" s="5"/>
      <c r="AY50" s="5"/>
      <c r="AZ50" s="5"/>
      <c r="BA50" s="5"/>
      <c r="BB50" s="5"/>
      <c r="BC50" s="5"/>
      <c r="BD50" s="5"/>
      <c r="BE50" s="5"/>
      <c r="BF50" s="5"/>
      <c r="BG50" s="5"/>
      <c r="BH50" s="5"/>
      <c r="BI50" s="260"/>
      <c r="BJ50" s="260"/>
      <c r="BK50" s="260"/>
      <c r="BL50" s="260"/>
      <c r="BM50" s="260"/>
      <c r="BN50" s="260"/>
      <c r="BO50" s="260"/>
      <c r="BP50" s="260"/>
      <c r="BQ50" s="260"/>
      <c r="BR50" s="260"/>
      <c r="BS50" s="260"/>
      <c r="BT50" s="260"/>
    </row>
    <row r="51">
      <c r="A51" s="1080"/>
      <c r="B51" s="154"/>
      <c r="C51" s="734" t="s">
        <v>446</v>
      </c>
      <c r="D51" s="124" t="s">
        <v>107</v>
      </c>
      <c r="E51" s="752"/>
      <c r="F51" s="1085"/>
      <c r="G51" s="129"/>
      <c r="H51" s="127"/>
      <c r="I51" s="127"/>
      <c r="J51" s="126" t="s">
        <v>87</v>
      </c>
      <c r="K51" s="126" t="str">
        <f t="array" ref="K51">iferror(if(OR(D51="R-Flashing",D51="W-Flashing"),"LM",XLOOKUP(C51,Material!$A:$A,Material!$C:$C)),"")</f>
        <v>LM</v>
      </c>
      <c r="L51" s="161"/>
      <c r="M51" s="150">
        <f>M46</f>
        <v>17.3</v>
      </c>
      <c r="N51" s="151">
        <f t="shared" si="27"/>
        <v>1</v>
      </c>
      <c r="O51" s="169">
        <v>1.0</v>
      </c>
      <c r="P51" s="156">
        <v>2.0</v>
      </c>
      <c r="Q51" s="168">
        <f t="shared" si="23"/>
        <v>34.6</v>
      </c>
      <c r="R51" s="136" t="str">
        <f t="array" ref="R51">IFERROR(
    IF(
        OR(D51="R-Flashing",D51="W-Flashing",D51="R-BG"),
        LET(
            StartRow,
            MATCH(
                I51&amp;"♦"&amp;H51,
                Material!$I:$I&amp;"♦"&amp;Material!$J:$J,
                0
            ),
            INDEX(
                Material!$J:$AF,
                StartRow+1+MATCH(
                    CEILING(E51*1000,50),
                    INDEX(Material!$I:$I,StartRow+2):INDEX(Material!$I:$I,StartRow+25),
                    0
                ),
                MATCH(
                    G51,
                    INDEX(Material!$I:$V,StartRow+1,0),
                    0
                )
            )
        ),
        XLOOKUP(C51,Material!$A:$A,Material!$D:$D)
    ),
"")</f>
        <v/>
      </c>
      <c r="S51" s="152">
        <f t="shared" si="24"/>
        <v>0</v>
      </c>
      <c r="T51" s="138"/>
      <c r="U51" s="1082">
        <f t="array" ref="U51">IFERROR(
    IF(
        D51="R-Flashing",
        XLOOKUP(CEILING(E51*1000,50),Material!I:I,Material!X:X),
        XLOOKUP(C51,Material!A:A,Material!E:E)
    ),
    ""
)</f>
        <v>3</v>
      </c>
      <c r="V51" s="139"/>
      <c r="W51" s="140">
        <f t="shared" si="25"/>
        <v>103.8</v>
      </c>
      <c r="X51" s="159"/>
      <c r="Y51" s="5"/>
      <c r="Z51" s="5"/>
      <c r="AA51" s="5"/>
      <c r="AB51" s="354">
        <f t="shared" si="26"/>
        <v>103.8</v>
      </c>
      <c r="AC51" s="33"/>
      <c r="AD51" s="65"/>
      <c r="AE51" s="66"/>
      <c r="AF51" s="144"/>
      <c r="AG51" s="68"/>
      <c r="AH51" s="69"/>
      <c r="AI51" s="39"/>
      <c r="AJ51" s="70"/>
      <c r="AK51" s="70"/>
      <c r="AL51" s="5"/>
      <c r="AM51" s="5"/>
      <c r="AN51" s="5"/>
      <c r="AO51" s="5"/>
      <c r="AP51" s="5"/>
      <c r="AQ51" s="5"/>
      <c r="AR51" s="5"/>
      <c r="AS51" s="5"/>
      <c r="AT51" s="5"/>
      <c r="AU51" s="5"/>
      <c r="AV51" s="5"/>
      <c r="AW51" s="5"/>
      <c r="AX51" s="5"/>
      <c r="AY51" s="5"/>
      <c r="AZ51" s="5"/>
      <c r="BA51" s="5"/>
      <c r="BB51" s="5"/>
      <c r="BC51" s="5"/>
      <c r="BD51" s="5"/>
      <c r="BE51" s="5"/>
      <c r="BF51" s="5"/>
      <c r="BG51" s="5"/>
      <c r="BH51" s="5"/>
      <c r="BI51" s="260"/>
      <c r="BJ51" s="260"/>
      <c r="BK51" s="260"/>
      <c r="BL51" s="260"/>
      <c r="BM51" s="260"/>
      <c r="BN51" s="260"/>
      <c r="BO51" s="260"/>
      <c r="BP51" s="260"/>
      <c r="BQ51" s="260"/>
      <c r="BR51" s="260"/>
      <c r="BS51" s="260"/>
      <c r="BT51" s="260"/>
    </row>
    <row r="52">
      <c r="A52" s="1080"/>
      <c r="B52" s="160"/>
      <c r="C52" s="757"/>
      <c r="D52" s="129"/>
      <c r="E52" s="752"/>
      <c r="F52" s="1085"/>
      <c r="G52" s="129"/>
      <c r="H52" s="127"/>
      <c r="I52" s="127"/>
      <c r="J52" s="129"/>
      <c r="K52" s="126" t="str">
        <f t="array" ref="K52">iferror(if(OR(D52="R-Flashing",D52="W-Flashing"),"LM",XLOOKUP(C52,Material!$A:$A,Material!$C:$C)),"")</f>
        <v/>
      </c>
      <c r="L52" s="161"/>
      <c r="M52" s="163"/>
      <c r="N52" s="151" t="str">
        <f t="shared" si="27"/>
        <v/>
      </c>
      <c r="O52" s="161"/>
      <c r="P52" s="127"/>
      <c r="Q52" s="161"/>
      <c r="R52" s="136" t="str">
        <f t="array" ref="R52">IFERROR(
    IF(
        OR(D52="R-Flashing",D52="W-Flashing",D52="R-BG"),
        LET(
            StartRow,
            MATCH(
                I52&amp;"♦"&amp;H52,
                Material!$I:$I&amp;"♦"&amp;Material!$J:$J,
                0
            ),
            INDEX(
                Material!$J:$AF,
                StartRow+1+MATCH(
                    CEILING(E52*1000,50),
                    INDEX(Material!$I:$I,StartRow+2):INDEX(Material!$I:$I,StartRow+25),
                    0
                ),
                MATCH(
                    G52,
                    INDEX(Material!$I:$V,StartRow+1,0),
                    0
                )
            )
        ),
        XLOOKUP(C52,Material!$A:$A,Material!$D:$D)
    ),
"")</f>
        <v/>
      </c>
      <c r="S52" s="139"/>
      <c r="T52" s="138"/>
      <c r="U52" s="1082" t="str">
        <f t="array" ref="U52">IFERROR(
    IF(
        D52="R-Flashing",
        XLOOKUP(CEILING(E52*1000,50),Material!I:I,Material!X:X),
        XLOOKUP(C52,Material!A:A,Material!E:E)
    ),
    ""
)</f>
        <v/>
      </c>
      <c r="V52" s="139"/>
      <c r="W52" s="164"/>
      <c r="X52" s="159"/>
      <c r="Y52" s="5"/>
      <c r="Z52" s="5"/>
      <c r="AA52" s="5"/>
      <c r="AB52" s="5"/>
      <c r="AC52" s="33"/>
      <c r="AD52" s="65"/>
      <c r="AE52" s="66"/>
      <c r="AF52" s="144"/>
      <c r="AG52" s="68"/>
      <c r="AH52" s="69"/>
      <c r="AI52" s="39"/>
      <c r="AJ52" s="70"/>
      <c r="AK52" s="70"/>
      <c r="AL52" s="5"/>
      <c r="AM52" s="5"/>
      <c r="AN52" s="5"/>
      <c r="AO52" s="5"/>
      <c r="AP52" s="5"/>
      <c r="AQ52" s="5"/>
      <c r="AR52" s="5"/>
      <c r="AS52" s="5"/>
      <c r="AT52" s="5"/>
      <c r="AU52" s="5"/>
      <c r="AV52" s="5"/>
      <c r="AW52" s="5"/>
      <c r="AX52" s="5"/>
      <c r="AY52" s="5"/>
      <c r="AZ52" s="5"/>
      <c r="BA52" s="5"/>
      <c r="BB52" s="5"/>
      <c r="BC52" s="5"/>
      <c r="BD52" s="5"/>
      <c r="BE52" s="5"/>
      <c r="BF52" s="5"/>
      <c r="BG52" s="5"/>
      <c r="BH52" s="5"/>
      <c r="BI52" s="260"/>
      <c r="BJ52" s="260"/>
      <c r="BK52" s="260"/>
      <c r="BL52" s="260"/>
      <c r="BM52" s="260"/>
      <c r="BN52" s="260"/>
      <c r="BO52" s="260"/>
      <c r="BP52" s="260"/>
      <c r="BQ52" s="260"/>
      <c r="BR52" s="260"/>
      <c r="BS52" s="260"/>
      <c r="BT52" s="260"/>
    </row>
    <row r="53">
      <c r="A53" s="1080">
        <v>1.0</v>
      </c>
      <c r="B53" s="102"/>
      <c r="C53" s="103" t="s">
        <v>635</v>
      </c>
      <c r="D53" s="104"/>
      <c r="E53" s="749"/>
      <c r="F53" s="1089"/>
      <c r="G53" s="104"/>
      <c r="H53" s="104"/>
      <c r="I53" s="104"/>
      <c r="J53" s="104"/>
      <c r="K53" s="104" t="s">
        <v>42</v>
      </c>
      <c r="L53" s="106">
        <f>Q53</f>
        <v>24</v>
      </c>
      <c r="M53" s="105" t="s">
        <v>42</v>
      </c>
      <c r="N53" s="107"/>
      <c r="O53" s="105"/>
      <c r="P53" s="104"/>
      <c r="Q53" s="106">
        <f>Q54</f>
        <v>24</v>
      </c>
      <c r="R53" s="108" t="str">
        <f t="array" ref="R53">IFERROR(
    IF(
        OR(D53="R-Flashing",D53="W-Flashing",D53="R-BG"),
        LET(
            StartRow,
            MATCH(
                I53&amp;"♦"&amp;H53,
                Material!$I:$I&amp;"♦"&amp;Material!$J:$J,
                0
            ),
            INDEX(
                Material!$J:$AF,
                StartRow+1+MATCH(
                    CEILING(E53*1000,50),
                    INDEX(Material!$I:$I,StartRow+2):INDEX(Material!$I:$I,StartRow+25),
                    0
                ),
                MATCH(
                    G53,
                    INDEX(Material!$I:$V,StartRow+1,0),
                    0
                )
            )
        ),
        XLOOKUP(C53,Material!$A:$A,Material!$D:$D)
    ),
"")</f>
        <v/>
      </c>
      <c r="S53" s="682">
        <f>IFERROR(T53/Q53, 0)</f>
        <v>21.51895833</v>
      </c>
      <c r="T53" s="109">
        <f>SUM(S54:S58)</f>
        <v>516.455</v>
      </c>
      <c r="U53" s="108" t="str">
        <f t="array" ref="U53">IFERROR(
    IF(
        D53="R-Flashing",
        XLOOKUP(CEILING(E53*1000,50),Material!I:I,Material!X:X),
        XLOOKUP(C53,Material!A:A,Material!E:E)
    ),
    ""
)</f>
        <v/>
      </c>
      <c r="V53" s="109">
        <f>W53/Q53</f>
        <v>10</v>
      </c>
      <c r="W53" s="110">
        <f>SUM(W54:W58)</f>
        <v>240</v>
      </c>
      <c r="X53" s="111">
        <f>W53/$AC$210/$W$217/$X$207</f>
        <v>0.1630434783</v>
      </c>
      <c r="Y53" s="112" t="b">
        <f>(T53+W53)=(SUM(AB54:AB58))</f>
        <v>1</v>
      </c>
      <c r="Z53" s="113">
        <f>(T53+W53)-(SUM(AB54:AB58))</f>
        <v>0</v>
      </c>
      <c r="AA53" s="5"/>
      <c r="AB53" s="5"/>
      <c r="AC53" s="33"/>
      <c r="AD53" s="114">
        <f>W53+T53</f>
        <v>756.455</v>
      </c>
      <c r="AE53" s="115">
        <f>AD53</f>
        <v>756.455</v>
      </c>
      <c r="AF53" s="116">
        <f>AE53/$AE$185</f>
        <v>0.01059692446</v>
      </c>
      <c r="AG53" s="683">
        <f>AF53*$AG$192</f>
        <v>289.3631262</v>
      </c>
      <c r="AH53" s="118">
        <f>AF53*$AG$195</f>
        <v>168.7311004</v>
      </c>
      <c r="AI53" s="187"/>
      <c r="AJ53" s="119">
        <f>ROUND(AK53/L53,2)</f>
        <v>50.61</v>
      </c>
      <c r="AK53" s="119">
        <f>ROUND(AH53+AG53+AD53,2)</f>
        <v>1214.55</v>
      </c>
      <c r="AL53" s="5"/>
      <c r="AM53" s="5"/>
      <c r="AN53" s="5"/>
      <c r="AO53" s="5"/>
      <c r="AP53" s="5"/>
      <c r="AQ53" s="5"/>
      <c r="AR53" s="5"/>
      <c r="AS53" s="5"/>
      <c r="AT53" s="5"/>
      <c r="AU53" s="5"/>
      <c r="AV53" s="5"/>
      <c r="AW53" s="5"/>
      <c r="AX53" s="5"/>
      <c r="AY53" s="5"/>
      <c r="AZ53" s="5"/>
      <c r="BA53" s="5"/>
      <c r="BB53" s="5"/>
      <c r="BC53" s="5"/>
      <c r="BD53" s="5"/>
      <c r="BE53" s="5"/>
      <c r="BF53" s="5"/>
      <c r="BG53" s="5"/>
      <c r="BH53" s="5"/>
      <c r="BI53" s="260"/>
      <c r="BJ53" s="260"/>
      <c r="BK53" s="260"/>
      <c r="BL53" s="260"/>
      <c r="BM53" s="260"/>
      <c r="BN53" s="260"/>
      <c r="BO53" s="260"/>
      <c r="BP53" s="260"/>
      <c r="BQ53" s="260"/>
      <c r="BR53" s="260"/>
      <c r="BS53" s="260"/>
      <c r="BT53" s="260"/>
    </row>
    <row r="54">
      <c r="A54" s="1080" t="s">
        <v>444</v>
      </c>
      <c r="B54" s="160"/>
      <c r="C54" s="123" t="s">
        <v>636</v>
      </c>
      <c r="D54" s="124" t="s">
        <v>96</v>
      </c>
      <c r="E54" s="687">
        <f>VALUE(MID(C54, FIND("(", C54)+1, FIND("/", C54)-FIND("(", C54)-1)) / 1000</f>
        <v>0.39</v>
      </c>
      <c r="F54" s="1086"/>
      <c r="G54" s="128">
        <f>VALUE(MID(C54,FIND("/",C54)+1,FIND("B",C54,FIND("/",C54))-FIND("/",C54)-1))</f>
        <v>3</v>
      </c>
      <c r="H54" s="128" t="str">
        <f>IFERROR(__xludf.DUMMYFUNCTION("IFERROR(REGEXEXTRACT(C54,""(\d*\.?\d+)\s*bmt""),IFERROR(REGEXEXTRACT(C54,""(\d*\.?\d+)\s*mm""),""""))"),"0.55")</f>
        <v>0.55</v>
      </c>
      <c r="I54" s="128" t="s">
        <v>630</v>
      </c>
      <c r="J54" s="126" t="s">
        <v>14</v>
      </c>
      <c r="K54" s="126" t="str">
        <f t="array" ref="K54">iferror(if(OR(D54="R-Flashing",D54="W-Flashing"),"LM",XLOOKUP(C54,Material!$A:$A,Material!$C:$C)),"")</f>
        <v>LM</v>
      </c>
      <c r="L54" s="163"/>
      <c r="M54" s="730">
        <v>24.0</v>
      </c>
      <c r="N54" s="151">
        <f>IFERROR(__xludf.DUMMYFUNCTION("IF(
  AND(
    IFERROR(REGEXEXTRACT(C54,""@\s*(\d+(?:\.\d+)?)\s*deg""),"""")&lt;&gt;"""",
    F54&lt;&gt;""""
  ),
  ""Pls Confirm °"",
  IF(
    IFERROR(REGEXEXTRACT(C54,""@\s*(\d+(?:\.\d+)?)\s*deg""),"""")&lt;&gt;"""",
    1/COS(RADIANS(REGEXEXTRACT(C54,""@\s*(\d+(?:\.\d"&amp;"+)?)\s*deg""))),
    IF(
      F54&lt;&gt;"""",
      IF(
        ISNUMBER(SEARCH(""|"",F54)),
        1/COS(
          ATAN(
            TAN(RADIANS(VALUE(INDEX(SPLIT(F54,""|""),1)))) *
            TAN(RADIANS(VALUE(INDEX(SPLIT(F54,""|""),2))))
            /
 "&amp;"           SQRT(
              TAN(RADIANS(VALUE(INDEX(SPLIT(F54,""|""),1))))^2 +
              TAN(RADIANS(VALUE(INDEX(SPLIT(F54,""|""),2))))^2
            )
          )
        ),
        1/COS(RADIANS(VALUE(F54)))
      ),
      1
    )
  )
)"),1.0)</f>
        <v>1</v>
      </c>
      <c r="O54" s="169">
        <v>1.0</v>
      </c>
      <c r="P54" s="134">
        <v>1.0</v>
      </c>
      <c r="Q54" s="168">
        <f t="shared" ref="Q54:Q57" si="28">M54*N54*O54*P54</f>
        <v>24</v>
      </c>
      <c r="R54" s="136">
        <f t="array" ref="R54">IFERROR(
    IF(
        OR(D54="R-Flashing",D54="W-Flashing",D54="R-BG"),
        LET(
            StartRow,
            MATCH(
                I54&amp;"♦"&amp;H54,
                Material!$I:$I&amp;"♦"&amp;Material!$J:$J,
                0
            ),
            INDEX(
                Material!$J:$AF,
                StartRow+1+MATCH(
                    CEILING(E54*1000,50),
                    INDEX(Material!$I:$I,StartRow+2):INDEX(Material!$I:$I,StartRow+25),
                    0
                ),
                MATCH(
                    G54,
                    INDEX(Material!$I:$V,StartRow+1,0),
                    0
                )
            )
        ),
        XLOOKUP(C54,Material!$A:$A,Material!$D:$D)
    ),
"")</f>
        <v>20.56</v>
      </c>
      <c r="S54" s="152">
        <f t="shared" ref="S54:S57" si="29">R54*Q54</f>
        <v>493.44</v>
      </c>
      <c r="T54" s="138"/>
      <c r="U54" s="136">
        <f t="array" ref="U54">IFERROR(
    IF(
        D54="R-Flashing",
        XLOOKUP(CEILING(E54*1000,50),Material!I:I,Material!X:X),
        XLOOKUP(C54,Material!A:A,Material!E:E)
    ),
    ""
)</f>
        <v>10</v>
      </c>
      <c r="V54" s="139"/>
      <c r="W54" s="140">
        <f t="shared" ref="W54:W57" si="30">U54*Q54</f>
        <v>240</v>
      </c>
      <c r="X54" s="159"/>
      <c r="Y54" s="165"/>
      <c r="Z54" s="1090"/>
      <c r="AA54" s="5"/>
      <c r="AB54" s="354">
        <f t="shared" ref="AB54:AB57" si="31">W54+S54</f>
        <v>733.44</v>
      </c>
      <c r="AC54" s="33"/>
      <c r="AD54" s="65"/>
      <c r="AE54" s="66"/>
      <c r="AF54" s="144"/>
      <c r="AG54" s="68"/>
      <c r="AH54" s="69"/>
      <c r="AI54" s="39"/>
      <c r="AJ54" s="70"/>
      <c r="AK54" s="70"/>
      <c r="AL54" s="5"/>
      <c r="AM54" s="5"/>
      <c r="AN54" s="5"/>
      <c r="AO54" s="5"/>
      <c r="AP54" s="5"/>
      <c r="AQ54" s="5"/>
      <c r="AR54" s="5"/>
      <c r="AS54" s="5"/>
      <c r="AT54" s="5"/>
      <c r="AU54" s="5"/>
      <c r="AV54" s="5"/>
      <c r="AW54" s="5"/>
      <c r="AX54" s="5"/>
      <c r="AY54" s="5"/>
      <c r="AZ54" s="5"/>
      <c r="BA54" s="5"/>
      <c r="BB54" s="5"/>
      <c r="BC54" s="5"/>
      <c r="BD54" s="5"/>
      <c r="BE54" s="5"/>
      <c r="BF54" s="5"/>
      <c r="BG54" s="5"/>
      <c r="BH54" s="5"/>
      <c r="BI54" s="260"/>
      <c r="BJ54" s="260"/>
      <c r="BK54" s="260"/>
      <c r="BL54" s="260"/>
      <c r="BM54" s="260"/>
      <c r="BN54" s="260"/>
      <c r="BO54" s="260"/>
      <c r="BP54" s="260"/>
      <c r="BQ54" s="260"/>
      <c r="BR54" s="260"/>
      <c r="BS54" s="260"/>
      <c r="BT54" s="260"/>
    </row>
    <row r="55">
      <c r="A55" s="1080"/>
      <c r="B55" s="160"/>
      <c r="C55" s="734" t="s">
        <v>98</v>
      </c>
      <c r="D55" s="124" t="s">
        <v>99</v>
      </c>
      <c r="E55" s="687">
        <f>E54</f>
        <v>0.39</v>
      </c>
      <c r="F55" s="1091" t="str">
        <f>IFERROR(__xludf.DUMMYFUNCTION("iferror(ROUND(
  DEGREES(
    ATAN(
      TAN(RADIANS(VALUE(INDEX(SPLIT(F54,""|""),1)))) *
      TAN(RADIANS(VALUE(INDEX(SPLIT(F54,""|""),2))))
      /
      SQRT(
        TAN(RADIANS(VALUE(INDEX(SPLIT(F54,""|""),1))))^2 +
        TAN(RADIANS(VALUE(INDEX("&amp;"SPLIT(F54,""|""),2))))^2
      )
    )
  ),
  2
))"),"")</f>
        <v/>
      </c>
      <c r="G55" s="127"/>
      <c r="H55" s="127" t="str">
        <f>IFERROR(__xludf.DUMMYFUNCTION("IFERROR(REGEXEXTRACT(C55, ""(\d*\.\d+)mm""), """")"),"")</f>
        <v/>
      </c>
      <c r="I55" s="127"/>
      <c r="J55" s="126" t="s">
        <v>87</v>
      </c>
      <c r="K55" s="126" t="str">
        <f t="array" ref="K55">iferror(if(OR(D55="R-Flashing",D55="W-Flashing"),"LM",XLOOKUP(C55,Material!$A:$A,Material!$C:$C)),"")</f>
        <v>ea</v>
      </c>
      <c r="L55" s="163"/>
      <c r="M55" s="150">
        <f>(ROUNDDOWN((M54/5.7)+2,0)*E55)/8</f>
        <v>0.2925</v>
      </c>
      <c r="N55" s="151">
        <f t="shared" ref="N55:N58" si="32">if(C55="","",(if(N54="",N53,N54)))</f>
        <v>1</v>
      </c>
      <c r="O55" s="169">
        <v>1.0</v>
      </c>
      <c r="P55" s="134">
        <v>1.0</v>
      </c>
      <c r="Q55" s="168">
        <f t="shared" si="28"/>
        <v>0.2925</v>
      </c>
      <c r="R55" s="136">
        <f t="array" ref="R55">IFERROR(
    IF(
        OR(D55="R-Flashing",D55="W-Flashing",D55="R-BG"),
        LET(
            StartRow,
            MATCH(
                I55&amp;"♦"&amp;H55,
                Material!$I:$I&amp;"♦"&amp;Material!$J:$J,
                0
            ),
            INDEX(
                Material!$J:$AF,
                StartRow+1+MATCH(
                    CEILING(E55*1000,50),
                    INDEX(Material!$I:$I,StartRow+2):INDEX(Material!$I:$I,StartRow+25),
                    0
                ),
                MATCH(
                    G55,
                    INDEX(Material!$I:$V,StartRow+1,0),
                    0
                )
            )
        ),
        XLOOKUP(C55,Material!$A:$A,Material!$D:$D)
    ),
"")</f>
        <v>10</v>
      </c>
      <c r="S55" s="152">
        <f t="shared" si="29"/>
        <v>2.925</v>
      </c>
      <c r="T55" s="138"/>
      <c r="U55" s="108" t="str">
        <f t="array" ref="U55">IFERROR(
    IF(
        D55="R-Flashing",
        XLOOKUP(CEILING(E55*1000,50),Material!I:I,Material!X:X),
        XLOOKUP(C55,Material!A:A,Material!E:E)
    ),
    ""
)</f>
        <v/>
      </c>
      <c r="V55" s="139"/>
      <c r="W55" s="140">
        <f t="shared" si="30"/>
        <v>0</v>
      </c>
      <c r="X55" s="159"/>
      <c r="Y55" s="5"/>
      <c r="Z55" s="5"/>
      <c r="AA55" s="5"/>
      <c r="AB55" s="354">
        <f t="shared" si="31"/>
        <v>2.925</v>
      </c>
      <c r="AC55" s="33"/>
      <c r="AD55" s="65"/>
      <c r="AE55" s="66"/>
      <c r="AF55" s="144"/>
      <c r="AG55" s="68"/>
      <c r="AH55" s="69"/>
      <c r="AI55" s="39"/>
      <c r="AJ55" s="70"/>
      <c r="AK55" s="70"/>
      <c r="AL55" s="5"/>
      <c r="AM55" s="5"/>
      <c r="AN55" s="5"/>
      <c r="AO55" s="5"/>
      <c r="AP55" s="5"/>
      <c r="AQ55" s="5"/>
      <c r="AR55" s="5"/>
      <c r="AS55" s="5"/>
      <c r="AT55" s="5"/>
      <c r="AU55" s="5"/>
      <c r="AV55" s="5"/>
      <c r="AW55" s="5"/>
      <c r="AX55" s="5"/>
      <c r="AY55" s="5"/>
      <c r="AZ55" s="5"/>
      <c r="BA55" s="5"/>
      <c r="BB55" s="5"/>
      <c r="BC55" s="5"/>
      <c r="BD55" s="5"/>
      <c r="BE55" s="5"/>
      <c r="BF55" s="5"/>
      <c r="BG55" s="5"/>
      <c r="BH55" s="5"/>
      <c r="BI55" s="260"/>
      <c r="BJ55" s="260"/>
      <c r="BK55" s="260"/>
      <c r="BL55" s="260"/>
      <c r="BM55" s="260"/>
      <c r="BN55" s="260"/>
      <c r="BO55" s="260"/>
      <c r="BP55" s="260"/>
      <c r="BQ55" s="260"/>
      <c r="BR55" s="260"/>
      <c r="BS55" s="260"/>
      <c r="BT55" s="260"/>
    </row>
    <row r="56">
      <c r="A56" s="1080"/>
      <c r="B56" s="160"/>
      <c r="C56" s="734" t="s">
        <v>100</v>
      </c>
      <c r="D56" s="124" t="s">
        <v>101</v>
      </c>
      <c r="E56" s="687">
        <f>E54</f>
        <v>0.39</v>
      </c>
      <c r="F56" s="1091"/>
      <c r="G56" s="127"/>
      <c r="H56" s="127" t="str">
        <f>IFERROR(__xludf.DUMMYFUNCTION("IFERROR(REGEXEXTRACT(C56, ""(\d*\.\d+)mm""), """")"),"")</f>
        <v/>
      </c>
      <c r="I56" s="127"/>
      <c r="J56" s="126" t="s">
        <v>87</v>
      </c>
      <c r="K56" s="126" t="str">
        <f t="array" ref="K56">iferror(if(OR(D56="R-Flashing",D56="W-Flashing"),"LM",XLOOKUP(C56,Material!$A:$A,Material!$C:$C)),"")</f>
        <v>ea</v>
      </c>
      <c r="L56" s="163"/>
      <c r="M56" s="150">
        <f>ROUNDUP(((M54/5.7)+1)*(E56/0.05),0)</f>
        <v>41</v>
      </c>
      <c r="N56" s="151">
        <f t="shared" si="32"/>
        <v>1</v>
      </c>
      <c r="O56" s="169">
        <v>1.0</v>
      </c>
      <c r="P56" s="134">
        <v>1.0</v>
      </c>
      <c r="Q56" s="168">
        <f t="shared" si="28"/>
        <v>41</v>
      </c>
      <c r="R56" s="136">
        <f t="array" ref="R56">IFERROR(
    IF(
        OR(D56="R-Flashing",D56="W-Flashing",D56="R-BG"),
        LET(
            StartRow,
            MATCH(
                I56&amp;"♦"&amp;H56,
                Material!$I:$I&amp;"♦"&amp;Material!$J:$J,
                0
            ),
            INDEX(
                Material!$J:$AF,
                StartRow+1+MATCH(
                    CEILING(E56*1000,50),
                    INDEX(Material!$I:$I,StartRow+2):INDEX(Material!$I:$I,StartRow+25),
                    0
                ),
                MATCH(
                    G56,
                    INDEX(Material!$I:$V,StartRow+1,0),
                    0
                )
            )
        ),
        XLOOKUP(C56,Material!$A:$A,Material!$D:$D)
    ),
"")</f>
        <v>0.09</v>
      </c>
      <c r="S56" s="152">
        <f t="shared" si="29"/>
        <v>3.69</v>
      </c>
      <c r="T56" s="138"/>
      <c r="U56" s="108" t="str">
        <f t="array" ref="U56">IFERROR(
    IF(
        D56="R-Flashing",
        XLOOKUP(CEILING(E56*1000,50),Material!I:I,Material!X:X),
        XLOOKUP(C56,Material!A:A,Material!E:E)
    ),
    ""
)</f>
        <v/>
      </c>
      <c r="V56" s="139"/>
      <c r="W56" s="140">
        <f t="shared" si="30"/>
        <v>0</v>
      </c>
      <c r="X56" s="159"/>
      <c r="Y56" s="5"/>
      <c r="Z56" s="5"/>
      <c r="AA56" s="5"/>
      <c r="AB56" s="354">
        <f t="shared" si="31"/>
        <v>3.69</v>
      </c>
      <c r="AC56" s="33"/>
      <c r="AD56" s="65"/>
      <c r="AE56" s="66"/>
      <c r="AF56" s="144"/>
      <c r="AG56" s="68"/>
      <c r="AH56" s="69"/>
      <c r="AI56" s="39"/>
      <c r="AJ56" s="70"/>
      <c r="AK56" s="70"/>
      <c r="AL56" s="5"/>
      <c r="AM56" s="5"/>
      <c r="AN56" s="5"/>
      <c r="AO56" s="5"/>
      <c r="AP56" s="5"/>
      <c r="AQ56" s="5"/>
      <c r="AR56" s="5"/>
      <c r="AS56" s="5"/>
      <c r="AT56" s="5"/>
      <c r="AU56" s="5"/>
      <c r="AV56" s="5"/>
      <c r="AW56" s="5"/>
      <c r="AX56" s="5"/>
      <c r="AY56" s="5"/>
      <c r="AZ56" s="5"/>
      <c r="BA56" s="5"/>
      <c r="BB56" s="5"/>
      <c r="BC56" s="5"/>
      <c r="BD56" s="5"/>
      <c r="BE56" s="5"/>
      <c r="BF56" s="5"/>
      <c r="BG56" s="5"/>
      <c r="BH56" s="5"/>
      <c r="BI56" s="260"/>
      <c r="BJ56" s="260"/>
      <c r="BK56" s="260"/>
      <c r="BL56" s="260"/>
      <c r="BM56" s="260"/>
      <c r="BN56" s="260"/>
      <c r="BO56" s="260"/>
      <c r="BP56" s="260"/>
      <c r="BQ56" s="260"/>
      <c r="BR56" s="260"/>
      <c r="BS56" s="260"/>
      <c r="BT56" s="260"/>
    </row>
    <row r="57">
      <c r="A57" s="1080"/>
      <c r="B57" s="160"/>
      <c r="C57" s="698" t="s">
        <v>631</v>
      </c>
      <c r="D57" s="124" t="s">
        <v>103</v>
      </c>
      <c r="E57" s="752"/>
      <c r="F57" s="1091"/>
      <c r="G57" s="129"/>
      <c r="H57" s="127"/>
      <c r="I57" s="127"/>
      <c r="J57" s="126" t="s">
        <v>87</v>
      </c>
      <c r="K57" s="126" t="str">
        <f t="array" ref="K57">iferror(if(OR(D57="R-Flashing",D57="W-Flashing"),"LM",XLOOKUP(C57,Material!$A:$A,Material!$C:$C)),"")</f>
        <v>ea</v>
      </c>
      <c r="L57" s="161"/>
      <c r="M57" s="150">
        <f>ROUNDUP(M54/0.6,0)+1</f>
        <v>41</v>
      </c>
      <c r="N57" s="151">
        <f t="shared" si="32"/>
        <v>1</v>
      </c>
      <c r="O57" s="169">
        <v>1.0</v>
      </c>
      <c r="P57" s="134">
        <v>2.0</v>
      </c>
      <c r="Q57" s="168">
        <f t="shared" si="28"/>
        <v>82</v>
      </c>
      <c r="R57" s="136">
        <f t="array" ref="R57">IFERROR(
    IF(
        OR(D57="R-Flashing",D57="W-Flashing",D57="R-BG"),
        LET(
            StartRow,
            MATCH(
                I57&amp;"♦"&amp;H57,
                Material!$I:$I&amp;"♦"&amp;Material!$J:$J,
                0
            ),
            INDEX(
                Material!$J:$AF,
                StartRow+1+MATCH(
                    CEILING(E57*1000,50),
                    INDEX(Material!$I:$I,StartRow+2):INDEX(Material!$I:$I,StartRow+25),
                    0
                ),
                MATCH(
                    G57,
                    INDEX(Material!$I:$V,StartRow+1,0),
                    0
                )
            )
        ),
        XLOOKUP(C57,Material!$A:$A,Material!$D:$D)
    ),
"")</f>
        <v>0.2</v>
      </c>
      <c r="S57" s="152">
        <f t="shared" si="29"/>
        <v>16.4</v>
      </c>
      <c r="T57" s="138"/>
      <c r="U57" s="108" t="str">
        <f t="array" ref="U57">IFERROR(
    IF(
        D57="R-Flashing",
        XLOOKUP(CEILING(E57*1000,50),Material!I:I,Material!X:X),
        XLOOKUP(C57,Material!A:A,Material!E:E)
    ),
    ""
)</f>
        <v/>
      </c>
      <c r="V57" s="139"/>
      <c r="W57" s="140">
        <f t="shared" si="30"/>
        <v>0</v>
      </c>
      <c r="X57" s="159"/>
      <c r="Y57" s="5"/>
      <c r="Z57" s="5"/>
      <c r="AA57" s="5"/>
      <c r="AB57" s="354">
        <f t="shared" si="31"/>
        <v>16.4</v>
      </c>
      <c r="AC57" s="33"/>
      <c r="AD57" s="65"/>
      <c r="AE57" s="66"/>
      <c r="AF57" s="144"/>
      <c r="AG57" s="68"/>
      <c r="AH57" s="69"/>
      <c r="AI57" s="39"/>
      <c r="AJ57" s="70"/>
      <c r="AK57" s="70"/>
      <c r="AL57" s="5"/>
      <c r="AM57" s="5"/>
      <c r="AN57" s="5"/>
      <c r="AO57" s="5"/>
      <c r="AP57" s="5"/>
      <c r="AQ57" s="5"/>
      <c r="AR57" s="5"/>
      <c r="AS57" s="5"/>
      <c r="AT57" s="5"/>
      <c r="AU57" s="5"/>
      <c r="AV57" s="5"/>
      <c r="AW57" s="5"/>
      <c r="AX57" s="5"/>
      <c r="AY57" s="5"/>
      <c r="AZ57" s="5"/>
      <c r="BA57" s="5"/>
      <c r="BB57" s="5"/>
      <c r="BC57" s="5"/>
      <c r="BD57" s="5"/>
      <c r="BE57" s="5"/>
      <c r="BF57" s="5"/>
      <c r="BG57" s="5"/>
      <c r="BH57" s="5"/>
      <c r="BI57" s="260"/>
      <c r="BJ57" s="260"/>
      <c r="BK57" s="260"/>
      <c r="BL57" s="260"/>
      <c r="BM57" s="260"/>
      <c r="BN57" s="260"/>
      <c r="BO57" s="260"/>
      <c r="BP57" s="260"/>
      <c r="BQ57" s="260"/>
      <c r="BR57" s="260"/>
      <c r="BS57" s="260"/>
      <c r="BT57" s="260"/>
    </row>
    <row r="58">
      <c r="A58" s="1080"/>
      <c r="B58" s="160"/>
      <c r="C58" s="757"/>
      <c r="D58" s="129"/>
      <c r="E58" s="752"/>
      <c r="F58" s="1091"/>
      <c r="G58" s="129"/>
      <c r="H58" s="127"/>
      <c r="I58" s="127"/>
      <c r="J58" s="129"/>
      <c r="K58" s="129" t="str">
        <f t="array" ref="K58">iferror(if(OR(D58="R-Flashing",D58="W-Flashing"),"LM",XLOOKUP(C58,Material!$A:$A,Material!$C:$C)),"")</f>
        <v/>
      </c>
      <c r="L58" s="161"/>
      <c r="M58" s="163"/>
      <c r="N58" s="162" t="str">
        <f t="shared" si="32"/>
        <v/>
      </c>
      <c r="O58" s="161"/>
      <c r="P58" s="127"/>
      <c r="Q58" s="161"/>
      <c r="R58" s="108" t="str">
        <f t="array" ref="R58">IFERROR(
    IF(
        OR(D58="R-Flashing",D58="W-Flashing",D58="R-BG"),
        LET(
            StartRow,
            MATCH(
                I58&amp;"♦"&amp;H58,
                Material!$I:$I&amp;"♦"&amp;Material!$J:$J,
                0
            ),
            INDEX(
                Material!$J:$AF,
                StartRow+1+MATCH(
                    CEILING(E58*1000,50),
                    INDEX(Material!$I:$I,StartRow+2):INDEX(Material!$I:$I,StartRow+25),
                    0
                ),
                MATCH(
                    G58,
                    INDEX(Material!$I:$V,StartRow+1,0),
                    0
                )
            )
        ),
        XLOOKUP(C58,Material!$A:$A,Material!$D:$D)
    ),
"")</f>
        <v/>
      </c>
      <c r="S58" s="139"/>
      <c r="T58" s="138"/>
      <c r="U58" s="108" t="str">
        <f t="array" ref="U58">IFERROR(
    IF(
        D58="R-Flashing",
        XLOOKUP(CEILING(E58*1000,50),Material!I:I,Material!X:X),
        XLOOKUP(C58,Material!A:A,Material!E:E)
    ),
    ""
)</f>
        <v/>
      </c>
      <c r="V58" s="139"/>
      <c r="W58" s="164"/>
      <c r="X58" s="159"/>
      <c r="Y58" s="5"/>
      <c r="Z58" s="5"/>
      <c r="AA58" s="5"/>
      <c r="AB58" s="5"/>
      <c r="AC58" s="33"/>
      <c r="AD58" s="65"/>
      <c r="AE58" s="66"/>
      <c r="AF58" s="144"/>
      <c r="AG58" s="68"/>
      <c r="AH58" s="69"/>
      <c r="AI58" s="39"/>
      <c r="AJ58" s="70"/>
      <c r="AK58" s="70"/>
      <c r="AL58" s="5"/>
      <c r="AM58" s="5"/>
      <c r="AN58" s="5"/>
      <c r="AO58" s="5"/>
      <c r="AP58" s="5"/>
      <c r="AQ58" s="5"/>
      <c r="AR58" s="5"/>
      <c r="AS58" s="5"/>
      <c r="AT58" s="5"/>
      <c r="AU58" s="5"/>
      <c r="AV58" s="5"/>
      <c r="AW58" s="5"/>
      <c r="AX58" s="5"/>
      <c r="AY58" s="5"/>
      <c r="AZ58" s="5"/>
      <c r="BA58" s="5"/>
      <c r="BB58" s="5"/>
      <c r="BC58" s="5"/>
      <c r="BD58" s="5"/>
      <c r="BE58" s="5"/>
      <c r="BF58" s="5"/>
      <c r="BG58" s="5"/>
      <c r="BH58" s="5"/>
      <c r="BI58" s="260"/>
      <c r="BJ58" s="260"/>
      <c r="BK58" s="260"/>
      <c r="BL58" s="260"/>
      <c r="BM58" s="260"/>
      <c r="BN58" s="260"/>
      <c r="BO58" s="260"/>
      <c r="BP58" s="260"/>
      <c r="BQ58" s="260"/>
      <c r="BR58" s="260"/>
      <c r="BS58" s="260"/>
      <c r="BT58" s="260"/>
    </row>
    <row r="59">
      <c r="A59" s="1080">
        <v>1.0</v>
      </c>
      <c r="B59" s="102"/>
      <c r="C59" s="103" t="s">
        <v>637</v>
      </c>
      <c r="D59" s="104"/>
      <c r="E59" s="749"/>
      <c r="F59" s="1089"/>
      <c r="G59" s="104"/>
      <c r="H59" s="104"/>
      <c r="I59" s="104"/>
      <c r="J59" s="104"/>
      <c r="K59" s="104" t="s">
        <v>42</v>
      </c>
      <c r="L59" s="106">
        <f>Q59</f>
        <v>13.52854039</v>
      </c>
      <c r="M59" s="105" t="s">
        <v>42</v>
      </c>
      <c r="N59" s="107"/>
      <c r="O59" s="105"/>
      <c r="P59" s="104"/>
      <c r="Q59" s="106">
        <f>Q60</f>
        <v>13.52854039</v>
      </c>
      <c r="R59" s="108" t="str">
        <f t="array" ref="R59">IFERROR(
    IF(
        OR(D59="R-Flashing",D59="W-Flashing",D59="R-BG"),
        LET(
            StartRow,
            MATCH(
                I59&amp;"♦"&amp;H59,
                Material!$I:$I&amp;"♦"&amp;Material!$J:$J,
                0
            ),
            INDEX(
                Material!$J:$AF,
                StartRow+1+MATCH(
                    CEILING(E59*1000,50),
                    INDEX(Material!$I:$I,StartRow+2):INDEX(Material!$I:$I,StartRow+25),
                    0
                ),
                MATCH(
                    G59,
                    INDEX(Material!$I:$V,StartRow+1,0),
                    0
                )
            )
        ),
        XLOOKUP(C59,Material!$A:$A,Material!$D:$D)
    ),
"")</f>
        <v/>
      </c>
      <c r="S59" s="682">
        <f>IFERROR(T59/Q59, 0)</f>
        <v>21.57406366</v>
      </c>
      <c r="T59" s="109">
        <f>SUM(S60:S64)</f>
        <v>291.8655916</v>
      </c>
      <c r="U59" s="108" t="str">
        <f t="array" ref="U59">IFERROR(
    IF(
        D59="R-Flashing",
        XLOOKUP(CEILING(E59*1000,50),Material!I:I,Material!X:X),
        XLOOKUP(C59,Material!A:A,Material!E:E)
    ),
    ""
)</f>
        <v/>
      </c>
      <c r="V59" s="109">
        <f>W59/Q59</f>
        <v>10</v>
      </c>
      <c r="W59" s="110">
        <f>SUM(W60:W64)</f>
        <v>135.2854039</v>
      </c>
      <c r="X59" s="111">
        <f>W59/$AC$210/$W$217/$X$207</f>
        <v>0.09190584507</v>
      </c>
      <c r="Y59" s="112" t="b">
        <f>(T59+W59)=(SUM(AB60:AB64))</f>
        <v>1</v>
      </c>
      <c r="Z59" s="113">
        <f>(T59+W59)-(SUM(AB60:AB64))</f>
        <v>0</v>
      </c>
      <c r="AA59" s="5"/>
      <c r="AB59" s="5"/>
      <c r="AC59" s="33"/>
      <c r="AD59" s="114">
        <f>W59+T59</f>
        <v>427.1509956</v>
      </c>
      <c r="AE59" s="115">
        <f>AD59</f>
        <v>427.1509956</v>
      </c>
      <c r="AF59" s="116">
        <f>AE59/$AE$185</f>
        <v>0.005983815074</v>
      </c>
      <c r="AG59" s="683">
        <f>AF59*$AG$192</f>
        <v>163.3960347</v>
      </c>
      <c r="AH59" s="118">
        <f>AF59*$AG$195</f>
        <v>95.27818245</v>
      </c>
      <c r="AI59" s="187"/>
      <c r="AJ59" s="119">
        <f>ROUND(AK59/L59,2)</f>
        <v>50.7</v>
      </c>
      <c r="AK59" s="119">
        <f>ROUND(AH59+AG59+AD59,2)</f>
        <v>685.83</v>
      </c>
      <c r="AL59" s="5"/>
      <c r="AM59" s="5"/>
      <c r="AN59" s="5"/>
      <c r="AO59" s="5"/>
      <c r="AP59" s="5"/>
      <c r="AQ59" s="5"/>
      <c r="AR59" s="5"/>
      <c r="AS59" s="5"/>
      <c r="AT59" s="5"/>
      <c r="AU59" s="5"/>
      <c r="AV59" s="5"/>
      <c r="AW59" s="5"/>
      <c r="AX59" s="5"/>
      <c r="AY59" s="5"/>
      <c r="AZ59" s="5"/>
      <c r="BA59" s="5"/>
      <c r="BB59" s="5"/>
      <c r="BC59" s="5"/>
      <c r="BD59" s="5"/>
      <c r="BE59" s="5"/>
      <c r="BF59" s="5"/>
      <c r="BG59" s="5"/>
      <c r="BH59" s="5"/>
      <c r="BI59" s="260"/>
      <c r="BJ59" s="260"/>
      <c r="BK59" s="260"/>
      <c r="BL59" s="260"/>
      <c r="BM59" s="260"/>
      <c r="BN59" s="260"/>
      <c r="BO59" s="260"/>
      <c r="BP59" s="260"/>
      <c r="BQ59" s="260"/>
      <c r="BR59" s="260"/>
      <c r="BS59" s="260"/>
      <c r="BT59" s="260"/>
    </row>
    <row r="60">
      <c r="A60" s="1080" t="s">
        <v>444</v>
      </c>
      <c r="B60" s="160"/>
      <c r="C60" s="123" t="s">
        <v>638</v>
      </c>
      <c r="D60" s="124" t="s">
        <v>96</v>
      </c>
      <c r="E60" s="687">
        <f>VALUE(MID(C60, FIND("(", C60)+1, FIND("/", C60)-FIND("(", C60)-1)) / 1000</f>
        <v>0.37</v>
      </c>
      <c r="F60" s="1085">
        <v>3.0</v>
      </c>
      <c r="G60" s="128">
        <f>VALUE(MID(C60,FIND("/",C60)+1,FIND("B",C60,FIND("/",C60))-FIND("/",C60)-1))</f>
        <v>3</v>
      </c>
      <c r="H60" s="128" t="str">
        <f>IFERROR(__xludf.DUMMYFUNCTION("IFERROR(REGEXEXTRACT(C60,""(\d*\.?\d+)\s*bmt""),IFERROR(REGEXEXTRACT(C60,""(\d*\.?\d+)\s*mm""),""""))"),"0.55")</f>
        <v>0.55</v>
      </c>
      <c r="I60" s="128" t="s">
        <v>630</v>
      </c>
      <c r="J60" s="126" t="s">
        <v>14</v>
      </c>
      <c r="K60" s="126" t="str">
        <f t="array" ref="K60">iferror(if(OR(D60="R-Flashing",D60="W-Flashing"),"LM",XLOOKUP(C60,Material!$A:$A,Material!$C:$C)),"")</f>
        <v>LM</v>
      </c>
      <c r="L60" s="163"/>
      <c r="M60" s="730">
        <v>13.51</v>
      </c>
      <c r="N60" s="151">
        <f>IFERROR(__xludf.DUMMYFUNCTION("IF(
  AND(
    IFERROR(REGEXEXTRACT(C60,""@\s*(\d+(?:\.\d+)?)\s*deg""),"""")&lt;&gt;"""",
    F60&lt;&gt;""""
  ),
  ""Pls Confirm °"",
  IF(
    IFERROR(REGEXEXTRACT(C60,""@\s*(\d+(?:\.\d+)?)\s*deg""),"""")&lt;&gt;"""",
    1/COS(RADIANS(REGEXEXTRACT(C60,""@\s*(\d+(?:\.\d"&amp;"+)?)\s*deg""))),
    IF(
      F60&lt;&gt;"""",
      IF(
        ISNUMBER(SEARCH(""|"",F60)),
        1/COS(
          ATAN(
            TAN(RADIANS(VALUE(INDEX(SPLIT(F60,""|""),1)))) *
            TAN(RADIANS(VALUE(INDEX(SPLIT(F60,""|""),2))))
            /
 "&amp;"           SQRT(
              TAN(RADIANS(VALUE(INDEX(SPLIT(F60,""|""),1))))^2 +
              TAN(RADIANS(VALUE(INDEX(SPLIT(F60,""|""),2))))^2
            )
          )
        ),
        1/COS(RADIANS(VALUE(F60)))
      ),
      1
    )
  )
)"),1.001372345997921)</f>
        <v>1.001372346</v>
      </c>
      <c r="O60" s="169">
        <v>1.0</v>
      </c>
      <c r="P60" s="134">
        <v>1.0</v>
      </c>
      <c r="Q60" s="168">
        <f t="shared" ref="Q60:Q63" si="33">M60*N60*O60*P60</f>
        <v>13.52854039</v>
      </c>
      <c r="R60" s="136">
        <f t="array" ref="R60">IFERROR(
    IF(
        OR(D60="R-Flashing",D60="W-Flashing",D60="R-BG"),
        LET(
            StartRow,
            MATCH(
                I60&amp;"♦"&amp;H60,
                Material!$I:$I&amp;"♦"&amp;Material!$J:$J,
                0
            ),
            INDEX(
                Material!$J:$AF,
                StartRow+1+MATCH(
                    CEILING(E60*1000,50),
                    INDEX(Material!$I:$I,StartRow+2):INDEX(Material!$I:$I,StartRow+25),
                    0
                ),
                MATCH(
                    G60,
                    INDEX(Material!$I:$V,StartRow+1,0),
                    0
                )
            )
        ),
        XLOOKUP(C60,Material!$A:$A,Material!$D:$D)
    ),
"")</f>
        <v>20.56</v>
      </c>
      <c r="S60" s="152">
        <f t="shared" ref="S60:S63" si="34">R60*Q60</f>
        <v>278.1467905</v>
      </c>
      <c r="T60" s="138"/>
      <c r="U60" s="136">
        <f t="array" ref="U60">IFERROR(
    IF(
        D60="R-Flashing",
        XLOOKUP(CEILING(E60*1000,50),Material!I:I,Material!X:X),
        XLOOKUP(C60,Material!A:A,Material!E:E)
    ),
    ""
)</f>
        <v>10</v>
      </c>
      <c r="V60" s="139"/>
      <c r="W60" s="140">
        <f t="shared" ref="W60:W63" si="35">U60*Q60</f>
        <v>135.2854039</v>
      </c>
      <c r="X60" s="159"/>
      <c r="Y60" s="165"/>
      <c r="Z60" s="1090"/>
      <c r="AA60" s="5"/>
      <c r="AB60" s="354">
        <f t="shared" ref="AB60:AB63" si="36">W60+S60</f>
        <v>413.4321945</v>
      </c>
      <c r="AC60" s="33"/>
      <c r="AD60" s="65"/>
      <c r="AE60" s="66"/>
      <c r="AF60" s="144"/>
      <c r="AG60" s="68"/>
      <c r="AH60" s="69"/>
      <c r="AI60" s="39"/>
      <c r="AJ60" s="70"/>
      <c r="AK60" s="70"/>
      <c r="AL60" s="5"/>
      <c r="AM60" s="5"/>
      <c r="AN60" s="5"/>
      <c r="AO60" s="5"/>
      <c r="AP60" s="5"/>
      <c r="AQ60" s="5"/>
      <c r="AR60" s="5"/>
      <c r="AS60" s="5"/>
      <c r="AT60" s="5"/>
      <c r="AU60" s="5"/>
      <c r="AV60" s="5"/>
      <c r="AW60" s="5"/>
      <c r="AX60" s="5"/>
      <c r="AY60" s="5"/>
      <c r="AZ60" s="5"/>
      <c r="BA60" s="5"/>
      <c r="BB60" s="5"/>
      <c r="BC60" s="5"/>
      <c r="BD60" s="5"/>
      <c r="BE60" s="5"/>
      <c r="BF60" s="5"/>
      <c r="BG60" s="5"/>
      <c r="BH60" s="5"/>
      <c r="BI60" s="260"/>
      <c r="BJ60" s="260"/>
      <c r="BK60" s="260"/>
      <c r="BL60" s="260"/>
      <c r="BM60" s="260"/>
      <c r="BN60" s="260"/>
      <c r="BO60" s="260"/>
      <c r="BP60" s="260"/>
      <c r="BQ60" s="260"/>
      <c r="BR60" s="260"/>
      <c r="BS60" s="260"/>
      <c r="BT60" s="260"/>
    </row>
    <row r="61">
      <c r="A61" s="1092"/>
      <c r="B61" s="160"/>
      <c r="C61" s="734" t="s">
        <v>98</v>
      </c>
      <c r="D61" s="124" t="s">
        <v>99</v>
      </c>
      <c r="E61" s="687">
        <f>E60</f>
        <v>0.37</v>
      </c>
      <c r="F61" s="1091" t="str">
        <f>IFERROR(__xludf.DUMMYFUNCTION("iferror(ROUND(
  DEGREES(
    ATAN(
      TAN(RADIANS(VALUE(INDEX(SPLIT(F60,""|""),1)))) *
      TAN(RADIANS(VALUE(INDEX(SPLIT(F60,""|""),2))))
      /
      SQRT(
        TAN(RADIANS(VALUE(INDEX(SPLIT(F60,""|""),1))))^2 +
        TAN(RADIANS(VALUE(INDEX("&amp;"SPLIT(F60,""|""),2))))^2
      )
    )
  ),
  2
))"),"")</f>
        <v/>
      </c>
      <c r="G61" s="127"/>
      <c r="H61" s="127" t="str">
        <f>IFERROR(__xludf.DUMMYFUNCTION("IFERROR(REGEXEXTRACT(C61, ""(\d*\.\d+)mm""), """")"),"")</f>
        <v/>
      </c>
      <c r="I61" s="127"/>
      <c r="J61" s="126" t="s">
        <v>87</v>
      </c>
      <c r="K61" s="126" t="str">
        <f t="array" ref="K61">iferror(if(OR(D61="R-Flashing",D61="W-Flashing"),"LM",XLOOKUP(C61,Material!$A:$A,Material!$C:$C)),"")</f>
        <v>ea</v>
      </c>
      <c r="L61" s="163"/>
      <c r="M61" s="150">
        <f>(ROUNDDOWN((M60/5.7)+2,0)*E61)/8</f>
        <v>0.185</v>
      </c>
      <c r="N61" s="151">
        <f t="shared" ref="N61:N64" si="37">if(C61="","",(if(N60="",N59,N60)))</f>
        <v>1.001372346</v>
      </c>
      <c r="O61" s="169">
        <v>1.0</v>
      </c>
      <c r="P61" s="134">
        <v>1.0</v>
      </c>
      <c r="Q61" s="168">
        <f t="shared" si="33"/>
        <v>0.185253884</v>
      </c>
      <c r="R61" s="136">
        <f t="array" ref="R61">IFERROR(
    IF(
        OR(D61="R-Flashing",D61="W-Flashing",D61="R-BG"),
        LET(
            StartRow,
            MATCH(
                I61&amp;"♦"&amp;H61,
                Material!$I:$I&amp;"♦"&amp;Material!$J:$J,
                0
            ),
            INDEX(
                Material!$J:$AF,
                StartRow+1+MATCH(
                    CEILING(E61*1000,50),
                    INDEX(Material!$I:$I,StartRow+2):INDEX(Material!$I:$I,StartRow+25),
                    0
                ),
                MATCH(
                    G61,
                    INDEX(Material!$I:$V,StartRow+1,0),
                    0
                )
            )
        ),
        XLOOKUP(C61,Material!$A:$A,Material!$D:$D)
    ),
"")</f>
        <v>10</v>
      </c>
      <c r="S61" s="152">
        <f t="shared" si="34"/>
        <v>1.85253884</v>
      </c>
      <c r="T61" s="138"/>
      <c r="U61" s="108" t="str">
        <f t="array" ref="U61">IFERROR(
    IF(
        D61="R-Flashing",
        XLOOKUP(CEILING(E61*1000,50),Material!I:I,Material!X:X),
        XLOOKUP(C61,Material!A:A,Material!E:E)
    ),
    ""
)</f>
        <v/>
      </c>
      <c r="V61" s="139"/>
      <c r="W61" s="140">
        <f t="shared" si="35"/>
        <v>0</v>
      </c>
      <c r="X61" s="159"/>
      <c r="Y61" s="5"/>
      <c r="Z61" s="5"/>
      <c r="AA61" s="5"/>
      <c r="AB61" s="354">
        <f t="shared" si="36"/>
        <v>1.85253884</v>
      </c>
      <c r="AC61" s="33"/>
      <c r="AD61" s="65"/>
      <c r="AE61" s="66"/>
      <c r="AF61" s="144"/>
      <c r="AG61" s="68"/>
      <c r="AH61" s="69"/>
      <c r="AI61" s="39"/>
      <c r="AJ61" s="70"/>
      <c r="AK61" s="70"/>
      <c r="AL61" s="5"/>
      <c r="AM61" s="5"/>
      <c r="AN61" s="5"/>
      <c r="AO61" s="5"/>
      <c r="AP61" s="5"/>
      <c r="AQ61" s="5"/>
      <c r="AR61" s="5"/>
      <c r="AS61" s="5"/>
      <c r="AT61" s="5"/>
      <c r="AU61" s="5"/>
      <c r="AV61" s="5"/>
      <c r="AW61" s="5"/>
      <c r="AX61" s="5"/>
      <c r="AY61" s="5"/>
      <c r="AZ61" s="5"/>
      <c r="BA61" s="5"/>
      <c r="BB61" s="5"/>
      <c r="BC61" s="5"/>
      <c r="BD61" s="5"/>
      <c r="BE61" s="5"/>
      <c r="BF61" s="5"/>
      <c r="BG61" s="5"/>
      <c r="BH61" s="5"/>
      <c r="BI61" s="260"/>
      <c r="BJ61" s="260"/>
      <c r="BK61" s="260"/>
      <c r="BL61" s="260"/>
      <c r="BM61" s="260"/>
      <c r="BN61" s="260"/>
      <c r="BO61" s="260"/>
      <c r="BP61" s="260"/>
      <c r="BQ61" s="260"/>
      <c r="BR61" s="260"/>
      <c r="BS61" s="260"/>
      <c r="BT61" s="260"/>
    </row>
    <row r="62">
      <c r="A62" s="1092"/>
      <c r="B62" s="160"/>
      <c r="C62" s="734" t="s">
        <v>100</v>
      </c>
      <c r="D62" s="124" t="s">
        <v>101</v>
      </c>
      <c r="E62" s="687">
        <f>E60</f>
        <v>0.37</v>
      </c>
      <c r="F62" s="1091"/>
      <c r="G62" s="127"/>
      <c r="H62" s="127" t="str">
        <f>IFERROR(__xludf.DUMMYFUNCTION("IFERROR(REGEXEXTRACT(C62, ""(\d*\.\d+)mm""), """")"),"")</f>
        <v/>
      </c>
      <c r="I62" s="127"/>
      <c r="J62" s="126" t="s">
        <v>87</v>
      </c>
      <c r="K62" s="126" t="str">
        <f t="array" ref="K62">iferror(if(OR(D62="R-Flashing",D62="W-Flashing"),"LM",XLOOKUP(C62,Material!$A:$A,Material!$C:$C)),"")</f>
        <v>ea</v>
      </c>
      <c r="L62" s="163"/>
      <c r="M62" s="150">
        <f>ROUNDUP(((M60/5.7)+1)*(E62/0.05),0)</f>
        <v>25</v>
      </c>
      <c r="N62" s="151">
        <f t="shared" si="37"/>
        <v>1.001372346</v>
      </c>
      <c r="O62" s="169">
        <v>1.0</v>
      </c>
      <c r="P62" s="134">
        <v>1.0</v>
      </c>
      <c r="Q62" s="168">
        <f t="shared" si="33"/>
        <v>25.03430865</v>
      </c>
      <c r="R62" s="136">
        <f t="array" ref="R62">IFERROR(
    IF(
        OR(D62="R-Flashing",D62="W-Flashing",D62="R-BG"),
        LET(
            StartRow,
            MATCH(
                I62&amp;"♦"&amp;H62,
                Material!$I:$I&amp;"♦"&amp;Material!$J:$J,
                0
            ),
            INDEX(
                Material!$J:$AF,
                StartRow+1+MATCH(
                    CEILING(E62*1000,50),
                    INDEX(Material!$I:$I,StartRow+2):INDEX(Material!$I:$I,StartRow+25),
                    0
                ),
                MATCH(
                    G62,
                    INDEX(Material!$I:$V,StartRow+1,0),
                    0
                )
            )
        ),
        XLOOKUP(C62,Material!$A:$A,Material!$D:$D)
    ),
"")</f>
        <v>0.09</v>
      </c>
      <c r="S62" s="152">
        <f t="shared" si="34"/>
        <v>2.253087778</v>
      </c>
      <c r="T62" s="138"/>
      <c r="U62" s="108" t="str">
        <f t="array" ref="U62">IFERROR(
    IF(
        D62="R-Flashing",
        XLOOKUP(CEILING(E62*1000,50),Material!I:I,Material!X:X),
        XLOOKUP(C62,Material!A:A,Material!E:E)
    ),
    ""
)</f>
        <v/>
      </c>
      <c r="V62" s="139"/>
      <c r="W62" s="140">
        <f t="shared" si="35"/>
        <v>0</v>
      </c>
      <c r="X62" s="159"/>
      <c r="Y62" s="5"/>
      <c r="Z62" s="5"/>
      <c r="AA62" s="5"/>
      <c r="AB62" s="354">
        <f t="shared" si="36"/>
        <v>2.253087778</v>
      </c>
      <c r="AC62" s="33"/>
      <c r="AD62" s="65"/>
      <c r="AE62" s="66"/>
      <c r="AF62" s="144"/>
      <c r="AG62" s="68"/>
      <c r="AH62" s="69"/>
      <c r="AI62" s="39"/>
      <c r="AJ62" s="70"/>
      <c r="AK62" s="70"/>
      <c r="AL62" s="5"/>
      <c r="AM62" s="5"/>
      <c r="AN62" s="5"/>
      <c r="AO62" s="5"/>
      <c r="AP62" s="5"/>
      <c r="AQ62" s="5"/>
      <c r="AR62" s="5"/>
      <c r="AS62" s="5"/>
      <c r="AT62" s="5"/>
      <c r="AU62" s="5"/>
      <c r="AV62" s="5"/>
      <c r="AW62" s="5"/>
      <c r="AX62" s="5"/>
      <c r="AY62" s="5"/>
      <c r="AZ62" s="5"/>
      <c r="BA62" s="5"/>
      <c r="BB62" s="5"/>
      <c r="BC62" s="5"/>
      <c r="BD62" s="5"/>
      <c r="BE62" s="5"/>
      <c r="BF62" s="5"/>
      <c r="BG62" s="5"/>
      <c r="BH62" s="5"/>
      <c r="BI62" s="260"/>
      <c r="BJ62" s="260"/>
      <c r="BK62" s="260"/>
      <c r="BL62" s="260"/>
      <c r="BM62" s="260"/>
      <c r="BN62" s="260"/>
      <c r="BO62" s="260"/>
      <c r="BP62" s="260"/>
      <c r="BQ62" s="260"/>
      <c r="BR62" s="260"/>
      <c r="BS62" s="260"/>
      <c r="BT62" s="260"/>
    </row>
    <row r="63">
      <c r="A63" s="1092"/>
      <c r="B63" s="160"/>
      <c r="C63" s="698" t="s">
        <v>631</v>
      </c>
      <c r="D63" s="124" t="s">
        <v>103</v>
      </c>
      <c r="E63" s="752"/>
      <c r="F63" s="1091"/>
      <c r="G63" s="129"/>
      <c r="H63" s="127"/>
      <c r="I63" s="127"/>
      <c r="J63" s="126" t="s">
        <v>87</v>
      </c>
      <c r="K63" s="126" t="str">
        <f t="array" ref="K63">iferror(if(OR(D63="R-Flashing",D63="W-Flashing"),"LM",XLOOKUP(C63,Material!$A:$A,Material!$C:$C)),"")</f>
        <v>ea</v>
      </c>
      <c r="L63" s="161"/>
      <c r="M63" s="150">
        <f>ROUNDUP(M60/0.6,0)+1</f>
        <v>24</v>
      </c>
      <c r="N63" s="151">
        <f t="shared" si="37"/>
        <v>1.001372346</v>
      </c>
      <c r="O63" s="169">
        <v>1.0</v>
      </c>
      <c r="P63" s="134">
        <v>2.0</v>
      </c>
      <c r="Q63" s="168">
        <f t="shared" si="33"/>
        <v>48.06587261</v>
      </c>
      <c r="R63" s="136">
        <f t="array" ref="R63">IFERROR(
    IF(
        OR(D63="R-Flashing",D63="W-Flashing",D63="R-BG"),
        LET(
            StartRow,
            MATCH(
                I63&amp;"♦"&amp;H63,
                Material!$I:$I&amp;"♦"&amp;Material!$J:$J,
                0
            ),
            INDEX(
                Material!$J:$AF,
                StartRow+1+MATCH(
                    CEILING(E63*1000,50),
                    INDEX(Material!$I:$I,StartRow+2):INDEX(Material!$I:$I,StartRow+25),
                    0
                ),
                MATCH(
                    G63,
                    INDEX(Material!$I:$V,StartRow+1,0),
                    0
                )
            )
        ),
        XLOOKUP(C63,Material!$A:$A,Material!$D:$D)
    ),
"")</f>
        <v>0.2</v>
      </c>
      <c r="S63" s="152">
        <f t="shared" si="34"/>
        <v>9.613174522</v>
      </c>
      <c r="T63" s="138"/>
      <c r="U63" s="108" t="str">
        <f t="array" ref="U63">IFERROR(
    IF(
        D63="R-Flashing",
        XLOOKUP(CEILING(E63*1000,50),Material!I:I,Material!X:X),
        XLOOKUP(C63,Material!A:A,Material!E:E)
    ),
    ""
)</f>
        <v/>
      </c>
      <c r="V63" s="139"/>
      <c r="W63" s="140">
        <f t="shared" si="35"/>
        <v>0</v>
      </c>
      <c r="X63" s="159"/>
      <c r="Y63" s="5"/>
      <c r="Z63" s="5"/>
      <c r="AA63" s="5"/>
      <c r="AB63" s="354">
        <f t="shared" si="36"/>
        <v>9.613174522</v>
      </c>
      <c r="AC63" s="33"/>
      <c r="AD63" s="65"/>
      <c r="AE63" s="66"/>
      <c r="AF63" s="144"/>
      <c r="AG63" s="68"/>
      <c r="AH63" s="69"/>
      <c r="AI63" s="39"/>
      <c r="AJ63" s="70"/>
      <c r="AK63" s="70"/>
      <c r="AL63" s="5"/>
      <c r="AM63" s="5"/>
      <c r="AN63" s="5"/>
      <c r="AO63" s="5"/>
      <c r="AP63" s="5"/>
      <c r="AQ63" s="5"/>
      <c r="AR63" s="5"/>
      <c r="AS63" s="5"/>
      <c r="AT63" s="5"/>
      <c r="AU63" s="5"/>
      <c r="AV63" s="5"/>
      <c r="AW63" s="5"/>
      <c r="AX63" s="5"/>
      <c r="AY63" s="5"/>
      <c r="AZ63" s="5"/>
      <c r="BA63" s="5"/>
      <c r="BB63" s="5"/>
      <c r="BC63" s="5"/>
      <c r="BD63" s="5"/>
      <c r="BE63" s="5"/>
      <c r="BF63" s="5"/>
      <c r="BG63" s="5"/>
      <c r="BH63" s="5"/>
      <c r="BI63" s="260"/>
      <c r="BJ63" s="260"/>
      <c r="BK63" s="260"/>
      <c r="BL63" s="260"/>
      <c r="BM63" s="260"/>
      <c r="BN63" s="260"/>
      <c r="BO63" s="260"/>
      <c r="BP63" s="260"/>
      <c r="BQ63" s="260"/>
      <c r="BR63" s="260"/>
      <c r="BS63" s="260"/>
      <c r="BT63" s="260"/>
    </row>
    <row r="64">
      <c r="A64" s="1092"/>
      <c r="B64" s="160"/>
      <c r="C64" s="757"/>
      <c r="D64" s="129"/>
      <c r="E64" s="752"/>
      <c r="F64" s="1091"/>
      <c r="G64" s="129"/>
      <c r="H64" s="127"/>
      <c r="I64" s="127"/>
      <c r="J64" s="129"/>
      <c r="K64" s="129" t="str">
        <f t="array" ref="K64">iferror(if(OR(D64="R-Flashing",D64="W-Flashing"),"LM",XLOOKUP(C64,Material!$A:$A,Material!$C:$C)),"")</f>
        <v/>
      </c>
      <c r="L64" s="161"/>
      <c r="M64" s="163"/>
      <c r="N64" s="162" t="str">
        <f t="shared" si="37"/>
        <v/>
      </c>
      <c r="O64" s="161"/>
      <c r="P64" s="127"/>
      <c r="Q64" s="161"/>
      <c r="R64" s="108" t="str">
        <f t="array" ref="R64">IFERROR(
    IF(
        OR(D64="R-Flashing",D64="W-Flashing",D64="R-BG"),
        LET(
            StartRow,
            MATCH(
                I64&amp;"♦"&amp;H64,
                Material!$I:$I&amp;"♦"&amp;Material!$J:$J,
                0
            ),
            INDEX(
                Material!$J:$AF,
                StartRow+1+MATCH(
                    CEILING(E64*1000,50),
                    INDEX(Material!$I:$I,StartRow+2):INDEX(Material!$I:$I,StartRow+25),
                    0
                ),
                MATCH(
                    G64,
                    INDEX(Material!$I:$V,StartRow+1,0),
                    0
                )
            )
        ),
        XLOOKUP(C64,Material!$A:$A,Material!$D:$D)
    ),
"")</f>
        <v/>
      </c>
      <c r="S64" s="139"/>
      <c r="T64" s="138"/>
      <c r="U64" s="108" t="str">
        <f t="array" ref="U64">IFERROR(
    IF(
        D64="R-Flashing",
        XLOOKUP(CEILING(E64*1000,50),Material!I:I,Material!X:X),
        XLOOKUP(C64,Material!A:A,Material!E:E)
    ),
    ""
)</f>
        <v/>
      </c>
      <c r="V64" s="139"/>
      <c r="W64" s="164"/>
      <c r="X64" s="159"/>
      <c r="Y64" s="5"/>
      <c r="Z64" s="5"/>
      <c r="AA64" s="5"/>
      <c r="AB64" s="5"/>
      <c r="AC64" s="33"/>
      <c r="AD64" s="65"/>
      <c r="AE64" s="66"/>
      <c r="AF64" s="144"/>
      <c r="AG64" s="68"/>
      <c r="AH64" s="69"/>
      <c r="AI64" s="39"/>
      <c r="AJ64" s="70"/>
      <c r="AK64" s="70"/>
      <c r="AL64" s="5"/>
      <c r="AM64" s="5"/>
      <c r="AN64" s="5"/>
      <c r="AO64" s="5"/>
      <c r="AP64" s="5"/>
      <c r="AQ64" s="5"/>
      <c r="AR64" s="5"/>
      <c r="AS64" s="5"/>
      <c r="AT64" s="5"/>
      <c r="AU64" s="5"/>
      <c r="AV64" s="5"/>
      <c r="AW64" s="5"/>
      <c r="AX64" s="5"/>
      <c r="AY64" s="5"/>
      <c r="AZ64" s="5"/>
      <c r="BA64" s="5"/>
      <c r="BB64" s="5"/>
      <c r="BC64" s="5"/>
      <c r="BD64" s="5"/>
      <c r="BE64" s="5"/>
      <c r="BF64" s="5"/>
      <c r="BG64" s="5"/>
      <c r="BH64" s="5"/>
      <c r="BI64" s="260"/>
      <c r="BJ64" s="260"/>
      <c r="BK64" s="260"/>
      <c r="BL64" s="260"/>
      <c r="BM64" s="260"/>
      <c r="BN64" s="260"/>
      <c r="BO64" s="260"/>
      <c r="BP64" s="260"/>
      <c r="BQ64" s="260"/>
      <c r="BR64" s="260"/>
      <c r="BS64" s="260"/>
      <c r="BT64" s="260"/>
    </row>
    <row r="65">
      <c r="A65" s="1080">
        <v>1.0</v>
      </c>
      <c r="B65" s="102"/>
      <c r="C65" s="103" t="s">
        <v>639</v>
      </c>
      <c r="D65" s="104"/>
      <c r="E65" s="749"/>
      <c r="F65" s="1089"/>
      <c r="G65" s="104"/>
      <c r="H65" s="104"/>
      <c r="I65" s="104"/>
      <c r="J65" s="104"/>
      <c r="K65" s="104" t="s">
        <v>42</v>
      </c>
      <c r="L65" s="106">
        <f>Q65</f>
        <v>34.64101615</v>
      </c>
      <c r="M65" s="105" t="s">
        <v>42</v>
      </c>
      <c r="N65" s="107"/>
      <c r="O65" s="105"/>
      <c r="P65" s="104"/>
      <c r="Q65" s="106">
        <f>Q66</f>
        <v>34.64101615</v>
      </c>
      <c r="R65" s="136" t="str">
        <f t="array" ref="R65">IFERROR(
    IF(
        OR(D65="R-Flashing",D65="W-Flashing",D65="R-BG"),
        LET(
            StartRow,
            MATCH(
                I65&amp;"♦"&amp;H65,
                Material!$I:$I&amp;"♦"&amp;Material!$J:$J,
                0
            ),
            INDEX(
                Material!$J:$AF,
                StartRow+1+MATCH(
                    CEILING(E65*1000,50),
                    INDEX(Material!$I:$I,StartRow+2):INDEX(Material!$I:$I,StartRow+25),
                    0
                ),
                MATCH(
                    G65,
                    INDEX(Material!$I:$V,StartRow+1,0),
                    0
                )
            )
        ),
        XLOOKUP(C65,Material!$A:$A,Material!$D:$D)
    ),
"")</f>
        <v/>
      </c>
      <c r="S65" s="682">
        <f>IFERROR(T65/Q65, 0)</f>
        <v>60.52966667</v>
      </c>
      <c r="T65" s="109">
        <f>SUM(S66:S76)</f>
        <v>2096.809161</v>
      </c>
      <c r="U65" s="108" t="str">
        <f t="array" ref="U65">IFERROR(
    IF(
        D65="R-Flashing",
        XLOOKUP(CEILING(E65*1000,50),Material!I:I,Material!X:X),
        XLOOKUP(C65,Material!A:A,Material!E:E)
    ),
    ""
)</f>
        <v/>
      </c>
      <c r="V65" s="109">
        <f>W65/Q65</f>
        <v>22</v>
      </c>
      <c r="W65" s="110">
        <f>SUM(W66:W76)</f>
        <v>762.1023553</v>
      </c>
      <c r="X65" s="111">
        <f>W65/$AC$210/$W$217/$X$207</f>
        <v>0.5177325783</v>
      </c>
      <c r="Y65" s="112" t="b">
        <f>(T65+W65)=(SUM(AB66:AB76))</f>
        <v>0</v>
      </c>
      <c r="Z65" s="113">
        <f>(T65+W65)-(SUM(AB66:AB76))</f>
        <v>0</v>
      </c>
      <c r="AA65" s="5"/>
      <c r="AB65" s="5"/>
      <c r="AC65" s="33"/>
      <c r="AD65" s="114">
        <f>W65+T65</f>
        <v>2858.911516</v>
      </c>
      <c r="AE65" s="115">
        <f>AD65</f>
        <v>2858.911516</v>
      </c>
      <c r="AF65" s="116">
        <f>AE65/$AE$185</f>
        <v>0.04004953284</v>
      </c>
      <c r="AG65" s="683">
        <f>AF65*$AG$192</f>
        <v>1093.605798</v>
      </c>
      <c r="AH65" s="118">
        <f>AF65*$AG$195</f>
        <v>637.6946229</v>
      </c>
      <c r="AI65" s="187"/>
      <c r="AJ65" s="119">
        <f>ROUND(AK65/L65,2)</f>
        <v>132.51</v>
      </c>
      <c r="AK65" s="119">
        <f>ROUND(AH65+AG65+AD65,2)</f>
        <v>4590.21</v>
      </c>
      <c r="AL65" s="5"/>
      <c r="AM65" s="5"/>
      <c r="AN65" s="5"/>
      <c r="AO65" s="5"/>
      <c r="AP65" s="5"/>
      <c r="AQ65" s="5"/>
      <c r="AR65" s="5"/>
      <c r="AS65" s="5"/>
      <c r="AT65" s="5"/>
      <c r="AU65" s="5"/>
      <c r="AV65" s="5"/>
      <c r="AW65" s="5"/>
      <c r="AX65" s="5"/>
      <c r="AY65" s="5"/>
      <c r="AZ65" s="5"/>
      <c r="BA65" s="5"/>
      <c r="BB65" s="5"/>
      <c r="BC65" s="5"/>
      <c r="BD65" s="5"/>
      <c r="BE65" s="5"/>
      <c r="BF65" s="5"/>
      <c r="BG65" s="5"/>
      <c r="BH65" s="5"/>
      <c r="BI65" s="260"/>
      <c r="BJ65" s="260"/>
      <c r="BK65" s="260"/>
      <c r="BL65" s="260"/>
      <c r="BM65" s="260"/>
      <c r="BN65" s="260"/>
      <c r="BO65" s="260"/>
      <c r="BP65" s="260"/>
      <c r="BQ65" s="260"/>
      <c r="BR65" s="260"/>
      <c r="BS65" s="260"/>
      <c r="BT65" s="260"/>
    </row>
    <row r="66">
      <c r="A66" s="1080" t="s">
        <v>444</v>
      </c>
      <c r="B66" s="160"/>
      <c r="C66" s="123" t="s">
        <v>640</v>
      </c>
      <c r="D66" s="124" t="s">
        <v>96</v>
      </c>
      <c r="E66" s="687">
        <f>VALUE(MID(C66, FIND("(", C66)+1, FIND("/", C66)-FIND("(", C66)-1)) / 1000</f>
        <v>0.5</v>
      </c>
      <c r="F66" s="1085">
        <v>30.0</v>
      </c>
      <c r="G66" s="128">
        <f>VALUE(MID(C66,FIND("/",C66)+1,FIND("B",C66,FIND("/",C66))-FIND("/",C66)-1))</f>
        <v>3</v>
      </c>
      <c r="H66" s="128" t="str">
        <f>IFERROR(__xludf.DUMMYFUNCTION("IFERROR(REGEXEXTRACT(C66,""(\d*\.?\d+)\s*bmt""),IFERROR(REGEXEXTRACT(C66,""(\d*\.?\d+)\s*mm""),""""))"),"0.55")</f>
        <v>0.55</v>
      </c>
      <c r="I66" s="125" t="s">
        <v>630</v>
      </c>
      <c r="J66" s="126" t="s">
        <v>14</v>
      </c>
      <c r="K66" s="126" t="str">
        <f t="array" ref="K66">iferror(if(OR(D66="R-Flashing",D66="W-Flashing"),"LM",XLOOKUP(C66,Material!$A:$A,Material!$C:$C)),"")</f>
        <v>LM</v>
      </c>
      <c r="L66" s="163"/>
      <c r="M66" s="730">
        <v>30.0</v>
      </c>
      <c r="N66" s="151">
        <f>IFERROR(__xludf.DUMMYFUNCTION("IF(
  AND(
    IFERROR(REGEXEXTRACT(C66,""@\s*(\d+(?:\.\d+)?)\s*deg""),"""")&lt;&gt;"""",
    F66&lt;&gt;""""
  ),
  ""Pls Confirm °"",
  IF(
    IFERROR(REGEXEXTRACT(C66,""@\s*(\d+(?:\.\d+)?)\s*deg""),"""")&lt;&gt;"""",
    1/COS(RADIANS(REGEXEXTRACT(C66,""@\s*(\d+(?:\.\d"&amp;"+)?)\s*deg""))),
    IF(
      F66&lt;&gt;"""",
      IF(
        ISNUMBER(SEARCH(""|"",F66)),
        1/COS(
          ATAN(
            TAN(RADIANS(VALUE(INDEX(SPLIT(F66,""|""),1)))) *
            TAN(RADIANS(VALUE(INDEX(SPLIT(F66,""|""),2))))
            /
 "&amp;"           SQRT(
              TAN(RADIANS(VALUE(INDEX(SPLIT(F66,""|""),1))))^2 +
              TAN(RADIANS(VALUE(INDEX(SPLIT(F66,""|""),2))))^2
            )
          )
        ),
        1/COS(RADIANS(VALUE(F66)))
      ),
      1
    )
  )
)"),1.1547005383792515)</f>
        <v>1.154700538</v>
      </c>
      <c r="O66" s="169">
        <v>1.0</v>
      </c>
      <c r="P66" s="134">
        <v>1.0</v>
      </c>
      <c r="Q66" s="168">
        <f t="shared" ref="Q66:Q70" si="38">M66*N66*O66*P66</f>
        <v>34.64101615</v>
      </c>
      <c r="R66" s="136">
        <f t="array" ref="R66">IFERROR(
    IF(
        OR(D66="R-Flashing",D66="W-Flashing",D66="R-BG"),
        LET(
            StartRow,
            MATCH(
                I66&amp;"♦"&amp;H66,
                Material!$I:$I&amp;"♦"&amp;Material!$J:$J,
                0
            ),
            INDEX(
                Material!$J:$AF,
                StartRow+1+MATCH(
                    CEILING(E66*1000,50),
                    INDEX(Material!$I:$I,StartRow+2):INDEX(Material!$I:$I,StartRow+25),
                    0
                ),
                MATCH(
                    G66,
                    INDEX(Material!$I:$V,StartRow+1,0),
                    0
                )
            )
        ),
        XLOOKUP(C66,Material!$A:$A,Material!$D:$D)
    ),
"")</f>
        <v>24.25</v>
      </c>
      <c r="S66" s="152">
        <f t="shared" ref="S66:S70" si="39">R66*Q66</f>
        <v>840.0446417</v>
      </c>
      <c r="T66" s="138"/>
      <c r="U66" s="136">
        <f t="array" ref="U66">IFERROR(
    IF(
        D66="R-Flashing",
        XLOOKUP(CEILING(E66*1000,50),Material!I:I,Material!X:X),
        XLOOKUP(C66,Material!A:A,Material!E:E)
    ),
    ""
)</f>
        <v>10</v>
      </c>
      <c r="V66" s="139"/>
      <c r="W66" s="140">
        <f t="shared" ref="W66:W70" si="40">U66*Q66</f>
        <v>346.4101615</v>
      </c>
      <c r="X66" s="159"/>
      <c r="Y66" s="165"/>
      <c r="Z66" s="1090"/>
      <c r="AA66" s="5"/>
      <c r="AB66" s="354">
        <f t="shared" ref="AB66:AB70" si="41">W66+S66</f>
        <v>1186.454803</v>
      </c>
      <c r="AC66" s="33"/>
      <c r="AD66" s="65"/>
      <c r="AE66" s="66"/>
      <c r="AF66" s="144"/>
      <c r="AG66" s="68"/>
      <c r="AH66" s="69"/>
      <c r="AI66" s="39"/>
      <c r="AJ66" s="70"/>
      <c r="AK66" s="70"/>
      <c r="AL66" s="5"/>
      <c r="AM66" s="5"/>
      <c r="AN66" s="5"/>
      <c r="AO66" s="5"/>
      <c r="AP66" s="5"/>
      <c r="AQ66" s="5"/>
      <c r="AR66" s="5"/>
      <c r="AS66" s="5"/>
      <c r="AT66" s="5"/>
      <c r="AU66" s="5"/>
      <c r="AV66" s="5"/>
      <c r="AW66" s="5"/>
      <c r="AX66" s="5"/>
      <c r="AY66" s="5"/>
      <c r="AZ66" s="5"/>
      <c r="BA66" s="5"/>
      <c r="BB66" s="5"/>
      <c r="BC66" s="5"/>
      <c r="BD66" s="5"/>
      <c r="BE66" s="5"/>
      <c r="BF66" s="5"/>
      <c r="BG66" s="5"/>
      <c r="BH66" s="5"/>
      <c r="BI66" s="260"/>
      <c r="BJ66" s="260"/>
      <c r="BK66" s="260"/>
      <c r="BL66" s="260"/>
      <c r="BM66" s="260"/>
      <c r="BN66" s="260"/>
      <c r="BO66" s="260"/>
      <c r="BP66" s="260"/>
      <c r="BQ66" s="260"/>
      <c r="BR66" s="260"/>
      <c r="BS66" s="260"/>
      <c r="BT66" s="260"/>
    </row>
    <row r="67">
      <c r="A67" s="1080"/>
      <c r="B67" s="160"/>
      <c r="C67" s="734" t="s">
        <v>98</v>
      </c>
      <c r="D67" s="124" t="s">
        <v>99</v>
      </c>
      <c r="E67" s="687">
        <f>E66</f>
        <v>0.5</v>
      </c>
      <c r="F67" s="1091" t="str">
        <f>IFERROR(__xludf.DUMMYFUNCTION("iferror(ROUND(
  DEGREES(
    ATAN(
      TAN(RADIANS(VALUE(INDEX(SPLIT(F66,""|""),1)))) *
      TAN(RADIANS(VALUE(INDEX(SPLIT(F66,""|""),2))))
      /
      SQRT(
        TAN(RADIANS(VALUE(INDEX(SPLIT(F66,""|""),1))))^2 +
        TAN(RADIANS(VALUE(INDEX("&amp;"SPLIT(F66,""|""),2))))^2
      )
    )
  ),
  2
))"),"")</f>
        <v/>
      </c>
      <c r="G67" s="127"/>
      <c r="H67" s="127" t="str">
        <f>IFERROR(__xludf.DUMMYFUNCTION("IFERROR(REGEXEXTRACT(C67, ""(\d*\.\d+)mm""), """")"),"")</f>
        <v/>
      </c>
      <c r="I67" s="127"/>
      <c r="J67" s="126" t="s">
        <v>87</v>
      </c>
      <c r="K67" s="126" t="str">
        <f t="array" ref="K67">iferror(if(OR(D67="R-Flashing",D67="W-Flashing"),"LM",XLOOKUP(C67,Material!$A:$A,Material!$C:$C)),"")</f>
        <v>ea</v>
      </c>
      <c r="L67" s="163"/>
      <c r="M67" s="150">
        <f>(ROUNDDOWN((M66/5.7)+2,0)*E67)/8</f>
        <v>0.4375</v>
      </c>
      <c r="N67" s="151">
        <f t="shared" ref="N67:N70" si="42">if(C67="","",(if(N66="",N65,N66)))</f>
        <v>1.154700538</v>
      </c>
      <c r="O67" s="169">
        <v>1.0</v>
      </c>
      <c r="P67" s="134">
        <v>1.0</v>
      </c>
      <c r="Q67" s="168">
        <f t="shared" si="38"/>
        <v>0.5051814855</v>
      </c>
      <c r="R67" s="136">
        <f t="array" ref="R67">IFERROR(
    IF(
        OR(D67="R-Flashing",D67="W-Flashing",D67="R-BG"),
        LET(
            StartRow,
            MATCH(
                I67&amp;"♦"&amp;H67,
                Material!$I:$I&amp;"♦"&amp;Material!$J:$J,
                0
            ),
            INDEX(
                Material!$J:$AF,
                StartRow+1+MATCH(
                    CEILING(E67*1000,50),
                    INDEX(Material!$I:$I,StartRow+2):INDEX(Material!$I:$I,StartRow+25),
                    0
                ),
                MATCH(
                    G67,
                    INDEX(Material!$I:$V,StartRow+1,0),
                    0
                )
            )
        ),
        XLOOKUP(C67,Material!$A:$A,Material!$D:$D)
    ),
"")</f>
        <v>10</v>
      </c>
      <c r="S67" s="152">
        <f t="shared" si="39"/>
        <v>5.051814855</v>
      </c>
      <c r="T67" s="138"/>
      <c r="U67" s="108" t="str">
        <f t="array" ref="U67">IFERROR(
    IF(
        D67="R-Flashing",
        XLOOKUP(CEILING(E67*1000,50),Material!I:I,Material!X:X),
        XLOOKUP(C67,Material!A:A,Material!E:E)
    ),
    ""
)</f>
        <v/>
      </c>
      <c r="V67" s="139"/>
      <c r="W67" s="140">
        <f t="shared" si="40"/>
        <v>0</v>
      </c>
      <c r="X67" s="159"/>
      <c r="Y67" s="5"/>
      <c r="Z67" s="5"/>
      <c r="AA67" s="5"/>
      <c r="AB67" s="354">
        <f t="shared" si="41"/>
        <v>5.051814855</v>
      </c>
      <c r="AC67" s="33"/>
      <c r="AD67" s="65"/>
      <c r="AE67" s="66"/>
      <c r="AF67" s="144"/>
      <c r="AG67" s="68"/>
      <c r="AH67" s="69"/>
      <c r="AI67" s="39"/>
      <c r="AJ67" s="70"/>
      <c r="AK67" s="70"/>
      <c r="AL67" s="5"/>
      <c r="AM67" s="5"/>
      <c r="AN67" s="5"/>
      <c r="AO67" s="5"/>
      <c r="AP67" s="5"/>
      <c r="AQ67" s="5"/>
      <c r="AR67" s="5"/>
      <c r="AS67" s="5"/>
      <c r="AT67" s="5"/>
      <c r="AU67" s="5"/>
      <c r="AV67" s="5"/>
      <c r="AW67" s="5"/>
      <c r="AX67" s="5"/>
      <c r="AY67" s="5"/>
      <c r="AZ67" s="5"/>
      <c r="BA67" s="5"/>
      <c r="BB67" s="5"/>
      <c r="BC67" s="5"/>
      <c r="BD67" s="5"/>
      <c r="BE67" s="5"/>
      <c r="BF67" s="5"/>
      <c r="BG67" s="5"/>
      <c r="BH67" s="5"/>
      <c r="BI67" s="260"/>
      <c r="BJ67" s="260"/>
      <c r="BK67" s="260"/>
      <c r="BL67" s="260"/>
      <c r="BM67" s="260"/>
      <c r="BN67" s="260"/>
      <c r="BO67" s="260"/>
      <c r="BP67" s="260"/>
      <c r="BQ67" s="260"/>
      <c r="BR67" s="260"/>
      <c r="BS67" s="260"/>
      <c r="BT67" s="260"/>
    </row>
    <row r="68">
      <c r="A68" s="1080"/>
      <c r="B68" s="160"/>
      <c r="C68" s="734" t="s">
        <v>100</v>
      </c>
      <c r="D68" s="124" t="s">
        <v>101</v>
      </c>
      <c r="E68" s="687">
        <f>E66</f>
        <v>0.5</v>
      </c>
      <c r="F68" s="1091"/>
      <c r="G68" s="127"/>
      <c r="H68" s="127" t="str">
        <f>IFERROR(__xludf.DUMMYFUNCTION("IFERROR(REGEXEXTRACT(C68, ""(\d*\.\d+)mm""), """")"),"")</f>
        <v/>
      </c>
      <c r="I68" s="127"/>
      <c r="J68" s="126" t="s">
        <v>87</v>
      </c>
      <c r="K68" s="126" t="str">
        <f t="array" ref="K68">iferror(if(OR(D68="R-Flashing",D68="W-Flashing"),"LM",XLOOKUP(C68,Material!$A:$A,Material!$C:$C)),"")</f>
        <v>ea</v>
      </c>
      <c r="L68" s="163"/>
      <c r="M68" s="150">
        <f>ROUNDUP(((M66/5.7)+1)*(E68/0.05),0)</f>
        <v>63</v>
      </c>
      <c r="N68" s="151">
        <f t="shared" si="42"/>
        <v>1.154700538</v>
      </c>
      <c r="O68" s="169">
        <v>1.0</v>
      </c>
      <c r="P68" s="134">
        <v>1.0</v>
      </c>
      <c r="Q68" s="168">
        <f t="shared" si="38"/>
        <v>72.74613392</v>
      </c>
      <c r="R68" s="136">
        <f t="array" ref="R68">IFERROR(
    IF(
        OR(D68="R-Flashing",D68="W-Flashing",D68="R-BG"),
        LET(
            StartRow,
            MATCH(
                I68&amp;"♦"&amp;H68,
                Material!$I:$I&amp;"♦"&amp;Material!$J:$J,
                0
            ),
            INDEX(
                Material!$J:$AF,
                StartRow+1+MATCH(
                    CEILING(E68*1000,50),
                    INDEX(Material!$I:$I,StartRow+2):INDEX(Material!$I:$I,StartRow+25),
                    0
                ),
                MATCH(
                    G68,
                    INDEX(Material!$I:$V,StartRow+1,0),
                    0
                )
            )
        ),
        XLOOKUP(C68,Material!$A:$A,Material!$D:$D)
    ),
"")</f>
        <v>0.09</v>
      </c>
      <c r="S68" s="152">
        <f t="shared" si="39"/>
        <v>6.547152053</v>
      </c>
      <c r="T68" s="138"/>
      <c r="U68" s="108" t="str">
        <f t="array" ref="U68">IFERROR(
    IF(
        D68="R-Flashing",
        XLOOKUP(CEILING(E68*1000,50),Material!I:I,Material!X:X),
        XLOOKUP(C68,Material!A:A,Material!E:E)
    ),
    ""
)</f>
        <v/>
      </c>
      <c r="V68" s="139"/>
      <c r="W68" s="140">
        <f t="shared" si="40"/>
        <v>0</v>
      </c>
      <c r="X68" s="159"/>
      <c r="Y68" s="5"/>
      <c r="Z68" s="5"/>
      <c r="AA68" s="5"/>
      <c r="AB68" s="354">
        <f t="shared" si="41"/>
        <v>6.547152053</v>
      </c>
      <c r="AC68" s="33"/>
      <c r="AD68" s="65"/>
      <c r="AE68" s="66"/>
      <c r="AF68" s="144"/>
      <c r="AG68" s="68"/>
      <c r="AH68" s="69"/>
      <c r="AI68" s="39"/>
      <c r="AJ68" s="70"/>
      <c r="AK68" s="70"/>
      <c r="AL68" s="5"/>
      <c r="AM68" s="5"/>
      <c r="AN68" s="5"/>
      <c r="AO68" s="5"/>
      <c r="AP68" s="5"/>
      <c r="AQ68" s="5"/>
      <c r="AR68" s="5"/>
      <c r="AS68" s="5"/>
      <c r="AT68" s="5"/>
      <c r="AU68" s="5"/>
      <c r="AV68" s="5"/>
      <c r="AW68" s="5"/>
      <c r="AX68" s="5"/>
      <c r="AY68" s="5"/>
      <c r="AZ68" s="5"/>
      <c r="BA68" s="5"/>
      <c r="BB68" s="5"/>
      <c r="BC68" s="5"/>
      <c r="BD68" s="5"/>
      <c r="BE68" s="5"/>
      <c r="BF68" s="5"/>
      <c r="BG68" s="5"/>
      <c r="BH68" s="5"/>
      <c r="BI68" s="260"/>
      <c r="BJ68" s="260"/>
      <c r="BK68" s="260"/>
      <c r="BL68" s="260"/>
      <c r="BM68" s="260"/>
      <c r="BN68" s="260"/>
      <c r="BO68" s="260"/>
      <c r="BP68" s="260"/>
      <c r="BQ68" s="260"/>
      <c r="BR68" s="260"/>
      <c r="BS68" s="260"/>
      <c r="BT68" s="260"/>
    </row>
    <row r="69">
      <c r="A69" s="1080"/>
      <c r="B69" s="160"/>
      <c r="C69" s="698" t="s">
        <v>631</v>
      </c>
      <c r="D69" s="124" t="s">
        <v>103</v>
      </c>
      <c r="E69" s="752"/>
      <c r="F69" s="1091"/>
      <c r="G69" s="129"/>
      <c r="H69" s="127"/>
      <c r="I69" s="127"/>
      <c r="J69" s="126" t="s">
        <v>87</v>
      </c>
      <c r="K69" s="126" t="str">
        <f t="array" ref="K69">iferror(if(OR(D69="R-Flashing",D69="W-Flashing"),"LM",XLOOKUP(C69,Material!$A:$A,Material!$C:$C)),"")</f>
        <v>ea</v>
      </c>
      <c r="L69" s="161"/>
      <c r="M69" s="150">
        <f>ROUNDUP(M66/0.6,0)+1</f>
        <v>51</v>
      </c>
      <c r="N69" s="151">
        <f t="shared" si="42"/>
        <v>1.154700538</v>
      </c>
      <c r="O69" s="169">
        <v>1.0</v>
      </c>
      <c r="P69" s="134">
        <v>2.0</v>
      </c>
      <c r="Q69" s="168">
        <f t="shared" si="38"/>
        <v>117.7794549</v>
      </c>
      <c r="R69" s="136">
        <f t="array" ref="R69">IFERROR(
    IF(
        OR(D69="R-Flashing",D69="W-Flashing",D69="R-BG"),
        LET(
            StartRow,
            MATCH(
                I69&amp;"♦"&amp;H69,
                Material!$I:$I&amp;"♦"&amp;Material!$J:$J,
                0
            ),
            INDEX(
                Material!$J:$AF,
                StartRow+1+MATCH(
                    CEILING(E69*1000,50),
                    INDEX(Material!$I:$I,StartRow+2):INDEX(Material!$I:$I,StartRow+25),
                    0
                ),
                MATCH(
                    G69,
                    INDEX(Material!$I:$V,StartRow+1,0),
                    0
                )
            )
        ),
        XLOOKUP(C69,Material!$A:$A,Material!$D:$D)
    ),
"")</f>
        <v>0.2</v>
      </c>
      <c r="S69" s="152">
        <f t="shared" si="39"/>
        <v>23.55589098</v>
      </c>
      <c r="T69" s="138"/>
      <c r="U69" s="108" t="str">
        <f t="array" ref="U69">IFERROR(
    IF(
        D69="R-Flashing",
        XLOOKUP(CEILING(E69*1000,50),Material!I:I,Material!X:X),
        XLOOKUP(C69,Material!A:A,Material!E:E)
    ),
    ""
)</f>
        <v/>
      </c>
      <c r="V69" s="139"/>
      <c r="W69" s="140">
        <f t="shared" si="40"/>
        <v>0</v>
      </c>
      <c r="X69" s="159"/>
      <c r="Y69" s="5"/>
      <c r="Z69" s="5"/>
      <c r="AA69" s="5"/>
      <c r="AB69" s="354">
        <f t="shared" si="41"/>
        <v>23.55589098</v>
      </c>
      <c r="AC69" s="33"/>
      <c r="AD69" s="65"/>
      <c r="AE69" s="66"/>
      <c r="AF69" s="144"/>
      <c r="AG69" s="68"/>
      <c r="AH69" s="69"/>
      <c r="AI69" s="39"/>
      <c r="AJ69" s="70"/>
      <c r="AK69" s="70"/>
      <c r="AL69" s="5"/>
      <c r="AM69" s="5"/>
      <c r="AN69" s="5"/>
      <c r="AO69" s="5"/>
      <c r="AP69" s="5"/>
      <c r="AQ69" s="5"/>
      <c r="AR69" s="5"/>
      <c r="AS69" s="5"/>
      <c r="AT69" s="5"/>
      <c r="AU69" s="5"/>
      <c r="AV69" s="5"/>
      <c r="AW69" s="5"/>
      <c r="AX69" s="5"/>
      <c r="AY69" s="5"/>
      <c r="AZ69" s="5"/>
      <c r="BA69" s="5"/>
      <c r="BB69" s="5"/>
      <c r="BC69" s="5"/>
      <c r="BD69" s="5"/>
      <c r="BE69" s="5"/>
      <c r="BF69" s="5"/>
      <c r="BG69" s="5"/>
      <c r="BH69" s="5"/>
      <c r="BI69" s="260"/>
      <c r="BJ69" s="260"/>
      <c r="BK69" s="260"/>
      <c r="BL69" s="260"/>
      <c r="BM69" s="260"/>
      <c r="BN69" s="260"/>
      <c r="BO69" s="260"/>
      <c r="BP69" s="260"/>
      <c r="BQ69" s="260"/>
      <c r="BR69" s="260"/>
      <c r="BS69" s="260"/>
      <c r="BT69" s="260"/>
    </row>
    <row r="70">
      <c r="A70" s="1080"/>
      <c r="B70" s="160"/>
      <c r="C70" s="123" t="s">
        <v>641</v>
      </c>
      <c r="D70" s="148" t="s">
        <v>598</v>
      </c>
      <c r="E70" s="752"/>
      <c r="F70" s="1091"/>
      <c r="G70" s="129"/>
      <c r="H70" s="127"/>
      <c r="I70" s="127"/>
      <c r="J70" s="126" t="s">
        <v>87</v>
      </c>
      <c r="K70" s="126" t="str">
        <f t="array" ref="K70">iferror(if(OR(D70="R-Flashing",D70="W-Flashing"),"LM",XLOOKUP(C70,Material!$A:$A,Material!$C:$C)),"")</f>
        <v>LM</v>
      </c>
      <c r="L70" s="161"/>
      <c r="M70" s="150">
        <f>M66</f>
        <v>30</v>
      </c>
      <c r="N70" s="151">
        <f t="shared" si="42"/>
        <v>1.154700538</v>
      </c>
      <c r="O70" s="169">
        <v>1.0</v>
      </c>
      <c r="P70" s="134">
        <v>2.0</v>
      </c>
      <c r="Q70" s="168">
        <f t="shared" si="38"/>
        <v>69.2820323</v>
      </c>
      <c r="R70" s="136">
        <f t="array" ref="R70">IFERROR(
    IF(
        OR(D70="R-Flashing",D70="W-Flashing",D70="R-BG"),
        LET(
            StartRow,
            MATCH(
                I70&amp;"♦"&amp;H70,
                Material!$I:$I&amp;"♦"&amp;Material!$J:$J,
                0
            ),
            INDEX(
                Material!$J:$AF,
                StartRow+1+MATCH(
                    CEILING(E70*1000,50),
                    INDEX(Material!$I:$I,StartRow+2):INDEX(Material!$I:$I,StartRow+25),
                    0
                ),
                MATCH(
                    G70,
                    INDEX(Material!$I:$V,StartRow+1,0),
                    0
                )
            )
        ),
        XLOOKUP(C70,Material!$A:$A,Material!$D:$D)
    ),
"")</f>
        <v>5</v>
      </c>
      <c r="S70" s="152">
        <f t="shared" si="39"/>
        <v>346.4101615</v>
      </c>
      <c r="T70" s="138"/>
      <c r="U70" s="108">
        <f t="array" ref="U70">IFERROR(
    IF(
        D70="R-Flashing",
        XLOOKUP(CEILING(E70*1000,50),Material!I:I,Material!X:X),
        XLOOKUP(C70,Material!A:A,Material!E:E)
    ),
    ""
)</f>
        <v>1</v>
      </c>
      <c r="V70" s="139"/>
      <c r="W70" s="140">
        <f t="shared" si="40"/>
        <v>69.2820323</v>
      </c>
      <c r="X70" s="159"/>
      <c r="Y70" s="5"/>
      <c r="Z70" s="5"/>
      <c r="AA70" s="5"/>
      <c r="AB70" s="354">
        <f t="shared" si="41"/>
        <v>415.6921938</v>
      </c>
      <c r="AC70" s="33"/>
      <c r="AD70" s="65"/>
      <c r="AE70" s="66"/>
      <c r="AF70" s="144"/>
      <c r="AG70" s="68"/>
      <c r="AH70" s="69"/>
      <c r="AI70" s="39"/>
      <c r="AJ70" s="70"/>
      <c r="AK70" s="70"/>
      <c r="AL70" s="5"/>
      <c r="AM70" s="5"/>
      <c r="AN70" s="5"/>
      <c r="AO70" s="5"/>
      <c r="AP70" s="5"/>
      <c r="AQ70" s="5"/>
      <c r="AR70" s="5"/>
      <c r="AS70" s="5"/>
      <c r="AT70" s="5"/>
      <c r="AU70" s="5"/>
      <c r="AV70" s="5"/>
      <c r="AW70" s="5"/>
      <c r="AX70" s="5"/>
      <c r="AY70" s="5"/>
      <c r="AZ70" s="5"/>
      <c r="BA70" s="5"/>
      <c r="BB70" s="5"/>
      <c r="BC70" s="5"/>
      <c r="BD70" s="5"/>
      <c r="BE70" s="5"/>
      <c r="BF70" s="5"/>
      <c r="BG70" s="5"/>
      <c r="BH70" s="5"/>
      <c r="BI70" s="260"/>
      <c r="BJ70" s="260"/>
      <c r="BK70" s="260"/>
      <c r="BL70" s="260"/>
      <c r="BM70" s="260"/>
      <c r="BN70" s="260"/>
      <c r="BO70" s="260"/>
      <c r="BP70" s="260"/>
      <c r="BQ70" s="260"/>
      <c r="BR70" s="260"/>
      <c r="BS70" s="260"/>
      <c r="BT70" s="260"/>
    </row>
    <row r="71">
      <c r="A71" s="1080"/>
      <c r="B71" s="160"/>
      <c r="C71" s="698"/>
      <c r="D71" s="124"/>
      <c r="E71" s="752"/>
      <c r="F71" s="1091"/>
      <c r="G71" s="129"/>
      <c r="H71" s="127"/>
      <c r="I71" s="127"/>
      <c r="J71" s="126"/>
      <c r="K71" s="126"/>
      <c r="L71" s="161"/>
      <c r="M71" s="150"/>
      <c r="N71" s="151"/>
      <c r="O71" s="169"/>
      <c r="P71" s="134"/>
      <c r="Q71" s="168"/>
      <c r="R71" s="136" t="str">
        <f t="array" ref="R71">IFERROR(
    IF(
        OR(D71="R-Flashing",D71="W-Flashing",D71="R-BG"),
        LET(
            StartRow,
            MATCH(
                I71&amp;"♦"&amp;H71,
                Material!$I:$I&amp;"♦"&amp;Material!$J:$J,
                0
            ),
            INDEX(
                Material!$J:$AF,
                StartRow+1+MATCH(
                    CEILING(E71*1000,50),
                    INDEX(Material!$I:$I,StartRow+2):INDEX(Material!$I:$I,StartRow+25),
                    0
                ),
                MATCH(
                    G71,
                    INDEX(Material!$I:$V,StartRow+1,0),
                    0
                )
            )
        ),
        XLOOKUP(C71,Material!$A:$A,Material!$D:$D)
    ),
"")</f>
        <v/>
      </c>
      <c r="S71" s="152"/>
      <c r="T71" s="138"/>
      <c r="U71" s="108"/>
      <c r="V71" s="139"/>
      <c r="W71" s="140"/>
      <c r="X71" s="159"/>
      <c r="Y71" s="5"/>
      <c r="Z71" s="5"/>
      <c r="AA71" s="5"/>
      <c r="AB71" s="354"/>
      <c r="AC71" s="33"/>
      <c r="AD71" s="65"/>
      <c r="AE71" s="66"/>
      <c r="AF71" s="144"/>
      <c r="AG71" s="68"/>
      <c r="AH71" s="69"/>
      <c r="AI71" s="39"/>
      <c r="AJ71" s="70"/>
      <c r="AK71" s="70"/>
      <c r="AL71" s="5"/>
      <c r="AM71" s="5"/>
      <c r="AN71" s="5"/>
      <c r="AO71" s="5"/>
      <c r="AP71" s="5"/>
      <c r="AQ71" s="5"/>
      <c r="AR71" s="5"/>
      <c r="AS71" s="5"/>
      <c r="AT71" s="5"/>
      <c r="AU71" s="5"/>
      <c r="AV71" s="5"/>
      <c r="AW71" s="5"/>
      <c r="AX71" s="5"/>
      <c r="AY71" s="5"/>
      <c r="AZ71" s="5"/>
      <c r="BA71" s="5"/>
      <c r="BB71" s="5"/>
      <c r="BC71" s="5"/>
      <c r="BD71" s="5"/>
      <c r="BE71" s="5"/>
      <c r="BF71" s="5"/>
      <c r="BG71" s="5"/>
      <c r="BH71" s="5"/>
      <c r="BI71" s="260"/>
      <c r="BJ71" s="260"/>
      <c r="BK71" s="260"/>
      <c r="BL71" s="260"/>
      <c r="BM71" s="260"/>
      <c r="BN71" s="260"/>
      <c r="BO71" s="260"/>
      <c r="BP71" s="260"/>
      <c r="BQ71" s="260"/>
      <c r="BR71" s="260"/>
      <c r="BS71" s="260"/>
      <c r="BT71" s="260"/>
    </row>
    <row r="72">
      <c r="A72" s="1080" t="s">
        <v>444</v>
      </c>
      <c r="B72" s="160"/>
      <c r="C72" s="123" t="s">
        <v>642</v>
      </c>
      <c r="D72" s="124" t="s">
        <v>96</v>
      </c>
      <c r="E72" s="687">
        <f>VALUE(MID(C72, FIND("(", C72)+1, FIND("/", C72)-FIND("(", C72)-1)) / 1000</f>
        <v>0.5</v>
      </c>
      <c r="F72" s="1085">
        <v>30.0</v>
      </c>
      <c r="G72" s="128">
        <f>VALUE(MID(C72,FIND("/",C72)+1,FIND("B",C72,FIND("/",C72))-FIND("/",C72)-1))</f>
        <v>3</v>
      </c>
      <c r="H72" s="128" t="str">
        <f>IFERROR(__xludf.DUMMYFUNCTION("IFERROR(REGEXEXTRACT(C72,""(\d*\.?\d+)\s*bmt""),IFERROR(REGEXEXTRACT(C72,""(\d*\.?\d+)\s*mm""),""""))"),"0.55")</f>
        <v>0.55</v>
      </c>
      <c r="I72" s="125" t="s">
        <v>630</v>
      </c>
      <c r="J72" s="126" t="s">
        <v>14</v>
      </c>
      <c r="K72" s="126" t="str">
        <f t="array" ref="K72">iferror(if(OR(D72="R-Flashing",D72="W-Flashing"),"LM",XLOOKUP(C72,Material!$A:$A,Material!$C:$C)),"")</f>
        <v>LM</v>
      </c>
      <c r="L72" s="163"/>
      <c r="M72" s="730">
        <f>M66</f>
        <v>30</v>
      </c>
      <c r="N72" s="151">
        <f>IFERROR(__xludf.DUMMYFUNCTION("IF(
  AND(
    IFERROR(REGEXEXTRACT(C72,""@\s*(\d+(?:\.\d+)?)\s*deg""),"""")&lt;&gt;"""",
    F72&lt;&gt;""""
  ),
  ""Pls Confirm °"",
  IF(
    IFERROR(REGEXEXTRACT(C72,""@\s*(\d+(?:\.\d+)?)\s*deg""),"""")&lt;&gt;"""",
    1/COS(RADIANS(REGEXEXTRACT(C72,""@\s*(\d+(?:\.\d"&amp;"+)?)\s*deg""))),
    IF(
      F72&lt;&gt;"""",
      IF(
        ISNUMBER(SEARCH(""|"",F72)),
        1/COS(
          ATAN(
            TAN(RADIANS(VALUE(INDEX(SPLIT(F72,""|""),1)))) *
            TAN(RADIANS(VALUE(INDEX(SPLIT(F72,""|""),2))))
            /
 "&amp;"           SQRT(
              TAN(RADIANS(VALUE(INDEX(SPLIT(F72,""|""),1))))^2 +
              TAN(RADIANS(VALUE(INDEX(SPLIT(F72,""|""),2))))^2
            )
          )
        ),
        1/COS(RADIANS(VALUE(F72)))
      ),
      1
    )
  )
)"),1.1547005383792515)</f>
        <v>1.154700538</v>
      </c>
      <c r="O72" s="169">
        <v>1.0</v>
      </c>
      <c r="P72" s="134">
        <v>1.0</v>
      </c>
      <c r="Q72" s="168">
        <f t="shared" ref="Q72:Q75" si="43">M72*N72*O72*P72</f>
        <v>34.64101615</v>
      </c>
      <c r="R72" s="136">
        <f t="array" ref="R72">IFERROR(
    IF(
        OR(D72="R-Flashing",D72="W-Flashing",D72="R-BG"),
        LET(
            StartRow,
            MATCH(
                I72&amp;"♦"&amp;H72,
                Material!$I:$I&amp;"♦"&amp;Material!$J:$J,
                0
            ),
            INDEX(
                Material!$J:$AF,
                StartRow+1+MATCH(
                    CEILING(E72*1000,50),
                    INDEX(Material!$I:$I,StartRow+2):INDEX(Material!$I:$I,StartRow+25),
                    0
                ),
                MATCH(
                    G72,
                    INDEX(Material!$I:$V,StartRow+1,0),
                    0
                )
            )
        ),
        XLOOKUP(C72,Material!$A:$A,Material!$D:$D)
    ),
"")</f>
        <v>24.25</v>
      </c>
      <c r="S72" s="152">
        <f t="shared" ref="S72:S75" si="44">R72*Q72</f>
        <v>840.0446417</v>
      </c>
      <c r="T72" s="138"/>
      <c r="U72" s="136">
        <f t="array" ref="U72">IFERROR(
    IF(
        D72="R-Flashing",
        XLOOKUP(CEILING(E72*1000,50),Material!I:I,Material!X:X),
        XLOOKUP(C72,Material!A:A,Material!E:E)
    ),
    ""
)</f>
        <v>10</v>
      </c>
      <c r="V72" s="139"/>
      <c r="W72" s="140">
        <f t="shared" ref="W72:W75" si="45">U72*Q72</f>
        <v>346.4101615</v>
      </c>
      <c r="X72" s="159"/>
      <c r="Y72" s="165"/>
      <c r="Z72" s="1090"/>
      <c r="AA72" s="5"/>
      <c r="AB72" s="354">
        <f t="shared" ref="AB72:AB75" si="46">W72+S72</f>
        <v>1186.454803</v>
      </c>
      <c r="AC72" s="33"/>
      <c r="AD72" s="65"/>
      <c r="AE72" s="66"/>
      <c r="AF72" s="144"/>
      <c r="AG72" s="68"/>
      <c r="AH72" s="69"/>
      <c r="AI72" s="39"/>
      <c r="AJ72" s="70"/>
      <c r="AK72" s="70"/>
      <c r="AL72" s="5"/>
      <c r="AM72" s="5"/>
      <c r="AN72" s="5"/>
      <c r="AO72" s="5"/>
      <c r="AP72" s="5"/>
      <c r="AQ72" s="5"/>
      <c r="AR72" s="5"/>
      <c r="AS72" s="5"/>
      <c r="AT72" s="5"/>
      <c r="AU72" s="5"/>
      <c r="AV72" s="5"/>
      <c r="AW72" s="5"/>
      <c r="AX72" s="5"/>
      <c r="AY72" s="5"/>
      <c r="AZ72" s="5"/>
      <c r="BA72" s="5"/>
      <c r="BB72" s="5"/>
      <c r="BC72" s="5"/>
      <c r="BD72" s="5"/>
      <c r="BE72" s="5"/>
      <c r="BF72" s="5"/>
      <c r="BG72" s="5"/>
      <c r="BH72" s="5"/>
      <c r="BI72" s="260"/>
      <c r="BJ72" s="260"/>
      <c r="BK72" s="260"/>
      <c r="BL72" s="260"/>
      <c r="BM72" s="260"/>
      <c r="BN72" s="260"/>
      <c r="BO72" s="260"/>
      <c r="BP72" s="260"/>
      <c r="BQ72" s="260"/>
      <c r="BR72" s="260"/>
      <c r="BS72" s="260"/>
      <c r="BT72" s="260"/>
    </row>
    <row r="73">
      <c r="A73" s="1080"/>
      <c r="B73" s="160"/>
      <c r="C73" s="734" t="s">
        <v>98</v>
      </c>
      <c r="D73" s="124" t="s">
        <v>99</v>
      </c>
      <c r="E73" s="687">
        <f>E72</f>
        <v>0.5</v>
      </c>
      <c r="F73" s="1091" t="str">
        <f>IFERROR(__xludf.DUMMYFUNCTION("iferror(ROUND(
  DEGREES(
    ATAN(
      TAN(RADIANS(VALUE(INDEX(SPLIT(F72,""|""),1)))) *
      TAN(RADIANS(VALUE(INDEX(SPLIT(F72,""|""),2))))
      /
      SQRT(
        TAN(RADIANS(VALUE(INDEX(SPLIT(F72,""|""),1))))^2 +
        TAN(RADIANS(VALUE(INDEX("&amp;"SPLIT(F72,""|""),2))))^2
      )
    )
  ),
  2
))"),"")</f>
        <v/>
      </c>
      <c r="G73" s="127"/>
      <c r="H73" s="127" t="str">
        <f>IFERROR(__xludf.DUMMYFUNCTION("IFERROR(REGEXEXTRACT(C73, ""(\d*\.\d+)mm""), """")"),"")</f>
        <v/>
      </c>
      <c r="I73" s="127"/>
      <c r="J73" s="126" t="s">
        <v>87</v>
      </c>
      <c r="K73" s="126" t="str">
        <f t="array" ref="K73">iferror(if(OR(D73="R-Flashing",D73="W-Flashing"),"LM",XLOOKUP(C73,Material!$A:$A,Material!$C:$C)),"")</f>
        <v>ea</v>
      </c>
      <c r="L73" s="163"/>
      <c r="M73" s="150">
        <f>(ROUNDDOWN((M72/5.7)+2,0)*E73)/8</f>
        <v>0.4375</v>
      </c>
      <c r="N73" s="151">
        <f t="shared" ref="N73:N75" si="47">if(C73="","",(if(N72="",N71,N72)))</f>
        <v>1.154700538</v>
      </c>
      <c r="O73" s="169">
        <v>1.0</v>
      </c>
      <c r="P73" s="134">
        <v>1.0</v>
      </c>
      <c r="Q73" s="168">
        <f t="shared" si="43"/>
        <v>0.5051814855</v>
      </c>
      <c r="R73" s="136">
        <f t="array" ref="R73">IFERROR(
    IF(
        OR(D73="R-Flashing",D73="W-Flashing",D73="R-BG"),
        LET(
            StartRow,
            MATCH(
                I73&amp;"♦"&amp;H73,
                Material!$I:$I&amp;"♦"&amp;Material!$J:$J,
                0
            ),
            INDEX(
                Material!$J:$AF,
                StartRow+1+MATCH(
                    CEILING(E73*1000,50),
                    INDEX(Material!$I:$I,StartRow+2):INDEX(Material!$I:$I,StartRow+25),
                    0
                ),
                MATCH(
                    G73,
                    INDEX(Material!$I:$V,StartRow+1,0),
                    0
                )
            )
        ),
        XLOOKUP(C73,Material!$A:$A,Material!$D:$D)
    ),
"")</f>
        <v>10</v>
      </c>
      <c r="S73" s="152">
        <f t="shared" si="44"/>
        <v>5.051814855</v>
      </c>
      <c r="T73" s="138"/>
      <c r="U73" s="108" t="str">
        <f t="array" ref="U73">IFERROR(
    IF(
        D73="R-Flashing",
        XLOOKUP(CEILING(E73*1000,50),Material!I:I,Material!X:X),
        XLOOKUP(C73,Material!A:A,Material!E:E)
    ),
    ""
)</f>
        <v/>
      </c>
      <c r="V73" s="139"/>
      <c r="W73" s="140">
        <f t="shared" si="45"/>
        <v>0</v>
      </c>
      <c r="X73" s="159"/>
      <c r="Y73" s="5"/>
      <c r="Z73" s="5"/>
      <c r="AA73" s="5"/>
      <c r="AB73" s="354">
        <f t="shared" si="46"/>
        <v>5.051814855</v>
      </c>
      <c r="AC73" s="33"/>
      <c r="AD73" s="65"/>
      <c r="AE73" s="66"/>
      <c r="AF73" s="144"/>
      <c r="AG73" s="68"/>
      <c r="AH73" s="69"/>
      <c r="AI73" s="39"/>
      <c r="AJ73" s="70"/>
      <c r="AK73" s="70"/>
      <c r="AL73" s="5"/>
      <c r="AM73" s="5"/>
      <c r="AN73" s="5"/>
      <c r="AO73" s="5"/>
      <c r="AP73" s="5"/>
      <c r="AQ73" s="5"/>
      <c r="AR73" s="5"/>
      <c r="AS73" s="5"/>
      <c r="AT73" s="5"/>
      <c r="AU73" s="5"/>
      <c r="AV73" s="5"/>
      <c r="AW73" s="5"/>
      <c r="AX73" s="5"/>
      <c r="AY73" s="5"/>
      <c r="AZ73" s="5"/>
      <c r="BA73" s="5"/>
      <c r="BB73" s="5"/>
      <c r="BC73" s="5"/>
      <c r="BD73" s="5"/>
      <c r="BE73" s="5"/>
      <c r="BF73" s="5"/>
      <c r="BG73" s="5"/>
      <c r="BH73" s="5"/>
      <c r="BI73" s="260"/>
      <c r="BJ73" s="260"/>
      <c r="BK73" s="260"/>
      <c r="BL73" s="260"/>
      <c r="BM73" s="260"/>
      <c r="BN73" s="260"/>
      <c r="BO73" s="260"/>
      <c r="BP73" s="260"/>
      <c r="BQ73" s="260"/>
      <c r="BR73" s="260"/>
      <c r="BS73" s="260"/>
      <c r="BT73" s="260"/>
    </row>
    <row r="74">
      <c r="A74" s="1080"/>
      <c r="B74" s="160"/>
      <c r="C74" s="734" t="s">
        <v>100</v>
      </c>
      <c r="D74" s="124" t="s">
        <v>101</v>
      </c>
      <c r="E74" s="687">
        <f>E72</f>
        <v>0.5</v>
      </c>
      <c r="F74" s="1091"/>
      <c r="G74" s="127"/>
      <c r="H74" s="127" t="str">
        <f>IFERROR(__xludf.DUMMYFUNCTION("IFERROR(REGEXEXTRACT(C74, ""(\d*\.\d+)mm""), """")"),"")</f>
        <v/>
      </c>
      <c r="I74" s="127"/>
      <c r="J74" s="126" t="s">
        <v>87</v>
      </c>
      <c r="K74" s="126" t="str">
        <f t="array" ref="K74">iferror(if(OR(D74="R-Flashing",D74="W-Flashing"),"LM",XLOOKUP(C74,Material!$A:$A,Material!$C:$C)),"")</f>
        <v>ea</v>
      </c>
      <c r="L74" s="163"/>
      <c r="M74" s="150">
        <f>ROUNDUP(((M72/5.7)+1)*(E74/0.05),0)</f>
        <v>63</v>
      </c>
      <c r="N74" s="151">
        <f t="shared" si="47"/>
        <v>1.154700538</v>
      </c>
      <c r="O74" s="169">
        <v>1.0</v>
      </c>
      <c r="P74" s="134">
        <v>1.0</v>
      </c>
      <c r="Q74" s="168">
        <f t="shared" si="43"/>
        <v>72.74613392</v>
      </c>
      <c r="R74" s="136">
        <f t="array" ref="R74">IFERROR(
    IF(
        OR(D74="R-Flashing",D74="W-Flashing",D74="R-BG"),
        LET(
            StartRow,
            MATCH(
                I74&amp;"♦"&amp;H74,
                Material!$I:$I&amp;"♦"&amp;Material!$J:$J,
                0
            ),
            INDEX(
                Material!$J:$AF,
                StartRow+1+MATCH(
                    CEILING(E74*1000,50),
                    INDEX(Material!$I:$I,StartRow+2):INDEX(Material!$I:$I,StartRow+25),
                    0
                ),
                MATCH(
                    G74,
                    INDEX(Material!$I:$V,StartRow+1,0),
                    0
                )
            )
        ),
        XLOOKUP(C74,Material!$A:$A,Material!$D:$D)
    ),
"")</f>
        <v>0.09</v>
      </c>
      <c r="S74" s="152">
        <f t="shared" si="44"/>
        <v>6.547152053</v>
      </c>
      <c r="T74" s="138"/>
      <c r="U74" s="108" t="str">
        <f t="array" ref="U74">IFERROR(
    IF(
        D74="R-Flashing",
        XLOOKUP(CEILING(E74*1000,50),Material!I:I,Material!X:X),
        XLOOKUP(C74,Material!A:A,Material!E:E)
    ),
    ""
)</f>
        <v/>
      </c>
      <c r="V74" s="139"/>
      <c r="W74" s="140">
        <f t="shared" si="45"/>
        <v>0</v>
      </c>
      <c r="X74" s="159"/>
      <c r="Y74" s="5"/>
      <c r="Z74" s="5"/>
      <c r="AA74" s="5"/>
      <c r="AB74" s="354">
        <f t="shared" si="46"/>
        <v>6.547152053</v>
      </c>
      <c r="AC74" s="33"/>
      <c r="AD74" s="65"/>
      <c r="AE74" s="66"/>
      <c r="AF74" s="144"/>
      <c r="AG74" s="68"/>
      <c r="AH74" s="69"/>
      <c r="AI74" s="39"/>
      <c r="AJ74" s="70"/>
      <c r="AK74" s="70"/>
      <c r="AL74" s="5"/>
      <c r="AM74" s="5"/>
      <c r="AN74" s="5"/>
      <c r="AO74" s="5"/>
      <c r="AP74" s="5"/>
      <c r="AQ74" s="5"/>
      <c r="AR74" s="5"/>
      <c r="AS74" s="5"/>
      <c r="AT74" s="5"/>
      <c r="AU74" s="5"/>
      <c r="AV74" s="5"/>
      <c r="AW74" s="5"/>
      <c r="AX74" s="5"/>
      <c r="AY74" s="5"/>
      <c r="AZ74" s="5"/>
      <c r="BA74" s="5"/>
      <c r="BB74" s="5"/>
      <c r="BC74" s="5"/>
      <c r="BD74" s="5"/>
      <c r="BE74" s="5"/>
      <c r="BF74" s="5"/>
      <c r="BG74" s="5"/>
      <c r="BH74" s="5"/>
      <c r="BI74" s="260"/>
      <c r="BJ74" s="260"/>
      <c r="BK74" s="260"/>
      <c r="BL74" s="260"/>
      <c r="BM74" s="260"/>
      <c r="BN74" s="260"/>
      <c r="BO74" s="260"/>
      <c r="BP74" s="260"/>
      <c r="BQ74" s="260"/>
      <c r="BR74" s="260"/>
      <c r="BS74" s="260"/>
      <c r="BT74" s="260"/>
    </row>
    <row r="75">
      <c r="A75" s="1080"/>
      <c r="B75" s="160"/>
      <c r="C75" s="698" t="s">
        <v>631</v>
      </c>
      <c r="D75" s="124" t="s">
        <v>103</v>
      </c>
      <c r="E75" s="752"/>
      <c r="F75" s="1091"/>
      <c r="G75" s="129"/>
      <c r="H75" s="127"/>
      <c r="I75" s="127"/>
      <c r="J75" s="126" t="s">
        <v>87</v>
      </c>
      <c r="K75" s="126" t="str">
        <f t="array" ref="K75">iferror(if(OR(D75="R-Flashing",D75="W-Flashing"),"LM",XLOOKUP(C75,Material!$A:$A,Material!$C:$C)),"")</f>
        <v>ea</v>
      </c>
      <c r="L75" s="161"/>
      <c r="M75" s="150">
        <f>ROUNDUP(M72/0.6,0)+1</f>
        <v>51</v>
      </c>
      <c r="N75" s="151">
        <f t="shared" si="47"/>
        <v>1.154700538</v>
      </c>
      <c r="O75" s="169">
        <v>1.0</v>
      </c>
      <c r="P75" s="134">
        <v>2.0</v>
      </c>
      <c r="Q75" s="168">
        <f t="shared" si="43"/>
        <v>117.7794549</v>
      </c>
      <c r="R75" s="136">
        <f t="array" ref="R75">IFERROR(
    IF(
        OR(D75="R-Flashing",D75="W-Flashing",D75="R-BG"),
        LET(
            StartRow,
            MATCH(
                I75&amp;"♦"&amp;H75,
                Material!$I:$I&amp;"♦"&amp;Material!$J:$J,
                0
            ),
            INDEX(
                Material!$J:$AF,
                StartRow+1+MATCH(
                    CEILING(E75*1000,50),
                    INDEX(Material!$I:$I,StartRow+2):INDEX(Material!$I:$I,StartRow+25),
                    0
                ),
                MATCH(
                    G75,
                    INDEX(Material!$I:$V,StartRow+1,0),
                    0
                )
            )
        ),
        XLOOKUP(C75,Material!$A:$A,Material!$D:$D)
    ),
"")</f>
        <v>0.2</v>
      </c>
      <c r="S75" s="152">
        <f t="shared" si="44"/>
        <v>23.55589098</v>
      </c>
      <c r="T75" s="138"/>
      <c r="U75" s="108" t="str">
        <f t="array" ref="U75">IFERROR(
    IF(
        D75="R-Flashing",
        XLOOKUP(CEILING(E75*1000,50),Material!I:I,Material!X:X),
        XLOOKUP(C75,Material!A:A,Material!E:E)
    ),
    ""
)</f>
        <v/>
      </c>
      <c r="V75" s="139"/>
      <c r="W75" s="140">
        <f t="shared" si="45"/>
        <v>0</v>
      </c>
      <c r="X75" s="159"/>
      <c r="Y75" s="5"/>
      <c r="Z75" s="5"/>
      <c r="AA75" s="5"/>
      <c r="AB75" s="354">
        <f t="shared" si="46"/>
        <v>23.55589098</v>
      </c>
      <c r="AC75" s="33"/>
      <c r="AD75" s="65"/>
      <c r="AE75" s="66"/>
      <c r="AF75" s="144"/>
      <c r="AG75" s="68"/>
      <c r="AH75" s="69"/>
      <c r="AI75" s="39"/>
      <c r="AJ75" s="70"/>
      <c r="AK75" s="70"/>
      <c r="AL75" s="5"/>
      <c r="AM75" s="5"/>
      <c r="AN75" s="5"/>
      <c r="AO75" s="5"/>
      <c r="AP75" s="5"/>
      <c r="AQ75" s="5"/>
      <c r="AR75" s="5"/>
      <c r="AS75" s="5"/>
      <c r="AT75" s="5"/>
      <c r="AU75" s="5"/>
      <c r="AV75" s="5"/>
      <c r="AW75" s="5"/>
      <c r="AX75" s="5"/>
      <c r="AY75" s="5"/>
      <c r="AZ75" s="5"/>
      <c r="BA75" s="5"/>
      <c r="BB75" s="5"/>
      <c r="BC75" s="5"/>
      <c r="BD75" s="5"/>
      <c r="BE75" s="5"/>
      <c r="BF75" s="5"/>
      <c r="BG75" s="5"/>
      <c r="BH75" s="5"/>
      <c r="BI75" s="260"/>
      <c r="BJ75" s="260"/>
      <c r="BK75" s="260"/>
      <c r="BL75" s="260"/>
      <c r="BM75" s="260"/>
      <c r="BN75" s="260"/>
      <c r="BO75" s="260"/>
      <c r="BP75" s="260"/>
      <c r="BQ75" s="260"/>
      <c r="BR75" s="260"/>
      <c r="BS75" s="260"/>
      <c r="BT75" s="260"/>
    </row>
    <row r="76">
      <c r="A76" s="1080"/>
      <c r="B76" s="160"/>
      <c r="C76" s="757"/>
      <c r="D76" s="129"/>
      <c r="E76" s="752"/>
      <c r="F76" s="1091"/>
      <c r="G76" s="129"/>
      <c r="H76" s="127"/>
      <c r="I76" s="127"/>
      <c r="J76" s="129"/>
      <c r="K76" s="126" t="str">
        <f t="array" ref="K76">iferror(if(OR(D76="R-Flashing",D76="W-Flashing"),"LM",XLOOKUP(C76,Material!$A:$A,Material!$C:$C)),"")</f>
        <v/>
      </c>
      <c r="L76" s="161"/>
      <c r="M76" s="163"/>
      <c r="N76" s="162" t="str">
        <f>if(C76="","",(if(N69="",N68,N69)))</f>
        <v/>
      </c>
      <c r="O76" s="161"/>
      <c r="P76" s="127"/>
      <c r="Q76" s="161"/>
      <c r="R76" s="136" t="str">
        <f t="array" ref="R76">IFERROR(
    IF(
        OR(D76="R-Flashing",D76="W-Flashing",D76="R-BG"),
        LET(
            StartRow,
            MATCH(
                I76&amp;"♦"&amp;H76,
                Material!$I:$I&amp;"♦"&amp;Material!$J:$J,
                0
            ),
            INDEX(
                Material!$J:$AF,
                StartRow+1+MATCH(
                    CEILING(E76*1000,50),
                    INDEX(Material!$I:$I,StartRow+2):INDEX(Material!$I:$I,StartRow+25),
                    0
                ),
                MATCH(
                    G76,
                    INDEX(Material!$I:$V,StartRow+1,0),
                    0
                )
            )
        ),
        XLOOKUP(C76,Material!$A:$A,Material!$D:$D)
    ),
"")</f>
        <v/>
      </c>
      <c r="S76" s="139"/>
      <c r="T76" s="138"/>
      <c r="U76" s="108" t="str">
        <f t="array" ref="U76">IFERROR(
    IF(
        D76="R-Flashing",
        XLOOKUP(CEILING(E76*1000,50),Material!I:I,Material!X:X),
        XLOOKUP(C76,Material!A:A,Material!E:E)
    ),
    ""
)</f>
        <v/>
      </c>
      <c r="V76" s="139"/>
      <c r="W76" s="164"/>
      <c r="X76" s="159"/>
      <c r="Y76" s="5"/>
      <c r="Z76" s="5"/>
      <c r="AA76" s="5"/>
      <c r="AB76" s="5"/>
      <c r="AC76" s="33"/>
      <c r="AD76" s="65"/>
      <c r="AE76" s="66"/>
      <c r="AF76" s="144"/>
      <c r="AG76" s="68"/>
      <c r="AH76" s="69"/>
      <c r="AI76" s="39"/>
      <c r="AJ76" s="70"/>
      <c r="AK76" s="70"/>
      <c r="AL76" s="5"/>
      <c r="AM76" s="5"/>
      <c r="AN76" s="5"/>
      <c r="AO76" s="5"/>
      <c r="AP76" s="5"/>
      <c r="AQ76" s="5"/>
      <c r="AR76" s="5"/>
      <c r="AS76" s="5"/>
      <c r="AT76" s="5"/>
      <c r="AU76" s="5"/>
      <c r="AV76" s="5"/>
      <c r="AW76" s="5"/>
      <c r="AX76" s="5"/>
      <c r="AY76" s="5"/>
      <c r="AZ76" s="5"/>
      <c r="BA76" s="5"/>
      <c r="BB76" s="5"/>
      <c r="BC76" s="5"/>
      <c r="BD76" s="5"/>
      <c r="BE76" s="5"/>
      <c r="BF76" s="5"/>
      <c r="BG76" s="5"/>
      <c r="BH76" s="5"/>
      <c r="BI76" s="260"/>
      <c r="BJ76" s="260"/>
      <c r="BK76" s="260"/>
      <c r="BL76" s="260"/>
      <c r="BM76" s="260"/>
      <c r="BN76" s="260"/>
      <c r="BO76" s="260"/>
      <c r="BP76" s="260"/>
      <c r="BQ76" s="260"/>
      <c r="BR76" s="260"/>
      <c r="BS76" s="260"/>
      <c r="BT76" s="260"/>
    </row>
    <row r="77">
      <c r="A77" s="1080">
        <v>1.0</v>
      </c>
      <c r="B77" s="102"/>
      <c r="C77" s="103" t="s">
        <v>643</v>
      </c>
      <c r="D77" s="104"/>
      <c r="E77" s="749"/>
      <c r="F77" s="1089"/>
      <c r="G77" s="104"/>
      <c r="H77" s="104"/>
      <c r="I77" s="104"/>
      <c r="J77" s="104"/>
      <c r="K77" s="104" t="s">
        <v>42</v>
      </c>
      <c r="L77" s="106">
        <f>Q77</f>
        <v>36.94022198</v>
      </c>
      <c r="M77" s="105" t="s">
        <v>42</v>
      </c>
      <c r="N77" s="107"/>
      <c r="O77" s="105"/>
      <c r="P77" s="104"/>
      <c r="Q77" s="106">
        <f>Q78</f>
        <v>36.94022198</v>
      </c>
      <c r="R77" s="136" t="str">
        <f t="array" ref="R77">IFERROR(
    IF(
        OR(D77="R-Flashing",D77="W-Flashing",D77="R-BG"),
        LET(
            StartRow,
            MATCH(
                I77&amp;"♦"&amp;H77,
                Material!$I:$I&amp;"♦"&amp;Material!$J:$J,
                0
            ),
            INDEX(
                Material!$J:$AF,
                StartRow+1+MATCH(
                    CEILING(E77*1000,50),
                    INDEX(Material!$I:$I,StartRow+2):INDEX(Material!$I:$I,StartRow+25),
                    0
                ),
                MATCH(
                    G77,
                    INDEX(Material!$I:$V,StartRow+1,0),
                    0
                )
            )
        ),
        XLOOKUP(C77,Material!$A:$A,Material!$D:$D)
    ),
"")</f>
        <v/>
      </c>
      <c r="S77" s="682">
        <f>IFERROR(T77/Q77, 0)</f>
        <v>21.49157895</v>
      </c>
      <c r="T77" s="109">
        <f>SUM(S78:S82)</f>
        <v>793.903697</v>
      </c>
      <c r="U77" s="108" t="str">
        <f t="array" ref="U77">IFERROR(
    IF(
        D77="R-Flashing",
        XLOOKUP(CEILING(E77*1000,50),Material!I:I,Material!X:X),
        XLOOKUP(C77,Material!A:A,Material!E:E)
    ),
    ""
)</f>
        <v/>
      </c>
      <c r="V77" s="109">
        <f>W77/Q77</f>
        <v>10</v>
      </c>
      <c r="W77" s="110">
        <f>SUM(W78:W82)</f>
        <v>369.4022198</v>
      </c>
      <c r="X77" s="111">
        <f>W77/$AC$210/$W$217/$X$207</f>
        <v>0.250952595</v>
      </c>
      <c r="Y77" s="112" t="b">
        <f>(T77+W77)=(SUM(AB78:AB82))</f>
        <v>1</v>
      </c>
      <c r="Z77" s="113">
        <f>(T77+W77)-(SUM(AB78:AB82))</f>
        <v>0</v>
      </c>
      <c r="AA77" s="5"/>
      <c r="AB77" s="5"/>
      <c r="AC77" s="33"/>
      <c r="AD77" s="114">
        <f>W77+T77</f>
        <v>1163.305917</v>
      </c>
      <c r="AE77" s="115">
        <f>AD77</f>
        <v>1163.305917</v>
      </c>
      <c r="AF77" s="116">
        <f>AE77/$AE$185</f>
        <v>0.01629636254</v>
      </c>
      <c r="AG77" s="683">
        <f>AF77*$AG$192</f>
        <v>444.9938686</v>
      </c>
      <c r="AH77" s="118">
        <f>AF77*$AG$195</f>
        <v>259.4812479</v>
      </c>
      <c r="AI77" s="187"/>
      <c r="AJ77" s="119">
        <f>ROUND(AK77/L77,2)</f>
        <v>50.56</v>
      </c>
      <c r="AK77" s="119">
        <f>ROUND(AH77+AG77+AD77,2)</f>
        <v>1867.78</v>
      </c>
      <c r="AL77" s="5"/>
      <c r="AM77" s="5"/>
      <c r="AN77" s="5"/>
      <c r="AO77" s="5"/>
      <c r="AP77" s="5"/>
      <c r="AQ77" s="5"/>
      <c r="AR77" s="5"/>
      <c r="AS77" s="5"/>
      <c r="AT77" s="5"/>
      <c r="AU77" s="5"/>
      <c r="AV77" s="5"/>
      <c r="AW77" s="5"/>
      <c r="AX77" s="5"/>
      <c r="AY77" s="5"/>
      <c r="AZ77" s="5"/>
      <c r="BA77" s="5"/>
      <c r="BB77" s="5"/>
      <c r="BC77" s="5"/>
      <c r="BD77" s="5"/>
      <c r="BE77" s="5"/>
      <c r="BF77" s="5"/>
      <c r="BG77" s="5"/>
      <c r="BH77" s="5"/>
      <c r="BI77" s="260"/>
      <c r="BJ77" s="260"/>
      <c r="BK77" s="260"/>
      <c r="BL77" s="260"/>
      <c r="BM77" s="260"/>
      <c r="BN77" s="260"/>
      <c r="BO77" s="260"/>
      <c r="BP77" s="260"/>
      <c r="BQ77" s="260"/>
      <c r="BR77" s="260"/>
      <c r="BS77" s="260"/>
      <c r="BT77" s="260"/>
    </row>
    <row r="78">
      <c r="A78" s="1080" t="s">
        <v>444</v>
      </c>
      <c r="B78" s="160"/>
      <c r="C78" s="123" t="s">
        <v>644</v>
      </c>
      <c r="D78" s="124" t="s">
        <v>96</v>
      </c>
      <c r="E78" s="687">
        <f>VALUE(MID(C78, FIND("(", C78)+1, FIND("/", C78)-FIND("(", C78)-1)) / 1000</f>
        <v>0.38</v>
      </c>
      <c r="F78" s="1085" t="s">
        <v>645</v>
      </c>
      <c r="G78" s="128">
        <f>VALUE(MID(C78,FIND("/",C78)+1,FIND("B",C78,FIND("/",C78))-FIND("/",C78)-1))</f>
        <v>5</v>
      </c>
      <c r="H78" s="128" t="str">
        <f>IFERROR(__xludf.DUMMYFUNCTION("IFERROR(REGEXEXTRACT(C78,""(\d*\.?\d+)\s*bmt""),IFERROR(REGEXEXTRACT(C78,""(\d*\.?\d+)\s*mm""),""""))"),"0.55")</f>
        <v>0.55</v>
      </c>
      <c r="I78" s="125" t="s">
        <v>630</v>
      </c>
      <c r="J78" s="126" t="s">
        <v>14</v>
      </c>
      <c r="K78" s="126" t="str">
        <f t="array" ref="K78">iferror(if(OR(D78="R-Flashing",D78="W-Flashing"),"LM",XLOOKUP(C78,Material!$A:$A,Material!$C:$C)),"")</f>
        <v>LM</v>
      </c>
      <c r="L78" s="163"/>
      <c r="M78" s="730">
        <v>34.2</v>
      </c>
      <c r="N78" s="151">
        <f>IFERROR(__xludf.DUMMYFUNCTION("IF(
  AND(
    IFERROR(REGEXEXTRACT(C78,""@\s*(\d+(?:\.\d+)?)\s*deg""),"""")&lt;&gt;"""",
    F78&lt;&gt;""""
  ),
  ""Pls Confirm °"",
  IF(
    IFERROR(REGEXEXTRACT(C78,""@\s*(\d+(?:\.\d+)?)\s*deg""),"""")&lt;&gt;"""",
    1/COS(RADIANS(REGEXEXTRACT(C78,""@\s*(\d+(?:\.\d"&amp;"+)?)\s*deg""))),
    IF(
      F78&lt;&gt;"""",
      IF(
        ISNUMBER(SEARCH(""|"",F78)),
        1/COS(
          ATAN(
            TAN(RADIANS(VALUE(INDEX(SPLIT(F78,""|""),1)))) *
            TAN(RADIANS(VALUE(INDEX(SPLIT(F78,""|""),2))))
            /
 "&amp;"           SQRT(
              TAN(RADIANS(VALUE(INDEX(SPLIT(F78,""|""),1))))^2 +
              TAN(RADIANS(VALUE(INDEX(SPLIT(F78,""|""),2))))^2
            )
          )
        ),
        1/COS(RADIANS(VALUE(F78)))
      ),
      1
    )
  )
)"),1.0801234497346435)</f>
        <v>1.08012345</v>
      </c>
      <c r="O78" s="169">
        <v>1.0</v>
      </c>
      <c r="P78" s="134">
        <v>1.0</v>
      </c>
      <c r="Q78" s="168">
        <f t="shared" ref="Q78:Q81" si="48">M78*N78*O78*P78</f>
        <v>36.94022198</v>
      </c>
      <c r="R78" s="136">
        <f t="array" ref="R78">IFERROR(
    IF(
        OR(D78="R-Flashing",D78="W-Flashing",D78="R-BG"),
        LET(
            StartRow,
            MATCH(
                I78&amp;"♦"&amp;H78,
                Material!$I:$I&amp;"♦"&amp;Material!$J:$J,
                0
            ),
            INDEX(
                Material!$J:$AF,
                StartRow+1+MATCH(
                    CEILING(E78*1000,50),
                    INDEX(Material!$I:$I,StartRow+2):INDEX(Material!$I:$I,StartRow+25),
                    0
                ),
                MATCH(
                    G78,
                    INDEX(Material!$I:$V,StartRow+1,0),
                    0
                )
            )
        ),
        XLOOKUP(C78,Material!$A:$A,Material!$D:$D)
    ),
"")</f>
        <v>20.56</v>
      </c>
      <c r="S78" s="152">
        <f t="shared" ref="S78:S81" si="49">R78*Q78</f>
        <v>759.4909639</v>
      </c>
      <c r="T78" s="138"/>
      <c r="U78" s="136">
        <f t="array" ref="U78">IFERROR(
    IF(
        D78="R-Flashing",
        XLOOKUP(CEILING(E78*1000,50),Material!I:I,Material!X:X),
        XLOOKUP(C78,Material!A:A,Material!E:E)
    ),
    ""
)</f>
        <v>10</v>
      </c>
      <c r="V78" s="139"/>
      <c r="W78" s="140">
        <f t="shared" ref="W78:W81" si="50">U78*Q78</f>
        <v>369.4022198</v>
      </c>
      <c r="X78" s="159"/>
      <c r="Y78" s="165"/>
      <c r="Z78" s="1090"/>
      <c r="AA78" s="5"/>
      <c r="AB78" s="354">
        <f t="shared" ref="AB78:AB81" si="51">W78+S78</f>
        <v>1128.893184</v>
      </c>
      <c r="AC78" s="33"/>
      <c r="AD78" s="65"/>
      <c r="AE78" s="66"/>
      <c r="AF78" s="144"/>
      <c r="AG78" s="68"/>
      <c r="AH78" s="69"/>
      <c r="AI78" s="39"/>
      <c r="AJ78" s="70"/>
      <c r="AK78" s="70"/>
      <c r="AL78" s="5"/>
      <c r="AM78" s="5"/>
      <c r="AN78" s="5"/>
      <c r="AO78" s="5"/>
      <c r="AP78" s="5"/>
      <c r="AQ78" s="5"/>
      <c r="AR78" s="5"/>
      <c r="AS78" s="5"/>
      <c r="AT78" s="5"/>
      <c r="AU78" s="5"/>
      <c r="AV78" s="5"/>
      <c r="AW78" s="5"/>
      <c r="AX78" s="5"/>
      <c r="AY78" s="5"/>
      <c r="AZ78" s="5"/>
      <c r="BA78" s="5"/>
      <c r="BB78" s="5"/>
      <c r="BC78" s="5"/>
      <c r="BD78" s="5"/>
      <c r="BE78" s="5"/>
      <c r="BF78" s="5"/>
      <c r="BG78" s="5"/>
      <c r="BH78" s="5"/>
      <c r="BI78" s="260"/>
      <c r="BJ78" s="260"/>
      <c r="BK78" s="260"/>
      <c r="BL78" s="260"/>
      <c r="BM78" s="260"/>
      <c r="BN78" s="260"/>
      <c r="BO78" s="260"/>
      <c r="BP78" s="260"/>
      <c r="BQ78" s="260"/>
      <c r="BR78" s="260"/>
      <c r="BS78" s="260"/>
      <c r="BT78" s="260"/>
    </row>
    <row r="79">
      <c r="A79" s="1080"/>
      <c r="B79" s="160"/>
      <c r="C79" s="734" t="s">
        <v>98</v>
      </c>
      <c r="D79" s="124" t="s">
        <v>99</v>
      </c>
      <c r="E79" s="687">
        <f>E78</f>
        <v>0.38</v>
      </c>
      <c r="F79" s="1085">
        <f>IFERROR(__xludf.DUMMYFUNCTION("iferror(ROUND(
  DEGREES(
    ATAN(
      TAN(RADIANS(VALUE(INDEX(SPLIT(F78,""|""),1)))) *
      TAN(RADIANS(VALUE(INDEX(SPLIT(F78,""|""),2))))
      /
      SQRT(
        TAN(RADIANS(VALUE(INDEX(SPLIT(F78,""|""),1))))^2 +
        TAN(RADIANS(VALUE(INDEX("&amp;"SPLIT(F78,""|""),2))))^2
      )
    )
  ),
  2
))"),22.21)</f>
        <v>22.21</v>
      </c>
      <c r="G79" s="127"/>
      <c r="H79" s="127" t="str">
        <f>IFERROR(__xludf.DUMMYFUNCTION("IFERROR(REGEXEXTRACT(C79, ""(\d*\.\d+)mm""), """")"),"")</f>
        <v/>
      </c>
      <c r="I79" s="127"/>
      <c r="J79" s="126" t="s">
        <v>87</v>
      </c>
      <c r="K79" s="126" t="str">
        <f t="array" ref="K79">iferror(if(OR(D79="R-Flashing",D79="W-Flashing"),"LM",XLOOKUP(C79,Material!$A:$A,Material!$C:$C)),"")</f>
        <v>ea</v>
      </c>
      <c r="L79" s="163"/>
      <c r="M79" s="150">
        <f>(ROUNDDOWN((M78/5.7)+2,0)*E79)/8</f>
        <v>0.38</v>
      </c>
      <c r="N79" s="151">
        <f t="shared" ref="N79:N82" si="52">if(C79="","",(if(N78="",N77,N78)))</f>
        <v>1.08012345</v>
      </c>
      <c r="O79" s="169">
        <v>1.0</v>
      </c>
      <c r="P79" s="134">
        <v>1.0</v>
      </c>
      <c r="Q79" s="168">
        <f t="shared" si="48"/>
        <v>0.4104469109</v>
      </c>
      <c r="R79" s="136">
        <f t="array" ref="R79">IFERROR(
    IF(
        OR(D79="R-Flashing",D79="W-Flashing",D79="R-BG"),
        LET(
            StartRow,
            MATCH(
                I79&amp;"♦"&amp;H79,
                Material!$I:$I&amp;"♦"&amp;Material!$J:$J,
                0
            ),
            INDEX(
                Material!$J:$AF,
                StartRow+1+MATCH(
                    CEILING(E79*1000,50),
                    INDEX(Material!$I:$I,StartRow+2):INDEX(Material!$I:$I,StartRow+25),
                    0
                ),
                MATCH(
                    G79,
                    INDEX(Material!$I:$V,StartRow+1,0),
                    0
                )
            )
        ),
        XLOOKUP(C79,Material!$A:$A,Material!$D:$D)
    ),
"")</f>
        <v>10</v>
      </c>
      <c r="S79" s="152">
        <f t="shared" si="49"/>
        <v>4.104469109</v>
      </c>
      <c r="T79" s="138"/>
      <c r="U79" s="108" t="str">
        <f t="array" ref="U79">IFERROR(
    IF(
        D79="R-Flashing",
        XLOOKUP(CEILING(E79*1000,50),Material!I:I,Material!X:X),
        XLOOKUP(C79,Material!A:A,Material!E:E)
    ),
    ""
)</f>
        <v/>
      </c>
      <c r="V79" s="139"/>
      <c r="W79" s="140">
        <f t="shared" si="50"/>
        <v>0</v>
      </c>
      <c r="X79" s="159"/>
      <c r="Y79" s="5"/>
      <c r="Z79" s="5"/>
      <c r="AA79" s="5"/>
      <c r="AB79" s="354">
        <f t="shared" si="51"/>
        <v>4.104469109</v>
      </c>
      <c r="AC79" s="33"/>
      <c r="AD79" s="65"/>
      <c r="AE79" s="66"/>
      <c r="AF79" s="144"/>
      <c r="AG79" s="68"/>
      <c r="AH79" s="69"/>
      <c r="AI79" s="39"/>
      <c r="AJ79" s="70"/>
      <c r="AK79" s="70"/>
      <c r="AL79" s="5"/>
      <c r="AM79" s="5"/>
      <c r="AN79" s="5"/>
      <c r="AO79" s="5"/>
      <c r="AP79" s="5"/>
      <c r="AQ79" s="5"/>
      <c r="AR79" s="5"/>
      <c r="AS79" s="5"/>
      <c r="AT79" s="5"/>
      <c r="AU79" s="5"/>
      <c r="AV79" s="5"/>
      <c r="AW79" s="5"/>
      <c r="AX79" s="5"/>
      <c r="AY79" s="5"/>
      <c r="AZ79" s="5"/>
      <c r="BA79" s="5"/>
      <c r="BB79" s="5"/>
      <c r="BC79" s="5"/>
      <c r="BD79" s="5"/>
      <c r="BE79" s="5"/>
      <c r="BF79" s="5"/>
      <c r="BG79" s="5"/>
      <c r="BH79" s="5"/>
      <c r="BI79" s="260"/>
      <c r="BJ79" s="260"/>
      <c r="BK79" s="260"/>
      <c r="BL79" s="260"/>
      <c r="BM79" s="260"/>
      <c r="BN79" s="260"/>
      <c r="BO79" s="260"/>
      <c r="BP79" s="260"/>
      <c r="BQ79" s="260"/>
      <c r="BR79" s="260"/>
      <c r="BS79" s="260"/>
      <c r="BT79" s="260"/>
    </row>
    <row r="80">
      <c r="A80" s="1080"/>
      <c r="B80" s="160"/>
      <c r="C80" s="734" t="s">
        <v>100</v>
      </c>
      <c r="D80" s="124" t="s">
        <v>101</v>
      </c>
      <c r="E80" s="687">
        <f>E78</f>
        <v>0.38</v>
      </c>
      <c r="F80" s="1091"/>
      <c r="G80" s="127"/>
      <c r="H80" s="127" t="str">
        <f>IFERROR(__xludf.DUMMYFUNCTION("IFERROR(REGEXEXTRACT(C80, ""(\d*\.\d+)mm""), """")"),"")</f>
        <v/>
      </c>
      <c r="I80" s="127"/>
      <c r="J80" s="126" t="s">
        <v>87</v>
      </c>
      <c r="K80" s="126" t="str">
        <f t="array" ref="K80">iferror(if(OR(D80="R-Flashing",D80="W-Flashing"),"LM",XLOOKUP(C80,Material!$A:$A,Material!$C:$C)),"")</f>
        <v>ea</v>
      </c>
      <c r="L80" s="163"/>
      <c r="M80" s="150">
        <f>ROUNDUP(((M78/5.7)+1)*(E80/0.05),0)</f>
        <v>54</v>
      </c>
      <c r="N80" s="151">
        <f t="shared" si="52"/>
        <v>1.08012345</v>
      </c>
      <c r="O80" s="169">
        <v>1.0</v>
      </c>
      <c r="P80" s="134">
        <v>1.0</v>
      </c>
      <c r="Q80" s="168">
        <f t="shared" si="48"/>
        <v>58.32666629</v>
      </c>
      <c r="R80" s="136">
        <f t="array" ref="R80">IFERROR(
    IF(
        OR(D80="R-Flashing",D80="W-Flashing",D80="R-BG"),
        LET(
            StartRow,
            MATCH(
                I80&amp;"♦"&amp;H80,
                Material!$I:$I&amp;"♦"&amp;Material!$J:$J,
                0
            ),
            INDEX(
                Material!$J:$AF,
                StartRow+1+MATCH(
                    CEILING(E80*1000,50),
                    INDEX(Material!$I:$I,StartRow+2):INDEX(Material!$I:$I,StartRow+25),
                    0
                ),
                MATCH(
                    G80,
                    INDEX(Material!$I:$V,StartRow+1,0),
                    0
                )
            )
        ),
        XLOOKUP(C80,Material!$A:$A,Material!$D:$D)
    ),
"")</f>
        <v>0.09</v>
      </c>
      <c r="S80" s="152">
        <f t="shared" si="49"/>
        <v>5.249399966</v>
      </c>
      <c r="T80" s="138"/>
      <c r="U80" s="108" t="str">
        <f t="array" ref="U80">IFERROR(
    IF(
        D80="R-Flashing",
        XLOOKUP(CEILING(E80*1000,50),Material!I:I,Material!X:X),
        XLOOKUP(C80,Material!A:A,Material!E:E)
    ),
    ""
)</f>
        <v/>
      </c>
      <c r="V80" s="139"/>
      <c r="W80" s="140">
        <f t="shared" si="50"/>
        <v>0</v>
      </c>
      <c r="X80" s="159"/>
      <c r="Y80" s="5"/>
      <c r="Z80" s="5"/>
      <c r="AA80" s="5"/>
      <c r="AB80" s="354">
        <f t="shared" si="51"/>
        <v>5.249399966</v>
      </c>
      <c r="AC80" s="33"/>
      <c r="AD80" s="65"/>
      <c r="AE80" s="66"/>
      <c r="AF80" s="144"/>
      <c r="AG80" s="68"/>
      <c r="AH80" s="69"/>
      <c r="AI80" s="39"/>
      <c r="AJ80" s="70"/>
      <c r="AK80" s="70"/>
      <c r="AL80" s="5"/>
      <c r="AM80" s="5"/>
      <c r="AN80" s="5"/>
      <c r="AO80" s="5"/>
      <c r="AP80" s="5"/>
      <c r="AQ80" s="5"/>
      <c r="AR80" s="5"/>
      <c r="AS80" s="5"/>
      <c r="AT80" s="5"/>
      <c r="AU80" s="5"/>
      <c r="AV80" s="5"/>
      <c r="AW80" s="5"/>
      <c r="AX80" s="5"/>
      <c r="AY80" s="5"/>
      <c r="AZ80" s="5"/>
      <c r="BA80" s="5"/>
      <c r="BB80" s="5"/>
      <c r="BC80" s="5"/>
      <c r="BD80" s="5"/>
      <c r="BE80" s="5"/>
      <c r="BF80" s="5"/>
      <c r="BG80" s="5"/>
      <c r="BH80" s="5"/>
      <c r="BI80" s="260"/>
      <c r="BJ80" s="260"/>
      <c r="BK80" s="260"/>
      <c r="BL80" s="260"/>
      <c r="BM80" s="260"/>
      <c r="BN80" s="260"/>
      <c r="BO80" s="260"/>
      <c r="BP80" s="260"/>
      <c r="BQ80" s="260"/>
      <c r="BR80" s="260"/>
      <c r="BS80" s="260"/>
      <c r="BT80" s="260"/>
    </row>
    <row r="81">
      <c r="A81" s="1080"/>
      <c r="B81" s="160"/>
      <c r="C81" s="698" t="s">
        <v>631</v>
      </c>
      <c r="D81" s="124" t="s">
        <v>103</v>
      </c>
      <c r="E81" s="752"/>
      <c r="F81" s="1091"/>
      <c r="G81" s="129"/>
      <c r="H81" s="127"/>
      <c r="I81" s="127"/>
      <c r="J81" s="126" t="s">
        <v>87</v>
      </c>
      <c r="K81" s="126" t="str">
        <f t="array" ref="K81">iferror(if(OR(D81="R-Flashing",D81="W-Flashing"),"LM",XLOOKUP(C81,Material!$A:$A,Material!$C:$C)),"")</f>
        <v>ea</v>
      </c>
      <c r="L81" s="161"/>
      <c r="M81" s="150">
        <f>ROUNDUP(M78/0.6,0)+1</f>
        <v>58</v>
      </c>
      <c r="N81" s="151">
        <f t="shared" si="52"/>
        <v>1.08012345</v>
      </c>
      <c r="O81" s="169">
        <v>1.0</v>
      </c>
      <c r="P81" s="134">
        <v>2.0</v>
      </c>
      <c r="Q81" s="168">
        <f t="shared" si="48"/>
        <v>125.2943202</v>
      </c>
      <c r="R81" s="136">
        <f t="array" ref="R81">IFERROR(
    IF(
        OR(D81="R-Flashing",D81="W-Flashing",D81="R-BG"),
        LET(
            StartRow,
            MATCH(
                I81&amp;"♦"&amp;H81,
                Material!$I:$I&amp;"♦"&amp;Material!$J:$J,
                0
            ),
            INDEX(
                Material!$J:$AF,
                StartRow+1+MATCH(
                    CEILING(E81*1000,50),
                    INDEX(Material!$I:$I,StartRow+2):INDEX(Material!$I:$I,StartRow+25),
                    0
                ),
                MATCH(
                    G81,
                    INDEX(Material!$I:$V,StartRow+1,0),
                    0
                )
            )
        ),
        XLOOKUP(C81,Material!$A:$A,Material!$D:$D)
    ),
"")</f>
        <v>0.2</v>
      </c>
      <c r="S81" s="152">
        <f t="shared" si="49"/>
        <v>25.05886403</v>
      </c>
      <c r="T81" s="138"/>
      <c r="U81" s="108" t="str">
        <f t="array" ref="U81">IFERROR(
    IF(
        D81="R-Flashing",
        XLOOKUP(CEILING(E81*1000,50),Material!I:I,Material!X:X),
        XLOOKUP(C81,Material!A:A,Material!E:E)
    ),
    ""
)</f>
        <v/>
      </c>
      <c r="V81" s="139"/>
      <c r="W81" s="140">
        <f t="shared" si="50"/>
        <v>0</v>
      </c>
      <c r="X81" s="159"/>
      <c r="Y81" s="5"/>
      <c r="Z81" s="5"/>
      <c r="AA81" s="5"/>
      <c r="AB81" s="354">
        <f t="shared" si="51"/>
        <v>25.05886403</v>
      </c>
      <c r="AC81" s="33"/>
      <c r="AD81" s="65"/>
      <c r="AE81" s="66"/>
      <c r="AF81" s="144"/>
      <c r="AG81" s="68"/>
      <c r="AH81" s="69"/>
      <c r="AI81" s="39"/>
      <c r="AJ81" s="70"/>
      <c r="AK81" s="70"/>
      <c r="AL81" s="5"/>
      <c r="AM81" s="5"/>
      <c r="AN81" s="5"/>
      <c r="AO81" s="5"/>
      <c r="AP81" s="5"/>
      <c r="AQ81" s="5"/>
      <c r="AR81" s="5"/>
      <c r="AS81" s="5"/>
      <c r="AT81" s="5"/>
      <c r="AU81" s="5"/>
      <c r="AV81" s="5"/>
      <c r="AW81" s="5"/>
      <c r="AX81" s="5"/>
      <c r="AY81" s="5"/>
      <c r="AZ81" s="5"/>
      <c r="BA81" s="5"/>
      <c r="BB81" s="5"/>
      <c r="BC81" s="5"/>
      <c r="BD81" s="5"/>
      <c r="BE81" s="5"/>
      <c r="BF81" s="5"/>
      <c r="BG81" s="5"/>
      <c r="BH81" s="5"/>
      <c r="BI81" s="260"/>
      <c r="BJ81" s="260"/>
      <c r="BK81" s="260"/>
      <c r="BL81" s="260"/>
      <c r="BM81" s="260"/>
      <c r="BN81" s="260"/>
      <c r="BO81" s="260"/>
      <c r="BP81" s="260"/>
      <c r="BQ81" s="260"/>
      <c r="BR81" s="260"/>
      <c r="BS81" s="260"/>
      <c r="BT81" s="260"/>
    </row>
    <row r="82">
      <c r="A82" s="1080"/>
      <c r="B82" s="160"/>
      <c r="C82" s="757"/>
      <c r="D82" s="129"/>
      <c r="E82" s="752"/>
      <c r="F82" s="1091"/>
      <c r="G82" s="129"/>
      <c r="H82" s="127"/>
      <c r="I82" s="127"/>
      <c r="J82" s="129"/>
      <c r="K82" s="126" t="str">
        <f t="array" ref="K82">iferror(if(OR(D82="R-Flashing",D82="W-Flashing"),"LM",XLOOKUP(C82,Material!$A:$A,Material!$C:$C)),"")</f>
        <v/>
      </c>
      <c r="L82" s="161"/>
      <c r="M82" s="163"/>
      <c r="N82" s="162" t="str">
        <f t="shared" si="52"/>
        <v/>
      </c>
      <c r="O82" s="161"/>
      <c r="P82" s="127"/>
      <c r="Q82" s="161"/>
      <c r="R82" s="136" t="str">
        <f t="array" ref="R82">IFERROR(
    IF(
        OR(D82="R-Flashing",D82="W-Flashing",D82="R-BG"),
        LET(
            StartRow,
            MATCH(
                I82&amp;"♦"&amp;H82,
                Material!$I:$I&amp;"♦"&amp;Material!$J:$J,
                0
            ),
            INDEX(
                Material!$J:$AF,
                StartRow+1+MATCH(
                    CEILING(E82*1000,50),
                    INDEX(Material!$I:$I,StartRow+2):INDEX(Material!$I:$I,StartRow+25),
                    0
                ),
                MATCH(
                    G82,
                    INDEX(Material!$I:$V,StartRow+1,0),
                    0
                )
            )
        ),
        XLOOKUP(C82,Material!$A:$A,Material!$D:$D)
    ),
"")</f>
        <v/>
      </c>
      <c r="S82" s="139"/>
      <c r="T82" s="138"/>
      <c r="U82" s="108" t="str">
        <f t="array" ref="U82">IFERROR(
    IF(
        D82="R-Flashing",
        XLOOKUP(CEILING(E82*1000,50),Material!I:I,Material!X:X),
        XLOOKUP(C82,Material!A:A,Material!E:E)
    ),
    ""
)</f>
        <v/>
      </c>
      <c r="V82" s="139"/>
      <c r="W82" s="164"/>
      <c r="X82" s="159"/>
      <c r="Y82" s="5"/>
      <c r="Z82" s="5"/>
      <c r="AA82" s="5"/>
      <c r="AB82" s="5"/>
      <c r="AC82" s="33"/>
      <c r="AD82" s="65"/>
      <c r="AE82" s="66"/>
      <c r="AF82" s="144"/>
      <c r="AG82" s="68"/>
      <c r="AH82" s="69"/>
      <c r="AI82" s="39"/>
      <c r="AJ82" s="70"/>
      <c r="AK82" s="70"/>
      <c r="AL82" s="5"/>
      <c r="AM82" s="5"/>
      <c r="AN82" s="5"/>
      <c r="AO82" s="5"/>
      <c r="AP82" s="5"/>
      <c r="AQ82" s="5"/>
      <c r="AR82" s="5"/>
      <c r="AS82" s="5"/>
      <c r="AT82" s="5"/>
      <c r="AU82" s="5"/>
      <c r="AV82" s="5"/>
      <c r="AW82" s="5"/>
      <c r="AX82" s="5"/>
      <c r="AY82" s="5"/>
      <c r="AZ82" s="5"/>
      <c r="BA82" s="5"/>
      <c r="BB82" s="5"/>
      <c r="BC82" s="5"/>
      <c r="BD82" s="5"/>
      <c r="BE82" s="5"/>
      <c r="BF82" s="5"/>
      <c r="BG82" s="5"/>
      <c r="BH82" s="5"/>
      <c r="BI82" s="260"/>
      <c r="BJ82" s="260"/>
      <c r="BK82" s="260"/>
      <c r="BL82" s="260"/>
      <c r="BM82" s="260"/>
      <c r="BN82" s="260"/>
      <c r="BO82" s="260"/>
      <c r="BP82" s="260"/>
      <c r="BQ82" s="260"/>
      <c r="BR82" s="260"/>
      <c r="BS82" s="260"/>
      <c r="BT82" s="260"/>
    </row>
    <row r="83">
      <c r="A83" s="1080">
        <v>1.0</v>
      </c>
      <c r="B83" s="102"/>
      <c r="C83" s="103" t="s">
        <v>646</v>
      </c>
      <c r="D83" s="104"/>
      <c r="E83" s="749"/>
      <c r="F83" s="1089"/>
      <c r="G83" s="104"/>
      <c r="H83" s="104"/>
      <c r="I83" s="104"/>
      <c r="J83" s="104"/>
      <c r="K83" s="104" t="s">
        <v>42</v>
      </c>
      <c r="L83" s="106">
        <f>Q83</f>
        <v>52.4</v>
      </c>
      <c r="M83" s="105" t="s">
        <v>42</v>
      </c>
      <c r="N83" s="107"/>
      <c r="O83" s="105"/>
      <c r="P83" s="104"/>
      <c r="Q83" s="106">
        <f>Q84</f>
        <v>52.4</v>
      </c>
      <c r="R83" s="136" t="str">
        <f t="array" ref="R83">IFERROR(
    IF(
        OR(D83="R-Flashing",D83="W-Flashing",D83="R-BG"),
        LET(
            StartRow,
            MATCH(
                I83&amp;"♦"&amp;H83,
                Material!$I:$I&amp;"♦"&amp;Material!$J:$J,
                0
            ),
            INDEX(
                Material!$J:$AF,
                StartRow+1+MATCH(
                    CEILING(E83*1000,50),
                    INDEX(Material!$I:$I,StartRow+2):INDEX(Material!$I:$I,StartRow+25),
                    0
                ),
                MATCH(
                    G83,
                    INDEX(Material!$I:$V,StartRow+1,0),
                    0
                )
            )
        ),
        XLOOKUP(C83,Material!$A:$A,Material!$D:$D)
    ),
"")</f>
        <v/>
      </c>
      <c r="S83" s="682">
        <f>IFERROR(T83/Q83, 0)</f>
        <v>14.88865458</v>
      </c>
      <c r="T83" s="109">
        <f>SUM(S84:S88)</f>
        <v>780.1655</v>
      </c>
      <c r="U83" s="1082" t="str">
        <f t="array" ref="U83">IFERROR(
    IF(
        D83="R-Flashing",
        XLOOKUP(CEILING(E83*1000,50),Material!I:I,Material!X:X),
        XLOOKUP(C83,Material!A:A,Material!E:E)
    ),
    ""
)</f>
        <v/>
      </c>
      <c r="V83" s="109">
        <f>W83/Q83</f>
        <v>10</v>
      </c>
      <c r="W83" s="110">
        <f>SUM(W84:W88)</f>
        <v>524</v>
      </c>
      <c r="X83" s="111">
        <f>W83/$AC$210/$W$217/$X$207</f>
        <v>0.3559782609</v>
      </c>
      <c r="Y83" s="112" t="b">
        <f>(T83+W83)=(SUM(AB84:AB88))</f>
        <v>1</v>
      </c>
      <c r="Z83" s="113">
        <f>(T83+W83)-(SUM(AB84:AB88))</f>
        <v>0</v>
      </c>
      <c r="AA83" s="5"/>
      <c r="AB83" s="5"/>
      <c r="AC83" s="33"/>
      <c r="AD83" s="114">
        <f>W83+T83</f>
        <v>1304.1655</v>
      </c>
      <c r="AE83" s="115">
        <f>AD83</f>
        <v>1304.1655</v>
      </c>
      <c r="AF83" s="116">
        <f>AE83/$AE$185</f>
        <v>0.01826961721</v>
      </c>
      <c r="AG83" s="683">
        <f>AF83*$AG$192</f>
        <v>498.8762137</v>
      </c>
      <c r="AH83" s="118">
        <f>AF83*$AG$195</f>
        <v>290.9006879</v>
      </c>
      <c r="AI83" s="187"/>
      <c r="AJ83" s="119">
        <f>ROUND(AK83/L83,2)</f>
        <v>39.96</v>
      </c>
      <c r="AK83" s="119">
        <f>ROUND(AH83+AG83+AD83,2)</f>
        <v>2093.94</v>
      </c>
      <c r="AL83" s="5"/>
      <c r="AM83" s="5"/>
      <c r="AN83" s="5"/>
      <c r="AO83" s="5"/>
      <c r="AP83" s="5"/>
      <c r="AQ83" s="5"/>
      <c r="AR83" s="5"/>
      <c r="AS83" s="5"/>
      <c r="AT83" s="5"/>
      <c r="AU83" s="5"/>
      <c r="AV83" s="5"/>
      <c r="AW83" s="5"/>
      <c r="AX83" s="5"/>
      <c r="AY83" s="5"/>
      <c r="AZ83" s="5"/>
      <c r="BA83" s="5"/>
      <c r="BB83" s="5"/>
      <c r="BC83" s="5"/>
      <c r="BD83" s="5"/>
      <c r="BE83" s="5"/>
      <c r="BF83" s="5"/>
      <c r="BG83" s="5"/>
      <c r="BH83" s="5"/>
      <c r="BI83" s="260"/>
      <c r="BJ83" s="260"/>
      <c r="BK83" s="260"/>
      <c r="BL83" s="260"/>
      <c r="BM83" s="260"/>
      <c r="BN83" s="260"/>
      <c r="BO83" s="260"/>
      <c r="BP83" s="260"/>
      <c r="BQ83" s="260"/>
      <c r="BR83" s="260"/>
      <c r="BS83" s="260"/>
      <c r="BT83" s="260"/>
    </row>
    <row r="84">
      <c r="A84" s="1080" t="s">
        <v>444</v>
      </c>
      <c r="B84" s="154"/>
      <c r="C84" s="123" t="s">
        <v>647</v>
      </c>
      <c r="D84" s="124" t="s">
        <v>96</v>
      </c>
      <c r="E84" s="687">
        <f>VALUE(MID(C84, FIND("(", C84)+1, FIND("/", C84)-FIND("(", C84)-1)) / 1000</f>
        <v>0.21</v>
      </c>
      <c r="F84" s="1091"/>
      <c r="G84" s="128">
        <f>VALUE(MID(C84,FIND("/",C84)+1,FIND("B",C84,FIND("/",C84))-FIND("/",C84)-1))</f>
        <v>1</v>
      </c>
      <c r="H84" s="128" t="str">
        <f>IFERROR(__xludf.DUMMYFUNCTION("IFERROR(REGEXEXTRACT(C84,""(\d*\.?\d+)\s*bmt""),IFERROR(REGEXEXTRACT(C84,""(\d*\.?\d+)\s*mm""),""""))"),"0.55")</f>
        <v>0.55</v>
      </c>
      <c r="I84" s="125" t="s">
        <v>630</v>
      </c>
      <c r="J84" s="126" t="s">
        <v>14</v>
      </c>
      <c r="K84" s="126" t="str">
        <f t="array" ref="K84">iferror(if(OR(D84="R-Flashing",D84="W-Flashing"),"LM",XLOOKUP(C84,Material!$A:$A,Material!$C:$C)),"")</f>
        <v>LM</v>
      </c>
      <c r="L84" s="163"/>
      <c r="M84" s="730">
        <v>52.4</v>
      </c>
      <c r="N84" s="151">
        <f>IFERROR(__xludf.DUMMYFUNCTION("IF(
  AND(
    IFERROR(REGEXEXTRACT(C84,""@\s*(\d+(?:\.\d+)?)\s*deg""),"""")&lt;&gt;"""",
    F84&lt;&gt;""""
  ),
  ""Pls Confirm °"",
  IF(
    IFERROR(REGEXEXTRACT(C84,""@\s*(\d+(?:\.\d+)?)\s*deg""),"""")&lt;&gt;"""",
    1/COS(RADIANS(REGEXEXTRACT(C84,""@\s*(\d+(?:\.\d"&amp;"+)?)\s*deg""))),
    IF(
      F84&lt;&gt;"""",
      IF(
        ISNUMBER(SEARCH(""|"",F84)),
        1/COS(
          ATAN(
            TAN(RADIANS(VALUE(INDEX(SPLIT(F84,""|""),1)))) *
            TAN(RADIANS(VALUE(INDEX(SPLIT(F84,""|""),2))))
            /
 "&amp;"           SQRT(
              TAN(RADIANS(VALUE(INDEX(SPLIT(F84,""|""),1))))^2 +
              TAN(RADIANS(VALUE(INDEX(SPLIT(F84,""|""),2))))^2
            )
          )
        ),
        1/COS(RADIANS(VALUE(F84)))
      ),
      1
    )
  )
)"),1.0)</f>
        <v>1</v>
      </c>
      <c r="O84" s="169">
        <v>1.0</v>
      </c>
      <c r="P84" s="134">
        <v>1.0</v>
      </c>
      <c r="Q84" s="168">
        <f t="shared" ref="Q84:Q87" si="53">M84*N84*O84*P84</f>
        <v>52.4</v>
      </c>
      <c r="R84" s="136">
        <f t="array" ref="R84">IFERROR(
    IF(
        OR(D84="R-Flashing",D84="W-Flashing",D84="R-BG"),
        LET(
            StartRow,
            MATCH(
                I84&amp;"♦"&amp;H84,
                Material!$I:$I&amp;"♦"&amp;Material!$J:$J,
                0
            ),
            INDEX(
                Material!$J:$AF,
                StartRow+1+MATCH(
                    CEILING(E84*1000,50),
                    INDEX(Material!$I:$I,StartRow+2):INDEX(Material!$I:$I,StartRow+25),
                    0
                ),
                MATCH(
                    G84,
                    INDEX(Material!$I:$V,StartRow+1,0),
                    0
                )
            )
        ),
        XLOOKUP(C84,Material!$A:$A,Material!$D:$D)
    ),
"")</f>
        <v>14.42</v>
      </c>
      <c r="S84" s="152">
        <f t="shared" ref="S84:S87" si="54">R84*Q84</f>
        <v>755.608</v>
      </c>
      <c r="T84" s="138"/>
      <c r="U84" s="1082">
        <f t="array" ref="U84">IFERROR(
    IF(
        D84="R-Flashing",
        XLOOKUP(CEILING(E84*1000,50),Material!I:I,Material!X:X),
        XLOOKUP(C84,Material!A:A,Material!E:E)
    ),
    ""
)</f>
        <v>10</v>
      </c>
      <c r="V84" s="139"/>
      <c r="W84" s="140">
        <f t="shared" ref="W84:W87" si="55">U84*Q84</f>
        <v>524</v>
      </c>
      <c r="X84" s="159"/>
      <c r="Y84" s="165"/>
      <c r="Z84" s="1090"/>
      <c r="AA84" s="5"/>
      <c r="AB84" s="354">
        <f t="shared" ref="AB84:AB88" si="56">W84+S84</f>
        <v>1279.608</v>
      </c>
      <c r="AC84" s="33"/>
      <c r="AD84" s="65"/>
      <c r="AE84" s="66"/>
      <c r="AF84" s="144"/>
      <c r="AG84" s="68"/>
      <c r="AH84" s="69"/>
      <c r="AI84" s="39"/>
      <c r="AJ84" s="70"/>
      <c r="AK84" s="70"/>
      <c r="AL84" s="5"/>
      <c r="AM84" s="5"/>
      <c r="AN84" s="5"/>
      <c r="AO84" s="5"/>
      <c r="AP84" s="5"/>
      <c r="AQ84" s="5"/>
      <c r="AR84" s="5"/>
      <c r="AS84" s="5"/>
      <c r="AT84" s="5"/>
      <c r="AU84" s="5"/>
      <c r="AV84" s="5"/>
      <c r="AW84" s="5"/>
      <c r="AX84" s="5"/>
      <c r="AY84" s="5"/>
      <c r="AZ84" s="5"/>
      <c r="BA84" s="5"/>
      <c r="BB84" s="5"/>
      <c r="BC84" s="5"/>
      <c r="BD84" s="5"/>
      <c r="BE84" s="5"/>
      <c r="BF84" s="5"/>
      <c r="BG84" s="5"/>
      <c r="BH84" s="5"/>
      <c r="BI84" s="260"/>
      <c r="BJ84" s="260"/>
      <c r="BK84" s="260"/>
      <c r="BL84" s="260"/>
      <c r="BM84" s="260"/>
      <c r="BN84" s="260"/>
      <c r="BO84" s="260"/>
      <c r="BP84" s="260"/>
      <c r="BQ84" s="260"/>
      <c r="BR84" s="260"/>
      <c r="BS84" s="260"/>
      <c r="BT84" s="260"/>
    </row>
    <row r="85">
      <c r="A85" s="1080"/>
      <c r="B85" s="154"/>
      <c r="C85" s="225" t="s">
        <v>98</v>
      </c>
      <c r="D85" s="124" t="s">
        <v>99</v>
      </c>
      <c r="E85" s="687">
        <f>E84</f>
        <v>0.21</v>
      </c>
      <c r="F85" s="1093" t="str">
        <f>IFERROR(__xludf.DUMMYFUNCTION("iferror(ROUND(
  DEGREES(
    ATAN(
      TAN(RADIANS(VALUE(INDEX(SPLIT(F84,""|""),1)))) *
      TAN(RADIANS(VALUE(INDEX(SPLIT(F84,""|""),2))))
      /
      SQRT(
        TAN(RADIANS(VALUE(INDEX(SPLIT(F84,""|""),1))))^2 +
        TAN(RADIANS(VALUE(INDEX("&amp;"SPLIT(F84,""|""),2))))^2
      )
    )
  ),
  2
))"),"")</f>
        <v/>
      </c>
      <c r="G85" s="127"/>
      <c r="H85" s="127" t="str">
        <f>IFERROR(__xludf.DUMMYFUNCTION("IFERROR(REGEXEXTRACT(C85, ""(\d*\.\d+)mm""), """")"),"")</f>
        <v/>
      </c>
      <c r="I85" s="127"/>
      <c r="J85" s="126" t="s">
        <v>87</v>
      </c>
      <c r="K85" s="126" t="str">
        <f t="array" ref="K85">iferror(if(OR(D85="R-Flashing",D85="W-Flashing"),"LM",XLOOKUP(C85,Material!$A:$A,Material!$C:$C)),"")</f>
        <v>ea</v>
      </c>
      <c r="L85" s="163"/>
      <c r="M85" s="150">
        <f>(ROUNDDOWN((M84/5.7)+2,0)*E85)/8</f>
        <v>0.28875</v>
      </c>
      <c r="N85" s="151">
        <f t="shared" ref="N85:N88" si="57">if(C85="","",(if(N84="",N83,N84)))</f>
        <v>1</v>
      </c>
      <c r="O85" s="169">
        <v>1.0</v>
      </c>
      <c r="P85" s="134">
        <v>1.0</v>
      </c>
      <c r="Q85" s="168">
        <f t="shared" si="53"/>
        <v>0.28875</v>
      </c>
      <c r="R85" s="136">
        <f t="array" ref="R85">IFERROR(
    IF(
        OR(D85="R-Flashing",D85="W-Flashing",D85="R-BG"),
        LET(
            StartRow,
            MATCH(
                I85&amp;"♦"&amp;H85,
                Material!$I:$I&amp;"♦"&amp;Material!$J:$J,
                0
            ),
            INDEX(
                Material!$J:$AF,
                StartRow+1+MATCH(
                    CEILING(E85*1000,50),
                    INDEX(Material!$I:$I,StartRow+2):INDEX(Material!$I:$I,StartRow+25),
                    0
                ),
                MATCH(
                    G85,
                    INDEX(Material!$I:$V,StartRow+1,0),
                    0
                )
            )
        ),
        XLOOKUP(C85,Material!$A:$A,Material!$D:$D)
    ),
"")</f>
        <v>10</v>
      </c>
      <c r="S85" s="152">
        <f t="shared" si="54"/>
        <v>2.8875</v>
      </c>
      <c r="T85" s="138"/>
      <c r="U85" s="1082" t="str">
        <f t="array" ref="U85">IFERROR(
    IF(
        D85="R-Flashing",
        XLOOKUP(CEILING(E85*1000,50),Material!I:I,Material!X:X),
        XLOOKUP(C85,Material!A:A,Material!E:E)
    ),
    ""
)</f>
        <v/>
      </c>
      <c r="V85" s="139"/>
      <c r="W85" s="140">
        <f t="shared" si="55"/>
        <v>0</v>
      </c>
      <c r="X85" s="159"/>
      <c r="Y85" s="5"/>
      <c r="Z85" s="5"/>
      <c r="AA85" s="5"/>
      <c r="AB85" s="354">
        <f t="shared" si="56"/>
        <v>2.8875</v>
      </c>
      <c r="AC85" s="33"/>
      <c r="AD85" s="65"/>
      <c r="AE85" s="66"/>
      <c r="AF85" s="144"/>
      <c r="AG85" s="68"/>
      <c r="AH85" s="69"/>
      <c r="AI85" s="39"/>
      <c r="AJ85" s="70"/>
      <c r="AK85" s="70"/>
      <c r="AL85" s="5"/>
      <c r="AM85" s="5"/>
      <c r="AN85" s="5"/>
      <c r="AO85" s="5"/>
      <c r="AP85" s="5"/>
      <c r="AQ85" s="5"/>
      <c r="AR85" s="5"/>
      <c r="AS85" s="5"/>
      <c r="AT85" s="5"/>
      <c r="AU85" s="5"/>
      <c r="AV85" s="5"/>
      <c r="AW85" s="5"/>
      <c r="AX85" s="5"/>
      <c r="AY85" s="5"/>
      <c r="AZ85" s="5"/>
      <c r="BA85" s="5"/>
      <c r="BB85" s="5"/>
      <c r="BC85" s="5"/>
      <c r="BD85" s="5"/>
      <c r="BE85" s="5"/>
      <c r="BF85" s="5"/>
      <c r="BG85" s="5"/>
      <c r="BH85" s="5"/>
      <c r="BI85" s="260"/>
      <c r="BJ85" s="260"/>
      <c r="BK85" s="260"/>
      <c r="BL85" s="260"/>
      <c r="BM85" s="260"/>
      <c r="BN85" s="260"/>
      <c r="BO85" s="260"/>
      <c r="BP85" s="260"/>
      <c r="BQ85" s="260"/>
      <c r="BR85" s="260"/>
      <c r="BS85" s="260"/>
      <c r="BT85" s="260"/>
    </row>
    <row r="86">
      <c r="A86" s="1080"/>
      <c r="B86" s="154"/>
      <c r="C86" s="225" t="s">
        <v>100</v>
      </c>
      <c r="D86" s="124" t="s">
        <v>101</v>
      </c>
      <c r="E86" s="687">
        <f>E84</f>
        <v>0.21</v>
      </c>
      <c r="F86" s="1093"/>
      <c r="G86" s="127"/>
      <c r="H86" s="127" t="str">
        <f>IFERROR(__xludf.DUMMYFUNCTION("IFERROR(REGEXEXTRACT(C86, ""(\d*\.\d+)mm""), """")"),"")</f>
        <v/>
      </c>
      <c r="I86" s="127"/>
      <c r="J86" s="126" t="s">
        <v>87</v>
      </c>
      <c r="K86" s="126" t="str">
        <f t="array" ref="K86">iferror(if(OR(D86="R-Flashing",D86="W-Flashing"),"LM",XLOOKUP(C86,Material!$A:$A,Material!$C:$C)),"")</f>
        <v>ea</v>
      </c>
      <c r="L86" s="163"/>
      <c r="M86" s="150">
        <f>ROUNDUP(((M84/5.7)+1)*(E86/0.05),0)</f>
        <v>43</v>
      </c>
      <c r="N86" s="151">
        <f t="shared" si="57"/>
        <v>1</v>
      </c>
      <c r="O86" s="169">
        <v>1.0</v>
      </c>
      <c r="P86" s="134">
        <v>1.0</v>
      </c>
      <c r="Q86" s="168">
        <f t="shared" si="53"/>
        <v>43</v>
      </c>
      <c r="R86" s="136">
        <f t="array" ref="R86">IFERROR(
    IF(
        OR(D86="R-Flashing",D86="W-Flashing",D86="R-BG"),
        LET(
            StartRow,
            MATCH(
                I86&amp;"♦"&amp;H86,
                Material!$I:$I&amp;"♦"&amp;Material!$J:$J,
                0
            ),
            INDEX(
                Material!$J:$AF,
                StartRow+1+MATCH(
                    CEILING(E86*1000,50),
                    INDEX(Material!$I:$I,StartRow+2):INDEX(Material!$I:$I,StartRow+25),
                    0
                ),
                MATCH(
                    G86,
                    INDEX(Material!$I:$V,StartRow+1,0),
                    0
                )
            )
        ),
        XLOOKUP(C86,Material!$A:$A,Material!$D:$D)
    ),
"")</f>
        <v>0.09</v>
      </c>
      <c r="S86" s="152">
        <f t="shared" si="54"/>
        <v>3.87</v>
      </c>
      <c r="T86" s="138"/>
      <c r="U86" s="1082" t="str">
        <f t="array" ref="U86">IFERROR(
    IF(
        D86="R-Flashing",
        XLOOKUP(CEILING(E86*1000,50),Material!I:I,Material!X:X),
        XLOOKUP(C86,Material!A:A,Material!E:E)
    ),
    ""
)</f>
        <v/>
      </c>
      <c r="V86" s="139"/>
      <c r="W86" s="140">
        <f t="shared" si="55"/>
        <v>0</v>
      </c>
      <c r="X86" s="159"/>
      <c r="Y86" s="5"/>
      <c r="Z86" s="5"/>
      <c r="AA86" s="5"/>
      <c r="AB86" s="354">
        <f t="shared" si="56"/>
        <v>3.87</v>
      </c>
      <c r="AC86" s="33"/>
      <c r="AD86" s="65"/>
      <c r="AE86" s="66"/>
      <c r="AF86" s="144"/>
      <c r="AG86" s="68"/>
      <c r="AH86" s="69"/>
      <c r="AI86" s="39"/>
      <c r="AJ86" s="70"/>
      <c r="AK86" s="70"/>
      <c r="AL86" s="5"/>
      <c r="AM86" s="5"/>
      <c r="AN86" s="5"/>
      <c r="AO86" s="5"/>
      <c r="AP86" s="5"/>
      <c r="AQ86" s="5"/>
      <c r="AR86" s="5"/>
      <c r="AS86" s="5"/>
      <c r="AT86" s="5"/>
      <c r="AU86" s="5"/>
      <c r="AV86" s="5"/>
      <c r="AW86" s="5"/>
      <c r="AX86" s="5"/>
      <c r="AY86" s="5"/>
      <c r="AZ86" s="5"/>
      <c r="BA86" s="5"/>
      <c r="BB86" s="5"/>
      <c r="BC86" s="5"/>
      <c r="BD86" s="5"/>
      <c r="BE86" s="5"/>
      <c r="BF86" s="5"/>
      <c r="BG86" s="5"/>
      <c r="BH86" s="5"/>
      <c r="BI86" s="260"/>
      <c r="BJ86" s="260"/>
      <c r="BK86" s="260"/>
      <c r="BL86" s="260"/>
      <c r="BM86" s="260"/>
      <c r="BN86" s="260"/>
      <c r="BO86" s="260"/>
      <c r="BP86" s="260"/>
      <c r="BQ86" s="260"/>
      <c r="BR86" s="260"/>
      <c r="BS86" s="260"/>
      <c r="BT86" s="260"/>
    </row>
    <row r="87">
      <c r="A87" s="1080"/>
      <c r="B87" s="154"/>
      <c r="C87" s="123" t="s">
        <v>631</v>
      </c>
      <c r="D87" s="124" t="s">
        <v>103</v>
      </c>
      <c r="E87" s="752"/>
      <c r="F87" s="1093"/>
      <c r="G87" s="129"/>
      <c r="H87" s="127"/>
      <c r="I87" s="127"/>
      <c r="J87" s="126" t="s">
        <v>87</v>
      </c>
      <c r="K87" s="126" t="str">
        <f t="array" ref="K87">iferror(if(OR(D87="R-Flashing",D87="W-Flashing"),"LM",XLOOKUP(C87,Material!$A:$A,Material!$C:$C)),"")</f>
        <v>ea</v>
      </c>
      <c r="L87" s="161"/>
      <c r="M87" s="150">
        <f>ROUNDUP(M84/0.6,0)+1</f>
        <v>89</v>
      </c>
      <c r="N87" s="151">
        <f t="shared" si="57"/>
        <v>1</v>
      </c>
      <c r="O87" s="169">
        <v>1.0</v>
      </c>
      <c r="P87" s="156">
        <v>1.0</v>
      </c>
      <c r="Q87" s="168">
        <f t="shared" si="53"/>
        <v>89</v>
      </c>
      <c r="R87" s="136">
        <f t="array" ref="R87">IFERROR(
    IF(
        OR(D87="R-Flashing",D87="W-Flashing",D87="R-BG"),
        LET(
            StartRow,
            MATCH(
                I87&amp;"♦"&amp;H87,
                Material!$I:$I&amp;"♦"&amp;Material!$J:$J,
                0
            ),
            INDEX(
                Material!$J:$AF,
                StartRow+1+MATCH(
                    CEILING(E87*1000,50),
                    INDEX(Material!$I:$I,StartRow+2):INDEX(Material!$I:$I,StartRow+25),
                    0
                ),
                MATCH(
                    G87,
                    INDEX(Material!$I:$V,StartRow+1,0),
                    0
                )
            )
        ),
        XLOOKUP(C87,Material!$A:$A,Material!$D:$D)
    ),
"")</f>
        <v>0.2</v>
      </c>
      <c r="S87" s="152">
        <f t="shared" si="54"/>
        <v>17.8</v>
      </c>
      <c r="T87" s="138"/>
      <c r="U87" s="1082" t="str">
        <f t="array" ref="U87">IFERROR(
    IF(
        D87="R-Flashing",
        XLOOKUP(CEILING(E87*1000,50),Material!I:I,Material!X:X),
        XLOOKUP(C87,Material!A:A,Material!E:E)
    ),
    ""
)</f>
        <v/>
      </c>
      <c r="V87" s="139"/>
      <c r="W87" s="140">
        <f t="shared" si="55"/>
        <v>0</v>
      </c>
      <c r="X87" s="159"/>
      <c r="Y87" s="5"/>
      <c r="Z87" s="5"/>
      <c r="AA87" s="5"/>
      <c r="AB87" s="354">
        <f t="shared" si="56"/>
        <v>17.8</v>
      </c>
      <c r="AC87" s="33"/>
      <c r="AD87" s="65"/>
      <c r="AE87" s="66"/>
      <c r="AF87" s="144"/>
      <c r="AG87" s="68"/>
      <c r="AH87" s="69"/>
      <c r="AI87" s="39"/>
      <c r="AJ87" s="70"/>
      <c r="AK87" s="70"/>
      <c r="AL87" s="5"/>
      <c r="AM87" s="5"/>
      <c r="AN87" s="5"/>
      <c r="AO87" s="5"/>
      <c r="AP87" s="5"/>
      <c r="AQ87" s="5"/>
      <c r="AR87" s="5"/>
      <c r="AS87" s="5"/>
      <c r="AT87" s="5"/>
      <c r="AU87" s="5"/>
      <c r="AV87" s="5"/>
      <c r="AW87" s="5"/>
      <c r="AX87" s="5"/>
      <c r="AY87" s="5"/>
      <c r="AZ87" s="5"/>
      <c r="BA87" s="5"/>
      <c r="BB87" s="5"/>
      <c r="BC87" s="5"/>
      <c r="BD87" s="5"/>
      <c r="BE87" s="5"/>
      <c r="BF87" s="5"/>
      <c r="BG87" s="5"/>
      <c r="BH87" s="5"/>
      <c r="BI87" s="260"/>
      <c r="BJ87" s="260"/>
      <c r="BK87" s="260"/>
      <c r="BL87" s="260"/>
      <c r="BM87" s="260"/>
      <c r="BN87" s="260"/>
      <c r="BO87" s="260"/>
      <c r="BP87" s="260"/>
      <c r="BQ87" s="260"/>
      <c r="BR87" s="260"/>
      <c r="BS87" s="260"/>
      <c r="BT87" s="260"/>
    </row>
    <row r="88">
      <c r="A88" s="1080"/>
      <c r="B88" s="154"/>
      <c r="C88" s="700"/>
      <c r="D88" s="701"/>
      <c r="E88" s="722"/>
      <c r="F88" s="1088"/>
      <c r="G88" s="701"/>
      <c r="H88" s="128"/>
      <c r="I88" s="700"/>
      <c r="J88" s="701"/>
      <c r="K88" s="126" t="str">
        <f t="array" ref="K88">iferror(if(OR(D88="R-Flashing",D88="W-Flashing"),"LM",XLOOKUP(C88,Material!$A:$A,Material!$C:$C)),"")</f>
        <v/>
      </c>
      <c r="L88" s="712"/>
      <c r="M88" s="704"/>
      <c r="N88" s="151" t="str">
        <f t="shared" si="57"/>
        <v/>
      </c>
      <c r="O88" s="712"/>
      <c r="P88" s="700"/>
      <c r="Q88" s="712"/>
      <c r="R88" s="136" t="str">
        <f t="array" ref="R88">IFERROR(
    IF(
        OR(D88="R-Flashing",D88="W-Flashing",D88="R-BG"),
        LET(
            StartRow,
            MATCH(
                I88&amp;"♦"&amp;H88,
                Material!$I:$I&amp;"♦"&amp;Material!$J:$J,
                0
            ),
            INDEX(
                Material!$J:$AF,
                StartRow+1+MATCH(
                    CEILING(E88*1000,50),
                    INDEX(Material!$I:$I,StartRow+2):INDEX(Material!$I:$I,StartRow+25),
                    0
                ),
                MATCH(
                    G88,
                    INDEX(Material!$I:$V,StartRow+1,0),
                    0
                )
            )
        ),
        XLOOKUP(C88,Material!$A:$A,Material!$D:$D)
    ),
"")</f>
        <v/>
      </c>
      <c r="S88" s="691"/>
      <c r="T88" s="690"/>
      <c r="U88" s="1082" t="str">
        <f t="array" ref="U88">IFERROR(
    IF(
        D88="R-Flashing",
        XLOOKUP(CEILING(E88*1000,50),Material!I:I,Material!X:X),
        XLOOKUP(C88,Material!A:A,Material!E:E)
    ),
    ""
)</f>
        <v/>
      </c>
      <c r="V88" s="691"/>
      <c r="W88" s="713"/>
      <c r="X88" s="692"/>
      <c r="Y88" s="595"/>
      <c r="Z88" s="595"/>
      <c r="AA88" s="595"/>
      <c r="AB88" s="354">
        <f t="shared" si="56"/>
        <v>0</v>
      </c>
      <c r="AC88" s="181"/>
      <c r="AD88" s="625"/>
      <c r="AE88" s="626"/>
      <c r="AF88" s="696"/>
      <c r="AG88" s="697"/>
      <c r="AH88" s="629"/>
      <c r="AI88" s="187"/>
      <c r="AJ88" s="630"/>
      <c r="AK88" s="630"/>
      <c r="AL88" s="595"/>
      <c r="AM88" s="595"/>
      <c r="AN88" s="595"/>
      <c r="AO88" s="595"/>
      <c r="AP88" s="595"/>
      <c r="AQ88" s="595"/>
      <c r="AR88" s="595"/>
      <c r="AS88" s="595"/>
      <c r="AT88" s="595"/>
      <c r="AU88" s="595"/>
      <c r="AV88" s="595"/>
      <c r="AW88" s="595"/>
      <c r="AX88" s="595"/>
      <c r="AY88" s="595"/>
      <c r="AZ88" s="595"/>
      <c r="BA88" s="595"/>
      <c r="BB88" s="595"/>
      <c r="BC88" s="595"/>
      <c r="BD88" s="595"/>
      <c r="BE88" s="595"/>
      <c r="BF88" s="595"/>
      <c r="BG88" s="595"/>
      <c r="BH88" s="595"/>
      <c r="BI88" s="651"/>
      <c r="BJ88" s="651"/>
      <c r="BK88" s="651"/>
      <c r="BL88" s="651"/>
      <c r="BM88" s="651"/>
      <c r="BN88" s="651"/>
      <c r="BO88" s="651"/>
      <c r="BP88" s="651"/>
      <c r="BQ88" s="651"/>
      <c r="BR88" s="651"/>
      <c r="BS88" s="651"/>
      <c r="BT88" s="651"/>
    </row>
    <row r="89">
      <c r="A89" s="1080">
        <v>1.0</v>
      </c>
      <c r="B89" s="102"/>
      <c r="C89" s="103" t="s">
        <v>648</v>
      </c>
      <c r="D89" s="104"/>
      <c r="E89" s="749"/>
      <c r="F89" s="1089"/>
      <c r="G89" s="104"/>
      <c r="H89" s="104"/>
      <c r="I89" s="104"/>
      <c r="J89" s="104"/>
      <c r="K89" s="104" t="s">
        <v>42</v>
      </c>
      <c r="L89" s="106">
        <f>Q89</f>
        <v>5.265434455</v>
      </c>
      <c r="M89" s="105" t="s">
        <v>42</v>
      </c>
      <c r="N89" s="107"/>
      <c r="O89" s="105"/>
      <c r="P89" s="104"/>
      <c r="Q89" s="106">
        <f>Q90</f>
        <v>5.265434455</v>
      </c>
      <c r="R89" s="136" t="str">
        <f t="array" ref="R89">IFERROR(
    IF(
        OR(D89="R-Flashing",D89="W-Flashing",D89="R-BG"),
        LET(
            StartRow,
            MATCH(
                I89&amp;"♦"&amp;H89,
                Material!$I:$I&amp;"♦"&amp;Material!$J:$J,
                0
            ),
            INDEX(
                Material!$J:$AF,
                StartRow+1+MATCH(
                    CEILING(E89*1000,50),
                    INDEX(Material!$I:$I,StartRow+2):INDEX(Material!$I:$I,StartRow+25),
                    0
                ),
                MATCH(
                    G89,
                    INDEX(Material!$I:$V,StartRow+1,0),
                    0
                )
            )
        ),
        XLOOKUP(C89,Material!$A:$A,Material!$D:$D)
    ),
"")</f>
        <v/>
      </c>
      <c r="S89" s="682">
        <f>IFERROR(T89/Q89, 0)</f>
        <v>119.509386</v>
      </c>
      <c r="T89" s="109">
        <f>SUM(S90:S104)</f>
        <v>629.2688386</v>
      </c>
      <c r="U89" s="1082" t="str">
        <f t="array" ref="U89">IFERROR(
    IF(
        D89="R-Flashing",
        XLOOKUP(CEILING(E89*1000,50),Material!I:I,Material!X:X),
        XLOOKUP(C89,Material!A:A,Material!E:E)
    ),
    ""
)</f>
        <v/>
      </c>
      <c r="V89" s="109">
        <f>W89/Q89</f>
        <v>45</v>
      </c>
      <c r="W89" s="110">
        <f>SUM(W90:W104)</f>
        <v>236.9445505</v>
      </c>
      <c r="X89" s="111">
        <f>W89/$AC$210/$W$217/$X$207</f>
        <v>0.1609677653</v>
      </c>
      <c r="Y89" s="112" t="b">
        <f>(T89+W89)=(SUM(AB90:AB104))</f>
        <v>1</v>
      </c>
      <c r="Z89" s="113">
        <f>(T89+W89)-(SUM(AB90:AB104))</f>
        <v>0</v>
      </c>
      <c r="AA89" s="5"/>
      <c r="AB89" s="5"/>
      <c r="AC89" s="33"/>
      <c r="AD89" s="114">
        <f>W89+T89</f>
        <v>866.213389</v>
      </c>
      <c r="AE89" s="115">
        <f>AD89</f>
        <v>866.213389</v>
      </c>
      <c r="AF89" s="116">
        <f>AE89/$AE$185</f>
        <v>0.01213449293</v>
      </c>
      <c r="AG89" s="683">
        <f>AF89*$AG$192</f>
        <v>331.3484797</v>
      </c>
      <c r="AH89" s="118">
        <f>AF89*$AG$195</f>
        <v>193.2132622</v>
      </c>
      <c r="AI89" s="187"/>
      <c r="AJ89" s="119">
        <f>ROUND(AK89/L89,2)</f>
        <v>264.13</v>
      </c>
      <c r="AK89" s="119">
        <f>ROUND(AH89+AG89+AD89,2)</f>
        <v>1390.78</v>
      </c>
      <c r="AL89" s="5"/>
      <c r="AM89" s="5"/>
      <c r="AN89" s="5"/>
      <c r="AO89" s="5"/>
      <c r="AP89" s="5"/>
      <c r="AQ89" s="5"/>
      <c r="AR89" s="5"/>
      <c r="AS89" s="5"/>
      <c r="AT89" s="5"/>
      <c r="AU89" s="5"/>
      <c r="AV89" s="5"/>
      <c r="AW89" s="5"/>
      <c r="AX89" s="5"/>
      <c r="AY89" s="5"/>
      <c r="AZ89" s="5"/>
      <c r="BA89" s="5"/>
      <c r="BB89" s="5"/>
      <c r="BC89" s="5"/>
      <c r="BD89" s="5"/>
      <c r="BE89" s="5"/>
      <c r="BF89" s="5"/>
      <c r="BG89" s="5"/>
      <c r="BH89" s="5"/>
      <c r="BI89" s="260"/>
      <c r="BJ89" s="260"/>
      <c r="BK89" s="260"/>
      <c r="BL89" s="260"/>
      <c r="BM89" s="260"/>
      <c r="BN89" s="260"/>
      <c r="BO89" s="260"/>
      <c r="BP89" s="260"/>
      <c r="BQ89" s="260"/>
      <c r="BR89" s="260"/>
      <c r="BS89" s="260"/>
      <c r="BT89" s="260"/>
    </row>
    <row r="90">
      <c r="A90" s="1080" t="s">
        <v>444</v>
      </c>
      <c r="B90" s="154"/>
      <c r="C90" s="123" t="s">
        <v>649</v>
      </c>
      <c r="D90" s="124" t="s">
        <v>96</v>
      </c>
      <c r="E90" s="687">
        <f>VALUE(MID(C90, FIND("(", C90)+1, FIND("/", C90)-FIND("(", C90)-1)) / 1000</f>
        <v>1.2</v>
      </c>
      <c r="F90" s="1085">
        <v>30.0</v>
      </c>
      <c r="G90" s="128">
        <f>VALUE(MID(C90,FIND("/",C90)+1,FIND("B",C90,FIND("/",C90))-FIND("/",C90)-1))</f>
        <v>2</v>
      </c>
      <c r="H90" s="128" t="str">
        <f>IFERROR(__xludf.DUMMYFUNCTION("IFERROR(REGEXEXTRACT(C90,""(\d*\.?\d+)\s*bmt""),IFERROR(REGEXEXTRACT(C90,""(\d*\.?\d+)\s*mm""),""""))"),"0.55")</f>
        <v>0.55</v>
      </c>
      <c r="I90" s="125" t="s">
        <v>630</v>
      </c>
      <c r="J90" s="126" t="s">
        <v>14</v>
      </c>
      <c r="K90" s="126" t="str">
        <f t="array" ref="K90">iferror(if(OR(D90="R-Flashing",D90="W-Flashing"),"LM",XLOOKUP(C90,Material!$A:$A,Material!$C:$C)),"")</f>
        <v>LM</v>
      </c>
      <c r="L90" s="163"/>
      <c r="M90" s="730">
        <v>2.28</v>
      </c>
      <c r="N90" s="151">
        <f>IFERROR(__xludf.DUMMYFUNCTION("IF(
  AND(
    IFERROR(REGEXEXTRACT(C90,""@\s*(\d+(?:\.\d+)?)\s*deg""),"""")&lt;&gt;"""",
    F90&lt;&gt;""""
  ),
  ""Pls Confirm °"",
  IF(
    IFERROR(REGEXEXTRACT(C90,""@\s*(\d+(?:\.\d+)?)\s*deg""),"""")&lt;&gt;"""",
    1/COS(RADIANS(REGEXEXTRACT(C90,""@\s*(\d+(?:\.\d"&amp;"+)?)\s*deg""))),
    IF(
      F90&lt;&gt;"""",
      IF(
        ISNUMBER(SEARCH(""|"",F90)),
        1/COS(
          ATAN(
            TAN(RADIANS(VALUE(INDEX(SPLIT(F90,""|""),1)))) *
            TAN(RADIANS(VALUE(INDEX(SPLIT(F90,""|""),2))))
            /
 "&amp;"           SQRT(
              TAN(RADIANS(VALUE(INDEX(SPLIT(F90,""|""),1))))^2 +
              TAN(RADIANS(VALUE(INDEX(SPLIT(F90,""|""),2))))^2
            )
          )
        ),
        1/COS(RADIANS(VALUE(F90)))
      ),
      1
    )
  )
)"),1.1547005383792515)</f>
        <v>1.154700538</v>
      </c>
      <c r="O90" s="169">
        <v>1.0</v>
      </c>
      <c r="P90" s="156">
        <v>2.0</v>
      </c>
      <c r="Q90" s="168">
        <f t="shared" ref="Q90:Q93" si="58">M90*N90*O90*P90</f>
        <v>5.265434455</v>
      </c>
      <c r="R90" s="136">
        <f t="array" ref="R90">IFERROR(
    IF(
        OR(D90="R-Flashing",D90="W-Flashing",D90="R-BG"),
        LET(
            StartRow,
            MATCH(
                I90&amp;"♦"&amp;H90,
                Material!$I:$I&amp;"♦"&amp;Material!$J:$J,
                0
            ),
            INDEX(
                Material!$J:$AF,
                StartRow+1+MATCH(
                    CEILING(E90*1000,50),
                    INDEX(Material!$I:$I,StartRow+2):INDEX(Material!$I:$I,StartRow+25),
                    0
                ),
                MATCH(
                    G90,
                    INDEX(Material!$I:$V,StartRow+1,0),
                    0
                )
            )
        ),
        XLOOKUP(C90,Material!$A:$A,Material!$D:$D)
    ),
"")</f>
        <v>50.28</v>
      </c>
      <c r="S90" s="152">
        <f t="shared" ref="S90:S93" si="59">R90*Q90</f>
        <v>264.7460444</v>
      </c>
      <c r="T90" s="138"/>
      <c r="U90" s="1082">
        <f t="array" ref="U90">IFERROR(
    IF(
        D90="R-Flashing",
        XLOOKUP(CEILING(E90*1000,50),Material!I:I,Material!X:X),
        XLOOKUP(C90,Material!A:A,Material!E:E)
    ),
    ""
)</f>
        <v>20</v>
      </c>
      <c r="V90" s="139"/>
      <c r="W90" s="140">
        <f t="shared" ref="W90:W93" si="60">U90*Q90</f>
        <v>105.3086891</v>
      </c>
      <c r="X90" s="159"/>
      <c r="Y90" s="165"/>
      <c r="Z90" s="1090"/>
      <c r="AA90" s="5"/>
      <c r="AB90" s="354">
        <f t="shared" ref="AB90:AB93" si="61">W90+S90</f>
        <v>370.0547335</v>
      </c>
      <c r="AC90" s="33"/>
      <c r="AD90" s="65"/>
      <c r="AE90" s="66"/>
      <c r="AF90" s="144"/>
      <c r="AG90" s="68"/>
      <c r="AH90" s="69"/>
      <c r="AI90" s="39"/>
      <c r="AJ90" s="70"/>
      <c r="AK90" s="70"/>
      <c r="AL90" s="5"/>
      <c r="AM90" s="5"/>
      <c r="AN90" s="5"/>
      <c r="AO90" s="5"/>
      <c r="AP90" s="5"/>
      <c r="AQ90" s="5"/>
      <c r="AR90" s="5"/>
      <c r="AS90" s="5"/>
      <c r="AT90" s="5"/>
      <c r="AU90" s="5"/>
      <c r="AV90" s="5"/>
      <c r="AW90" s="5"/>
      <c r="AX90" s="5"/>
      <c r="AY90" s="5"/>
      <c r="AZ90" s="5"/>
      <c r="BA90" s="5"/>
      <c r="BB90" s="5"/>
      <c r="BC90" s="5"/>
      <c r="BD90" s="5"/>
      <c r="BE90" s="5"/>
      <c r="BF90" s="5"/>
      <c r="BG90" s="5"/>
      <c r="BH90" s="5"/>
      <c r="BI90" s="260"/>
      <c r="BJ90" s="260"/>
      <c r="BK90" s="260"/>
      <c r="BL90" s="260"/>
      <c r="BM90" s="260"/>
      <c r="BN90" s="260"/>
      <c r="BO90" s="260"/>
      <c r="BP90" s="260"/>
      <c r="BQ90" s="260"/>
      <c r="BR90" s="260"/>
      <c r="BS90" s="260"/>
      <c r="BT90" s="260"/>
    </row>
    <row r="91">
      <c r="A91" s="1080"/>
      <c r="B91" s="154"/>
      <c r="C91" s="225" t="s">
        <v>98</v>
      </c>
      <c r="D91" s="124" t="s">
        <v>99</v>
      </c>
      <c r="E91" s="687">
        <f>E90</f>
        <v>1.2</v>
      </c>
      <c r="F91" s="1085" t="str">
        <f>IFERROR(__xludf.DUMMYFUNCTION("iferror(ROUND(
  DEGREES(
    ATAN(
      TAN(RADIANS(VALUE(INDEX(SPLIT(F90,""|""),1)))) *
      TAN(RADIANS(VALUE(INDEX(SPLIT(F90,""|""),2))))
      /
      SQRT(
        TAN(RADIANS(VALUE(INDEX(SPLIT(F90,""|""),1))))^2 +
        TAN(RADIANS(VALUE(INDEX("&amp;"SPLIT(F90,""|""),2))))^2
      )
    )
  ),
  2
))"),"")</f>
        <v/>
      </c>
      <c r="G91" s="127"/>
      <c r="H91" s="127" t="str">
        <f>IFERROR(__xludf.DUMMYFUNCTION("IFERROR(REGEXEXTRACT(C91, ""(\d*\.\d+)mm""), """")"),"")</f>
        <v/>
      </c>
      <c r="I91" s="127"/>
      <c r="J91" s="126" t="s">
        <v>87</v>
      </c>
      <c r="K91" s="126" t="str">
        <f t="array" ref="K91">iferror(if(OR(D91="R-Flashing",D91="W-Flashing"),"LM",XLOOKUP(C91,Material!$A:$A,Material!$C:$C)),"")</f>
        <v>ea</v>
      </c>
      <c r="L91" s="163"/>
      <c r="M91" s="150">
        <f>(ROUNDDOWN((M90/5.7)+2,0)*E91)/8</f>
        <v>0.3</v>
      </c>
      <c r="N91" s="151">
        <f t="shared" ref="N91:N93" si="62">if(C91="","",(if(N90="",N89,N90)))</f>
        <v>1.154700538</v>
      </c>
      <c r="O91" s="169">
        <v>1.0</v>
      </c>
      <c r="P91" s="134">
        <f t="shared" ref="P91:P93" si="63">P90</f>
        <v>2</v>
      </c>
      <c r="Q91" s="168">
        <f t="shared" si="58"/>
        <v>0.692820323</v>
      </c>
      <c r="R91" s="136">
        <f t="array" ref="R91">IFERROR(
    IF(
        OR(D91="R-Flashing",D91="W-Flashing",D91="R-BG"),
        LET(
            StartRow,
            MATCH(
                I91&amp;"♦"&amp;H91,
                Material!$I:$I&amp;"♦"&amp;Material!$J:$J,
                0
            ),
            INDEX(
                Material!$J:$AF,
                StartRow+1+MATCH(
                    CEILING(E91*1000,50),
                    INDEX(Material!$I:$I,StartRow+2):INDEX(Material!$I:$I,StartRow+25),
                    0
                ),
                MATCH(
                    G91,
                    INDEX(Material!$I:$V,StartRow+1,0),
                    0
                )
            )
        ),
        XLOOKUP(C91,Material!$A:$A,Material!$D:$D)
    ),
"")</f>
        <v>10</v>
      </c>
      <c r="S91" s="152">
        <f t="shared" si="59"/>
        <v>6.92820323</v>
      </c>
      <c r="T91" s="138"/>
      <c r="U91" s="1082" t="str">
        <f t="array" ref="U91">IFERROR(
    IF(
        D91="R-Flashing",
        XLOOKUP(CEILING(E91*1000,50),Material!I:I,Material!X:X),
        XLOOKUP(C91,Material!A:A,Material!E:E)
    ),
    ""
)</f>
        <v/>
      </c>
      <c r="V91" s="139"/>
      <c r="W91" s="140">
        <f t="shared" si="60"/>
        <v>0</v>
      </c>
      <c r="X91" s="159"/>
      <c r="Y91" s="5"/>
      <c r="Z91" s="5"/>
      <c r="AA91" s="5"/>
      <c r="AB91" s="354">
        <f t="shared" si="61"/>
        <v>6.92820323</v>
      </c>
      <c r="AC91" s="33"/>
      <c r="AD91" s="65"/>
      <c r="AE91" s="66"/>
      <c r="AF91" s="144"/>
      <c r="AG91" s="68"/>
      <c r="AH91" s="69"/>
      <c r="AI91" s="39"/>
      <c r="AJ91" s="70"/>
      <c r="AK91" s="70"/>
      <c r="AL91" s="5"/>
      <c r="AM91" s="5"/>
      <c r="AN91" s="5"/>
      <c r="AO91" s="5"/>
      <c r="AP91" s="5"/>
      <c r="AQ91" s="5"/>
      <c r="AR91" s="5"/>
      <c r="AS91" s="5"/>
      <c r="AT91" s="5"/>
      <c r="AU91" s="5"/>
      <c r="AV91" s="5"/>
      <c r="AW91" s="5"/>
      <c r="AX91" s="5"/>
      <c r="AY91" s="5"/>
      <c r="AZ91" s="5"/>
      <c r="BA91" s="5"/>
      <c r="BB91" s="5"/>
      <c r="BC91" s="5"/>
      <c r="BD91" s="5"/>
      <c r="BE91" s="5"/>
      <c r="BF91" s="5"/>
      <c r="BG91" s="5"/>
      <c r="BH91" s="5"/>
      <c r="BI91" s="260"/>
      <c r="BJ91" s="260"/>
      <c r="BK91" s="260"/>
      <c r="BL91" s="260"/>
      <c r="BM91" s="260"/>
      <c r="BN91" s="260"/>
      <c r="BO91" s="260"/>
      <c r="BP91" s="260"/>
      <c r="BQ91" s="260"/>
      <c r="BR91" s="260"/>
      <c r="BS91" s="260"/>
      <c r="BT91" s="260"/>
    </row>
    <row r="92">
      <c r="A92" s="1080"/>
      <c r="B92" s="154"/>
      <c r="C92" s="225" t="s">
        <v>100</v>
      </c>
      <c r="D92" s="124" t="s">
        <v>101</v>
      </c>
      <c r="E92" s="687">
        <f>E90</f>
        <v>1.2</v>
      </c>
      <c r="F92" s="1093"/>
      <c r="G92" s="127"/>
      <c r="H92" s="127" t="str">
        <f>IFERROR(__xludf.DUMMYFUNCTION("IFERROR(REGEXEXTRACT(C92, ""(\d*\.\d+)mm""), """")"),"")</f>
        <v/>
      </c>
      <c r="I92" s="127"/>
      <c r="J92" s="126" t="s">
        <v>87</v>
      </c>
      <c r="K92" s="126" t="str">
        <f t="array" ref="K92">iferror(if(OR(D92="R-Flashing",D92="W-Flashing"),"LM",XLOOKUP(C92,Material!$A:$A,Material!$C:$C)),"")</f>
        <v>ea</v>
      </c>
      <c r="L92" s="163"/>
      <c r="M92" s="150">
        <f>ROUNDUP(((M90/5.7)+1)*(E92/0.05),0)</f>
        <v>34</v>
      </c>
      <c r="N92" s="151">
        <f t="shared" si="62"/>
        <v>1.154700538</v>
      </c>
      <c r="O92" s="169">
        <v>1.0</v>
      </c>
      <c r="P92" s="134">
        <f t="shared" si="63"/>
        <v>2</v>
      </c>
      <c r="Q92" s="168">
        <f t="shared" si="58"/>
        <v>78.51963661</v>
      </c>
      <c r="R92" s="136">
        <f t="array" ref="R92">IFERROR(
    IF(
        OR(D92="R-Flashing",D92="W-Flashing",D92="R-BG"),
        LET(
            StartRow,
            MATCH(
                I92&amp;"♦"&amp;H92,
                Material!$I:$I&amp;"♦"&amp;Material!$J:$J,
                0
            ),
            INDEX(
                Material!$J:$AF,
                StartRow+1+MATCH(
                    CEILING(E92*1000,50),
                    INDEX(Material!$I:$I,StartRow+2):INDEX(Material!$I:$I,StartRow+25),
                    0
                ),
                MATCH(
                    G92,
                    INDEX(Material!$I:$V,StartRow+1,0),
                    0
                )
            )
        ),
        XLOOKUP(C92,Material!$A:$A,Material!$D:$D)
    ),
"")</f>
        <v>0.09</v>
      </c>
      <c r="S92" s="152">
        <f t="shared" si="59"/>
        <v>7.066767295</v>
      </c>
      <c r="T92" s="138"/>
      <c r="U92" s="1082" t="str">
        <f t="array" ref="U92">IFERROR(
    IF(
        D92="R-Flashing",
        XLOOKUP(CEILING(E92*1000,50),Material!I:I,Material!X:X),
        XLOOKUP(C92,Material!A:A,Material!E:E)
    ),
    ""
)</f>
        <v/>
      </c>
      <c r="V92" s="139"/>
      <c r="W92" s="140">
        <f t="shared" si="60"/>
        <v>0</v>
      </c>
      <c r="X92" s="159"/>
      <c r="Y92" s="5"/>
      <c r="Z92" s="5"/>
      <c r="AA92" s="5"/>
      <c r="AB92" s="354">
        <f t="shared" si="61"/>
        <v>7.066767295</v>
      </c>
      <c r="AC92" s="33"/>
      <c r="AD92" s="65"/>
      <c r="AE92" s="66"/>
      <c r="AF92" s="144"/>
      <c r="AG92" s="68"/>
      <c r="AH92" s="69"/>
      <c r="AI92" s="39"/>
      <c r="AJ92" s="70"/>
      <c r="AK92" s="70"/>
      <c r="AL92" s="5"/>
      <c r="AM92" s="5"/>
      <c r="AN92" s="5"/>
      <c r="AO92" s="5"/>
      <c r="AP92" s="5"/>
      <c r="AQ92" s="5"/>
      <c r="AR92" s="5"/>
      <c r="AS92" s="5"/>
      <c r="AT92" s="5"/>
      <c r="AU92" s="5"/>
      <c r="AV92" s="5"/>
      <c r="AW92" s="5"/>
      <c r="AX92" s="5"/>
      <c r="AY92" s="5"/>
      <c r="AZ92" s="5"/>
      <c r="BA92" s="5"/>
      <c r="BB92" s="5"/>
      <c r="BC92" s="5"/>
      <c r="BD92" s="5"/>
      <c r="BE92" s="5"/>
      <c r="BF92" s="5"/>
      <c r="BG92" s="5"/>
      <c r="BH92" s="5"/>
      <c r="BI92" s="260"/>
      <c r="BJ92" s="260"/>
      <c r="BK92" s="260"/>
      <c r="BL92" s="260"/>
      <c r="BM92" s="260"/>
      <c r="BN92" s="260"/>
      <c r="BO92" s="260"/>
      <c r="BP92" s="260"/>
      <c r="BQ92" s="260"/>
      <c r="BR92" s="260"/>
      <c r="BS92" s="260"/>
      <c r="BT92" s="260"/>
    </row>
    <row r="93">
      <c r="A93" s="1080"/>
      <c r="B93" s="154"/>
      <c r="C93" s="123" t="s">
        <v>631</v>
      </c>
      <c r="D93" s="124" t="s">
        <v>103</v>
      </c>
      <c r="E93" s="752"/>
      <c r="F93" s="1093"/>
      <c r="G93" s="129"/>
      <c r="H93" s="127"/>
      <c r="I93" s="127"/>
      <c r="J93" s="126" t="s">
        <v>87</v>
      </c>
      <c r="K93" s="126" t="str">
        <f t="array" ref="K93">iferror(if(OR(D93="R-Flashing",D93="W-Flashing"),"LM",XLOOKUP(C93,Material!$A:$A,Material!$C:$C)),"")</f>
        <v>ea</v>
      </c>
      <c r="L93" s="161"/>
      <c r="M93" s="150">
        <f>ROUNDUP(M90/0.6,0)+1</f>
        <v>5</v>
      </c>
      <c r="N93" s="151">
        <f t="shared" si="62"/>
        <v>1.154700538</v>
      </c>
      <c r="O93" s="169">
        <v>1.0</v>
      </c>
      <c r="P93" s="134">
        <f t="shared" si="63"/>
        <v>2</v>
      </c>
      <c r="Q93" s="168">
        <f t="shared" si="58"/>
        <v>11.54700538</v>
      </c>
      <c r="R93" s="136">
        <f t="array" ref="R93">IFERROR(
    IF(
        OR(D93="R-Flashing",D93="W-Flashing",D93="R-BG"),
        LET(
            StartRow,
            MATCH(
                I93&amp;"♦"&amp;H93,
                Material!$I:$I&amp;"♦"&amp;Material!$J:$J,
                0
            ),
            INDEX(
                Material!$J:$AF,
                StartRow+1+MATCH(
                    CEILING(E93*1000,50),
                    INDEX(Material!$I:$I,StartRow+2):INDEX(Material!$I:$I,StartRow+25),
                    0
                ),
                MATCH(
                    G93,
                    INDEX(Material!$I:$V,StartRow+1,0),
                    0
                )
            )
        ),
        XLOOKUP(C93,Material!$A:$A,Material!$D:$D)
    ),
"")</f>
        <v>0.2</v>
      </c>
      <c r="S93" s="152">
        <f t="shared" si="59"/>
        <v>2.309401077</v>
      </c>
      <c r="T93" s="138"/>
      <c r="U93" s="1082" t="str">
        <f t="array" ref="U93">IFERROR(
    IF(
        D93="R-Flashing",
        XLOOKUP(CEILING(E93*1000,50),Material!I:I,Material!X:X),
        XLOOKUP(C93,Material!A:A,Material!E:E)
    ),
    ""
)</f>
        <v/>
      </c>
      <c r="V93" s="139"/>
      <c r="W93" s="140">
        <f t="shared" si="60"/>
        <v>0</v>
      </c>
      <c r="X93" s="159"/>
      <c r="Y93" s="5"/>
      <c r="Z93" s="5"/>
      <c r="AA93" s="5"/>
      <c r="AB93" s="354">
        <f t="shared" si="61"/>
        <v>2.309401077</v>
      </c>
      <c r="AC93" s="33"/>
      <c r="AD93" s="65"/>
      <c r="AE93" s="66"/>
      <c r="AF93" s="144"/>
      <c r="AG93" s="68"/>
      <c r="AH93" s="69"/>
      <c r="AI93" s="39"/>
      <c r="AJ93" s="70"/>
      <c r="AK93" s="70"/>
      <c r="AL93" s="5"/>
      <c r="AM93" s="5"/>
      <c r="AN93" s="5"/>
      <c r="AO93" s="5"/>
      <c r="AP93" s="5"/>
      <c r="AQ93" s="5"/>
      <c r="AR93" s="5"/>
      <c r="AS93" s="5"/>
      <c r="AT93" s="5"/>
      <c r="AU93" s="5"/>
      <c r="AV93" s="5"/>
      <c r="AW93" s="5"/>
      <c r="AX93" s="5"/>
      <c r="AY93" s="5"/>
      <c r="AZ93" s="5"/>
      <c r="BA93" s="5"/>
      <c r="BB93" s="5"/>
      <c r="BC93" s="5"/>
      <c r="BD93" s="5"/>
      <c r="BE93" s="5"/>
      <c r="BF93" s="5"/>
      <c r="BG93" s="5"/>
      <c r="BH93" s="5"/>
      <c r="BI93" s="260"/>
      <c r="BJ93" s="260"/>
      <c r="BK93" s="260"/>
      <c r="BL93" s="260"/>
      <c r="BM93" s="260"/>
      <c r="BN93" s="260"/>
      <c r="BO93" s="260"/>
      <c r="BP93" s="260"/>
      <c r="BQ93" s="260"/>
      <c r="BR93" s="260"/>
      <c r="BS93" s="260"/>
      <c r="BT93" s="260"/>
    </row>
    <row r="94">
      <c r="A94" s="1080"/>
      <c r="B94" s="154"/>
      <c r="C94" s="123"/>
      <c r="D94" s="124"/>
      <c r="E94" s="752"/>
      <c r="F94" s="1093"/>
      <c r="G94" s="129"/>
      <c r="H94" s="127"/>
      <c r="I94" s="127"/>
      <c r="J94" s="126"/>
      <c r="K94" s="126"/>
      <c r="L94" s="161"/>
      <c r="M94" s="150"/>
      <c r="N94" s="151"/>
      <c r="O94" s="169"/>
      <c r="P94" s="134"/>
      <c r="Q94" s="168"/>
      <c r="R94" s="136"/>
      <c r="S94" s="152"/>
      <c r="T94" s="138"/>
      <c r="U94" s="1082"/>
      <c r="V94" s="139"/>
      <c r="W94" s="140"/>
      <c r="X94" s="159"/>
      <c r="Y94" s="5"/>
      <c r="Z94" s="5"/>
      <c r="AA94" s="5"/>
      <c r="AB94" s="354"/>
      <c r="AC94" s="33"/>
      <c r="AD94" s="65"/>
      <c r="AE94" s="66"/>
      <c r="AF94" s="144"/>
      <c r="AG94" s="68"/>
      <c r="AH94" s="69"/>
      <c r="AI94" s="39"/>
      <c r="AJ94" s="70"/>
      <c r="AK94" s="70"/>
      <c r="AL94" s="5"/>
      <c r="AM94" s="5"/>
      <c r="AN94" s="5"/>
      <c r="AO94" s="5"/>
      <c r="AP94" s="5"/>
      <c r="AQ94" s="5"/>
      <c r="AR94" s="5"/>
      <c r="AS94" s="5"/>
      <c r="AT94" s="5"/>
      <c r="AU94" s="5"/>
      <c r="AV94" s="5"/>
      <c r="AW94" s="5"/>
      <c r="AX94" s="5"/>
      <c r="AY94" s="5"/>
      <c r="AZ94" s="5"/>
      <c r="BA94" s="5"/>
      <c r="BB94" s="5"/>
      <c r="BC94" s="5"/>
      <c r="BD94" s="5"/>
      <c r="BE94" s="5"/>
      <c r="BF94" s="5"/>
      <c r="BG94" s="5"/>
      <c r="BH94" s="5"/>
      <c r="BI94" s="260"/>
      <c r="BJ94" s="260"/>
      <c r="BK94" s="260"/>
      <c r="BL94" s="260"/>
      <c r="BM94" s="260"/>
      <c r="BN94" s="260"/>
      <c r="BO94" s="260"/>
      <c r="BP94" s="260"/>
      <c r="BQ94" s="260"/>
      <c r="BR94" s="260"/>
      <c r="BS94" s="260"/>
      <c r="BT94" s="260"/>
    </row>
    <row r="95">
      <c r="A95" s="1080" t="s">
        <v>444</v>
      </c>
      <c r="B95" s="154"/>
      <c r="C95" s="123" t="s">
        <v>649</v>
      </c>
      <c r="D95" s="124" t="s">
        <v>96</v>
      </c>
      <c r="E95" s="687">
        <f>VALUE(MID(C95, FIND("(", C95)+1, FIND("/", C95)-FIND("(", C95)-1)) / 1000</f>
        <v>1.2</v>
      </c>
      <c r="F95" s="1085">
        <v>30.0</v>
      </c>
      <c r="G95" s="128">
        <f>VALUE(MID(C95,FIND("/",C95)+1,FIND("B",C95,FIND("/",C95))-FIND("/",C95)-1))</f>
        <v>2</v>
      </c>
      <c r="H95" s="128" t="str">
        <f>IFERROR(__xludf.DUMMYFUNCTION("IFERROR(REGEXEXTRACT(C95,""(\d*\.?\d+)\s*bmt""),IFERROR(REGEXEXTRACT(C95,""(\d*\.?\d+)\s*mm""),""""))"),"0.55")</f>
        <v>0.55</v>
      </c>
      <c r="I95" s="125" t="s">
        <v>630</v>
      </c>
      <c r="J95" s="126" t="s">
        <v>14</v>
      </c>
      <c r="K95" s="126" t="str">
        <f t="array" ref="K95">iferror(if(OR(D95="R-Flashing",D95="W-Flashing"),"LM",XLOOKUP(C95,Material!$A:$A,Material!$C:$C)),"")</f>
        <v>LM</v>
      </c>
      <c r="L95" s="163"/>
      <c r="M95" s="730">
        <v>3.6</v>
      </c>
      <c r="N95" s="151">
        <f>IFERROR(__xludf.DUMMYFUNCTION("IF(
  AND(
    IFERROR(REGEXEXTRACT(C95,""@\s*(\d+(?:\.\d+)?)\s*deg""),"""")&lt;&gt;"""",
    F95&lt;&gt;""""
  ),
  ""Pls Confirm °"",
  IF(
    IFERROR(REGEXEXTRACT(C95,""@\s*(\d+(?:\.\d+)?)\s*deg""),"""")&lt;&gt;"""",
    1/COS(RADIANS(REGEXEXTRACT(C95,""@\s*(\d+(?:\.\d"&amp;"+)?)\s*deg""))),
    IF(
      F95&lt;&gt;"""",
      IF(
        ISNUMBER(SEARCH(""|"",F95)),
        1/COS(
          ATAN(
            TAN(RADIANS(VALUE(INDEX(SPLIT(F95,""|""),1)))) *
            TAN(RADIANS(VALUE(INDEX(SPLIT(F95,""|""),2))))
            /
 "&amp;"           SQRT(
              TAN(RADIANS(VALUE(INDEX(SPLIT(F95,""|""),1))))^2 +
              TAN(RADIANS(VALUE(INDEX(SPLIT(F95,""|""),2))))^2
            )
          )
        ),
        1/COS(RADIANS(VALUE(F95)))
      ),
      1
    )
  )
)"),1.1547005383792515)</f>
        <v>1.154700538</v>
      </c>
      <c r="O95" s="169">
        <v>1.0</v>
      </c>
      <c r="P95" s="134">
        <v>1.0</v>
      </c>
      <c r="Q95" s="168">
        <f t="shared" ref="Q95:Q98" si="64">M95*N95*O95*P95</f>
        <v>4.156921938</v>
      </c>
      <c r="R95" s="136">
        <f t="array" ref="R95">IFERROR(
    IF(
        OR(D95="R-Flashing",D95="W-Flashing",D95="R-BG"),
        LET(
            StartRow,
            MATCH(
                I95&amp;"♦"&amp;H95,
                Material!$I:$I&amp;"♦"&amp;Material!$J:$J,
                0
            ),
            INDEX(
                Material!$J:$AF,
                StartRow+1+MATCH(
                    CEILING(E95*1000,50),
                    INDEX(Material!$I:$I,StartRow+2):INDEX(Material!$I:$I,StartRow+25),
                    0
                ),
                MATCH(
                    G95,
                    INDEX(Material!$I:$V,StartRow+1,0),
                    0
                )
            )
        ),
        XLOOKUP(C95,Material!$A:$A,Material!$D:$D)
    ),
"")</f>
        <v>50.28</v>
      </c>
      <c r="S95" s="152">
        <f t="shared" ref="S95:S98" si="65">R95*Q95</f>
        <v>209.0100351</v>
      </c>
      <c r="T95" s="138"/>
      <c r="U95" s="1082">
        <f t="array" ref="U95">IFERROR(
    IF(
        D95="R-Flashing",
        XLOOKUP(CEILING(E95*1000,50),Material!I:I,Material!X:X),
        XLOOKUP(C95,Material!A:A,Material!E:E)
    ),
    ""
)</f>
        <v>20</v>
      </c>
      <c r="V95" s="139"/>
      <c r="W95" s="140">
        <f t="shared" ref="W95:W98" si="66">U95*Q95</f>
        <v>83.13843876</v>
      </c>
      <c r="X95" s="159"/>
      <c r="Y95" s="165"/>
      <c r="Z95" s="1090"/>
      <c r="AA95" s="5"/>
      <c r="AB95" s="354">
        <f t="shared" ref="AB95:AB98" si="67">W95+S95</f>
        <v>292.1484738</v>
      </c>
      <c r="AC95" s="33"/>
      <c r="AD95" s="65"/>
      <c r="AE95" s="66"/>
      <c r="AF95" s="144"/>
      <c r="AG95" s="68"/>
      <c r="AH95" s="69"/>
      <c r="AI95" s="39"/>
      <c r="AJ95" s="70"/>
      <c r="AK95" s="70"/>
      <c r="AL95" s="5"/>
      <c r="AM95" s="5"/>
      <c r="AN95" s="5"/>
      <c r="AO95" s="5"/>
      <c r="AP95" s="5"/>
      <c r="AQ95" s="5"/>
      <c r="AR95" s="5"/>
      <c r="AS95" s="5"/>
      <c r="AT95" s="5"/>
      <c r="AU95" s="5"/>
      <c r="AV95" s="5"/>
      <c r="AW95" s="5"/>
      <c r="AX95" s="5"/>
      <c r="AY95" s="5"/>
      <c r="AZ95" s="5"/>
      <c r="BA95" s="5"/>
      <c r="BB95" s="5"/>
      <c r="BC95" s="5"/>
      <c r="BD95" s="5"/>
      <c r="BE95" s="5"/>
      <c r="BF95" s="5"/>
      <c r="BG95" s="5"/>
      <c r="BH95" s="5"/>
      <c r="BI95" s="260"/>
      <c r="BJ95" s="260"/>
      <c r="BK95" s="260"/>
      <c r="BL95" s="260"/>
      <c r="BM95" s="260"/>
      <c r="BN95" s="260"/>
      <c r="BO95" s="260"/>
      <c r="BP95" s="260"/>
      <c r="BQ95" s="260"/>
      <c r="BR95" s="260"/>
      <c r="BS95" s="260"/>
      <c r="BT95" s="260"/>
    </row>
    <row r="96">
      <c r="A96" s="1080"/>
      <c r="B96" s="154"/>
      <c r="C96" s="225" t="s">
        <v>98</v>
      </c>
      <c r="D96" s="124" t="s">
        <v>99</v>
      </c>
      <c r="E96" s="687">
        <f>E95</f>
        <v>1.2</v>
      </c>
      <c r="F96" s="1085" t="str">
        <f>IFERROR(__xludf.DUMMYFUNCTION("iferror(ROUND(
  DEGREES(
    ATAN(
      TAN(RADIANS(VALUE(INDEX(SPLIT(F95,""|""),1)))) *
      TAN(RADIANS(VALUE(INDEX(SPLIT(F95,""|""),2))))
      /
      SQRT(
        TAN(RADIANS(VALUE(INDEX(SPLIT(F95,""|""),1))))^2 +
        TAN(RADIANS(VALUE(INDEX("&amp;"SPLIT(F95,""|""),2))))^2
      )
    )
  ),
  2
))"),"")</f>
        <v/>
      </c>
      <c r="G96" s="127"/>
      <c r="H96" s="127" t="str">
        <f>IFERROR(__xludf.DUMMYFUNCTION("IFERROR(REGEXEXTRACT(C96, ""(\d*\.\d+)mm""), """")"),"")</f>
        <v/>
      </c>
      <c r="I96" s="127"/>
      <c r="J96" s="126" t="s">
        <v>87</v>
      </c>
      <c r="K96" s="126" t="str">
        <f t="array" ref="K96">iferror(if(OR(D96="R-Flashing",D96="W-Flashing"),"LM",XLOOKUP(C96,Material!$A:$A,Material!$C:$C)),"")</f>
        <v>ea</v>
      </c>
      <c r="L96" s="163"/>
      <c r="M96" s="150">
        <f>(ROUNDDOWN((M95/5.7)+2,0)*E96)/8</f>
        <v>0.3</v>
      </c>
      <c r="N96" s="151">
        <f t="shared" ref="N96:N98" si="68">if(C96="","",(if(N95="",N94,N95)))</f>
        <v>1.154700538</v>
      </c>
      <c r="O96" s="169">
        <v>1.0</v>
      </c>
      <c r="P96" s="134">
        <f t="shared" ref="P96:P98" si="69">P95</f>
        <v>1</v>
      </c>
      <c r="Q96" s="168">
        <f t="shared" si="64"/>
        <v>0.3464101615</v>
      </c>
      <c r="R96" s="136">
        <f t="array" ref="R96">IFERROR(
    IF(
        OR(D96="R-Flashing",D96="W-Flashing",D96="R-BG"),
        LET(
            StartRow,
            MATCH(
                I96&amp;"♦"&amp;H96,
                Material!$I:$I&amp;"♦"&amp;Material!$J:$J,
                0
            ),
            INDEX(
                Material!$J:$AF,
                StartRow+1+MATCH(
                    CEILING(E96*1000,50),
                    INDEX(Material!$I:$I,StartRow+2):INDEX(Material!$I:$I,StartRow+25),
                    0
                ),
                MATCH(
                    G96,
                    INDEX(Material!$I:$V,StartRow+1,0),
                    0
                )
            )
        ),
        XLOOKUP(C96,Material!$A:$A,Material!$D:$D)
    ),
"")</f>
        <v>10</v>
      </c>
      <c r="S96" s="152">
        <f t="shared" si="65"/>
        <v>3.464101615</v>
      </c>
      <c r="T96" s="138"/>
      <c r="U96" s="1082" t="str">
        <f t="array" ref="U96">IFERROR(
    IF(
        D96="R-Flashing",
        XLOOKUP(CEILING(E96*1000,50),Material!I:I,Material!X:X),
        XLOOKUP(C96,Material!A:A,Material!E:E)
    ),
    ""
)</f>
        <v/>
      </c>
      <c r="V96" s="139"/>
      <c r="W96" s="140">
        <f t="shared" si="66"/>
        <v>0</v>
      </c>
      <c r="X96" s="159"/>
      <c r="Y96" s="5"/>
      <c r="Z96" s="5"/>
      <c r="AA96" s="5"/>
      <c r="AB96" s="354">
        <f t="shared" si="67"/>
        <v>3.464101615</v>
      </c>
      <c r="AC96" s="33"/>
      <c r="AD96" s="65"/>
      <c r="AE96" s="66"/>
      <c r="AF96" s="144"/>
      <c r="AG96" s="68"/>
      <c r="AH96" s="69"/>
      <c r="AI96" s="39"/>
      <c r="AJ96" s="70"/>
      <c r="AK96" s="70"/>
      <c r="AL96" s="5"/>
      <c r="AM96" s="5"/>
      <c r="AN96" s="5"/>
      <c r="AO96" s="5"/>
      <c r="AP96" s="5"/>
      <c r="AQ96" s="5"/>
      <c r="AR96" s="5"/>
      <c r="AS96" s="5"/>
      <c r="AT96" s="5"/>
      <c r="AU96" s="5"/>
      <c r="AV96" s="5"/>
      <c r="AW96" s="5"/>
      <c r="AX96" s="5"/>
      <c r="AY96" s="5"/>
      <c r="AZ96" s="5"/>
      <c r="BA96" s="5"/>
      <c r="BB96" s="5"/>
      <c r="BC96" s="5"/>
      <c r="BD96" s="5"/>
      <c r="BE96" s="5"/>
      <c r="BF96" s="5"/>
      <c r="BG96" s="5"/>
      <c r="BH96" s="5"/>
      <c r="BI96" s="260"/>
      <c r="BJ96" s="260"/>
      <c r="BK96" s="260"/>
      <c r="BL96" s="260"/>
      <c r="BM96" s="260"/>
      <c r="BN96" s="260"/>
      <c r="BO96" s="260"/>
      <c r="BP96" s="260"/>
      <c r="BQ96" s="260"/>
      <c r="BR96" s="260"/>
      <c r="BS96" s="260"/>
      <c r="BT96" s="260"/>
    </row>
    <row r="97">
      <c r="A97" s="1080"/>
      <c r="B97" s="154"/>
      <c r="C97" s="225" t="s">
        <v>100</v>
      </c>
      <c r="D97" s="124" t="s">
        <v>101</v>
      </c>
      <c r="E97" s="687">
        <f>E95</f>
        <v>1.2</v>
      </c>
      <c r="F97" s="1093"/>
      <c r="G97" s="127"/>
      <c r="H97" s="127" t="str">
        <f>IFERROR(__xludf.DUMMYFUNCTION("IFERROR(REGEXEXTRACT(C97, ""(\d*\.\d+)mm""), """")"),"")</f>
        <v/>
      </c>
      <c r="I97" s="127"/>
      <c r="J97" s="126" t="s">
        <v>87</v>
      </c>
      <c r="K97" s="126" t="str">
        <f t="array" ref="K97">iferror(if(OR(D97="R-Flashing",D97="W-Flashing"),"LM",XLOOKUP(C97,Material!$A:$A,Material!$C:$C)),"")</f>
        <v>ea</v>
      </c>
      <c r="L97" s="163"/>
      <c r="M97" s="150">
        <f>ROUNDUP(((M95/5.7)+1)*(E97/0.05),0)</f>
        <v>40</v>
      </c>
      <c r="N97" s="151">
        <f t="shared" si="68"/>
        <v>1.154700538</v>
      </c>
      <c r="O97" s="169">
        <v>1.0</v>
      </c>
      <c r="P97" s="134">
        <f t="shared" si="69"/>
        <v>1</v>
      </c>
      <c r="Q97" s="168">
        <f t="shared" si="64"/>
        <v>46.18802154</v>
      </c>
      <c r="R97" s="136">
        <f t="array" ref="R97">IFERROR(
    IF(
        OR(D97="R-Flashing",D97="W-Flashing",D97="R-BG"),
        LET(
            StartRow,
            MATCH(
                I97&amp;"♦"&amp;H97,
                Material!$I:$I&amp;"♦"&amp;Material!$J:$J,
                0
            ),
            INDEX(
                Material!$J:$AF,
                StartRow+1+MATCH(
                    CEILING(E97*1000,50),
                    INDEX(Material!$I:$I,StartRow+2):INDEX(Material!$I:$I,StartRow+25),
                    0
                ),
                MATCH(
                    G97,
                    INDEX(Material!$I:$V,StartRow+1,0),
                    0
                )
            )
        ),
        XLOOKUP(C97,Material!$A:$A,Material!$D:$D)
    ),
"")</f>
        <v>0.09</v>
      </c>
      <c r="S97" s="152">
        <f t="shared" si="65"/>
        <v>4.156921938</v>
      </c>
      <c r="T97" s="138"/>
      <c r="U97" s="1082" t="str">
        <f t="array" ref="U97">IFERROR(
    IF(
        D97="R-Flashing",
        XLOOKUP(CEILING(E97*1000,50),Material!I:I,Material!X:X),
        XLOOKUP(C97,Material!A:A,Material!E:E)
    ),
    ""
)</f>
        <v/>
      </c>
      <c r="V97" s="139"/>
      <c r="W97" s="140">
        <f t="shared" si="66"/>
        <v>0</v>
      </c>
      <c r="X97" s="159"/>
      <c r="Y97" s="5"/>
      <c r="Z97" s="5"/>
      <c r="AA97" s="5"/>
      <c r="AB97" s="354">
        <f t="shared" si="67"/>
        <v>4.156921938</v>
      </c>
      <c r="AC97" s="33"/>
      <c r="AD97" s="65"/>
      <c r="AE97" s="66"/>
      <c r="AF97" s="144"/>
      <c r="AG97" s="68"/>
      <c r="AH97" s="69"/>
      <c r="AI97" s="39"/>
      <c r="AJ97" s="70"/>
      <c r="AK97" s="70"/>
      <c r="AL97" s="5"/>
      <c r="AM97" s="5"/>
      <c r="AN97" s="5"/>
      <c r="AO97" s="5"/>
      <c r="AP97" s="5"/>
      <c r="AQ97" s="5"/>
      <c r="AR97" s="5"/>
      <c r="AS97" s="5"/>
      <c r="AT97" s="5"/>
      <c r="AU97" s="5"/>
      <c r="AV97" s="5"/>
      <c r="AW97" s="5"/>
      <c r="AX97" s="5"/>
      <c r="AY97" s="5"/>
      <c r="AZ97" s="5"/>
      <c r="BA97" s="5"/>
      <c r="BB97" s="5"/>
      <c r="BC97" s="5"/>
      <c r="BD97" s="5"/>
      <c r="BE97" s="5"/>
      <c r="BF97" s="5"/>
      <c r="BG97" s="5"/>
      <c r="BH97" s="5"/>
      <c r="BI97" s="260"/>
      <c r="BJ97" s="260"/>
      <c r="BK97" s="260"/>
      <c r="BL97" s="260"/>
      <c r="BM97" s="260"/>
      <c r="BN97" s="260"/>
      <c r="BO97" s="260"/>
      <c r="BP97" s="260"/>
      <c r="BQ97" s="260"/>
      <c r="BR97" s="260"/>
      <c r="BS97" s="260"/>
      <c r="BT97" s="260"/>
    </row>
    <row r="98">
      <c r="A98" s="1080"/>
      <c r="B98" s="154"/>
      <c r="C98" s="123" t="s">
        <v>631</v>
      </c>
      <c r="D98" s="124" t="s">
        <v>103</v>
      </c>
      <c r="E98" s="752"/>
      <c r="F98" s="1093"/>
      <c r="G98" s="129"/>
      <c r="H98" s="127"/>
      <c r="I98" s="127"/>
      <c r="J98" s="126" t="s">
        <v>87</v>
      </c>
      <c r="K98" s="126" t="str">
        <f t="array" ref="K98">iferror(if(OR(D98="R-Flashing",D98="W-Flashing"),"LM",XLOOKUP(C98,Material!$A:$A,Material!$C:$C)),"")</f>
        <v>ea</v>
      </c>
      <c r="L98" s="161"/>
      <c r="M98" s="150">
        <f>ROUNDUP(M95/0.6,0)+1</f>
        <v>7</v>
      </c>
      <c r="N98" s="151">
        <f t="shared" si="68"/>
        <v>1.154700538</v>
      </c>
      <c r="O98" s="169">
        <v>1.0</v>
      </c>
      <c r="P98" s="134">
        <f t="shared" si="69"/>
        <v>1</v>
      </c>
      <c r="Q98" s="168">
        <f t="shared" si="64"/>
        <v>8.082903769</v>
      </c>
      <c r="R98" s="136">
        <f t="array" ref="R98">IFERROR(
    IF(
        OR(D98="R-Flashing",D98="W-Flashing",D98="R-BG"),
        LET(
            StartRow,
            MATCH(
                I98&amp;"♦"&amp;H98,
                Material!$I:$I&amp;"♦"&amp;Material!$J:$J,
                0
            ),
            INDEX(
                Material!$J:$AF,
                StartRow+1+MATCH(
                    CEILING(E98*1000,50),
                    INDEX(Material!$I:$I,StartRow+2):INDEX(Material!$I:$I,StartRow+25),
                    0
                ),
                MATCH(
                    G98,
                    INDEX(Material!$I:$V,StartRow+1,0),
                    0
                )
            )
        ),
        XLOOKUP(C98,Material!$A:$A,Material!$D:$D)
    ),
"")</f>
        <v>0.2</v>
      </c>
      <c r="S98" s="152">
        <f t="shared" si="65"/>
        <v>1.616580754</v>
      </c>
      <c r="T98" s="138"/>
      <c r="U98" s="1082" t="str">
        <f t="array" ref="U98">IFERROR(
    IF(
        D98="R-Flashing",
        XLOOKUP(CEILING(E98*1000,50),Material!I:I,Material!X:X),
        XLOOKUP(C98,Material!A:A,Material!E:E)
    ),
    ""
)</f>
        <v/>
      </c>
      <c r="V98" s="139"/>
      <c r="W98" s="140">
        <f t="shared" si="66"/>
        <v>0</v>
      </c>
      <c r="X98" s="159"/>
      <c r="Y98" s="5"/>
      <c r="Z98" s="5"/>
      <c r="AA98" s="5"/>
      <c r="AB98" s="354">
        <f t="shared" si="67"/>
        <v>1.616580754</v>
      </c>
      <c r="AC98" s="33"/>
      <c r="AD98" s="65"/>
      <c r="AE98" s="66"/>
      <c r="AF98" s="144"/>
      <c r="AG98" s="68"/>
      <c r="AH98" s="69"/>
      <c r="AI98" s="39"/>
      <c r="AJ98" s="70"/>
      <c r="AK98" s="70"/>
      <c r="AL98" s="5"/>
      <c r="AM98" s="5"/>
      <c r="AN98" s="5"/>
      <c r="AO98" s="5"/>
      <c r="AP98" s="5"/>
      <c r="AQ98" s="5"/>
      <c r="AR98" s="5"/>
      <c r="AS98" s="5"/>
      <c r="AT98" s="5"/>
      <c r="AU98" s="5"/>
      <c r="AV98" s="5"/>
      <c r="AW98" s="5"/>
      <c r="AX98" s="5"/>
      <c r="AY98" s="5"/>
      <c r="AZ98" s="5"/>
      <c r="BA98" s="5"/>
      <c r="BB98" s="5"/>
      <c r="BC98" s="5"/>
      <c r="BD98" s="5"/>
      <c r="BE98" s="5"/>
      <c r="BF98" s="5"/>
      <c r="BG98" s="5"/>
      <c r="BH98" s="5"/>
      <c r="BI98" s="260"/>
      <c r="BJ98" s="260"/>
      <c r="BK98" s="260"/>
      <c r="BL98" s="260"/>
      <c r="BM98" s="260"/>
      <c r="BN98" s="260"/>
      <c r="BO98" s="260"/>
      <c r="BP98" s="260"/>
      <c r="BQ98" s="260"/>
      <c r="BR98" s="260"/>
      <c r="BS98" s="260"/>
      <c r="BT98" s="260"/>
    </row>
    <row r="99">
      <c r="A99" s="1080"/>
      <c r="B99" s="154"/>
      <c r="C99" s="123"/>
      <c r="D99" s="124"/>
      <c r="E99" s="752"/>
      <c r="F99" s="1093"/>
      <c r="G99" s="129"/>
      <c r="H99" s="127"/>
      <c r="I99" s="127"/>
      <c r="J99" s="126"/>
      <c r="K99" s="126"/>
      <c r="L99" s="161"/>
      <c r="M99" s="150"/>
      <c r="N99" s="151"/>
      <c r="O99" s="169"/>
      <c r="P99" s="134"/>
      <c r="Q99" s="168"/>
      <c r="R99" s="136"/>
      <c r="S99" s="152"/>
      <c r="T99" s="138"/>
      <c r="U99" s="1082"/>
      <c r="V99" s="139"/>
      <c r="W99" s="140"/>
      <c r="X99" s="159"/>
      <c r="Y99" s="5"/>
      <c r="Z99" s="5"/>
      <c r="AA99" s="5"/>
      <c r="AB99" s="354"/>
      <c r="AC99" s="33"/>
      <c r="AD99" s="65"/>
      <c r="AE99" s="66"/>
      <c r="AF99" s="144"/>
      <c r="AG99" s="68"/>
      <c r="AH99" s="69"/>
      <c r="AI99" s="39"/>
      <c r="AJ99" s="70"/>
      <c r="AK99" s="70"/>
      <c r="AL99" s="5"/>
      <c r="AM99" s="5"/>
      <c r="AN99" s="5"/>
      <c r="AO99" s="5"/>
      <c r="AP99" s="5"/>
      <c r="AQ99" s="5"/>
      <c r="AR99" s="5"/>
      <c r="AS99" s="5"/>
      <c r="AT99" s="5"/>
      <c r="AU99" s="5"/>
      <c r="AV99" s="5"/>
      <c r="AW99" s="5"/>
      <c r="AX99" s="5"/>
      <c r="AY99" s="5"/>
      <c r="AZ99" s="5"/>
      <c r="BA99" s="5"/>
      <c r="BB99" s="5"/>
      <c r="BC99" s="5"/>
      <c r="BD99" s="5"/>
      <c r="BE99" s="5"/>
      <c r="BF99" s="5"/>
      <c r="BG99" s="5"/>
      <c r="BH99" s="5"/>
      <c r="BI99" s="260"/>
      <c r="BJ99" s="260"/>
      <c r="BK99" s="260"/>
      <c r="BL99" s="260"/>
      <c r="BM99" s="260"/>
      <c r="BN99" s="260"/>
      <c r="BO99" s="260"/>
      <c r="BP99" s="260"/>
      <c r="BQ99" s="260"/>
      <c r="BR99" s="260"/>
      <c r="BS99" s="260"/>
      <c r="BT99" s="260"/>
    </row>
    <row r="100">
      <c r="A100" s="1080" t="s">
        <v>444</v>
      </c>
      <c r="B100" s="154"/>
      <c r="C100" s="123" t="s">
        <v>649</v>
      </c>
      <c r="D100" s="124" t="s">
        <v>96</v>
      </c>
      <c r="E100" s="687">
        <f>VALUE(MID(C100, FIND("(", C100)+1, FIND("/", C100)-FIND("(", C100)-1)) / 1000</f>
        <v>1.2</v>
      </c>
      <c r="F100" s="1085">
        <v>30.0</v>
      </c>
      <c r="G100" s="128">
        <f>VALUE(MID(C100,FIND("/",C100)+1,FIND("B",C100,FIND("/",C100))-FIND("/",C100)-1))</f>
        <v>2</v>
      </c>
      <c r="H100" s="128" t="str">
        <f>IFERROR(__xludf.DUMMYFUNCTION("IFERROR(REGEXEXTRACT(C100,""(\d*\.?\d+)\s*bmt""),IFERROR(REGEXEXTRACT(C100,""(\d*\.?\d+)\s*mm""),""""))"),"0.55")</f>
        <v>0.55</v>
      </c>
      <c r="I100" s="125" t="s">
        <v>630</v>
      </c>
      <c r="J100" s="126" t="s">
        <v>14</v>
      </c>
      <c r="K100" s="126" t="str">
        <f t="array" ref="K100">iferror(if(OR(D100="R-Flashing",D100="W-Flashing"),"LM",XLOOKUP(C100,Material!$A:$A,Material!$C:$C)),"")</f>
        <v>LM</v>
      </c>
      <c r="L100" s="163"/>
      <c r="M100" s="730">
        <v>2.1</v>
      </c>
      <c r="N100" s="151">
        <f>IFERROR(__xludf.DUMMYFUNCTION("IF(
  AND(
    IFERROR(REGEXEXTRACT(C100,""@\s*(\d+(?:\.\d+)?)\s*deg""),"""")&lt;&gt;"""",
    F100&lt;&gt;""""
  ),
  ""Pls Confirm °"",
  IF(
    IFERROR(REGEXEXTRACT(C100,""@\s*(\d+(?:\.\d+)?)\s*deg""),"""")&lt;&gt;"""",
    1/COS(RADIANS(REGEXEXTRACT(C100,""@\s*(\d+(?:"&amp;"\.\d+)?)\s*deg""))),
    IF(
      F100&lt;&gt;"""",
      IF(
        ISNUMBER(SEARCH(""|"",F100)),
        1/COS(
          ATAN(
            TAN(RADIANS(VALUE(INDEX(SPLIT(F100,""|""),1)))) *
            TAN(RADIANS(VALUE(INDEX(SPLIT(F100,""|""),2))))
       "&amp;"     /
            SQRT(
              TAN(RADIANS(VALUE(INDEX(SPLIT(F100,""|""),1))))^2 +
              TAN(RADIANS(VALUE(INDEX(SPLIT(F100,""|""),2))))^2
            )
          )
        ),
        1/COS(RADIANS(VALUE(F100)))
      ),
      1
    )
  )
"&amp;")"),1.1547005383792515)</f>
        <v>1.154700538</v>
      </c>
      <c r="O100" s="169">
        <v>1.0</v>
      </c>
      <c r="P100" s="134">
        <v>1.0</v>
      </c>
      <c r="Q100" s="168">
        <f t="shared" ref="Q100:Q103" si="70">M100*N100*O100*P100</f>
        <v>2.424871131</v>
      </c>
      <c r="R100" s="136">
        <f t="array" ref="R100">IFERROR(
    IF(
        OR(D100="R-Flashing",D100="W-Flashing",D100="R-BG"),
        LET(
            StartRow,
            MATCH(
                I100&amp;"♦"&amp;H100,
                Material!$I:$I&amp;"♦"&amp;Material!$J:$J,
                0
            ),
            INDEX(
                Material!$J:$AF,
                StartRow+1+MATCH(
                    CEILING(E100*1000,50),
                    INDEX(Material!$I:$I,StartRow+2):INDEX(Material!$I:$I,StartRow+25),
                    0
                ),
                MATCH(
                    G100,
                    INDEX(Material!$I:$V,StartRow+1,0),
                    0
                )
            )
        ),
        XLOOKUP(C100,Material!$A:$A,Material!$D:$D)
    ),
"")</f>
        <v>50.28</v>
      </c>
      <c r="S100" s="152">
        <f t="shared" ref="S100:S103" si="71">R100*Q100</f>
        <v>121.9225204</v>
      </c>
      <c r="T100" s="138"/>
      <c r="U100" s="1082">
        <f t="array" ref="U100">IFERROR(
    IF(
        D100="R-Flashing",
        XLOOKUP(CEILING(E100*1000,50),Material!I:I,Material!X:X),
        XLOOKUP(C100,Material!A:A,Material!E:E)
    ),
    ""
)</f>
        <v>20</v>
      </c>
      <c r="V100" s="139"/>
      <c r="W100" s="140">
        <f t="shared" ref="W100:W103" si="72">U100*Q100</f>
        <v>48.49742261</v>
      </c>
      <c r="X100" s="159"/>
      <c r="Y100" s="165"/>
      <c r="Z100" s="1090"/>
      <c r="AA100" s="5"/>
      <c r="AB100" s="354">
        <f t="shared" ref="AB100:AB104" si="73">W100+S100</f>
        <v>170.4199431</v>
      </c>
      <c r="AC100" s="33"/>
      <c r="AD100" s="65"/>
      <c r="AE100" s="66"/>
      <c r="AF100" s="144"/>
      <c r="AG100" s="68"/>
      <c r="AH100" s="69"/>
      <c r="AI100" s="39"/>
      <c r="AJ100" s="70"/>
      <c r="AK100" s="70"/>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260"/>
      <c r="BJ100" s="260"/>
      <c r="BK100" s="260"/>
      <c r="BL100" s="260"/>
      <c r="BM100" s="260"/>
      <c r="BN100" s="260"/>
      <c r="BO100" s="260"/>
      <c r="BP100" s="260"/>
      <c r="BQ100" s="260"/>
      <c r="BR100" s="260"/>
      <c r="BS100" s="260"/>
      <c r="BT100" s="260"/>
    </row>
    <row r="101">
      <c r="A101" s="1080"/>
      <c r="B101" s="154"/>
      <c r="C101" s="225" t="s">
        <v>98</v>
      </c>
      <c r="D101" s="124" t="s">
        <v>99</v>
      </c>
      <c r="E101" s="687">
        <f>E100</f>
        <v>1.2</v>
      </c>
      <c r="F101" s="1085" t="str">
        <f>IFERROR(__xludf.DUMMYFUNCTION("iferror(ROUND(
  DEGREES(
    ATAN(
      TAN(RADIANS(VALUE(INDEX(SPLIT(F100,""|""),1)))) *
      TAN(RADIANS(VALUE(INDEX(SPLIT(F100,""|""),2))))
      /
      SQRT(
        TAN(RADIANS(VALUE(INDEX(SPLIT(F100,""|""),1))))^2 +
        TAN(RADIANS(VALUE(IND"&amp;"EX(SPLIT(F100,""|""),2))))^2
      )
    )
  ),
  2
))"),"")</f>
        <v/>
      </c>
      <c r="G101" s="127"/>
      <c r="H101" s="127" t="str">
        <f>IFERROR(__xludf.DUMMYFUNCTION("IFERROR(REGEXEXTRACT(C101, ""(\d*\.\d+)mm""), """")"),"")</f>
        <v/>
      </c>
      <c r="I101" s="127"/>
      <c r="J101" s="126" t="s">
        <v>87</v>
      </c>
      <c r="K101" s="126" t="str">
        <f t="array" ref="K101">iferror(if(OR(D101="R-Flashing",D101="W-Flashing"),"LM",XLOOKUP(C101,Material!$A:$A,Material!$C:$C)),"")</f>
        <v>ea</v>
      </c>
      <c r="L101" s="163"/>
      <c r="M101" s="150">
        <f>(ROUNDDOWN((M100/5.7)+2,0)*E101)/8</f>
        <v>0.3</v>
      </c>
      <c r="N101" s="151">
        <f t="shared" ref="N101:N103" si="74">if(C101="","",(if(N100="",N99,N100)))</f>
        <v>1.154700538</v>
      </c>
      <c r="O101" s="169">
        <v>1.0</v>
      </c>
      <c r="P101" s="134">
        <f t="shared" ref="P101:P103" si="75">P100</f>
        <v>1</v>
      </c>
      <c r="Q101" s="168">
        <f t="shared" si="70"/>
        <v>0.3464101615</v>
      </c>
      <c r="R101" s="136">
        <f t="array" ref="R101">IFERROR(
    IF(
        OR(D101="R-Flashing",D101="W-Flashing",D101="R-BG"),
        LET(
            StartRow,
            MATCH(
                I101&amp;"♦"&amp;H101,
                Material!$I:$I&amp;"♦"&amp;Material!$J:$J,
                0
            ),
            INDEX(
                Material!$J:$AF,
                StartRow+1+MATCH(
                    CEILING(E101*1000,50),
                    INDEX(Material!$I:$I,StartRow+2):INDEX(Material!$I:$I,StartRow+25),
                    0
                ),
                MATCH(
                    G101,
                    INDEX(Material!$I:$V,StartRow+1,0),
                    0
                )
            )
        ),
        XLOOKUP(C101,Material!$A:$A,Material!$D:$D)
    ),
"")</f>
        <v>10</v>
      </c>
      <c r="S101" s="152">
        <f t="shared" si="71"/>
        <v>3.464101615</v>
      </c>
      <c r="T101" s="138"/>
      <c r="U101" s="1082" t="str">
        <f t="array" ref="U101">IFERROR(
    IF(
        D101="R-Flashing",
        XLOOKUP(CEILING(E101*1000,50),Material!I:I,Material!X:X),
        XLOOKUP(C101,Material!A:A,Material!E:E)
    ),
    ""
)</f>
        <v/>
      </c>
      <c r="V101" s="139"/>
      <c r="W101" s="140">
        <f t="shared" si="72"/>
        <v>0</v>
      </c>
      <c r="X101" s="159"/>
      <c r="Y101" s="5"/>
      <c r="Z101" s="5"/>
      <c r="AA101" s="5"/>
      <c r="AB101" s="354">
        <f t="shared" si="73"/>
        <v>3.464101615</v>
      </c>
      <c r="AC101" s="33"/>
      <c r="AD101" s="65"/>
      <c r="AE101" s="66"/>
      <c r="AF101" s="144"/>
      <c r="AG101" s="68"/>
      <c r="AH101" s="69"/>
      <c r="AI101" s="39"/>
      <c r="AJ101" s="70"/>
      <c r="AK101" s="70"/>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260"/>
      <c r="BJ101" s="260"/>
      <c r="BK101" s="260"/>
      <c r="BL101" s="260"/>
      <c r="BM101" s="260"/>
      <c r="BN101" s="260"/>
      <c r="BO101" s="260"/>
      <c r="BP101" s="260"/>
      <c r="BQ101" s="260"/>
      <c r="BR101" s="260"/>
      <c r="BS101" s="260"/>
      <c r="BT101" s="260"/>
    </row>
    <row r="102">
      <c r="A102" s="1080"/>
      <c r="B102" s="154"/>
      <c r="C102" s="225" t="s">
        <v>100</v>
      </c>
      <c r="D102" s="124" t="s">
        <v>101</v>
      </c>
      <c r="E102" s="687">
        <f>E100</f>
        <v>1.2</v>
      </c>
      <c r="F102" s="1093"/>
      <c r="G102" s="127"/>
      <c r="H102" s="127" t="str">
        <f>IFERROR(__xludf.DUMMYFUNCTION("IFERROR(REGEXEXTRACT(C102, ""(\d*\.\d+)mm""), """")"),"")</f>
        <v/>
      </c>
      <c r="I102" s="127"/>
      <c r="J102" s="126" t="s">
        <v>87</v>
      </c>
      <c r="K102" s="126" t="str">
        <f t="array" ref="K102">iferror(if(OR(D102="R-Flashing",D102="W-Flashing"),"LM",XLOOKUP(C102,Material!$A:$A,Material!$C:$C)),"")</f>
        <v>ea</v>
      </c>
      <c r="L102" s="163"/>
      <c r="M102" s="150">
        <f>ROUNDUP(((M100/5.7)+1)*(E102/0.05),0)</f>
        <v>33</v>
      </c>
      <c r="N102" s="151">
        <f t="shared" si="74"/>
        <v>1.154700538</v>
      </c>
      <c r="O102" s="169">
        <v>1.0</v>
      </c>
      <c r="P102" s="134">
        <f t="shared" si="75"/>
        <v>1</v>
      </c>
      <c r="Q102" s="168">
        <f t="shared" si="70"/>
        <v>38.10511777</v>
      </c>
      <c r="R102" s="136">
        <f t="array" ref="R102">IFERROR(
    IF(
        OR(D102="R-Flashing",D102="W-Flashing",D102="R-BG"),
        LET(
            StartRow,
            MATCH(
                I102&amp;"♦"&amp;H102,
                Material!$I:$I&amp;"♦"&amp;Material!$J:$J,
                0
            ),
            INDEX(
                Material!$J:$AF,
                StartRow+1+MATCH(
                    CEILING(E102*1000,50),
                    INDEX(Material!$I:$I,StartRow+2):INDEX(Material!$I:$I,StartRow+25),
                    0
                ),
                MATCH(
                    G102,
                    INDEX(Material!$I:$V,StartRow+1,0),
                    0
                )
            )
        ),
        XLOOKUP(C102,Material!$A:$A,Material!$D:$D)
    ),
"")</f>
        <v>0.09</v>
      </c>
      <c r="S102" s="152">
        <f t="shared" si="71"/>
        <v>3.429460599</v>
      </c>
      <c r="T102" s="138"/>
      <c r="U102" s="1082" t="str">
        <f t="array" ref="U102">IFERROR(
    IF(
        D102="R-Flashing",
        XLOOKUP(CEILING(E102*1000,50),Material!I:I,Material!X:X),
        XLOOKUP(C102,Material!A:A,Material!E:E)
    ),
    ""
)</f>
        <v/>
      </c>
      <c r="V102" s="139"/>
      <c r="W102" s="140">
        <f t="shared" si="72"/>
        <v>0</v>
      </c>
      <c r="X102" s="159"/>
      <c r="Y102" s="5"/>
      <c r="Z102" s="5"/>
      <c r="AA102" s="5"/>
      <c r="AB102" s="354">
        <f t="shared" si="73"/>
        <v>3.429460599</v>
      </c>
      <c r="AC102" s="33"/>
      <c r="AD102" s="65"/>
      <c r="AE102" s="66"/>
      <c r="AF102" s="144"/>
      <c r="AG102" s="68"/>
      <c r="AH102" s="69"/>
      <c r="AI102" s="39"/>
      <c r="AJ102" s="70"/>
      <c r="AK102" s="70"/>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260"/>
      <c r="BJ102" s="260"/>
      <c r="BK102" s="260"/>
      <c r="BL102" s="260"/>
      <c r="BM102" s="260"/>
      <c r="BN102" s="260"/>
      <c r="BO102" s="260"/>
      <c r="BP102" s="260"/>
      <c r="BQ102" s="260"/>
      <c r="BR102" s="260"/>
      <c r="BS102" s="260"/>
      <c r="BT102" s="260"/>
    </row>
    <row r="103">
      <c r="A103" s="1080"/>
      <c r="B103" s="154"/>
      <c r="C103" s="123" t="s">
        <v>631</v>
      </c>
      <c r="D103" s="124" t="s">
        <v>103</v>
      </c>
      <c r="E103" s="752"/>
      <c r="F103" s="1093"/>
      <c r="G103" s="129"/>
      <c r="H103" s="127"/>
      <c r="I103" s="127"/>
      <c r="J103" s="126" t="s">
        <v>87</v>
      </c>
      <c r="K103" s="126" t="str">
        <f t="array" ref="K103">iferror(if(OR(D103="R-Flashing",D103="W-Flashing"),"LM",XLOOKUP(C103,Material!$A:$A,Material!$C:$C)),"")</f>
        <v>ea</v>
      </c>
      <c r="L103" s="161"/>
      <c r="M103" s="150">
        <f>ROUNDUP(M100/0.6,0)+1</f>
        <v>5</v>
      </c>
      <c r="N103" s="151">
        <f t="shared" si="74"/>
        <v>1.154700538</v>
      </c>
      <c r="O103" s="169">
        <v>1.0</v>
      </c>
      <c r="P103" s="134">
        <f t="shared" si="75"/>
        <v>1</v>
      </c>
      <c r="Q103" s="168">
        <f t="shared" si="70"/>
        <v>5.773502692</v>
      </c>
      <c r="R103" s="136">
        <f t="array" ref="R103">IFERROR(
    IF(
        OR(D103="R-Flashing",D103="W-Flashing",D103="R-BG"),
        LET(
            StartRow,
            MATCH(
                I103&amp;"♦"&amp;H103,
                Material!$I:$I&amp;"♦"&amp;Material!$J:$J,
                0
            ),
            INDEX(
                Material!$J:$AF,
                StartRow+1+MATCH(
                    CEILING(E103*1000,50),
                    INDEX(Material!$I:$I,StartRow+2):INDEX(Material!$I:$I,StartRow+25),
                    0
                ),
                MATCH(
                    G103,
                    INDEX(Material!$I:$V,StartRow+1,0),
                    0
                )
            )
        ),
        XLOOKUP(C103,Material!$A:$A,Material!$D:$D)
    ),
"")</f>
        <v>0.2</v>
      </c>
      <c r="S103" s="152">
        <f t="shared" si="71"/>
        <v>1.154700538</v>
      </c>
      <c r="T103" s="138"/>
      <c r="U103" s="1082" t="str">
        <f t="array" ref="U103">IFERROR(
    IF(
        D103="R-Flashing",
        XLOOKUP(CEILING(E103*1000,50),Material!I:I,Material!X:X),
        XLOOKUP(C103,Material!A:A,Material!E:E)
    ),
    ""
)</f>
        <v/>
      </c>
      <c r="V103" s="139"/>
      <c r="W103" s="140">
        <f t="shared" si="72"/>
        <v>0</v>
      </c>
      <c r="X103" s="159"/>
      <c r="Y103" s="5"/>
      <c r="Z103" s="5"/>
      <c r="AA103" s="5"/>
      <c r="AB103" s="354">
        <f t="shared" si="73"/>
        <v>1.154700538</v>
      </c>
      <c r="AC103" s="33"/>
      <c r="AD103" s="65"/>
      <c r="AE103" s="66"/>
      <c r="AF103" s="144"/>
      <c r="AG103" s="68"/>
      <c r="AH103" s="69"/>
      <c r="AI103" s="39"/>
      <c r="AJ103" s="70"/>
      <c r="AK103" s="70"/>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260"/>
      <c r="BJ103" s="260"/>
      <c r="BK103" s="260"/>
      <c r="BL103" s="260"/>
      <c r="BM103" s="260"/>
      <c r="BN103" s="260"/>
      <c r="BO103" s="260"/>
      <c r="BP103" s="260"/>
      <c r="BQ103" s="260"/>
      <c r="BR103" s="260"/>
      <c r="BS103" s="260"/>
      <c r="BT103" s="260"/>
    </row>
    <row r="104">
      <c r="A104" s="1080"/>
      <c r="B104" s="154"/>
      <c r="C104" s="700"/>
      <c r="D104" s="701"/>
      <c r="E104" s="722"/>
      <c r="F104" s="1088"/>
      <c r="G104" s="701"/>
      <c r="H104" s="128"/>
      <c r="I104" s="700"/>
      <c r="J104" s="701"/>
      <c r="K104" s="126" t="str">
        <f t="array" ref="K104">iferror(if(OR(D104="R-Flashing",D104="W-Flashing"),"LM",XLOOKUP(C104,Material!$A:$A,Material!$C:$C)),"")</f>
        <v/>
      </c>
      <c r="L104" s="712"/>
      <c r="M104" s="704"/>
      <c r="N104" s="151" t="str">
        <f>if(C104="","",(if(N93="",N92,N93)))</f>
        <v/>
      </c>
      <c r="O104" s="712"/>
      <c r="P104" s="700"/>
      <c r="Q104" s="712"/>
      <c r="R104" s="136" t="str">
        <f t="array" ref="R104">IFERROR(
    IF(
        OR(D104="R-Flashing",D104="W-Flashing",D104="R-BG"),
        LET(
            StartRow,
            MATCH(
                I104&amp;"♦"&amp;H104,
                Material!$I:$I&amp;"♦"&amp;Material!$J:$J,
                0
            ),
            INDEX(
                Material!$J:$AF,
                StartRow+1+MATCH(
                    CEILING(E104*1000,50),
                    INDEX(Material!$I:$I,StartRow+2):INDEX(Material!$I:$I,StartRow+25),
                    0
                ),
                MATCH(
                    G104,
                    INDEX(Material!$I:$V,StartRow+1,0),
                    0
                )
            )
        ),
        XLOOKUP(C104,Material!$A:$A,Material!$D:$D)
    ),
"")</f>
        <v/>
      </c>
      <c r="S104" s="691"/>
      <c r="T104" s="690"/>
      <c r="U104" s="1082" t="str">
        <f t="array" ref="U104">IFERROR(
    IF(
        D104="R-Flashing",
        XLOOKUP(CEILING(E104*1000,50),Material!I:I,Material!X:X),
        XLOOKUP(C104,Material!A:A,Material!E:E)
    ),
    ""
)</f>
        <v/>
      </c>
      <c r="V104" s="691"/>
      <c r="W104" s="713"/>
      <c r="X104" s="692"/>
      <c r="Y104" s="595"/>
      <c r="Z104" s="595"/>
      <c r="AA104" s="595"/>
      <c r="AB104" s="354">
        <f t="shared" si="73"/>
        <v>0</v>
      </c>
      <c r="AC104" s="181"/>
      <c r="AD104" s="625"/>
      <c r="AE104" s="626"/>
      <c r="AF104" s="696"/>
      <c r="AG104" s="697"/>
      <c r="AH104" s="629"/>
      <c r="AI104" s="187"/>
      <c r="AJ104" s="630"/>
      <c r="AK104" s="630"/>
      <c r="AL104" s="595"/>
      <c r="AM104" s="595"/>
      <c r="AN104" s="595"/>
      <c r="AO104" s="595"/>
      <c r="AP104" s="595"/>
      <c r="AQ104" s="595"/>
      <c r="AR104" s="595"/>
      <c r="AS104" s="595"/>
      <c r="AT104" s="595"/>
      <c r="AU104" s="595"/>
      <c r="AV104" s="595"/>
      <c r="AW104" s="595"/>
      <c r="AX104" s="595"/>
      <c r="AY104" s="595"/>
      <c r="AZ104" s="595"/>
      <c r="BA104" s="595"/>
      <c r="BB104" s="595"/>
      <c r="BC104" s="595"/>
      <c r="BD104" s="595"/>
      <c r="BE104" s="595"/>
      <c r="BF104" s="595"/>
      <c r="BG104" s="595"/>
      <c r="BH104" s="595"/>
      <c r="BI104" s="651"/>
      <c r="BJ104" s="651"/>
      <c r="BK104" s="651"/>
      <c r="BL104" s="651"/>
      <c r="BM104" s="651"/>
      <c r="BN104" s="651"/>
      <c r="BO104" s="651"/>
      <c r="BP104" s="651"/>
      <c r="BQ104" s="651"/>
      <c r="BR104" s="651"/>
      <c r="BS104" s="651"/>
      <c r="BT104" s="651"/>
    </row>
    <row r="105">
      <c r="A105" s="1080">
        <v>1.0</v>
      </c>
      <c r="B105" s="102"/>
      <c r="C105" s="103" t="s">
        <v>650</v>
      </c>
      <c r="D105" s="104"/>
      <c r="E105" s="749"/>
      <c r="F105" s="1089"/>
      <c r="G105" s="104"/>
      <c r="H105" s="104"/>
      <c r="I105" s="104"/>
      <c r="J105" s="104"/>
      <c r="K105" s="104" t="s">
        <v>42</v>
      </c>
      <c r="L105" s="106">
        <f>Q105</f>
        <v>1.905255888</v>
      </c>
      <c r="M105" s="105" t="s">
        <v>42</v>
      </c>
      <c r="N105" s="107"/>
      <c r="O105" s="105"/>
      <c r="P105" s="104"/>
      <c r="Q105" s="106">
        <f>Q106</f>
        <v>1.905255888</v>
      </c>
      <c r="R105" s="136" t="str">
        <f t="array" ref="R105">IFERROR(
    IF(
        OR(D105="R-Flashing",D105="W-Flashing",D105="R-BG"),
        LET(
            StartRow,
            MATCH(
                I105&amp;"♦"&amp;H105,
                Material!$I:$I&amp;"♦"&amp;Material!$J:$J,
                0
            ),
            INDEX(
                Material!$J:$AF,
                StartRow+1+MATCH(
                    CEILING(E105*1000,50),
                    INDEX(Material!$I:$I,StartRow+2):INDEX(Material!$I:$I,StartRow+25),
                    0
                ),
                MATCH(
                    G105,
                    INDEX(Material!$I:$V,StartRow+1,0),
                    0
                )
            )
        ),
        XLOOKUP(C105,Material!$A:$A,Material!$D:$D)
    ),
"")</f>
        <v/>
      </c>
      <c r="S105" s="682">
        <f>IFERROR(T105/Q105, 0)</f>
        <v>35.42181818</v>
      </c>
      <c r="T105" s="109">
        <f>SUM(S106:S110)</f>
        <v>67.48762767</v>
      </c>
      <c r="U105" s="1082" t="str">
        <f t="array" ref="U105">IFERROR(
    IF(
        D105="R-Flashing",
        XLOOKUP(CEILING(E105*1000,50),Material!I:I,Material!X:X),
        XLOOKUP(C105,Material!A:A,Material!E:E)
    ),
    ""
)</f>
        <v/>
      </c>
      <c r="V105" s="109">
        <f>W105/Q105</f>
        <v>15</v>
      </c>
      <c r="W105" s="110">
        <f>SUM(W106:W110)</f>
        <v>28.57883832</v>
      </c>
      <c r="X105" s="111">
        <f>W105/$AC$210/$W$217/$X$207</f>
        <v>0.01941497169</v>
      </c>
      <c r="Y105" s="112" t="b">
        <f>(T105+W105)=(SUM(AB106:AB110))</f>
        <v>1</v>
      </c>
      <c r="Z105" s="113">
        <f>(T105+W105)-(SUM(AB106:AB110))</f>
        <v>0</v>
      </c>
      <c r="AA105" s="5"/>
      <c r="AB105" s="5"/>
      <c r="AC105" s="33"/>
      <c r="AD105" s="114">
        <f>W105+T105</f>
        <v>96.06646599</v>
      </c>
      <c r="AE105" s="115">
        <f>AD105</f>
        <v>96.06646599</v>
      </c>
      <c r="AF105" s="116">
        <f>AE105/$AE$185</f>
        <v>0.001345762911</v>
      </c>
      <c r="AG105" s="683">
        <f>AF105*$AG$192</f>
        <v>36.74784743</v>
      </c>
      <c r="AH105" s="118">
        <f>AF105*$AG$195</f>
        <v>21.42810942</v>
      </c>
      <c r="AI105" s="187"/>
      <c r="AJ105" s="119">
        <f>ROUND(AK105/L105,2)</f>
        <v>80.96</v>
      </c>
      <c r="AK105" s="119">
        <f>ROUND(AH105+AG105+AD105,2)</f>
        <v>154.24</v>
      </c>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260"/>
      <c r="BJ105" s="260"/>
      <c r="BK105" s="260"/>
      <c r="BL105" s="260"/>
      <c r="BM105" s="260"/>
      <c r="BN105" s="260"/>
      <c r="BO105" s="260"/>
      <c r="BP105" s="260"/>
      <c r="BQ105" s="260"/>
      <c r="BR105" s="260"/>
      <c r="BS105" s="260"/>
      <c r="BT105" s="260"/>
    </row>
    <row r="106">
      <c r="A106" s="1080" t="s">
        <v>444</v>
      </c>
      <c r="B106" s="154"/>
      <c r="C106" s="123" t="s">
        <v>651</v>
      </c>
      <c r="D106" s="124" t="s">
        <v>96</v>
      </c>
      <c r="E106" s="687">
        <f>VALUE(MID(C106, FIND("(", C106)+1, FIND("/", C106)-FIND("(", C106)-1)) / 1000</f>
        <v>0.7</v>
      </c>
      <c r="F106" s="1085">
        <v>30.0</v>
      </c>
      <c r="G106" s="128">
        <f>VALUE(MID(C106,FIND("/",C106)+1,FIND("B",C106,FIND("/",C106))-FIND("/",C106)-1))</f>
        <v>2</v>
      </c>
      <c r="H106" s="128" t="str">
        <f>IFERROR(__xludf.DUMMYFUNCTION("IFERROR(REGEXEXTRACT(C106,""(\d*\.?\d+)\s*bmt""),IFERROR(REGEXEXTRACT(C106,""(\d*\.?\d+)\s*mm""),""""))"),"0.55")</f>
        <v>0.55</v>
      </c>
      <c r="I106" s="125" t="s">
        <v>630</v>
      </c>
      <c r="J106" s="126" t="s">
        <v>14</v>
      </c>
      <c r="K106" s="126" t="str">
        <f t="array" ref="K106">iferror(if(OR(D106="R-Flashing",D106="W-Flashing"),"LM",XLOOKUP(C106,Material!$A:$A,Material!$C:$C)),"")</f>
        <v>LM</v>
      </c>
      <c r="L106" s="163"/>
      <c r="M106" s="730">
        <v>1.65</v>
      </c>
      <c r="N106" s="151">
        <f>IFERROR(__xludf.DUMMYFUNCTION("IF(
  AND(
    IFERROR(REGEXEXTRACT(C106,""@\s*(\d+(?:\.\d+)?)\s*deg""),"""")&lt;&gt;"""",
    F106&lt;&gt;""""
  ),
  ""Pls Confirm °"",
  IF(
    IFERROR(REGEXEXTRACT(C106,""@\s*(\d+(?:\.\d+)?)\s*deg""),"""")&lt;&gt;"""",
    1/COS(RADIANS(REGEXEXTRACT(C106,""@\s*(\d+(?:"&amp;"\.\d+)?)\s*deg""))),
    IF(
      F106&lt;&gt;"""",
      IF(
        ISNUMBER(SEARCH(""|"",F106)),
        1/COS(
          ATAN(
            TAN(RADIANS(VALUE(INDEX(SPLIT(F106,""|""),1)))) *
            TAN(RADIANS(VALUE(INDEX(SPLIT(F106,""|""),2))))
       "&amp;"     /
            SQRT(
              TAN(RADIANS(VALUE(INDEX(SPLIT(F106,""|""),1))))^2 +
              TAN(RADIANS(VALUE(INDEX(SPLIT(F106,""|""),2))))^2
            )
          )
        ),
        1/COS(RADIANS(VALUE(F106)))
      ),
      1
    )
  )
"&amp;")"),1.1547005383792515)</f>
        <v>1.154700538</v>
      </c>
      <c r="O106" s="169">
        <v>1.0</v>
      </c>
      <c r="P106" s="134">
        <v>1.0</v>
      </c>
      <c r="Q106" s="168">
        <f t="shared" ref="Q106:Q109" si="76">M106*N106*O106*P106</f>
        <v>1.905255888</v>
      </c>
      <c r="R106" s="136">
        <f t="array" ref="R106">IFERROR(
    IF(
        OR(D106="R-Flashing",D106="W-Flashing",D106="R-BG"),
        LET(
            StartRow,
            MATCH(
                I106&amp;"♦"&amp;H106,
                Material!$I:$I&amp;"♦"&amp;Material!$J:$J,
                0
            ),
            INDEX(
                Material!$J:$AF,
                StartRow+1+MATCH(
                    CEILING(E106*1000,50),
                    INDEX(Material!$I:$I,StartRow+2):INDEX(Material!$I:$I,StartRow+25),
                    0
                ),
                MATCH(
                    G106,
                    INDEX(Material!$I:$V,StartRow+1,0),
                    0
                )
            )
        ),
        XLOOKUP(C106,Material!$A:$A,Material!$D:$D)
    ),
"")</f>
        <v>32.84</v>
      </c>
      <c r="S106" s="152">
        <f t="shared" ref="S106:S109" si="77">R106*Q106</f>
        <v>62.56860337</v>
      </c>
      <c r="T106" s="138"/>
      <c r="U106" s="1082">
        <f t="array" ref="U106">IFERROR(
    IF(
        D106="R-Flashing",
        XLOOKUP(CEILING(E106*1000,50),Material!I:I,Material!X:X),
        XLOOKUP(C106,Material!A:A,Material!E:E)
    ),
    ""
)</f>
        <v>15</v>
      </c>
      <c r="V106" s="139"/>
      <c r="W106" s="140">
        <f t="shared" ref="W106:W109" si="78">U106*Q106</f>
        <v>28.57883832</v>
      </c>
      <c r="X106" s="159"/>
      <c r="Y106" s="165"/>
      <c r="Z106" s="1090"/>
      <c r="AA106" s="5"/>
      <c r="AB106" s="354">
        <f t="shared" ref="AB106:AB110" si="79">W106+S106</f>
        <v>91.1474417</v>
      </c>
      <c r="AC106" s="33"/>
      <c r="AD106" s="65"/>
      <c r="AE106" s="66"/>
      <c r="AF106" s="144"/>
      <c r="AG106" s="68"/>
      <c r="AH106" s="69"/>
      <c r="AI106" s="39"/>
      <c r="AJ106" s="70"/>
      <c r="AK106" s="70"/>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260"/>
      <c r="BJ106" s="260"/>
      <c r="BK106" s="260"/>
      <c r="BL106" s="260"/>
      <c r="BM106" s="260"/>
      <c r="BN106" s="260"/>
      <c r="BO106" s="260"/>
      <c r="BP106" s="260"/>
      <c r="BQ106" s="260"/>
      <c r="BR106" s="260"/>
      <c r="BS106" s="260"/>
      <c r="BT106" s="260"/>
    </row>
    <row r="107">
      <c r="A107" s="1080"/>
      <c r="B107" s="154"/>
      <c r="C107" s="225" t="s">
        <v>98</v>
      </c>
      <c r="D107" s="124" t="s">
        <v>99</v>
      </c>
      <c r="E107" s="687">
        <f>E106</f>
        <v>0.7</v>
      </c>
      <c r="F107" s="1085" t="str">
        <f>IFERROR(__xludf.DUMMYFUNCTION("iferror(ROUND(
  DEGREES(
    ATAN(
      TAN(RADIANS(VALUE(INDEX(SPLIT(F106,""|""),1)))) *
      TAN(RADIANS(VALUE(INDEX(SPLIT(F106,""|""),2))))
      /
      SQRT(
        TAN(RADIANS(VALUE(INDEX(SPLIT(F106,""|""),1))))^2 +
        TAN(RADIANS(VALUE(IND"&amp;"EX(SPLIT(F106,""|""),2))))^2
      )
    )
  ),
  2
))"),"")</f>
        <v/>
      </c>
      <c r="G107" s="127"/>
      <c r="H107" s="127" t="str">
        <f>IFERROR(__xludf.DUMMYFUNCTION("IFERROR(REGEXEXTRACT(C107, ""(\d*\.\d+)mm""), """")"),"")</f>
        <v/>
      </c>
      <c r="I107" s="127"/>
      <c r="J107" s="126" t="s">
        <v>87</v>
      </c>
      <c r="K107" s="126" t="str">
        <f t="array" ref="K107">iferror(if(OR(D107="R-Flashing",D107="W-Flashing"),"LM",XLOOKUP(C107,Material!$A:$A,Material!$C:$C)),"")</f>
        <v>ea</v>
      </c>
      <c r="L107" s="163"/>
      <c r="M107" s="150">
        <f>(ROUNDDOWN((M106/5.7)+2,0)*E107)/8</f>
        <v>0.175</v>
      </c>
      <c r="N107" s="151">
        <f t="shared" ref="N107:N110" si="80">if(C107="","",(if(N106="",N105,N106)))</f>
        <v>1.154700538</v>
      </c>
      <c r="O107" s="169">
        <v>1.0</v>
      </c>
      <c r="P107" s="134">
        <f t="shared" ref="P107:P109" si="81">P106</f>
        <v>1</v>
      </c>
      <c r="Q107" s="168">
        <f t="shared" si="76"/>
        <v>0.2020725942</v>
      </c>
      <c r="R107" s="136">
        <f t="array" ref="R107">IFERROR(
    IF(
        OR(D107="R-Flashing",D107="W-Flashing",D107="R-BG"),
        LET(
            StartRow,
            MATCH(
                I107&amp;"♦"&amp;H107,
                Material!$I:$I&amp;"♦"&amp;Material!$J:$J,
                0
            ),
            INDEX(
                Material!$J:$AF,
                StartRow+1+MATCH(
                    CEILING(E107*1000,50),
                    INDEX(Material!$I:$I,StartRow+2):INDEX(Material!$I:$I,StartRow+25),
                    0
                ),
                MATCH(
                    G107,
                    INDEX(Material!$I:$V,StartRow+1,0),
                    0
                )
            )
        ),
        XLOOKUP(C107,Material!$A:$A,Material!$D:$D)
    ),
"")</f>
        <v>10</v>
      </c>
      <c r="S107" s="152">
        <f t="shared" si="77"/>
        <v>2.020725942</v>
      </c>
      <c r="T107" s="138"/>
      <c r="U107" s="1082" t="str">
        <f t="array" ref="U107">IFERROR(
    IF(
        D107="R-Flashing",
        XLOOKUP(CEILING(E107*1000,50),Material!I:I,Material!X:X),
        XLOOKUP(C107,Material!A:A,Material!E:E)
    ),
    ""
)</f>
        <v/>
      </c>
      <c r="V107" s="139"/>
      <c r="W107" s="140">
        <f t="shared" si="78"/>
        <v>0</v>
      </c>
      <c r="X107" s="159"/>
      <c r="Y107" s="5"/>
      <c r="Z107" s="5"/>
      <c r="AA107" s="5"/>
      <c r="AB107" s="354">
        <f t="shared" si="79"/>
        <v>2.020725942</v>
      </c>
      <c r="AC107" s="33"/>
      <c r="AD107" s="65"/>
      <c r="AE107" s="66"/>
      <c r="AF107" s="144"/>
      <c r="AG107" s="68"/>
      <c r="AH107" s="69"/>
      <c r="AI107" s="39"/>
      <c r="AJ107" s="70"/>
      <c r="AK107" s="70"/>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260"/>
      <c r="BJ107" s="260"/>
      <c r="BK107" s="260"/>
      <c r="BL107" s="260"/>
      <c r="BM107" s="260"/>
      <c r="BN107" s="260"/>
      <c r="BO107" s="260"/>
      <c r="BP107" s="260"/>
      <c r="BQ107" s="260"/>
      <c r="BR107" s="260"/>
      <c r="BS107" s="260"/>
      <c r="BT107" s="260"/>
    </row>
    <row r="108">
      <c r="A108" s="1080"/>
      <c r="B108" s="154"/>
      <c r="C108" s="225" t="s">
        <v>100</v>
      </c>
      <c r="D108" s="124" t="s">
        <v>101</v>
      </c>
      <c r="E108" s="687">
        <f>E106</f>
        <v>0.7</v>
      </c>
      <c r="F108" s="1093"/>
      <c r="G108" s="127"/>
      <c r="H108" s="127" t="str">
        <f>IFERROR(__xludf.DUMMYFUNCTION("IFERROR(REGEXEXTRACT(C108, ""(\d*\.\d+)mm""), """")"),"")</f>
        <v/>
      </c>
      <c r="I108" s="127"/>
      <c r="J108" s="126" t="s">
        <v>87</v>
      </c>
      <c r="K108" s="126" t="str">
        <f t="array" ref="K108">iferror(if(OR(D108="R-Flashing",D108="W-Flashing"),"LM",XLOOKUP(C108,Material!$A:$A,Material!$C:$C)),"")</f>
        <v>ea</v>
      </c>
      <c r="L108" s="163"/>
      <c r="M108" s="150">
        <f>ROUNDUP(((M106/5.7)+1)*(E108/0.05),0)</f>
        <v>19</v>
      </c>
      <c r="N108" s="151">
        <f t="shared" si="80"/>
        <v>1.154700538</v>
      </c>
      <c r="O108" s="169">
        <v>1.0</v>
      </c>
      <c r="P108" s="134">
        <f t="shared" si="81"/>
        <v>1</v>
      </c>
      <c r="Q108" s="168">
        <f t="shared" si="76"/>
        <v>21.93931023</v>
      </c>
      <c r="R108" s="136">
        <f t="array" ref="R108">IFERROR(
    IF(
        OR(D108="R-Flashing",D108="W-Flashing",D108="R-BG"),
        LET(
            StartRow,
            MATCH(
                I108&amp;"♦"&amp;H108,
                Material!$I:$I&amp;"♦"&amp;Material!$J:$J,
                0
            ),
            INDEX(
                Material!$J:$AF,
                StartRow+1+MATCH(
                    CEILING(E108*1000,50),
                    INDEX(Material!$I:$I,StartRow+2):INDEX(Material!$I:$I,StartRow+25),
                    0
                ),
                MATCH(
                    G108,
                    INDEX(Material!$I:$V,StartRow+1,0),
                    0
                )
            )
        ),
        XLOOKUP(C108,Material!$A:$A,Material!$D:$D)
    ),
"")</f>
        <v>0.09</v>
      </c>
      <c r="S108" s="152">
        <f t="shared" si="77"/>
        <v>1.974537921</v>
      </c>
      <c r="T108" s="138"/>
      <c r="U108" s="1082" t="str">
        <f t="array" ref="U108">IFERROR(
    IF(
        D108="R-Flashing",
        XLOOKUP(CEILING(E108*1000,50),Material!I:I,Material!X:X),
        XLOOKUP(C108,Material!A:A,Material!E:E)
    ),
    ""
)</f>
        <v/>
      </c>
      <c r="V108" s="139"/>
      <c r="W108" s="140">
        <f t="shared" si="78"/>
        <v>0</v>
      </c>
      <c r="X108" s="159"/>
      <c r="Y108" s="5"/>
      <c r="Z108" s="5"/>
      <c r="AA108" s="5"/>
      <c r="AB108" s="354">
        <f t="shared" si="79"/>
        <v>1.974537921</v>
      </c>
      <c r="AC108" s="33"/>
      <c r="AD108" s="65"/>
      <c r="AE108" s="66"/>
      <c r="AF108" s="144"/>
      <c r="AG108" s="68"/>
      <c r="AH108" s="69"/>
      <c r="AI108" s="39"/>
      <c r="AJ108" s="70"/>
      <c r="AK108" s="70"/>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260"/>
      <c r="BJ108" s="260"/>
      <c r="BK108" s="260"/>
      <c r="BL108" s="260"/>
      <c r="BM108" s="260"/>
      <c r="BN108" s="260"/>
      <c r="BO108" s="260"/>
      <c r="BP108" s="260"/>
      <c r="BQ108" s="260"/>
      <c r="BR108" s="260"/>
      <c r="BS108" s="260"/>
      <c r="BT108" s="260"/>
    </row>
    <row r="109">
      <c r="A109" s="1080"/>
      <c r="B109" s="154"/>
      <c r="C109" s="123" t="s">
        <v>631</v>
      </c>
      <c r="D109" s="124" t="s">
        <v>103</v>
      </c>
      <c r="E109" s="752"/>
      <c r="F109" s="1093"/>
      <c r="G109" s="129"/>
      <c r="H109" s="127"/>
      <c r="I109" s="127"/>
      <c r="J109" s="126" t="s">
        <v>87</v>
      </c>
      <c r="K109" s="126" t="str">
        <f t="array" ref="K109">iferror(if(OR(D109="R-Flashing",D109="W-Flashing"),"LM",XLOOKUP(C109,Material!$A:$A,Material!$C:$C)),"")</f>
        <v>ea</v>
      </c>
      <c r="L109" s="161"/>
      <c r="M109" s="150">
        <f>ROUNDUP(M106/0.6,0)+1</f>
        <v>4</v>
      </c>
      <c r="N109" s="151">
        <f t="shared" si="80"/>
        <v>1.154700538</v>
      </c>
      <c r="O109" s="169">
        <v>1.0</v>
      </c>
      <c r="P109" s="134">
        <f t="shared" si="81"/>
        <v>1</v>
      </c>
      <c r="Q109" s="168">
        <f t="shared" si="76"/>
        <v>4.618802154</v>
      </c>
      <c r="R109" s="136">
        <f t="array" ref="R109">IFERROR(
    IF(
        OR(D109="R-Flashing",D109="W-Flashing",D109="R-BG"),
        LET(
            StartRow,
            MATCH(
                I109&amp;"♦"&amp;H109,
                Material!$I:$I&amp;"♦"&amp;Material!$J:$J,
                0
            ),
            INDEX(
                Material!$J:$AF,
                StartRow+1+MATCH(
                    CEILING(E109*1000,50),
                    INDEX(Material!$I:$I,StartRow+2):INDEX(Material!$I:$I,StartRow+25),
                    0
                ),
                MATCH(
                    G109,
                    INDEX(Material!$I:$V,StartRow+1,0),
                    0
                )
            )
        ),
        XLOOKUP(C109,Material!$A:$A,Material!$D:$D)
    ),
"")</f>
        <v>0.2</v>
      </c>
      <c r="S109" s="152">
        <f t="shared" si="77"/>
        <v>0.9237604307</v>
      </c>
      <c r="T109" s="138"/>
      <c r="U109" s="1082" t="str">
        <f t="array" ref="U109">IFERROR(
    IF(
        D109="R-Flashing",
        XLOOKUP(CEILING(E109*1000,50),Material!I:I,Material!X:X),
        XLOOKUP(C109,Material!A:A,Material!E:E)
    ),
    ""
)</f>
        <v/>
      </c>
      <c r="V109" s="139"/>
      <c r="W109" s="140">
        <f t="shared" si="78"/>
        <v>0</v>
      </c>
      <c r="X109" s="159"/>
      <c r="Y109" s="5"/>
      <c r="Z109" s="5"/>
      <c r="AA109" s="5"/>
      <c r="AB109" s="354">
        <f t="shared" si="79"/>
        <v>0.9237604307</v>
      </c>
      <c r="AC109" s="33"/>
      <c r="AD109" s="65"/>
      <c r="AE109" s="66"/>
      <c r="AF109" s="144"/>
      <c r="AG109" s="68"/>
      <c r="AH109" s="69"/>
      <c r="AI109" s="39"/>
      <c r="AJ109" s="70"/>
      <c r="AK109" s="70"/>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260"/>
      <c r="BJ109" s="260"/>
      <c r="BK109" s="260"/>
      <c r="BL109" s="260"/>
      <c r="BM109" s="260"/>
      <c r="BN109" s="260"/>
      <c r="BO109" s="260"/>
      <c r="BP109" s="260"/>
      <c r="BQ109" s="260"/>
      <c r="BR109" s="260"/>
      <c r="BS109" s="260"/>
      <c r="BT109" s="260"/>
    </row>
    <row r="110">
      <c r="A110" s="1080"/>
      <c r="B110" s="154"/>
      <c r="C110" s="700"/>
      <c r="D110" s="701"/>
      <c r="E110" s="722"/>
      <c r="F110" s="1088"/>
      <c r="G110" s="701"/>
      <c r="H110" s="128"/>
      <c r="I110" s="700"/>
      <c r="J110" s="701"/>
      <c r="K110" s="126" t="str">
        <f t="array" ref="K110">iferror(if(OR(D110="R-Flashing",D110="W-Flashing"),"LM",XLOOKUP(C110,Material!$A:$A,Material!$C:$C)),"")</f>
        <v/>
      </c>
      <c r="L110" s="712"/>
      <c r="M110" s="704"/>
      <c r="N110" s="151" t="str">
        <f t="shared" si="80"/>
        <v/>
      </c>
      <c r="O110" s="712"/>
      <c r="P110" s="700"/>
      <c r="Q110" s="712"/>
      <c r="R110" s="136" t="str">
        <f t="array" ref="R110">IFERROR(
    IF(
        OR(D110="R-Flashing",D110="W-Flashing",D110="R-BG"),
        LET(
            StartRow,
            MATCH(
                I110&amp;"♦"&amp;H110,
                Material!$I:$I&amp;"♦"&amp;Material!$J:$J,
                0
            ),
            INDEX(
                Material!$J:$AF,
                StartRow+1+MATCH(
                    CEILING(E110*1000,50),
                    INDEX(Material!$I:$I,StartRow+2):INDEX(Material!$I:$I,StartRow+25),
                    0
                ),
                MATCH(
                    G110,
                    INDEX(Material!$I:$V,StartRow+1,0),
                    0
                )
            )
        ),
        XLOOKUP(C110,Material!$A:$A,Material!$D:$D)
    ),
"")</f>
        <v/>
      </c>
      <c r="S110" s="691"/>
      <c r="T110" s="690"/>
      <c r="U110" s="1082" t="str">
        <f t="array" ref="U110">IFERROR(
    IF(
        D110="R-Flashing",
        XLOOKUP(CEILING(E110*1000,50),Material!I:I,Material!X:X),
        XLOOKUP(C110,Material!A:A,Material!E:E)
    ),
    ""
)</f>
        <v/>
      </c>
      <c r="V110" s="691"/>
      <c r="W110" s="713"/>
      <c r="X110" s="692"/>
      <c r="Y110" s="595"/>
      <c r="Z110" s="595"/>
      <c r="AA110" s="595"/>
      <c r="AB110" s="354">
        <f t="shared" si="79"/>
        <v>0</v>
      </c>
      <c r="AC110" s="181"/>
      <c r="AD110" s="625"/>
      <c r="AE110" s="626"/>
      <c r="AF110" s="696"/>
      <c r="AG110" s="697"/>
      <c r="AH110" s="629"/>
      <c r="AI110" s="187"/>
      <c r="AJ110" s="630"/>
      <c r="AK110" s="630"/>
      <c r="AL110" s="595"/>
      <c r="AM110" s="595"/>
      <c r="AN110" s="595"/>
      <c r="AO110" s="595"/>
      <c r="AP110" s="595"/>
      <c r="AQ110" s="595"/>
      <c r="AR110" s="595"/>
      <c r="AS110" s="595"/>
      <c r="AT110" s="595"/>
      <c r="AU110" s="595"/>
      <c r="AV110" s="595"/>
      <c r="AW110" s="595"/>
      <c r="AX110" s="595"/>
      <c r="AY110" s="595"/>
      <c r="AZ110" s="595"/>
      <c r="BA110" s="595"/>
      <c r="BB110" s="595"/>
      <c r="BC110" s="595"/>
      <c r="BD110" s="595"/>
      <c r="BE110" s="595"/>
      <c r="BF110" s="595"/>
      <c r="BG110" s="595"/>
      <c r="BH110" s="595"/>
      <c r="BI110" s="651"/>
      <c r="BJ110" s="651"/>
      <c r="BK110" s="651"/>
      <c r="BL110" s="651"/>
      <c r="BM110" s="651"/>
      <c r="BN110" s="651"/>
      <c r="BO110" s="651"/>
      <c r="BP110" s="651"/>
      <c r="BQ110" s="651"/>
      <c r="BR110" s="651"/>
      <c r="BS110" s="651"/>
      <c r="BT110" s="651"/>
    </row>
    <row r="111">
      <c r="A111" s="1080">
        <v>1.0</v>
      </c>
      <c r="B111" s="102"/>
      <c r="C111" s="103" t="s">
        <v>652</v>
      </c>
      <c r="D111" s="104"/>
      <c r="E111" s="749"/>
      <c r="F111" s="1089"/>
      <c r="G111" s="104"/>
      <c r="H111" s="104"/>
      <c r="I111" s="104"/>
      <c r="J111" s="104"/>
      <c r="K111" s="104" t="s">
        <v>42</v>
      </c>
      <c r="L111" s="106">
        <f>Q111</f>
        <v>2.136195996</v>
      </c>
      <c r="M111" s="105" t="s">
        <v>42</v>
      </c>
      <c r="N111" s="107"/>
      <c r="O111" s="105"/>
      <c r="P111" s="104"/>
      <c r="Q111" s="106">
        <f>Q112</f>
        <v>2.136195996</v>
      </c>
      <c r="R111" s="136" t="str">
        <f t="array" ref="R111">IFERROR(
    IF(
        OR(D111="R-Flashing",D111="W-Flashing",D111="R-BG"),
        LET(
            StartRow,
            MATCH(
                I111&amp;"♦"&amp;H111,
                Material!$I:$I&amp;"♦"&amp;Material!$J:$J,
                0
            ),
            INDEX(
                Material!$J:$AF,
                StartRow+1+MATCH(
                    CEILING(E111*1000,50),
                    INDEX(Material!$I:$I,StartRow+2):INDEX(Material!$I:$I,StartRow+25),
                    0
                ),
                MATCH(
                    G111,
                    INDEX(Material!$I:$V,StartRow+1,0),
                    0
                )
            )
        ),
        XLOOKUP(C111,Material!$A:$A,Material!$D:$D)
    ),
"")</f>
        <v/>
      </c>
      <c r="S111" s="682">
        <f>IFERROR(T111/Q111, 0)</f>
        <v>44.35351351</v>
      </c>
      <c r="T111" s="109">
        <f>SUM(S112:S116)</f>
        <v>94.74779798</v>
      </c>
      <c r="U111" s="1082" t="str">
        <f t="array" ref="U111">IFERROR(
    IF(
        D111="R-Flashing",
        XLOOKUP(CEILING(E111*1000,50),Material!I:I,Material!X:X),
        XLOOKUP(C111,Material!A:A,Material!E:E)
    ),
    ""
)</f>
        <v/>
      </c>
      <c r="V111" s="109">
        <f>W111/Q111</f>
        <v>15</v>
      </c>
      <c r="W111" s="110">
        <f>SUM(W112:W116)</f>
        <v>32.04293994</v>
      </c>
      <c r="X111" s="111">
        <f>W111/$AC$210/$W$217/$X$207</f>
        <v>0.02176830159</v>
      </c>
      <c r="Y111" s="112" t="b">
        <f>(T111+W111)=(SUM(AB112:AB116))</f>
        <v>1</v>
      </c>
      <c r="Z111" s="113">
        <f>(T111+W111)-(SUM(AB112:AB116))</f>
        <v>0</v>
      </c>
      <c r="AA111" s="5"/>
      <c r="AB111" s="5"/>
      <c r="AC111" s="33"/>
      <c r="AD111" s="114">
        <f>W111+T111</f>
        <v>126.7907379</v>
      </c>
      <c r="AE111" s="115">
        <f>AD111</f>
        <v>126.7907379</v>
      </c>
      <c r="AF111" s="116">
        <f>AE111/$AE$185</f>
        <v>0.001776168935</v>
      </c>
      <c r="AG111" s="683">
        <f>AF111*$AG$192</f>
        <v>48.50065675</v>
      </c>
      <c r="AH111" s="118">
        <f>AF111*$AG$195</f>
        <v>28.28131313</v>
      </c>
      <c r="AI111" s="187"/>
      <c r="AJ111" s="119">
        <f>ROUND(AK111/L111,2)</f>
        <v>95.3</v>
      </c>
      <c r="AK111" s="119">
        <f>ROUND(AH111+AG111+AD111,2)</f>
        <v>203.57</v>
      </c>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260"/>
      <c r="BJ111" s="260"/>
      <c r="BK111" s="260"/>
      <c r="BL111" s="260"/>
      <c r="BM111" s="260"/>
      <c r="BN111" s="260"/>
      <c r="BO111" s="260"/>
      <c r="BP111" s="260"/>
      <c r="BQ111" s="260"/>
      <c r="BR111" s="260"/>
      <c r="BS111" s="260"/>
      <c r="BT111" s="260"/>
    </row>
    <row r="112">
      <c r="A112" s="1080" t="s">
        <v>444</v>
      </c>
      <c r="B112" s="154"/>
      <c r="C112" s="123" t="s">
        <v>653</v>
      </c>
      <c r="D112" s="124" t="s">
        <v>96</v>
      </c>
      <c r="E112" s="687">
        <f>VALUE(MID(C112, FIND("(", C112)+1, FIND("/", C112)-FIND("(", C112)-1)) / 1000</f>
        <v>0.93</v>
      </c>
      <c r="F112" s="1085">
        <v>30.0</v>
      </c>
      <c r="G112" s="128">
        <f>VALUE(MID(C112,FIND("/",C112)+1,FIND("B",C112,FIND("/",C112))-FIND("/",C112)-1))</f>
        <v>2</v>
      </c>
      <c r="H112" s="128" t="str">
        <f>IFERROR(__xludf.DUMMYFUNCTION("IFERROR(REGEXEXTRACT(C112,""(\d*\.?\d+)\s*bmt""),IFERROR(REGEXEXTRACT(C112,""(\d*\.?\d+)\s*mm""),""""))"),"0.55")</f>
        <v>0.55</v>
      </c>
      <c r="I112" s="125" t="s">
        <v>630</v>
      </c>
      <c r="J112" s="126" t="s">
        <v>14</v>
      </c>
      <c r="K112" s="126" t="str">
        <f t="array" ref="K112">iferror(if(OR(D112="R-Flashing",D112="W-Flashing"),"LM",XLOOKUP(C112,Material!$A:$A,Material!$C:$C)),"")</f>
        <v>LM</v>
      </c>
      <c r="L112" s="163"/>
      <c r="M112" s="730">
        <v>1.85</v>
      </c>
      <c r="N112" s="151">
        <f>IFERROR(__xludf.DUMMYFUNCTION("IF(
  AND(
    IFERROR(REGEXEXTRACT(C112,""@\s*(\d+(?:\.\d+)?)\s*deg""),"""")&lt;&gt;"""",
    F112&lt;&gt;""""
  ),
  ""Pls Confirm °"",
  IF(
    IFERROR(REGEXEXTRACT(C112,""@\s*(\d+(?:\.\d+)?)\s*deg""),"""")&lt;&gt;"""",
    1/COS(RADIANS(REGEXEXTRACT(C112,""@\s*(\d+(?:"&amp;"\.\d+)?)\s*deg""))),
    IF(
      F112&lt;&gt;"""",
      IF(
        ISNUMBER(SEARCH(""|"",F112)),
        1/COS(
          ATAN(
            TAN(RADIANS(VALUE(INDEX(SPLIT(F112,""|""),1)))) *
            TAN(RADIANS(VALUE(INDEX(SPLIT(F112,""|""),2))))
       "&amp;"     /
            SQRT(
              TAN(RADIANS(VALUE(INDEX(SPLIT(F112,""|""),1))))^2 +
              TAN(RADIANS(VALUE(INDEX(SPLIT(F112,""|""),2))))^2
            )
          )
        ),
        1/COS(RADIANS(VALUE(F112)))
      ),
      1
    )
  )
"&amp;")"),1.1547005383792515)</f>
        <v>1.154700538</v>
      </c>
      <c r="O112" s="169">
        <v>1.0</v>
      </c>
      <c r="P112" s="134">
        <v>1.0</v>
      </c>
      <c r="Q112" s="168">
        <f t="shared" ref="Q112:Q115" si="82">M112*N112*O112*P112</f>
        <v>2.136195996</v>
      </c>
      <c r="R112" s="136">
        <f t="array" ref="R112">IFERROR(
    IF(
        OR(D112="R-Flashing",D112="W-Flashing",D112="R-BG"),
        LET(
            StartRow,
            MATCH(
                I112&amp;"♦"&amp;H112,
                Material!$I:$I&amp;"♦"&amp;Material!$J:$J,
                0
            ),
            INDEX(
                Material!$J:$AF,
                StartRow+1+MATCH(
                    CEILING(E112*1000,50),
                    INDEX(Material!$I:$I,StartRow+2):INDEX(Material!$I:$I,StartRow+25),
                    0
                ),
                MATCH(
                    G112,
                    INDEX(Material!$I:$V,StartRow+1,0),
                    0
                )
            )
        ),
        XLOOKUP(C112,Material!$A:$A,Material!$D:$D)
    ),
"")</f>
        <v>41.34</v>
      </c>
      <c r="S112" s="152">
        <f t="shared" ref="S112:S115" si="83">R112*Q112</f>
        <v>88.31034247</v>
      </c>
      <c r="T112" s="138"/>
      <c r="U112" s="1082">
        <f t="array" ref="U112">IFERROR(
    IF(
        D112="R-Flashing",
        XLOOKUP(CEILING(E112*1000,50),Material!I:I,Material!X:X),
        XLOOKUP(C112,Material!A:A,Material!E:E)
    ),
    ""
)</f>
        <v>15</v>
      </c>
      <c r="V112" s="139"/>
      <c r="W112" s="140">
        <f t="shared" ref="W112:W115" si="84">U112*Q112</f>
        <v>32.04293994</v>
      </c>
      <c r="X112" s="159"/>
      <c r="Y112" s="165"/>
      <c r="Z112" s="1090"/>
      <c r="AA112" s="5"/>
      <c r="AB112" s="354">
        <f t="shared" ref="AB112:AB116" si="85">W112+S112</f>
        <v>120.3532824</v>
      </c>
      <c r="AC112" s="33"/>
      <c r="AD112" s="65"/>
      <c r="AE112" s="66"/>
      <c r="AF112" s="144"/>
      <c r="AG112" s="68"/>
      <c r="AH112" s="69"/>
      <c r="AI112" s="39"/>
      <c r="AJ112" s="70"/>
      <c r="AK112" s="70"/>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260"/>
      <c r="BJ112" s="260"/>
      <c r="BK112" s="260"/>
      <c r="BL112" s="260"/>
      <c r="BM112" s="260"/>
      <c r="BN112" s="260"/>
      <c r="BO112" s="260"/>
      <c r="BP112" s="260"/>
      <c r="BQ112" s="260"/>
      <c r="BR112" s="260"/>
      <c r="BS112" s="260"/>
      <c r="BT112" s="260"/>
    </row>
    <row r="113">
      <c r="A113" s="1080"/>
      <c r="B113" s="154"/>
      <c r="C113" s="225" t="s">
        <v>98</v>
      </c>
      <c r="D113" s="124" t="s">
        <v>99</v>
      </c>
      <c r="E113" s="687">
        <f>E112</f>
        <v>0.93</v>
      </c>
      <c r="F113" s="1085" t="str">
        <f>IFERROR(__xludf.DUMMYFUNCTION("iferror(ROUND(
  DEGREES(
    ATAN(
      TAN(RADIANS(VALUE(INDEX(SPLIT(F112,""|""),1)))) *
      TAN(RADIANS(VALUE(INDEX(SPLIT(F112,""|""),2))))
      /
      SQRT(
        TAN(RADIANS(VALUE(INDEX(SPLIT(F112,""|""),1))))^2 +
        TAN(RADIANS(VALUE(IND"&amp;"EX(SPLIT(F112,""|""),2))))^2
      )
    )
  ),
  2
))"),"")</f>
        <v/>
      </c>
      <c r="G113" s="127"/>
      <c r="H113" s="127" t="str">
        <f>IFERROR(__xludf.DUMMYFUNCTION("IFERROR(REGEXEXTRACT(C113, ""(\d*\.\d+)mm""), """")"),"")</f>
        <v/>
      </c>
      <c r="I113" s="127"/>
      <c r="J113" s="126" t="s">
        <v>87</v>
      </c>
      <c r="K113" s="126" t="str">
        <f t="array" ref="K113">iferror(if(OR(D113="R-Flashing",D113="W-Flashing"),"LM",XLOOKUP(C113,Material!$A:$A,Material!$C:$C)),"")</f>
        <v>ea</v>
      </c>
      <c r="L113" s="163"/>
      <c r="M113" s="150">
        <f>(ROUNDDOWN((M112/5.7)+2,0)*E113)/8</f>
        <v>0.2325</v>
      </c>
      <c r="N113" s="151">
        <f t="shared" ref="N113:N116" si="86">if(C113="","",(if(N112="",N111,N112)))</f>
        <v>1.154700538</v>
      </c>
      <c r="O113" s="169">
        <v>1.0</v>
      </c>
      <c r="P113" s="134">
        <f t="shared" ref="P113:P115" si="87">P112</f>
        <v>1</v>
      </c>
      <c r="Q113" s="168">
        <f t="shared" si="82"/>
        <v>0.2684678752</v>
      </c>
      <c r="R113" s="136">
        <f t="array" ref="R113">IFERROR(
    IF(
        OR(D113="R-Flashing",D113="W-Flashing",D113="R-BG"),
        LET(
            StartRow,
            MATCH(
                I113&amp;"♦"&amp;H113,
                Material!$I:$I&amp;"♦"&amp;Material!$J:$J,
                0
            ),
            INDEX(
                Material!$J:$AF,
                StartRow+1+MATCH(
                    CEILING(E113*1000,50),
                    INDEX(Material!$I:$I,StartRow+2):INDEX(Material!$I:$I,StartRow+25),
                    0
                ),
                MATCH(
                    G113,
                    INDEX(Material!$I:$V,StartRow+1,0),
                    0
                )
            )
        ),
        XLOOKUP(C113,Material!$A:$A,Material!$D:$D)
    ),
"")</f>
        <v>10</v>
      </c>
      <c r="S113" s="152">
        <f t="shared" si="83"/>
        <v>2.684678752</v>
      </c>
      <c r="T113" s="138"/>
      <c r="U113" s="1082" t="str">
        <f t="array" ref="U113">IFERROR(
    IF(
        D113="R-Flashing",
        XLOOKUP(CEILING(E113*1000,50),Material!I:I,Material!X:X),
        XLOOKUP(C113,Material!A:A,Material!E:E)
    ),
    ""
)</f>
        <v/>
      </c>
      <c r="V113" s="139"/>
      <c r="W113" s="140">
        <f t="shared" si="84"/>
        <v>0</v>
      </c>
      <c r="X113" s="159"/>
      <c r="Y113" s="5"/>
      <c r="Z113" s="5"/>
      <c r="AA113" s="5"/>
      <c r="AB113" s="354">
        <f t="shared" si="85"/>
        <v>2.684678752</v>
      </c>
      <c r="AC113" s="33"/>
      <c r="AD113" s="65"/>
      <c r="AE113" s="66"/>
      <c r="AF113" s="144"/>
      <c r="AG113" s="68"/>
      <c r="AH113" s="69"/>
      <c r="AI113" s="39"/>
      <c r="AJ113" s="70"/>
      <c r="AK113" s="70"/>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260"/>
      <c r="BJ113" s="260"/>
      <c r="BK113" s="260"/>
      <c r="BL113" s="260"/>
      <c r="BM113" s="260"/>
      <c r="BN113" s="260"/>
      <c r="BO113" s="260"/>
      <c r="BP113" s="260"/>
      <c r="BQ113" s="260"/>
      <c r="BR113" s="260"/>
      <c r="BS113" s="260"/>
      <c r="BT113" s="260"/>
    </row>
    <row r="114">
      <c r="A114" s="1080"/>
      <c r="B114" s="154"/>
      <c r="C114" s="225" t="s">
        <v>100</v>
      </c>
      <c r="D114" s="124" t="s">
        <v>101</v>
      </c>
      <c r="E114" s="687">
        <f>E112</f>
        <v>0.93</v>
      </c>
      <c r="F114" s="1093"/>
      <c r="G114" s="127"/>
      <c r="H114" s="127" t="str">
        <f>IFERROR(__xludf.DUMMYFUNCTION("IFERROR(REGEXEXTRACT(C114, ""(\d*\.\d+)mm""), """")"),"")</f>
        <v/>
      </c>
      <c r="I114" s="127"/>
      <c r="J114" s="126" t="s">
        <v>87</v>
      </c>
      <c r="K114" s="126" t="str">
        <f t="array" ref="K114">iferror(if(OR(D114="R-Flashing",D114="W-Flashing"),"LM",XLOOKUP(C114,Material!$A:$A,Material!$C:$C)),"")</f>
        <v>ea</v>
      </c>
      <c r="L114" s="163"/>
      <c r="M114" s="150">
        <f>ROUNDUP(((M112/5.7)+1)*(E114/0.05),0)</f>
        <v>25</v>
      </c>
      <c r="N114" s="151">
        <f t="shared" si="86"/>
        <v>1.154700538</v>
      </c>
      <c r="O114" s="169">
        <v>1.0</v>
      </c>
      <c r="P114" s="134">
        <f t="shared" si="87"/>
        <v>1</v>
      </c>
      <c r="Q114" s="168">
        <f t="shared" si="82"/>
        <v>28.86751346</v>
      </c>
      <c r="R114" s="136">
        <f t="array" ref="R114">IFERROR(
    IF(
        OR(D114="R-Flashing",D114="W-Flashing",D114="R-BG"),
        LET(
            StartRow,
            MATCH(
                I114&amp;"♦"&amp;H114,
                Material!$I:$I&amp;"♦"&amp;Material!$J:$J,
                0
            ),
            INDEX(
                Material!$J:$AF,
                StartRow+1+MATCH(
                    CEILING(E114*1000,50),
                    INDEX(Material!$I:$I,StartRow+2):INDEX(Material!$I:$I,StartRow+25),
                    0
                ),
                MATCH(
                    G114,
                    INDEX(Material!$I:$V,StartRow+1,0),
                    0
                )
            )
        ),
        XLOOKUP(C114,Material!$A:$A,Material!$D:$D)
    ),
"")</f>
        <v>0.09</v>
      </c>
      <c r="S114" s="152">
        <f t="shared" si="83"/>
        <v>2.598076211</v>
      </c>
      <c r="T114" s="138"/>
      <c r="U114" s="1082" t="str">
        <f t="array" ref="U114">IFERROR(
    IF(
        D114="R-Flashing",
        XLOOKUP(CEILING(E114*1000,50),Material!I:I,Material!X:X),
        XLOOKUP(C114,Material!A:A,Material!E:E)
    ),
    ""
)</f>
        <v/>
      </c>
      <c r="V114" s="139"/>
      <c r="W114" s="140">
        <f t="shared" si="84"/>
        <v>0</v>
      </c>
      <c r="X114" s="159"/>
      <c r="Y114" s="5"/>
      <c r="Z114" s="5"/>
      <c r="AA114" s="5"/>
      <c r="AB114" s="354">
        <f t="shared" si="85"/>
        <v>2.598076211</v>
      </c>
      <c r="AC114" s="33"/>
      <c r="AD114" s="65"/>
      <c r="AE114" s="66"/>
      <c r="AF114" s="144"/>
      <c r="AG114" s="68"/>
      <c r="AH114" s="69"/>
      <c r="AI114" s="39"/>
      <c r="AJ114" s="70"/>
      <c r="AK114" s="70"/>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260"/>
      <c r="BJ114" s="260"/>
      <c r="BK114" s="260"/>
      <c r="BL114" s="260"/>
      <c r="BM114" s="260"/>
      <c r="BN114" s="260"/>
      <c r="BO114" s="260"/>
      <c r="BP114" s="260"/>
      <c r="BQ114" s="260"/>
      <c r="BR114" s="260"/>
      <c r="BS114" s="260"/>
      <c r="BT114" s="260"/>
    </row>
    <row r="115">
      <c r="A115" s="1080"/>
      <c r="B115" s="154"/>
      <c r="C115" s="123" t="s">
        <v>631</v>
      </c>
      <c r="D115" s="124" t="s">
        <v>103</v>
      </c>
      <c r="E115" s="752"/>
      <c r="F115" s="1093"/>
      <c r="G115" s="129"/>
      <c r="H115" s="127"/>
      <c r="I115" s="127"/>
      <c r="J115" s="126" t="s">
        <v>87</v>
      </c>
      <c r="K115" s="126" t="str">
        <f t="array" ref="K115">iferror(if(OR(D115="R-Flashing",D115="W-Flashing"),"LM",XLOOKUP(C115,Material!$A:$A,Material!$C:$C)),"")</f>
        <v>ea</v>
      </c>
      <c r="L115" s="161"/>
      <c r="M115" s="150">
        <f>ROUNDUP(M112/0.6,0)+1</f>
        <v>5</v>
      </c>
      <c r="N115" s="151">
        <f t="shared" si="86"/>
        <v>1.154700538</v>
      </c>
      <c r="O115" s="169">
        <v>1.0</v>
      </c>
      <c r="P115" s="134">
        <f t="shared" si="87"/>
        <v>1</v>
      </c>
      <c r="Q115" s="168">
        <f t="shared" si="82"/>
        <v>5.773502692</v>
      </c>
      <c r="R115" s="136">
        <f t="array" ref="R115">IFERROR(
    IF(
        OR(D115="R-Flashing",D115="W-Flashing",D115="R-BG"),
        LET(
            StartRow,
            MATCH(
                I115&amp;"♦"&amp;H115,
                Material!$I:$I&amp;"♦"&amp;Material!$J:$J,
                0
            ),
            INDEX(
                Material!$J:$AF,
                StartRow+1+MATCH(
                    CEILING(E115*1000,50),
                    INDEX(Material!$I:$I,StartRow+2):INDEX(Material!$I:$I,StartRow+25),
                    0
                ),
                MATCH(
                    G115,
                    INDEX(Material!$I:$V,StartRow+1,0),
                    0
                )
            )
        ),
        XLOOKUP(C115,Material!$A:$A,Material!$D:$D)
    ),
"")</f>
        <v>0.2</v>
      </c>
      <c r="S115" s="152">
        <f t="shared" si="83"/>
        <v>1.154700538</v>
      </c>
      <c r="T115" s="138"/>
      <c r="U115" s="1082" t="str">
        <f t="array" ref="U115">IFERROR(
    IF(
        D115="R-Flashing",
        XLOOKUP(CEILING(E115*1000,50),Material!I:I,Material!X:X),
        XLOOKUP(C115,Material!A:A,Material!E:E)
    ),
    ""
)</f>
        <v/>
      </c>
      <c r="V115" s="139"/>
      <c r="W115" s="140">
        <f t="shared" si="84"/>
        <v>0</v>
      </c>
      <c r="X115" s="159"/>
      <c r="Y115" s="5"/>
      <c r="Z115" s="5"/>
      <c r="AA115" s="5"/>
      <c r="AB115" s="354">
        <f t="shared" si="85"/>
        <v>1.154700538</v>
      </c>
      <c r="AC115" s="33"/>
      <c r="AD115" s="65"/>
      <c r="AE115" s="66"/>
      <c r="AF115" s="144"/>
      <c r="AG115" s="68"/>
      <c r="AH115" s="69"/>
      <c r="AI115" s="39"/>
      <c r="AJ115" s="70"/>
      <c r="AK115" s="70"/>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260"/>
      <c r="BJ115" s="260"/>
      <c r="BK115" s="260"/>
      <c r="BL115" s="260"/>
      <c r="BM115" s="260"/>
      <c r="BN115" s="260"/>
      <c r="BO115" s="260"/>
      <c r="BP115" s="260"/>
      <c r="BQ115" s="260"/>
      <c r="BR115" s="260"/>
      <c r="BS115" s="260"/>
      <c r="BT115" s="260"/>
    </row>
    <row r="116">
      <c r="A116" s="1080"/>
      <c r="B116" s="154"/>
      <c r="C116" s="700"/>
      <c r="D116" s="701"/>
      <c r="E116" s="722"/>
      <c r="F116" s="1088"/>
      <c r="G116" s="701"/>
      <c r="H116" s="128"/>
      <c r="I116" s="700"/>
      <c r="J116" s="701"/>
      <c r="K116" s="126" t="str">
        <f t="array" ref="K116">iferror(if(OR(D116="R-Flashing",D116="W-Flashing"),"LM",XLOOKUP(C116,Material!$A:$A,Material!$C:$C)),"")</f>
        <v/>
      </c>
      <c r="L116" s="712"/>
      <c r="M116" s="704"/>
      <c r="N116" s="151" t="str">
        <f t="shared" si="86"/>
        <v/>
      </c>
      <c r="O116" s="712"/>
      <c r="P116" s="700"/>
      <c r="Q116" s="712"/>
      <c r="R116" s="136" t="str">
        <f t="array" ref="R116">IFERROR(
    IF(
        OR(D116="R-Flashing",D116="W-Flashing",D116="R-BG"),
        LET(
            StartRow,
            MATCH(
                I116&amp;"♦"&amp;H116,
                Material!$I:$I&amp;"♦"&amp;Material!$J:$J,
                0
            ),
            INDEX(
                Material!$J:$AF,
                StartRow+1+MATCH(
                    CEILING(E116*1000,50),
                    INDEX(Material!$I:$I,StartRow+2):INDEX(Material!$I:$I,StartRow+25),
                    0
                ),
                MATCH(
                    G116,
                    INDEX(Material!$I:$V,StartRow+1,0),
                    0
                )
            )
        ),
        XLOOKUP(C116,Material!$A:$A,Material!$D:$D)
    ),
"")</f>
        <v/>
      </c>
      <c r="S116" s="691"/>
      <c r="T116" s="690"/>
      <c r="U116" s="1082" t="str">
        <f t="array" ref="U116">IFERROR(
    IF(
        D116="R-Flashing",
        XLOOKUP(CEILING(E116*1000,50),Material!I:I,Material!X:X),
        XLOOKUP(C116,Material!A:A,Material!E:E)
    ),
    ""
)</f>
        <v/>
      </c>
      <c r="V116" s="691"/>
      <c r="W116" s="713"/>
      <c r="X116" s="692"/>
      <c r="Y116" s="595"/>
      <c r="Z116" s="595"/>
      <c r="AA116" s="595"/>
      <c r="AB116" s="354">
        <f t="shared" si="85"/>
        <v>0</v>
      </c>
      <c r="AC116" s="181"/>
      <c r="AD116" s="625"/>
      <c r="AE116" s="626"/>
      <c r="AF116" s="696"/>
      <c r="AG116" s="697"/>
      <c r="AH116" s="629"/>
      <c r="AI116" s="187"/>
      <c r="AJ116" s="630"/>
      <c r="AK116" s="630"/>
      <c r="AL116" s="595"/>
      <c r="AM116" s="595"/>
      <c r="AN116" s="595"/>
      <c r="AO116" s="595"/>
      <c r="AP116" s="595"/>
      <c r="AQ116" s="595"/>
      <c r="AR116" s="595"/>
      <c r="AS116" s="595"/>
      <c r="AT116" s="595"/>
      <c r="AU116" s="595"/>
      <c r="AV116" s="595"/>
      <c r="AW116" s="595"/>
      <c r="AX116" s="595"/>
      <c r="AY116" s="595"/>
      <c r="AZ116" s="595"/>
      <c r="BA116" s="595"/>
      <c r="BB116" s="595"/>
      <c r="BC116" s="595"/>
      <c r="BD116" s="595"/>
      <c r="BE116" s="595"/>
      <c r="BF116" s="595"/>
      <c r="BG116" s="595"/>
      <c r="BH116" s="595"/>
      <c r="BI116" s="651"/>
      <c r="BJ116" s="651"/>
      <c r="BK116" s="651"/>
      <c r="BL116" s="651"/>
      <c r="BM116" s="651"/>
      <c r="BN116" s="651"/>
      <c r="BO116" s="651"/>
      <c r="BP116" s="651"/>
      <c r="BQ116" s="651"/>
      <c r="BR116" s="651"/>
      <c r="BS116" s="651"/>
      <c r="BT116" s="651"/>
    </row>
    <row r="117">
      <c r="A117" s="1080">
        <v>1.0</v>
      </c>
      <c r="B117" s="102"/>
      <c r="C117" s="103" t="s">
        <v>654</v>
      </c>
      <c r="D117" s="104"/>
      <c r="E117" s="749"/>
      <c r="F117" s="1089"/>
      <c r="G117" s="104"/>
      <c r="H117" s="104"/>
      <c r="I117" s="104"/>
      <c r="J117" s="104"/>
      <c r="K117" s="104" t="s">
        <v>42</v>
      </c>
      <c r="L117" s="106">
        <f>Q117</f>
        <v>6</v>
      </c>
      <c r="M117" s="105" t="s">
        <v>42</v>
      </c>
      <c r="N117" s="107"/>
      <c r="O117" s="105"/>
      <c r="P117" s="104"/>
      <c r="Q117" s="106">
        <f>Q118</f>
        <v>6</v>
      </c>
      <c r="R117" s="136" t="str">
        <f t="array" ref="R117">IFERROR(
    IF(
        OR(D117="R-Flashing",D117="W-Flashing",D117="R-BG"),
        LET(
            StartRow,
            MATCH(
                I117&amp;"♦"&amp;H117,
                Material!$I:$I&amp;"♦"&amp;Material!$J:$J,
                0
            ),
            INDEX(
                Material!$J:$AF,
                StartRow+1+MATCH(
                    CEILING(E117*1000,50),
                    INDEX(Material!$I:$I,StartRow+2):INDEX(Material!$I:$I,StartRow+25),
                    0
                ),
                MATCH(
                    G117,
                    INDEX(Material!$I:$V,StartRow+1,0),
                    0
                )
            )
        ),
        XLOOKUP(C117,Material!$A:$A,Material!$D:$D)
    ),
"")</f>
        <v/>
      </c>
      <c r="S117" s="682">
        <f>IFERROR(T117/Q117, 0)</f>
        <v>71.40041667</v>
      </c>
      <c r="T117" s="109">
        <f>SUM(S118:S123)</f>
        <v>428.4025</v>
      </c>
      <c r="U117" s="1082" t="str">
        <f t="array" ref="U117">IFERROR(
    IF(
        D117="R-Flashing",
        XLOOKUP(CEILING(E117*1000,50),Material!I:I,Material!X:X),
        XLOOKUP(C117,Material!A:A,Material!E:E)
    ),
    ""
)</f>
        <v/>
      </c>
      <c r="V117" s="109">
        <f>W117/Q117</f>
        <v>20</v>
      </c>
      <c r="W117" s="110">
        <f>SUM(W118:W123)</f>
        <v>120</v>
      </c>
      <c r="X117" s="111">
        <f>W117/$AC$210/$W$217/$X$207</f>
        <v>0.08152173913</v>
      </c>
      <c r="Y117" s="112" t="b">
        <f>(T117+W117)=(SUM(AB118:AB123))</f>
        <v>1</v>
      </c>
      <c r="Z117" s="113">
        <f>(T117+W117)-(SUM(AB118:AB123))</f>
        <v>0</v>
      </c>
      <c r="AA117" s="5"/>
      <c r="AB117" s="5"/>
      <c r="AC117" s="33"/>
      <c r="AD117" s="114">
        <f>W117+T117</f>
        <v>548.4025</v>
      </c>
      <c r="AE117" s="115">
        <f>AD117</f>
        <v>548.4025</v>
      </c>
      <c r="AF117" s="116">
        <f>AE117/$AE$185</f>
        <v>0.007682386744</v>
      </c>
      <c r="AG117" s="683">
        <f>AF117*$AG$192</f>
        <v>209.7777949</v>
      </c>
      <c r="AH117" s="118">
        <f>AF117*$AG$195</f>
        <v>122.3239416</v>
      </c>
      <c r="AI117" s="187"/>
      <c r="AJ117" s="119">
        <f>ROUND(AK117/L117,2)</f>
        <v>146.75</v>
      </c>
      <c r="AK117" s="119">
        <f>ROUND(AH117+AG117+AD117,2)</f>
        <v>880.5</v>
      </c>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260"/>
      <c r="BJ117" s="260"/>
      <c r="BK117" s="260"/>
      <c r="BL117" s="260"/>
      <c r="BM117" s="260"/>
      <c r="BN117" s="260"/>
      <c r="BO117" s="260"/>
      <c r="BP117" s="260"/>
      <c r="BQ117" s="260"/>
      <c r="BR117" s="260"/>
      <c r="BS117" s="260"/>
      <c r="BT117" s="260"/>
    </row>
    <row r="118">
      <c r="A118" s="1080" t="s">
        <v>444</v>
      </c>
      <c r="B118" s="154"/>
      <c r="C118" s="123" t="s">
        <v>655</v>
      </c>
      <c r="D118" s="124" t="s">
        <v>96</v>
      </c>
      <c r="E118" s="687">
        <f>VALUE(MID(C118, FIND("(", C118)+1, FIND("/", C118)-FIND("(", C118)-1)) / 1000</f>
        <v>0.51</v>
      </c>
      <c r="F118" s="1091"/>
      <c r="G118" s="128">
        <f>VALUE(MID(C118,FIND("/",C118)+1,FIND("B",C118,FIND("/",C118))-FIND("/",C118)-1))</f>
        <v>6</v>
      </c>
      <c r="H118" s="128" t="str">
        <f>IFERROR(__xludf.DUMMYFUNCTION("IFERROR(REGEXEXTRACT(C118,""(\d*\.?\d+)\s*bmt""),IFERROR(REGEXEXTRACT(C118,""(\d*\.?\d+)\s*mm""),""""))"),"1.6")</f>
        <v>1.6</v>
      </c>
      <c r="I118" s="125" t="s">
        <v>630</v>
      </c>
      <c r="J118" s="126" t="s">
        <v>14</v>
      </c>
      <c r="K118" s="126" t="str">
        <f t="array" ref="K118">iferror(if(OR(D118="R-Flashing",D118="W-Flashing"),"LM",XLOOKUP(C118,Material!$A:$A,Material!$C:$C)),"")</f>
        <v>LM</v>
      </c>
      <c r="L118" s="163"/>
      <c r="M118" s="730">
        <v>6.0</v>
      </c>
      <c r="N118" s="151">
        <f>IFERROR(__xludf.DUMMYFUNCTION("IF(
  AND(
    IFERROR(REGEXEXTRACT(C118,""@\s*(\d+(?:\.\d+)?)\s*deg""),"""")&lt;&gt;"""",
    F118&lt;&gt;""""
  ),
  ""Pls Confirm °"",
  IF(
    IFERROR(REGEXEXTRACT(C118,""@\s*(\d+(?:\.\d+)?)\s*deg""),"""")&lt;&gt;"""",
    1/COS(RADIANS(REGEXEXTRACT(C118,""@\s*(\d+(?:"&amp;"\.\d+)?)\s*deg""))),
    IF(
      F118&lt;&gt;"""",
      IF(
        ISNUMBER(SEARCH(""|"",F118)),
        1/COS(
          ATAN(
            TAN(RADIANS(VALUE(INDEX(SPLIT(F118,""|""),1)))) *
            TAN(RADIANS(VALUE(INDEX(SPLIT(F118,""|""),2))))
       "&amp;"     /
            SQRT(
              TAN(RADIANS(VALUE(INDEX(SPLIT(F118,""|""),1))))^2 +
              TAN(RADIANS(VALUE(INDEX(SPLIT(F118,""|""),2))))^2
            )
          )
        ),
        1/COS(RADIANS(VALUE(F118)))
      ),
      1
    )
  )
"&amp;")"),1.0)</f>
        <v>1</v>
      </c>
      <c r="O118" s="169">
        <v>1.0</v>
      </c>
      <c r="P118" s="134">
        <v>1.0</v>
      </c>
      <c r="Q118" s="168">
        <f t="shared" ref="Q118:Q122" si="88">M118*N118*O118*P118</f>
        <v>6</v>
      </c>
      <c r="R118" s="1082">
        <v>50.0</v>
      </c>
      <c r="S118" s="152">
        <f t="shared" ref="S118:S122" si="89">R118*Q118</f>
        <v>300</v>
      </c>
      <c r="T118" s="138"/>
      <c r="U118" s="1082">
        <v>20.0</v>
      </c>
      <c r="V118" s="139"/>
      <c r="W118" s="140">
        <f t="shared" ref="W118:W122" si="90">U118*Q118</f>
        <v>120</v>
      </c>
      <c r="X118" s="159"/>
      <c r="Y118" s="165"/>
      <c r="Z118" s="1090"/>
      <c r="AA118" s="5"/>
      <c r="AB118" s="354">
        <f t="shared" ref="AB118:AB123" si="91">W118+S118</f>
        <v>420</v>
      </c>
      <c r="AC118" s="33"/>
      <c r="AD118" s="65"/>
      <c r="AE118" s="66"/>
      <c r="AF118" s="144"/>
      <c r="AG118" s="68"/>
      <c r="AH118" s="69"/>
      <c r="AI118" s="39"/>
      <c r="AJ118" s="70"/>
      <c r="AK118" s="70"/>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260"/>
      <c r="BJ118" s="260"/>
      <c r="BK118" s="260"/>
      <c r="BL118" s="260"/>
      <c r="BM118" s="260"/>
      <c r="BN118" s="260"/>
      <c r="BO118" s="260"/>
      <c r="BP118" s="260"/>
      <c r="BQ118" s="260"/>
      <c r="BR118" s="260"/>
      <c r="BS118" s="260"/>
      <c r="BT118" s="260"/>
    </row>
    <row r="119">
      <c r="A119" s="1080" t="s">
        <v>444</v>
      </c>
      <c r="B119" s="154"/>
      <c r="C119" s="123" t="s">
        <v>656</v>
      </c>
      <c r="D119" s="148" t="s">
        <v>657</v>
      </c>
      <c r="E119" s="755">
        <f>E118</f>
        <v>0.51</v>
      </c>
      <c r="F119" s="1091"/>
      <c r="G119" s="128"/>
      <c r="H119" s="128" t="str">
        <f>IFERROR(__xludf.DUMMYFUNCTION("IFERROR(REGEXEXTRACT(C119,""(\d*\.?\d+)\s*bmt""),IFERROR(REGEXEXTRACT(C119,""(\d*\.?\d+)\s*mm""),""""))"),"")</f>
        <v/>
      </c>
      <c r="I119" s="125"/>
      <c r="J119" s="126" t="s">
        <v>87</v>
      </c>
      <c r="K119" s="126" t="str">
        <f t="array" ref="K119">iferror(if(OR(D119="R-Flashing",D119="W-Flashing"),"LM",XLOOKUP(C119,Material!$A:$A,Material!$C:$C)),"")</f>
        <v>m2</v>
      </c>
      <c r="L119" s="163"/>
      <c r="M119" s="730">
        <f>E119*M118</f>
        <v>3.06</v>
      </c>
      <c r="N119" s="151">
        <f>IFERROR(__xludf.DUMMYFUNCTION("IF(
  AND(
    IFERROR(REGEXEXTRACT(C119,""@\s*(\d+(?:\.\d+)?)\s*deg""),"""")&lt;&gt;"""",
    F119&lt;&gt;""""
  ),
  ""Pls Confirm °"",
  IF(
    IFERROR(REGEXEXTRACT(C119,""@\s*(\d+(?:\.\d+)?)\s*deg""),"""")&lt;&gt;"""",
    1/COS(RADIANS(REGEXEXTRACT(C119,""@\s*(\d+(?:"&amp;"\.\d+)?)\s*deg""))),
    IF(
      F119&lt;&gt;"""",
      IF(
        ISNUMBER(SEARCH(""|"",F119)),
        1/COS(
          ATAN(
            TAN(RADIANS(VALUE(INDEX(SPLIT(F119,""|""),1)))) *
            TAN(RADIANS(VALUE(INDEX(SPLIT(F119,""|""),2))))
       "&amp;"     /
            SQRT(
              TAN(RADIANS(VALUE(INDEX(SPLIT(F119,""|""),1))))^2 +
              TAN(RADIANS(VALUE(INDEX(SPLIT(F119,""|""),2))))^2
            )
          )
        ),
        1/COS(RADIANS(VALUE(F119)))
      ),
      1
    )
  )
"&amp;")"),1.0)</f>
        <v>1</v>
      </c>
      <c r="O119" s="169">
        <v>1.0</v>
      </c>
      <c r="P119" s="134">
        <v>1.0</v>
      </c>
      <c r="Q119" s="168">
        <f t="shared" si="88"/>
        <v>3.06</v>
      </c>
      <c r="R119" s="136">
        <f t="array" ref="R119">IFERROR(
    IF(
        OR(D119="R-Flashing",D119="W-Flashing",D119="R-BG"),
        LET(
            StartRow,
            MATCH(
                I119&amp;"♦"&amp;H119,
                Material!$I:$I&amp;"♦"&amp;Material!$J:$J,
                0
            ),
            INDEX(
                Material!$J:$AF,
                StartRow+1+MATCH(
                    CEILING(E119*1000,50),
                    INDEX(Material!$I:$I,StartRow+2):INDEX(Material!$I:$I,StartRow+25),
                    0
                ),
                MATCH(
                    G119,
                    INDEX(Material!$I:$V,StartRow+1,0),
                    0
                )
            )
        ),
        XLOOKUP(C119,Material!$A:$A,Material!$D:$D)
    ),
"")</f>
        <v>40</v>
      </c>
      <c r="S119" s="152">
        <f t="shared" si="89"/>
        <v>122.4</v>
      </c>
      <c r="T119" s="138"/>
      <c r="U119" s="1082" t="str">
        <f t="array" ref="U119">IFERROR(
    IF(
        D119="R-Flashing",
        XLOOKUP(CEILING(E119*1000,50),Material!I:I,Material!X:X),
        XLOOKUP(C119,Material!A:A,Material!E:E)
    ),
    ""
)</f>
        <v/>
      </c>
      <c r="V119" s="139"/>
      <c r="W119" s="140">
        <f t="shared" si="90"/>
        <v>0</v>
      </c>
      <c r="X119" s="159"/>
      <c r="Y119" s="165"/>
      <c r="Z119" s="1090"/>
      <c r="AA119" s="5"/>
      <c r="AB119" s="354">
        <f t="shared" si="91"/>
        <v>122.4</v>
      </c>
      <c r="AC119" s="33"/>
      <c r="AD119" s="65"/>
      <c r="AE119" s="66"/>
      <c r="AF119" s="144"/>
      <c r="AG119" s="68"/>
      <c r="AH119" s="69"/>
      <c r="AI119" s="39"/>
      <c r="AJ119" s="70"/>
      <c r="AK119" s="70"/>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260"/>
      <c r="BJ119" s="260"/>
      <c r="BK119" s="260"/>
      <c r="BL119" s="260"/>
      <c r="BM119" s="260"/>
      <c r="BN119" s="260"/>
      <c r="BO119" s="260"/>
      <c r="BP119" s="260"/>
      <c r="BQ119" s="260"/>
      <c r="BR119" s="260"/>
      <c r="BS119" s="260"/>
      <c r="BT119" s="260"/>
    </row>
    <row r="120">
      <c r="A120" s="1080"/>
      <c r="B120" s="154"/>
      <c r="C120" s="225" t="s">
        <v>98</v>
      </c>
      <c r="D120" s="124" t="s">
        <v>99</v>
      </c>
      <c r="E120" s="687">
        <f>E118</f>
        <v>0.51</v>
      </c>
      <c r="F120" s="1093" t="str">
        <f>IFERROR(__xludf.DUMMYFUNCTION("iferror(ROUND(
  DEGREES(
    ATAN(
      TAN(RADIANS(VALUE(INDEX(SPLIT(F118,""|""),1)))) *
      TAN(RADIANS(VALUE(INDEX(SPLIT(F118,""|""),2))))
      /
      SQRT(
        TAN(RADIANS(VALUE(INDEX(SPLIT(F118,""|""),1))))^2 +
        TAN(RADIANS(VALUE(IND"&amp;"EX(SPLIT(F118,""|""),2))))^2
      )
    )
  ),
  2
))"),"")</f>
        <v/>
      </c>
      <c r="G120" s="127"/>
      <c r="H120" s="127" t="str">
        <f>IFERROR(__xludf.DUMMYFUNCTION("IFERROR(REGEXEXTRACT(C120, ""(\d*\.\d+)mm""), """")"),"")</f>
        <v/>
      </c>
      <c r="I120" s="127"/>
      <c r="J120" s="126" t="s">
        <v>87</v>
      </c>
      <c r="K120" s="126" t="str">
        <f t="array" ref="K120">iferror(if(OR(D120="R-Flashing",D120="W-Flashing"),"LM",XLOOKUP(C120,Material!$A:$A,Material!$C:$C)),"")</f>
        <v>ea</v>
      </c>
      <c r="L120" s="163"/>
      <c r="M120" s="150">
        <f>(ROUNDDOWN((M118/5.7)+2,0)*E120)/8</f>
        <v>0.19125</v>
      </c>
      <c r="N120" s="151">
        <f>if(C120="","",(if(N118="",N117,N118)))</f>
        <v>1</v>
      </c>
      <c r="O120" s="169">
        <v>1.0</v>
      </c>
      <c r="P120" s="134">
        <v>1.0</v>
      </c>
      <c r="Q120" s="168">
        <f t="shared" si="88"/>
        <v>0.19125</v>
      </c>
      <c r="R120" s="136">
        <f t="array" ref="R120">IFERROR(
    IF(
        OR(D120="R-Flashing",D120="W-Flashing",D120="R-BG"),
        LET(
            StartRow,
            MATCH(
                I120&amp;"♦"&amp;H120,
                Material!$I:$I&amp;"♦"&amp;Material!$J:$J,
                0
            ),
            INDEX(
                Material!$J:$AF,
                StartRow+1+MATCH(
                    CEILING(E120*1000,50),
                    INDEX(Material!$I:$I,StartRow+2):INDEX(Material!$I:$I,StartRow+25),
                    0
                ),
                MATCH(
                    G120,
                    INDEX(Material!$I:$V,StartRow+1,0),
                    0
                )
            )
        ),
        XLOOKUP(C120,Material!$A:$A,Material!$D:$D)
    ),
"")</f>
        <v>10</v>
      </c>
      <c r="S120" s="152">
        <f t="shared" si="89"/>
        <v>1.9125</v>
      </c>
      <c r="T120" s="138"/>
      <c r="U120" s="1082" t="str">
        <f t="array" ref="U120">IFERROR(
    IF(
        D120="R-Flashing",
        XLOOKUP(CEILING(E120*1000,50),Material!I:I,Material!X:X),
        XLOOKUP(C120,Material!A:A,Material!E:E)
    ),
    ""
)</f>
        <v/>
      </c>
      <c r="V120" s="139"/>
      <c r="W120" s="140">
        <f t="shared" si="90"/>
        <v>0</v>
      </c>
      <c r="X120" s="159"/>
      <c r="Y120" s="5"/>
      <c r="Z120" s="5"/>
      <c r="AA120" s="5"/>
      <c r="AB120" s="354">
        <f t="shared" si="91"/>
        <v>1.9125</v>
      </c>
      <c r="AC120" s="33"/>
      <c r="AD120" s="65"/>
      <c r="AE120" s="66"/>
      <c r="AF120" s="144"/>
      <c r="AG120" s="68"/>
      <c r="AH120" s="69"/>
      <c r="AI120" s="39"/>
      <c r="AJ120" s="70"/>
      <c r="AK120" s="70"/>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260"/>
      <c r="BJ120" s="260"/>
      <c r="BK120" s="260"/>
      <c r="BL120" s="260"/>
      <c r="BM120" s="260"/>
      <c r="BN120" s="260"/>
      <c r="BO120" s="260"/>
      <c r="BP120" s="260"/>
      <c r="BQ120" s="260"/>
      <c r="BR120" s="260"/>
      <c r="BS120" s="260"/>
      <c r="BT120" s="260"/>
    </row>
    <row r="121">
      <c r="A121" s="1080"/>
      <c r="B121" s="154"/>
      <c r="C121" s="225" t="s">
        <v>100</v>
      </c>
      <c r="D121" s="124" t="s">
        <v>101</v>
      </c>
      <c r="E121" s="687">
        <f>E118</f>
        <v>0.51</v>
      </c>
      <c r="F121" s="1093"/>
      <c r="G121" s="127"/>
      <c r="H121" s="127" t="str">
        <f>IFERROR(__xludf.DUMMYFUNCTION("IFERROR(REGEXEXTRACT(C121, ""(\d*\.\d+)mm""), """")"),"")</f>
        <v/>
      </c>
      <c r="I121" s="127"/>
      <c r="J121" s="126" t="s">
        <v>87</v>
      </c>
      <c r="K121" s="126" t="str">
        <f t="array" ref="K121">iferror(if(OR(D121="R-Flashing",D121="W-Flashing"),"LM",XLOOKUP(C121,Material!$A:$A,Material!$C:$C)),"")</f>
        <v>ea</v>
      </c>
      <c r="L121" s="163"/>
      <c r="M121" s="150">
        <f>ROUNDUP(((M118/5.7)+1)*(E121/0.05),0)</f>
        <v>21</v>
      </c>
      <c r="N121" s="151">
        <f>if(C121="","",(if(N120="",N118,N120)))</f>
        <v>1</v>
      </c>
      <c r="O121" s="169">
        <v>1.0</v>
      </c>
      <c r="P121" s="134">
        <v>1.0</v>
      </c>
      <c r="Q121" s="168">
        <f t="shared" si="88"/>
        <v>21</v>
      </c>
      <c r="R121" s="136">
        <f t="array" ref="R121">IFERROR(
    IF(
        OR(D121="R-Flashing",D121="W-Flashing",D121="R-BG"),
        LET(
            StartRow,
            MATCH(
                I121&amp;"♦"&amp;H121,
                Material!$I:$I&amp;"♦"&amp;Material!$J:$J,
                0
            ),
            INDEX(
                Material!$J:$AF,
                StartRow+1+MATCH(
                    CEILING(E121*1000,50),
                    INDEX(Material!$I:$I,StartRow+2):INDEX(Material!$I:$I,StartRow+25),
                    0
                ),
                MATCH(
                    G121,
                    INDEX(Material!$I:$V,StartRow+1,0),
                    0
                )
            )
        ),
        XLOOKUP(C121,Material!$A:$A,Material!$D:$D)
    ),
"")</f>
        <v>0.09</v>
      </c>
      <c r="S121" s="152">
        <f t="shared" si="89"/>
        <v>1.89</v>
      </c>
      <c r="T121" s="138"/>
      <c r="U121" s="1082" t="str">
        <f t="array" ref="U121">IFERROR(
    IF(
        D121="R-Flashing",
        XLOOKUP(CEILING(E121*1000,50),Material!I:I,Material!X:X),
        XLOOKUP(C121,Material!A:A,Material!E:E)
    ),
    ""
)</f>
        <v/>
      </c>
      <c r="V121" s="139"/>
      <c r="W121" s="140">
        <f t="shared" si="90"/>
        <v>0</v>
      </c>
      <c r="X121" s="159"/>
      <c r="Y121" s="5"/>
      <c r="Z121" s="5"/>
      <c r="AA121" s="5"/>
      <c r="AB121" s="354">
        <f t="shared" si="91"/>
        <v>1.89</v>
      </c>
      <c r="AC121" s="33"/>
      <c r="AD121" s="65"/>
      <c r="AE121" s="66"/>
      <c r="AF121" s="144"/>
      <c r="AG121" s="68"/>
      <c r="AH121" s="69"/>
      <c r="AI121" s="39"/>
      <c r="AJ121" s="70"/>
      <c r="AK121" s="70"/>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260"/>
      <c r="BJ121" s="260"/>
      <c r="BK121" s="260"/>
      <c r="BL121" s="260"/>
      <c r="BM121" s="260"/>
      <c r="BN121" s="260"/>
      <c r="BO121" s="260"/>
      <c r="BP121" s="260"/>
      <c r="BQ121" s="260"/>
      <c r="BR121" s="260"/>
      <c r="BS121" s="260"/>
      <c r="BT121" s="260"/>
    </row>
    <row r="122">
      <c r="A122" s="1080"/>
      <c r="B122" s="154"/>
      <c r="C122" s="123" t="s">
        <v>631</v>
      </c>
      <c r="D122" s="124" t="s">
        <v>103</v>
      </c>
      <c r="E122" s="752"/>
      <c r="F122" s="1093"/>
      <c r="G122" s="129"/>
      <c r="H122" s="127"/>
      <c r="I122" s="127"/>
      <c r="J122" s="126" t="s">
        <v>87</v>
      </c>
      <c r="K122" s="126" t="str">
        <f t="array" ref="K122">iferror(if(OR(D122="R-Flashing",D122="W-Flashing"),"LM",XLOOKUP(C122,Material!$A:$A,Material!$C:$C)),"")</f>
        <v>ea</v>
      </c>
      <c r="L122" s="161"/>
      <c r="M122" s="150">
        <f>ROUNDUP(M118/0.6,0)+1</f>
        <v>11</v>
      </c>
      <c r="N122" s="151">
        <f t="shared" ref="N122:N123" si="92">if(C122="","",(if(N121="",N120,N121)))</f>
        <v>1</v>
      </c>
      <c r="O122" s="169">
        <v>1.0</v>
      </c>
      <c r="P122" s="156">
        <v>1.0</v>
      </c>
      <c r="Q122" s="168">
        <f t="shared" si="88"/>
        <v>11</v>
      </c>
      <c r="R122" s="136">
        <f t="array" ref="R122">IFERROR(
    IF(
        OR(D122="R-Flashing",D122="W-Flashing",D122="R-BG"),
        LET(
            StartRow,
            MATCH(
                I122&amp;"♦"&amp;H122,
                Material!$I:$I&amp;"♦"&amp;Material!$J:$J,
                0
            ),
            INDEX(
                Material!$J:$AF,
                StartRow+1+MATCH(
                    CEILING(E122*1000,50),
                    INDEX(Material!$I:$I,StartRow+2):INDEX(Material!$I:$I,StartRow+25),
                    0
                ),
                MATCH(
                    G122,
                    INDEX(Material!$I:$V,StartRow+1,0),
                    0
                )
            )
        ),
        XLOOKUP(C122,Material!$A:$A,Material!$D:$D)
    ),
"")</f>
        <v>0.2</v>
      </c>
      <c r="S122" s="152">
        <f t="shared" si="89"/>
        <v>2.2</v>
      </c>
      <c r="T122" s="138"/>
      <c r="U122" s="1082" t="str">
        <f t="array" ref="U122">IFERROR(
    IF(
        D122="R-Flashing",
        XLOOKUP(CEILING(E122*1000,50),Material!I:I,Material!X:X),
        XLOOKUP(C122,Material!A:A,Material!E:E)
    ),
    ""
)</f>
        <v/>
      </c>
      <c r="V122" s="139"/>
      <c r="W122" s="140">
        <f t="shared" si="90"/>
        <v>0</v>
      </c>
      <c r="X122" s="159"/>
      <c r="Y122" s="5"/>
      <c r="Z122" s="5"/>
      <c r="AA122" s="5"/>
      <c r="AB122" s="354">
        <f t="shared" si="91"/>
        <v>2.2</v>
      </c>
      <c r="AC122" s="33"/>
      <c r="AD122" s="65"/>
      <c r="AE122" s="66"/>
      <c r="AF122" s="144"/>
      <c r="AG122" s="68"/>
      <c r="AH122" s="69"/>
      <c r="AI122" s="39"/>
      <c r="AJ122" s="70"/>
      <c r="AK122" s="70"/>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260"/>
      <c r="BJ122" s="260"/>
      <c r="BK122" s="260"/>
      <c r="BL122" s="260"/>
      <c r="BM122" s="260"/>
      <c r="BN122" s="260"/>
      <c r="BO122" s="260"/>
      <c r="BP122" s="260"/>
      <c r="BQ122" s="260"/>
      <c r="BR122" s="260"/>
      <c r="BS122" s="260"/>
      <c r="BT122" s="260"/>
    </row>
    <row r="123">
      <c r="A123" s="1080"/>
      <c r="B123" s="154"/>
      <c r="C123" s="700"/>
      <c r="D123" s="701"/>
      <c r="E123" s="722"/>
      <c r="F123" s="1088"/>
      <c r="G123" s="701"/>
      <c r="H123" s="128"/>
      <c r="I123" s="700"/>
      <c r="J123" s="701"/>
      <c r="K123" s="126" t="str">
        <f t="array" ref="K123">iferror(if(OR(D123="R-Flashing",D123="W-Flashing"),"LM",XLOOKUP(C123,Material!$A:$A,Material!$C:$C)),"")</f>
        <v/>
      </c>
      <c r="L123" s="712"/>
      <c r="M123" s="704"/>
      <c r="N123" s="151" t="str">
        <f t="shared" si="92"/>
        <v/>
      </c>
      <c r="O123" s="712"/>
      <c r="P123" s="700"/>
      <c r="Q123" s="712"/>
      <c r="R123" s="136" t="str">
        <f t="array" ref="R123">IFERROR(
    IF(
        OR(D123="R-Flashing",D123="W-Flashing",D123="R-BG"),
        LET(
            StartRow,
            MATCH(
                I123&amp;"♦"&amp;H123,
                Material!$I:$I&amp;"♦"&amp;Material!$J:$J,
                0
            ),
            INDEX(
                Material!$J:$AF,
                StartRow+1+MATCH(
                    CEILING(E123*1000,50),
                    INDEX(Material!$I:$I,StartRow+2):INDEX(Material!$I:$I,StartRow+25),
                    0
                ),
                MATCH(
                    G123,
                    INDEX(Material!$I:$V,StartRow+1,0),
                    0
                )
            )
        ),
        XLOOKUP(C123,Material!$A:$A,Material!$D:$D)
    ),
"")</f>
        <v/>
      </c>
      <c r="S123" s="691"/>
      <c r="T123" s="690"/>
      <c r="U123" s="1082" t="str">
        <f t="array" ref="U123">IFERROR(
    IF(
        D123="R-Flashing",
        XLOOKUP(CEILING(E123*1000,50),Material!I:I,Material!X:X),
        XLOOKUP(C123,Material!A:A,Material!E:E)
    ),
    ""
)</f>
        <v/>
      </c>
      <c r="V123" s="691"/>
      <c r="W123" s="713"/>
      <c r="X123" s="692"/>
      <c r="Y123" s="595"/>
      <c r="Z123" s="595"/>
      <c r="AA123" s="595"/>
      <c r="AB123" s="354">
        <f t="shared" si="91"/>
        <v>0</v>
      </c>
      <c r="AC123" s="181"/>
      <c r="AD123" s="625"/>
      <c r="AE123" s="626"/>
      <c r="AF123" s="696"/>
      <c r="AG123" s="697"/>
      <c r="AH123" s="629"/>
      <c r="AI123" s="187"/>
      <c r="AJ123" s="630"/>
      <c r="AK123" s="630"/>
      <c r="AL123" s="595"/>
      <c r="AM123" s="595"/>
      <c r="AN123" s="595"/>
      <c r="AO123" s="595"/>
      <c r="AP123" s="595"/>
      <c r="AQ123" s="595"/>
      <c r="AR123" s="595"/>
      <c r="AS123" s="595"/>
      <c r="AT123" s="595"/>
      <c r="AU123" s="595"/>
      <c r="AV123" s="595"/>
      <c r="AW123" s="595"/>
      <c r="AX123" s="595"/>
      <c r="AY123" s="595"/>
      <c r="AZ123" s="595"/>
      <c r="BA123" s="595"/>
      <c r="BB123" s="595"/>
      <c r="BC123" s="595"/>
      <c r="BD123" s="595"/>
      <c r="BE123" s="595"/>
      <c r="BF123" s="595"/>
      <c r="BG123" s="595"/>
      <c r="BH123" s="595"/>
      <c r="BI123" s="651"/>
      <c r="BJ123" s="651"/>
      <c r="BK123" s="651"/>
      <c r="BL123" s="651"/>
      <c r="BM123" s="651"/>
      <c r="BN123" s="651"/>
      <c r="BO123" s="651"/>
      <c r="BP123" s="651"/>
      <c r="BQ123" s="651"/>
      <c r="BR123" s="651"/>
      <c r="BS123" s="651"/>
      <c r="BT123" s="651"/>
    </row>
    <row r="124">
      <c r="A124" s="1080">
        <v>1.0</v>
      </c>
      <c r="B124" s="102"/>
      <c r="C124" s="103" t="s">
        <v>658</v>
      </c>
      <c r="D124" s="104"/>
      <c r="E124" s="749"/>
      <c r="F124" s="1089"/>
      <c r="G124" s="104"/>
      <c r="H124" s="104"/>
      <c r="I124" s="104"/>
      <c r="J124" s="104"/>
      <c r="K124" s="104" t="s">
        <v>42</v>
      </c>
      <c r="L124" s="106">
        <f>Q124</f>
        <v>2.886751346</v>
      </c>
      <c r="M124" s="105" t="s">
        <v>42</v>
      </c>
      <c r="N124" s="107"/>
      <c r="O124" s="105"/>
      <c r="P124" s="104"/>
      <c r="Q124" s="106">
        <f>Q125</f>
        <v>2.886751346</v>
      </c>
      <c r="R124" s="136" t="str">
        <f t="array" ref="R124">IFERROR(
    IF(
        OR(D124="R-Flashing",D124="W-Flashing",D124="R-BG"),
        LET(
            StartRow,
            MATCH(
                I124&amp;"♦"&amp;H124,
                Material!$I:$I&amp;"♦"&amp;Material!$J:$J,
                0
            ),
            INDEX(
                Material!$J:$AF,
                StartRow+1+MATCH(
                    CEILING(E124*1000,50),
                    INDEX(Material!$I:$I,StartRow+2):INDEX(Material!$I:$I,StartRow+25),
                    0
                ),
                MATCH(
                    G124,
                    INDEX(Material!$I:$V,StartRow+1,0),
                    0
                )
            )
        ),
        XLOOKUP(C124,Material!$A:$A,Material!$D:$D)
    ),
"")</f>
        <v/>
      </c>
      <c r="S124" s="682">
        <f>IFERROR(T124/Q124, 0)</f>
        <v>67.37886743</v>
      </c>
      <c r="T124" s="109">
        <f>SUM(S125:S130)</f>
        <v>194.5060362</v>
      </c>
      <c r="U124" s="1082" t="str">
        <f t="array" ref="U124">IFERROR(
    IF(
        D124="R-Flashing",
        XLOOKUP(CEILING(E124*1000,50),Material!I:I,Material!X:X),
        XLOOKUP(C124,Material!A:A,Material!E:E)
    ),
    ""
)</f>
        <v/>
      </c>
      <c r="V124" s="109">
        <f>W124/Q124</f>
        <v>20</v>
      </c>
      <c r="W124" s="110">
        <f>SUM(W125:W130)</f>
        <v>57.73502692</v>
      </c>
      <c r="X124" s="111">
        <f>W124/$AC$210/$W$217/$X$207</f>
        <v>0.03922216503</v>
      </c>
      <c r="Y124" s="112" t="b">
        <f>(T124+W124)=(SUM(AB125:AB130))</f>
        <v>1</v>
      </c>
      <c r="Z124" s="113">
        <f>(T124+W124)-(SUM(AB125:AB130))</f>
        <v>0</v>
      </c>
      <c r="AA124" s="5"/>
      <c r="AB124" s="5"/>
      <c r="AC124" s="33"/>
      <c r="AD124" s="114">
        <f>W124+T124</f>
        <v>252.2410632</v>
      </c>
      <c r="AE124" s="115">
        <f>AD124</f>
        <v>252.2410632</v>
      </c>
      <c r="AF124" s="116">
        <f>AE124/$AE$185</f>
        <v>0.003533560478</v>
      </c>
      <c r="AG124" s="683">
        <f>AF124*$AG$192</f>
        <v>96.48857183</v>
      </c>
      <c r="AH124" s="118">
        <f>AF124*$AG$195</f>
        <v>56.26364046</v>
      </c>
      <c r="AI124" s="187"/>
      <c r="AJ124" s="119">
        <f>ROUND(AK124/L124,2)</f>
        <v>140.29</v>
      </c>
      <c r="AK124" s="119">
        <f>ROUND(AH124+AG124+AD124,2)</f>
        <v>404.99</v>
      </c>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260"/>
      <c r="BJ124" s="260"/>
      <c r="BK124" s="260"/>
      <c r="BL124" s="260"/>
      <c r="BM124" s="260"/>
      <c r="BN124" s="260"/>
      <c r="BO124" s="260"/>
      <c r="BP124" s="260"/>
      <c r="BQ124" s="260"/>
      <c r="BR124" s="260"/>
      <c r="BS124" s="260"/>
      <c r="BT124" s="260"/>
    </row>
    <row r="125">
      <c r="A125" s="1080" t="s">
        <v>444</v>
      </c>
      <c r="B125" s="154"/>
      <c r="C125" s="123" t="s">
        <v>659</v>
      </c>
      <c r="D125" s="124" t="s">
        <v>96</v>
      </c>
      <c r="E125" s="687">
        <f>VALUE(MID(C125, FIND("(", C125)+1, FIND("/", C125)-FIND("(", C125)-1)) / 1000</f>
        <v>0.46</v>
      </c>
      <c r="F125" s="1085">
        <v>30.0</v>
      </c>
      <c r="G125" s="128">
        <f>VALUE(MID(C125,FIND("/",C125)+1,FIND("B",C125,FIND("/",C125))-FIND("/",C125)-1))</f>
        <v>4</v>
      </c>
      <c r="H125" s="128" t="str">
        <f>IFERROR(__xludf.DUMMYFUNCTION("IFERROR(REGEXEXTRACT(C125,""(\d*\.?\d+)\s*bmt""),IFERROR(REGEXEXTRACT(C125,""(\d*\.?\d+)\s*mm""),""""))"),"1.6")</f>
        <v>1.6</v>
      </c>
      <c r="I125" s="125" t="s">
        <v>630</v>
      </c>
      <c r="J125" s="126" t="s">
        <v>14</v>
      </c>
      <c r="K125" s="126" t="str">
        <f t="array" ref="K125">iferror(if(OR(D125="R-Flashing",D125="W-Flashing"),"LM",XLOOKUP(C125,Material!$A:$A,Material!$C:$C)),"")</f>
        <v>LM</v>
      </c>
      <c r="L125" s="163"/>
      <c r="M125" s="730">
        <v>2.5</v>
      </c>
      <c r="N125" s="151">
        <f>IFERROR(__xludf.DUMMYFUNCTION("IF(
  AND(
    IFERROR(REGEXEXTRACT(C125,""@\s*(\d+(?:\.\d+)?)\s*deg""),"""")&lt;&gt;"""",
    F125&lt;&gt;""""
  ),
  ""Pls Confirm °"",
  IF(
    IFERROR(REGEXEXTRACT(C125,""@\s*(\d+(?:\.\d+)?)\s*deg""),"""")&lt;&gt;"""",
    1/COS(RADIANS(REGEXEXTRACT(C125,""@\s*(\d+(?:"&amp;"\.\d+)?)\s*deg""))),
    IF(
      F125&lt;&gt;"""",
      IF(
        ISNUMBER(SEARCH(""|"",F125)),
        1/COS(
          ATAN(
            TAN(RADIANS(VALUE(INDEX(SPLIT(F125,""|""),1)))) *
            TAN(RADIANS(VALUE(INDEX(SPLIT(F125,""|""),2))))
       "&amp;"     /
            SQRT(
              TAN(RADIANS(VALUE(INDEX(SPLIT(F125,""|""),1))))^2 +
              TAN(RADIANS(VALUE(INDEX(SPLIT(F125,""|""),2))))^2
            )
          )
        ),
        1/COS(RADIANS(VALUE(F125)))
      ),
      1
    )
  )
"&amp;")"),1.1547005383792515)</f>
        <v>1.154700538</v>
      </c>
      <c r="O125" s="169">
        <v>1.0</v>
      </c>
      <c r="P125" s="134">
        <v>1.0</v>
      </c>
      <c r="Q125" s="168">
        <f t="shared" ref="Q125:Q129" si="93">M125*N125*O125*P125</f>
        <v>2.886751346</v>
      </c>
      <c r="R125" s="1082">
        <v>50.0</v>
      </c>
      <c r="S125" s="152">
        <f t="shared" ref="S125:S129" si="94">R125*Q125</f>
        <v>144.3375673</v>
      </c>
      <c r="T125" s="138"/>
      <c r="U125" s="1082">
        <v>20.0</v>
      </c>
      <c r="V125" s="139"/>
      <c r="W125" s="140">
        <f t="shared" ref="W125:W129" si="95">U125*Q125</f>
        <v>57.73502692</v>
      </c>
      <c r="X125" s="159"/>
      <c r="Y125" s="165"/>
      <c r="Z125" s="1090"/>
      <c r="AA125" s="5"/>
      <c r="AB125" s="354">
        <f t="shared" ref="AB125:AB130" si="96">W125+S125</f>
        <v>202.0725942</v>
      </c>
      <c r="AC125" s="33"/>
      <c r="AD125" s="65"/>
      <c r="AE125" s="66"/>
      <c r="AF125" s="144"/>
      <c r="AG125" s="68"/>
      <c r="AH125" s="69"/>
      <c r="AI125" s="39"/>
      <c r="AJ125" s="70"/>
      <c r="AK125" s="70"/>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260"/>
      <c r="BJ125" s="260"/>
      <c r="BK125" s="260"/>
      <c r="BL125" s="260"/>
      <c r="BM125" s="260"/>
      <c r="BN125" s="260"/>
      <c r="BO125" s="260"/>
      <c r="BP125" s="260"/>
      <c r="BQ125" s="260"/>
      <c r="BR125" s="260"/>
      <c r="BS125" s="260"/>
      <c r="BT125" s="260"/>
    </row>
    <row r="126">
      <c r="A126" s="1080" t="s">
        <v>444</v>
      </c>
      <c r="B126" s="154"/>
      <c r="C126" s="123" t="s">
        <v>656</v>
      </c>
      <c r="D126" s="148" t="s">
        <v>657</v>
      </c>
      <c r="E126" s="755">
        <f>E125</f>
        <v>0.46</v>
      </c>
      <c r="F126" s="1091"/>
      <c r="G126" s="128"/>
      <c r="H126" s="128" t="str">
        <f>IFERROR(__xludf.DUMMYFUNCTION("IFERROR(REGEXEXTRACT(C126,""(\d*\.?\d+)\s*bmt""),IFERROR(REGEXEXTRACT(C126,""(\d*\.?\d+)\s*mm""),""""))"),"")</f>
        <v/>
      </c>
      <c r="I126" s="125"/>
      <c r="J126" s="126" t="s">
        <v>87</v>
      </c>
      <c r="K126" s="126" t="str">
        <f t="array" ref="K126">iferror(if(OR(D126="R-Flashing",D126="W-Flashing"),"LM",XLOOKUP(C126,Material!$A:$A,Material!$C:$C)),"")</f>
        <v>m2</v>
      </c>
      <c r="L126" s="163"/>
      <c r="M126" s="730">
        <f>E126*M125</f>
        <v>1.15</v>
      </c>
      <c r="N126" s="151">
        <f>IFERROR(__xludf.DUMMYFUNCTION("IF(
  AND(
    IFERROR(REGEXEXTRACT(C126,""@\s*(\d+(?:\.\d+)?)\s*deg""),"""")&lt;&gt;"""",
    F126&lt;&gt;""""
  ),
  ""Pls Confirm °"",
  IF(
    IFERROR(REGEXEXTRACT(C126,""@\s*(\d+(?:\.\d+)?)\s*deg""),"""")&lt;&gt;"""",
    1/COS(RADIANS(REGEXEXTRACT(C126,""@\s*(\d+(?:"&amp;"\.\d+)?)\s*deg""))),
    IF(
      F126&lt;&gt;"""",
      IF(
        ISNUMBER(SEARCH(""|"",F126)),
        1/COS(
          ATAN(
            TAN(RADIANS(VALUE(INDEX(SPLIT(F126,""|""),1)))) *
            TAN(RADIANS(VALUE(INDEX(SPLIT(F126,""|""),2))))
       "&amp;"     /
            SQRT(
              TAN(RADIANS(VALUE(INDEX(SPLIT(F126,""|""),1))))^2 +
              TAN(RADIANS(VALUE(INDEX(SPLIT(F126,""|""),2))))^2
            )
          )
        ),
        1/COS(RADIANS(VALUE(F126)))
      ),
      1
    )
  )
"&amp;")"),1.0)</f>
        <v>1</v>
      </c>
      <c r="O126" s="169">
        <v>1.0</v>
      </c>
      <c r="P126" s="134">
        <v>1.0</v>
      </c>
      <c r="Q126" s="168">
        <f t="shared" si="93"/>
        <v>1.15</v>
      </c>
      <c r="R126" s="136">
        <f t="array" ref="R126">IFERROR(
    IF(
        OR(D126="R-Flashing",D126="W-Flashing",D126="R-BG"),
        LET(
            StartRow,
            MATCH(
                I126&amp;"♦"&amp;H126,
                Material!$I:$I&amp;"♦"&amp;Material!$J:$J,
                0
            ),
            INDEX(
                Material!$J:$AF,
                StartRow+1+MATCH(
                    CEILING(E126*1000,50),
                    INDEX(Material!$I:$I,StartRow+2):INDEX(Material!$I:$I,StartRow+25),
                    0
                ),
                MATCH(
                    G126,
                    INDEX(Material!$I:$V,StartRow+1,0),
                    0
                )
            )
        ),
        XLOOKUP(C126,Material!$A:$A,Material!$D:$D)
    ),
"")</f>
        <v>40</v>
      </c>
      <c r="S126" s="152">
        <f t="shared" si="94"/>
        <v>46</v>
      </c>
      <c r="T126" s="138"/>
      <c r="U126" s="1082" t="str">
        <f t="array" ref="U126">IFERROR(
    IF(
        D126="R-Flashing",
        XLOOKUP(CEILING(E126*1000,50),Material!I:I,Material!X:X),
        XLOOKUP(C126,Material!A:A,Material!E:E)
    ),
    ""
)</f>
        <v/>
      </c>
      <c r="V126" s="139"/>
      <c r="W126" s="140">
        <f t="shared" si="95"/>
        <v>0</v>
      </c>
      <c r="X126" s="159"/>
      <c r="Y126" s="165"/>
      <c r="Z126" s="1090"/>
      <c r="AA126" s="5"/>
      <c r="AB126" s="354">
        <f t="shared" si="96"/>
        <v>46</v>
      </c>
      <c r="AC126" s="33"/>
      <c r="AD126" s="65"/>
      <c r="AE126" s="66"/>
      <c r="AF126" s="144"/>
      <c r="AG126" s="68"/>
      <c r="AH126" s="69"/>
      <c r="AI126" s="39"/>
      <c r="AJ126" s="70"/>
      <c r="AK126" s="70"/>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260"/>
      <c r="BJ126" s="260"/>
      <c r="BK126" s="260"/>
      <c r="BL126" s="260"/>
      <c r="BM126" s="260"/>
      <c r="BN126" s="260"/>
      <c r="BO126" s="260"/>
      <c r="BP126" s="260"/>
      <c r="BQ126" s="260"/>
      <c r="BR126" s="260"/>
      <c r="BS126" s="260"/>
      <c r="BT126" s="260"/>
    </row>
    <row r="127">
      <c r="A127" s="1080"/>
      <c r="B127" s="154"/>
      <c r="C127" s="225" t="s">
        <v>98</v>
      </c>
      <c r="D127" s="124" t="s">
        <v>99</v>
      </c>
      <c r="E127" s="687">
        <f>E125</f>
        <v>0.46</v>
      </c>
      <c r="F127" s="1085" t="str">
        <f>IFERROR(__xludf.DUMMYFUNCTION("iferror(ROUND(
  DEGREES(
    ATAN(
      TAN(RADIANS(VALUE(INDEX(SPLIT(F125,""|""),1)))) *
      TAN(RADIANS(VALUE(INDEX(SPLIT(F125,""|""),2))))
      /
      SQRT(
        TAN(RADIANS(VALUE(INDEX(SPLIT(F125,""|""),1))))^2 +
        TAN(RADIANS(VALUE(IND"&amp;"EX(SPLIT(F125,""|""),2))))^2
      )
    )
  ),
  2
))"),"")</f>
        <v/>
      </c>
      <c r="G127" s="127"/>
      <c r="H127" s="127" t="str">
        <f>IFERROR(__xludf.DUMMYFUNCTION("IFERROR(REGEXEXTRACT(C127, ""(\d*\.\d+)mm""), """")"),"")</f>
        <v/>
      </c>
      <c r="I127" s="127"/>
      <c r="J127" s="126" t="s">
        <v>87</v>
      </c>
      <c r="K127" s="126" t="str">
        <f t="array" ref="K127">iferror(if(OR(D127="R-Flashing",D127="W-Flashing"),"LM",XLOOKUP(C127,Material!$A:$A,Material!$C:$C)),"")</f>
        <v>ea</v>
      </c>
      <c r="L127" s="163"/>
      <c r="M127" s="150">
        <f>(ROUNDDOWN((M125/5.7)+2,0)*E127)/8</f>
        <v>0.115</v>
      </c>
      <c r="N127" s="151">
        <f>if(C127="","",(if(N125="",N124,N125)))</f>
        <v>1.154700538</v>
      </c>
      <c r="O127" s="169">
        <v>1.0</v>
      </c>
      <c r="P127" s="134">
        <v>1.0</v>
      </c>
      <c r="Q127" s="168">
        <f t="shared" si="93"/>
        <v>0.1327905619</v>
      </c>
      <c r="R127" s="136">
        <f t="array" ref="R127">IFERROR(
    IF(
        OR(D127="R-Flashing",D127="W-Flashing",D127="R-BG"),
        LET(
            StartRow,
            MATCH(
                I127&amp;"♦"&amp;H127,
                Material!$I:$I&amp;"♦"&amp;Material!$J:$J,
                0
            ),
            INDEX(
                Material!$J:$AF,
                StartRow+1+MATCH(
                    CEILING(E127*1000,50),
                    INDEX(Material!$I:$I,StartRow+2):INDEX(Material!$I:$I,StartRow+25),
                    0
                ),
                MATCH(
                    G127,
                    INDEX(Material!$I:$V,StartRow+1,0),
                    0
                )
            )
        ),
        XLOOKUP(C127,Material!$A:$A,Material!$D:$D)
    ),
"")</f>
        <v>10</v>
      </c>
      <c r="S127" s="152">
        <f t="shared" si="94"/>
        <v>1.327905619</v>
      </c>
      <c r="T127" s="138"/>
      <c r="U127" s="1082" t="str">
        <f t="array" ref="U127">IFERROR(
    IF(
        D127="R-Flashing",
        XLOOKUP(CEILING(E127*1000,50),Material!I:I,Material!X:X),
        XLOOKUP(C127,Material!A:A,Material!E:E)
    ),
    ""
)</f>
        <v/>
      </c>
      <c r="V127" s="139"/>
      <c r="W127" s="140">
        <f t="shared" si="95"/>
        <v>0</v>
      </c>
      <c r="X127" s="159"/>
      <c r="Y127" s="5"/>
      <c r="Z127" s="5"/>
      <c r="AA127" s="5"/>
      <c r="AB127" s="354">
        <f t="shared" si="96"/>
        <v>1.327905619</v>
      </c>
      <c r="AC127" s="33"/>
      <c r="AD127" s="65"/>
      <c r="AE127" s="66"/>
      <c r="AF127" s="144"/>
      <c r="AG127" s="68"/>
      <c r="AH127" s="69"/>
      <c r="AI127" s="39"/>
      <c r="AJ127" s="70"/>
      <c r="AK127" s="70"/>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260"/>
      <c r="BJ127" s="260"/>
      <c r="BK127" s="260"/>
      <c r="BL127" s="260"/>
      <c r="BM127" s="260"/>
      <c r="BN127" s="260"/>
      <c r="BO127" s="260"/>
      <c r="BP127" s="260"/>
      <c r="BQ127" s="260"/>
      <c r="BR127" s="260"/>
      <c r="BS127" s="260"/>
      <c r="BT127" s="260"/>
    </row>
    <row r="128">
      <c r="A128" s="1080"/>
      <c r="B128" s="154"/>
      <c r="C128" s="225" t="s">
        <v>100</v>
      </c>
      <c r="D128" s="124" t="s">
        <v>101</v>
      </c>
      <c r="E128" s="687">
        <f>E125</f>
        <v>0.46</v>
      </c>
      <c r="F128" s="1093"/>
      <c r="G128" s="127"/>
      <c r="H128" s="127" t="str">
        <f>IFERROR(__xludf.DUMMYFUNCTION("IFERROR(REGEXEXTRACT(C128, ""(\d*\.\d+)mm""), """")"),"")</f>
        <v/>
      </c>
      <c r="I128" s="127"/>
      <c r="J128" s="126" t="s">
        <v>87</v>
      </c>
      <c r="K128" s="126" t="str">
        <f t="array" ref="K128">iferror(if(OR(D128="R-Flashing",D128="W-Flashing"),"LM",XLOOKUP(C128,Material!$A:$A,Material!$C:$C)),"")</f>
        <v>ea</v>
      </c>
      <c r="L128" s="163"/>
      <c r="M128" s="150">
        <f>ROUNDUP(((M125/5.7)+1)*(E128/0.05),0)</f>
        <v>14</v>
      </c>
      <c r="N128" s="151">
        <f>if(C128="","",(if(N127="",N125,N127)))</f>
        <v>1.154700538</v>
      </c>
      <c r="O128" s="169">
        <v>1.0</v>
      </c>
      <c r="P128" s="134">
        <v>1.0</v>
      </c>
      <c r="Q128" s="168">
        <f t="shared" si="93"/>
        <v>16.16580754</v>
      </c>
      <c r="R128" s="136">
        <f t="array" ref="R128">IFERROR(
    IF(
        OR(D128="R-Flashing",D128="W-Flashing",D128="R-BG"),
        LET(
            StartRow,
            MATCH(
                I128&amp;"♦"&amp;H128,
                Material!$I:$I&amp;"♦"&amp;Material!$J:$J,
                0
            ),
            INDEX(
                Material!$J:$AF,
                StartRow+1+MATCH(
                    CEILING(E128*1000,50),
                    INDEX(Material!$I:$I,StartRow+2):INDEX(Material!$I:$I,StartRow+25),
                    0
                ),
                MATCH(
                    G128,
                    INDEX(Material!$I:$V,StartRow+1,0),
                    0
                )
            )
        ),
        XLOOKUP(C128,Material!$A:$A,Material!$D:$D)
    ),
"")</f>
        <v>0.09</v>
      </c>
      <c r="S128" s="152">
        <f t="shared" si="94"/>
        <v>1.454922678</v>
      </c>
      <c r="T128" s="138"/>
      <c r="U128" s="1082" t="str">
        <f t="array" ref="U128">IFERROR(
    IF(
        D128="R-Flashing",
        XLOOKUP(CEILING(E128*1000,50),Material!I:I,Material!X:X),
        XLOOKUP(C128,Material!A:A,Material!E:E)
    ),
    ""
)</f>
        <v/>
      </c>
      <c r="V128" s="139"/>
      <c r="W128" s="140">
        <f t="shared" si="95"/>
        <v>0</v>
      </c>
      <c r="X128" s="159"/>
      <c r="Y128" s="5"/>
      <c r="Z128" s="5"/>
      <c r="AA128" s="5"/>
      <c r="AB128" s="354">
        <f t="shared" si="96"/>
        <v>1.454922678</v>
      </c>
      <c r="AC128" s="33"/>
      <c r="AD128" s="65"/>
      <c r="AE128" s="66"/>
      <c r="AF128" s="144"/>
      <c r="AG128" s="68"/>
      <c r="AH128" s="69"/>
      <c r="AI128" s="39"/>
      <c r="AJ128" s="70"/>
      <c r="AK128" s="70"/>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260"/>
      <c r="BJ128" s="260"/>
      <c r="BK128" s="260"/>
      <c r="BL128" s="260"/>
      <c r="BM128" s="260"/>
      <c r="BN128" s="260"/>
      <c r="BO128" s="260"/>
      <c r="BP128" s="260"/>
      <c r="BQ128" s="260"/>
      <c r="BR128" s="260"/>
      <c r="BS128" s="260"/>
      <c r="BT128" s="260"/>
    </row>
    <row r="129">
      <c r="A129" s="1080"/>
      <c r="B129" s="154"/>
      <c r="C129" s="123" t="s">
        <v>631</v>
      </c>
      <c r="D129" s="124" t="s">
        <v>103</v>
      </c>
      <c r="E129" s="752"/>
      <c r="F129" s="1093"/>
      <c r="G129" s="129"/>
      <c r="H129" s="127"/>
      <c r="I129" s="127"/>
      <c r="J129" s="126" t="s">
        <v>87</v>
      </c>
      <c r="K129" s="126" t="str">
        <f t="array" ref="K129">iferror(if(OR(D129="R-Flashing",D129="W-Flashing"),"LM",XLOOKUP(C129,Material!$A:$A,Material!$C:$C)),"")</f>
        <v>ea</v>
      </c>
      <c r="L129" s="161"/>
      <c r="M129" s="150">
        <f>ROUNDUP(M125/0.6,0)+1</f>
        <v>6</v>
      </c>
      <c r="N129" s="151">
        <f t="shared" ref="N129:N130" si="97">if(C129="","",(if(N128="",N127,N128)))</f>
        <v>1.154700538</v>
      </c>
      <c r="O129" s="169">
        <v>1.0</v>
      </c>
      <c r="P129" s="156">
        <v>1.0</v>
      </c>
      <c r="Q129" s="168">
        <f t="shared" si="93"/>
        <v>6.92820323</v>
      </c>
      <c r="R129" s="136">
        <f t="array" ref="R129">IFERROR(
    IF(
        OR(D129="R-Flashing",D129="W-Flashing",D129="R-BG"),
        LET(
            StartRow,
            MATCH(
                I129&amp;"♦"&amp;H129,
                Material!$I:$I&amp;"♦"&amp;Material!$J:$J,
                0
            ),
            INDEX(
                Material!$J:$AF,
                StartRow+1+MATCH(
                    CEILING(E129*1000,50),
                    INDEX(Material!$I:$I,StartRow+2):INDEX(Material!$I:$I,StartRow+25),
                    0
                ),
                MATCH(
                    G129,
                    INDEX(Material!$I:$V,StartRow+1,0),
                    0
                )
            )
        ),
        XLOOKUP(C129,Material!$A:$A,Material!$D:$D)
    ),
"")</f>
        <v>0.2</v>
      </c>
      <c r="S129" s="152">
        <f t="shared" si="94"/>
        <v>1.385640646</v>
      </c>
      <c r="T129" s="138"/>
      <c r="U129" s="1082" t="str">
        <f t="array" ref="U129">IFERROR(
    IF(
        D129="R-Flashing",
        XLOOKUP(CEILING(E129*1000,50),Material!I:I,Material!X:X),
        XLOOKUP(C129,Material!A:A,Material!E:E)
    ),
    ""
)</f>
        <v/>
      </c>
      <c r="V129" s="139"/>
      <c r="W129" s="140">
        <f t="shared" si="95"/>
        <v>0</v>
      </c>
      <c r="X129" s="159"/>
      <c r="Y129" s="5"/>
      <c r="Z129" s="5"/>
      <c r="AA129" s="5"/>
      <c r="AB129" s="354">
        <f t="shared" si="96"/>
        <v>1.385640646</v>
      </c>
      <c r="AC129" s="33"/>
      <c r="AD129" s="65"/>
      <c r="AE129" s="66"/>
      <c r="AF129" s="144"/>
      <c r="AG129" s="68"/>
      <c r="AH129" s="69"/>
      <c r="AI129" s="39"/>
      <c r="AJ129" s="70"/>
      <c r="AK129" s="70"/>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260"/>
      <c r="BJ129" s="260"/>
      <c r="BK129" s="260"/>
      <c r="BL129" s="260"/>
      <c r="BM129" s="260"/>
      <c r="BN129" s="260"/>
      <c r="BO129" s="260"/>
      <c r="BP129" s="260"/>
      <c r="BQ129" s="260"/>
      <c r="BR129" s="260"/>
      <c r="BS129" s="260"/>
      <c r="BT129" s="260"/>
    </row>
    <row r="130">
      <c r="A130" s="1080"/>
      <c r="B130" s="154"/>
      <c r="C130" s="700"/>
      <c r="D130" s="701"/>
      <c r="E130" s="722"/>
      <c r="F130" s="1088"/>
      <c r="G130" s="701"/>
      <c r="H130" s="128"/>
      <c r="I130" s="700"/>
      <c r="J130" s="701"/>
      <c r="K130" s="126" t="str">
        <f t="array" ref="K130">iferror(if(OR(D130="R-Flashing",D130="W-Flashing"),"LM",XLOOKUP(C130,Material!$A:$A,Material!$C:$C)),"")</f>
        <v/>
      </c>
      <c r="L130" s="712"/>
      <c r="M130" s="704"/>
      <c r="N130" s="151" t="str">
        <f t="shared" si="97"/>
        <v/>
      </c>
      <c r="O130" s="712"/>
      <c r="P130" s="700"/>
      <c r="Q130" s="712"/>
      <c r="R130" s="136" t="str">
        <f t="array" ref="R130">IFERROR(
    IF(
        OR(D130="R-Flashing",D130="W-Flashing",D130="R-BG"),
        LET(
            StartRow,
            MATCH(
                I130&amp;"♦"&amp;H130,
                Material!$I:$I&amp;"♦"&amp;Material!$J:$J,
                0
            ),
            INDEX(
                Material!$J:$AF,
                StartRow+1+MATCH(
                    CEILING(E130*1000,50),
                    INDEX(Material!$I:$I,StartRow+2):INDEX(Material!$I:$I,StartRow+25),
                    0
                ),
                MATCH(
                    G130,
                    INDEX(Material!$I:$V,StartRow+1,0),
                    0
                )
            )
        ),
        XLOOKUP(C130,Material!$A:$A,Material!$D:$D)
    ),
"")</f>
        <v/>
      </c>
      <c r="S130" s="691"/>
      <c r="T130" s="690"/>
      <c r="U130" s="1082" t="str">
        <f t="array" ref="U130">IFERROR(
    IF(
        D130="R-Flashing",
        XLOOKUP(CEILING(E130*1000,50),Material!I:I,Material!X:X),
        XLOOKUP(C130,Material!A:A,Material!E:E)
    ),
    ""
)</f>
        <v/>
      </c>
      <c r="V130" s="691"/>
      <c r="W130" s="713"/>
      <c r="X130" s="692"/>
      <c r="Y130" s="595"/>
      <c r="Z130" s="595"/>
      <c r="AA130" s="595"/>
      <c r="AB130" s="354">
        <f t="shared" si="96"/>
        <v>0</v>
      </c>
      <c r="AC130" s="181"/>
      <c r="AD130" s="625"/>
      <c r="AE130" s="626"/>
      <c r="AF130" s="696"/>
      <c r="AG130" s="697"/>
      <c r="AH130" s="629"/>
      <c r="AI130" s="187"/>
      <c r="AJ130" s="630"/>
      <c r="AK130" s="630"/>
      <c r="AL130" s="595"/>
      <c r="AM130" s="595"/>
      <c r="AN130" s="595"/>
      <c r="AO130" s="595"/>
      <c r="AP130" s="595"/>
      <c r="AQ130" s="595"/>
      <c r="AR130" s="595"/>
      <c r="AS130" s="595"/>
      <c r="AT130" s="595"/>
      <c r="AU130" s="595"/>
      <c r="AV130" s="595"/>
      <c r="AW130" s="595"/>
      <c r="AX130" s="595"/>
      <c r="AY130" s="595"/>
      <c r="AZ130" s="595"/>
      <c r="BA130" s="595"/>
      <c r="BB130" s="595"/>
      <c r="BC130" s="595"/>
      <c r="BD130" s="595"/>
      <c r="BE130" s="595"/>
      <c r="BF130" s="595"/>
      <c r="BG130" s="595"/>
      <c r="BH130" s="595"/>
      <c r="BI130" s="651"/>
      <c r="BJ130" s="651"/>
      <c r="BK130" s="651"/>
      <c r="BL130" s="651"/>
      <c r="BM130" s="651"/>
      <c r="BN130" s="651"/>
      <c r="BO130" s="651"/>
      <c r="BP130" s="651"/>
      <c r="BQ130" s="651"/>
      <c r="BR130" s="651"/>
      <c r="BS130" s="651"/>
      <c r="BT130" s="651"/>
    </row>
    <row r="131">
      <c r="A131" s="1080">
        <v>1.0</v>
      </c>
      <c r="B131" s="764" t="s">
        <v>425</v>
      </c>
      <c r="C131" s="167" t="s">
        <v>660</v>
      </c>
      <c r="D131" s="90"/>
      <c r="E131" s="745"/>
      <c r="F131" s="1094"/>
      <c r="G131" s="90"/>
      <c r="H131" s="90"/>
      <c r="I131" s="90"/>
      <c r="J131" s="90"/>
      <c r="K131" s="90" t="s">
        <v>42</v>
      </c>
      <c r="L131" s="91"/>
      <c r="M131" s="91" t="s">
        <v>42</v>
      </c>
      <c r="N131" s="92"/>
      <c r="O131" s="91"/>
      <c r="P131" s="90"/>
      <c r="Q131" s="91"/>
      <c r="R131" s="136" t="str">
        <f t="array" ref="R131">IFERROR(
    IF(
        OR(D131="R-Flashing",D131="W-Flashing",D131="R-BG"),
        LET(
            StartRow,
            MATCH(
                I131&amp;"♦"&amp;H131,
                Material!$I:$I&amp;"♦"&amp;Material!$J:$J,
                0
            ),
            INDEX(
                Material!$J:$AF,
                StartRow+1+MATCH(
                    CEILING(E131*1000,50),
                    INDEX(Material!$I:$I,StartRow+2):INDEX(Material!$I:$I,StartRow+25),
                    0
                ),
                MATCH(
                    G131,
                    INDEX(Material!$I:$V,StartRow+1,0),
                    0
                )
            )
        ),
        XLOOKUP(C131,Material!$A:$A,Material!$D:$D)
    ),
"")</f>
        <v/>
      </c>
      <c r="S131" s="234"/>
      <c r="T131" s="235"/>
      <c r="U131" s="1082" t="str">
        <f t="array" ref="U131">IFERROR(
    IF(
        D131="R-Flashing",
        XLOOKUP(CEILING(E131*1000,50),Material!I:I,Material!X:X),
        XLOOKUP(C131,Material!A:A,Material!E:E)
    ),
    ""
)</f>
        <v/>
      </c>
      <c r="V131" s="234"/>
      <c r="W131" s="236"/>
      <c r="X131" s="159"/>
      <c r="Y131" s="5"/>
      <c r="Z131" s="5"/>
      <c r="AA131" s="5"/>
      <c r="AB131" s="5"/>
      <c r="AC131" s="33"/>
      <c r="AD131" s="65"/>
      <c r="AE131" s="66"/>
      <c r="AF131" s="144"/>
      <c r="AG131" s="68"/>
      <c r="AH131" s="69"/>
      <c r="AI131" s="39"/>
      <c r="AJ131" s="70"/>
      <c r="AK131" s="70"/>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260"/>
      <c r="BJ131" s="260"/>
      <c r="BK131" s="260"/>
      <c r="BL131" s="260"/>
      <c r="BM131" s="260"/>
      <c r="BN131" s="260"/>
      <c r="BO131" s="260"/>
      <c r="BP131" s="260"/>
      <c r="BQ131" s="260"/>
      <c r="BR131" s="260"/>
      <c r="BS131" s="260"/>
      <c r="BT131" s="260"/>
    </row>
    <row r="132">
      <c r="A132" s="1080">
        <v>1.0</v>
      </c>
      <c r="B132" s="102"/>
      <c r="C132" s="103" t="s">
        <v>661</v>
      </c>
      <c r="D132" s="104"/>
      <c r="E132" s="749"/>
      <c r="F132" s="1089"/>
      <c r="G132" s="104"/>
      <c r="H132" s="104"/>
      <c r="I132" s="104"/>
      <c r="J132" s="104"/>
      <c r="K132" s="104" t="s">
        <v>42</v>
      </c>
      <c r="L132" s="106">
        <f>Q132</f>
        <v>2</v>
      </c>
      <c r="M132" s="105" t="s">
        <v>42</v>
      </c>
      <c r="N132" s="107"/>
      <c r="O132" s="105"/>
      <c r="P132" s="104"/>
      <c r="Q132" s="106">
        <f>Q133</f>
        <v>2</v>
      </c>
      <c r="R132" s="136" t="str">
        <f t="array" ref="R132">IFERROR(
    IF(
        OR(D132="R-Flashing",D132="W-Flashing",D132="R-BG"),
        LET(
            StartRow,
            MATCH(
                I132&amp;"♦"&amp;H132,
                Material!$I:$I&amp;"♦"&amp;Material!$J:$J,
                0
            ),
            INDEX(
                Material!$J:$AF,
                StartRow+1+MATCH(
                    CEILING(E132*1000,50),
                    INDEX(Material!$I:$I,StartRow+2):INDEX(Material!$I:$I,StartRow+25),
                    0
                ),
                MATCH(
                    G132,
                    INDEX(Material!$I:$V,StartRow+1,0),
                    0
                )
            )
        ),
        XLOOKUP(C132,Material!$A:$A,Material!$D:$D)
    ),
"")</f>
        <v/>
      </c>
      <c r="S132" s="682">
        <f>IFERROR(T132/Q132, 0)</f>
        <v>1000</v>
      </c>
      <c r="T132" s="109">
        <f>SUM(S133:S134)</f>
        <v>2000</v>
      </c>
      <c r="U132" s="1082" t="str">
        <f t="array" ref="U132">IFERROR(
    IF(
        D132="R-Flashing",
        XLOOKUP(CEILING(E132*1000,50),Material!I:I,Material!X:X),
        XLOOKUP(C132,Material!A:A,Material!E:E)
    ),
    ""
)</f>
        <v/>
      </c>
      <c r="V132" s="109">
        <f>W132/Q132</f>
        <v>650</v>
      </c>
      <c r="W132" s="110">
        <f>SUM(W133:W134)</f>
        <v>1300</v>
      </c>
      <c r="X132" s="111">
        <f>W132/$AC$210/$W$217/$X$207</f>
        <v>0.8831521739</v>
      </c>
      <c r="Y132" s="112" t="b">
        <f>(T132+W132)=(SUM(AB133:AB134))</f>
        <v>1</v>
      </c>
      <c r="Z132" s="113">
        <f>(T132+W132)-(SUM(AB133:AB134))</f>
        <v>0</v>
      </c>
      <c r="AA132" s="5"/>
      <c r="AB132" s="5"/>
      <c r="AC132" s="33"/>
      <c r="AD132" s="114">
        <f>W132+T132</f>
        <v>3300</v>
      </c>
      <c r="AE132" s="115">
        <f>AD132</f>
        <v>3300</v>
      </c>
      <c r="AF132" s="116">
        <f>AE132/$AE$185</f>
        <v>0.04622859352</v>
      </c>
      <c r="AG132" s="683">
        <f>AF132*$AG$192</f>
        <v>1262.333274</v>
      </c>
      <c r="AH132" s="118">
        <f>AF132*$AG$195</f>
        <v>736.0816324</v>
      </c>
      <c r="AI132" s="187"/>
      <c r="AJ132" s="119">
        <f>ROUND(AK132/L132,2)</f>
        <v>2649.21</v>
      </c>
      <c r="AK132" s="119">
        <f>ROUND(AH132+AG132+AD132,2)</f>
        <v>5298.41</v>
      </c>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260"/>
      <c r="BJ132" s="260"/>
      <c r="BK132" s="260"/>
      <c r="BL132" s="260"/>
      <c r="BM132" s="260"/>
      <c r="BN132" s="260"/>
      <c r="BO132" s="260"/>
      <c r="BP132" s="260"/>
      <c r="BQ132" s="260"/>
      <c r="BR132" s="260"/>
      <c r="BS132" s="260"/>
      <c r="BT132" s="260"/>
    </row>
    <row r="133">
      <c r="A133" s="1080" t="s">
        <v>479</v>
      </c>
      <c r="B133" s="223" t="s">
        <v>662</v>
      </c>
      <c r="C133" s="223" t="s">
        <v>663</v>
      </c>
      <c r="D133" s="148" t="s">
        <v>610</v>
      </c>
      <c r="E133" s="687"/>
      <c r="F133" s="1093"/>
      <c r="G133" s="128"/>
      <c r="H133" s="127" t="str">
        <f>IFERROR(__xludf.DUMMYFUNCTION("IFERROR(REGEXEXTRACT(C133, ""(\d*\.\d+)mm""), """")"),"")</f>
        <v/>
      </c>
      <c r="I133" s="128"/>
      <c r="J133" s="126" t="s">
        <v>14</v>
      </c>
      <c r="K133" s="126" t="str">
        <f t="array" ref="K133">iferror(if(OR(D133="R-Flashing",D133="W-Flashing"),"LM",XLOOKUP(C133,Material!$A:$A,Material!$C:$C)),"")</f>
        <v>ea</v>
      </c>
      <c r="L133" s="161"/>
      <c r="M133" s="730">
        <v>2.0</v>
      </c>
      <c r="N133" s="151">
        <f>IFERROR(__xludf.DUMMYFUNCTION("IF(
  AND(
    IFERROR(REGEXEXTRACT(C133,""@\s*(\d+(?:\.\d+)?)\s*deg""),"""")&lt;&gt;"""",
    F133&lt;&gt;""""
  ),
  ""Pls Confirm °"",
  IF(
    IFERROR(REGEXEXTRACT(C133,""@\s*(\d+(?:\.\d+)?)\s*deg""),"""")&lt;&gt;"""",
    1/COS(RADIANS(REGEXEXTRACT(C133,""@\s*(\d+(?:"&amp;"\.\d+)?)\s*deg""))),
    IF(
      F133&lt;&gt;"""",
      IF(
        ISNUMBER(SEARCH(""|"",F133)),
        1/COS(
          ATAN(
            TAN(RADIANS(VALUE(INDEX(SPLIT(F133,""|""),1)))) *
            TAN(RADIANS(VALUE(INDEX(SPLIT(F133,""|""),2))))
       "&amp;"     /
            SQRT(
              TAN(RADIANS(VALUE(INDEX(SPLIT(F133,""|""),1))))^2 +
              TAN(RADIANS(VALUE(INDEX(SPLIT(F133,""|""),2))))^2
            )
          )
        ),
        1/COS(RADIANS(VALUE(F133)))
      ),
      1
    )
  )
"&amp;")"),1.0)</f>
        <v>1</v>
      </c>
      <c r="O133" s="169">
        <v>1.0</v>
      </c>
      <c r="P133" s="134">
        <v>1.0</v>
      </c>
      <c r="Q133" s="168">
        <f>M133*N133*O133*P133</f>
        <v>2</v>
      </c>
      <c r="R133" s="1082">
        <v>1000.0</v>
      </c>
      <c r="S133" s="152">
        <f>R133*Q133</f>
        <v>2000</v>
      </c>
      <c r="T133" s="138"/>
      <c r="U133" s="1082">
        <v>650.0</v>
      </c>
      <c r="V133" s="139"/>
      <c r="W133" s="140">
        <f>U133*Q133</f>
        <v>1300</v>
      </c>
      <c r="X133" s="159"/>
      <c r="Y133" s="5"/>
      <c r="Z133" s="5"/>
      <c r="AA133" s="5"/>
      <c r="AB133" s="354">
        <f>W133+S133</f>
        <v>3300</v>
      </c>
      <c r="AC133" s="33"/>
      <c r="AD133" s="226"/>
      <c r="AE133" s="227"/>
      <c r="AF133" s="228"/>
      <c r="AG133" s="229"/>
      <c r="AH133" s="230"/>
      <c r="AI133" s="39"/>
      <c r="AJ133" s="231"/>
      <c r="AK133" s="231"/>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260"/>
      <c r="BJ133" s="260"/>
      <c r="BK133" s="260"/>
      <c r="BL133" s="260"/>
      <c r="BM133" s="260"/>
      <c r="BN133" s="260"/>
      <c r="BO133" s="260"/>
      <c r="BP133" s="260"/>
      <c r="BQ133" s="260"/>
      <c r="BR133" s="260"/>
      <c r="BS133" s="260"/>
      <c r="BT133" s="260"/>
    </row>
    <row r="134">
      <c r="A134" s="1092"/>
      <c r="B134" s="160"/>
      <c r="C134" s="225"/>
      <c r="D134" s="124"/>
      <c r="E134" s="687"/>
      <c r="F134" s="1093"/>
      <c r="G134" s="129"/>
      <c r="H134" s="127"/>
      <c r="I134" s="127"/>
      <c r="J134" s="126"/>
      <c r="K134" s="126" t="str">
        <f t="array" ref="K134">iferror(if(OR(D134="R-Flashing",D134="W-Flashing"),"LM",XLOOKUP(C134,Material!$A:$A,Material!$C:$C)),"")</f>
        <v/>
      </c>
      <c r="L134" s="161"/>
      <c r="M134" s="150"/>
      <c r="N134" s="151"/>
      <c r="O134" s="169"/>
      <c r="P134" s="134"/>
      <c r="Q134" s="168"/>
      <c r="R134" s="136" t="str">
        <f t="array" ref="R134">IFERROR(
    IF(
        OR(D134="R-Flashing",D134="W-Flashing",D134="R-BG"),
        LET(
            StartRow,
            MATCH(
                I134&amp;"♦"&amp;H134,
                Material!$I:$I&amp;"♦"&amp;Material!$J:$J,
                0
            ),
            INDEX(
                Material!$J:$AF,
                StartRow+1+MATCH(
                    CEILING(E134*1000,50),
                    INDEX(Material!$I:$I,StartRow+2):INDEX(Material!$I:$I,StartRow+25),
                    0
                ),
                MATCH(
                    G134,
                    INDEX(Material!$I:$V,StartRow+1,0),
                    0
                )
            )
        ),
        XLOOKUP(C134,Material!$A:$A,Material!$D:$D)
    ),
"")</f>
        <v/>
      </c>
      <c r="S134" s="152"/>
      <c r="T134" s="138"/>
      <c r="U134" s="1082" t="str">
        <f t="array" ref="U134">IFERROR(
    IF(
        D134="R-Flashing",
        XLOOKUP(CEILING(E134*1000,50),Material!I:I,Material!X:X),
        XLOOKUP(C134,Material!A:A,Material!E:E)
    ),
    ""
)</f>
        <v/>
      </c>
      <c r="V134" s="139"/>
      <c r="W134" s="140"/>
      <c r="X134" s="159"/>
      <c r="Y134" s="5"/>
      <c r="Z134" s="5"/>
      <c r="AA134" s="5"/>
      <c r="AB134" s="354"/>
      <c r="AC134" s="33"/>
      <c r="AD134" s="65"/>
      <c r="AE134" s="66"/>
      <c r="AF134" s="144"/>
      <c r="AG134" s="68"/>
      <c r="AH134" s="69"/>
      <c r="AI134" s="39"/>
      <c r="AJ134" s="70"/>
      <c r="AK134" s="70"/>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260"/>
      <c r="BJ134" s="260"/>
      <c r="BK134" s="260"/>
      <c r="BL134" s="260"/>
      <c r="BM134" s="260"/>
      <c r="BN134" s="260"/>
      <c r="BO134" s="260"/>
      <c r="BP134" s="260"/>
      <c r="BQ134" s="260"/>
      <c r="BR134" s="260"/>
      <c r="BS134" s="260"/>
      <c r="BT134" s="260"/>
    </row>
    <row r="135">
      <c r="A135" s="1095">
        <v>1.0</v>
      </c>
      <c r="B135" s="1096"/>
      <c r="C135" s="1097" t="s">
        <v>664</v>
      </c>
      <c r="D135" s="1098"/>
      <c r="E135" s="1099"/>
      <c r="F135" s="1100"/>
      <c r="G135" s="1098"/>
      <c r="H135" s="1098"/>
      <c r="I135" s="1098"/>
      <c r="J135" s="1098"/>
      <c r="K135" s="1098" t="s">
        <v>42</v>
      </c>
      <c r="L135" s="1101">
        <f>Q135</f>
        <v>2</v>
      </c>
      <c r="M135" s="1102" t="s">
        <v>42</v>
      </c>
      <c r="N135" s="1103"/>
      <c r="O135" s="1102"/>
      <c r="P135" s="1098"/>
      <c r="Q135" s="1101">
        <f>Q136</f>
        <v>2</v>
      </c>
      <c r="R135" s="1104" t="str">
        <f t="array" ref="R135">IFERROR(
    IF(
        OR(D135="R-Flashing",D135="W-Flashing",D135="R-BG"),
        LET(
            StartRow,
            MATCH(
                I135&amp;"♦"&amp;H135,
                Material!$I:$I&amp;"♦"&amp;Material!$J:$J,
                0
            ),
            INDEX(
                Material!$J:$AF,
                StartRow+1+MATCH(
                    CEILING(E135*1000,50),
                    INDEX(Material!$I:$I,StartRow+2):INDEX(Material!$I:$I,StartRow+25),
                    0
                ),
                MATCH(
                    G135,
                    INDEX(Material!$I:$V,StartRow+1,0),
                    0
                )
            )
        ),
        XLOOKUP(C135,Material!$A:$A,Material!$D:$D)
    ),
"")</f>
        <v/>
      </c>
      <c r="S135" s="1105">
        <f>IFERROR(T135/Q135, 0)</f>
        <v>900</v>
      </c>
      <c r="T135" s="1106">
        <f>SUM(S136:S137)</f>
        <v>1800</v>
      </c>
      <c r="U135" s="1082" t="str">
        <f t="array" ref="U135">IFERROR(
    IF(
        D135="R-Flashing",
        XLOOKUP(CEILING(E135*1000,50),Material!I:I,Material!X:X),
        XLOOKUP(C135,Material!A:A,Material!E:E)
    ),
    ""
)</f>
        <v/>
      </c>
      <c r="V135" s="1106">
        <f>W135/Q135</f>
        <v>650</v>
      </c>
      <c r="W135" s="1107">
        <f>SUM(W136:W137)</f>
        <v>1300</v>
      </c>
      <c r="X135" s="111">
        <f>W135/$AC$210/$W$217/$X$207</f>
        <v>0.8831521739</v>
      </c>
      <c r="Y135" s="1108" t="b">
        <f>(T135+W135)=(SUM(AB136:AB137))</f>
        <v>1</v>
      </c>
      <c r="Z135" s="1109">
        <f>(T135+W135)-(SUM(AB136:AB137))</f>
        <v>0</v>
      </c>
      <c r="AA135" s="1110"/>
      <c r="AB135" s="1110"/>
      <c r="AC135" s="1111"/>
      <c r="AD135" s="1112">
        <f>W135+T135</f>
        <v>3100</v>
      </c>
      <c r="AE135" s="1113">
        <f>AD135</f>
        <v>3100</v>
      </c>
      <c r="AF135" s="116">
        <f>AE135/$AE$185</f>
        <v>0.04342686058</v>
      </c>
      <c r="AG135" s="683">
        <f>AF135*$AG$192</f>
        <v>1185.828227</v>
      </c>
      <c r="AH135" s="118">
        <f>AF135*$AG$195</f>
        <v>691.4706243</v>
      </c>
      <c r="AI135" s="187"/>
      <c r="AJ135" s="119">
        <f>ROUND(AK135/L135,2)</f>
        <v>2488.65</v>
      </c>
      <c r="AK135" s="119">
        <f>ROUND(AH135+AG135+AD135,2)</f>
        <v>4977.3</v>
      </c>
      <c r="AL135" s="1110"/>
      <c r="AM135" s="1110"/>
      <c r="AN135" s="1110"/>
      <c r="AO135" s="1110"/>
      <c r="AP135" s="1110"/>
      <c r="AQ135" s="1110"/>
      <c r="AR135" s="1110"/>
      <c r="AS135" s="1110"/>
      <c r="AT135" s="1110"/>
      <c r="AU135" s="1110"/>
      <c r="AV135" s="1110"/>
      <c r="AW135" s="1110"/>
      <c r="AX135" s="1110"/>
      <c r="AY135" s="1110"/>
      <c r="AZ135" s="1110"/>
      <c r="BA135" s="1110"/>
      <c r="BB135" s="1110"/>
      <c r="BC135" s="1110"/>
      <c r="BD135" s="1110"/>
      <c r="BE135" s="1110"/>
      <c r="BF135" s="1110"/>
      <c r="BG135" s="1110"/>
      <c r="BH135" s="1110"/>
      <c r="BI135" s="1114"/>
      <c r="BJ135" s="1114"/>
      <c r="BK135" s="1114"/>
      <c r="BL135" s="1114"/>
      <c r="BM135" s="1114"/>
      <c r="BN135" s="1114"/>
      <c r="BO135" s="1114"/>
      <c r="BP135" s="1114"/>
      <c r="BQ135" s="1114"/>
      <c r="BR135" s="1114"/>
      <c r="BS135" s="1114"/>
      <c r="BT135" s="1114"/>
    </row>
    <row r="136">
      <c r="A136" s="1095" t="s">
        <v>479</v>
      </c>
      <c r="B136" s="1115" t="s">
        <v>662</v>
      </c>
      <c r="C136" s="1116" t="s">
        <v>665</v>
      </c>
      <c r="D136" s="1117" t="s">
        <v>610</v>
      </c>
      <c r="E136" s="1118"/>
      <c r="F136" s="1119"/>
      <c r="G136" s="1120"/>
      <c r="H136" s="1120" t="str">
        <f>IFERROR(__xludf.DUMMYFUNCTION("IFERROR(REGEXEXTRACT(C136, ""(\d*\.\d+)mm""), """")"),"")</f>
        <v/>
      </c>
      <c r="I136" s="1120"/>
      <c r="J136" s="1121" t="s">
        <v>14</v>
      </c>
      <c r="K136" s="1121" t="str">
        <f t="array" ref="K136">iferror(if(OR(D136="R-Flashing",D136="W-Flashing"),"LM",XLOOKUP(C136,Material!$A:$A,Material!$C:$C)),"")</f>
        <v>ea</v>
      </c>
      <c r="L136" s="1122"/>
      <c r="M136" s="1123">
        <v>2.0</v>
      </c>
      <c r="N136" s="1124">
        <f>IFERROR(__xludf.DUMMYFUNCTION("IF(
  AND(
    IFERROR(REGEXEXTRACT(C136,""@\s*(\d+(?:\.\d+)?)\s*deg""),"""")&lt;&gt;"""",
    F136&lt;&gt;""""
  ),
  ""Pls Confirm °"",
  IF(
    IFERROR(REGEXEXTRACT(C136,""@\s*(\d+(?:\.\d+)?)\s*deg""),"""")&lt;&gt;"""",
    1/COS(RADIANS(REGEXEXTRACT(C136,""@\s*(\d+(?:"&amp;"\.\d+)?)\s*deg""))),
    IF(
      F136&lt;&gt;"""",
      IF(
        ISNUMBER(SEARCH(""|"",F136)),
        1/COS(
          ATAN(
            TAN(RADIANS(VALUE(INDEX(SPLIT(F136,""|""),1)))) *
            TAN(RADIANS(VALUE(INDEX(SPLIT(F136,""|""),2))))
       "&amp;"     /
            SQRT(
              TAN(RADIANS(VALUE(INDEX(SPLIT(F136,""|""),1))))^2 +
              TAN(RADIANS(VALUE(INDEX(SPLIT(F136,""|""),2))))^2
            )
          )
        ),
        1/COS(RADIANS(VALUE(F136)))
      ),
      1
    )
  )
"&amp;")"),1.0)</f>
        <v>1</v>
      </c>
      <c r="O136" s="1125">
        <v>1.0</v>
      </c>
      <c r="P136" s="1126">
        <v>1.0</v>
      </c>
      <c r="Q136" s="1127">
        <f>M136*N136*O136*P136</f>
        <v>2</v>
      </c>
      <c r="R136" s="1128">
        <v>900.0</v>
      </c>
      <c r="S136" s="1129">
        <f>R136*Q136</f>
        <v>1800</v>
      </c>
      <c r="T136" s="1130"/>
      <c r="U136" s="1082">
        <v>650.0</v>
      </c>
      <c r="V136" s="1131"/>
      <c r="W136" s="1132">
        <f>U136*Q136</f>
        <v>1300</v>
      </c>
      <c r="X136" s="1133"/>
      <c r="Y136" s="1110"/>
      <c r="Z136" s="1110"/>
      <c r="AA136" s="1110"/>
      <c r="AB136" s="1134">
        <f>W136+S136</f>
        <v>3100</v>
      </c>
      <c r="AC136" s="1111"/>
      <c r="AD136" s="1135"/>
      <c r="AE136" s="1136"/>
      <c r="AF136" s="1137"/>
      <c r="AG136" s="1138"/>
      <c r="AH136" s="1139"/>
      <c r="AI136" s="1140"/>
      <c r="AJ136" s="1141"/>
      <c r="AK136" s="1141"/>
      <c r="AL136" s="1110"/>
      <c r="AM136" s="1110"/>
      <c r="AN136" s="1110"/>
      <c r="AO136" s="1110"/>
      <c r="AP136" s="1110"/>
      <c r="AQ136" s="1110"/>
      <c r="AR136" s="1110"/>
      <c r="AS136" s="1110"/>
      <c r="AT136" s="1110"/>
      <c r="AU136" s="1110"/>
      <c r="AV136" s="1110"/>
      <c r="AW136" s="1110"/>
      <c r="AX136" s="1110"/>
      <c r="AY136" s="1110"/>
      <c r="AZ136" s="1110"/>
      <c r="BA136" s="1110"/>
      <c r="BB136" s="1110"/>
      <c r="BC136" s="1110"/>
      <c r="BD136" s="1110"/>
      <c r="BE136" s="1110"/>
      <c r="BF136" s="1110"/>
      <c r="BG136" s="1110"/>
      <c r="BH136" s="1110"/>
      <c r="BI136" s="1114"/>
      <c r="BJ136" s="1114"/>
      <c r="BK136" s="1114"/>
      <c r="BL136" s="1114"/>
      <c r="BM136" s="1114"/>
      <c r="BN136" s="1114"/>
      <c r="BO136" s="1114"/>
      <c r="BP136" s="1114"/>
      <c r="BQ136" s="1114"/>
      <c r="BR136" s="1114"/>
      <c r="BS136" s="1114"/>
      <c r="BT136" s="1114"/>
    </row>
    <row r="137">
      <c r="A137" s="1142"/>
      <c r="B137" s="1143"/>
      <c r="C137" s="1120"/>
      <c r="D137" s="1144"/>
      <c r="E137" s="1118"/>
      <c r="F137" s="1119"/>
      <c r="G137" s="1144"/>
      <c r="H137" s="1120"/>
      <c r="I137" s="1120"/>
      <c r="J137" s="1144"/>
      <c r="K137" s="1144" t="str">
        <f t="array" ref="K137">iferror(if(OR(D137="R-Flashing",D137="W-Flashing"),"LM",XLOOKUP(C137,Material!$A:$A,Material!$C:$C)),"")</f>
        <v/>
      </c>
      <c r="L137" s="1122"/>
      <c r="M137" s="1145"/>
      <c r="N137" s="1146"/>
      <c r="O137" s="1122"/>
      <c r="P137" s="1120"/>
      <c r="Q137" s="1122"/>
      <c r="R137" s="1104" t="str">
        <f t="array" ref="R137">IFERROR(
    IF(
        OR(D137="R-Flashing",D137="W-Flashing",D137="R-BG"),
        LET(
            StartRow,
            MATCH(
                I137&amp;"♦"&amp;H137,
                Material!$I:$I&amp;"♦"&amp;Material!$J:$J,
                0
            ),
            INDEX(
                Material!$J:$AF,
                StartRow+1+MATCH(
                    CEILING(E137*1000,50),
                    INDEX(Material!$I:$I,StartRow+2):INDEX(Material!$I:$I,StartRow+25),
                    0
                ),
                MATCH(
                    G137,
                    INDEX(Material!$I:$V,StartRow+1,0),
                    0
                )
            )
        ),
        XLOOKUP(C137,Material!$A:$A,Material!$D:$D)
    ),
"")</f>
        <v/>
      </c>
      <c r="S137" s="1131"/>
      <c r="T137" s="1130"/>
      <c r="U137" s="1082" t="str">
        <f t="array" ref="U137">IFERROR(
    IF(
        D137="R-Flashing",
        XLOOKUP(CEILING(E137*1000,50),Material!I:I,Material!X:X),
        XLOOKUP(C137,Material!A:A,Material!E:E)
    ),
    ""
)</f>
        <v/>
      </c>
      <c r="V137" s="1131"/>
      <c r="W137" s="1147"/>
      <c r="X137" s="1133"/>
      <c r="Y137" s="1110"/>
      <c r="Z137" s="1110"/>
      <c r="AA137" s="1110"/>
      <c r="AB137" s="1110"/>
      <c r="AC137" s="1111"/>
      <c r="AD137" s="1148"/>
      <c r="AE137" s="1149"/>
      <c r="AF137" s="1150"/>
      <c r="AG137" s="1151"/>
      <c r="AH137" s="1152"/>
      <c r="AI137" s="1140"/>
      <c r="AJ137" s="1153"/>
      <c r="AK137" s="1153"/>
      <c r="AL137" s="1110"/>
      <c r="AM137" s="1110"/>
      <c r="AN137" s="1110"/>
      <c r="AO137" s="1110"/>
      <c r="AP137" s="1110"/>
      <c r="AQ137" s="1110"/>
      <c r="AR137" s="1110"/>
      <c r="AS137" s="1110"/>
      <c r="AT137" s="1110"/>
      <c r="AU137" s="1110"/>
      <c r="AV137" s="1110"/>
      <c r="AW137" s="1110"/>
      <c r="AX137" s="1110"/>
      <c r="AY137" s="1110"/>
      <c r="AZ137" s="1110"/>
      <c r="BA137" s="1110"/>
      <c r="BB137" s="1110"/>
      <c r="BC137" s="1110"/>
      <c r="BD137" s="1110"/>
      <c r="BE137" s="1110"/>
      <c r="BF137" s="1110"/>
      <c r="BG137" s="1110"/>
      <c r="BH137" s="1110"/>
      <c r="BI137" s="1114"/>
      <c r="BJ137" s="1114"/>
      <c r="BK137" s="1114"/>
      <c r="BL137" s="1114"/>
      <c r="BM137" s="1114"/>
      <c r="BN137" s="1114"/>
      <c r="BO137" s="1114"/>
      <c r="BP137" s="1114"/>
      <c r="BQ137" s="1114"/>
      <c r="BR137" s="1114"/>
      <c r="BS137" s="1114"/>
      <c r="BT137" s="1114"/>
    </row>
    <row r="138">
      <c r="A138" s="1095">
        <v>1.0</v>
      </c>
      <c r="B138" s="1096"/>
      <c r="C138" s="1097" t="s">
        <v>666</v>
      </c>
      <c r="D138" s="1098"/>
      <c r="E138" s="1099"/>
      <c r="F138" s="1100"/>
      <c r="G138" s="1098"/>
      <c r="H138" s="1098"/>
      <c r="I138" s="1098"/>
      <c r="J138" s="1098"/>
      <c r="K138" s="1098" t="s">
        <v>42</v>
      </c>
      <c r="L138" s="1101">
        <f>Q138</f>
        <v>2</v>
      </c>
      <c r="M138" s="1102" t="s">
        <v>42</v>
      </c>
      <c r="N138" s="1103"/>
      <c r="O138" s="1102"/>
      <c r="P138" s="1098"/>
      <c r="Q138" s="1101">
        <f>Q139</f>
        <v>2</v>
      </c>
      <c r="R138" s="1104" t="str">
        <f t="array" ref="R138">IFERROR(
    IF(
        OR(D138="R-Flashing",D138="W-Flashing",D138="R-BG"),
        LET(
            StartRow,
            MATCH(
                I138&amp;"♦"&amp;H138,
                Material!$I:$I&amp;"♦"&amp;Material!$J:$J,
                0
            ),
            INDEX(
                Material!$J:$AF,
                StartRow+1+MATCH(
                    CEILING(E138*1000,50),
                    INDEX(Material!$I:$I,StartRow+2):INDEX(Material!$I:$I,StartRow+25),
                    0
                ),
                MATCH(
                    G138,
                    INDEX(Material!$I:$V,StartRow+1,0),
                    0
                )
            )
        ),
        XLOOKUP(C138,Material!$A:$A,Material!$D:$D)
    ),
"")</f>
        <v/>
      </c>
      <c r="S138" s="1105">
        <f>IFERROR(T138/Q138, 0)</f>
        <v>1100</v>
      </c>
      <c r="T138" s="1106">
        <f>SUM(S139:S140)</f>
        <v>2200</v>
      </c>
      <c r="U138" s="1082" t="str">
        <f t="array" ref="U138">IFERROR(
    IF(
        D138="R-Flashing",
        XLOOKUP(CEILING(E138*1000,50),Material!I:I,Material!X:X),
        XLOOKUP(C138,Material!A:A,Material!E:E)
    ),
    ""
)</f>
        <v/>
      </c>
      <c r="V138" s="1106">
        <f>W138/Q138</f>
        <v>650</v>
      </c>
      <c r="W138" s="1107">
        <f>SUM(W139:W140)</f>
        <v>1300</v>
      </c>
      <c r="X138" s="111">
        <f>W138/$AC$210/$W$217/$X$207</f>
        <v>0.8831521739</v>
      </c>
      <c r="Y138" s="1108" t="b">
        <f>(T138+W138)=(SUM(AB139:AB140))</f>
        <v>1</v>
      </c>
      <c r="Z138" s="1109">
        <f>(T138+W138)-(SUM(AB139:AB140))</f>
        <v>0</v>
      </c>
      <c r="AA138" s="1110"/>
      <c r="AB138" s="1110"/>
      <c r="AC138" s="1111"/>
      <c r="AD138" s="1112">
        <f>W138+T138</f>
        <v>3500</v>
      </c>
      <c r="AE138" s="1113">
        <f>AD138</f>
        <v>3500</v>
      </c>
      <c r="AF138" s="116">
        <f>AE138/$AE$185</f>
        <v>0.04903032646</v>
      </c>
      <c r="AG138" s="683">
        <f>AF138*$AG$192</f>
        <v>1338.838321</v>
      </c>
      <c r="AH138" s="118">
        <f>AF138*$AG$195</f>
        <v>780.6926404</v>
      </c>
      <c r="AI138" s="187"/>
      <c r="AJ138" s="119">
        <f>ROUND(AK138/L138,2)</f>
        <v>2809.77</v>
      </c>
      <c r="AK138" s="119">
        <f>ROUND(AH138+AG138+AD138,2)</f>
        <v>5619.53</v>
      </c>
      <c r="AL138" s="1110"/>
      <c r="AM138" s="1110"/>
      <c r="AN138" s="1110"/>
      <c r="AO138" s="1110"/>
      <c r="AP138" s="1110"/>
      <c r="AQ138" s="1110"/>
      <c r="AR138" s="1110"/>
      <c r="AS138" s="1110"/>
      <c r="AT138" s="1110"/>
      <c r="AU138" s="1110"/>
      <c r="AV138" s="1110"/>
      <c r="AW138" s="1110"/>
      <c r="AX138" s="1110"/>
      <c r="AY138" s="1110"/>
      <c r="AZ138" s="1110"/>
      <c r="BA138" s="1110"/>
      <c r="BB138" s="1110"/>
      <c r="BC138" s="1110"/>
      <c r="BD138" s="1110"/>
      <c r="BE138" s="1110"/>
      <c r="BF138" s="1110"/>
      <c r="BG138" s="1110"/>
      <c r="BH138" s="1110"/>
      <c r="BI138" s="1114"/>
      <c r="BJ138" s="1114"/>
      <c r="BK138" s="1114"/>
      <c r="BL138" s="1114"/>
      <c r="BM138" s="1114"/>
      <c r="BN138" s="1114"/>
      <c r="BO138" s="1114"/>
      <c r="BP138" s="1114"/>
      <c r="BQ138" s="1114"/>
      <c r="BR138" s="1114"/>
      <c r="BS138" s="1114"/>
      <c r="BT138" s="1114"/>
    </row>
    <row r="139">
      <c r="A139" s="1095" t="s">
        <v>479</v>
      </c>
      <c r="B139" s="1115" t="s">
        <v>662</v>
      </c>
      <c r="C139" s="1116" t="s">
        <v>667</v>
      </c>
      <c r="D139" s="1117" t="s">
        <v>610</v>
      </c>
      <c r="E139" s="1118"/>
      <c r="F139" s="1119"/>
      <c r="G139" s="1120"/>
      <c r="H139" s="1120" t="str">
        <f>IFERROR(__xludf.DUMMYFUNCTION("IFERROR(REGEXEXTRACT(C139, ""(\d*\.\d+)mm""), """")"),"")</f>
        <v/>
      </c>
      <c r="I139" s="1120"/>
      <c r="J139" s="1121" t="s">
        <v>14</v>
      </c>
      <c r="K139" s="1121" t="str">
        <f t="array" ref="K139">iferror(if(OR(D139="R-Flashing",D139="W-Flashing"),"LM",XLOOKUP(C139,Material!$A:$A,Material!$C:$C)),"")</f>
        <v>ea</v>
      </c>
      <c r="L139" s="1122"/>
      <c r="M139" s="1123">
        <v>2.0</v>
      </c>
      <c r="N139" s="1124">
        <f>IFERROR(__xludf.DUMMYFUNCTION("IF(
  AND(
    IFERROR(REGEXEXTRACT(C139,""@\s*(\d+(?:\.\d+)?)\s*deg""),"""")&lt;&gt;"""",
    F139&lt;&gt;""""
  ),
  ""Pls Confirm °"",
  IF(
    IFERROR(REGEXEXTRACT(C139,""@\s*(\d+(?:\.\d+)?)\s*deg""),"""")&lt;&gt;"""",
    1/COS(RADIANS(REGEXEXTRACT(C139,""@\s*(\d+(?:"&amp;"\.\d+)?)\s*deg""))),
    IF(
      F139&lt;&gt;"""",
      IF(
        ISNUMBER(SEARCH(""|"",F139)),
        1/COS(
          ATAN(
            TAN(RADIANS(VALUE(INDEX(SPLIT(F139,""|""),1)))) *
            TAN(RADIANS(VALUE(INDEX(SPLIT(F139,""|""),2))))
       "&amp;"     /
            SQRT(
              TAN(RADIANS(VALUE(INDEX(SPLIT(F139,""|""),1))))^2 +
              TAN(RADIANS(VALUE(INDEX(SPLIT(F139,""|""),2))))^2
            )
          )
        ),
        1/COS(RADIANS(VALUE(F139)))
      ),
      1
    )
  )
"&amp;")"),1.0)</f>
        <v>1</v>
      </c>
      <c r="O139" s="1125">
        <v>1.0</v>
      </c>
      <c r="P139" s="1126">
        <v>1.0</v>
      </c>
      <c r="Q139" s="1127">
        <f>M139*N139*O139*P139</f>
        <v>2</v>
      </c>
      <c r="R139" s="1128">
        <v>1100.0</v>
      </c>
      <c r="S139" s="1129">
        <f>R139*Q139</f>
        <v>2200</v>
      </c>
      <c r="T139" s="1130"/>
      <c r="U139" s="1082">
        <v>650.0</v>
      </c>
      <c r="V139" s="1131"/>
      <c r="W139" s="1132">
        <f>U139*Q139</f>
        <v>1300</v>
      </c>
      <c r="X139" s="1133"/>
      <c r="Y139" s="1110"/>
      <c r="Z139" s="1110"/>
      <c r="AA139" s="1110"/>
      <c r="AB139" s="1134">
        <f>W139+S139</f>
        <v>3500</v>
      </c>
      <c r="AC139" s="1111"/>
      <c r="AD139" s="1135"/>
      <c r="AE139" s="1136"/>
      <c r="AF139" s="1137"/>
      <c r="AG139" s="1138"/>
      <c r="AH139" s="1139"/>
      <c r="AI139" s="1140"/>
      <c r="AJ139" s="1141"/>
      <c r="AK139" s="1141"/>
      <c r="AL139" s="1110"/>
      <c r="AM139" s="1110"/>
      <c r="AN139" s="1110"/>
      <c r="AO139" s="1110"/>
      <c r="AP139" s="1110"/>
      <c r="AQ139" s="1110"/>
      <c r="AR139" s="1110"/>
      <c r="AS139" s="1110"/>
      <c r="AT139" s="1110"/>
      <c r="AU139" s="1110"/>
      <c r="AV139" s="1110"/>
      <c r="AW139" s="1110"/>
      <c r="AX139" s="1110"/>
      <c r="AY139" s="1110"/>
      <c r="AZ139" s="1110"/>
      <c r="BA139" s="1110"/>
      <c r="BB139" s="1110"/>
      <c r="BC139" s="1110"/>
      <c r="BD139" s="1110"/>
      <c r="BE139" s="1110"/>
      <c r="BF139" s="1110"/>
      <c r="BG139" s="1110"/>
      <c r="BH139" s="1110"/>
      <c r="BI139" s="1114"/>
      <c r="BJ139" s="1114"/>
      <c r="BK139" s="1114"/>
      <c r="BL139" s="1114"/>
      <c r="BM139" s="1114"/>
      <c r="BN139" s="1114"/>
      <c r="BO139" s="1114"/>
      <c r="BP139" s="1114"/>
      <c r="BQ139" s="1114"/>
      <c r="BR139" s="1114"/>
      <c r="BS139" s="1114"/>
      <c r="BT139" s="1114"/>
    </row>
    <row r="140">
      <c r="A140" s="1142"/>
      <c r="B140" s="1143"/>
      <c r="C140" s="1120"/>
      <c r="D140" s="1144"/>
      <c r="E140" s="1118"/>
      <c r="F140" s="1119"/>
      <c r="G140" s="1144"/>
      <c r="H140" s="1120"/>
      <c r="I140" s="1120"/>
      <c r="J140" s="1144"/>
      <c r="K140" s="1144" t="str">
        <f t="array" ref="K140">iferror(if(OR(D140="R-Flashing",D140="W-Flashing"),"LM",XLOOKUP(C140,Material!$A:$A,Material!$C:$C)),"")</f>
        <v/>
      </c>
      <c r="L140" s="1122"/>
      <c r="M140" s="1145"/>
      <c r="N140" s="1146"/>
      <c r="O140" s="1122"/>
      <c r="P140" s="1120"/>
      <c r="Q140" s="1122"/>
      <c r="R140" s="1128" t="str">
        <f t="array" ref="R140">IFERROR(
    IF(
        OR(D140="R-Flashing",D140="W-Flashing",D140="R-BG"),
        LET(
            StartRow,
            MATCH(
                I140&amp;"♦"&amp;H140,
                Material!$I:$I&amp;"♦"&amp;Material!$J:$J,
                0
            ),
            INDEX(
                Material!$J:$AF,
                StartRow+1+MATCH(
                    CEILING(E140*1000,50),
                    INDEX(Material!$I:$I,StartRow+2):INDEX(Material!$I:$I,StartRow+25),
                    0
                ),
                MATCH(
                    G140,
                    INDEX(Material!$I:$V,StartRow+1,0),
                    0
                )
            )
        ),
        XLOOKUP(C140,Material!$A:$A,Material!$D:$D)
    ),
"")</f>
        <v/>
      </c>
      <c r="S140" s="1131"/>
      <c r="T140" s="1130"/>
      <c r="U140" s="1082" t="str">
        <f t="array" ref="U140">IFERROR(
    IF(
        D140="R-Flashing",
        XLOOKUP(CEILING(E140*1000,50),Material!I:I,Material!X:X),
        XLOOKUP(C140,Material!A:A,Material!E:E)
    ),
    ""
)</f>
        <v/>
      </c>
      <c r="V140" s="1131"/>
      <c r="W140" s="1147"/>
      <c r="X140" s="1133"/>
      <c r="Y140" s="1110"/>
      <c r="Z140" s="1110"/>
      <c r="AA140" s="1110"/>
      <c r="AB140" s="1110"/>
      <c r="AC140" s="1111"/>
      <c r="AD140" s="1148"/>
      <c r="AE140" s="1149"/>
      <c r="AF140" s="1150"/>
      <c r="AG140" s="1151"/>
      <c r="AH140" s="1152"/>
      <c r="AI140" s="1140"/>
      <c r="AJ140" s="1153"/>
      <c r="AK140" s="1153"/>
      <c r="AL140" s="1110"/>
      <c r="AM140" s="1110"/>
      <c r="AN140" s="1110"/>
      <c r="AO140" s="1110"/>
      <c r="AP140" s="1110"/>
      <c r="AQ140" s="1110"/>
      <c r="AR140" s="1110"/>
      <c r="AS140" s="1110"/>
      <c r="AT140" s="1110"/>
      <c r="AU140" s="1110"/>
      <c r="AV140" s="1110"/>
      <c r="AW140" s="1110"/>
      <c r="AX140" s="1110"/>
      <c r="AY140" s="1110"/>
      <c r="AZ140" s="1110"/>
      <c r="BA140" s="1110"/>
      <c r="BB140" s="1110"/>
      <c r="BC140" s="1110"/>
      <c r="BD140" s="1110"/>
      <c r="BE140" s="1110"/>
      <c r="BF140" s="1110"/>
      <c r="BG140" s="1110"/>
      <c r="BH140" s="1110"/>
      <c r="BI140" s="1114"/>
      <c r="BJ140" s="1114"/>
      <c r="BK140" s="1114"/>
      <c r="BL140" s="1114"/>
      <c r="BM140" s="1114"/>
      <c r="BN140" s="1114"/>
      <c r="BO140" s="1114"/>
      <c r="BP140" s="1114"/>
      <c r="BQ140" s="1114"/>
      <c r="BR140" s="1114"/>
      <c r="BS140" s="1114"/>
      <c r="BT140" s="1114"/>
    </row>
    <row r="141">
      <c r="A141" s="1095">
        <v>1.0</v>
      </c>
      <c r="B141" s="1154" t="s">
        <v>425</v>
      </c>
      <c r="C141" s="1155" t="s">
        <v>668</v>
      </c>
      <c r="D141" s="1156"/>
      <c r="E141" s="1157"/>
      <c r="F141" s="1158"/>
      <c r="G141" s="1156"/>
      <c r="H141" s="1156"/>
      <c r="I141" s="1156"/>
      <c r="J141" s="1156"/>
      <c r="K141" s="1156" t="s">
        <v>42</v>
      </c>
      <c r="L141" s="1159"/>
      <c r="M141" s="1159" t="s">
        <v>42</v>
      </c>
      <c r="N141" s="1160"/>
      <c r="O141" s="1159"/>
      <c r="P141" s="1156"/>
      <c r="Q141" s="1159"/>
      <c r="R141" s="1128">
        <f t="array" ref="R141">IFERROR(
    IF(
        OR(D141="R-Flashing",D141="W-Flashing",D141="R-BG"),
        LET(
            StartRow,
            MATCH(
                I141&amp;"♦"&amp;H141,
                Material!$I:$I&amp;"♦"&amp;Material!$J:$J,
                0
            ),
            INDEX(
                Material!$J:$AF,
                StartRow+1+MATCH(
                    CEILING(E141*1000,50),
                    INDEX(Material!$I:$I,StartRow+2):INDEX(Material!$I:$I,StartRow+25),
                    0
                ),
                MATCH(
                    G141,
                    INDEX(Material!$I:$V,StartRow+1,0),
                    0
                )
            )
        ),
        XLOOKUP(C141,Material!$A:$A,Material!$D:$D)
    ),
"")</f>
        <v>50</v>
      </c>
      <c r="S141" s="1161"/>
      <c r="T141" s="1162"/>
      <c r="U141" s="1082">
        <f t="array" ref="U141">IFERROR(
    IF(
        D141="R-Flashing",
        XLOOKUP(CEILING(E141*1000,50),Material!I:I,Material!X:X),
        XLOOKUP(C141,Material!A:A,Material!E:E)
    ),
    ""
)</f>
        <v>50</v>
      </c>
      <c r="V141" s="1161"/>
      <c r="W141" s="1163"/>
      <c r="X141" s="1133"/>
      <c r="Y141" s="1110"/>
      <c r="Z141" s="1110"/>
      <c r="AA141" s="1110"/>
      <c r="AB141" s="1110"/>
      <c r="AC141" s="1111"/>
      <c r="AD141" s="1148"/>
      <c r="AE141" s="1149"/>
      <c r="AF141" s="1150"/>
      <c r="AG141" s="1151"/>
      <c r="AH141" s="1152"/>
      <c r="AI141" s="1140"/>
      <c r="AJ141" s="1153"/>
      <c r="AK141" s="1153"/>
      <c r="AL141" s="1110"/>
      <c r="AM141" s="1110"/>
      <c r="AN141" s="1110"/>
      <c r="AO141" s="1110"/>
      <c r="AP141" s="1110"/>
      <c r="AQ141" s="1110"/>
      <c r="AR141" s="1110"/>
      <c r="AS141" s="1110"/>
      <c r="AT141" s="1110"/>
      <c r="AU141" s="1110"/>
      <c r="AV141" s="1110"/>
      <c r="AW141" s="1110"/>
      <c r="AX141" s="1110"/>
      <c r="AY141" s="1110"/>
      <c r="AZ141" s="1110"/>
      <c r="BA141" s="1110"/>
      <c r="BB141" s="1110"/>
      <c r="BC141" s="1110"/>
      <c r="BD141" s="1110"/>
      <c r="BE141" s="1110"/>
      <c r="BF141" s="1110"/>
      <c r="BG141" s="1110"/>
      <c r="BH141" s="1110"/>
      <c r="BI141" s="1114"/>
      <c r="BJ141" s="1114"/>
      <c r="BK141" s="1114"/>
      <c r="BL141" s="1114"/>
      <c r="BM141" s="1114"/>
      <c r="BN141" s="1114"/>
      <c r="BO141" s="1114"/>
      <c r="BP141" s="1114"/>
      <c r="BQ141" s="1114"/>
      <c r="BR141" s="1114"/>
      <c r="BS141" s="1114"/>
      <c r="BT141" s="1114"/>
    </row>
    <row r="142">
      <c r="A142" s="1095">
        <v>1.0</v>
      </c>
      <c r="B142" s="1096"/>
      <c r="C142" s="1097" t="s">
        <v>669</v>
      </c>
      <c r="D142" s="1098"/>
      <c r="E142" s="1099"/>
      <c r="F142" s="1100"/>
      <c r="G142" s="1098"/>
      <c r="H142" s="1098"/>
      <c r="I142" s="1098"/>
      <c r="J142" s="1098"/>
      <c r="K142" s="1098" t="s">
        <v>42</v>
      </c>
      <c r="L142" s="1101">
        <f>Q142</f>
        <v>8</v>
      </c>
      <c r="M142" s="1102" t="s">
        <v>42</v>
      </c>
      <c r="N142" s="1103"/>
      <c r="O142" s="1102"/>
      <c r="P142" s="1098"/>
      <c r="Q142" s="1101">
        <f>Q143</f>
        <v>8</v>
      </c>
      <c r="R142" s="1128" t="str">
        <f t="array" ref="R142">IFERROR(
    IF(
        OR(D142="R-Flashing",D142="W-Flashing",D142="R-BG"),
        LET(
            StartRow,
            MATCH(
                I142&amp;"♦"&amp;H142,
                Material!$I:$I&amp;"♦"&amp;Material!$J:$J,
                0
            ),
            INDEX(
                Material!$J:$AF,
                StartRow+1+MATCH(
                    CEILING(E142*1000,50),
                    INDEX(Material!$I:$I,StartRow+2):INDEX(Material!$I:$I,StartRow+25),
                    0
                ),
                MATCH(
                    G142,
                    INDEX(Material!$I:$V,StartRow+1,0),
                    0
                )
            )
        ),
        XLOOKUP(C142,Material!$A:$A,Material!$D:$D)
    ),
"")</f>
        <v/>
      </c>
      <c r="S142" s="1105">
        <f>IFERROR(T142/Q142, 0)</f>
        <v>50</v>
      </c>
      <c r="T142" s="1106">
        <f>SUM(S143:S144)</f>
        <v>400</v>
      </c>
      <c r="U142" s="1082" t="str">
        <f t="array" ref="U142">IFERROR(
    IF(
        D142="R-Flashing",
        XLOOKUP(CEILING(E142*1000,50),Material!I:I,Material!X:X),
        XLOOKUP(C142,Material!A:A,Material!E:E)
    ),
    ""
)</f>
        <v/>
      </c>
      <c r="V142" s="1106">
        <f>W142/Q142</f>
        <v>50</v>
      </c>
      <c r="W142" s="1107">
        <f>SUM(W143:W144)</f>
        <v>400</v>
      </c>
      <c r="X142" s="111">
        <f>W142/$AC$210/$W$217/$X$207</f>
        <v>0.2717391304</v>
      </c>
      <c r="Y142" s="1108" t="b">
        <f>(T142+W142)=(SUM(AB143:AB144))</f>
        <v>1</v>
      </c>
      <c r="Z142" s="1109">
        <f>(T142+W142)-(SUM(AB143:AB144))</f>
        <v>0</v>
      </c>
      <c r="AA142" s="1110"/>
      <c r="AB142" s="1110"/>
      <c r="AC142" s="1111"/>
      <c r="AD142" s="1112">
        <f>W142+T142</f>
        <v>800</v>
      </c>
      <c r="AE142" s="1113">
        <f>AD142</f>
        <v>800</v>
      </c>
      <c r="AF142" s="116">
        <f>AE142/$AE$185</f>
        <v>0.01120693176</v>
      </c>
      <c r="AG142" s="683">
        <f>AF142*$AG$192</f>
        <v>306.0201876</v>
      </c>
      <c r="AH142" s="118">
        <f>AF142*$AG$195</f>
        <v>178.4440321</v>
      </c>
      <c r="AI142" s="187"/>
      <c r="AJ142" s="119">
        <f>ROUND(AK142/L142,2)</f>
        <v>160.56</v>
      </c>
      <c r="AK142" s="119">
        <f>ROUND(AH142+AG142+AD142,2)</f>
        <v>1284.46</v>
      </c>
      <c r="AL142" s="1110"/>
      <c r="AM142" s="1110"/>
      <c r="AN142" s="1110"/>
      <c r="AO142" s="1110"/>
      <c r="AP142" s="1110"/>
      <c r="AQ142" s="1110"/>
      <c r="AR142" s="1110"/>
      <c r="AS142" s="1110"/>
      <c r="AT142" s="1110"/>
      <c r="AU142" s="1110"/>
      <c r="AV142" s="1110"/>
      <c r="AW142" s="1110"/>
      <c r="AX142" s="1110"/>
      <c r="AY142" s="1110"/>
      <c r="AZ142" s="1110"/>
      <c r="BA142" s="1110"/>
      <c r="BB142" s="1110"/>
      <c r="BC142" s="1110"/>
      <c r="BD142" s="1110"/>
      <c r="BE142" s="1110"/>
      <c r="BF142" s="1110"/>
      <c r="BG142" s="1110"/>
      <c r="BH142" s="1110"/>
      <c r="BI142" s="1114"/>
      <c r="BJ142" s="1114"/>
      <c r="BK142" s="1114"/>
      <c r="BL142" s="1114"/>
      <c r="BM142" s="1114"/>
      <c r="BN142" s="1114"/>
      <c r="BO142" s="1114"/>
      <c r="BP142" s="1114"/>
      <c r="BQ142" s="1114"/>
      <c r="BR142" s="1114"/>
      <c r="BS142" s="1114"/>
      <c r="BT142" s="1114"/>
    </row>
    <row r="143">
      <c r="A143" s="1095" t="s">
        <v>479</v>
      </c>
      <c r="B143" s="1143"/>
      <c r="C143" s="1116" t="s">
        <v>668</v>
      </c>
      <c r="D143" s="1164" t="s">
        <v>321</v>
      </c>
      <c r="E143" s="1118"/>
      <c r="F143" s="1119"/>
      <c r="G143" s="1120"/>
      <c r="H143" s="1120" t="str">
        <f>IFERROR(__xludf.DUMMYFUNCTION("IFERROR(REGEXEXTRACT(C143, ""(\d*\.\d+)mm""), """")"),"")</f>
        <v/>
      </c>
      <c r="I143" s="1120"/>
      <c r="J143" s="1121" t="s">
        <v>14</v>
      </c>
      <c r="K143" s="1121" t="str">
        <f t="array" ref="K143">iferror(if(OR(D143="R-Flashing",D143="W-Flashing"),"LM",XLOOKUP(C143,Material!$A:$A,Material!$C:$C)),"")</f>
        <v>ea</v>
      </c>
      <c r="L143" s="1122"/>
      <c r="M143" s="1165">
        <v>8.0</v>
      </c>
      <c r="N143" s="1124">
        <f>IFERROR(__xludf.DUMMYFUNCTION("IF(
  AND(
    IFERROR(REGEXEXTRACT(C143,""@\s*(\d+(?:\.\d+)?)\s*deg""),"""")&lt;&gt;"""",
    F143&lt;&gt;""""
  ),
  ""Pls Confirm °"",
  IF(
    IFERROR(REGEXEXTRACT(C143,""@\s*(\d+(?:\.\d+)?)\s*deg""),"""")&lt;&gt;"""",
    1/COS(RADIANS(REGEXEXTRACT(C143,""@\s*(\d+(?:"&amp;"\.\d+)?)\s*deg""))),
    IF(
      F143&lt;&gt;"""",
      IF(
        ISNUMBER(SEARCH(""|"",F143)),
        1/COS(
          ATAN(
            TAN(RADIANS(VALUE(INDEX(SPLIT(F143,""|""),1)))) *
            TAN(RADIANS(VALUE(INDEX(SPLIT(F143,""|""),2))))
       "&amp;"     /
            SQRT(
              TAN(RADIANS(VALUE(INDEX(SPLIT(F143,""|""),1))))^2 +
              TAN(RADIANS(VALUE(INDEX(SPLIT(F143,""|""),2))))^2
            )
          )
        ),
        1/COS(RADIANS(VALUE(F143)))
      ),
      1
    )
  )
"&amp;")"),1.0)</f>
        <v>1</v>
      </c>
      <c r="O143" s="1125">
        <v>1.0</v>
      </c>
      <c r="P143" s="1126">
        <v>1.0</v>
      </c>
      <c r="Q143" s="1127">
        <f>M143*N143*O143*P143</f>
        <v>8</v>
      </c>
      <c r="R143" s="1128">
        <f t="array" ref="R143">IFERROR(
    IF(
        OR(D143="R-Flashing",D143="W-Flashing",D143="R-BG"),
        LET(
            StartRow,
            MATCH(
                I143&amp;"♦"&amp;H143,
                Material!$I:$I&amp;"♦"&amp;Material!$J:$J,
                0
            ),
            INDEX(
                Material!$J:$AF,
                StartRow+1+MATCH(
                    CEILING(E143*1000,50),
                    INDEX(Material!$I:$I,StartRow+2):INDEX(Material!$I:$I,StartRow+25),
                    0
                ),
                MATCH(
                    G143,
                    INDEX(Material!$I:$V,StartRow+1,0),
                    0
                )
            )
        ),
        XLOOKUP(C143,Material!$A:$A,Material!$D:$D)
    ),
"")</f>
        <v>50</v>
      </c>
      <c r="S143" s="1129">
        <f>R143*Q143</f>
        <v>400</v>
      </c>
      <c r="T143" s="1130"/>
      <c r="U143" s="1082">
        <f t="array" ref="U143">IFERROR(
    IF(
        D143="R-Flashing",
        XLOOKUP(CEILING(E143*1000,50),Material!I:I,Material!X:X),
        XLOOKUP(C143,Material!A:A,Material!E:E)
    ),
    ""
)</f>
        <v>50</v>
      </c>
      <c r="V143" s="1131"/>
      <c r="W143" s="1132">
        <f>U143*Q143</f>
        <v>400</v>
      </c>
      <c r="X143" s="1133"/>
      <c r="Y143" s="1110"/>
      <c r="Z143" s="1110"/>
      <c r="AA143" s="1110"/>
      <c r="AB143" s="1134">
        <f>W143+S143</f>
        <v>800</v>
      </c>
      <c r="AC143" s="1111"/>
      <c r="AD143" s="1135"/>
      <c r="AE143" s="1136"/>
      <c r="AF143" s="1137"/>
      <c r="AG143" s="1138"/>
      <c r="AH143" s="1139"/>
      <c r="AI143" s="1140"/>
      <c r="AJ143" s="1141"/>
      <c r="AK143" s="1141"/>
      <c r="AL143" s="1110"/>
      <c r="AM143" s="1110"/>
      <c r="AN143" s="1110"/>
      <c r="AO143" s="1110"/>
      <c r="AP143" s="1110"/>
      <c r="AQ143" s="1110"/>
      <c r="AR143" s="1110"/>
      <c r="AS143" s="1110"/>
      <c r="AT143" s="1110"/>
      <c r="AU143" s="1110"/>
      <c r="AV143" s="1110"/>
      <c r="AW143" s="1110"/>
      <c r="AX143" s="1110"/>
      <c r="AY143" s="1110"/>
      <c r="AZ143" s="1110"/>
      <c r="BA143" s="1110"/>
      <c r="BB143" s="1110"/>
      <c r="BC143" s="1110"/>
      <c r="BD143" s="1110"/>
      <c r="BE143" s="1110"/>
      <c r="BF143" s="1110"/>
      <c r="BG143" s="1110"/>
      <c r="BH143" s="1110"/>
      <c r="BI143" s="1114"/>
      <c r="BJ143" s="1114"/>
      <c r="BK143" s="1114"/>
      <c r="BL143" s="1114"/>
      <c r="BM143" s="1114"/>
      <c r="BN143" s="1114"/>
      <c r="BO143" s="1114"/>
      <c r="BP143" s="1114"/>
      <c r="BQ143" s="1114"/>
      <c r="BR143" s="1114"/>
      <c r="BS143" s="1114"/>
      <c r="BT143" s="1114"/>
    </row>
    <row r="144">
      <c r="A144" s="1142"/>
      <c r="B144" s="1143"/>
      <c r="C144" s="1166"/>
      <c r="D144" s="1144"/>
      <c r="E144" s="1118"/>
      <c r="F144" s="1119"/>
      <c r="G144" s="1144"/>
      <c r="H144" s="1120"/>
      <c r="I144" s="1120"/>
      <c r="J144" s="1144"/>
      <c r="K144" s="1144" t="str">
        <f t="array" ref="K144">iferror(if(OR(D144="R-Flashing",D144="W-Flashing"),"LM",XLOOKUP(C144,Material!$A:$A,Material!$C:$C)),"")</f>
        <v/>
      </c>
      <c r="L144" s="1122"/>
      <c r="M144" s="1145"/>
      <c r="N144" s="1146"/>
      <c r="O144" s="1122"/>
      <c r="P144" s="1120"/>
      <c r="Q144" s="1122"/>
      <c r="R144" s="1128" t="str">
        <f t="array" ref="R144">IFERROR(
    IF(
        OR(D144="R-Flashing",D144="W-Flashing",D144="R-BG"),
        LET(
            StartRow,
            MATCH(
                I144&amp;"♦"&amp;H144,
                Material!$I:$I&amp;"♦"&amp;Material!$J:$J,
                0
            ),
            INDEX(
                Material!$J:$AF,
                StartRow+1+MATCH(
                    CEILING(E144*1000,50),
                    INDEX(Material!$I:$I,StartRow+2):INDEX(Material!$I:$I,StartRow+25),
                    0
                ),
                MATCH(
                    G144,
                    INDEX(Material!$I:$V,StartRow+1,0),
                    0
                )
            )
        ),
        XLOOKUP(C144,Material!$A:$A,Material!$D:$D)
    ),
"")</f>
        <v/>
      </c>
      <c r="S144" s="1131"/>
      <c r="T144" s="1130"/>
      <c r="U144" s="1082" t="str">
        <f t="array" ref="U144">IFERROR(
    IF(
        D144="R-Flashing",
        XLOOKUP(CEILING(E144*1000,50),Material!I:I,Material!X:X),
        XLOOKUP(C144,Material!A:A,Material!E:E)
    ),
    ""
)</f>
        <v/>
      </c>
      <c r="V144" s="1131"/>
      <c r="W144" s="1147"/>
      <c r="X144" s="1133"/>
      <c r="Y144" s="1110"/>
      <c r="Z144" s="1110"/>
      <c r="AA144" s="1110"/>
      <c r="AB144" s="1110"/>
      <c r="AC144" s="1111"/>
      <c r="AD144" s="1148"/>
      <c r="AE144" s="1149"/>
      <c r="AF144" s="1150"/>
      <c r="AG144" s="1151"/>
      <c r="AH144" s="1152"/>
      <c r="AI144" s="1140"/>
      <c r="AJ144" s="1153"/>
      <c r="AK144" s="1153"/>
      <c r="AL144" s="1110"/>
      <c r="AM144" s="1110"/>
      <c r="AN144" s="1110"/>
      <c r="AO144" s="1110"/>
      <c r="AP144" s="1110"/>
      <c r="AQ144" s="1110"/>
      <c r="AR144" s="1110"/>
      <c r="AS144" s="1110"/>
      <c r="AT144" s="1110"/>
      <c r="AU144" s="1110"/>
      <c r="AV144" s="1110"/>
      <c r="AW144" s="1110"/>
      <c r="AX144" s="1110"/>
      <c r="AY144" s="1110"/>
      <c r="AZ144" s="1110"/>
      <c r="BA144" s="1110"/>
      <c r="BB144" s="1110"/>
      <c r="BC144" s="1110"/>
      <c r="BD144" s="1110"/>
      <c r="BE144" s="1110"/>
      <c r="BF144" s="1110"/>
      <c r="BG144" s="1110"/>
      <c r="BH144" s="1110"/>
      <c r="BI144" s="1114"/>
      <c r="BJ144" s="1114"/>
      <c r="BK144" s="1114"/>
      <c r="BL144" s="1114"/>
      <c r="BM144" s="1114"/>
      <c r="BN144" s="1114"/>
      <c r="BO144" s="1114"/>
      <c r="BP144" s="1114"/>
      <c r="BQ144" s="1114"/>
      <c r="BR144" s="1114"/>
      <c r="BS144" s="1114"/>
      <c r="BT144" s="1114"/>
    </row>
    <row r="145">
      <c r="A145" s="1080">
        <v>1.0</v>
      </c>
      <c r="B145" s="764" t="s">
        <v>425</v>
      </c>
      <c r="C145" s="167" t="s">
        <v>471</v>
      </c>
      <c r="D145" s="90"/>
      <c r="E145" s="745"/>
      <c r="F145" s="1094"/>
      <c r="G145" s="90"/>
      <c r="H145" s="90"/>
      <c r="I145" s="90"/>
      <c r="J145" s="90"/>
      <c r="K145" s="90" t="s">
        <v>42</v>
      </c>
      <c r="L145" s="91"/>
      <c r="M145" s="91" t="s">
        <v>42</v>
      </c>
      <c r="N145" s="92"/>
      <c r="O145" s="91"/>
      <c r="P145" s="90"/>
      <c r="Q145" s="91"/>
      <c r="R145" s="1128" t="str">
        <f t="array" ref="R145">IFERROR(
    IF(
        OR(D145="R-Flashing",D145="W-Flashing",D145="R-BG"),
        LET(
            StartRow,
            MATCH(
                I145&amp;"♦"&amp;H145,
                Material!$I:$I&amp;"♦"&amp;Material!$J:$J,
                0
            ),
            INDEX(
                Material!$J:$AF,
                StartRow+1+MATCH(
                    CEILING(E145*1000,50),
                    INDEX(Material!$I:$I,StartRow+2):INDEX(Material!$I:$I,StartRow+25),
                    0
                ),
                MATCH(
                    G145,
                    INDEX(Material!$I:$V,StartRow+1,0),
                    0
                )
            )
        ),
        XLOOKUP(C145,Material!$A:$A,Material!$D:$D)
    ),
"")</f>
        <v/>
      </c>
      <c r="S145" s="234"/>
      <c r="T145" s="235"/>
      <c r="U145" s="1082" t="str">
        <f t="array" ref="U145">IFERROR(
    IF(
        D145="R-Flashing",
        XLOOKUP(CEILING(E145*1000,50),Material!I:I,Material!X:X),
        XLOOKUP(C145,Material!A:A,Material!E:E)
    ),
    ""
)</f>
        <v/>
      </c>
      <c r="V145" s="234"/>
      <c r="W145" s="236"/>
      <c r="X145" s="159"/>
      <c r="Y145" s="5"/>
      <c r="Z145" s="5"/>
      <c r="AA145" s="5"/>
      <c r="AB145" s="5"/>
      <c r="AC145" s="33"/>
      <c r="AD145" s="65"/>
      <c r="AE145" s="66"/>
      <c r="AF145" s="144"/>
      <c r="AG145" s="68"/>
      <c r="AH145" s="69"/>
      <c r="AI145" s="39"/>
      <c r="AJ145" s="70"/>
      <c r="AK145" s="70"/>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260"/>
      <c r="BJ145" s="260"/>
      <c r="BK145" s="260"/>
      <c r="BL145" s="260"/>
      <c r="BM145" s="260"/>
      <c r="BN145" s="260"/>
      <c r="BO145" s="260"/>
      <c r="BP145" s="260"/>
      <c r="BQ145" s="260"/>
      <c r="BR145" s="260"/>
      <c r="BS145" s="260"/>
      <c r="BT145" s="260"/>
    </row>
    <row r="146">
      <c r="A146" s="1080">
        <v>1.0</v>
      </c>
      <c r="B146" s="102"/>
      <c r="C146" s="103" t="s">
        <v>670</v>
      </c>
      <c r="D146" s="104"/>
      <c r="E146" s="749"/>
      <c r="F146" s="1089"/>
      <c r="G146" s="104"/>
      <c r="H146" s="104"/>
      <c r="I146" s="104"/>
      <c r="J146" s="104"/>
      <c r="K146" s="104" t="s">
        <v>42</v>
      </c>
      <c r="L146" s="106">
        <f>Q146</f>
        <v>6</v>
      </c>
      <c r="M146" s="105" t="s">
        <v>42</v>
      </c>
      <c r="N146" s="107"/>
      <c r="O146" s="105"/>
      <c r="P146" s="104"/>
      <c r="Q146" s="106">
        <f>Q147</f>
        <v>6</v>
      </c>
      <c r="R146" s="136" t="str">
        <f t="array" ref="R146">IFERROR(
    IF(
        OR(D146="R-Flashing",D146="W-Flashing",D146="R-BG"),
        LET(
            StartRow,
            MATCH(
                I146&amp;"♦"&amp;H146,
                Material!$I:$I&amp;"♦"&amp;Material!$J:$J,
                0
            ),
            INDEX(
                Material!$J:$AF,
                StartRow+1+MATCH(
                    CEILING(E146*1000,50),
                    INDEX(Material!$I:$I,StartRow+2):INDEX(Material!$I:$I,StartRow+25),
                    0
                ),
                MATCH(
                    G146,
                    INDEX(Material!$I:$V,StartRow+1,0),
                    0
                )
            )
        ),
        XLOOKUP(C146,Material!$A:$A,Material!$D:$D)
    ),
"")</f>
        <v/>
      </c>
      <c r="S146" s="682">
        <f>IFERROR(T146/Q146, 0)</f>
        <v>250</v>
      </c>
      <c r="T146" s="109">
        <f>SUM(S147:S148)</f>
        <v>1500</v>
      </c>
      <c r="U146" s="1082" t="str">
        <f t="array" ref="U146">IFERROR(
    IF(
        D146="R-Flashing",
        XLOOKUP(CEILING(E146*1000,50),Material!I:I,Material!X:X),
        XLOOKUP(C146,Material!A:A,Material!E:E)
    ),
    ""
)</f>
        <v/>
      </c>
      <c r="V146" s="109">
        <f>W146/Q146</f>
        <v>250</v>
      </c>
      <c r="W146" s="110">
        <f>SUM(W147:W148)</f>
        <v>1500</v>
      </c>
      <c r="X146" s="111">
        <f>W146/$AC$210/$W$217/$X$207</f>
        <v>1.019021739</v>
      </c>
      <c r="Y146" s="112" t="b">
        <f>(T146+W146)=(SUM(AB147:AB148))</f>
        <v>1</v>
      </c>
      <c r="Z146" s="113">
        <f>(T146+W146)-(SUM(AB147:AB148))</f>
        <v>0</v>
      </c>
      <c r="AA146" s="5"/>
      <c r="AB146" s="5"/>
      <c r="AC146" s="33"/>
      <c r="AD146" s="114">
        <f>W146+T146</f>
        <v>3000</v>
      </c>
      <c r="AE146" s="115">
        <f>AD146</f>
        <v>3000</v>
      </c>
      <c r="AF146" s="116">
        <f>AE146/$AE$185</f>
        <v>0.04202599411</v>
      </c>
      <c r="AG146" s="683">
        <f>AF146*$AG$192</f>
        <v>1147.575703</v>
      </c>
      <c r="AH146" s="118">
        <f>AF146*$AG$195</f>
        <v>669.1651203</v>
      </c>
      <c r="AI146" s="187"/>
      <c r="AJ146" s="119">
        <f>ROUND(AK146/L146,2)</f>
        <v>802.79</v>
      </c>
      <c r="AK146" s="119">
        <f>ROUND(AH146+AG146+AD146,2)</f>
        <v>4816.74</v>
      </c>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260"/>
      <c r="BJ146" s="260"/>
      <c r="BK146" s="260"/>
      <c r="BL146" s="260"/>
      <c r="BM146" s="260"/>
      <c r="BN146" s="260"/>
      <c r="BO146" s="260"/>
      <c r="BP146" s="260"/>
      <c r="BQ146" s="260"/>
      <c r="BR146" s="260"/>
      <c r="BS146" s="260"/>
      <c r="BT146" s="260"/>
    </row>
    <row r="147">
      <c r="A147" s="1080" t="s">
        <v>479</v>
      </c>
      <c r="B147" s="160"/>
      <c r="C147" s="223" t="s">
        <v>671</v>
      </c>
      <c r="D147" s="148" t="s">
        <v>390</v>
      </c>
      <c r="E147" s="687"/>
      <c r="F147" s="1093"/>
      <c r="G147" s="128"/>
      <c r="H147" s="127" t="str">
        <f>IFERROR(__xludf.DUMMYFUNCTION("IFERROR(REGEXEXTRACT(C147, ""(\d*\.\d+)mm""), """")"),"")</f>
        <v/>
      </c>
      <c r="I147" s="128"/>
      <c r="J147" s="126" t="s">
        <v>14</v>
      </c>
      <c r="K147" s="126" t="str">
        <f t="array" ref="K147">iferror(if(OR(D147="R-Flashing",D147="W-Flashing"),"LM",XLOOKUP(C147,Material!$A:$A,Material!$C:$C)),"")</f>
        <v>ea</v>
      </c>
      <c r="L147" s="161"/>
      <c r="M147" s="730">
        <v>6.0</v>
      </c>
      <c r="N147" s="151">
        <f>IFERROR(__xludf.DUMMYFUNCTION("IF(
  AND(
    IFERROR(REGEXEXTRACT(C147,""@\s*(\d+(?:\.\d+)?)\s*deg""),"""")&lt;&gt;"""",
    F147&lt;&gt;""""
  ),
  ""Pls Confirm °"",
  IF(
    IFERROR(REGEXEXTRACT(C147,""@\s*(\d+(?:\.\d+)?)\s*deg""),"""")&lt;&gt;"""",
    1/COS(RADIANS(REGEXEXTRACT(C147,""@\s*(\d+(?:"&amp;"\.\d+)?)\s*deg""))),
    IF(
      F147&lt;&gt;"""",
      IF(
        ISNUMBER(SEARCH(""|"",F147)),
        1/COS(
          ATAN(
            TAN(RADIANS(VALUE(INDEX(SPLIT(F147,""|""),1)))) *
            TAN(RADIANS(VALUE(INDEX(SPLIT(F147,""|""),2))))
       "&amp;"     /
            SQRT(
              TAN(RADIANS(VALUE(INDEX(SPLIT(F147,""|""),1))))^2 +
              TAN(RADIANS(VALUE(INDEX(SPLIT(F147,""|""),2))))^2
            )
          )
        ),
        1/COS(RADIANS(VALUE(F147)))
      ),
      1
    )
  )
"&amp;")"),1.0)</f>
        <v>1</v>
      </c>
      <c r="O147" s="169">
        <v>1.0</v>
      </c>
      <c r="P147" s="134">
        <v>1.0</v>
      </c>
      <c r="Q147" s="168">
        <f>M147*N147*O147*P147</f>
        <v>6</v>
      </c>
      <c r="R147" s="136">
        <f t="array" ref="R147">IFERROR(
    IF(
        OR(D147="R-Flashing",D147="W-Flashing",D147="R-BG"),
        LET(
            StartRow,
            MATCH(
                I147&amp;"♦"&amp;H147,
                Material!$I:$I&amp;"♦"&amp;Material!$J:$J,
                0
            ),
            INDEX(
                Material!$J:$AF,
                StartRow+1+MATCH(
                    CEILING(E147*1000,50),
                    INDEX(Material!$I:$I,StartRow+2):INDEX(Material!$I:$I,StartRow+25),
                    0
                ),
                MATCH(
                    G147,
                    INDEX(Material!$I:$V,StartRow+1,0),
                    0
                )
            )
        ),
        XLOOKUP(C147,Material!$A:$A,Material!$D:$D)
    ),
"")</f>
        <v>250</v>
      </c>
      <c r="S147" s="152">
        <f>R147*Q147</f>
        <v>1500</v>
      </c>
      <c r="T147" s="138"/>
      <c r="U147" s="1082">
        <f t="array" ref="U147">IFERROR(
    IF(
        D147="R-Flashing",
        XLOOKUP(CEILING(E147*1000,50),Material!I:I,Material!X:X),
        XLOOKUP(C147,Material!A:A,Material!E:E)
    ),
    ""
)</f>
        <v>250</v>
      </c>
      <c r="V147" s="139"/>
      <c r="W147" s="140">
        <f>U147*Q147</f>
        <v>1500</v>
      </c>
      <c r="X147" s="159"/>
      <c r="Y147" s="5"/>
      <c r="Z147" s="5"/>
      <c r="AA147" s="5"/>
      <c r="AB147" s="354">
        <f>W147+S147</f>
        <v>3000</v>
      </c>
      <c r="AC147" s="33"/>
      <c r="AD147" s="226"/>
      <c r="AE147" s="227"/>
      <c r="AF147" s="228"/>
      <c r="AG147" s="229"/>
      <c r="AH147" s="230"/>
      <c r="AI147" s="39"/>
      <c r="AJ147" s="231"/>
      <c r="AK147" s="231"/>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260"/>
      <c r="BJ147" s="260"/>
      <c r="BK147" s="260"/>
      <c r="BL147" s="260"/>
      <c r="BM147" s="260"/>
      <c r="BN147" s="260"/>
      <c r="BO147" s="260"/>
      <c r="BP147" s="260"/>
      <c r="BQ147" s="260"/>
      <c r="BR147" s="260"/>
      <c r="BS147" s="260"/>
      <c r="BT147" s="260"/>
    </row>
    <row r="148">
      <c r="A148" s="1092"/>
      <c r="B148" s="160"/>
      <c r="C148" s="127"/>
      <c r="D148" s="129"/>
      <c r="E148" s="752"/>
      <c r="F148" s="1093"/>
      <c r="G148" s="129"/>
      <c r="H148" s="127"/>
      <c r="I148" s="127"/>
      <c r="J148" s="129"/>
      <c r="K148" s="126" t="str">
        <f t="array" ref="K148">iferror(if(OR(D148="R-Flashing",D148="W-Flashing"),"LM",XLOOKUP(C148,Material!$A:$A,Material!$C:$C)),"")</f>
        <v/>
      </c>
      <c r="L148" s="161"/>
      <c r="M148" s="163"/>
      <c r="N148" s="162"/>
      <c r="O148" s="161"/>
      <c r="P148" s="127"/>
      <c r="Q148" s="161"/>
      <c r="R148" s="136" t="str">
        <f t="array" ref="R148">IFERROR(
    IF(
        OR(D148="R-Flashing",D148="W-Flashing",D148="R-BG"),
        LET(
            StartRow,
            MATCH(
                I148&amp;"♦"&amp;H148,
                Material!$I:$I&amp;"♦"&amp;Material!$J:$J,
                0
            ),
            INDEX(
                Material!$J:$AF,
                StartRow+1+MATCH(
                    CEILING(E148*1000,50),
                    INDEX(Material!$I:$I,StartRow+2):INDEX(Material!$I:$I,StartRow+25),
                    0
                ),
                MATCH(
                    G148,
                    INDEX(Material!$I:$V,StartRow+1,0),
                    0
                )
            )
        ),
        XLOOKUP(C148,Material!$A:$A,Material!$D:$D)
    ),
"")</f>
        <v/>
      </c>
      <c r="S148" s="139"/>
      <c r="T148" s="138"/>
      <c r="U148" s="1082" t="str">
        <f t="array" ref="U148">IFERROR(
    IF(
        D148="R-Flashing",
        XLOOKUP(CEILING(E148*1000,50),Material!I:I,Material!X:X),
        XLOOKUP(C148,Material!A:A,Material!E:E)
    ),
    ""
)</f>
        <v/>
      </c>
      <c r="V148" s="139"/>
      <c r="W148" s="164"/>
      <c r="X148" s="159"/>
      <c r="Y148" s="5"/>
      <c r="Z148" s="5"/>
      <c r="AA148" s="5"/>
      <c r="AB148" s="5"/>
      <c r="AC148" s="33"/>
      <c r="AD148" s="65"/>
      <c r="AE148" s="66"/>
      <c r="AF148" s="144"/>
      <c r="AG148" s="68"/>
      <c r="AH148" s="69"/>
      <c r="AI148" s="39"/>
      <c r="AJ148" s="70"/>
      <c r="AK148" s="70"/>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260"/>
      <c r="BJ148" s="260"/>
      <c r="BK148" s="260"/>
      <c r="BL148" s="260"/>
      <c r="BM148" s="260"/>
      <c r="BN148" s="260"/>
      <c r="BO148" s="260"/>
      <c r="BP148" s="260"/>
      <c r="BQ148" s="260"/>
      <c r="BR148" s="260"/>
      <c r="BS148" s="260"/>
      <c r="BT148" s="260"/>
    </row>
    <row r="149">
      <c r="A149" s="1080">
        <v>1.0</v>
      </c>
      <c r="B149" s="102"/>
      <c r="C149" s="103" t="s">
        <v>672</v>
      </c>
      <c r="D149" s="104"/>
      <c r="E149" s="749"/>
      <c r="F149" s="1089"/>
      <c r="G149" s="104"/>
      <c r="H149" s="104"/>
      <c r="I149" s="104"/>
      <c r="J149" s="104"/>
      <c r="K149" s="104" t="s">
        <v>42</v>
      </c>
      <c r="L149" s="106">
        <f>Q149</f>
        <v>8</v>
      </c>
      <c r="M149" s="105" t="s">
        <v>42</v>
      </c>
      <c r="N149" s="107"/>
      <c r="O149" s="105"/>
      <c r="P149" s="104"/>
      <c r="Q149" s="106">
        <f>Q150</f>
        <v>8</v>
      </c>
      <c r="R149" s="136" t="str">
        <f t="array" ref="R149">IFERROR(
    IF(
        OR(D149="R-Flashing",D149="W-Flashing",D149="R-BG"),
        LET(
            StartRow,
            MATCH(
                I149&amp;"♦"&amp;H149,
                Material!$I:$I&amp;"♦"&amp;Material!$J:$J,
                0
            ),
            INDEX(
                Material!$J:$AF,
                StartRow+1+MATCH(
                    CEILING(E149*1000,50),
                    INDEX(Material!$I:$I,StartRow+2):INDEX(Material!$I:$I,StartRow+25),
                    0
                ),
                MATCH(
                    G149,
                    INDEX(Material!$I:$V,StartRow+1,0),
                    0
                )
            )
        ),
        XLOOKUP(C149,Material!$A:$A,Material!$D:$D)
    ),
"")</f>
        <v/>
      </c>
      <c r="S149" s="682">
        <f>IFERROR(T149/Q149, 0)</f>
        <v>100</v>
      </c>
      <c r="T149" s="109">
        <f>SUM(S150)</f>
        <v>800</v>
      </c>
      <c r="U149" s="1082" t="str">
        <f t="array" ref="U149">IFERROR(
    IF(
        D149="R-Flashing",
        XLOOKUP(CEILING(E149*1000,50),Material!I:I,Material!X:X),
        XLOOKUP(C149,Material!A:A,Material!E:E)
    ),
    ""
)</f>
        <v/>
      </c>
      <c r="V149" s="109">
        <f>W149/Q149</f>
        <v>100</v>
      </c>
      <c r="W149" s="110">
        <f>SUM(W150)</f>
        <v>800</v>
      </c>
      <c r="X149" s="111">
        <f>W149/$AC$210/$W$217/$X$207</f>
        <v>0.5434782609</v>
      </c>
      <c r="Y149" s="112" t="b">
        <f>(T149+W149)=(SUM(AB150))</f>
        <v>1</v>
      </c>
      <c r="Z149" s="113">
        <f>(T149+W149)-(SUM(AB150))</f>
        <v>0</v>
      </c>
      <c r="AA149" s="5"/>
      <c r="AB149" s="5"/>
      <c r="AC149" s="33"/>
      <c r="AD149" s="114">
        <f>W149+T149</f>
        <v>1600</v>
      </c>
      <c r="AE149" s="115">
        <f>AD149</f>
        <v>1600</v>
      </c>
      <c r="AF149" s="116">
        <f>AE149/$AE$185</f>
        <v>0.02241386352</v>
      </c>
      <c r="AG149" s="683">
        <f>AF149*$AG$192</f>
        <v>612.0403751</v>
      </c>
      <c r="AH149" s="118">
        <f>AF149*$AG$195</f>
        <v>356.8880642</v>
      </c>
      <c r="AI149" s="187"/>
      <c r="AJ149" s="119">
        <f>ROUND(AK149/L149,2)</f>
        <v>321.12</v>
      </c>
      <c r="AK149" s="119">
        <f>ROUND(AH149+AG149+AD149,2)</f>
        <v>2568.93</v>
      </c>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260"/>
      <c r="BJ149" s="260"/>
      <c r="BK149" s="260"/>
      <c r="BL149" s="260"/>
      <c r="BM149" s="260"/>
      <c r="BN149" s="260"/>
      <c r="BO149" s="260"/>
      <c r="BP149" s="260"/>
      <c r="BQ149" s="260"/>
      <c r="BR149" s="260"/>
      <c r="BS149" s="260"/>
      <c r="BT149" s="260"/>
    </row>
    <row r="150">
      <c r="A150" s="1080" t="s">
        <v>479</v>
      </c>
      <c r="B150" s="160"/>
      <c r="C150" s="223" t="s">
        <v>673</v>
      </c>
      <c r="D150" s="148" t="s">
        <v>390</v>
      </c>
      <c r="E150" s="687"/>
      <c r="F150" s="1093"/>
      <c r="G150" s="128"/>
      <c r="H150" s="127" t="str">
        <f>IFERROR(__xludf.DUMMYFUNCTION("IFERROR(REGEXEXTRACT(C150, ""(\d*\.\d+)mm""), """")"),"")</f>
        <v/>
      </c>
      <c r="I150" s="128"/>
      <c r="J150" s="126" t="s">
        <v>14</v>
      </c>
      <c r="K150" s="126" t="str">
        <f t="array" ref="K150">iferror(if(OR(D150="R-Flashing",D150="W-Flashing"),"LM",XLOOKUP(C150,Material!$A:$A,Material!$C:$C)),"")</f>
        <v>ea</v>
      </c>
      <c r="L150" s="161"/>
      <c r="M150" s="730">
        <v>8.0</v>
      </c>
      <c r="N150" s="151">
        <f>IFERROR(__xludf.DUMMYFUNCTION("IF(
  AND(
    IFERROR(REGEXEXTRACT(C150,""@\s*(\d+(?:\.\d+)?)\s*deg""),"""")&lt;&gt;"""",
    F150&lt;&gt;""""
  ),
  ""Pls Confirm °"",
  IF(
    IFERROR(REGEXEXTRACT(C150,""@\s*(\d+(?:\.\d+)?)\s*deg""),"""")&lt;&gt;"""",
    1/COS(RADIANS(REGEXEXTRACT(C150,""@\s*(\d+(?:"&amp;"\.\d+)?)\s*deg""))),
    IF(
      F150&lt;&gt;"""",
      IF(
        ISNUMBER(SEARCH(""|"",F150)),
        1/COS(
          ATAN(
            TAN(RADIANS(VALUE(INDEX(SPLIT(F150,""|""),1)))) *
            TAN(RADIANS(VALUE(INDEX(SPLIT(F150,""|""),2))))
       "&amp;"     /
            SQRT(
              TAN(RADIANS(VALUE(INDEX(SPLIT(F150,""|""),1))))^2 +
              TAN(RADIANS(VALUE(INDEX(SPLIT(F150,""|""),2))))^2
            )
          )
        ),
        1/COS(RADIANS(VALUE(F150)))
      ),
      1
    )
  )
"&amp;")"),1.0)</f>
        <v>1</v>
      </c>
      <c r="O150" s="169">
        <v>1.0</v>
      </c>
      <c r="P150" s="134">
        <v>1.0</v>
      </c>
      <c r="Q150" s="168">
        <f>M150*N150*O150*P150</f>
        <v>8</v>
      </c>
      <c r="R150" s="136">
        <f t="array" ref="R150">IFERROR(
    IF(
        OR(D150="R-Flashing",D150="W-Flashing",D150="R-BG"),
        LET(
            StartRow,
            MATCH(
                I150&amp;"♦"&amp;H150,
                Material!$I:$I&amp;"♦"&amp;Material!$J:$J,
                0
            ),
            INDEX(
                Material!$J:$AF,
                StartRow+1+MATCH(
                    CEILING(E150*1000,50),
                    INDEX(Material!$I:$I,StartRow+2):INDEX(Material!$I:$I,StartRow+25),
                    0
                ),
                MATCH(
                    G150,
                    INDEX(Material!$I:$V,StartRow+1,0),
                    0
                )
            )
        ),
        XLOOKUP(C150,Material!$A:$A,Material!$D:$D)
    ),
"")</f>
        <v>100</v>
      </c>
      <c r="S150" s="152">
        <f>R150*Q150</f>
        <v>800</v>
      </c>
      <c r="T150" s="138"/>
      <c r="U150" s="1082">
        <f t="array" ref="U150">IFERROR(
    IF(
        D150="R-Flashing",
        XLOOKUP(CEILING(E150*1000,50),Material!I:I,Material!X:X),
        XLOOKUP(C150,Material!A:A,Material!E:E)
    ),
    ""
)</f>
        <v>100</v>
      </c>
      <c r="V150" s="139"/>
      <c r="W150" s="140">
        <f>U150*Q150</f>
        <v>800</v>
      </c>
      <c r="X150" s="159"/>
      <c r="Y150" s="5"/>
      <c r="Z150" s="5"/>
      <c r="AA150" s="5"/>
      <c r="AB150" s="354">
        <f>W150+S150</f>
        <v>1600</v>
      </c>
      <c r="AC150" s="33"/>
      <c r="AD150" s="226"/>
      <c r="AE150" s="227"/>
      <c r="AF150" s="228"/>
      <c r="AG150" s="229"/>
      <c r="AH150" s="230"/>
      <c r="AI150" s="39"/>
      <c r="AJ150" s="231"/>
      <c r="AK150" s="231"/>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260"/>
      <c r="BJ150" s="260"/>
      <c r="BK150" s="260"/>
      <c r="BL150" s="260"/>
      <c r="BM150" s="260"/>
      <c r="BN150" s="260"/>
      <c r="BO150" s="260"/>
      <c r="BP150" s="260"/>
      <c r="BQ150" s="260"/>
      <c r="BR150" s="260"/>
      <c r="BS150" s="260"/>
      <c r="BT150" s="260"/>
    </row>
    <row r="151">
      <c r="A151" s="1092"/>
      <c r="B151" s="160"/>
      <c r="C151" s="225"/>
      <c r="D151" s="124"/>
      <c r="E151" s="687"/>
      <c r="F151" s="1093"/>
      <c r="G151" s="129"/>
      <c r="H151" s="127"/>
      <c r="I151" s="127"/>
      <c r="J151" s="126"/>
      <c r="K151" s="126" t="str">
        <f t="array" ref="K151">iferror(if(OR(D151="R-Flashing",D151="W-Flashing"),"LM",XLOOKUP(C151,Material!$A:$A,Material!$C:$C)),"")</f>
        <v/>
      </c>
      <c r="L151" s="161"/>
      <c r="M151" s="150"/>
      <c r="N151" s="151"/>
      <c r="O151" s="169"/>
      <c r="P151" s="134"/>
      <c r="Q151" s="168"/>
      <c r="R151" s="136" t="str">
        <f t="array" ref="R151">IFERROR(
    IF(
        OR(D151="R-Flashing",D151="W-Flashing",D151="R-BG"),
        LET(
            StartRow,
            MATCH(
                I151&amp;"♦"&amp;H151,
                Material!$I:$I&amp;"♦"&amp;Material!$J:$J,
                0
            ),
            INDEX(
                Material!$J:$AF,
                StartRow+1+MATCH(
                    CEILING(E151*1000,50),
                    INDEX(Material!$I:$I,StartRow+2):INDEX(Material!$I:$I,StartRow+25),
                    0
                ),
                MATCH(
                    G151,
                    INDEX(Material!$I:$V,StartRow+1,0),
                    0
                )
            )
        ),
        XLOOKUP(C151,Material!$A:$A,Material!$D:$D)
    ),
"")</f>
        <v/>
      </c>
      <c r="S151" s="152"/>
      <c r="T151" s="138"/>
      <c r="U151" s="1082" t="str">
        <f t="array" ref="U151">IFERROR(
    IF(
        D151="R-Flashing",
        XLOOKUP(CEILING(E151*1000,50),Material!I:I,Material!X:X),
        XLOOKUP(C151,Material!A:A,Material!E:E)
    ),
    ""
)</f>
        <v/>
      </c>
      <c r="V151" s="139"/>
      <c r="W151" s="140"/>
      <c r="X151" s="159"/>
      <c r="Y151" s="5"/>
      <c r="Z151" s="5"/>
      <c r="AA151" s="5"/>
      <c r="AB151" s="354"/>
      <c r="AC151" s="33"/>
      <c r="AD151" s="65"/>
      <c r="AE151" s="66"/>
      <c r="AF151" s="144"/>
      <c r="AG151" s="68"/>
      <c r="AH151" s="69"/>
      <c r="AI151" s="39"/>
      <c r="AJ151" s="70"/>
      <c r="AK151" s="70"/>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260"/>
      <c r="BJ151" s="260"/>
      <c r="BK151" s="260"/>
      <c r="BL151" s="260"/>
      <c r="BM151" s="260"/>
      <c r="BN151" s="260"/>
      <c r="BO151" s="260"/>
      <c r="BP151" s="260"/>
      <c r="BQ151" s="260"/>
      <c r="BR151" s="260"/>
      <c r="BS151" s="260"/>
      <c r="BT151" s="260"/>
    </row>
    <row r="152">
      <c r="A152" s="1080">
        <v>1.0</v>
      </c>
      <c r="B152" s="764" t="s">
        <v>425</v>
      </c>
      <c r="C152" s="89" t="s">
        <v>477</v>
      </c>
      <c r="D152" s="656"/>
      <c r="E152" s="654"/>
      <c r="F152" s="1083"/>
      <c r="G152" s="656"/>
      <c r="H152" s="657"/>
      <c r="I152" s="656"/>
      <c r="J152" s="656"/>
      <c r="K152" s="656" t="s">
        <v>42</v>
      </c>
      <c r="L152" s="658"/>
      <c r="M152" s="658" t="s">
        <v>42</v>
      </c>
      <c r="N152" s="659"/>
      <c r="O152" s="658"/>
      <c r="P152" s="656"/>
      <c r="Q152" s="658"/>
      <c r="R152" s="136" t="str">
        <f t="array" ref="R152">IFERROR(
    IF(
        OR(D152="R-Flashing",D152="W-Flashing",D152="R-BG"),
        LET(
            StartRow,
            MATCH(
                I152&amp;"♦"&amp;H152,
                Material!$I:$I&amp;"♦"&amp;Material!$J:$J,
                0
            ),
            INDEX(
                Material!$J:$AF,
                StartRow+1+MATCH(
                    CEILING(E152*1000,50),
                    INDEX(Material!$I:$I,StartRow+2):INDEX(Material!$I:$I,StartRow+25),
                    0
                ),
                MATCH(
                    G152,
                    INDEX(Material!$I:$V,StartRow+1,0),
                    0
                )
            )
        ),
        XLOOKUP(C152,Material!$A:$A,Material!$D:$D)
    ),
"")</f>
        <v/>
      </c>
      <c r="S152" s="662"/>
      <c r="T152" s="661"/>
      <c r="U152" s="1082" t="str">
        <f t="array" ref="U152">IFERROR(
    IF(
        D152="R-Flashing",
        XLOOKUP(CEILING(E152*1000,50),Material!I:I,Material!X:X),
        XLOOKUP(C152,Material!A:A,Material!E:E)
    ),
    ""
)</f>
        <v/>
      </c>
      <c r="V152" s="662"/>
      <c r="W152" s="663"/>
      <c r="X152" s="692"/>
      <c r="Y152" s="595"/>
      <c r="Z152" s="595"/>
      <c r="AA152" s="595"/>
      <c r="AB152" s="595"/>
      <c r="AC152" s="181"/>
      <c r="AD152" s="625"/>
      <c r="AE152" s="626"/>
      <c r="AF152" s="696"/>
      <c r="AG152" s="697"/>
      <c r="AH152" s="629"/>
      <c r="AI152" s="187"/>
      <c r="AJ152" s="630"/>
      <c r="AK152" s="630"/>
      <c r="AL152" s="595"/>
      <c r="AM152" s="595"/>
      <c r="AN152" s="595"/>
      <c r="AO152" s="595"/>
      <c r="AP152" s="595"/>
      <c r="AQ152" s="595"/>
      <c r="AR152" s="595"/>
      <c r="AS152" s="595"/>
      <c r="AT152" s="595"/>
      <c r="AU152" s="595"/>
      <c r="AV152" s="595"/>
      <c r="AW152" s="595"/>
      <c r="AX152" s="595"/>
      <c r="AY152" s="595"/>
      <c r="AZ152" s="595"/>
      <c r="BA152" s="595"/>
      <c r="BB152" s="595"/>
      <c r="BC152" s="595"/>
      <c r="BD152" s="595"/>
      <c r="BE152" s="595"/>
      <c r="BF152" s="595"/>
      <c r="BG152" s="595"/>
      <c r="BH152" s="595"/>
      <c r="BI152" s="651"/>
      <c r="BJ152" s="651"/>
      <c r="BK152" s="651"/>
      <c r="BL152" s="651"/>
      <c r="BM152" s="651"/>
      <c r="BN152" s="651"/>
      <c r="BO152" s="651"/>
      <c r="BP152" s="651"/>
      <c r="BQ152" s="651"/>
      <c r="BR152" s="651"/>
      <c r="BS152" s="651"/>
      <c r="BT152" s="651"/>
    </row>
    <row r="153">
      <c r="A153" s="1080">
        <v>1.0</v>
      </c>
      <c r="B153" s="102"/>
      <c r="C153" s="103" t="s">
        <v>674</v>
      </c>
      <c r="D153" s="104"/>
      <c r="E153" s="749"/>
      <c r="F153" s="1089"/>
      <c r="G153" s="104"/>
      <c r="H153" s="104"/>
      <c r="I153" s="104"/>
      <c r="J153" s="104"/>
      <c r="K153" s="104" t="s">
        <v>42</v>
      </c>
      <c r="L153" s="106">
        <f>Q153</f>
        <v>100.1</v>
      </c>
      <c r="M153" s="105" t="s">
        <v>42</v>
      </c>
      <c r="N153" s="107"/>
      <c r="O153" s="105"/>
      <c r="P153" s="104"/>
      <c r="Q153" s="106">
        <f>Q154</f>
        <v>100.1</v>
      </c>
      <c r="R153" s="136" t="str">
        <f t="array" ref="R153">IFERROR(
    IF(
        OR(D153="R-Flashing",D153="W-Flashing",D153="R-BG"),
        LET(
            StartRow,
            MATCH(
                I153&amp;"♦"&amp;H153,
                Material!$I:$I&amp;"♦"&amp;Material!$J:$J,
                0
            ),
            INDEX(
                Material!$J:$AF,
                StartRow+1+MATCH(
                    CEILING(E153*1000,50),
                    INDEX(Material!$I:$I,StartRow+2):INDEX(Material!$I:$I,StartRow+25),
                    0
                ),
                MATCH(
                    G153,
                    INDEX(Material!$I:$V,StartRow+1,0),
                    0
                )
            )
        ),
        XLOOKUP(C153,Material!$A:$A,Material!$D:$D)
    ),
"")</f>
        <v/>
      </c>
      <c r="S153" s="682">
        <f>IFERROR(T153/Q153, 0)</f>
        <v>53.46650849</v>
      </c>
      <c r="T153" s="109">
        <f>SUM(S154:S165)</f>
        <v>5351.9975</v>
      </c>
      <c r="U153" s="1082" t="str">
        <f t="array" ref="U153">IFERROR(
    IF(
        D153="R-Flashing",
        XLOOKUP(CEILING(E153*1000,50),Material!I:I,Material!X:X),
        XLOOKUP(C153,Material!A:A,Material!E:E)
    ),
    ""
)</f>
        <v/>
      </c>
      <c r="V153" s="109">
        <f>W153/Q153</f>
        <v>34.18881119</v>
      </c>
      <c r="W153" s="110">
        <f>SUM(W154:W165)</f>
        <v>3422.3</v>
      </c>
      <c r="X153" s="111">
        <f>W153/$AC$210/$W$217/$X$207</f>
        <v>2.324932065</v>
      </c>
      <c r="Y153" s="112" t="b">
        <f>(T153+W153)=(SUM(AB154:AB165))</f>
        <v>1</v>
      </c>
      <c r="Z153" s="113">
        <f>(T153+W153)-(SUM(AB154:AB165))</f>
        <v>0</v>
      </c>
      <c r="AA153" s="5"/>
      <c r="AB153" s="5"/>
      <c r="AC153" s="33"/>
      <c r="AD153" s="114">
        <f>W153+T153</f>
        <v>8774.2975</v>
      </c>
      <c r="AE153" s="115">
        <f>AD153</f>
        <v>8774.2975</v>
      </c>
      <c r="AF153" s="116">
        <f>AE153/$AE$185</f>
        <v>0.1229161917</v>
      </c>
      <c r="AG153" s="683">
        <f>AF153*$AG$192</f>
        <v>3356.390208</v>
      </c>
      <c r="AH153" s="118">
        <f>AF153*$AG$195</f>
        <v>1957.151281</v>
      </c>
      <c r="AI153" s="187"/>
      <c r="AJ153" s="119">
        <f>ROUND(AK153/L153,2)</f>
        <v>140.74</v>
      </c>
      <c r="AK153" s="119">
        <f>ROUND(AH153+AG153+AD153,2)</f>
        <v>14087.84</v>
      </c>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260"/>
      <c r="BJ153" s="260"/>
      <c r="BK153" s="260"/>
      <c r="BL153" s="260"/>
      <c r="BM153" s="260"/>
      <c r="BN153" s="260"/>
      <c r="BO153" s="260"/>
      <c r="BP153" s="260"/>
      <c r="BQ153" s="260"/>
      <c r="BR153" s="260"/>
      <c r="BS153" s="260"/>
      <c r="BT153" s="260"/>
    </row>
    <row r="154">
      <c r="A154" s="1080" t="s">
        <v>479</v>
      </c>
      <c r="B154" s="154"/>
      <c r="C154" s="223" t="s">
        <v>675</v>
      </c>
      <c r="D154" s="148" t="s">
        <v>120</v>
      </c>
      <c r="E154" s="755">
        <v>0.29</v>
      </c>
      <c r="F154" s="1093"/>
      <c r="G154" s="125">
        <v>4.0</v>
      </c>
      <c r="H154" s="127" t="str">
        <f>IFERROR(__xludf.DUMMYFUNCTION("IFERROR(REGEXEXTRACT(C154, ""(\d*\.\d+)mm""), """")"),"")</f>
        <v/>
      </c>
      <c r="I154" s="125" t="s">
        <v>630</v>
      </c>
      <c r="J154" s="126" t="s">
        <v>14</v>
      </c>
      <c r="K154" s="126" t="str">
        <f t="array" ref="K154">iferror(if(OR(D154="R-Flashing",D154="R-BG"),"LM",XLOOKUP(C154,Material!$A:$A,Material!$C:$C)),"")</f>
        <v>LM</v>
      </c>
      <c r="L154" s="161"/>
      <c r="M154" s="730">
        <v>100.1</v>
      </c>
      <c r="N154" s="151">
        <f>IFERROR(__xludf.DUMMYFUNCTION("IF(
  AND(
    IFERROR(REGEXEXTRACT(C154,""@\s*(\d+(?:\.\d+)?)\s*deg""),"""")&lt;&gt;"""",
    F154&lt;&gt;""""
  ),
  ""Pls Confirm °"",
  IF(
    IFERROR(REGEXEXTRACT(C154,""@\s*(\d+(?:\.\d+)?)\s*deg""),"""")&lt;&gt;"""",
    1/COS(RADIANS(REGEXEXTRACT(C154,""@\s*(\d+(?:"&amp;"\.\d+)?)\s*deg""))),
    IF(
      F154&lt;&gt;"""",
      IF(
        ISNUMBER(SEARCH(""|"",F154)),
        1/COS(
          ATAN(
            TAN(RADIANS(VALUE(INDEX(SPLIT(F154,""|""),1)))) *
            TAN(RADIANS(VALUE(INDEX(SPLIT(F154,""|""),2))))
       "&amp;"     /
            SQRT(
              TAN(RADIANS(VALUE(INDEX(SPLIT(F154,""|""),1))))^2 +
              TAN(RADIANS(VALUE(INDEX(SPLIT(F154,""|""),2))))^2
            )
          )
        ),
        1/COS(RADIANS(VALUE(F154)))
      ),
      1
    )
  )
"&amp;")"),1.0)</f>
        <v>1</v>
      </c>
      <c r="O154" s="169">
        <v>1.0</v>
      </c>
      <c r="P154" s="134">
        <v>1.0</v>
      </c>
      <c r="Q154" s="168">
        <f t="shared" ref="Q154:Q164" si="98">M154*N154*O154*P154</f>
        <v>100.1</v>
      </c>
      <c r="R154" s="136">
        <f t="array" ref="R154">IFERROR(
    IF(
        OR(D154="R-Flashing",D154="W-Flashing",D154="R-BG"),
        LET(
            StartRow,
            MATCH(
                I154&amp;"♦"&amp;H154,
                Material!$I:$I&amp;"♦"&amp;Material!$J:$J,
                0
            ),
            INDEX(
                Material!$J:$AF,
                StartRow+1+MATCH(
                    CEILING(E154*1000,50),
                    INDEX(Material!$I:$I,StartRow+2):INDEX(Material!$I:$I,StartRow+25),
                    0
                ),
                MATCH(
                    G154,
                    INDEX(Material!$I:$V,StartRow+1,0),
                    0
                )
            )
        ),
        XLOOKUP(C154,Material!$A:$A,Material!$D:$D)
    ),
"")</f>
        <v>16.5</v>
      </c>
      <c r="S154" s="152">
        <f t="shared" ref="S154:S164" si="99">R154*Q154</f>
        <v>1651.65</v>
      </c>
      <c r="T154" s="138"/>
      <c r="U154" s="1082">
        <f t="array" ref="U154">IFERROR(
    IF(
        D154="R-Flashing",
        XLOOKUP(CEILING(E154*1000,50),Material!I:I,Material!X:X),
        XLOOKUP(C154,Material!A:A,Material!E:E)
    ),
    ""
)</f>
        <v>20</v>
      </c>
      <c r="V154" s="139"/>
      <c r="W154" s="140">
        <f t="shared" ref="W154:W164" si="100">U154*Q154</f>
        <v>2002</v>
      </c>
      <c r="X154" s="159"/>
      <c r="Y154" s="5"/>
      <c r="Z154" s="5"/>
      <c r="AA154" s="5"/>
      <c r="AB154" s="354">
        <f t="shared" ref="AB154:AB164" si="101">W154+S154</f>
        <v>3653.65</v>
      </c>
      <c r="AC154" s="33"/>
      <c r="AD154" s="226"/>
      <c r="AE154" s="227"/>
      <c r="AF154" s="228"/>
      <c r="AG154" s="229"/>
      <c r="AH154" s="230"/>
      <c r="AI154" s="39"/>
      <c r="AJ154" s="231"/>
      <c r="AK154" s="231"/>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260"/>
      <c r="BJ154" s="260"/>
      <c r="BK154" s="260"/>
      <c r="BL154" s="260"/>
      <c r="BM154" s="260"/>
      <c r="BN154" s="260"/>
      <c r="BO154" s="260"/>
      <c r="BP154" s="260"/>
      <c r="BQ154" s="260"/>
      <c r="BR154" s="260"/>
      <c r="BS154" s="260"/>
      <c r="BT154" s="260"/>
    </row>
    <row r="155">
      <c r="A155" s="1080"/>
      <c r="B155" s="154"/>
      <c r="C155" s="734" t="s">
        <v>98</v>
      </c>
      <c r="D155" s="124" t="s">
        <v>99</v>
      </c>
      <c r="E155" s="687">
        <f>E154</f>
        <v>0.29</v>
      </c>
      <c r="F155" s="1093"/>
      <c r="G155" s="129"/>
      <c r="H155" s="127"/>
      <c r="I155" s="127"/>
      <c r="J155" s="126" t="s">
        <v>87</v>
      </c>
      <c r="K155" s="126" t="str">
        <f t="array" ref="K155">iferror(if(D155="R-Flashing","LM",XLOOKUP(C155,Material!$A:$A,Material!$C:$C)),"")</f>
        <v>ea</v>
      </c>
      <c r="L155" s="161"/>
      <c r="M155" s="150">
        <f>(ROUNDDOWN((M154/5.7)+2,0)*E155)/8</f>
        <v>0.68875</v>
      </c>
      <c r="N155" s="151">
        <f t="shared" ref="N155:N163" si="102">if(C155="","",(if(N154="",N153,N154)))</f>
        <v>1</v>
      </c>
      <c r="O155" s="169">
        <v>1.0</v>
      </c>
      <c r="P155" s="134">
        <v>1.0</v>
      </c>
      <c r="Q155" s="168">
        <f t="shared" si="98"/>
        <v>0.68875</v>
      </c>
      <c r="R155" s="136">
        <f t="array" ref="R155">IFERROR(
    IF(
        OR(D155="R-Flashing",D155="W-Flashing",D155="R-BG"),
        LET(
            StartRow,
            MATCH(
                I155&amp;"♦"&amp;H155,
                Material!$I:$I&amp;"♦"&amp;Material!$J:$J,
                0
            ),
            INDEX(
                Material!$J:$AF,
                StartRow+1+MATCH(
                    CEILING(E155*1000,50),
                    INDEX(Material!$I:$I,StartRow+2):INDEX(Material!$I:$I,StartRow+25),
                    0
                ),
                MATCH(
                    G155,
                    INDEX(Material!$I:$V,StartRow+1,0),
                    0
                )
            )
        ),
        XLOOKUP(C155,Material!$A:$A,Material!$D:$D)
    ),
"")</f>
        <v>10</v>
      </c>
      <c r="S155" s="152">
        <f t="shared" si="99"/>
        <v>6.8875</v>
      </c>
      <c r="T155" s="138"/>
      <c r="U155" s="1082" t="str">
        <f t="array" ref="U155">IFERROR(
    IF(
        D155="R-Flashing",
        XLOOKUP(CEILING(E155*1000,50),Material!I:I,Material!X:X),
        XLOOKUP(C155,Material!A:A,Material!E:E)
    ),
    ""
)</f>
        <v/>
      </c>
      <c r="V155" s="139"/>
      <c r="W155" s="140">
        <f t="shared" si="100"/>
        <v>0</v>
      </c>
      <c r="X155" s="159"/>
      <c r="Y155" s="5"/>
      <c r="Z155" s="5"/>
      <c r="AA155" s="5"/>
      <c r="AB155" s="354">
        <f t="shared" si="101"/>
        <v>6.8875</v>
      </c>
      <c r="AC155" s="33"/>
      <c r="AD155" s="65"/>
      <c r="AE155" s="66"/>
      <c r="AF155" s="144"/>
      <c r="AG155" s="68"/>
      <c r="AH155" s="69"/>
      <c r="AI155" s="39"/>
      <c r="AJ155" s="70"/>
      <c r="AK155" s="70"/>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260"/>
      <c r="BJ155" s="260"/>
      <c r="BK155" s="260"/>
      <c r="BL155" s="260"/>
      <c r="BM155" s="260"/>
      <c r="BN155" s="260"/>
      <c r="BO155" s="260"/>
      <c r="BP155" s="260"/>
      <c r="BQ155" s="260"/>
      <c r="BR155" s="260"/>
      <c r="BS155" s="260"/>
      <c r="BT155" s="260"/>
    </row>
    <row r="156">
      <c r="A156" s="1080"/>
      <c r="B156" s="154"/>
      <c r="C156" s="734" t="s">
        <v>100</v>
      </c>
      <c r="D156" s="124" t="s">
        <v>101</v>
      </c>
      <c r="E156" s="687">
        <f>E154</f>
        <v>0.29</v>
      </c>
      <c r="F156" s="1093"/>
      <c r="G156" s="129"/>
      <c r="H156" s="127"/>
      <c r="I156" s="127"/>
      <c r="J156" s="126" t="s">
        <v>87</v>
      </c>
      <c r="K156" s="126" t="str">
        <f t="array" ref="K156">iferror(if(D156="R-Flashing","LM",XLOOKUP(C156,Material!$A:$A,Material!$C:$C)),"")</f>
        <v>ea</v>
      </c>
      <c r="L156" s="161"/>
      <c r="M156" s="150">
        <f>ROUNDUP(((M154/5.7)+1)*(E156/0.05),0)</f>
        <v>108</v>
      </c>
      <c r="N156" s="151">
        <f t="shared" si="102"/>
        <v>1</v>
      </c>
      <c r="O156" s="169">
        <v>1.0</v>
      </c>
      <c r="P156" s="134">
        <v>1.0</v>
      </c>
      <c r="Q156" s="168">
        <f t="shared" si="98"/>
        <v>108</v>
      </c>
      <c r="R156" s="136">
        <f t="array" ref="R156">IFERROR(
    IF(
        OR(D156="R-Flashing",D156="W-Flashing",D156="R-BG"),
        LET(
            StartRow,
            MATCH(
                I156&amp;"♦"&amp;H156,
                Material!$I:$I&amp;"♦"&amp;Material!$J:$J,
                0
            ),
            INDEX(
                Material!$J:$AF,
                StartRow+1+MATCH(
                    CEILING(E156*1000,50),
                    INDEX(Material!$I:$I,StartRow+2):INDEX(Material!$I:$I,StartRow+25),
                    0
                ),
                MATCH(
                    G156,
                    INDEX(Material!$I:$V,StartRow+1,0),
                    0
                )
            )
        ),
        XLOOKUP(C156,Material!$A:$A,Material!$D:$D)
    ),
"")</f>
        <v>0.09</v>
      </c>
      <c r="S156" s="152">
        <f t="shared" si="99"/>
        <v>9.72</v>
      </c>
      <c r="T156" s="138"/>
      <c r="U156" s="1082" t="str">
        <f t="array" ref="U156">IFERROR(
    IF(
        D156="R-Flashing",
        XLOOKUP(CEILING(E156*1000,50),Material!I:I,Material!X:X),
        XLOOKUP(C156,Material!A:A,Material!E:E)
    ),
    ""
)</f>
        <v/>
      </c>
      <c r="V156" s="139"/>
      <c r="W156" s="140">
        <f t="shared" si="100"/>
        <v>0</v>
      </c>
      <c r="X156" s="159"/>
      <c r="Y156" s="5"/>
      <c r="Z156" s="5"/>
      <c r="AA156" s="5"/>
      <c r="AB156" s="354">
        <f t="shared" si="101"/>
        <v>9.72</v>
      </c>
      <c r="AC156" s="33"/>
      <c r="AD156" s="65"/>
      <c r="AE156" s="66"/>
      <c r="AF156" s="144"/>
      <c r="AG156" s="68"/>
      <c r="AH156" s="69"/>
      <c r="AI156" s="39"/>
      <c r="AJ156" s="70"/>
      <c r="AK156" s="70"/>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260"/>
      <c r="BJ156" s="260"/>
      <c r="BK156" s="260"/>
      <c r="BL156" s="260"/>
      <c r="BM156" s="260"/>
      <c r="BN156" s="260"/>
      <c r="BO156" s="260"/>
      <c r="BP156" s="260"/>
      <c r="BQ156" s="260"/>
      <c r="BR156" s="260"/>
      <c r="BS156" s="260"/>
      <c r="BT156" s="260"/>
    </row>
    <row r="157">
      <c r="A157" s="1080" t="s">
        <v>479</v>
      </c>
      <c r="B157" s="154"/>
      <c r="C157" s="123" t="s">
        <v>676</v>
      </c>
      <c r="D157" s="124" t="s">
        <v>122</v>
      </c>
      <c r="E157" s="755">
        <v>0.6</v>
      </c>
      <c r="F157" s="1091"/>
      <c r="G157" s="129"/>
      <c r="H157" s="127"/>
      <c r="I157" s="127"/>
      <c r="J157" s="126" t="s">
        <v>87</v>
      </c>
      <c r="K157" s="126" t="str">
        <f t="array" ref="K157">iferror(if(D157="R-Flashing","LM",XLOOKUP(C157,Material!$A:$A,Material!$C:$C)),"")</f>
        <v>ea</v>
      </c>
      <c r="L157" s="163"/>
      <c r="M157" s="150">
        <f>ROUNDUP(M154/E157,0)+1</f>
        <v>168</v>
      </c>
      <c r="N157" s="151">
        <f t="shared" si="102"/>
        <v>1</v>
      </c>
      <c r="O157" s="169">
        <v>1.0</v>
      </c>
      <c r="P157" s="134">
        <v>1.0</v>
      </c>
      <c r="Q157" s="168">
        <f t="shared" si="98"/>
        <v>168</v>
      </c>
      <c r="R157" s="136">
        <f t="array" ref="R157">IFERROR(
    IF(
        OR(D157="R-Flashing",D157="W-Flashing",D157="R-BG"),
        LET(
            StartRow,
            MATCH(
                I157&amp;"♦"&amp;H157,
                Material!$I:$I&amp;"♦"&amp;Material!$J:$J,
                0
            ),
            INDEX(
                Material!$J:$AF,
                StartRow+1+MATCH(
                    CEILING(E157*1000,50),
                    INDEX(Material!$I:$I,StartRow+2):INDEX(Material!$I:$I,StartRow+25),
                    0
                ),
                MATCH(
                    G157,
                    INDEX(Material!$I:$V,StartRow+1,0),
                    0
                )
            )
        ),
        XLOOKUP(C157,Material!$A:$A,Material!$D:$D)
    ),
"")</f>
        <v>16.88</v>
      </c>
      <c r="S157" s="152">
        <f t="shared" si="99"/>
        <v>2835.84</v>
      </c>
      <c r="T157" s="138"/>
      <c r="U157" s="1082">
        <f t="array" ref="U157">IFERROR(
    IF(
        D157="R-Flashing",
        XLOOKUP(CEILING(E157*1000,50),Material!I:I,Material!X:X),
        XLOOKUP(C157,Material!A:A,Material!E:E)
    ),
    ""
)</f>
        <v>5</v>
      </c>
      <c r="V157" s="139"/>
      <c r="W157" s="140">
        <f t="shared" si="100"/>
        <v>840</v>
      </c>
      <c r="X157" s="159"/>
      <c r="Y157" s="5"/>
      <c r="Z157" s="5"/>
      <c r="AA157" s="5"/>
      <c r="AB157" s="354">
        <f t="shared" si="101"/>
        <v>3675.84</v>
      </c>
      <c r="AC157" s="33"/>
      <c r="AD157" s="65"/>
      <c r="AE157" s="66"/>
      <c r="AF157" s="144"/>
      <c r="AG157" s="68"/>
      <c r="AH157" s="69"/>
      <c r="AI157" s="39"/>
      <c r="AJ157" s="70"/>
      <c r="AK157" s="70"/>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260"/>
      <c r="BJ157" s="260"/>
      <c r="BK157" s="260"/>
      <c r="BL157" s="260"/>
      <c r="BM157" s="260"/>
      <c r="BN157" s="260"/>
      <c r="BO157" s="260"/>
      <c r="BP157" s="260"/>
      <c r="BQ157" s="260"/>
      <c r="BR157" s="260"/>
      <c r="BS157" s="260"/>
      <c r="BT157" s="260"/>
    </row>
    <row r="158">
      <c r="A158" s="1080"/>
      <c r="B158" s="154"/>
      <c r="C158" s="123" t="s">
        <v>677</v>
      </c>
      <c r="D158" s="124" t="s">
        <v>123</v>
      </c>
      <c r="E158" s="687">
        <v>2.0</v>
      </c>
      <c r="F158" s="1091"/>
      <c r="G158" s="129"/>
      <c r="H158" s="127"/>
      <c r="I158" s="127"/>
      <c r="J158" s="126" t="s">
        <v>87</v>
      </c>
      <c r="K158" s="126" t="str">
        <f t="array" ref="K158">iferror(if(D158="R-Flashing","LM",XLOOKUP(C158,Material!$A:$A,Material!$C:$C)),"")</f>
        <v>ea</v>
      </c>
      <c r="L158" s="163"/>
      <c r="M158" s="150">
        <f>ROUNDUP(M157*E158,0)+1</f>
        <v>337</v>
      </c>
      <c r="N158" s="151">
        <f t="shared" si="102"/>
        <v>1</v>
      </c>
      <c r="O158" s="169">
        <v>1.0</v>
      </c>
      <c r="P158" s="134">
        <v>1.0</v>
      </c>
      <c r="Q158" s="168">
        <f t="shared" si="98"/>
        <v>337</v>
      </c>
      <c r="R158" s="136">
        <f t="array" ref="R158">IFERROR(
    IF(
        OR(D158="R-Flashing",D158="W-Flashing",D158="R-BG"),
        LET(
            StartRow,
            MATCH(
                I158&amp;"♦"&amp;H158,
                Material!$I:$I&amp;"♦"&amp;Material!$J:$J,
                0
            ),
            INDEX(
                Material!$J:$AF,
                StartRow+1+MATCH(
                    CEILING(E158*1000,50),
                    INDEX(Material!$I:$I,StartRow+2):INDEX(Material!$I:$I,StartRow+25),
                    0
                ),
                MATCH(
                    G158,
                    INDEX(Material!$I:$V,StartRow+1,0),
                    0
                )
            )
        ),
        XLOOKUP(C158,Material!$A:$A,Material!$D:$D)
    ),
"")</f>
        <v>0.2</v>
      </c>
      <c r="S158" s="152">
        <f t="shared" si="99"/>
        <v>67.4</v>
      </c>
      <c r="T158" s="138"/>
      <c r="U158" s="1082" t="str">
        <f t="array" ref="U158">IFERROR(
    IF(
        D158="R-Flashing",
        XLOOKUP(CEILING(E158*1000,50),Material!I:I,Material!X:X),
        XLOOKUP(C158,Material!A:A,Material!E:E)
    ),
    ""
)</f>
        <v/>
      </c>
      <c r="V158" s="139"/>
      <c r="W158" s="140">
        <f t="shared" si="100"/>
        <v>0</v>
      </c>
      <c r="X158" s="159"/>
      <c r="Y158" s="5"/>
      <c r="Z158" s="5"/>
      <c r="AA158" s="5"/>
      <c r="AB158" s="354">
        <f t="shared" si="101"/>
        <v>67.4</v>
      </c>
      <c r="AC158" s="33"/>
      <c r="AD158" s="65"/>
      <c r="AE158" s="66"/>
      <c r="AF158" s="144"/>
      <c r="AG158" s="68"/>
      <c r="AH158" s="69"/>
      <c r="AI158" s="39"/>
      <c r="AJ158" s="70"/>
      <c r="AK158" s="70"/>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260"/>
      <c r="BJ158" s="260"/>
      <c r="BK158" s="260"/>
      <c r="BL158" s="260"/>
      <c r="BM158" s="260"/>
      <c r="BN158" s="260"/>
      <c r="BO158" s="260"/>
      <c r="BP158" s="260"/>
      <c r="BQ158" s="260"/>
      <c r="BR158" s="260"/>
      <c r="BS158" s="260"/>
      <c r="BT158" s="260"/>
    </row>
    <row r="159">
      <c r="A159" s="1080"/>
      <c r="B159" s="154"/>
      <c r="C159" s="123" t="s">
        <v>632</v>
      </c>
      <c r="D159" s="148" t="s">
        <v>105</v>
      </c>
      <c r="E159" s="752"/>
      <c r="F159" s="1091"/>
      <c r="G159" s="129"/>
      <c r="H159" s="127"/>
      <c r="I159" s="127"/>
      <c r="J159" s="126" t="s">
        <v>87</v>
      </c>
      <c r="K159" s="126" t="str">
        <f t="array" ref="K159">iferror(if(D159="R-Flashing","LM",XLOOKUP(C159,Material!$A:$A,Material!$C:$C)),"")</f>
        <v>LM</v>
      </c>
      <c r="L159" s="163"/>
      <c r="M159" s="150">
        <f>M154</f>
        <v>100.1</v>
      </c>
      <c r="N159" s="151">
        <f t="shared" si="102"/>
        <v>1</v>
      </c>
      <c r="O159" s="169">
        <v>1.0</v>
      </c>
      <c r="P159" s="156">
        <v>1.0</v>
      </c>
      <c r="Q159" s="168">
        <f t="shared" si="98"/>
        <v>100.1</v>
      </c>
      <c r="R159" s="136">
        <f t="array" ref="R159">IFERROR(
    IF(
        OR(D159="R-Flashing",D159="W-Flashing",D159="R-BG"),
        LET(
            StartRow,
            MATCH(
                I159&amp;"♦"&amp;H159,
                Material!$I:$I&amp;"♦"&amp;Material!$J:$J,
                0
            ),
            INDEX(
                Material!$J:$AF,
                StartRow+1+MATCH(
                    CEILING(E159*1000,50),
                    INDEX(Material!$I:$I,StartRow+2):INDEX(Material!$I:$I,StartRow+25),
                    0
                ),
                MATCH(
                    G159,
                    INDEX(Material!$I:$V,StartRow+1,0),
                    0
                )
            )
        ),
        XLOOKUP(C159,Material!$A:$A,Material!$D:$D)
    ),
"")</f>
        <v>5</v>
      </c>
      <c r="S159" s="152">
        <f t="shared" si="99"/>
        <v>500.5</v>
      </c>
      <c r="T159" s="138"/>
      <c r="U159" s="1082" t="str">
        <f t="array" ref="U159">IFERROR(
    IF(
        D159="R-Flashing",
        XLOOKUP(CEILING(E159*1000,50),Material!I:I,Material!X:X),
        XLOOKUP(C159,Material!A:A,Material!E:E)
    ),
    ""
)</f>
        <v/>
      </c>
      <c r="V159" s="139"/>
      <c r="W159" s="140">
        <f t="shared" si="100"/>
        <v>0</v>
      </c>
      <c r="X159" s="159"/>
      <c r="Y159" s="5"/>
      <c r="Z159" s="5"/>
      <c r="AA159" s="5"/>
      <c r="AB159" s="354">
        <f t="shared" si="101"/>
        <v>500.5</v>
      </c>
      <c r="AC159" s="33"/>
      <c r="AD159" s="65"/>
      <c r="AE159" s="66"/>
      <c r="AF159" s="144"/>
      <c r="AG159" s="68"/>
      <c r="AH159" s="69"/>
      <c r="AI159" s="39"/>
      <c r="AJ159" s="70"/>
      <c r="AK159" s="70"/>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260"/>
      <c r="BJ159" s="260"/>
      <c r="BK159" s="260"/>
      <c r="BL159" s="260"/>
      <c r="BM159" s="260"/>
      <c r="BN159" s="260"/>
      <c r="BO159" s="260"/>
      <c r="BP159" s="260"/>
      <c r="BQ159" s="260"/>
      <c r="BR159" s="260"/>
      <c r="BS159" s="260"/>
      <c r="BT159" s="260"/>
    </row>
    <row r="160">
      <c r="A160" s="1080"/>
      <c r="B160" s="154"/>
      <c r="C160" s="698" t="s">
        <v>446</v>
      </c>
      <c r="D160" s="124" t="s">
        <v>107</v>
      </c>
      <c r="E160" s="752"/>
      <c r="F160" s="1091"/>
      <c r="G160" s="129"/>
      <c r="H160" s="127"/>
      <c r="I160" s="127"/>
      <c r="J160" s="126" t="s">
        <v>87</v>
      </c>
      <c r="K160" s="126" t="str">
        <f t="array" ref="K160">iferror(if(D160="R-Flashing","LM",XLOOKUP(C160,Material!$A:$A,Material!$C:$C)),"")</f>
        <v>LM</v>
      </c>
      <c r="L160" s="163"/>
      <c r="M160" s="150">
        <f>M154</f>
        <v>100.1</v>
      </c>
      <c r="N160" s="151">
        <f t="shared" si="102"/>
        <v>1</v>
      </c>
      <c r="O160" s="169">
        <v>1.0</v>
      </c>
      <c r="P160" s="134">
        <v>1.0</v>
      </c>
      <c r="Q160" s="168">
        <f t="shared" si="98"/>
        <v>100.1</v>
      </c>
      <c r="R160" s="136" t="str">
        <f t="array" ref="R160">IFERROR(
    IF(
        OR(D160="R-Flashing",D160="W-Flashing",D160="R-BG"),
        LET(
            StartRow,
            MATCH(
                I160&amp;"♦"&amp;H160,
                Material!$I:$I&amp;"♦"&amp;Material!$J:$J,
                0
            ),
            INDEX(
                Material!$J:$AF,
                StartRow+1+MATCH(
                    CEILING(E160*1000,50),
                    INDEX(Material!$I:$I,StartRow+2):INDEX(Material!$I:$I,StartRow+25),
                    0
                ),
                MATCH(
                    G160,
                    INDEX(Material!$I:$V,StartRow+1,0),
                    0
                )
            )
        ),
        XLOOKUP(C160,Material!$A:$A,Material!$D:$D)
    ),
"")</f>
        <v/>
      </c>
      <c r="S160" s="152">
        <f t="shared" si="99"/>
        <v>0</v>
      </c>
      <c r="T160" s="138"/>
      <c r="U160" s="1082">
        <f t="array" ref="U160">IFERROR(
    IF(
        D160="R-Flashing",
        XLOOKUP(CEILING(E160*1000,50),Material!I:I,Material!X:X),
        XLOOKUP(C160,Material!A:A,Material!E:E)
    ),
    ""
)</f>
        <v>3</v>
      </c>
      <c r="V160" s="139"/>
      <c r="W160" s="140">
        <f t="shared" si="100"/>
        <v>300.3</v>
      </c>
      <c r="X160" s="159"/>
      <c r="Y160" s="5"/>
      <c r="Z160" s="5"/>
      <c r="AA160" s="5"/>
      <c r="AB160" s="354">
        <f t="shared" si="101"/>
        <v>300.3</v>
      </c>
      <c r="AC160" s="33"/>
      <c r="AD160" s="65"/>
      <c r="AE160" s="66"/>
      <c r="AF160" s="144"/>
      <c r="AG160" s="68"/>
      <c r="AH160" s="69"/>
      <c r="AI160" s="39"/>
      <c r="AJ160" s="70"/>
      <c r="AK160" s="70"/>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260"/>
      <c r="BJ160" s="260"/>
      <c r="BK160" s="260"/>
      <c r="BL160" s="260"/>
      <c r="BM160" s="260"/>
      <c r="BN160" s="260"/>
      <c r="BO160" s="260"/>
      <c r="BP160" s="260"/>
      <c r="BQ160" s="260"/>
      <c r="BR160" s="260"/>
      <c r="BS160" s="260"/>
      <c r="BT160" s="260"/>
    </row>
    <row r="161">
      <c r="A161" s="1080"/>
      <c r="B161" s="154"/>
      <c r="C161" s="223" t="s">
        <v>678</v>
      </c>
      <c r="D161" s="124" t="s">
        <v>484</v>
      </c>
      <c r="E161" s="752"/>
      <c r="F161" s="1093"/>
      <c r="G161" s="129"/>
      <c r="H161" s="127"/>
      <c r="I161" s="127"/>
      <c r="J161" s="126" t="s">
        <v>87</v>
      </c>
      <c r="K161" s="126" t="str">
        <f t="array" ref="K161">iferror(if(D161="R-Flashing","LM",XLOOKUP(C161,Material!$A:$A,Material!$C:$C)),"")</f>
        <v>ea</v>
      </c>
      <c r="L161" s="161"/>
      <c r="M161" s="730">
        <v>9.0</v>
      </c>
      <c r="N161" s="151">
        <f t="shared" si="102"/>
        <v>1</v>
      </c>
      <c r="O161" s="169">
        <v>1.0</v>
      </c>
      <c r="P161" s="134">
        <v>1.0</v>
      </c>
      <c r="Q161" s="168">
        <f t="shared" si="98"/>
        <v>9</v>
      </c>
      <c r="R161" s="136">
        <f t="array" ref="R161">IFERROR(
    IF(
        OR(D161="R-Flashing",D161="W-Flashing",D161="R-BG"),
        LET(
            StartRow,
            MATCH(
                I161&amp;"♦"&amp;H161,
                Material!$I:$I&amp;"♦"&amp;Material!$J:$J,
                0
            ),
            INDEX(
                Material!$J:$AF,
                StartRow+1+MATCH(
                    CEILING(E161*1000,50),
                    INDEX(Material!$I:$I,StartRow+2):INDEX(Material!$I:$I,StartRow+25),
                    0
                ),
                MATCH(
                    G161,
                    INDEX(Material!$I:$V,StartRow+1,0),
                    0
                )
            )
        ),
        XLOOKUP(C161,Material!$A:$A,Material!$D:$D)
    ),
"")</f>
        <v>10</v>
      </c>
      <c r="S161" s="152">
        <f t="shared" si="99"/>
        <v>90</v>
      </c>
      <c r="T161" s="138"/>
      <c r="U161" s="1082">
        <f t="array" ref="U161">IFERROR(
    IF(
        D161="R-Flashing",
        XLOOKUP(CEILING(E161*1000,50),Material!I:I,Material!X:X),
        XLOOKUP(C161,Material!A:A,Material!E:E)
    ),
    ""
)</f>
        <v>10</v>
      </c>
      <c r="V161" s="139"/>
      <c r="W161" s="140">
        <f t="shared" si="100"/>
        <v>90</v>
      </c>
      <c r="X161" s="159"/>
      <c r="Y161" s="5"/>
      <c r="Z161" s="5"/>
      <c r="AA161" s="5"/>
      <c r="AB161" s="354">
        <f t="shared" si="101"/>
        <v>180</v>
      </c>
      <c r="AC161" s="33"/>
      <c r="AD161" s="65"/>
      <c r="AE161" s="66"/>
      <c r="AF161" s="144"/>
      <c r="AG161" s="68"/>
      <c r="AH161" s="69"/>
      <c r="AI161" s="39"/>
      <c r="AJ161" s="70"/>
      <c r="AK161" s="70"/>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260"/>
      <c r="BJ161" s="260"/>
      <c r="BK161" s="260"/>
      <c r="BL161" s="260"/>
      <c r="BM161" s="260"/>
      <c r="BN161" s="260"/>
      <c r="BO161" s="260"/>
      <c r="BP161" s="260"/>
      <c r="BQ161" s="260"/>
      <c r="BR161" s="260"/>
      <c r="BS161" s="260"/>
      <c r="BT161" s="260"/>
    </row>
    <row r="162">
      <c r="A162" s="1080"/>
      <c r="B162" s="154"/>
      <c r="C162" s="223" t="s">
        <v>679</v>
      </c>
      <c r="D162" s="124" t="s">
        <v>484</v>
      </c>
      <c r="E162" s="752"/>
      <c r="F162" s="1093"/>
      <c r="G162" s="129"/>
      <c r="H162" s="127"/>
      <c r="I162" s="127"/>
      <c r="J162" s="126" t="s">
        <v>87</v>
      </c>
      <c r="K162" s="126" t="str">
        <f t="array" ref="K162">iferror(if(D162="R-Flashing","LM",XLOOKUP(C162,Material!$A:$A,Material!$C:$C)),"")</f>
        <v>ea</v>
      </c>
      <c r="L162" s="161"/>
      <c r="M162" s="730">
        <v>9.0</v>
      </c>
      <c r="N162" s="151">
        <f t="shared" si="102"/>
        <v>1</v>
      </c>
      <c r="O162" s="169">
        <v>1.0</v>
      </c>
      <c r="P162" s="134">
        <v>1.0</v>
      </c>
      <c r="Q162" s="168">
        <f t="shared" si="98"/>
        <v>9</v>
      </c>
      <c r="R162" s="136">
        <f t="array" ref="R162">IFERROR(
    IF(
        OR(D162="R-Flashing",D162="W-Flashing",D162="R-BG"),
        LET(
            StartRow,
            MATCH(
                I162&amp;"♦"&amp;H162,
                Material!$I:$I&amp;"♦"&amp;Material!$J:$J,
                0
            ),
            INDEX(
                Material!$J:$AF,
                StartRow+1+MATCH(
                    CEILING(E162*1000,50),
                    INDEX(Material!$I:$I,StartRow+2):INDEX(Material!$I:$I,StartRow+25),
                    0
                ),
                MATCH(
                    G162,
                    INDEX(Material!$I:$V,StartRow+1,0),
                    0
                )
            )
        ),
        XLOOKUP(C162,Material!$A:$A,Material!$D:$D)
    ),
"")</f>
        <v>10</v>
      </c>
      <c r="S162" s="152">
        <f t="shared" si="99"/>
        <v>90</v>
      </c>
      <c r="T162" s="138"/>
      <c r="U162" s="1082">
        <f t="array" ref="U162">IFERROR(
    IF(
        D162="R-Flashing",
        XLOOKUP(CEILING(E162*1000,50),Material!I:I,Material!X:X),
        XLOOKUP(C162,Material!A:A,Material!E:E)
    ),
    ""
)</f>
        <v>10</v>
      </c>
      <c r="V162" s="139"/>
      <c r="W162" s="140">
        <f t="shared" si="100"/>
        <v>90</v>
      </c>
      <c r="X162" s="159"/>
      <c r="Y162" s="5"/>
      <c r="Z162" s="5"/>
      <c r="AA162" s="5"/>
      <c r="AB162" s="354">
        <f t="shared" si="101"/>
        <v>180</v>
      </c>
      <c r="AC162" s="33"/>
      <c r="AD162" s="65"/>
      <c r="AE162" s="66"/>
      <c r="AF162" s="144"/>
      <c r="AG162" s="68"/>
      <c r="AH162" s="69"/>
      <c r="AI162" s="39"/>
      <c r="AJ162" s="70"/>
      <c r="AK162" s="70"/>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260"/>
      <c r="BJ162" s="260"/>
      <c r="BK162" s="260"/>
      <c r="BL162" s="260"/>
      <c r="BM162" s="260"/>
      <c r="BN162" s="260"/>
      <c r="BO162" s="260"/>
      <c r="BP162" s="260"/>
      <c r="BQ162" s="260"/>
      <c r="BR162" s="260"/>
      <c r="BS162" s="260"/>
      <c r="BT162" s="260"/>
    </row>
    <row r="163">
      <c r="A163" s="1092"/>
      <c r="B163" s="160"/>
      <c r="C163" s="223" t="s">
        <v>680</v>
      </c>
      <c r="D163" s="124" t="s">
        <v>484</v>
      </c>
      <c r="E163" s="752"/>
      <c r="F163" s="1093"/>
      <c r="G163" s="129"/>
      <c r="H163" s="127"/>
      <c r="I163" s="127"/>
      <c r="J163" s="126" t="s">
        <v>87</v>
      </c>
      <c r="K163" s="126" t="str">
        <f t="array" ref="K163">iferror(if(D163="R-Flashing","LM",XLOOKUP(C163,Material!$A:$A,Material!$C:$C)),"")</f>
        <v>ea</v>
      </c>
      <c r="L163" s="161"/>
      <c r="M163" s="730">
        <v>6.0</v>
      </c>
      <c r="N163" s="151">
        <f t="shared" si="102"/>
        <v>1</v>
      </c>
      <c r="O163" s="169">
        <v>1.0</v>
      </c>
      <c r="P163" s="134">
        <v>1.0</v>
      </c>
      <c r="Q163" s="168">
        <f t="shared" si="98"/>
        <v>6</v>
      </c>
      <c r="R163" s="136">
        <f t="array" ref="R163">IFERROR(
    IF(
        OR(D163="R-Flashing",D163="W-Flashing",D163="R-BG"),
        LET(
            StartRow,
            MATCH(
                I163&amp;"♦"&amp;H163,
                Material!$I:$I&amp;"♦"&amp;Material!$J:$J,
                0
            ),
            INDEX(
                Material!$J:$AF,
                StartRow+1+MATCH(
                    CEILING(E163*1000,50),
                    INDEX(Material!$I:$I,StartRow+2):INDEX(Material!$I:$I,StartRow+25),
                    0
                ),
                MATCH(
                    G163,
                    INDEX(Material!$I:$V,StartRow+1,0),
                    0
                )
            )
        ),
        XLOOKUP(C163,Material!$A:$A,Material!$D:$D)
    ),
"")</f>
        <v>10</v>
      </c>
      <c r="S163" s="152">
        <f t="shared" si="99"/>
        <v>60</v>
      </c>
      <c r="T163" s="138"/>
      <c r="U163" s="136">
        <f t="array" ref="U163">IFERROR(
    IF(
        D163="R-Flashing",
        XLOOKUP(CEILING(E163*1000,50),Material!I:I,Material!X:X),
        XLOOKUP(C163,Material!A:A,Material!E:E)
    ),
    ""
)</f>
        <v>10</v>
      </c>
      <c r="V163" s="139"/>
      <c r="W163" s="140">
        <f t="shared" si="100"/>
        <v>60</v>
      </c>
      <c r="X163" s="159"/>
      <c r="Y163" s="5"/>
      <c r="Z163" s="5"/>
      <c r="AA163" s="5"/>
      <c r="AB163" s="354">
        <f t="shared" si="101"/>
        <v>120</v>
      </c>
      <c r="AC163" s="33"/>
      <c r="AD163" s="65"/>
      <c r="AE163" s="66"/>
      <c r="AF163" s="144"/>
      <c r="AG163" s="68"/>
      <c r="AH163" s="69"/>
      <c r="AI163" s="39"/>
      <c r="AJ163" s="70"/>
      <c r="AK163" s="70"/>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260"/>
      <c r="BJ163" s="260"/>
      <c r="BK163" s="260"/>
      <c r="BL163" s="260"/>
      <c r="BM163" s="260"/>
      <c r="BN163" s="260"/>
      <c r="BO163" s="260"/>
      <c r="BP163" s="260"/>
      <c r="BQ163" s="260"/>
      <c r="BR163" s="260"/>
      <c r="BS163" s="260"/>
      <c r="BT163" s="260"/>
    </row>
    <row r="164">
      <c r="A164" s="1080"/>
      <c r="B164" s="154"/>
      <c r="C164" s="223" t="s">
        <v>681</v>
      </c>
      <c r="D164" s="124" t="s">
        <v>484</v>
      </c>
      <c r="E164" s="752"/>
      <c r="F164" s="1093"/>
      <c r="G164" s="129"/>
      <c r="H164" s="127"/>
      <c r="I164" s="127"/>
      <c r="J164" s="126" t="s">
        <v>87</v>
      </c>
      <c r="K164" s="126" t="str">
        <f t="array" ref="K164">iferror(if(D164="R-Flashing","LM",XLOOKUP(C164,Material!$A:$A,Material!$C:$C)),"")</f>
        <v>ea</v>
      </c>
      <c r="L164" s="161"/>
      <c r="M164" s="730">
        <v>4.0</v>
      </c>
      <c r="N164" s="151">
        <f>if(C164="","",(if(N162="",N161,N162)))</f>
        <v>1</v>
      </c>
      <c r="O164" s="169">
        <v>1.0</v>
      </c>
      <c r="P164" s="134">
        <v>1.0</v>
      </c>
      <c r="Q164" s="168">
        <f t="shared" si="98"/>
        <v>4</v>
      </c>
      <c r="R164" s="136">
        <f t="array" ref="R164">IFERROR(
    IF(
        OR(D164="R-Flashing",D164="W-Flashing",D164="R-BG"),
        LET(
            StartRow,
            MATCH(
                I164&amp;"♦"&amp;H164,
                Material!$I:$I&amp;"♦"&amp;Material!$J:$J,
                0
            ),
            INDEX(
                Material!$J:$AF,
                StartRow+1+MATCH(
                    CEILING(E164*1000,50),
                    INDEX(Material!$I:$I,StartRow+2):INDEX(Material!$I:$I,StartRow+25),
                    0
                ),
                MATCH(
                    G164,
                    INDEX(Material!$I:$V,StartRow+1,0),
                    0
                )
            )
        ),
        XLOOKUP(C164,Material!$A:$A,Material!$D:$D)
    ),
"")</f>
        <v>10</v>
      </c>
      <c r="S164" s="152">
        <f t="shared" si="99"/>
        <v>40</v>
      </c>
      <c r="T164" s="138"/>
      <c r="U164" s="1082">
        <f t="array" ref="U164">IFERROR(
    IF(
        D164="R-Flashing",
        XLOOKUP(CEILING(E164*1000,50),Material!I:I,Material!X:X),
        XLOOKUP(C164,Material!A:A,Material!E:E)
    ),
    ""
)</f>
        <v>10</v>
      </c>
      <c r="V164" s="139"/>
      <c r="W164" s="140">
        <f t="shared" si="100"/>
        <v>40</v>
      </c>
      <c r="X164" s="159"/>
      <c r="Y164" s="5"/>
      <c r="Z164" s="5"/>
      <c r="AA164" s="5"/>
      <c r="AB164" s="354">
        <f t="shared" si="101"/>
        <v>80</v>
      </c>
      <c r="AC164" s="33"/>
      <c r="AD164" s="65"/>
      <c r="AE164" s="66"/>
      <c r="AF164" s="144"/>
      <c r="AG164" s="68"/>
      <c r="AH164" s="69"/>
      <c r="AI164" s="39"/>
      <c r="AJ164" s="70"/>
      <c r="AK164" s="70"/>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260"/>
      <c r="BJ164" s="260"/>
      <c r="BK164" s="260"/>
      <c r="BL164" s="260"/>
      <c r="BM164" s="260"/>
      <c r="BN164" s="260"/>
      <c r="BO164" s="260"/>
      <c r="BP164" s="260"/>
      <c r="BQ164" s="260"/>
      <c r="BR164" s="260"/>
      <c r="BS164" s="260"/>
      <c r="BT164" s="260"/>
    </row>
    <row r="165">
      <c r="A165" s="1080"/>
      <c r="B165" s="154"/>
      <c r="C165" s="698"/>
      <c r="D165" s="124"/>
      <c r="E165" s="752"/>
      <c r="F165" s="1091"/>
      <c r="G165" s="129"/>
      <c r="H165" s="127"/>
      <c r="I165" s="127"/>
      <c r="J165" s="126"/>
      <c r="K165" s="126" t="str">
        <f t="array" ref="K165">iferror(if(D165="R-Flashing","LM",XLOOKUP(C165,Material!$A:$A,Material!$C:$C)),"")</f>
        <v/>
      </c>
      <c r="L165" s="163"/>
      <c r="M165" s="150"/>
      <c r="N165" s="151" t="str">
        <f>if(C165="","",(if(#REF!="",N162,#REF!)))</f>
        <v/>
      </c>
      <c r="O165" s="169"/>
      <c r="P165" s="134"/>
      <c r="Q165" s="168"/>
      <c r="R165" s="136" t="str">
        <f t="array" ref="R165">IFERROR(
    IF(
        OR(D165="R-Flashing",D165="W-Flashing",D165="R-BG"),
        LET(
            StartRow,
            MATCH(
                I165&amp;"♦"&amp;H165,
                Material!$I:$I&amp;"♦"&amp;Material!$J:$J,
                0
            ),
            INDEX(
                Material!$J:$AF,
                StartRow+1+MATCH(
                    CEILING(E165*1000,50),
                    INDEX(Material!$I:$I,StartRow+2):INDEX(Material!$I:$I,StartRow+25),
                    0
                ),
                MATCH(
                    G165,
                    INDEX(Material!$I:$V,StartRow+1,0),
                    0
                )
            )
        ),
        XLOOKUP(C165,Material!$A:$A,Material!$D:$D)
    ),
"")</f>
        <v/>
      </c>
      <c r="S165" s="152"/>
      <c r="T165" s="138"/>
      <c r="U165" s="1082" t="str">
        <f t="array" ref="U165">IFERROR(
    IF(
        D165="R-Flashing",
        XLOOKUP(CEILING(E165*1000,50),Material!I:I,Material!X:X),
        XLOOKUP(C165,Material!A:A,Material!E:E)
    ),
    ""
)</f>
        <v/>
      </c>
      <c r="V165" s="139"/>
      <c r="W165" s="140"/>
      <c r="X165" s="159"/>
      <c r="Y165" s="5"/>
      <c r="Z165" s="5"/>
      <c r="AA165" s="5"/>
      <c r="AB165" s="354"/>
      <c r="AC165" s="33"/>
      <c r="AD165" s="65"/>
      <c r="AE165" s="66"/>
      <c r="AF165" s="144"/>
      <c r="AG165" s="68"/>
      <c r="AH165" s="69"/>
      <c r="AI165" s="39"/>
      <c r="AJ165" s="70"/>
      <c r="AK165" s="70"/>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260"/>
      <c r="BJ165" s="260"/>
      <c r="BK165" s="260"/>
      <c r="BL165" s="260"/>
      <c r="BM165" s="260"/>
      <c r="BN165" s="260"/>
      <c r="BO165" s="260"/>
      <c r="BP165" s="260"/>
      <c r="BQ165" s="260"/>
      <c r="BR165" s="260"/>
      <c r="BS165" s="260"/>
      <c r="BT165" s="260"/>
    </row>
    <row r="166">
      <c r="A166" s="1080">
        <v>1.0</v>
      </c>
      <c r="B166" s="764" t="s">
        <v>425</v>
      </c>
      <c r="C166" s="89" t="s">
        <v>136</v>
      </c>
      <c r="D166" s="172"/>
      <c r="E166" s="654"/>
      <c r="F166" s="1083"/>
      <c r="G166" s="656"/>
      <c r="H166" s="657"/>
      <c r="I166" s="656"/>
      <c r="J166" s="656"/>
      <c r="K166" s="656" t="s">
        <v>42</v>
      </c>
      <c r="L166" s="658"/>
      <c r="M166" s="658" t="s">
        <v>42</v>
      </c>
      <c r="N166" s="659"/>
      <c r="O166" s="658"/>
      <c r="P166" s="656"/>
      <c r="Q166" s="658"/>
      <c r="R166" s="136" t="str">
        <f t="array" ref="R166">IFERROR(
    IF(
        OR(D166="R-Flashing",D166="W-Flashing",D166="R-BG"),
        LET(
            StartRow,
            MATCH(
                I166&amp;"♦"&amp;H166,
                Material!$I:$I&amp;"♦"&amp;Material!$J:$J,
                0
            ),
            INDEX(
                Material!$J:$AF,
                StartRow+1+MATCH(
                    CEILING(E166*1000,50),
                    INDEX(Material!$I:$I,StartRow+2):INDEX(Material!$I:$I,StartRow+25),
                    0
                ),
                MATCH(
                    G166,
                    INDEX(Material!$I:$V,StartRow+1,0),
                    0
                )
            )
        ),
        XLOOKUP(C166,Material!$A:$A,Material!$D:$D)
    ),
"")</f>
        <v/>
      </c>
      <c r="S166" s="662"/>
      <c r="T166" s="661"/>
      <c r="U166" s="1082" t="str">
        <f t="array" ref="U166">IFERROR(
    IF(
        D166="R-Flashing",
        XLOOKUP(CEILING(E166*1000,50),Material!I:I,Material!X:X),
        XLOOKUP(C166,Material!A:A,Material!E:E)
    ),
    ""
)</f>
        <v/>
      </c>
      <c r="V166" s="662"/>
      <c r="W166" s="663"/>
      <c r="X166" s="692"/>
      <c r="Y166" s="595"/>
      <c r="Z166" s="595"/>
      <c r="AA166" s="595"/>
      <c r="AB166" s="595"/>
      <c r="AC166" s="181"/>
      <c r="AD166" s="625"/>
      <c r="AE166" s="626"/>
      <c r="AF166" s="696"/>
      <c r="AG166" s="697"/>
      <c r="AH166" s="629"/>
      <c r="AI166" s="187"/>
      <c r="AJ166" s="630"/>
      <c r="AK166" s="630"/>
      <c r="AL166" s="595"/>
      <c r="AM166" s="595"/>
      <c r="AN166" s="595"/>
      <c r="AO166" s="595"/>
      <c r="AP166" s="595"/>
      <c r="AQ166" s="595"/>
      <c r="AR166" s="595"/>
      <c r="AS166" s="595"/>
      <c r="AT166" s="595"/>
      <c r="AU166" s="595"/>
      <c r="AV166" s="595"/>
      <c r="AW166" s="595"/>
      <c r="AX166" s="595"/>
      <c r="AY166" s="595"/>
      <c r="AZ166" s="595"/>
      <c r="BA166" s="595"/>
      <c r="BB166" s="595"/>
      <c r="BC166" s="595"/>
      <c r="BD166" s="595"/>
      <c r="BE166" s="595"/>
      <c r="BF166" s="595"/>
      <c r="BG166" s="595"/>
      <c r="BH166" s="595"/>
      <c r="BI166" s="651"/>
      <c r="BJ166" s="651"/>
      <c r="BK166" s="651"/>
      <c r="BL166" s="651"/>
      <c r="BM166" s="651"/>
      <c r="BN166" s="651"/>
      <c r="BO166" s="651"/>
      <c r="BP166" s="651"/>
      <c r="BQ166" s="651"/>
      <c r="BR166" s="651"/>
      <c r="BS166" s="651"/>
      <c r="BT166" s="651"/>
    </row>
    <row r="167">
      <c r="A167" s="1080">
        <v>1.0</v>
      </c>
      <c r="B167" s="727"/>
      <c r="C167" s="103" t="s">
        <v>682</v>
      </c>
      <c r="D167" s="678"/>
      <c r="E167" s="676"/>
      <c r="F167" s="1084"/>
      <c r="G167" s="678"/>
      <c r="H167" s="728"/>
      <c r="I167" s="678"/>
      <c r="J167" s="678"/>
      <c r="K167" s="678" t="s">
        <v>42</v>
      </c>
      <c r="L167" s="106">
        <f>Q167</f>
        <v>57.6</v>
      </c>
      <c r="M167" s="679" t="s">
        <v>42</v>
      </c>
      <c r="N167" s="680"/>
      <c r="O167" s="679"/>
      <c r="P167" s="678"/>
      <c r="Q167" s="106">
        <f>Q168</f>
        <v>57.6</v>
      </c>
      <c r="R167" s="136" t="str">
        <f t="array" ref="R167">IFERROR(
    IF(
        OR(D167="R-Flashing",D167="W-Flashing",D167="R-BG"),
        LET(
            StartRow,
            MATCH(
                I167&amp;"♦"&amp;H167,
                Material!$I:$I&amp;"♦"&amp;Material!$J:$J,
                0
            ),
            INDEX(
                Material!$J:$AF,
                StartRow+1+MATCH(
                    CEILING(E167*1000,50),
                    INDEX(Material!$I:$I,StartRow+2):INDEX(Material!$I:$I,StartRow+25),
                    0
                ),
                MATCH(
                    G167,
                    INDEX(Material!$I:$V,StartRow+1,0),
                    0
                )
            )
        ),
        XLOOKUP(C167,Material!$A:$A,Material!$D:$D)
    ),
"")</f>
        <v/>
      </c>
      <c r="S167" s="682">
        <f>IFERROR(T167/Q167, 0)</f>
        <v>30.25</v>
      </c>
      <c r="T167" s="109">
        <f>SUM(S168:S180)</f>
        <v>1742.4</v>
      </c>
      <c r="U167" s="1082" t="str">
        <f t="array" ref="U167">IFERROR(
    IF(
        D167="R-Flashing",
        XLOOKUP(CEILING(E167*1000,50),Material!I:I,Material!X:X),
        XLOOKUP(C167,Material!A:A,Material!E:E)
    ),
    ""
)</f>
        <v/>
      </c>
      <c r="V167" s="109">
        <f>W167/Q167</f>
        <v>22.5</v>
      </c>
      <c r="W167" s="110">
        <f>SUM(W168:W180)</f>
        <v>1296</v>
      </c>
      <c r="X167" s="111">
        <f>W167/$AC$210/$W$217/$X$207</f>
        <v>0.8804347826</v>
      </c>
      <c r="Y167" s="112" t="b">
        <f>(T167+W167)=(SUM(AB168:AB180))</f>
        <v>1</v>
      </c>
      <c r="Z167" s="113">
        <f>(T167+W167)-(SUM(AB168:AB180))</f>
        <v>0</v>
      </c>
      <c r="AA167" s="595"/>
      <c r="AB167" s="595"/>
      <c r="AC167" s="181"/>
      <c r="AD167" s="114">
        <f>W167+T167</f>
        <v>3038.4</v>
      </c>
      <c r="AE167" s="115">
        <f>AD167</f>
        <v>3038.4</v>
      </c>
      <c r="AF167" s="116">
        <f>AE167/$AE$185</f>
        <v>0.04256392683</v>
      </c>
      <c r="AG167" s="683">
        <f>AF167*$AG$192</f>
        <v>1162.264672</v>
      </c>
      <c r="AH167" s="118">
        <f>AF167*$AG$195</f>
        <v>677.7304339</v>
      </c>
      <c r="AI167" s="187"/>
      <c r="AJ167" s="119">
        <f>ROUND(AK167/L167,2)</f>
        <v>84.69</v>
      </c>
      <c r="AK167" s="119">
        <f>ROUND(AH167+AG167+AD167,2)</f>
        <v>4878.4</v>
      </c>
      <c r="AL167" s="595"/>
      <c r="AM167" s="595"/>
      <c r="AN167" s="595"/>
      <c r="AO167" s="595"/>
      <c r="AP167" s="595"/>
      <c r="AQ167" s="595"/>
      <c r="AR167" s="595"/>
      <c r="AS167" s="595"/>
      <c r="AT167" s="595"/>
      <c r="AU167" s="595"/>
      <c r="AV167" s="595"/>
      <c r="AW167" s="595"/>
      <c r="AX167" s="595"/>
      <c r="AY167" s="595"/>
      <c r="AZ167" s="595"/>
      <c r="BA167" s="595"/>
      <c r="BB167" s="595"/>
      <c r="BC167" s="595"/>
      <c r="BD167" s="595"/>
      <c r="BE167" s="595"/>
      <c r="BF167" s="595"/>
      <c r="BG167" s="595"/>
      <c r="BH167" s="595"/>
      <c r="BI167" s="651"/>
      <c r="BJ167" s="651"/>
      <c r="BK167" s="651"/>
      <c r="BL167" s="651"/>
      <c r="BM167" s="651"/>
      <c r="BN167" s="651"/>
      <c r="BO167" s="651"/>
      <c r="BP167" s="651"/>
      <c r="BQ167" s="651"/>
      <c r="BR167" s="651"/>
      <c r="BS167" s="651"/>
      <c r="BT167" s="651"/>
    </row>
    <row r="168">
      <c r="A168" s="1080" t="s">
        <v>491</v>
      </c>
      <c r="B168" s="154"/>
      <c r="C168" s="123" t="s">
        <v>683</v>
      </c>
      <c r="D168" s="124" t="s">
        <v>139</v>
      </c>
      <c r="E168" s="725"/>
      <c r="F168" s="1086"/>
      <c r="G168" s="689"/>
      <c r="H168" s="128"/>
      <c r="I168" s="700"/>
      <c r="J168" s="126" t="s">
        <v>14</v>
      </c>
      <c r="K168" s="126" t="str">
        <f t="array" ref="K168">iferror(if(OR(D168="R-Flashing",D168="W-Flashing"),"LM",XLOOKUP(C168,Material!$A:$A,Material!$C:$C)),"")</f>
        <v>LM</v>
      </c>
      <c r="L168" s="131">
        <v>8.0</v>
      </c>
      <c r="M168" s="150">
        <f>L168</f>
        <v>8</v>
      </c>
      <c r="N168" s="156">
        <v>2.4</v>
      </c>
      <c r="O168" s="759">
        <v>3.0</v>
      </c>
      <c r="P168" s="156">
        <v>1.0</v>
      </c>
      <c r="Q168" s="242">
        <f t="shared" ref="Q168:Q173" si="104">M168*N168*O168*P168</f>
        <v>57.6</v>
      </c>
      <c r="R168" s="136">
        <f t="array" ref="R168">IFERROR(
    IF(
        OR(D168="R-Flashing",D168="W-Flashing",D168="R-BG"),
        LET(
            StartRow,
            MATCH(
                I168&amp;"♦"&amp;H168,
                Material!$I:$I&amp;"♦"&amp;Material!$J:$J,
                0
            ),
            INDEX(
                Material!$J:$AF,
                StartRow+1+MATCH(
                    CEILING(E168*1000,50),
                    INDEX(Material!$I:$I,StartRow+2):INDEX(Material!$I:$I,StartRow+25),
                    0
                ),
                MATCH(
                    G168,
                    INDEX(Material!$I:$V,StartRow+1,0),
                    0
                )
            )
        ),
        XLOOKUP(C168,Material!$A:$A,Material!$D:$D)
    ),
"")</f>
        <v>20</v>
      </c>
      <c r="S168" s="152">
        <f t="shared" ref="S168:S173" si="105">R168*Q168</f>
        <v>1152</v>
      </c>
      <c r="T168" s="690"/>
      <c r="U168" s="1082">
        <f t="array" ref="U168">IFERROR(
    IF(
        D168="R-Flashing",
        XLOOKUP(CEILING(E168*1000,50),Material!I:I,Material!X:X),
        XLOOKUP(C168,Material!A:A,Material!E:E)
    ),
    ""
)</f>
        <v>20</v>
      </c>
      <c r="V168" s="691"/>
      <c r="W168" s="140">
        <f t="shared" ref="W168:W173" si="106">U168*Q168</f>
        <v>1152</v>
      </c>
      <c r="X168" s="693"/>
      <c r="Y168" s="595"/>
      <c r="Z168" s="595"/>
      <c r="AA168" s="595"/>
      <c r="AB168" s="354">
        <f t="shared" ref="AB168:AB173" si="107">W168+S168</f>
        <v>2304</v>
      </c>
      <c r="AC168" s="181"/>
      <c r="AD168" s="625"/>
      <c r="AE168" s="626"/>
      <c r="AF168" s="696"/>
      <c r="AG168" s="697"/>
      <c r="AH168" s="629"/>
      <c r="AI168" s="187"/>
      <c r="AJ168" s="630"/>
      <c r="AK168" s="630"/>
      <c r="AL168" s="595"/>
      <c r="AM168" s="595"/>
      <c r="AN168" s="595"/>
      <c r="AO168" s="595"/>
      <c r="AP168" s="595"/>
      <c r="AQ168" s="595"/>
      <c r="AR168" s="595"/>
      <c r="AS168" s="595"/>
      <c r="AT168" s="595"/>
      <c r="AU168" s="595"/>
      <c r="AV168" s="595"/>
      <c r="AW168" s="595"/>
      <c r="AX168" s="595"/>
      <c r="AY168" s="595"/>
      <c r="AZ168" s="595"/>
      <c r="BA168" s="595"/>
      <c r="BB168" s="595"/>
      <c r="BC168" s="595"/>
      <c r="BD168" s="595"/>
      <c r="BE168" s="595"/>
      <c r="BF168" s="595"/>
      <c r="BG168" s="595"/>
      <c r="BH168" s="595"/>
      <c r="BI168" s="651"/>
      <c r="BJ168" s="651"/>
      <c r="BK168" s="651"/>
      <c r="BL168" s="651"/>
      <c r="BM168" s="651"/>
      <c r="BN168" s="651"/>
      <c r="BO168" s="651"/>
      <c r="BP168" s="651"/>
      <c r="BQ168" s="651"/>
      <c r="BR168" s="651"/>
      <c r="BS168" s="651"/>
      <c r="BT168" s="651"/>
    </row>
    <row r="169">
      <c r="A169" s="1080" t="s">
        <v>491</v>
      </c>
      <c r="B169" s="154"/>
      <c r="C169" s="123" t="s">
        <v>684</v>
      </c>
      <c r="D169" s="124" t="s">
        <v>141</v>
      </c>
      <c r="E169" s="725"/>
      <c r="F169" s="1086"/>
      <c r="G169" s="701"/>
      <c r="H169" s="128"/>
      <c r="I169" s="700"/>
      <c r="J169" s="126" t="s">
        <v>87</v>
      </c>
      <c r="K169" s="126" t="str">
        <f t="array" ref="K169">iferror(if(OR(D169="R-Flashing",D169="W-Flashing"),"LM",XLOOKUP(C169,Material!$A:$A,Material!$C:$C)),"")</f>
        <v>ea</v>
      </c>
      <c r="L169" s="135">
        <f t="shared" ref="L169:M169" si="103">L168</f>
        <v>8</v>
      </c>
      <c r="M169" s="150">
        <f t="shared" si="103"/>
        <v>8</v>
      </c>
      <c r="N169" s="151">
        <f>IFERROR(__xludf.DUMMYFUNCTION("IF(C169="""", """", IFERROR(1 / COS(RADIANS(REGEXEXTRACT(F169,""(\d+)""))), 1))"),1.0)</f>
        <v>1</v>
      </c>
      <c r="O169" s="169">
        <f>O168</f>
        <v>3</v>
      </c>
      <c r="P169" s="134">
        <v>1.0</v>
      </c>
      <c r="Q169" s="242">
        <f t="shared" si="104"/>
        <v>24</v>
      </c>
      <c r="R169" s="136">
        <f t="array" ref="R169">IFERROR(
    IF(
        OR(D169="R-Flashing",D169="W-Flashing",D169="R-BG"),
        LET(
            StartRow,
            MATCH(
                I169&amp;"♦"&amp;H169,
                Material!$I:$I&amp;"♦"&amp;Material!$J:$J,
                0
            ),
            INDEX(
                Material!$J:$AF,
                StartRow+1+MATCH(
                    CEILING(E169*1000,50),
                    INDEX(Material!$I:$I,StartRow+2):INDEX(Material!$I:$I,StartRow+25),
                    0
                ),
                MATCH(
                    G169,
                    INDEX(Material!$I:$V,StartRow+1,0),
                    0
                )
            )
        ),
        XLOOKUP(C169,Material!$A:$A,Material!$D:$D)
    ),
"")</f>
        <v>8</v>
      </c>
      <c r="S169" s="152">
        <f t="shared" si="105"/>
        <v>192</v>
      </c>
      <c r="T169" s="690"/>
      <c r="U169" s="1082" t="str">
        <f t="array" ref="U169">IFERROR(
    IF(
        D169="R-Flashing",
        XLOOKUP(CEILING(E169*1000,50),Material!I:I,Material!X:X),
        XLOOKUP(C169,Material!A:A,Material!E:E)
    ),
    ""
)</f>
        <v/>
      </c>
      <c r="V169" s="691"/>
      <c r="W169" s="140">
        <f t="shared" si="106"/>
        <v>0</v>
      </c>
      <c r="X169" s="692"/>
      <c r="Y169" s="595"/>
      <c r="Z169" s="595"/>
      <c r="AA169" s="595"/>
      <c r="AB169" s="354">
        <f t="shared" si="107"/>
        <v>192</v>
      </c>
      <c r="AC169" s="181"/>
      <c r="AD169" s="625"/>
      <c r="AE169" s="626"/>
      <c r="AF169" s="696"/>
      <c r="AG169" s="697"/>
      <c r="AH169" s="629"/>
      <c r="AI169" s="187"/>
      <c r="AJ169" s="630"/>
      <c r="AK169" s="630"/>
      <c r="AL169" s="595"/>
      <c r="AM169" s="595"/>
      <c r="AN169" s="595"/>
      <c r="AO169" s="595"/>
      <c r="AP169" s="595"/>
      <c r="AQ169" s="595"/>
      <c r="AR169" s="595"/>
      <c r="AS169" s="595"/>
      <c r="AT169" s="595"/>
      <c r="AU169" s="595"/>
      <c r="AV169" s="595"/>
      <c r="AW169" s="595"/>
      <c r="AX169" s="595"/>
      <c r="AY169" s="595"/>
      <c r="AZ169" s="595"/>
      <c r="BA169" s="595"/>
      <c r="BB169" s="595"/>
      <c r="BC169" s="595"/>
      <c r="BD169" s="595"/>
      <c r="BE169" s="595"/>
      <c r="BF169" s="595"/>
      <c r="BG169" s="595"/>
      <c r="BH169" s="595"/>
      <c r="BI169" s="651"/>
      <c r="BJ169" s="651"/>
      <c r="BK169" s="651"/>
      <c r="BL169" s="651"/>
      <c r="BM169" s="651"/>
      <c r="BN169" s="651"/>
      <c r="BO169" s="651"/>
      <c r="BP169" s="651"/>
      <c r="BQ169" s="651"/>
      <c r="BR169" s="651"/>
      <c r="BS169" s="651"/>
      <c r="BT169" s="651"/>
    </row>
    <row r="170">
      <c r="A170" s="1080"/>
      <c r="B170" s="154"/>
      <c r="C170" s="123" t="s">
        <v>685</v>
      </c>
      <c r="D170" s="148" t="s">
        <v>337</v>
      </c>
      <c r="E170" s="725"/>
      <c r="F170" s="1086"/>
      <c r="G170" s="158"/>
      <c r="H170" s="128"/>
      <c r="I170" s="700"/>
      <c r="J170" s="126" t="s">
        <v>87</v>
      </c>
      <c r="K170" s="126" t="str">
        <f t="array" ref="K170">iferror(if(OR(D170="R-Flashing",D170="W-Flashing"),"LM",XLOOKUP(C170,Material!$A:$A,Material!$C:$C)),"")</f>
        <v>ea</v>
      </c>
      <c r="L170" s="131">
        <v>4.0</v>
      </c>
      <c r="M170" s="150">
        <f>L170</f>
        <v>4</v>
      </c>
      <c r="N170" s="151">
        <f>IFERROR(__xludf.DUMMYFUNCTION("IF(C170="""", """", IFERROR(1 / COS(RADIANS(REGEXEXTRACT(F170,""(\d+)""))), 1))"),1.0)</f>
        <v>1</v>
      </c>
      <c r="O170" s="759">
        <v>1.0</v>
      </c>
      <c r="P170" s="156">
        <v>1.0</v>
      </c>
      <c r="Q170" s="242">
        <f t="shared" si="104"/>
        <v>4</v>
      </c>
      <c r="R170" s="136">
        <f t="array" ref="R170">IFERROR(
    IF(
        OR(D170="R-Flashing",D170="W-Flashing",D170="R-BG"),
        LET(
            StartRow,
            MATCH(
                I170&amp;"♦"&amp;H170,
                Material!$I:$I&amp;"♦"&amp;Material!$J:$J,
                0
            ),
            INDEX(
                Material!$J:$AF,
                StartRow+1+MATCH(
                    CEILING(E170*1000,50),
                    INDEX(Material!$I:$I,StartRow+2):INDEX(Material!$I:$I,StartRow+25),
                    0
                ),
                MATCH(
                    G170,
                    INDEX(Material!$I:$V,StartRow+1,0),
                    0
                )
            )
        ),
        XLOOKUP(C170,Material!$A:$A,Material!$D:$D)
    ),
"")</f>
        <v>10</v>
      </c>
      <c r="S170" s="152">
        <f t="shared" si="105"/>
        <v>40</v>
      </c>
      <c r="T170" s="690"/>
      <c r="U170" s="1082" t="str">
        <f t="array" ref="U170">IFERROR(
    IF(
        D170="R-Flashing",
        XLOOKUP(CEILING(E170*1000,50),Material!I:I,Material!X:X),
        XLOOKUP(C170,Material!A:A,Material!E:E)
    ),
    ""
)</f>
        <v/>
      </c>
      <c r="V170" s="691"/>
      <c r="W170" s="140">
        <f t="shared" si="106"/>
        <v>0</v>
      </c>
      <c r="X170" s="692"/>
      <c r="Y170" s="595"/>
      <c r="Z170" s="595"/>
      <c r="AA170" s="595"/>
      <c r="AB170" s="354">
        <f t="shared" si="107"/>
        <v>40</v>
      </c>
      <c r="AC170" s="181"/>
      <c r="AD170" s="625"/>
      <c r="AE170" s="626"/>
      <c r="AF170" s="696"/>
      <c r="AG170" s="628"/>
      <c r="AH170" s="629"/>
      <c r="AI170" s="187"/>
      <c r="AJ170" s="630"/>
      <c r="AK170" s="630"/>
      <c r="AL170" s="595"/>
      <c r="AM170" s="595"/>
      <c r="AN170" s="595"/>
      <c r="AO170" s="595"/>
      <c r="AP170" s="595"/>
      <c r="AQ170" s="595"/>
      <c r="AR170" s="595"/>
      <c r="AS170" s="595"/>
      <c r="AT170" s="595"/>
      <c r="AU170" s="595"/>
      <c r="AV170" s="595"/>
      <c r="AW170" s="595"/>
      <c r="AX170" s="595"/>
      <c r="AY170" s="595"/>
      <c r="AZ170" s="595"/>
      <c r="BA170" s="595"/>
      <c r="BB170" s="595"/>
      <c r="BC170" s="595"/>
      <c r="BD170" s="595"/>
      <c r="BE170" s="595"/>
      <c r="BF170" s="595"/>
      <c r="BG170" s="595"/>
      <c r="BH170" s="595"/>
      <c r="BI170" s="651"/>
      <c r="BJ170" s="651"/>
      <c r="BK170" s="651"/>
      <c r="BL170" s="651"/>
      <c r="BM170" s="651"/>
      <c r="BN170" s="651"/>
      <c r="BO170" s="651"/>
      <c r="BP170" s="651"/>
      <c r="BQ170" s="651"/>
      <c r="BR170" s="651"/>
      <c r="BS170" s="651"/>
      <c r="BT170" s="651"/>
    </row>
    <row r="171">
      <c r="A171" s="1080" t="s">
        <v>491</v>
      </c>
      <c r="B171" s="154"/>
      <c r="C171" s="123" t="s">
        <v>686</v>
      </c>
      <c r="D171" s="124" t="s">
        <v>143</v>
      </c>
      <c r="E171" s="687" t="str">
        <f>IFERROR(__xludf.DUMMYFUNCTION("IF(REGEXMATCH(C171, ""\d+mmØ""), VALUE(REGEXEXTRACT(C171, ""(\d+)mmØ""))/1000, """")
"),"")</f>
        <v/>
      </c>
      <c r="F171" s="1086"/>
      <c r="G171" s="701"/>
      <c r="H171" s="128"/>
      <c r="I171" s="700"/>
      <c r="J171" s="126" t="s">
        <v>87</v>
      </c>
      <c r="K171" s="126" t="str">
        <f t="array" ref="K171">iferror(if(OR(D171="R-Flashing",D171="W-Flashing"),"LM",XLOOKUP(C171,Material!$A:$A,Material!$C:$C)),"")</f>
        <v>ea</v>
      </c>
      <c r="L171" s="131"/>
      <c r="M171" s="150">
        <v>10.0</v>
      </c>
      <c r="N171" s="151">
        <f>IFERROR(__xludf.DUMMYFUNCTION("IF(C171="""", """", IFERROR(1 / COS(RADIANS(REGEXEXTRACT(F171,""(\d+)""))), 1))"),1.0)</f>
        <v>1</v>
      </c>
      <c r="O171" s="759">
        <v>1.0</v>
      </c>
      <c r="P171" s="134">
        <v>1.0</v>
      </c>
      <c r="Q171" s="242">
        <f t="shared" si="104"/>
        <v>10</v>
      </c>
      <c r="R171" s="136">
        <f t="array" ref="R171">IFERROR(
    IF(
        OR(D171="R-Flashing",D171="W-Flashing",D171="R-BG"),
        LET(
            StartRow,
            MATCH(
                I171&amp;"♦"&amp;H171,
                Material!$I:$I&amp;"♦"&amp;Material!$J:$J,
                0
            ),
            INDEX(
                Material!$J:$AF,
                StartRow+1+MATCH(
                    CEILING(E171*1000,50),
                    INDEX(Material!$I:$I,StartRow+2):INDEX(Material!$I:$I,StartRow+25),
                    0
                ),
                MATCH(
                    G171,
                    INDEX(Material!$I:$V,StartRow+1,0),
                    0
                )
            )
        ),
        XLOOKUP(C171,Material!$A:$A,Material!$D:$D)
    ),
"")</f>
        <v>5</v>
      </c>
      <c r="S171" s="152">
        <f t="shared" si="105"/>
        <v>50</v>
      </c>
      <c r="T171" s="690"/>
      <c r="U171" s="1082" t="str">
        <f t="array" ref="U171">IFERROR(
    IF(
        D171="R-Flashing",
        XLOOKUP(CEILING(E171*1000,50),Material!I:I,Material!X:X),
        XLOOKUP(C171,Material!A:A,Material!E:E)
    ),
    ""
)</f>
        <v/>
      </c>
      <c r="V171" s="691"/>
      <c r="W171" s="140">
        <f t="shared" si="106"/>
        <v>0</v>
      </c>
      <c r="X171" s="692"/>
      <c r="Y171" s="595"/>
      <c r="Z171" s="595"/>
      <c r="AA171" s="595"/>
      <c r="AB171" s="354">
        <f t="shared" si="107"/>
        <v>50</v>
      </c>
      <c r="AC171" s="181"/>
      <c r="AD171" s="625"/>
      <c r="AE171" s="626"/>
      <c r="AF171" s="696"/>
      <c r="AG171" s="697"/>
      <c r="AH171" s="629"/>
      <c r="AI171" s="187"/>
      <c r="AJ171" s="630"/>
      <c r="AK171" s="630"/>
      <c r="AL171" s="595"/>
      <c r="AM171" s="595"/>
      <c r="AN171" s="595"/>
      <c r="AO171" s="595"/>
      <c r="AP171" s="595"/>
      <c r="AQ171" s="595"/>
      <c r="AR171" s="595"/>
      <c r="AS171" s="595"/>
      <c r="AT171" s="595"/>
      <c r="AU171" s="595"/>
      <c r="AV171" s="595"/>
      <c r="AW171" s="595"/>
      <c r="AX171" s="595"/>
      <c r="AY171" s="595"/>
      <c r="AZ171" s="595"/>
      <c r="BA171" s="595"/>
      <c r="BB171" s="595"/>
      <c r="BC171" s="595"/>
      <c r="BD171" s="595"/>
      <c r="BE171" s="595"/>
      <c r="BF171" s="595"/>
      <c r="BG171" s="595"/>
      <c r="BH171" s="595"/>
      <c r="BI171" s="651"/>
      <c r="BJ171" s="651"/>
      <c r="BK171" s="651"/>
      <c r="BL171" s="651"/>
      <c r="BM171" s="651"/>
      <c r="BN171" s="651"/>
      <c r="BO171" s="651"/>
      <c r="BP171" s="651"/>
      <c r="BQ171" s="651"/>
      <c r="BR171" s="651"/>
      <c r="BS171" s="651"/>
      <c r="BT171" s="651"/>
    </row>
    <row r="172">
      <c r="A172" s="1080"/>
      <c r="B172" s="154"/>
      <c r="C172" s="225" t="s">
        <v>98</v>
      </c>
      <c r="D172" s="124" t="s">
        <v>388</v>
      </c>
      <c r="E172" s="687" t="str">
        <f>E171</f>
        <v/>
      </c>
      <c r="F172" s="1086"/>
      <c r="G172" s="701"/>
      <c r="H172" s="128"/>
      <c r="I172" s="700"/>
      <c r="J172" s="126" t="s">
        <v>87</v>
      </c>
      <c r="K172" s="126" t="str">
        <f t="array" ref="K172">iferror(if(OR(D172="R-Flashing",D172="W-Flashing"),"LM",XLOOKUP(C172,Material!$A:$A,Material!$C:$C)),"")</f>
        <v>ea</v>
      </c>
      <c r="L172" s="131"/>
      <c r="M172" s="150">
        <v>10.0</v>
      </c>
      <c r="N172" s="151">
        <f>IFERROR(__xludf.DUMMYFUNCTION("IF(C172="""", """", IFERROR(1 / COS(RADIANS(REGEXEXTRACT(F172,""(\d+)""))), 1))"),1.0)</f>
        <v>1</v>
      </c>
      <c r="O172" s="169">
        <f>O171</f>
        <v>1</v>
      </c>
      <c r="P172" s="134">
        <v>1.0</v>
      </c>
      <c r="Q172" s="242">
        <f t="shared" si="104"/>
        <v>10</v>
      </c>
      <c r="R172" s="136">
        <f t="array" ref="R172">IFERROR(
    IF(
        OR(D172="R-Flashing",D172="W-Flashing",D172="R-BG"),
        LET(
            StartRow,
            MATCH(
                I172&amp;"♦"&amp;H172,
                Material!$I:$I&amp;"♦"&amp;Material!$J:$J,
                0
            ),
            INDEX(
                Material!$J:$AF,
                StartRow+1+MATCH(
                    CEILING(E172*1000,50),
                    INDEX(Material!$I:$I,StartRow+2):INDEX(Material!$I:$I,StartRow+25),
                    0
                ),
                MATCH(
                    G172,
                    INDEX(Material!$I:$V,StartRow+1,0),
                    0
                )
            )
        ),
        XLOOKUP(C172,Material!$A:$A,Material!$D:$D)
    ),
"")</f>
        <v>10</v>
      </c>
      <c r="S172" s="152">
        <f t="shared" si="105"/>
        <v>100</v>
      </c>
      <c r="T172" s="690"/>
      <c r="U172" s="1082" t="str">
        <f t="array" ref="U172">IFERROR(
    IF(
        D172="R-Flashing",
        XLOOKUP(CEILING(E172*1000,50),Material!I:I,Material!X:X),
        XLOOKUP(C172,Material!A:A,Material!E:E)
    ),
    ""
)</f>
        <v/>
      </c>
      <c r="V172" s="691"/>
      <c r="W172" s="140">
        <f t="shared" si="106"/>
        <v>0</v>
      </c>
      <c r="X172" s="692"/>
      <c r="Y172" s="595"/>
      <c r="Z172" s="595"/>
      <c r="AA172" s="595"/>
      <c r="AB172" s="354">
        <f t="shared" si="107"/>
        <v>100</v>
      </c>
      <c r="AC172" s="181"/>
      <c r="AD172" s="625"/>
      <c r="AE172" s="626"/>
      <c r="AF172" s="696"/>
      <c r="AG172" s="697"/>
      <c r="AH172" s="629"/>
      <c r="AI172" s="187"/>
      <c r="AJ172" s="630"/>
      <c r="AK172" s="630"/>
      <c r="AL172" s="595"/>
      <c r="AM172" s="595"/>
      <c r="AN172" s="595"/>
      <c r="AO172" s="595"/>
      <c r="AP172" s="595"/>
      <c r="AQ172" s="595"/>
      <c r="AR172" s="595"/>
      <c r="AS172" s="595"/>
      <c r="AT172" s="595"/>
      <c r="AU172" s="595"/>
      <c r="AV172" s="595"/>
      <c r="AW172" s="595"/>
      <c r="AX172" s="595"/>
      <c r="AY172" s="595"/>
      <c r="AZ172" s="595"/>
      <c r="BA172" s="595"/>
      <c r="BB172" s="595"/>
      <c r="BC172" s="595"/>
      <c r="BD172" s="595"/>
      <c r="BE172" s="595"/>
      <c r="BF172" s="595"/>
      <c r="BG172" s="595"/>
      <c r="BH172" s="595"/>
      <c r="BI172" s="651"/>
      <c r="BJ172" s="651"/>
      <c r="BK172" s="651"/>
      <c r="BL172" s="651"/>
      <c r="BM172" s="651"/>
      <c r="BN172" s="651"/>
      <c r="BO172" s="651"/>
      <c r="BP172" s="651"/>
      <c r="BQ172" s="651"/>
      <c r="BR172" s="651"/>
      <c r="BS172" s="651"/>
      <c r="BT172" s="651"/>
    </row>
    <row r="173">
      <c r="A173" s="1080"/>
      <c r="B173" s="154"/>
      <c r="C173" s="223" t="s">
        <v>687</v>
      </c>
      <c r="D173" s="124" t="s">
        <v>144</v>
      </c>
      <c r="E173" s="687" t="str">
        <f>E171</f>
        <v/>
      </c>
      <c r="F173" s="1086"/>
      <c r="G173" s="701"/>
      <c r="H173" s="128"/>
      <c r="I173" s="700"/>
      <c r="J173" s="126" t="s">
        <v>87</v>
      </c>
      <c r="K173" s="126" t="str">
        <f t="array" ref="K173">iferror(if(OR(D173="R-Flashing",D173="W-Flashing"),"LM",XLOOKUP(C173,Material!$A:$A,Material!$C:$C)),"")</f>
        <v>ea</v>
      </c>
      <c r="L173" s="131"/>
      <c r="M173" s="150">
        <v>10.0</v>
      </c>
      <c r="N173" s="151">
        <f>IFERROR(__xludf.DUMMYFUNCTION("IF(C173="""", """", IFERROR(1 / COS(RADIANS(REGEXEXTRACT(F173,""(\d+)""))), 1))"),1.0)</f>
        <v>1</v>
      </c>
      <c r="O173" s="169">
        <f>O171</f>
        <v>1</v>
      </c>
      <c r="P173" s="134">
        <v>1.0</v>
      </c>
      <c r="Q173" s="242">
        <f t="shared" si="104"/>
        <v>10</v>
      </c>
      <c r="R173" s="136">
        <f t="array" ref="R173">IFERROR(
    IF(
        OR(D173="R-Flashing",D173="W-Flashing",D173="R-BG"),
        LET(
            StartRow,
            MATCH(
                I173&amp;"♦"&amp;H173,
                Material!$I:$I&amp;"♦"&amp;Material!$J:$J,
                0
            ),
            INDEX(
                Material!$J:$AF,
                StartRow+1+MATCH(
                    CEILING(E173*1000,50),
                    INDEX(Material!$I:$I,StartRow+2):INDEX(Material!$I:$I,StartRow+25),
                    0
                ),
                MATCH(
                    G173,
                    INDEX(Material!$I:$V,StartRow+1,0),
                    0
                )
            )
        ),
        XLOOKUP(C173,Material!$A:$A,Material!$D:$D)
    ),
"")</f>
        <v>0.2</v>
      </c>
      <c r="S173" s="152">
        <f t="shared" si="105"/>
        <v>2</v>
      </c>
      <c r="T173" s="690"/>
      <c r="U173" s="1082" t="str">
        <f t="array" ref="U173">IFERROR(
    IF(
        D173="R-Flashing",
        XLOOKUP(CEILING(E173*1000,50),Material!I:I,Material!X:X),
        XLOOKUP(C173,Material!A:A,Material!E:E)
    ),
    ""
)</f>
        <v/>
      </c>
      <c r="V173" s="691"/>
      <c r="W173" s="140">
        <f t="shared" si="106"/>
        <v>0</v>
      </c>
      <c r="X173" s="692"/>
      <c r="Y173" s="595"/>
      <c r="Z173" s="595"/>
      <c r="AA173" s="595"/>
      <c r="AB173" s="354">
        <f t="shared" si="107"/>
        <v>2</v>
      </c>
      <c r="AC173" s="181"/>
      <c r="AD173" s="625"/>
      <c r="AE173" s="626"/>
      <c r="AF173" s="696"/>
      <c r="AG173" s="697"/>
      <c r="AH173" s="629"/>
      <c r="AI173" s="187"/>
      <c r="AJ173" s="630"/>
      <c r="AK173" s="630"/>
      <c r="AL173" s="595"/>
      <c r="AM173" s="595"/>
      <c r="AN173" s="595"/>
      <c r="AO173" s="595"/>
      <c r="AP173" s="595"/>
      <c r="AQ173" s="595"/>
      <c r="AR173" s="595"/>
      <c r="AS173" s="595"/>
      <c r="AT173" s="595"/>
      <c r="AU173" s="595"/>
      <c r="AV173" s="595"/>
      <c r="AW173" s="595"/>
      <c r="AX173" s="595"/>
      <c r="AY173" s="595"/>
      <c r="AZ173" s="595"/>
      <c r="BA173" s="595"/>
      <c r="BB173" s="595"/>
      <c r="BC173" s="595"/>
      <c r="BD173" s="595"/>
      <c r="BE173" s="595"/>
      <c r="BF173" s="595"/>
      <c r="BG173" s="595"/>
      <c r="BH173" s="595"/>
      <c r="BI173" s="651"/>
      <c r="BJ173" s="651"/>
      <c r="BK173" s="651"/>
      <c r="BL173" s="651"/>
      <c r="BM173" s="651"/>
      <c r="BN173" s="651"/>
      <c r="BO173" s="651"/>
      <c r="BP173" s="651"/>
      <c r="BQ173" s="651"/>
      <c r="BR173" s="651"/>
      <c r="BS173" s="651"/>
      <c r="BT173" s="651"/>
    </row>
    <row r="174">
      <c r="A174" s="1080"/>
      <c r="B174" s="154"/>
      <c r="C174" s="1167"/>
      <c r="D174" s="124"/>
      <c r="E174" s="687"/>
      <c r="F174" s="1086"/>
      <c r="G174" s="1168"/>
      <c r="H174" s="1169"/>
      <c r="I174" s="1170"/>
      <c r="J174" s="126"/>
      <c r="K174" s="126"/>
      <c r="L174" s="131"/>
      <c r="M174" s="150"/>
      <c r="N174" s="151"/>
      <c r="O174" s="169"/>
      <c r="P174" s="134"/>
      <c r="Q174" s="242"/>
      <c r="R174" s="136"/>
      <c r="S174" s="152"/>
      <c r="T174" s="690"/>
      <c r="U174" s="1082"/>
      <c r="V174" s="691"/>
      <c r="W174" s="140"/>
      <c r="X174" s="692"/>
      <c r="Y174" s="595"/>
      <c r="Z174" s="595"/>
      <c r="AA174" s="595"/>
      <c r="AB174" s="354"/>
      <c r="AC174" s="181"/>
      <c r="AD174" s="625"/>
      <c r="AE174" s="626"/>
      <c r="AF174" s="696"/>
      <c r="AG174" s="697"/>
      <c r="AH174" s="629"/>
      <c r="AI174" s="187"/>
      <c r="AJ174" s="630"/>
      <c r="AK174" s="630"/>
      <c r="AL174" s="595"/>
      <c r="AM174" s="595"/>
      <c r="AN174" s="595"/>
      <c r="AO174" s="595"/>
      <c r="AP174" s="595"/>
      <c r="AQ174" s="651"/>
      <c r="AR174" s="651"/>
      <c r="AS174" s="651"/>
      <c r="AT174" s="651"/>
      <c r="AU174" s="651"/>
      <c r="AV174" s="651"/>
      <c r="AW174" s="651"/>
      <c r="AX174" s="651"/>
      <c r="AY174" s="651"/>
      <c r="AZ174" s="651"/>
      <c r="BA174" s="651"/>
      <c r="BB174" s="651"/>
      <c r="BC174" s="651"/>
      <c r="BD174" s="651"/>
      <c r="BE174" s="651"/>
      <c r="BF174" s="651"/>
      <c r="BG174" s="651"/>
      <c r="BH174" s="651"/>
      <c r="BI174" s="651"/>
      <c r="BJ174" s="651"/>
      <c r="BK174" s="651"/>
      <c r="BL174" s="651"/>
      <c r="BM174" s="651"/>
      <c r="BN174" s="651"/>
      <c r="BO174" s="651"/>
      <c r="BP174" s="651"/>
      <c r="BQ174" s="651"/>
      <c r="BR174" s="651"/>
      <c r="BS174" s="651"/>
      <c r="BT174" s="651"/>
    </row>
    <row r="175">
      <c r="A175" s="1080" t="s">
        <v>491</v>
      </c>
      <c r="B175" s="154"/>
      <c r="C175" s="123" t="s">
        <v>683</v>
      </c>
      <c r="D175" s="124" t="s">
        <v>139</v>
      </c>
      <c r="E175" s="725"/>
      <c r="F175" s="1086"/>
      <c r="G175" s="689"/>
      <c r="H175" s="128"/>
      <c r="I175" s="700"/>
      <c r="J175" s="126" t="s">
        <v>14</v>
      </c>
      <c r="K175" s="126" t="str">
        <f t="array" ref="K175">iferror(if(OR(D175="R-Flashing",D175="W-Flashing"),"LM",XLOOKUP(C175,Material!$A:$A,Material!$C:$C)),"")</f>
        <v>LM</v>
      </c>
      <c r="L175" s="131">
        <v>2.0</v>
      </c>
      <c r="M175" s="150">
        <f>L175</f>
        <v>2</v>
      </c>
      <c r="N175" s="156">
        <v>1.8</v>
      </c>
      <c r="O175" s="759">
        <v>2.0</v>
      </c>
      <c r="P175" s="156">
        <v>1.0</v>
      </c>
      <c r="Q175" s="242">
        <f t="shared" ref="Q175:Q179" si="109">M175*N175*O175*P175</f>
        <v>7.2</v>
      </c>
      <c r="R175" s="136">
        <f t="array" ref="R175">IFERROR(
    IF(
        OR(D175="R-Flashing",D175="W-Flashing",D175="R-BG"),
        LET(
            StartRow,
            MATCH(
                I175&amp;"♦"&amp;H175,
                Material!$I:$I&amp;"♦"&amp;Material!$J:$J,
                0
            ),
            INDEX(
                Material!$J:$AF,
                StartRow+1+MATCH(
                    CEILING(E175*1000,50),
                    INDEX(Material!$I:$I,StartRow+2):INDEX(Material!$I:$I,StartRow+25),
                    0
                ),
                MATCH(
                    G175,
                    INDEX(Material!$I:$V,StartRow+1,0),
                    0
                )
            )
        ),
        XLOOKUP(C175,Material!$A:$A,Material!$D:$D)
    ),
"")</f>
        <v>20</v>
      </c>
      <c r="S175" s="152">
        <f t="shared" ref="S175:S179" si="110">R175*Q175</f>
        <v>144</v>
      </c>
      <c r="T175" s="690"/>
      <c r="U175" s="1082">
        <f t="array" ref="U175">IFERROR(
    IF(
        D175="R-Flashing",
        XLOOKUP(CEILING(E175*1000,50),Material!I:I,Material!X:X),
        XLOOKUP(C175,Material!A:A,Material!E:E)
    ),
    ""
)</f>
        <v>20</v>
      </c>
      <c r="V175" s="691"/>
      <c r="W175" s="140">
        <f t="shared" ref="W175:W179" si="111">U175*Q175</f>
        <v>144</v>
      </c>
      <c r="X175" s="693"/>
      <c r="Y175" s="595"/>
      <c r="Z175" s="595"/>
      <c r="AA175" s="595"/>
      <c r="AB175" s="354">
        <f t="shared" ref="AB175:AB180" si="112">W175+S175</f>
        <v>288</v>
      </c>
      <c r="AC175" s="181"/>
      <c r="AD175" s="625"/>
      <c r="AE175" s="626"/>
      <c r="AF175" s="696"/>
      <c r="AG175" s="697"/>
      <c r="AH175" s="629"/>
      <c r="AI175" s="187"/>
      <c r="AJ175" s="630"/>
      <c r="AK175" s="630"/>
      <c r="AL175" s="595"/>
      <c r="AM175" s="595"/>
      <c r="AN175" s="595"/>
      <c r="AO175" s="595"/>
      <c r="AP175" s="595"/>
      <c r="AQ175" s="595"/>
      <c r="AR175" s="595"/>
      <c r="AS175" s="595"/>
      <c r="AT175" s="595"/>
      <c r="AU175" s="595"/>
      <c r="AV175" s="595"/>
      <c r="AW175" s="595"/>
      <c r="AX175" s="595"/>
      <c r="AY175" s="595"/>
      <c r="AZ175" s="595"/>
      <c r="BA175" s="595"/>
      <c r="BB175" s="595"/>
      <c r="BC175" s="595"/>
      <c r="BD175" s="595"/>
      <c r="BE175" s="595"/>
      <c r="BF175" s="595"/>
      <c r="BG175" s="595"/>
      <c r="BH175" s="595"/>
      <c r="BI175" s="651"/>
      <c r="BJ175" s="651"/>
      <c r="BK175" s="651"/>
      <c r="BL175" s="651"/>
      <c r="BM175" s="651"/>
      <c r="BN175" s="651"/>
      <c r="BO175" s="651"/>
      <c r="BP175" s="651"/>
      <c r="BQ175" s="651"/>
      <c r="BR175" s="651"/>
      <c r="BS175" s="651"/>
      <c r="BT175" s="651"/>
    </row>
    <row r="176">
      <c r="A176" s="1080" t="s">
        <v>491</v>
      </c>
      <c r="B176" s="154"/>
      <c r="C176" s="123" t="s">
        <v>684</v>
      </c>
      <c r="D176" s="124" t="s">
        <v>141</v>
      </c>
      <c r="E176" s="725"/>
      <c r="F176" s="1086"/>
      <c r="G176" s="701"/>
      <c r="H176" s="128"/>
      <c r="I176" s="700"/>
      <c r="J176" s="126" t="s">
        <v>87</v>
      </c>
      <c r="K176" s="126" t="str">
        <f t="array" ref="K176">iferror(if(OR(D176="R-Flashing",D176="W-Flashing"),"LM",XLOOKUP(C176,Material!$A:$A,Material!$C:$C)),"")</f>
        <v>ea</v>
      </c>
      <c r="L176" s="131">
        <f t="shared" ref="L176:M176" si="108">L175</f>
        <v>2</v>
      </c>
      <c r="M176" s="150">
        <f t="shared" si="108"/>
        <v>2</v>
      </c>
      <c r="N176" s="151">
        <f>IFERROR(__xludf.DUMMYFUNCTION("IF(C176="""", """", IFERROR(1 / COS(RADIANS(REGEXEXTRACT(F176,""(\d+)""))), 1))"),1.0)</f>
        <v>1</v>
      </c>
      <c r="O176" s="169">
        <f>O175</f>
        <v>2</v>
      </c>
      <c r="P176" s="134">
        <v>1.0</v>
      </c>
      <c r="Q176" s="242">
        <f t="shared" si="109"/>
        <v>4</v>
      </c>
      <c r="R176" s="136">
        <f t="array" ref="R176">IFERROR(
    IF(
        OR(D176="R-Flashing",D176="W-Flashing",D176="R-BG"),
        LET(
            StartRow,
            MATCH(
                I176&amp;"♦"&amp;H176,
                Material!$I:$I&amp;"♦"&amp;Material!$J:$J,
                0
            ),
            INDEX(
                Material!$J:$AF,
                StartRow+1+MATCH(
                    CEILING(E176*1000,50),
                    INDEX(Material!$I:$I,StartRow+2):INDEX(Material!$I:$I,StartRow+25),
                    0
                ),
                MATCH(
                    G176,
                    INDEX(Material!$I:$V,StartRow+1,0),
                    0
                )
            )
        ),
        XLOOKUP(C176,Material!$A:$A,Material!$D:$D)
    ),
"")</f>
        <v>8</v>
      </c>
      <c r="S176" s="152">
        <f t="shared" si="110"/>
        <v>32</v>
      </c>
      <c r="T176" s="690"/>
      <c r="U176" s="1082" t="str">
        <f t="array" ref="U176">IFERROR(
    IF(
        D176="R-Flashing",
        XLOOKUP(CEILING(E176*1000,50),Material!I:I,Material!X:X),
        XLOOKUP(C176,Material!A:A,Material!E:E)
    ),
    ""
)</f>
        <v/>
      </c>
      <c r="V176" s="691"/>
      <c r="W176" s="140">
        <f t="shared" si="111"/>
        <v>0</v>
      </c>
      <c r="X176" s="692"/>
      <c r="Y176" s="595"/>
      <c r="Z176" s="595"/>
      <c r="AA176" s="595"/>
      <c r="AB176" s="354">
        <f t="shared" si="112"/>
        <v>32</v>
      </c>
      <c r="AC176" s="181"/>
      <c r="AD176" s="625"/>
      <c r="AE176" s="626"/>
      <c r="AF176" s="696"/>
      <c r="AG176" s="697"/>
      <c r="AH176" s="629"/>
      <c r="AI176" s="187"/>
      <c r="AJ176" s="630"/>
      <c r="AK176" s="630"/>
      <c r="AL176" s="595"/>
      <c r="AM176" s="595"/>
      <c r="AN176" s="595"/>
      <c r="AO176" s="595"/>
      <c r="AP176" s="595"/>
      <c r="AQ176" s="595"/>
      <c r="AR176" s="595"/>
      <c r="AS176" s="595"/>
      <c r="AT176" s="595"/>
      <c r="AU176" s="595"/>
      <c r="AV176" s="595"/>
      <c r="AW176" s="595"/>
      <c r="AX176" s="595"/>
      <c r="AY176" s="595"/>
      <c r="AZ176" s="595"/>
      <c r="BA176" s="595"/>
      <c r="BB176" s="595"/>
      <c r="BC176" s="595"/>
      <c r="BD176" s="595"/>
      <c r="BE176" s="595"/>
      <c r="BF176" s="595"/>
      <c r="BG176" s="595"/>
      <c r="BH176" s="595"/>
      <c r="BI176" s="651"/>
      <c r="BJ176" s="651"/>
      <c r="BK176" s="651"/>
      <c r="BL176" s="651"/>
      <c r="BM176" s="651"/>
      <c r="BN176" s="651"/>
      <c r="BO176" s="651"/>
      <c r="BP176" s="651"/>
      <c r="BQ176" s="651"/>
      <c r="BR176" s="651"/>
      <c r="BS176" s="651"/>
      <c r="BT176" s="651"/>
    </row>
    <row r="177">
      <c r="A177" s="1080" t="s">
        <v>491</v>
      </c>
      <c r="B177" s="154"/>
      <c r="C177" s="123" t="s">
        <v>686</v>
      </c>
      <c r="D177" s="124" t="s">
        <v>143</v>
      </c>
      <c r="E177" s="687" t="str">
        <f>IFERROR(__xludf.DUMMYFUNCTION("IF(REGEXMATCH(C177, ""\d+mmØ""), VALUE(REGEXEXTRACT(C177, ""(\d+)mmØ""))/1000, """")
"),"")</f>
        <v/>
      </c>
      <c r="F177" s="1086"/>
      <c r="G177" s="701"/>
      <c r="H177" s="128"/>
      <c r="I177" s="700"/>
      <c r="J177" s="126" t="s">
        <v>87</v>
      </c>
      <c r="K177" s="126" t="str">
        <f t="array" ref="K177">iferror(if(OR(D177="R-Flashing",D177="W-Flashing"),"LM",XLOOKUP(C177,Material!$A:$A,Material!$C:$C)),"")</f>
        <v>ea</v>
      </c>
      <c r="L177" s="131"/>
      <c r="M177" s="150">
        <v>2.0</v>
      </c>
      <c r="N177" s="151">
        <f>IFERROR(__xludf.DUMMYFUNCTION("IF(C177="""", """", IFERROR(1 / COS(RADIANS(REGEXEXTRACT(F177,""(\d+)""))), 1))"),1.0)</f>
        <v>1</v>
      </c>
      <c r="O177" s="759">
        <v>1.0</v>
      </c>
      <c r="P177" s="134">
        <v>1.0</v>
      </c>
      <c r="Q177" s="242">
        <f t="shared" si="109"/>
        <v>2</v>
      </c>
      <c r="R177" s="136">
        <f t="array" ref="R177">IFERROR(
    IF(
        OR(D177="R-Flashing",D177="W-Flashing",D177="R-BG"),
        LET(
            StartRow,
            MATCH(
                I177&amp;"♦"&amp;H177,
                Material!$I:$I&amp;"♦"&amp;Material!$J:$J,
                0
            ),
            INDEX(
                Material!$J:$AF,
                StartRow+1+MATCH(
                    CEILING(E177*1000,50),
                    INDEX(Material!$I:$I,StartRow+2):INDEX(Material!$I:$I,StartRow+25),
                    0
                ),
                MATCH(
                    G177,
                    INDEX(Material!$I:$V,StartRow+1,0),
                    0
                )
            )
        ),
        XLOOKUP(C177,Material!$A:$A,Material!$D:$D)
    ),
"")</f>
        <v>5</v>
      </c>
      <c r="S177" s="152">
        <f t="shared" si="110"/>
        <v>10</v>
      </c>
      <c r="T177" s="690"/>
      <c r="U177" s="1082" t="str">
        <f t="array" ref="U177">IFERROR(
    IF(
        D177="R-Flashing",
        XLOOKUP(CEILING(E177*1000,50),Material!I:I,Material!X:X),
        XLOOKUP(C177,Material!A:A,Material!E:E)
    ),
    ""
)</f>
        <v/>
      </c>
      <c r="V177" s="691"/>
      <c r="W177" s="140">
        <f t="shared" si="111"/>
        <v>0</v>
      </c>
      <c r="X177" s="692"/>
      <c r="Y177" s="595"/>
      <c r="Z177" s="595"/>
      <c r="AA177" s="595"/>
      <c r="AB177" s="354">
        <f t="shared" si="112"/>
        <v>10</v>
      </c>
      <c r="AC177" s="181"/>
      <c r="AD177" s="625"/>
      <c r="AE177" s="626"/>
      <c r="AF177" s="696"/>
      <c r="AG177" s="697"/>
      <c r="AH177" s="629"/>
      <c r="AI177" s="187"/>
      <c r="AJ177" s="630"/>
      <c r="AK177" s="630"/>
      <c r="AL177" s="595"/>
      <c r="AM177" s="595"/>
      <c r="AN177" s="595"/>
      <c r="AO177" s="595"/>
      <c r="AP177" s="595"/>
      <c r="AQ177" s="595"/>
      <c r="AR177" s="595"/>
      <c r="AS177" s="595"/>
      <c r="AT177" s="595"/>
      <c r="AU177" s="595"/>
      <c r="AV177" s="595"/>
      <c r="AW177" s="595"/>
      <c r="AX177" s="595"/>
      <c r="AY177" s="595"/>
      <c r="AZ177" s="595"/>
      <c r="BA177" s="595"/>
      <c r="BB177" s="595"/>
      <c r="BC177" s="595"/>
      <c r="BD177" s="595"/>
      <c r="BE177" s="595"/>
      <c r="BF177" s="595"/>
      <c r="BG177" s="595"/>
      <c r="BH177" s="595"/>
      <c r="BI177" s="651"/>
      <c r="BJ177" s="651"/>
      <c r="BK177" s="651"/>
      <c r="BL177" s="651"/>
      <c r="BM177" s="651"/>
      <c r="BN177" s="651"/>
      <c r="BO177" s="651"/>
      <c r="BP177" s="651"/>
      <c r="BQ177" s="651"/>
      <c r="BR177" s="651"/>
      <c r="BS177" s="651"/>
      <c r="BT177" s="651"/>
    </row>
    <row r="178">
      <c r="A178" s="1080"/>
      <c r="B178" s="154"/>
      <c r="C178" s="225" t="s">
        <v>98</v>
      </c>
      <c r="D178" s="124" t="s">
        <v>388</v>
      </c>
      <c r="E178" s="687" t="str">
        <f>E177</f>
        <v/>
      </c>
      <c r="F178" s="1086"/>
      <c r="G178" s="701"/>
      <c r="H178" s="128"/>
      <c r="I178" s="700"/>
      <c r="J178" s="126" t="s">
        <v>87</v>
      </c>
      <c r="K178" s="126" t="str">
        <f t="array" ref="K178">iferror(if(OR(D178="R-Flashing",D178="W-Flashing"),"LM",XLOOKUP(C178,Material!$A:$A,Material!$C:$C)),"")</f>
        <v>ea</v>
      </c>
      <c r="L178" s="131"/>
      <c r="M178" s="150">
        <v>2.0</v>
      </c>
      <c r="N178" s="151">
        <f>IFERROR(__xludf.DUMMYFUNCTION("IF(C178="""", """", IFERROR(1 / COS(RADIANS(REGEXEXTRACT(F178,""(\d+)""))), 1))"),1.0)</f>
        <v>1</v>
      </c>
      <c r="O178" s="169">
        <f>O177</f>
        <v>1</v>
      </c>
      <c r="P178" s="134">
        <v>1.0</v>
      </c>
      <c r="Q178" s="242">
        <f t="shared" si="109"/>
        <v>2</v>
      </c>
      <c r="R178" s="136">
        <f t="array" ref="R178">IFERROR(
    IF(
        OR(D178="R-Flashing",D178="W-Flashing",D178="R-BG"),
        LET(
            StartRow,
            MATCH(
                I178&amp;"♦"&amp;H178,
                Material!$I:$I&amp;"♦"&amp;Material!$J:$J,
                0
            ),
            INDEX(
                Material!$J:$AF,
                StartRow+1+MATCH(
                    CEILING(E178*1000,50),
                    INDEX(Material!$I:$I,StartRow+2):INDEX(Material!$I:$I,StartRow+25),
                    0
                ),
                MATCH(
                    G178,
                    INDEX(Material!$I:$V,StartRow+1,0),
                    0
                )
            )
        ),
        XLOOKUP(C178,Material!$A:$A,Material!$D:$D)
    ),
"")</f>
        <v>10</v>
      </c>
      <c r="S178" s="152">
        <f t="shared" si="110"/>
        <v>20</v>
      </c>
      <c r="T178" s="690"/>
      <c r="U178" s="1082" t="str">
        <f t="array" ref="U178">IFERROR(
    IF(
        D178="R-Flashing",
        XLOOKUP(CEILING(E178*1000,50),Material!I:I,Material!X:X),
        XLOOKUP(C178,Material!A:A,Material!E:E)
    ),
    ""
)</f>
        <v/>
      </c>
      <c r="V178" s="691"/>
      <c r="W178" s="140">
        <f t="shared" si="111"/>
        <v>0</v>
      </c>
      <c r="X178" s="692"/>
      <c r="Y178" s="595"/>
      <c r="Z178" s="595"/>
      <c r="AA178" s="595"/>
      <c r="AB178" s="354">
        <f t="shared" si="112"/>
        <v>20</v>
      </c>
      <c r="AC178" s="181"/>
      <c r="AD178" s="625"/>
      <c r="AE178" s="626"/>
      <c r="AF178" s="696"/>
      <c r="AG178" s="697"/>
      <c r="AH178" s="629"/>
      <c r="AI178" s="187"/>
      <c r="AJ178" s="630"/>
      <c r="AK178" s="630"/>
      <c r="AL178" s="595"/>
      <c r="AM178" s="595"/>
      <c r="AN178" s="595"/>
      <c r="AO178" s="595"/>
      <c r="AP178" s="595"/>
      <c r="AQ178" s="595"/>
      <c r="AR178" s="595"/>
      <c r="AS178" s="595"/>
      <c r="AT178" s="595"/>
      <c r="AU178" s="595"/>
      <c r="AV178" s="595"/>
      <c r="AW178" s="595"/>
      <c r="AX178" s="595"/>
      <c r="AY178" s="595"/>
      <c r="AZ178" s="595"/>
      <c r="BA178" s="595"/>
      <c r="BB178" s="595"/>
      <c r="BC178" s="595"/>
      <c r="BD178" s="595"/>
      <c r="BE178" s="595"/>
      <c r="BF178" s="595"/>
      <c r="BG178" s="595"/>
      <c r="BH178" s="595"/>
      <c r="BI178" s="651"/>
      <c r="BJ178" s="651"/>
      <c r="BK178" s="651"/>
      <c r="BL178" s="651"/>
      <c r="BM178" s="651"/>
      <c r="BN178" s="651"/>
      <c r="BO178" s="651"/>
      <c r="BP178" s="651"/>
      <c r="BQ178" s="651"/>
      <c r="BR178" s="651"/>
      <c r="BS178" s="651"/>
      <c r="BT178" s="651"/>
    </row>
    <row r="179">
      <c r="A179" s="1080"/>
      <c r="B179" s="154"/>
      <c r="C179" s="223" t="s">
        <v>687</v>
      </c>
      <c r="D179" s="124" t="s">
        <v>144</v>
      </c>
      <c r="E179" s="687" t="str">
        <f>E177</f>
        <v/>
      </c>
      <c r="F179" s="1086"/>
      <c r="G179" s="701"/>
      <c r="H179" s="128"/>
      <c r="I179" s="700"/>
      <c r="J179" s="126" t="s">
        <v>87</v>
      </c>
      <c r="K179" s="126" t="str">
        <f t="array" ref="K179">iferror(if(OR(D179="R-Flashing",D179="W-Flashing"),"LM",XLOOKUP(C179,Material!$A:$A,Material!$C:$C)),"")</f>
        <v>ea</v>
      </c>
      <c r="L179" s="131"/>
      <c r="M179" s="150">
        <v>2.0</v>
      </c>
      <c r="N179" s="151">
        <f>IFERROR(__xludf.DUMMYFUNCTION("IF(C179="""", """", IFERROR(1 / COS(RADIANS(REGEXEXTRACT(F179,""(\d+)""))), 1))"),1.0)</f>
        <v>1</v>
      </c>
      <c r="O179" s="169">
        <f>O177</f>
        <v>1</v>
      </c>
      <c r="P179" s="134">
        <v>1.0</v>
      </c>
      <c r="Q179" s="242">
        <f t="shared" si="109"/>
        <v>2</v>
      </c>
      <c r="R179" s="136">
        <f t="array" ref="R179">IFERROR(
    IF(
        OR(D179="R-Flashing",D179="W-Flashing",D179="R-BG"),
        LET(
            StartRow,
            MATCH(
                I179&amp;"♦"&amp;H179,
                Material!$I:$I&amp;"♦"&amp;Material!$J:$J,
                0
            ),
            INDEX(
                Material!$J:$AF,
                StartRow+1+MATCH(
                    CEILING(E179*1000,50),
                    INDEX(Material!$I:$I,StartRow+2):INDEX(Material!$I:$I,StartRow+25),
                    0
                ),
                MATCH(
                    G179,
                    INDEX(Material!$I:$V,StartRow+1,0),
                    0
                )
            )
        ),
        XLOOKUP(C179,Material!$A:$A,Material!$D:$D)
    ),
"")</f>
        <v>0.2</v>
      </c>
      <c r="S179" s="152">
        <f t="shared" si="110"/>
        <v>0.4</v>
      </c>
      <c r="T179" s="690"/>
      <c r="U179" s="1082" t="str">
        <f t="array" ref="U179">IFERROR(
    IF(
        D179="R-Flashing",
        XLOOKUP(CEILING(E179*1000,50),Material!I:I,Material!X:X),
        XLOOKUP(C179,Material!A:A,Material!E:E)
    ),
    ""
)</f>
        <v/>
      </c>
      <c r="V179" s="691"/>
      <c r="W179" s="140">
        <f t="shared" si="111"/>
        <v>0</v>
      </c>
      <c r="X179" s="692"/>
      <c r="Y179" s="595"/>
      <c r="Z179" s="595"/>
      <c r="AA179" s="595"/>
      <c r="AB179" s="354">
        <f t="shared" si="112"/>
        <v>0.4</v>
      </c>
      <c r="AC179" s="181"/>
      <c r="AD179" s="625"/>
      <c r="AE179" s="626"/>
      <c r="AF179" s="696"/>
      <c r="AG179" s="697"/>
      <c r="AH179" s="629"/>
      <c r="AI179" s="187"/>
      <c r="AJ179" s="630"/>
      <c r="AK179" s="630"/>
      <c r="AL179" s="595"/>
      <c r="AM179" s="595"/>
      <c r="AN179" s="595"/>
      <c r="AO179" s="595"/>
      <c r="AP179" s="595"/>
      <c r="AQ179" s="595"/>
      <c r="AR179" s="595"/>
      <c r="AS179" s="595"/>
      <c r="AT179" s="595"/>
      <c r="AU179" s="595"/>
      <c r="AV179" s="595"/>
      <c r="AW179" s="595"/>
      <c r="AX179" s="595"/>
      <c r="AY179" s="595"/>
      <c r="AZ179" s="595"/>
      <c r="BA179" s="595"/>
      <c r="BB179" s="595"/>
      <c r="BC179" s="595"/>
      <c r="BD179" s="595"/>
      <c r="BE179" s="595"/>
      <c r="BF179" s="595"/>
      <c r="BG179" s="595"/>
      <c r="BH179" s="595"/>
      <c r="BI179" s="651"/>
      <c r="BJ179" s="651"/>
      <c r="BK179" s="651"/>
      <c r="BL179" s="651"/>
      <c r="BM179" s="651"/>
      <c r="BN179" s="651"/>
      <c r="BO179" s="651"/>
      <c r="BP179" s="651"/>
      <c r="BQ179" s="651"/>
      <c r="BR179" s="651"/>
      <c r="BS179" s="651"/>
      <c r="BT179" s="651"/>
    </row>
    <row r="180">
      <c r="A180" s="1080"/>
      <c r="B180" s="154"/>
      <c r="C180" s="782"/>
      <c r="D180" s="124"/>
      <c r="E180" s="687"/>
      <c r="F180" s="1086"/>
      <c r="G180" s="1168"/>
      <c r="H180" s="1169"/>
      <c r="I180" s="1170"/>
      <c r="J180" s="126"/>
      <c r="K180" s="126" t="str">
        <f t="array" ref="K180">iferror(if(OR(D180="R-Flashing",D180="W-Flashing"),"LM",XLOOKUP(C180,Material!$A:$A,Material!$C:$C)),"")</f>
        <v/>
      </c>
      <c r="L180" s="131"/>
      <c r="M180" s="150"/>
      <c r="N180" s="151" t="str">
        <f>IFERROR(__xludf.DUMMYFUNCTION("IF(C180="""", """", IFERROR(1 / COS(RADIANS(REGEXEXTRACT(F180,""(\d+)""))), 1))"),"")</f>
        <v/>
      </c>
      <c r="O180" s="169"/>
      <c r="P180" s="134"/>
      <c r="Q180" s="242"/>
      <c r="R180" s="136" t="str">
        <f t="array" ref="R180">IFERROR(
    IF(
        OR(D180="R-Flashing",D180="W-Flashing",D180="R-BG"),
        LET(
            StartRow,
            MATCH(
                I180&amp;"♦"&amp;H180,
                Material!$I:$I&amp;"♦"&amp;Material!$J:$J,
                0
            ),
            INDEX(
                Material!$J:$AF,
                StartRow+1+MATCH(
                    CEILING(E180*1000,50),
                    INDEX(Material!$I:$I,StartRow+2):INDEX(Material!$I:$I,StartRow+25),
                    0
                ),
                MATCH(
                    G180,
                    INDEX(Material!$I:$V,StartRow+1,0),
                    0
                )
            )
        ),
        XLOOKUP(C180,Material!$A:$A,Material!$D:$D)
    ),
"")</f>
        <v/>
      </c>
      <c r="S180" s="152"/>
      <c r="T180" s="690"/>
      <c r="U180" s="1082" t="str">
        <f t="array" ref="U180">IFERROR(
    IF(
        D180="R-Flashing",
        XLOOKUP(CEILING(E180*1000,50),Material!I:I,Material!X:X),
        XLOOKUP(C180,Material!A:A,Material!E:E)
    ),
    ""
)</f>
        <v/>
      </c>
      <c r="V180" s="691"/>
      <c r="W180" s="140"/>
      <c r="X180" s="692"/>
      <c r="Y180" s="595"/>
      <c r="Z180" s="595"/>
      <c r="AA180" s="595"/>
      <c r="AB180" s="354">
        <f t="shared" si="112"/>
        <v>0</v>
      </c>
      <c r="AC180" s="181"/>
      <c r="AD180" s="625"/>
      <c r="AE180" s="626"/>
      <c r="AF180" s="696"/>
      <c r="AG180" s="697"/>
      <c r="AH180" s="629"/>
      <c r="AI180" s="187"/>
      <c r="AJ180" s="630"/>
      <c r="AK180" s="630"/>
      <c r="AL180" s="595"/>
      <c r="AM180" s="595"/>
      <c r="AN180" s="595"/>
      <c r="AO180" s="595"/>
      <c r="AP180" s="595"/>
      <c r="AQ180" s="651"/>
      <c r="AR180" s="651"/>
      <c r="AS180" s="651"/>
      <c r="AT180" s="651"/>
      <c r="AU180" s="651"/>
      <c r="AV180" s="651"/>
      <c r="AW180" s="651"/>
      <c r="AX180" s="651"/>
      <c r="AY180" s="651"/>
      <c r="AZ180" s="651"/>
      <c r="BA180" s="651"/>
      <c r="BB180" s="651"/>
      <c r="BC180" s="651"/>
      <c r="BD180" s="651"/>
      <c r="BE180" s="651"/>
      <c r="BF180" s="651"/>
      <c r="BG180" s="651"/>
      <c r="BH180" s="651"/>
      <c r="BI180" s="651"/>
      <c r="BJ180" s="651"/>
      <c r="BK180" s="651"/>
      <c r="BL180" s="651"/>
      <c r="BM180" s="651"/>
      <c r="BN180" s="651"/>
      <c r="BO180" s="651"/>
      <c r="BP180" s="651"/>
      <c r="BQ180" s="651"/>
      <c r="BR180" s="651"/>
      <c r="BS180" s="651"/>
      <c r="BT180" s="651"/>
    </row>
    <row r="181">
      <c r="A181" s="1171"/>
      <c r="B181" s="122"/>
      <c r="C181" s="276"/>
      <c r="D181" s="148"/>
      <c r="E181" s="687"/>
      <c r="F181" s="1086"/>
      <c r="G181" s="782"/>
      <c r="H181" s="279"/>
      <c r="I181" s="783"/>
      <c r="J181" s="784"/>
      <c r="K181" s="126" t="str">
        <f t="array" ref="K181">iferror(if(D181="R-Flashing","LM",XLOOKUP(C181,Material!$A:$A,Material!$C:$C)),"")</f>
        <v/>
      </c>
      <c r="L181" s="712"/>
      <c r="M181" s="730"/>
      <c r="N181" s="151" t="str">
        <f>IFERROR(__xludf.DUMMYFUNCTION("IF(C181="""", """", IFERROR(1 / COS(RADIANS(REGEXEXTRACT(F181,""(\d+)""))), 1))"),"")</f>
        <v/>
      </c>
      <c r="O181" s="760"/>
      <c r="P181" s="760"/>
      <c r="Q181" s="168"/>
      <c r="R181" s="136" t="str">
        <f t="array" ref="R181">IFERROR(
    IF(
        OR(D181="R-Flashing",D181="W-Flashing",D181="R-BG"),
        LET(
            StartRow,
            MATCH(
                I181&amp;"♦"&amp;H181,
                Material!$I:$I&amp;"♦"&amp;Material!$J:$J,
                0
            ),
            INDEX(
                Material!$J:$AF,
                StartRow+1+MATCH(
                    CEILING(E181*1000,50),
                    INDEX(Material!$I:$I,StartRow+2):INDEX(Material!$I:$I,StartRow+25),
                    0
                ),
                MATCH(
                    G181,
                    INDEX(Material!$I:$V,StartRow+1,0),
                    0
                )
            )
        ),
        XLOOKUP(C181,Material!$A:$A,Material!$D:$D)
    ),
"")</f>
        <v/>
      </c>
      <c r="S181" s="152"/>
      <c r="T181" s="690"/>
      <c r="U181" s="1082" t="str">
        <f t="array" ref="U181">IFERROR(
    IF(
        D181="R-Flashing",
        XLOOKUP(CEILING(E181*1000,50),Material!I:I,Material!X:X),
        XLOOKUP(C181,Material!A:A,Material!E:E)
    ),
    ""
)</f>
        <v/>
      </c>
      <c r="V181" s="691"/>
      <c r="W181" s="140"/>
      <c r="X181" s="692"/>
      <c r="Y181" s="595"/>
      <c r="Z181" s="595"/>
      <c r="AA181" s="595"/>
      <c r="AB181" s="354"/>
      <c r="AC181" s="181"/>
      <c r="AD181" s="625"/>
      <c r="AE181" s="626"/>
      <c r="AF181" s="696"/>
      <c r="AG181" s="697"/>
      <c r="AH181" s="629"/>
      <c r="AI181" s="187"/>
      <c r="AJ181" s="630"/>
      <c r="AK181" s="630"/>
      <c r="AL181" s="595"/>
      <c r="AM181" s="595"/>
      <c r="AN181" s="595"/>
      <c r="AO181" s="595"/>
      <c r="AP181" s="595"/>
      <c r="AQ181" s="651"/>
      <c r="AR181" s="651"/>
      <c r="AS181" s="651"/>
      <c r="AT181" s="651"/>
      <c r="AU181" s="651"/>
      <c r="AV181" s="651"/>
      <c r="AW181" s="651"/>
      <c r="AX181" s="651"/>
      <c r="AY181" s="651"/>
      <c r="AZ181" s="651"/>
      <c r="BA181" s="651"/>
      <c r="BB181" s="651"/>
      <c r="BC181" s="651"/>
      <c r="BD181" s="651"/>
      <c r="BE181" s="651"/>
      <c r="BF181" s="651"/>
      <c r="BG181" s="651"/>
      <c r="BH181" s="651"/>
      <c r="BI181" s="651"/>
      <c r="BJ181" s="651"/>
      <c r="BK181" s="651"/>
      <c r="BL181" s="651"/>
      <c r="BM181" s="651"/>
      <c r="BN181" s="651"/>
      <c r="BO181" s="651"/>
      <c r="BP181" s="651"/>
      <c r="BQ181" s="651"/>
      <c r="BR181" s="651"/>
      <c r="BS181" s="651"/>
      <c r="BT181" s="651"/>
    </row>
    <row r="182" ht="12.75" customHeight="1">
      <c r="A182" s="1171"/>
      <c r="B182" s="793"/>
      <c r="C182" s="793"/>
      <c r="D182" s="793"/>
      <c r="E182" s="793"/>
      <c r="F182" s="1172"/>
      <c r="G182" s="793"/>
      <c r="H182" s="793"/>
      <c r="I182" s="793"/>
      <c r="J182" s="793"/>
      <c r="K182" s="793"/>
      <c r="L182" s="793"/>
      <c r="M182" s="793"/>
      <c r="N182" s="793" t="str">
        <f>if(B182="","",(if(#REF!="",#REF!,#REF!)))</f>
        <v/>
      </c>
      <c r="O182" s="793"/>
      <c r="P182" s="793"/>
      <c r="Q182" s="793"/>
      <c r="R182" s="793" t="str">
        <f>IFERROR(
  IF(B182="", "", VLOOKUP(B182, Data!$B$2:$K$905, 9, FALSE)),
  ""
)</f>
        <v/>
      </c>
      <c r="S182" s="793"/>
      <c r="T182" s="793"/>
      <c r="U182" s="793" t="str">
        <f>IFERROR(
  IF(B182="", "", VLOOKUP(B182, Data!$B$2:$K$905, 10, FALSE)),
  ""
)
</f>
        <v/>
      </c>
      <c r="V182" s="793"/>
      <c r="W182" s="793"/>
      <c r="X182" s="297">
        <f>SUM(AB13:AB182)</f>
        <v>71384.39111</v>
      </c>
      <c r="Y182" s="595"/>
      <c r="Z182" s="595"/>
      <c r="AA182" s="595"/>
      <c r="AB182" s="354"/>
      <c r="AC182" s="181"/>
      <c r="AD182" s="625"/>
      <c r="AE182" s="626"/>
      <c r="AF182" s="696"/>
      <c r="AG182" s="697"/>
      <c r="AH182" s="629"/>
      <c r="AI182" s="187"/>
      <c r="AJ182" s="630"/>
      <c r="AK182" s="630"/>
      <c r="AL182" s="595"/>
      <c r="AM182" s="595"/>
      <c r="AN182" s="595"/>
      <c r="AO182" s="595"/>
      <c r="AP182" s="595"/>
      <c r="AQ182" s="651"/>
      <c r="AR182" s="651"/>
      <c r="AS182" s="651"/>
      <c r="AT182" s="651"/>
      <c r="AU182" s="651"/>
      <c r="AV182" s="651"/>
      <c r="AW182" s="651"/>
      <c r="AX182" s="651"/>
      <c r="AY182" s="651"/>
      <c r="AZ182" s="651"/>
      <c r="BA182" s="651"/>
      <c r="BB182" s="651"/>
      <c r="BC182" s="651"/>
      <c r="BD182" s="651"/>
      <c r="BE182" s="651"/>
      <c r="BF182" s="651"/>
      <c r="BG182" s="651"/>
      <c r="BH182" s="651"/>
      <c r="BI182" s="651"/>
      <c r="BJ182" s="651"/>
      <c r="BK182" s="651"/>
      <c r="BL182" s="651"/>
      <c r="BM182" s="651"/>
      <c r="BN182" s="651"/>
      <c r="BO182" s="651"/>
      <c r="BP182" s="651"/>
      <c r="BQ182" s="651"/>
      <c r="BR182" s="651"/>
      <c r="BS182" s="651"/>
      <c r="BT182" s="651"/>
    </row>
    <row r="183" ht="12.75" customHeight="1">
      <c r="A183" s="1074"/>
      <c r="B183" s="791"/>
      <c r="C183" s="584"/>
      <c r="D183" s="584"/>
      <c r="E183" s="585"/>
      <c r="F183" s="1075"/>
      <c r="G183" s="587"/>
      <c r="H183" s="586"/>
      <c r="I183" s="595"/>
      <c r="J183" s="595"/>
      <c r="K183" s="354"/>
      <c r="L183" s="588"/>
      <c r="M183" s="588"/>
      <c r="N183" s="589"/>
      <c r="O183" s="584"/>
      <c r="P183" s="586"/>
      <c r="Q183" s="443"/>
      <c r="R183" s="792"/>
      <c r="S183" s="793"/>
      <c r="T183" s="302">
        <f>sumif(A13:A182,1,T13:T182)</f>
        <v>50232.11843</v>
      </c>
      <c r="U183" s="794"/>
      <c r="V183" s="795"/>
      <c r="W183" s="302">
        <f>sumif(A13:A182,1,W13:W182)</f>
        <v>21152.27268</v>
      </c>
      <c r="X183" s="305" t="b">
        <f>X182=(T183+W183)</f>
        <v>1</v>
      </c>
      <c r="Y183" s="113">
        <f>(T183+W183)-AB185</f>
        <v>0</v>
      </c>
      <c r="Z183" s="595"/>
      <c r="AA183" s="595"/>
      <c r="AB183" s="354"/>
      <c r="AC183" s="181"/>
      <c r="AD183" s="625"/>
      <c r="AE183" s="626"/>
      <c r="AF183" s="627"/>
      <c r="AG183" s="628"/>
      <c r="AH183" s="629"/>
      <c r="AI183" s="187"/>
      <c r="AJ183" s="630"/>
      <c r="AK183" s="630"/>
      <c r="AL183" s="584"/>
      <c r="AM183" s="595"/>
      <c r="AN183" s="595"/>
      <c r="AO183" s="595"/>
      <c r="AP183" s="584"/>
      <c r="AQ183" s="584"/>
      <c r="AR183" s="584"/>
      <c r="AS183" s="584"/>
      <c r="AT183" s="584"/>
      <c r="AU183" s="584"/>
      <c r="AV183" s="584"/>
      <c r="AW183" s="584"/>
      <c r="AX183" s="584"/>
      <c r="AY183" s="584"/>
      <c r="AZ183" s="584"/>
      <c r="BA183" s="584"/>
      <c r="BB183" s="584"/>
      <c r="BC183" s="584"/>
      <c r="BD183" s="584"/>
      <c r="BE183" s="584"/>
      <c r="BF183" s="584"/>
      <c r="BG183" s="584"/>
      <c r="BH183" s="584"/>
      <c r="BI183" s="597"/>
      <c r="BJ183" s="597"/>
      <c r="BK183" s="597"/>
      <c r="BL183" s="597"/>
      <c r="BM183" s="597"/>
      <c r="BN183" s="597"/>
      <c r="BO183" s="597"/>
      <c r="BP183" s="597"/>
      <c r="BQ183" s="597"/>
      <c r="BR183" s="597"/>
      <c r="BS183" s="597"/>
      <c r="BT183" s="597"/>
    </row>
    <row r="184" ht="12.75" customHeight="1">
      <c r="A184" s="1074"/>
      <c r="B184" s="584"/>
      <c r="C184" s="584"/>
      <c r="D184" s="584"/>
      <c r="E184" s="585"/>
      <c r="F184" s="1075"/>
      <c r="G184" s="587"/>
      <c r="H184" s="586"/>
      <c r="I184" s="584"/>
      <c r="J184" s="584"/>
      <c r="K184" s="586"/>
      <c r="L184" s="588"/>
      <c r="M184" s="588"/>
      <c r="N184" s="589"/>
      <c r="O184" s="584"/>
      <c r="P184" s="586"/>
      <c r="Q184" s="443"/>
      <c r="R184" s="603"/>
      <c r="S184" s="354"/>
      <c r="T184" s="595"/>
      <c r="U184" s="595"/>
      <c r="V184" s="595"/>
      <c r="W184" s="595"/>
      <c r="X184" s="306">
        <f>W183/70/8/$X$207</f>
        <v>9.442978873</v>
      </c>
      <c r="Y184" s="595"/>
      <c r="Z184" s="595"/>
      <c r="AA184" s="595"/>
      <c r="AB184" s="354"/>
      <c r="AC184" s="181"/>
      <c r="AD184" s="625"/>
      <c r="AE184" s="626"/>
      <c r="AF184" s="627"/>
      <c r="AG184" s="628"/>
      <c r="AH184" s="629"/>
      <c r="AI184" s="187"/>
      <c r="AJ184" s="630"/>
      <c r="AK184" s="630"/>
      <c r="AL184" s="443"/>
      <c r="AM184" s="595"/>
      <c r="AN184" s="595"/>
      <c r="AO184" s="595"/>
      <c r="AP184" s="595"/>
      <c r="AQ184" s="584"/>
      <c r="AR184" s="595"/>
      <c r="AS184" s="595"/>
      <c r="AT184" s="584"/>
      <c r="AU184" s="443"/>
      <c r="AV184" s="443"/>
      <c r="AW184" s="443"/>
      <c r="AX184" s="584"/>
      <c r="AY184" s="584"/>
      <c r="AZ184" s="584"/>
      <c r="BA184" s="584"/>
      <c r="BB184" s="584"/>
      <c r="BC184" s="584"/>
      <c r="BD184" s="584"/>
      <c r="BE184" s="584"/>
      <c r="BF184" s="584"/>
      <c r="BG184" s="584"/>
      <c r="BH184" s="584"/>
      <c r="BI184" s="597"/>
      <c r="BJ184" s="597"/>
      <c r="BK184" s="597"/>
      <c r="BL184" s="597"/>
      <c r="BM184" s="597"/>
      <c r="BN184" s="597"/>
      <c r="BO184" s="597"/>
      <c r="BP184" s="597"/>
      <c r="BQ184" s="597"/>
      <c r="BR184" s="597"/>
      <c r="BS184" s="597"/>
      <c r="BT184" s="597"/>
    </row>
    <row r="185" ht="12.75" hidden="1" customHeight="1">
      <c r="A185" s="1074">
        <v>1.0</v>
      </c>
      <c r="B185" s="796"/>
      <c r="C185" s="796"/>
      <c r="D185" s="796"/>
      <c r="E185" s="797"/>
      <c r="F185" s="1173"/>
      <c r="G185" s="799"/>
      <c r="H185" s="798"/>
      <c r="I185" s="796"/>
      <c r="J185" s="796"/>
      <c r="K185" s="798"/>
      <c r="L185" s="800"/>
      <c r="M185" s="800"/>
      <c r="N185" s="801"/>
      <c r="O185" s="796"/>
      <c r="P185" s="798"/>
      <c r="Q185" s="796"/>
      <c r="R185" s="799"/>
      <c r="S185" s="802"/>
      <c r="T185" s="311">
        <f>T183</f>
        <v>50232.11843</v>
      </c>
      <c r="U185" s="796"/>
      <c r="V185" s="803"/>
      <c r="W185" s="311">
        <f>W183</f>
        <v>21152.27268</v>
      </c>
      <c r="X185" s="796"/>
      <c r="Y185" s="803"/>
      <c r="Z185" s="803"/>
      <c r="AA185" s="803"/>
      <c r="AB185" s="804">
        <f>SUM(AB13:AB184)</f>
        <v>71384.39111</v>
      </c>
      <c r="AC185" s="796"/>
      <c r="AD185" s="311">
        <f t="shared" ref="AD185:AE185" si="113">SUM(AD13:AD184)</f>
        <v>71384.39111</v>
      </c>
      <c r="AE185" s="311">
        <f t="shared" si="113"/>
        <v>71384.39111</v>
      </c>
      <c r="AF185" s="312">
        <f t="shared" ref="AF185:AH185" si="114">SUM(iferror(AF13:AF184,""))</f>
        <v>1</v>
      </c>
      <c r="AG185" s="805">
        <f t="shared" si="114"/>
        <v>27306.33095</v>
      </c>
      <c r="AH185" s="312">
        <f t="shared" si="114"/>
        <v>15922.64822</v>
      </c>
      <c r="AI185" s="803"/>
      <c r="AJ185" s="803"/>
      <c r="AK185" s="312">
        <f>SUM(iferror(AK13:AK184,""))</f>
        <v>114613.36</v>
      </c>
      <c r="AL185" s="595"/>
      <c r="AM185" s="595"/>
      <c r="AN185" s="595"/>
      <c r="AO185" s="595"/>
      <c r="AP185" s="595"/>
      <c r="AQ185" s="443"/>
      <c r="AR185" s="595"/>
      <c r="AS185" s="443"/>
      <c r="AT185" s="584"/>
      <c r="AU185" s="443"/>
      <c r="AV185" s="584"/>
      <c r="AW185" s="595"/>
      <c r="AX185" s="584"/>
      <c r="AY185" s="584"/>
      <c r="AZ185" s="584"/>
      <c r="BA185" s="584"/>
      <c r="BB185" s="584"/>
      <c r="BC185" s="584"/>
      <c r="BD185" s="584"/>
      <c r="BE185" s="584"/>
      <c r="BF185" s="584"/>
      <c r="BG185" s="584"/>
      <c r="BH185" s="584"/>
      <c r="BI185" s="597"/>
      <c r="BJ185" s="597"/>
      <c r="BK185" s="597"/>
      <c r="BL185" s="597"/>
      <c r="BM185" s="597"/>
      <c r="BN185" s="597"/>
      <c r="BO185" s="597"/>
      <c r="BP185" s="597"/>
      <c r="BQ185" s="597"/>
      <c r="BR185" s="597"/>
      <c r="BS185" s="597"/>
      <c r="BT185" s="597"/>
    </row>
    <row r="186" ht="12.75" hidden="1" customHeight="1">
      <c r="A186" s="1074"/>
      <c r="B186" s="584"/>
      <c r="C186" s="584"/>
      <c r="D186" s="584"/>
      <c r="E186" s="585"/>
      <c r="F186" s="1075"/>
      <c r="G186" s="587"/>
      <c r="H186" s="586"/>
      <c r="I186" s="806"/>
      <c r="J186" s="806"/>
      <c r="K186" s="349"/>
      <c r="L186" s="588"/>
      <c r="M186" s="588"/>
      <c r="N186" s="589"/>
      <c r="O186" s="595"/>
      <c r="P186" s="586"/>
      <c r="Q186" s="443"/>
      <c r="R186" s="587"/>
      <c r="S186" s="354"/>
      <c r="T186" s="595"/>
      <c r="U186" s="443"/>
      <c r="V186" s="595"/>
      <c r="W186" s="595"/>
      <c r="X186" s="807"/>
      <c r="Y186" s="595"/>
      <c r="Z186" s="595"/>
      <c r="AA186" s="595"/>
      <c r="AB186" s="354"/>
      <c r="AC186" s="584"/>
      <c r="AD186" s="595"/>
      <c r="AE186" s="315">
        <f>W200/AE185</f>
        <v>0.2230550401</v>
      </c>
      <c r="AF186" s="443"/>
      <c r="AG186" s="354"/>
      <c r="AH186" s="595"/>
      <c r="AI186" s="595"/>
      <c r="AJ186" s="595"/>
      <c r="AK186" s="316">
        <f>AK185-T208</f>
        <v>-0.01027485175</v>
      </c>
      <c r="AL186" s="595"/>
      <c r="AM186" s="595"/>
      <c r="AN186" s="595"/>
      <c r="AO186" s="595"/>
      <c r="AP186" s="595"/>
      <c r="AQ186" s="443"/>
      <c r="AR186" s="595"/>
      <c r="AS186" s="443"/>
      <c r="AT186" s="584"/>
      <c r="AU186" s="443"/>
      <c r="AV186" s="584"/>
      <c r="AW186" s="595"/>
      <c r="AX186" s="584"/>
      <c r="AY186" s="584"/>
      <c r="AZ186" s="584"/>
      <c r="BA186" s="584"/>
      <c r="BB186" s="584"/>
      <c r="BC186" s="584"/>
      <c r="BD186" s="584"/>
      <c r="BE186" s="584"/>
      <c r="BF186" s="584"/>
      <c r="BG186" s="584"/>
      <c r="BH186" s="584"/>
      <c r="BI186" s="597"/>
      <c r="BJ186" s="597"/>
      <c r="BK186" s="597"/>
      <c r="BL186" s="597"/>
      <c r="BM186" s="597"/>
      <c r="BN186" s="597"/>
      <c r="BO186" s="597"/>
      <c r="BP186" s="597"/>
      <c r="BQ186" s="597"/>
      <c r="BR186" s="597"/>
      <c r="BS186" s="597"/>
      <c r="BT186" s="597"/>
    </row>
    <row r="187" ht="12.75" hidden="1" customHeight="1">
      <c r="A187" s="1074"/>
      <c r="B187" s="584"/>
      <c r="C187" s="808" t="s">
        <v>174</v>
      </c>
      <c r="D187" s="809"/>
      <c r="E187" s="810"/>
      <c r="F187" s="1174"/>
      <c r="G187" s="812"/>
      <c r="H187" s="811"/>
      <c r="I187" s="814"/>
      <c r="J187" s="815"/>
      <c r="K187" s="816"/>
      <c r="L187" s="817"/>
      <c r="M187" s="817"/>
      <c r="N187" s="818"/>
      <c r="O187" s="584"/>
      <c r="P187" s="586"/>
      <c r="Q187" s="443"/>
      <c r="R187" s="587"/>
      <c r="S187" s="819" t="s">
        <v>175</v>
      </c>
      <c r="T187" s="325">
        <f>T185</f>
        <v>50232.11843</v>
      </c>
      <c r="U187" s="595"/>
      <c r="V187" s="324" t="s">
        <v>175</v>
      </c>
      <c r="W187" s="325">
        <f>W185</f>
        <v>21152.27268</v>
      </c>
      <c r="X187" s="326">
        <f>Z343+AN279+BB259</f>
        <v>29763.84</v>
      </c>
      <c r="Y187" s="595"/>
      <c r="Z187" s="595"/>
      <c r="AA187" s="595"/>
      <c r="AB187" s="354"/>
      <c r="AC187" s="584"/>
      <c r="AD187" s="595"/>
      <c r="AE187" s="595"/>
      <c r="AF187" s="443"/>
      <c r="AG187" s="354"/>
      <c r="AH187" s="595"/>
      <c r="AI187" s="595"/>
      <c r="AJ187" s="595"/>
      <c r="AK187" s="327" t="b">
        <f>AK185=T208</f>
        <v>0</v>
      </c>
      <c r="AL187" s="595"/>
      <c r="AM187" s="595"/>
      <c r="AN187" s="595"/>
      <c r="AO187" s="595"/>
      <c r="AP187" s="443"/>
      <c r="AQ187" s="443"/>
      <c r="AR187" s="595"/>
      <c r="AS187" s="443"/>
      <c r="AT187" s="443"/>
      <c r="AU187" s="443"/>
      <c r="AV187" s="820"/>
      <c r="AW187" s="595"/>
      <c r="AX187" s="584"/>
      <c r="AY187" s="584"/>
      <c r="AZ187" s="584"/>
      <c r="BA187" s="584"/>
      <c r="BB187" s="584"/>
      <c r="BC187" s="584"/>
      <c r="BD187" s="584"/>
      <c r="BE187" s="584"/>
      <c r="BF187" s="584"/>
      <c r="BG187" s="584"/>
      <c r="BH187" s="584"/>
      <c r="BI187" s="597"/>
      <c r="BJ187" s="597"/>
      <c r="BK187" s="597"/>
      <c r="BL187" s="597"/>
      <c r="BM187" s="597"/>
      <c r="BN187" s="597"/>
      <c r="BO187" s="597"/>
      <c r="BP187" s="597"/>
      <c r="BQ187" s="597"/>
      <c r="BR187" s="597"/>
      <c r="BS187" s="597"/>
      <c r="BT187" s="597"/>
    </row>
    <row r="188" ht="12.75" hidden="1" customHeight="1">
      <c r="A188" s="1074"/>
      <c r="B188" s="12" t="s">
        <v>176</v>
      </c>
      <c r="C188" s="329" t="s">
        <v>177</v>
      </c>
      <c r="D188" s="821"/>
      <c r="E188" s="822"/>
      <c r="F188" s="1175"/>
      <c r="G188" s="824"/>
      <c r="H188" s="823"/>
      <c r="I188" s="333" t="s">
        <v>178</v>
      </c>
      <c r="J188" s="334" t="s">
        <v>179</v>
      </c>
      <c r="K188" s="335" t="s">
        <v>180</v>
      </c>
      <c r="L188" s="336" t="s">
        <v>181</v>
      </c>
      <c r="M188" s="337" t="s">
        <v>182</v>
      </c>
      <c r="N188" s="826">
        <f>SUM(N189:N195)</f>
        <v>0</v>
      </c>
      <c r="O188" s="584"/>
      <c r="P188" s="827"/>
      <c r="Q188" s="443"/>
      <c r="R188" s="828">
        <v>0.0</v>
      </c>
      <c r="S188" s="829" t="s">
        <v>183</v>
      </c>
      <c r="T188" s="341">
        <f>(T185)*R188</f>
        <v>0</v>
      </c>
      <c r="U188" s="595"/>
      <c r="V188" s="830"/>
      <c r="W188" s="831"/>
      <c r="X188" s="344">
        <f>W191-X187</f>
        <v>-382.7173234</v>
      </c>
      <c r="Y188" s="595"/>
      <c r="Z188" s="595"/>
      <c r="AA188" s="595"/>
      <c r="AB188" s="345" t="b">
        <f>(T187+W187)=AB185</f>
        <v>1</v>
      </c>
      <c r="AC188" s="584"/>
      <c r="AD188" s="346" t="s">
        <v>184</v>
      </c>
      <c r="AE188" s="595"/>
      <c r="AF188" s="443"/>
      <c r="AG188" s="832">
        <f>AD185</f>
        <v>71384.39111</v>
      </c>
      <c r="AH188" s="595"/>
      <c r="AI188" s="595"/>
      <c r="AJ188" s="595"/>
      <c r="AK188" s="595"/>
      <c r="AL188" s="595"/>
      <c r="AM188" s="595"/>
      <c r="AN188" s="595"/>
      <c r="AO188" s="595"/>
      <c r="AP188" s="443"/>
      <c r="AQ188" s="443"/>
      <c r="AR188" s="595"/>
      <c r="AS188" s="443"/>
      <c r="AT188" s="443"/>
      <c r="AU188" s="443"/>
      <c r="AV188" s="820"/>
      <c r="AW188" s="595"/>
      <c r="AX188" s="584"/>
      <c r="AY188" s="584"/>
      <c r="AZ188" s="584"/>
      <c r="BA188" s="584"/>
      <c r="BB188" s="584"/>
      <c r="BC188" s="584"/>
      <c r="BD188" s="584"/>
      <c r="BE188" s="584"/>
      <c r="BF188" s="584"/>
      <c r="BG188" s="584"/>
      <c r="BH188" s="584"/>
      <c r="BI188" s="597"/>
      <c r="BJ188" s="597"/>
      <c r="BK188" s="597"/>
      <c r="BL188" s="597"/>
      <c r="BM188" s="597"/>
      <c r="BN188" s="597"/>
      <c r="BO188" s="597"/>
      <c r="BP188" s="597"/>
      <c r="BQ188" s="597"/>
      <c r="BR188" s="597"/>
      <c r="BS188" s="597"/>
      <c r="BT188" s="597"/>
    </row>
    <row r="189" ht="12.75" hidden="1" customHeight="1">
      <c r="A189" s="1074"/>
      <c r="B189" s="584"/>
      <c r="C189" s="347" t="s">
        <v>185</v>
      </c>
      <c r="D189" s="609"/>
      <c r="E189" s="585"/>
      <c r="F189" s="1075"/>
      <c r="G189" s="587"/>
      <c r="H189" s="586"/>
      <c r="I189" s="349">
        <f>X207</f>
        <v>4</v>
      </c>
      <c r="J189" s="349">
        <f>I189</f>
        <v>4</v>
      </c>
      <c r="K189" s="349">
        <f>I189</f>
        <v>4</v>
      </c>
      <c r="L189" s="350">
        <v>2.0</v>
      </c>
      <c r="M189" s="350">
        <v>1.0</v>
      </c>
      <c r="N189" s="833"/>
      <c r="O189" s="584"/>
      <c r="P189" s="586"/>
      <c r="Q189" s="443"/>
      <c r="R189" s="834"/>
      <c r="S189" s="829" t="s">
        <v>186</v>
      </c>
      <c r="T189" s="341">
        <v>0.0</v>
      </c>
      <c r="U189" s="353">
        <f>W189/(W185)</f>
        <v>0.3890291188</v>
      </c>
      <c r="V189" s="340" t="s">
        <v>186</v>
      </c>
      <c r="W189" s="835">
        <v>8228.85</v>
      </c>
      <c r="X189" s="443"/>
      <c r="Y189" s="595"/>
      <c r="Z189" s="595"/>
      <c r="AA189" s="595"/>
      <c r="AB189" s="354"/>
      <c r="AC189" s="584"/>
      <c r="AD189" s="595"/>
      <c r="AE189" s="595"/>
      <c r="AF189" s="443"/>
      <c r="AG189" s="354"/>
      <c r="AH189" s="595"/>
      <c r="AI189" s="595"/>
      <c r="AJ189" s="595"/>
      <c r="AK189" s="316"/>
      <c r="AL189" s="595"/>
      <c r="AM189" s="595"/>
      <c r="AN189" s="595"/>
      <c r="AO189" s="595"/>
      <c r="AP189" s="443"/>
      <c r="AQ189" s="443"/>
      <c r="AR189" s="595"/>
      <c r="AS189" s="443"/>
      <c r="AT189" s="443"/>
      <c r="AU189" s="443"/>
      <c r="AV189" s="820"/>
      <c r="AW189" s="595"/>
      <c r="AX189" s="584"/>
      <c r="AY189" s="584"/>
      <c r="AZ189" s="584"/>
      <c r="BA189" s="584"/>
      <c r="BB189" s="584"/>
      <c r="BC189" s="584"/>
      <c r="BD189" s="584"/>
      <c r="BE189" s="584"/>
      <c r="BF189" s="584"/>
      <c r="BG189" s="584"/>
      <c r="BH189" s="584"/>
      <c r="BI189" s="597"/>
      <c r="BJ189" s="597"/>
      <c r="BK189" s="597"/>
      <c r="BL189" s="597"/>
      <c r="BM189" s="597"/>
      <c r="BN189" s="597"/>
      <c r="BO189" s="597"/>
      <c r="BP189" s="597"/>
      <c r="BQ189" s="597"/>
      <c r="BR189" s="597"/>
      <c r="BS189" s="597"/>
      <c r="BT189" s="597"/>
    </row>
    <row r="190" ht="12.75" hidden="1" customHeight="1">
      <c r="A190" s="1074"/>
      <c r="B190" s="584"/>
      <c r="C190" s="347" t="s">
        <v>26</v>
      </c>
      <c r="D190" s="609"/>
      <c r="E190" s="585"/>
      <c r="F190" s="1075"/>
      <c r="G190" s="587"/>
      <c r="H190" s="586"/>
      <c r="I190" s="354">
        <v>350.0</v>
      </c>
      <c r="J190" s="354">
        <v>350.0</v>
      </c>
      <c r="K190" s="354">
        <v>400.0</v>
      </c>
      <c r="L190" s="350">
        <v>350.0</v>
      </c>
      <c r="M190" s="350">
        <f>55*1.25</f>
        <v>68.75</v>
      </c>
      <c r="N190" s="833"/>
      <c r="O190" s="584"/>
      <c r="P190" s="586"/>
      <c r="Q190" s="443"/>
      <c r="R190" s="587"/>
      <c r="S190" s="829"/>
      <c r="T190" s="831"/>
      <c r="U190" s="595"/>
      <c r="V190" s="830"/>
      <c r="W190" s="831"/>
      <c r="X190" s="443"/>
      <c r="Y190" s="595"/>
      <c r="Z190" s="595"/>
      <c r="AA190" s="595"/>
      <c r="AB190" s="354"/>
      <c r="AC190" s="584"/>
      <c r="AD190" s="355" t="s">
        <v>187</v>
      </c>
      <c r="AE190" s="836"/>
      <c r="AF190" s="837"/>
      <c r="AG190" s="838">
        <f>T200+U200</f>
        <v>8228.85</v>
      </c>
      <c r="AH190" s="595"/>
      <c r="AI190" s="595"/>
      <c r="AJ190" s="595"/>
      <c r="AK190" s="595"/>
      <c r="AL190" s="595"/>
      <c r="AM190" s="595"/>
      <c r="AN190" s="595"/>
      <c r="AO190" s="595"/>
      <c r="AP190" s="443"/>
      <c r="AQ190" s="443"/>
      <c r="AR190" s="595"/>
      <c r="AS190" s="443"/>
      <c r="AT190" s="443"/>
      <c r="AU190" s="443"/>
      <c r="AV190" s="820"/>
      <c r="AW190" s="595"/>
      <c r="AX190" s="584"/>
      <c r="AY190" s="584"/>
      <c r="AZ190" s="584"/>
      <c r="BA190" s="584"/>
      <c r="BB190" s="584"/>
      <c r="BC190" s="584"/>
      <c r="BD190" s="584"/>
      <c r="BE190" s="584"/>
      <c r="BF190" s="584"/>
      <c r="BG190" s="584"/>
      <c r="BH190" s="584"/>
      <c r="BI190" s="597"/>
      <c r="BJ190" s="597"/>
      <c r="BK190" s="597"/>
      <c r="BL190" s="597"/>
      <c r="BM190" s="597"/>
      <c r="BN190" s="597"/>
      <c r="BO190" s="597"/>
      <c r="BP190" s="597"/>
      <c r="BQ190" s="597"/>
      <c r="BR190" s="597"/>
      <c r="BS190" s="597"/>
      <c r="BT190" s="597"/>
    </row>
    <row r="191" ht="12.75" hidden="1" customHeight="1">
      <c r="A191" s="1074"/>
      <c r="B191" s="584"/>
      <c r="C191" s="359" t="s">
        <v>188</v>
      </c>
      <c r="D191" s="609"/>
      <c r="E191" s="585"/>
      <c r="F191" s="1075"/>
      <c r="G191" s="587"/>
      <c r="H191" s="586"/>
      <c r="I191" s="839"/>
      <c r="J191" s="839"/>
      <c r="K191" s="419"/>
      <c r="L191" s="840"/>
      <c r="M191" s="840"/>
      <c r="N191" s="833"/>
      <c r="O191" s="584"/>
      <c r="P191" s="586"/>
      <c r="Q191" s="443"/>
      <c r="R191" s="587"/>
      <c r="S191" s="841"/>
      <c r="T191" s="363">
        <f>SUM(T187:T190)</f>
        <v>50232.11843</v>
      </c>
      <c r="U191" s="595"/>
      <c r="V191" s="842"/>
      <c r="W191" s="363">
        <f>SUM(W187:W190)</f>
        <v>29381.12268</v>
      </c>
      <c r="X191" s="443"/>
      <c r="Y191" s="595"/>
      <c r="Z191" s="595"/>
      <c r="AA191" s="595"/>
      <c r="AB191" s="354"/>
      <c r="AC191" s="584"/>
      <c r="AD191" s="346" t="s">
        <v>24</v>
      </c>
      <c r="AE191" s="595"/>
      <c r="AF191" s="443"/>
      <c r="AG191" s="843">
        <f>N288-AH191</f>
        <v>19077.48095</v>
      </c>
      <c r="AH191" s="595"/>
      <c r="AI191" s="595"/>
      <c r="AJ191" s="595"/>
      <c r="AK191" s="595"/>
      <c r="AL191" s="595"/>
      <c r="AM191" s="595"/>
      <c r="AN191" s="595"/>
      <c r="AO191" s="595"/>
      <c r="AP191" s="443"/>
      <c r="AQ191" s="443"/>
      <c r="AR191" s="595"/>
      <c r="AS191" s="443"/>
      <c r="AT191" s="443"/>
      <c r="AU191" s="443"/>
      <c r="AV191" s="820"/>
      <c r="AW191" s="595"/>
      <c r="AX191" s="584"/>
      <c r="AY191" s="584"/>
      <c r="AZ191" s="584"/>
      <c r="BA191" s="584"/>
      <c r="BB191" s="584"/>
      <c r="BC191" s="584"/>
      <c r="BD191" s="584"/>
      <c r="BE191" s="584"/>
      <c r="BF191" s="584"/>
      <c r="BG191" s="584"/>
      <c r="BH191" s="584"/>
      <c r="BI191" s="597"/>
      <c r="BJ191" s="597"/>
      <c r="BK191" s="597"/>
      <c r="BL191" s="597"/>
      <c r="BM191" s="597"/>
      <c r="BN191" s="597"/>
      <c r="BO191" s="597"/>
      <c r="BP191" s="597"/>
      <c r="BQ191" s="597"/>
      <c r="BR191" s="597"/>
      <c r="BS191" s="597"/>
      <c r="BT191" s="597"/>
    </row>
    <row r="192" ht="12.75" hidden="1" customHeight="1">
      <c r="A192" s="1074"/>
      <c r="B192" s="584"/>
      <c r="C192" s="365" t="s">
        <v>189</v>
      </c>
      <c r="D192" s="844"/>
      <c r="E192" s="845"/>
      <c r="F192" s="1176"/>
      <c r="G192" s="847"/>
      <c r="H192" s="846"/>
      <c r="I192" s="369">
        <f t="shared" ref="I192:M192" si="115">I190*I189*I191</f>
        <v>0</v>
      </c>
      <c r="J192" s="369">
        <f t="shared" si="115"/>
        <v>0</v>
      </c>
      <c r="K192" s="370">
        <f t="shared" si="115"/>
        <v>0</v>
      </c>
      <c r="L192" s="371">
        <f t="shared" si="115"/>
        <v>0</v>
      </c>
      <c r="M192" s="371">
        <f t="shared" si="115"/>
        <v>0</v>
      </c>
      <c r="N192" s="849">
        <f>SUM(I192:M192)</f>
        <v>0</v>
      </c>
      <c r="O192" s="584"/>
      <c r="P192" s="586"/>
      <c r="Q192" s="443"/>
      <c r="R192" s="587"/>
      <c r="S192" s="829"/>
      <c r="T192" s="831"/>
      <c r="U192" s="595"/>
      <c r="V192" s="830"/>
      <c r="W192" s="831"/>
      <c r="X192" s="443"/>
      <c r="Y192" s="595"/>
      <c r="Z192" s="595"/>
      <c r="AA192" s="595"/>
      <c r="AB192" s="354"/>
      <c r="AC192" s="584"/>
      <c r="AD192" s="595"/>
      <c r="AE192" s="595"/>
      <c r="AF192" s="443"/>
      <c r="AG192" s="832">
        <f>SUM(AG190:AG191)</f>
        <v>27306.33095</v>
      </c>
      <c r="AH192" s="595"/>
      <c r="AI192" s="595"/>
      <c r="AJ192" s="595"/>
      <c r="AK192" s="595"/>
      <c r="AL192" s="595"/>
      <c r="AM192" s="595"/>
      <c r="AN192" s="595"/>
      <c r="AO192" s="595"/>
      <c r="AP192" s="443"/>
      <c r="AQ192" s="443"/>
      <c r="AR192" s="595"/>
      <c r="AS192" s="443"/>
      <c r="AT192" s="443"/>
      <c r="AU192" s="443"/>
      <c r="AV192" s="820"/>
      <c r="AW192" s="595"/>
      <c r="AX192" s="584"/>
      <c r="AY192" s="584"/>
      <c r="AZ192" s="584"/>
      <c r="BA192" s="584"/>
      <c r="BB192" s="584"/>
      <c r="BC192" s="584"/>
      <c r="BD192" s="584"/>
      <c r="BE192" s="584"/>
      <c r="BF192" s="584"/>
      <c r="BG192" s="584"/>
      <c r="BH192" s="584"/>
      <c r="BI192" s="597"/>
      <c r="BJ192" s="597"/>
      <c r="BK192" s="597"/>
      <c r="BL192" s="597"/>
      <c r="BM192" s="597"/>
      <c r="BN192" s="597"/>
      <c r="BO192" s="597"/>
      <c r="BP192" s="597"/>
      <c r="BQ192" s="597"/>
      <c r="BR192" s="597"/>
      <c r="BS192" s="597"/>
      <c r="BT192" s="597"/>
    </row>
    <row r="193" ht="12.75" hidden="1" customHeight="1">
      <c r="A193" s="1074"/>
      <c r="B193" s="584"/>
      <c r="C193" s="347" t="s">
        <v>190</v>
      </c>
      <c r="D193" s="609"/>
      <c r="E193" s="585"/>
      <c r="F193" s="1075"/>
      <c r="G193" s="587"/>
      <c r="H193" s="586"/>
      <c r="I193" s="373">
        <v>8.0</v>
      </c>
      <c r="J193" s="373">
        <v>2.0</v>
      </c>
      <c r="K193" s="374">
        <v>1.0</v>
      </c>
      <c r="L193" s="375">
        <v>2.0</v>
      </c>
      <c r="M193" s="588"/>
      <c r="N193" s="833"/>
      <c r="O193" s="584"/>
      <c r="P193" s="586"/>
      <c r="Q193" s="443"/>
      <c r="R193" s="587"/>
      <c r="S193" s="829"/>
      <c r="T193" s="831"/>
      <c r="U193" s="595"/>
      <c r="V193" s="830"/>
      <c r="W193" s="831"/>
      <c r="X193" s="443"/>
      <c r="Y193" s="595"/>
      <c r="Z193" s="595"/>
      <c r="AA193" s="595"/>
      <c r="AB193" s="354"/>
      <c r="AC193" s="584"/>
      <c r="AD193" s="595"/>
      <c r="AE193" s="595"/>
      <c r="AF193" s="443"/>
      <c r="AG193" s="354"/>
      <c r="AH193" s="595"/>
      <c r="AI193" s="595"/>
      <c r="AJ193" s="595"/>
      <c r="AK193" s="595"/>
      <c r="AL193" s="595"/>
      <c r="AM193" s="595"/>
      <c r="AN193" s="595"/>
      <c r="AO193" s="595"/>
      <c r="AP193" s="443"/>
      <c r="AQ193" s="443"/>
      <c r="AR193" s="595"/>
      <c r="AS193" s="443"/>
      <c r="AT193" s="443"/>
      <c r="AU193" s="443"/>
      <c r="AV193" s="820"/>
      <c r="AW193" s="595"/>
      <c r="AX193" s="584"/>
      <c r="AY193" s="584"/>
      <c r="AZ193" s="584"/>
      <c r="BA193" s="584"/>
      <c r="BB193" s="584"/>
      <c r="BC193" s="584"/>
      <c r="BD193" s="584"/>
      <c r="BE193" s="584"/>
      <c r="BF193" s="584"/>
      <c r="BG193" s="584"/>
      <c r="BH193" s="584"/>
      <c r="BI193" s="597"/>
      <c r="BJ193" s="597"/>
      <c r="BK193" s="597"/>
      <c r="BL193" s="597"/>
      <c r="BM193" s="597"/>
      <c r="BN193" s="597"/>
      <c r="BO193" s="597"/>
      <c r="BP193" s="597"/>
      <c r="BQ193" s="597"/>
      <c r="BR193" s="597"/>
      <c r="BS193" s="597"/>
      <c r="BT193" s="597"/>
    </row>
    <row r="194" ht="12.75" hidden="1" customHeight="1">
      <c r="A194" s="1074"/>
      <c r="B194" s="584"/>
      <c r="C194" s="365" t="s">
        <v>191</v>
      </c>
      <c r="D194" s="844"/>
      <c r="E194" s="845"/>
      <c r="F194" s="1176"/>
      <c r="G194" s="847"/>
      <c r="H194" s="846"/>
      <c r="I194" s="369">
        <f>I189*I191*I193*X209</f>
        <v>0</v>
      </c>
      <c r="J194" s="369">
        <f>J189*J191*J193*X209</f>
        <v>0</v>
      </c>
      <c r="K194" s="370">
        <f>K189*K191*K193*X209*X209</f>
        <v>0</v>
      </c>
      <c r="L194" s="371">
        <f>L189*L191*L193*X209</f>
        <v>0</v>
      </c>
      <c r="M194" s="850"/>
      <c r="N194" s="849">
        <f>SUM(I194:M194)</f>
        <v>0</v>
      </c>
      <c r="O194" s="584"/>
      <c r="P194" s="586"/>
      <c r="Q194" s="443"/>
      <c r="R194" s="587"/>
      <c r="S194" s="829"/>
      <c r="T194" s="831"/>
      <c r="U194" s="595"/>
      <c r="V194" s="830"/>
      <c r="W194" s="831"/>
      <c r="X194" s="443"/>
      <c r="Y194" s="595"/>
      <c r="Z194" s="595"/>
      <c r="AA194" s="595"/>
      <c r="AB194" s="354"/>
      <c r="AC194" s="584"/>
      <c r="AD194" s="346" t="s">
        <v>192</v>
      </c>
      <c r="AE194" s="595"/>
      <c r="AF194" s="443"/>
      <c r="AG194" s="832">
        <f>+AG192+AG188</f>
        <v>98690.72205</v>
      </c>
      <c r="AH194" s="595"/>
      <c r="AI194" s="595"/>
      <c r="AJ194" s="595"/>
      <c r="AK194" s="595"/>
      <c r="AL194" s="595"/>
      <c r="AM194" s="595"/>
      <c r="AN194" s="595"/>
      <c r="AO194" s="595"/>
      <c r="AP194" s="443"/>
      <c r="AQ194" s="443"/>
      <c r="AR194" s="595"/>
      <c r="AS194" s="443"/>
      <c r="AT194" s="443"/>
      <c r="AU194" s="443"/>
      <c r="AV194" s="820"/>
      <c r="AW194" s="595"/>
      <c r="AX194" s="584"/>
      <c r="AY194" s="584"/>
      <c r="AZ194" s="584"/>
      <c r="BA194" s="584"/>
      <c r="BB194" s="584"/>
      <c r="BC194" s="584"/>
      <c r="BD194" s="584"/>
      <c r="BE194" s="584"/>
      <c r="BF194" s="584"/>
      <c r="BG194" s="584"/>
      <c r="BH194" s="584"/>
      <c r="BI194" s="597"/>
      <c r="BJ194" s="597"/>
      <c r="BK194" s="597"/>
      <c r="BL194" s="597"/>
      <c r="BM194" s="597"/>
      <c r="BN194" s="597"/>
      <c r="BO194" s="597"/>
      <c r="BP194" s="597"/>
      <c r="BQ194" s="597"/>
      <c r="BR194" s="597"/>
      <c r="BS194" s="597"/>
      <c r="BT194" s="597"/>
    </row>
    <row r="195" ht="12.75" hidden="1" customHeight="1">
      <c r="A195" s="1074"/>
      <c r="B195" s="584"/>
      <c r="C195" s="851"/>
      <c r="D195" s="609"/>
      <c r="E195" s="585"/>
      <c r="F195" s="1075"/>
      <c r="G195" s="587"/>
      <c r="H195" s="586"/>
      <c r="I195" s="443"/>
      <c r="J195" s="852"/>
      <c r="K195" s="853"/>
      <c r="L195" s="588"/>
      <c r="M195" s="588"/>
      <c r="N195" s="833"/>
      <c r="O195" s="584"/>
      <c r="P195" s="586"/>
      <c r="Q195" s="443"/>
      <c r="R195" s="587"/>
      <c r="S195" s="854" t="s">
        <v>193</v>
      </c>
      <c r="T195" s="379">
        <f>T191+T193</f>
        <v>50232.11843</v>
      </c>
      <c r="U195" s="595"/>
      <c r="V195" s="378" t="s">
        <v>193</v>
      </c>
      <c r="W195" s="379">
        <f>W191+W193</f>
        <v>29381.12268</v>
      </c>
      <c r="X195" s="443"/>
      <c r="Y195" s="595"/>
      <c r="Z195" s="595"/>
      <c r="AA195" s="595"/>
      <c r="AB195" s="354"/>
      <c r="AC195" s="584"/>
      <c r="AD195" s="346" t="s">
        <v>194</v>
      </c>
      <c r="AE195" s="595"/>
      <c r="AF195" s="855"/>
      <c r="AG195" s="843">
        <f>W200</f>
        <v>15922.64822</v>
      </c>
      <c r="AH195" s="353">
        <f>AG195/AG194</f>
        <v>0.1613388563</v>
      </c>
      <c r="AI195" s="595"/>
      <c r="AJ195" s="595"/>
      <c r="AK195" s="595"/>
      <c r="AL195" s="595"/>
      <c r="AM195" s="595"/>
      <c r="AN195" s="595"/>
      <c r="AO195" s="595"/>
      <c r="AP195" s="443"/>
      <c r="AQ195" s="443"/>
      <c r="AR195" s="595"/>
      <c r="AS195" s="443"/>
      <c r="AT195" s="443"/>
      <c r="AU195" s="443"/>
      <c r="AV195" s="820"/>
      <c r="AW195" s="595"/>
      <c r="AX195" s="584"/>
      <c r="AY195" s="584"/>
      <c r="AZ195" s="584"/>
      <c r="BA195" s="584"/>
      <c r="BB195" s="584"/>
      <c r="BC195" s="584"/>
      <c r="BD195" s="584"/>
      <c r="BE195" s="584"/>
      <c r="BF195" s="584"/>
      <c r="BG195" s="584"/>
      <c r="BH195" s="584"/>
      <c r="BI195" s="597"/>
      <c r="BJ195" s="597"/>
      <c r="BK195" s="597"/>
      <c r="BL195" s="597"/>
      <c r="BM195" s="597"/>
      <c r="BN195" s="597"/>
      <c r="BO195" s="597"/>
      <c r="BP195" s="597"/>
      <c r="BQ195" s="597"/>
      <c r="BR195" s="597"/>
      <c r="BS195" s="597"/>
      <c r="BT195" s="597"/>
    </row>
    <row r="196" ht="12.75" hidden="1" customHeight="1">
      <c r="A196" s="1177"/>
      <c r="B196" s="12" t="s">
        <v>176</v>
      </c>
      <c r="C196" s="329" t="s">
        <v>195</v>
      </c>
      <c r="D196" s="821"/>
      <c r="E196" s="822"/>
      <c r="F196" s="1175"/>
      <c r="G196" s="824"/>
      <c r="H196" s="823"/>
      <c r="I196" s="333" t="s">
        <v>196</v>
      </c>
      <c r="J196" s="334" t="s">
        <v>197</v>
      </c>
      <c r="K196" s="335" t="s">
        <v>198</v>
      </c>
      <c r="L196" s="336" t="s">
        <v>199</v>
      </c>
      <c r="M196" s="337" t="s">
        <v>200</v>
      </c>
      <c r="N196" s="857">
        <f>SUM(N197:N201)</f>
        <v>1253.8</v>
      </c>
      <c r="O196" s="584"/>
      <c r="P196" s="586"/>
      <c r="Q196" s="443"/>
      <c r="R196" s="587"/>
      <c r="S196" s="354"/>
      <c r="T196" s="595"/>
      <c r="U196" s="443"/>
      <c r="V196" s="595"/>
      <c r="W196" s="595"/>
      <c r="X196" s="443"/>
      <c r="Y196" s="595"/>
      <c r="Z196" s="595"/>
      <c r="AA196" s="595"/>
      <c r="AB196" s="354"/>
      <c r="AC196" s="584"/>
      <c r="AD196" s="355" t="s">
        <v>201</v>
      </c>
      <c r="AE196" s="836"/>
      <c r="AF196" s="837"/>
      <c r="AG196" s="838">
        <f>SUM(AG194:AG195)</f>
        <v>114613.3703</v>
      </c>
      <c r="AH196" s="836"/>
      <c r="AI196" s="595"/>
      <c r="AJ196" s="595"/>
      <c r="AK196" s="595"/>
      <c r="AL196" s="595"/>
      <c r="AM196" s="595"/>
      <c r="AN196" s="595"/>
      <c r="AO196" s="595"/>
      <c r="AP196" s="443"/>
      <c r="AQ196" s="443"/>
      <c r="AR196" s="595"/>
      <c r="AS196" s="443"/>
      <c r="AT196" s="443"/>
      <c r="AU196" s="443"/>
      <c r="AV196" s="820"/>
      <c r="AW196" s="595"/>
      <c r="AX196" s="584"/>
      <c r="AY196" s="584"/>
      <c r="AZ196" s="584"/>
      <c r="BA196" s="584"/>
      <c r="BB196" s="584"/>
      <c r="BC196" s="584"/>
      <c r="BD196" s="584"/>
      <c r="BE196" s="584"/>
      <c r="BF196" s="584"/>
      <c r="BG196" s="584"/>
      <c r="BH196" s="584"/>
      <c r="BI196" s="597"/>
      <c r="BJ196" s="597"/>
      <c r="BK196" s="597"/>
      <c r="BL196" s="597"/>
      <c r="BM196" s="597"/>
      <c r="BN196" s="597"/>
      <c r="BO196" s="597"/>
      <c r="BP196" s="597"/>
      <c r="BQ196" s="597"/>
      <c r="BR196" s="597"/>
      <c r="BS196" s="597"/>
      <c r="BT196" s="597"/>
    </row>
    <row r="197" ht="12.75" hidden="1" customHeight="1">
      <c r="A197" s="1074"/>
      <c r="B197" s="584"/>
      <c r="C197" s="851"/>
      <c r="D197" s="609"/>
      <c r="E197" s="585"/>
      <c r="F197" s="1075"/>
      <c r="G197" s="587"/>
      <c r="H197" s="586"/>
      <c r="I197" s="858">
        <v>5.0</v>
      </c>
      <c r="J197" s="858">
        <v>3.0</v>
      </c>
      <c r="K197" s="859">
        <v>282.0</v>
      </c>
      <c r="L197" s="350">
        <v>0.0</v>
      </c>
      <c r="M197" s="859">
        <v>1.0</v>
      </c>
      <c r="N197" s="833"/>
      <c r="O197" s="584"/>
      <c r="P197" s="586"/>
      <c r="Q197" s="443"/>
      <c r="R197" s="860" t="s">
        <v>7</v>
      </c>
      <c r="S197" s="386" t="s">
        <v>202</v>
      </c>
      <c r="T197" s="386" t="s">
        <v>203</v>
      </c>
      <c r="U197" s="386" t="s">
        <v>186</v>
      </c>
      <c r="V197" s="387" t="s">
        <v>204</v>
      </c>
      <c r="W197" s="387" t="s">
        <v>194</v>
      </c>
      <c r="X197" s="387" t="s">
        <v>24</v>
      </c>
      <c r="Y197" s="861"/>
      <c r="Z197" s="861"/>
      <c r="AA197" s="861"/>
      <c r="AB197" s="862" t="s">
        <v>205</v>
      </c>
      <c r="AC197" s="584"/>
      <c r="AD197" s="595"/>
      <c r="AE197" s="595"/>
      <c r="AF197" s="443"/>
      <c r="AG197" s="354"/>
      <c r="AH197" s="595"/>
      <c r="AI197" s="595"/>
      <c r="AJ197" s="595"/>
      <c r="AK197" s="595"/>
      <c r="AL197" s="595"/>
      <c r="AM197" s="595"/>
      <c r="AN197" s="595"/>
      <c r="AO197" s="595"/>
      <c r="AP197" s="443"/>
      <c r="AQ197" s="443"/>
      <c r="AR197" s="595"/>
      <c r="AS197" s="443"/>
      <c r="AT197" s="443"/>
      <c r="AU197" s="443"/>
      <c r="AV197" s="820"/>
      <c r="AW197" s="595"/>
      <c r="AX197" s="584"/>
      <c r="AY197" s="584"/>
      <c r="AZ197" s="584"/>
      <c r="BA197" s="584"/>
      <c r="BB197" s="584"/>
      <c r="BC197" s="584"/>
      <c r="BD197" s="584"/>
      <c r="BE197" s="584"/>
      <c r="BF197" s="584"/>
      <c r="BG197" s="584"/>
      <c r="BH197" s="584"/>
      <c r="BI197" s="597"/>
      <c r="BJ197" s="597"/>
      <c r="BK197" s="597"/>
      <c r="BL197" s="597"/>
      <c r="BM197" s="597"/>
      <c r="BN197" s="597"/>
      <c r="BO197" s="597"/>
      <c r="BP197" s="597"/>
      <c r="BQ197" s="597"/>
      <c r="BR197" s="597"/>
      <c r="BS197" s="597"/>
      <c r="BT197" s="597"/>
    </row>
    <row r="198" ht="12.75" hidden="1" customHeight="1">
      <c r="A198" s="1074"/>
      <c r="B198" s="584"/>
      <c r="C198" s="347" t="s">
        <v>26</v>
      </c>
      <c r="D198" s="609"/>
      <c r="E198" s="585"/>
      <c r="F198" s="1075"/>
      <c r="G198" s="587"/>
      <c r="H198" s="586"/>
      <c r="I198" s="354">
        <f>$AC$210</f>
        <v>46</v>
      </c>
      <c r="J198" s="354">
        <f>I198</f>
        <v>46</v>
      </c>
      <c r="K198" s="390">
        <v>0.95</v>
      </c>
      <c r="L198" s="391">
        <v>1200.0</v>
      </c>
      <c r="M198" s="391">
        <v>120.0</v>
      </c>
      <c r="N198" s="833"/>
      <c r="O198" s="584"/>
      <c r="P198" s="586"/>
      <c r="Q198" s="392">
        <f>S198/S200</f>
        <v>0.7036849044</v>
      </c>
      <c r="R198" s="863" t="s">
        <v>206</v>
      </c>
      <c r="S198" s="864">
        <f>T185</f>
        <v>50232.11843</v>
      </c>
      <c r="T198" s="394">
        <f>T188</f>
        <v>0</v>
      </c>
      <c r="U198" s="394">
        <f>T189</f>
        <v>0</v>
      </c>
      <c r="V198" s="865"/>
      <c r="W198" s="396">
        <f>W201*Q198</f>
        <v>11204.52719</v>
      </c>
      <c r="X198" s="866"/>
      <c r="Y198" s="867"/>
      <c r="Z198" s="867"/>
      <c r="AA198" s="867"/>
      <c r="AB198" s="868"/>
      <c r="AC198" s="584"/>
      <c r="AD198" s="595"/>
      <c r="AE198" s="595"/>
      <c r="AF198" s="443"/>
      <c r="AG198" s="354"/>
      <c r="AH198" s="595"/>
      <c r="AI198" s="595"/>
      <c r="AJ198" s="595"/>
      <c r="AK198" s="595"/>
      <c r="AL198" s="595"/>
      <c r="AM198" s="595"/>
      <c r="AN198" s="595"/>
      <c r="AO198" s="595"/>
      <c r="AP198" s="443"/>
      <c r="AQ198" s="443"/>
      <c r="AR198" s="595"/>
      <c r="AS198" s="443"/>
      <c r="AT198" s="443"/>
      <c r="AU198" s="443"/>
      <c r="AV198" s="820"/>
      <c r="AW198" s="595"/>
      <c r="AX198" s="584"/>
      <c r="AY198" s="584"/>
      <c r="AZ198" s="584"/>
      <c r="BA198" s="584"/>
      <c r="BB198" s="584"/>
      <c r="BC198" s="584"/>
      <c r="BD198" s="584"/>
      <c r="BE198" s="584"/>
      <c r="BF198" s="584"/>
      <c r="BG198" s="584"/>
      <c r="BH198" s="584"/>
      <c r="BI198" s="597"/>
      <c r="BJ198" s="597"/>
      <c r="BK198" s="597"/>
      <c r="BL198" s="597"/>
      <c r="BM198" s="597"/>
      <c r="BN198" s="597"/>
      <c r="BO198" s="597"/>
      <c r="BP198" s="597"/>
      <c r="BQ198" s="597"/>
      <c r="BR198" s="597"/>
      <c r="BS198" s="597"/>
      <c r="BT198" s="597"/>
    </row>
    <row r="199" ht="12.75" hidden="1" customHeight="1">
      <c r="A199" s="1074"/>
      <c r="B199" s="584"/>
      <c r="C199" s="359" t="s">
        <v>188</v>
      </c>
      <c r="D199" s="609"/>
      <c r="E199" s="585"/>
      <c r="F199" s="1075"/>
      <c r="G199" s="587"/>
      <c r="H199" s="586"/>
      <c r="I199" s="869">
        <v>2.0</v>
      </c>
      <c r="J199" s="869">
        <v>1.0</v>
      </c>
      <c r="K199" s="869">
        <v>2.0</v>
      </c>
      <c r="L199" s="401"/>
      <c r="M199" s="870">
        <v>1.0</v>
      </c>
      <c r="N199" s="833"/>
      <c r="O199" s="584"/>
      <c r="P199" s="586"/>
      <c r="Q199" s="392">
        <f>S199/S200</f>
        <v>0.2963150956</v>
      </c>
      <c r="R199" s="863" t="s">
        <v>185</v>
      </c>
      <c r="S199" s="871">
        <f>W185</f>
        <v>21152.27268</v>
      </c>
      <c r="T199" s="866"/>
      <c r="U199" s="866">
        <f>W189</f>
        <v>8228.85</v>
      </c>
      <c r="V199" s="872"/>
      <c r="W199" s="396">
        <f>W201*Q199</f>
        <v>4718.12103</v>
      </c>
      <c r="X199" s="866"/>
      <c r="Y199" s="867"/>
      <c r="Z199" s="867"/>
      <c r="AA199" s="867"/>
      <c r="AB199" s="868"/>
      <c r="AC199" s="584"/>
      <c r="AD199" s="595"/>
      <c r="AE199" s="595"/>
      <c r="AF199" s="443"/>
      <c r="AG199" s="354"/>
      <c r="AH199" s="595"/>
      <c r="AI199" s="595"/>
      <c r="AJ199" s="595"/>
      <c r="AK199" s="595"/>
      <c r="AL199" s="595"/>
      <c r="AM199" s="595"/>
      <c r="AN199" s="595"/>
      <c r="AO199" s="595"/>
      <c r="AP199" s="595"/>
      <c r="AQ199" s="595"/>
      <c r="AR199" s="595"/>
      <c r="AS199" s="595"/>
      <c r="AT199" s="595"/>
      <c r="AU199" s="595"/>
      <c r="AV199" s="595"/>
      <c r="AW199" s="595"/>
      <c r="AX199" s="595"/>
      <c r="AY199" s="595"/>
      <c r="AZ199" s="595"/>
      <c r="BA199" s="595"/>
      <c r="BB199" s="595"/>
      <c r="BC199" s="595"/>
      <c r="BD199" s="595"/>
      <c r="BE199" s="595"/>
      <c r="BF199" s="595"/>
      <c r="BG199" s="595"/>
      <c r="BH199" s="595"/>
      <c r="BI199" s="651"/>
      <c r="BJ199" s="651"/>
      <c r="BK199" s="651"/>
      <c r="BL199" s="651"/>
      <c r="BM199" s="651"/>
      <c r="BN199" s="651"/>
      <c r="BO199" s="651"/>
      <c r="BP199" s="651"/>
      <c r="BQ199" s="651"/>
      <c r="BR199" s="651"/>
      <c r="BS199" s="651"/>
      <c r="BT199" s="651"/>
    </row>
    <row r="200" ht="12.75" hidden="1" customHeight="1">
      <c r="A200" s="1074"/>
      <c r="B200" s="584"/>
      <c r="C200" s="365" t="s">
        <v>189</v>
      </c>
      <c r="D200" s="844"/>
      <c r="E200" s="845"/>
      <c r="F200" s="1176"/>
      <c r="G200" s="847"/>
      <c r="H200" s="846"/>
      <c r="I200" s="369">
        <f t="shared" ref="I200:M200" si="116">I198*I197*I199</f>
        <v>460</v>
      </c>
      <c r="J200" s="369">
        <f t="shared" si="116"/>
        <v>138</v>
      </c>
      <c r="K200" s="370">
        <f t="shared" si="116"/>
        <v>535.8</v>
      </c>
      <c r="L200" s="371">
        <f t="shared" si="116"/>
        <v>0</v>
      </c>
      <c r="M200" s="371">
        <f t="shared" si="116"/>
        <v>120</v>
      </c>
      <c r="N200" s="849">
        <f>SUM(I200:M200)</f>
        <v>1253.8</v>
      </c>
      <c r="O200" s="584"/>
      <c r="P200" s="586"/>
      <c r="Q200" s="443"/>
      <c r="R200" s="873" t="s">
        <v>207</v>
      </c>
      <c r="S200" s="874">
        <f>SUM(S198:S199)</f>
        <v>71384.39111</v>
      </c>
      <c r="T200" s="405">
        <f>T188</f>
        <v>0</v>
      </c>
      <c r="U200" s="405">
        <f>SUM(U198:U199)</f>
        <v>8228.85</v>
      </c>
      <c r="V200" s="406">
        <f>W200/AE185</f>
        <v>0.2230550401</v>
      </c>
      <c r="W200" s="407">
        <f>SUM(W198:W199)</f>
        <v>15922.64822</v>
      </c>
      <c r="X200" s="405">
        <f>N288</f>
        <v>19077.48095</v>
      </c>
      <c r="Y200" s="875"/>
      <c r="Z200" s="875"/>
      <c r="AA200" s="875"/>
      <c r="AB200" s="876">
        <f>X200+W200+U200+T200+S200</f>
        <v>114613.3703</v>
      </c>
      <c r="AC200" s="584"/>
      <c r="AD200" s="595"/>
      <c r="AE200" s="595"/>
      <c r="AF200" s="443"/>
      <c r="AG200" s="354"/>
      <c r="AH200" s="595"/>
      <c r="AI200" s="595"/>
      <c r="AJ200" s="595"/>
      <c r="AK200" s="595"/>
      <c r="AL200" s="595"/>
      <c r="AM200" s="595"/>
      <c r="AN200" s="595"/>
      <c r="AO200" s="595"/>
      <c r="AP200" s="595"/>
      <c r="AQ200" s="595"/>
      <c r="AR200" s="595"/>
      <c r="AS200" s="595"/>
      <c r="AT200" s="595"/>
      <c r="AU200" s="595"/>
      <c r="AV200" s="595"/>
      <c r="AW200" s="595"/>
      <c r="AX200" s="595"/>
      <c r="AY200" s="595"/>
      <c r="AZ200" s="595"/>
      <c r="BA200" s="595"/>
      <c r="BB200" s="595"/>
      <c r="BC200" s="595"/>
      <c r="BD200" s="595"/>
      <c r="BE200" s="595"/>
      <c r="BF200" s="595"/>
      <c r="BG200" s="595"/>
      <c r="BH200" s="595"/>
      <c r="BI200" s="651"/>
      <c r="BJ200" s="651"/>
      <c r="BK200" s="651"/>
      <c r="BL200" s="651"/>
      <c r="BM200" s="651"/>
      <c r="BN200" s="651"/>
      <c r="BO200" s="651"/>
      <c r="BP200" s="651"/>
      <c r="BQ200" s="651"/>
      <c r="BR200" s="651"/>
      <c r="BS200" s="651"/>
      <c r="BT200" s="651"/>
    </row>
    <row r="201" ht="12.75" hidden="1" customHeight="1">
      <c r="A201" s="1074"/>
      <c r="B201" s="584"/>
      <c r="C201" s="851"/>
      <c r="D201" s="609"/>
      <c r="E201" s="585"/>
      <c r="F201" s="1075"/>
      <c r="G201" s="587"/>
      <c r="H201" s="586"/>
      <c r="I201" s="584"/>
      <c r="J201" s="584"/>
      <c r="K201" s="586"/>
      <c r="L201" s="588"/>
      <c r="M201" s="588"/>
      <c r="N201" s="833"/>
      <c r="O201" s="584"/>
      <c r="P201" s="586"/>
      <c r="Q201" s="443"/>
      <c r="R201" s="587"/>
      <c r="S201" s="354"/>
      <c r="T201" s="595"/>
      <c r="U201" s="443"/>
      <c r="V201" s="410">
        <f>W201/AE185</f>
        <v>0.2230550401</v>
      </c>
      <c r="W201" s="411">
        <f>I311</f>
        <v>15922.64822</v>
      </c>
      <c r="X201" s="443"/>
      <c r="Y201" s="595"/>
      <c r="Z201" s="595"/>
      <c r="AA201" s="595"/>
      <c r="AB201" s="354" t="b">
        <f>AB200=T208</f>
        <v>1</v>
      </c>
      <c r="AC201" s="584"/>
      <c r="AD201" s="595"/>
      <c r="AE201" s="595"/>
      <c r="AF201" s="443"/>
      <c r="AG201" s="354"/>
      <c r="AH201" s="595"/>
      <c r="AI201" s="595"/>
      <c r="AJ201" s="595"/>
      <c r="AK201" s="595"/>
      <c r="AL201" s="595"/>
      <c r="AM201" s="595"/>
      <c r="AN201" s="595"/>
      <c r="AO201" s="595"/>
      <c r="AP201" s="595"/>
      <c r="AQ201" s="595"/>
      <c r="AR201" s="595"/>
      <c r="AS201" s="595"/>
      <c r="AT201" s="595"/>
      <c r="AU201" s="595"/>
      <c r="AV201" s="595"/>
      <c r="AW201" s="595"/>
      <c r="AX201" s="595"/>
      <c r="AY201" s="595"/>
      <c r="AZ201" s="595"/>
      <c r="BA201" s="595"/>
      <c r="BB201" s="595"/>
      <c r="BC201" s="595"/>
      <c r="BD201" s="595"/>
      <c r="BE201" s="595"/>
      <c r="BF201" s="595"/>
      <c r="BG201" s="595"/>
      <c r="BH201" s="595"/>
      <c r="BI201" s="651"/>
      <c r="BJ201" s="651"/>
      <c r="BK201" s="651"/>
      <c r="BL201" s="651"/>
      <c r="BM201" s="651"/>
      <c r="BN201" s="651"/>
      <c r="BO201" s="651"/>
      <c r="BP201" s="651"/>
      <c r="BQ201" s="651"/>
      <c r="BR201" s="651"/>
      <c r="BS201" s="651"/>
      <c r="BT201" s="651"/>
    </row>
    <row r="202" ht="12.75" hidden="1" customHeight="1">
      <c r="A202" s="1074"/>
      <c r="B202" s="12" t="s">
        <v>176</v>
      </c>
      <c r="C202" s="412" t="s">
        <v>208</v>
      </c>
      <c r="D202" s="821"/>
      <c r="E202" s="822"/>
      <c r="F202" s="1175"/>
      <c r="G202" s="824"/>
      <c r="H202" s="823"/>
      <c r="I202" s="333" t="s">
        <v>209</v>
      </c>
      <c r="J202" s="333" t="s">
        <v>210</v>
      </c>
      <c r="K202" s="877" t="s">
        <v>233</v>
      </c>
      <c r="L202" s="413" t="s">
        <v>212</v>
      </c>
      <c r="M202" s="878"/>
      <c r="N202" s="857">
        <f>SUM(N203:N211)</f>
        <v>1500</v>
      </c>
      <c r="O202" s="584"/>
      <c r="P202" s="586"/>
      <c r="Q202" s="584"/>
      <c r="R202" s="587"/>
      <c r="S202" s="354"/>
      <c r="T202" s="595"/>
      <c r="U202" s="443"/>
      <c r="V202" s="807"/>
      <c r="W202" s="595"/>
      <c r="X202" s="443"/>
      <c r="Y202" s="595"/>
      <c r="Z202" s="595"/>
      <c r="AA202" s="595"/>
      <c r="AB202" s="354"/>
      <c r="AC202" s="415">
        <v>1.0</v>
      </c>
      <c r="AD202" s="416" t="s">
        <v>213</v>
      </c>
      <c r="AE202" s="595"/>
      <c r="AF202" s="443"/>
      <c r="AG202" s="354"/>
      <c r="AH202" s="595"/>
      <c r="AI202" s="595"/>
      <c r="AJ202" s="595"/>
      <c r="AK202" s="595"/>
      <c r="AL202" s="595"/>
      <c r="AM202" s="595"/>
      <c r="AN202" s="595"/>
      <c r="AO202" s="595"/>
      <c r="AP202" s="595"/>
      <c r="AQ202" s="595"/>
      <c r="AR202" s="595"/>
      <c r="AS202" s="595"/>
      <c r="AT202" s="595"/>
      <c r="AU202" s="595"/>
      <c r="AV202" s="595"/>
      <c r="AW202" s="595"/>
      <c r="AX202" s="595"/>
      <c r="AY202" s="595"/>
      <c r="AZ202" s="595"/>
      <c r="BA202" s="595"/>
      <c r="BB202" s="595"/>
      <c r="BC202" s="595"/>
      <c r="BD202" s="595"/>
      <c r="BE202" s="595"/>
      <c r="BF202" s="595"/>
      <c r="BG202" s="595"/>
      <c r="BH202" s="595"/>
      <c r="BI202" s="651"/>
      <c r="BJ202" s="651"/>
      <c r="BK202" s="651"/>
      <c r="BL202" s="651"/>
      <c r="BM202" s="651"/>
      <c r="BN202" s="651"/>
      <c r="BO202" s="651"/>
      <c r="BP202" s="651"/>
      <c r="BQ202" s="651"/>
      <c r="BR202" s="651"/>
      <c r="BS202" s="651"/>
      <c r="BT202" s="651"/>
    </row>
    <row r="203" ht="12.75" hidden="1" customHeight="1">
      <c r="A203" s="1074"/>
      <c r="B203" s="584"/>
      <c r="C203" s="851"/>
      <c r="D203" s="609"/>
      <c r="E203" s="585"/>
      <c r="F203" s="1075"/>
      <c r="G203" s="587"/>
      <c r="H203" s="586"/>
      <c r="I203" s="879">
        <v>200.0</v>
      </c>
      <c r="J203" s="879">
        <v>500.0</v>
      </c>
      <c r="K203" s="879"/>
      <c r="L203" s="859">
        <v>200.0</v>
      </c>
      <c r="M203" s="588"/>
      <c r="N203" s="833"/>
      <c r="O203" s="584"/>
      <c r="P203" s="586"/>
      <c r="Q203" s="820"/>
      <c r="R203" s="880"/>
      <c r="S203" s="354"/>
      <c r="T203" s="595"/>
      <c r="U203" s="443"/>
      <c r="V203" s="417" t="s">
        <v>214</v>
      </c>
      <c r="W203" s="418">
        <f t="shared" ref="W203:W206" si="117">X203*AB203</f>
        <v>40</v>
      </c>
      <c r="X203" s="326">
        <v>1.0</v>
      </c>
      <c r="Y203" s="595"/>
      <c r="Z203" s="595"/>
      <c r="AA203" s="595"/>
      <c r="AB203" s="879">
        <v>40.0</v>
      </c>
      <c r="AC203" s="584"/>
      <c r="AD203" s="595"/>
      <c r="AE203" s="595"/>
      <c r="AF203" s="443"/>
      <c r="AG203" s="354"/>
      <c r="AH203" s="595"/>
      <c r="AI203" s="595"/>
      <c r="AJ203" s="595"/>
      <c r="AK203" s="595"/>
      <c r="AL203" s="595"/>
      <c r="AM203" s="595"/>
      <c r="AN203" s="595"/>
      <c r="AO203" s="595"/>
      <c r="AP203" s="595"/>
      <c r="AQ203" s="595"/>
      <c r="AR203" s="595"/>
      <c r="AS203" s="595"/>
      <c r="AT203" s="595"/>
      <c r="AU203" s="595"/>
      <c r="AV203" s="595"/>
      <c r="AW203" s="595"/>
      <c r="AX203" s="595"/>
      <c r="AY203" s="595"/>
      <c r="AZ203" s="595"/>
      <c r="BA203" s="595"/>
      <c r="BB203" s="595"/>
      <c r="BC203" s="595"/>
      <c r="BD203" s="595"/>
      <c r="BE203" s="595"/>
      <c r="BF203" s="595"/>
      <c r="BG203" s="595"/>
      <c r="BH203" s="595"/>
      <c r="BI203" s="651"/>
      <c r="BJ203" s="651"/>
      <c r="BK203" s="651"/>
      <c r="BL203" s="651"/>
      <c r="BM203" s="651"/>
      <c r="BN203" s="651"/>
      <c r="BO203" s="651"/>
      <c r="BP203" s="651"/>
      <c r="BQ203" s="651"/>
      <c r="BR203" s="651"/>
      <c r="BS203" s="651"/>
      <c r="BT203" s="651"/>
    </row>
    <row r="204" ht="12.75" hidden="1" customHeight="1">
      <c r="A204" s="1074"/>
      <c r="B204" s="584"/>
      <c r="C204" s="359" t="s">
        <v>188</v>
      </c>
      <c r="D204" s="609"/>
      <c r="E204" s="585"/>
      <c r="F204" s="1075"/>
      <c r="G204" s="587"/>
      <c r="H204" s="586"/>
      <c r="I204" s="881">
        <v>1.0</v>
      </c>
      <c r="J204" s="881">
        <v>1.0</v>
      </c>
      <c r="K204" s="881">
        <v>0.0</v>
      </c>
      <c r="L204" s="882">
        <v>4.0</v>
      </c>
      <c r="M204" s="840"/>
      <c r="N204" s="833"/>
      <c r="O204" s="584"/>
      <c r="P204" s="586"/>
      <c r="Q204" s="595"/>
      <c r="R204" s="883">
        <f>R203-T208</f>
        <v>-114613.3703</v>
      </c>
      <c r="S204" s="884" t="s">
        <v>206</v>
      </c>
      <c r="T204" s="422">
        <f t="shared" ref="T204:T205" si="119">S198+T198+U198</f>
        <v>50232.11843</v>
      </c>
      <c r="U204" s="423">
        <f>T204/T208</f>
        <v>0.4382745077</v>
      </c>
      <c r="V204" s="424" t="s">
        <v>215</v>
      </c>
      <c r="W204" s="140">
        <f t="shared" si="117"/>
        <v>40</v>
      </c>
      <c r="X204" s="326">
        <v>1.0</v>
      </c>
      <c r="Y204" s="595"/>
      <c r="Z204" s="595"/>
      <c r="AA204" s="595"/>
      <c r="AB204" s="879">
        <v>40.0</v>
      </c>
      <c r="AC204" s="584"/>
      <c r="AD204" s="595"/>
      <c r="AE204" s="595"/>
      <c r="AF204" s="443"/>
      <c r="AG204" s="354"/>
      <c r="AH204" s="595"/>
      <c r="AI204" s="595"/>
      <c r="AJ204" s="595"/>
      <c r="AK204" s="595"/>
      <c r="AL204" s="595"/>
      <c r="AM204" s="595"/>
      <c r="AN204" s="595"/>
      <c r="AO204" s="595"/>
      <c r="AP204" s="595"/>
      <c r="AQ204" s="595"/>
      <c r="AR204" s="595"/>
      <c r="AS204" s="595"/>
      <c r="AT204" s="595"/>
      <c r="AU204" s="595"/>
      <c r="AV204" s="595"/>
      <c r="AW204" s="595"/>
      <c r="AX204" s="595"/>
      <c r="AY204" s="595"/>
      <c r="AZ204" s="595"/>
      <c r="BA204" s="595"/>
      <c r="BB204" s="595"/>
      <c r="BC204" s="595"/>
      <c r="BD204" s="595"/>
      <c r="BE204" s="595"/>
      <c r="BF204" s="595"/>
      <c r="BG204" s="595"/>
      <c r="BH204" s="595"/>
      <c r="BI204" s="651"/>
      <c r="BJ204" s="651"/>
      <c r="BK204" s="651"/>
      <c r="BL204" s="651"/>
      <c r="BM204" s="651"/>
      <c r="BN204" s="651"/>
      <c r="BO204" s="651"/>
      <c r="BP204" s="651"/>
      <c r="BQ204" s="651"/>
      <c r="BR204" s="651"/>
      <c r="BS204" s="651"/>
      <c r="BT204" s="651"/>
    </row>
    <row r="205" ht="12.75" hidden="1" customHeight="1">
      <c r="A205" s="1074"/>
      <c r="B205" s="584"/>
      <c r="C205" s="365" t="s">
        <v>189</v>
      </c>
      <c r="D205" s="844"/>
      <c r="E205" s="845"/>
      <c r="F205" s="1176"/>
      <c r="G205" s="847"/>
      <c r="H205" s="846"/>
      <c r="I205" s="369">
        <f t="shared" ref="I205:M205" si="118">I203*I204</f>
        <v>200</v>
      </c>
      <c r="J205" s="369">
        <f t="shared" si="118"/>
        <v>500</v>
      </c>
      <c r="K205" s="370">
        <f t="shared" si="118"/>
        <v>0</v>
      </c>
      <c r="L205" s="371">
        <f t="shared" si="118"/>
        <v>800</v>
      </c>
      <c r="M205" s="371">
        <f t="shared" si="118"/>
        <v>0</v>
      </c>
      <c r="N205" s="849">
        <f>SUM(I205:M205)</f>
        <v>1500</v>
      </c>
      <c r="O205" s="584"/>
      <c r="P205" s="586"/>
      <c r="Q205" s="595"/>
      <c r="R205" s="603"/>
      <c r="S205" s="885" t="s">
        <v>185</v>
      </c>
      <c r="T205" s="426">
        <f t="shared" si="119"/>
        <v>29381.12268</v>
      </c>
      <c r="U205" s="423">
        <f>T205/T208</f>
        <v>0.2563498709</v>
      </c>
      <c r="V205" s="424" t="s">
        <v>216</v>
      </c>
      <c r="W205" s="140">
        <f t="shared" si="117"/>
        <v>40</v>
      </c>
      <c r="X205" s="326">
        <v>1.0</v>
      </c>
      <c r="Y205" s="595"/>
      <c r="Z205" s="595"/>
      <c r="AA205" s="595"/>
      <c r="AB205" s="879">
        <v>40.0</v>
      </c>
      <c r="AC205" s="584"/>
      <c r="AD205" s="595"/>
      <c r="AE205" s="595"/>
      <c r="AF205" s="443"/>
      <c r="AG205" s="354"/>
      <c r="AH205" s="595"/>
      <c r="AI205" s="595"/>
      <c r="AJ205" s="595"/>
      <c r="AK205" s="595"/>
      <c r="AL205" s="595"/>
      <c r="AM205" s="595"/>
      <c r="AN205" s="595"/>
      <c r="AO205" s="595"/>
      <c r="AP205" s="595"/>
      <c r="AQ205" s="595"/>
      <c r="AR205" s="595"/>
      <c r="AS205" s="595"/>
      <c r="AT205" s="595"/>
      <c r="AU205" s="595"/>
      <c r="AV205" s="595"/>
      <c r="AW205" s="595"/>
      <c r="AX205" s="595"/>
      <c r="AY205" s="595"/>
      <c r="AZ205" s="595"/>
      <c r="BA205" s="595"/>
      <c r="BB205" s="595"/>
      <c r="BC205" s="595"/>
      <c r="BD205" s="595"/>
      <c r="BE205" s="595"/>
      <c r="BF205" s="595"/>
      <c r="BG205" s="595"/>
      <c r="BH205" s="595"/>
      <c r="BI205" s="651"/>
      <c r="BJ205" s="651"/>
      <c r="BK205" s="651"/>
      <c r="BL205" s="651"/>
      <c r="BM205" s="651"/>
      <c r="BN205" s="651"/>
      <c r="BO205" s="651"/>
      <c r="BP205" s="651"/>
      <c r="BQ205" s="651"/>
      <c r="BR205" s="651"/>
      <c r="BS205" s="651"/>
      <c r="BT205" s="651"/>
    </row>
    <row r="206" ht="12.75" hidden="1" customHeight="1">
      <c r="A206" s="1074"/>
      <c r="B206" s="584"/>
      <c r="C206" s="851"/>
      <c r="D206" s="609"/>
      <c r="E206" s="585"/>
      <c r="F206" s="1075"/>
      <c r="G206" s="587"/>
      <c r="H206" s="586"/>
      <c r="I206" s="443"/>
      <c r="J206" s="806"/>
      <c r="K206" s="349"/>
      <c r="L206" s="588"/>
      <c r="M206" s="588"/>
      <c r="N206" s="833"/>
      <c r="O206" s="584"/>
      <c r="P206" s="586"/>
      <c r="Q206" s="595"/>
      <c r="R206" s="603"/>
      <c r="S206" s="885" t="s">
        <v>24</v>
      </c>
      <c r="T206" s="426">
        <f>N288</f>
        <v>19077.48095</v>
      </c>
      <c r="U206" s="423">
        <f>T206/T208</f>
        <v>0.1664507457</v>
      </c>
      <c r="V206" s="424" t="s">
        <v>217</v>
      </c>
      <c r="W206" s="140">
        <f t="shared" si="117"/>
        <v>40</v>
      </c>
      <c r="X206" s="886">
        <v>1.0</v>
      </c>
      <c r="Y206" s="595"/>
      <c r="Z206" s="595"/>
      <c r="AA206" s="595"/>
      <c r="AB206" s="879">
        <v>40.0</v>
      </c>
      <c r="AC206" s="584"/>
      <c r="AD206" s="595"/>
      <c r="AE206" s="595"/>
      <c r="AF206" s="443"/>
      <c r="AG206" s="354"/>
      <c r="AH206" s="595"/>
      <c r="AI206" s="595"/>
      <c r="AJ206" s="595"/>
      <c r="AK206" s="595"/>
      <c r="AL206" s="595"/>
      <c r="AM206" s="595"/>
      <c r="AN206" s="595"/>
      <c r="AO206" s="595"/>
      <c r="AP206" s="595"/>
      <c r="AQ206" s="595"/>
      <c r="AR206" s="595"/>
      <c r="AS206" s="595"/>
      <c r="AT206" s="595"/>
      <c r="AU206" s="595"/>
      <c r="AV206" s="595"/>
      <c r="AW206" s="595"/>
      <c r="AX206" s="595"/>
      <c r="AY206" s="595"/>
      <c r="AZ206" s="595"/>
      <c r="BA206" s="595"/>
      <c r="BB206" s="595"/>
      <c r="BC206" s="595"/>
      <c r="BD206" s="595"/>
      <c r="BE206" s="595"/>
      <c r="BF206" s="595"/>
      <c r="BG206" s="595"/>
      <c r="BH206" s="595"/>
      <c r="BI206" s="651"/>
      <c r="BJ206" s="651"/>
      <c r="BK206" s="651"/>
      <c r="BL206" s="651"/>
      <c r="BM206" s="651"/>
      <c r="BN206" s="651"/>
      <c r="BO206" s="651"/>
      <c r="BP206" s="651"/>
      <c r="BQ206" s="651"/>
      <c r="BR206" s="651"/>
      <c r="BS206" s="651"/>
      <c r="BT206" s="651"/>
    </row>
    <row r="207" ht="12.75" hidden="1" customHeight="1">
      <c r="A207" s="1074"/>
      <c r="B207" s="584"/>
      <c r="C207" s="851"/>
      <c r="D207" s="609"/>
      <c r="E207" s="585"/>
      <c r="F207" s="1075"/>
      <c r="G207" s="587"/>
      <c r="H207" s="586"/>
      <c r="I207" s="887"/>
      <c r="J207" s="887"/>
      <c r="K207" s="333"/>
      <c r="L207" s="878"/>
      <c r="M207" s="878"/>
      <c r="N207" s="833"/>
      <c r="O207" s="584"/>
      <c r="P207" s="586"/>
      <c r="Q207" s="595"/>
      <c r="R207" s="603"/>
      <c r="S207" s="885" t="s">
        <v>194</v>
      </c>
      <c r="T207" s="428">
        <f>I311</f>
        <v>15922.64822</v>
      </c>
      <c r="U207" s="423">
        <f>T207/T208</f>
        <v>0.1389248757</v>
      </c>
      <c r="V207" s="424" t="s">
        <v>218</v>
      </c>
      <c r="W207" s="140">
        <f t="shared" ref="W207:X207" si="120">SUM(W203:W206)</f>
        <v>160</v>
      </c>
      <c r="X207" s="326">
        <f t="shared" si="120"/>
        <v>4</v>
      </c>
      <c r="Y207" s="595"/>
      <c r="Z207" s="595"/>
      <c r="AA207" s="595"/>
      <c r="AB207" s="354"/>
      <c r="AC207" s="584"/>
      <c r="AD207" s="595"/>
      <c r="AE207" s="595"/>
      <c r="AF207" s="443"/>
      <c r="AG207" s="354"/>
      <c r="AH207" s="595"/>
      <c r="AI207" s="595"/>
      <c r="AJ207" s="595"/>
      <c r="AK207" s="595"/>
      <c r="AL207" s="595"/>
      <c r="AM207" s="595"/>
      <c r="AN207" s="595"/>
      <c r="AO207" s="595"/>
      <c r="AP207" s="595"/>
      <c r="AQ207" s="595"/>
      <c r="AR207" s="595"/>
      <c r="AS207" s="595"/>
      <c r="AT207" s="595"/>
      <c r="AU207" s="595"/>
      <c r="AV207" s="595"/>
      <c r="AW207" s="595"/>
      <c r="AX207" s="595"/>
      <c r="AY207" s="595"/>
      <c r="AZ207" s="595"/>
      <c r="BA207" s="595"/>
      <c r="BB207" s="595"/>
      <c r="BC207" s="595"/>
      <c r="BD207" s="595"/>
      <c r="BE207" s="595"/>
      <c r="BF207" s="595"/>
      <c r="BG207" s="595"/>
      <c r="BH207" s="595"/>
      <c r="BI207" s="651"/>
      <c r="BJ207" s="651"/>
      <c r="BK207" s="651"/>
      <c r="BL207" s="651"/>
      <c r="BM207" s="651"/>
      <c r="BN207" s="651"/>
      <c r="BO207" s="651"/>
      <c r="BP207" s="651"/>
      <c r="BQ207" s="651"/>
      <c r="BR207" s="651"/>
      <c r="BS207" s="651"/>
      <c r="BT207" s="651"/>
    </row>
    <row r="208" ht="12.75" hidden="1" customHeight="1">
      <c r="A208" s="1074"/>
      <c r="B208" s="584"/>
      <c r="C208" s="347" t="s">
        <v>219</v>
      </c>
      <c r="D208" s="609"/>
      <c r="E208" s="585"/>
      <c r="F208" s="1075"/>
      <c r="G208" s="587"/>
      <c r="H208" s="586"/>
      <c r="I208" s="595"/>
      <c r="J208" s="595"/>
      <c r="K208" s="354"/>
      <c r="L208" s="588"/>
      <c r="M208" s="588"/>
      <c r="N208" s="833"/>
      <c r="O208" s="584"/>
      <c r="P208" s="586"/>
      <c r="Q208" s="595"/>
      <c r="R208" s="888" t="b">
        <f>U214=T208</f>
        <v>1</v>
      </c>
      <c r="S208" s="889" t="s">
        <v>207</v>
      </c>
      <c r="T208" s="430">
        <f>SUM(T204:T207)</f>
        <v>114613.3703</v>
      </c>
      <c r="U208" s="431" t="s">
        <v>220</v>
      </c>
      <c r="V208" s="890">
        <v>0.15</v>
      </c>
      <c r="W208" s="140">
        <f>W207*(1+V208)</f>
        <v>184</v>
      </c>
      <c r="X208" s="443"/>
      <c r="Y208" s="595"/>
      <c r="Z208" s="595"/>
      <c r="AA208" s="595"/>
      <c r="AB208" s="354"/>
      <c r="AC208" s="584"/>
      <c r="AD208" s="595"/>
      <c r="AE208" s="595"/>
      <c r="AF208" s="443"/>
      <c r="AG208" s="354"/>
      <c r="AH208" s="595"/>
      <c r="AI208" s="595"/>
      <c r="AJ208" s="595"/>
      <c r="AK208" s="595"/>
      <c r="AL208" s="595"/>
      <c r="AM208" s="595"/>
      <c r="AN208" s="595"/>
      <c r="AO208" s="595"/>
      <c r="AP208" s="595"/>
      <c r="AQ208" s="595"/>
      <c r="AR208" s="595"/>
      <c r="AS208" s="595"/>
      <c r="AT208" s="595"/>
      <c r="AU208" s="595"/>
      <c r="AV208" s="595"/>
      <c r="AW208" s="595"/>
      <c r="AX208" s="595"/>
      <c r="AY208" s="595"/>
      <c r="AZ208" s="595"/>
      <c r="BA208" s="595"/>
      <c r="BB208" s="595"/>
      <c r="BC208" s="595"/>
      <c r="BD208" s="595"/>
      <c r="BE208" s="595"/>
      <c r="BF208" s="595"/>
      <c r="BG208" s="595"/>
      <c r="BH208" s="595"/>
      <c r="BI208" s="651"/>
      <c r="BJ208" s="651"/>
      <c r="BK208" s="651"/>
      <c r="BL208" s="651"/>
      <c r="BM208" s="651"/>
      <c r="BN208" s="651"/>
      <c r="BO208" s="651"/>
      <c r="BP208" s="651"/>
      <c r="BQ208" s="651"/>
      <c r="BR208" s="651"/>
      <c r="BS208" s="651"/>
      <c r="BT208" s="651"/>
    </row>
    <row r="209" ht="12.75" hidden="1" customHeight="1">
      <c r="A209" s="1074"/>
      <c r="B209" s="584"/>
      <c r="C209" s="359" t="s">
        <v>188</v>
      </c>
      <c r="D209" s="609"/>
      <c r="E209" s="585"/>
      <c r="F209" s="1075"/>
      <c r="G209" s="587"/>
      <c r="H209" s="586"/>
      <c r="I209" s="839"/>
      <c r="J209" s="839"/>
      <c r="K209" s="419"/>
      <c r="L209" s="840"/>
      <c r="M209" s="840"/>
      <c r="N209" s="833"/>
      <c r="O209" s="584"/>
      <c r="P209" s="586"/>
      <c r="Q209" s="595"/>
      <c r="R209" s="603"/>
      <c r="S209" s="354"/>
      <c r="T209" s="595"/>
      <c r="U209" s="443"/>
      <c r="V209" s="433" t="s">
        <v>221</v>
      </c>
      <c r="W209" s="434">
        <f>W191/W208/W217</f>
        <v>19.96000182</v>
      </c>
      <c r="X209" s="443"/>
      <c r="Y209" s="595"/>
      <c r="Z209" s="595"/>
      <c r="AA209" s="595"/>
      <c r="AB209" s="354"/>
      <c r="AC209" s="700"/>
      <c r="AD209" s="435">
        <f>W209*W217*X207</f>
        <v>638.7200582</v>
      </c>
      <c r="AE209" s="595"/>
      <c r="AF209" s="443"/>
      <c r="AG209" s="354"/>
      <c r="AH209" s="595"/>
      <c r="AI209" s="595"/>
      <c r="AJ209" s="595"/>
      <c r="AK209" s="595"/>
      <c r="AL209" s="595"/>
      <c r="AM209" s="595"/>
      <c r="AN209" s="595"/>
      <c r="AO209" s="595"/>
      <c r="AP209" s="595"/>
      <c r="AQ209" s="595"/>
      <c r="AR209" s="595"/>
      <c r="AS209" s="595"/>
      <c r="AT209" s="595"/>
      <c r="AU209" s="595"/>
      <c r="AV209" s="595"/>
      <c r="AW209" s="595"/>
      <c r="AX209" s="595"/>
      <c r="AY209" s="595"/>
      <c r="AZ209" s="595"/>
      <c r="BA209" s="595"/>
      <c r="BB209" s="595"/>
      <c r="BC209" s="595"/>
      <c r="BD209" s="595"/>
      <c r="BE209" s="595"/>
      <c r="BF209" s="595"/>
      <c r="BG209" s="595"/>
      <c r="BH209" s="595"/>
      <c r="BI209" s="651"/>
      <c r="BJ209" s="651"/>
      <c r="BK209" s="651"/>
      <c r="BL209" s="651"/>
      <c r="BM209" s="651"/>
      <c r="BN209" s="651"/>
      <c r="BO209" s="651"/>
      <c r="BP209" s="651"/>
      <c r="BQ209" s="651"/>
      <c r="BR209" s="651"/>
      <c r="BS209" s="651"/>
      <c r="BT209" s="651"/>
    </row>
    <row r="210" ht="12.75" hidden="1" customHeight="1">
      <c r="A210" s="1074"/>
      <c r="B210" s="584"/>
      <c r="C210" s="365" t="s">
        <v>189</v>
      </c>
      <c r="D210" s="844"/>
      <c r="E210" s="845"/>
      <c r="F210" s="1176"/>
      <c r="G210" s="847"/>
      <c r="H210" s="846"/>
      <c r="I210" s="436">
        <f t="shared" ref="I210:K210" si="121">I208*I209</f>
        <v>0</v>
      </c>
      <c r="J210" s="436">
        <f t="shared" si="121"/>
        <v>0</v>
      </c>
      <c r="K210" s="437">
        <f t="shared" si="121"/>
        <v>0</v>
      </c>
      <c r="L210" s="371">
        <f>SUM(L209)</f>
        <v>0</v>
      </c>
      <c r="M210" s="371">
        <f>M208*M209</f>
        <v>0</v>
      </c>
      <c r="N210" s="849">
        <f>SUM(I210:M210)</f>
        <v>0</v>
      </c>
      <c r="O210" s="584"/>
      <c r="P210" s="586"/>
      <c r="Q210" s="595"/>
      <c r="R210" s="891"/>
      <c r="S210" s="439" t="s">
        <v>222</v>
      </c>
      <c r="T210" s="440" t="s">
        <v>223</v>
      </c>
      <c r="U210" s="441" t="s">
        <v>27</v>
      </c>
      <c r="V210" s="595"/>
      <c r="W210" s="442">
        <f>W209/5</f>
        <v>3.992000364</v>
      </c>
      <c r="X210" s="443" t="s">
        <v>224</v>
      </c>
      <c r="Y210" s="595"/>
      <c r="Z210" s="595"/>
      <c r="AA210" s="892"/>
      <c r="AB210" s="893"/>
      <c r="AC210" s="446">
        <f>W191/W209/X207/W217</f>
        <v>46</v>
      </c>
      <c r="AD210" s="447">
        <f>AC210*AD209</f>
        <v>29381.12268</v>
      </c>
      <c r="AE210" s="443" t="s">
        <v>202</v>
      </c>
      <c r="AF210" s="443"/>
      <c r="AG210" s="354"/>
      <c r="AH210" s="595"/>
      <c r="AI210" s="595"/>
      <c r="AJ210" s="595"/>
      <c r="AK210" s="595"/>
      <c r="AL210" s="595"/>
      <c r="AM210" s="595"/>
      <c r="AN210" s="595"/>
      <c r="AO210" s="595"/>
      <c r="AP210" s="595"/>
      <c r="AQ210" s="595"/>
      <c r="AR210" s="595"/>
      <c r="AS210" s="595"/>
      <c r="AT210" s="595"/>
      <c r="AU210" s="595"/>
      <c r="AV210" s="595"/>
      <c r="AW210" s="595"/>
      <c r="AX210" s="595"/>
      <c r="AY210" s="595"/>
      <c r="AZ210" s="595"/>
      <c r="BA210" s="595"/>
      <c r="BB210" s="595"/>
      <c r="BC210" s="595"/>
      <c r="BD210" s="595"/>
      <c r="BE210" s="595"/>
      <c r="BF210" s="595"/>
      <c r="BG210" s="595"/>
      <c r="BH210" s="595"/>
      <c r="BI210" s="651"/>
      <c r="BJ210" s="651"/>
      <c r="BK210" s="651"/>
      <c r="BL210" s="651"/>
      <c r="BM210" s="651"/>
      <c r="BN210" s="651"/>
      <c r="BO210" s="651"/>
      <c r="BP210" s="651"/>
      <c r="BQ210" s="651"/>
      <c r="BR210" s="651"/>
      <c r="BS210" s="651"/>
      <c r="BT210" s="651"/>
    </row>
    <row r="211" ht="12.75" hidden="1" customHeight="1">
      <c r="A211" s="1074"/>
      <c r="B211" s="584"/>
      <c r="C211" s="851"/>
      <c r="D211" s="609"/>
      <c r="E211" s="585"/>
      <c r="F211" s="1075"/>
      <c r="G211" s="587"/>
      <c r="H211" s="586"/>
      <c r="I211" s="443"/>
      <c r="J211" s="806"/>
      <c r="K211" s="354"/>
      <c r="L211" s="588"/>
      <c r="M211" s="588"/>
      <c r="N211" s="833"/>
      <c r="O211" s="584"/>
      <c r="P211" s="586"/>
      <c r="Q211" s="584"/>
      <c r="R211" s="894" t="s">
        <v>210</v>
      </c>
      <c r="S211" s="895">
        <f>IFERROR(__xludf.DUMMYFUNCTION("SUMPRODUCT(
(REGEXMATCH(R222:R340,""(?i)\b(R-Sheeting|R-TS|R-TPO|R-KS)\b""))*
(NOT(REGEXMATCH(R222:R340,""(?i)\b(xxxxxxxxx)\b"")))*
(T222:T340)
)"),451.7370262975646)</f>
        <v>451.7370263</v>
      </c>
      <c r="T211" s="450">
        <f t="shared" ref="T211:T213" si="122">U211/S211</f>
        <v>0</v>
      </c>
      <c r="U211" s="713" t="str">
        <f>AM185</f>
        <v/>
      </c>
      <c r="V211" s="451" t="s">
        <v>225</v>
      </c>
      <c r="W211" s="452">
        <f>Y343+AM279+BA259</f>
        <v>20.22</v>
      </c>
      <c r="X211" s="443"/>
      <c r="Y211" s="595"/>
      <c r="Z211" s="595"/>
      <c r="AA211" s="892"/>
      <c r="AB211" s="893"/>
      <c r="AC211" s="446">
        <f>W195/W209/X207/W217</f>
        <v>46</v>
      </c>
      <c r="AD211" s="447">
        <f>AC211*AD209</f>
        <v>29381.12268</v>
      </c>
      <c r="AE211" s="443" t="s">
        <v>226</v>
      </c>
      <c r="AF211" s="443"/>
      <c r="AG211" s="354"/>
      <c r="AH211" s="595"/>
      <c r="AI211" s="595"/>
      <c r="AJ211" s="595"/>
      <c r="AK211" s="595"/>
      <c r="AL211" s="595"/>
      <c r="AM211" s="595"/>
      <c r="AN211" s="595"/>
      <c r="AO211" s="595"/>
      <c r="AP211" s="595"/>
      <c r="AQ211" s="595"/>
      <c r="AR211" s="595"/>
      <c r="AS211" s="595"/>
      <c r="AT211" s="595"/>
      <c r="AU211" s="595"/>
      <c r="AV211" s="595"/>
      <c r="AW211" s="595"/>
      <c r="AX211" s="595"/>
      <c r="AY211" s="595"/>
      <c r="AZ211" s="595"/>
      <c r="BA211" s="595"/>
      <c r="BB211" s="595"/>
      <c r="BC211" s="595"/>
      <c r="BD211" s="595"/>
      <c r="BE211" s="595"/>
      <c r="BF211" s="595"/>
      <c r="BG211" s="595"/>
      <c r="BH211" s="595"/>
      <c r="BI211" s="651"/>
      <c r="BJ211" s="651"/>
      <c r="BK211" s="651"/>
      <c r="BL211" s="651"/>
      <c r="BM211" s="651"/>
      <c r="BN211" s="651"/>
      <c r="BO211" s="651"/>
      <c r="BP211" s="651"/>
      <c r="BQ211" s="651"/>
      <c r="BR211" s="651"/>
      <c r="BS211" s="651"/>
      <c r="BT211" s="651"/>
    </row>
    <row r="212" ht="12.75" hidden="1" customHeight="1">
      <c r="A212" s="1074"/>
      <c r="B212" s="12" t="s">
        <v>176</v>
      </c>
      <c r="C212" s="412" t="s">
        <v>227</v>
      </c>
      <c r="D212" s="821"/>
      <c r="E212" s="822"/>
      <c r="F212" s="1175"/>
      <c r="G212" s="824"/>
      <c r="H212" s="823"/>
      <c r="I212" s="333" t="s">
        <v>228</v>
      </c>
      <c r="J212" s="333" t="s">
        <v>229</v>
      </c>
      <c r="K212" s="333" t="s">
        <v>230</v>
      </c>
      <c r="L212" s="413" t="s">
        <v>231</v>
      </c>
      <c r="M212" s="413" t="s">
        <v>232</v>
      </c>
      <c r="N212" s="857">
        <f>SUM(N213:N216)</f>
        <v>0</v>
      </c>
      <c r="O212" s="584"/>
      <c r="P212" s="586"/>
      <c r="Q212" s="595"/>
      <c r="R212" s="894" t="s">
        <v>233</v>
      </c>
      <c r="S212" s="895">
        <f>IFERROR(__xludf.DUMMYFUNCTION("SUMPRODUCT(
(REGEXMATCH(AF220:AF278,""(?i)\b(W-Sheeting|W-TS|W-TPO|W-KS)\b""))*
(NOT(REGEXMATCH(AF220:AF278,""(?i)\b(xxxxxxxxx)\b"")))*
(AH220:AH278)
)"),0.0)</f>
        <v>0</v>
      </c>
      <c r="T212" s="450" t="str">
        <f t="shared" si="122"/>
        <v>#DIV/0!</v>
      </c>
      <c r="U212" s="713" t="str">
        <f>AN185</f>
        <v/>
      </c>
      <c r="V212" s="595"/>
      <c r="W212" s="453">
        <f>W211/5</f>
        <v>4.044</v>
      </c>
      <c r="X212" s="443" t="s">
        <v>224</v>
      </c>
      <c r="Y212" s="595"/>
      <c r="Z212" s="595"/>
      <c r="AA212" s="892"/>
      <c r="AB212" s="893"/>
      <c r="AC212" s="584"/>
      <c r="AD212" s="454">
        <f>AD211-AD210</f>
        <v>0</v>
      </c>
      <c r="AE212" s="443"/>
      <c r="AF212" s="443"/>
      <c r="AG212" s="354"/>
      <c r="AH212" s="595"/>
      <c r="AI212" s="595"/>
      <c r="AJ212" s="595"/>
      <c r="AK212" s="595"/>
      <c r="AL212" s="595"/>
      <c r="AM212" s="595"/>
      <c r="AN212" s="595"/>
      <c r="AO212" s="595"/>
      <c r="AP212" s="595"/>
      <c r="AQ212" s="595"/>
      <c r="AR212" s="595"/>
      <c r="AS212" s="595"/>
      <c r="AT212" s="595"/>
      <c r="AU212" s="595"/>
      <c r="AV212" s="595"/>
      <c r="AW212" s="595"/>
      <c r="AX212" s="595"/>
      <c r="AY212" s="595"/>
      <c r="AZ212" s="595"/>
      <c r="BA212" s="595"/>
      <c r="BB212" s="595"/>
      <c r="BC212" s="595"/>
      <c r="BD212" s="595"/>
      <c r="BE212" s="595"/>
      <c r="BF212" s="595"/>
      <c r="BG212" s="595"/>
      <c r="BH212" s="595"/>
      <c r="BI212" s="651"/>
      <c r="BJ212" s="651"/>
      <c r="BK212" s="651"/>
      <c r="BL212" s="651"/>
      <c r="BM212" s="651"/>
      <c r="BN212" s="651"/>
      <c r="BO212" s="651"/>
      <c r="BP212" s="651"/>
      <c r="BQ212" s="651"/>
      <c r="BR212" s="651"/>
      <c r="BS212" s="651"/>
      <c r="BT212" s="651"/>
    </row>
    <row r="213" ht="12.75" hidden="1" customHeight="1">
      <c r="A213" s="1074"/>
      <c r="B213" s="584"/>
      <c r="C213" s="347" t="s">
        <v>26</v>
      </c>
      <c r="D213" s="609"/>
      <c r="E213" s="585"/>
      <c r="F213" s="1075"/>
      <c r="G213" s="587"/>
      <c r="H213" s="586"/>
      <c r="I213" s="354">
        <v>0.0</v>
      </c>
      <c r="J213" s="354">
        <v>0.0</v>
      </c>
      <c r="K213" s="354">
        <v>0.0</v>
      </c>
      <c r="L213" s="350">
        <v>0.0</v>
      </c>
      <c r="M213" s="350">
        <v>0.0</v>
      </c>
      <c r="N213" s="833"/>
      <c r="O213" s="584"/>
      <c r="P213" s="586"/>
      <c r="Q213" s="595"/>
      <c r="R213" s="894" t="s">
        <v>234</v>
      </c>
      <c r="S213" s="895">
        <f>IFERROR(__xludf.DUMMYFUNCTION("SUMPRODUCT(
(REGEXMATCH(AT220:AT258,""(?i)\b(S-Sheeting|S-TS|S-TPO|S-KS)\b""))*
(NOT(REGEXMATCH(AT220:AT258,""(?i)\b(xxxxxxxxx)\b"")))*
(AV220:AV258)
)"),0.0)</f>
        <v>0</v>
      </c>
      <c r="T213" s="450" t="str">
        <f t="shared" si="122"/>
        <v>#DIV/0!</v>
      </c>
      <c r="U213" s="896"/>
      <c r="V213" s="595"/>
      <c r="W213" s="453">
        <f>W212/4</f>
        <v>1.011</v>
      </c>
      <c r="X213" s="443" t="s">
        <v>235</v>
      </c>
      <c r="Y213" s="443"/>
      <c r="Z213" s="443"/>
      <c r="AA213" s="443"/>
      <c r="AB213" s="349"/>
      <c r="AC213" s="443"/>
      <c r="AD213" s="595"/>
      <c r="AE213" s="443"/>
      <c r="AF213" s="443"/>
      <c r="AG213" s="354"/>
      <c r="AH213" s="595"/>
      <c r="AI213" s="595"/>
      <c r="AJ213" s="595"/>
      <c r="AK213" s="595"/>
      <c r="AL213" s="595"/>
      <c r="AM213" s="595"/>
      <c r="AN213" s="595"/>
      <c r="AO213" s="595"/>
      <c r="AP213" s="595"/>
      <c r="AQ213" s="595"/>
      <c r="AR213" s="595"/>
      <c r="AS213" s="595"/>
      <c r="AT213" s="595"/>
      <c r="AU213" s="595"/>
      <c r="AV213" s="595"/>
      <c r="AW213" s="595"/>
      <c r="AX213" s="595"/>
      <c r="AY213" s="595"/>
      <c r="AZ213" s="595"/>
      <c r="BA213" s="595"/>
      <c r="BB213" s="595"/>
      <c r="BC213" s="595"/>
      <c r="BD213" s="595"/>
      <c r="BE213" s="595"/>
      <c r="BF213" s="595"/>
      <c r="BG213" s="595"/>
      <c r="BH213" s="595"/>
      <c r="BI213" s="651"/>
      <c r="BJ213" s="651"/>
      <c r="BK213" s="651"/>
      <c r="BL213" s="651"/>
      <c r="BM213" s="651"/>
      <c r="BN213" s="651"/>
      <c r="BO213" s="651"/>
      <c r="BP213" s="651"/>
      <c r="BQ213" s="651"/>
      <c r="BR213" s="651"/>
      <c r="BS213" s="651"/>
      <c r="BT213" s="651"/>
    </row>
    <row r="214" ht="12.75" hidden="1" customHeight="1">
      <c r="A214" s="1074"/>
      <c r="B214" s="584"/>
      <c r="C214" s="359" t="s">
        <v>188</v>
      </c>
      <c r="D214" s="609"/>
      <c r="E214" s="585"/>
      <c r="F214" s="1075"/>
      <c r="G214" s="587"/>
      <c r="H214" s="586"/>
      <c r="I214" s="400">
        <v>1.0</v>
      </c>
      <c r="J214" s="400">
        <v>1.0</v>
      </c>
      <c r="K214" s="400">
        <v>1.0</v>
      </c>
      <c r="L214" s="401">
        <v>1.0</v>
      </c>
      <c r="M214" s="401">
        <v>1.0</v>
      </c>
      <c r="N214" s="833"/>
      <c r="O214" s="584"/>
      <c r="P214" s="586"/>
      <c r="Q214" s="595"/>
      <c r="R214" s="897" t="s">
        <v>207</v>
      </c>
      <c r="S214" s="898">
        <f>SUM(S211:S213)</f>
        <v>451.7370263</v>
      </c>
      <c r="T214" s="459">
        <f>T208/S214</f>
        <v>253.7170159</v>
      </c>
      <c r="U214" s="460">
        <f>T214*S214</f>
        <v>114613.3703</v>
      </c>
      <c r="V214" s="595"/>
      <c r="W214" s="595"/>
      <c r="X214" s="443"/>
      <c r="Y214" s="443"/>
      <c r="Z214" s="443"/>
      <c r="AA214" s="443"/>
      <c r="AB214" s="349"/>
      <c r="AC214" s="443"/>
      <c r="AD214" s="344">
        <f>W209*X207*(55*1.25)*W217</f>
        <v>43912.004</v>
      </c>
      <c r="AE214" s="443"/>
      <c r="AF214" s="443"/>
      <c r="AG214" s="354"/>
      <c r="AH214" s="595"/>
      <c r="AI214" s="595"/>
      <c r="AJ214" s="595"/>
      <c r="AK214" s="595"/>
      <c r="AL214" s="595"/>
      <c r="AM214" s="595"/>
      <c r="AN214" s="595"/>
      <c r="AO214" s="595"/>
      <c r="AP214" s="595"/>
      <c r="AQ214" s="595"/>
      <c r="AR214" s="595"/>
      <c r="AS214" s="595"/>
      <c r="AT214" s="595"/>
      <c r="AU214" s="595"/>
      <c r="AV214" s="595"/>
      <c r="AW214" s="595"/>
      <c r="AX214" s="595"/>
      <c r="AY214" s="595"/>
      <c r="AZ214" s="595"/>
      <c r="BA214" s="595"/>
      <c r="BB214" s="595"/>
      <c r="BC214" s="595"/>
      <c r="BD214" s="595"/>
      <c r="BE214" s="595"/>
      <c r="BF214" s="595"/>
      <c r="BG214" s="595"/>
      <c r="BH214" s="595"/>
      <c r="BI214" s="651"/>
      <c r="BJ214" s="651"/>
      <c r="BK214" s="651"/>
      <c r="BL214" s="651"/>
      <c r="BM214" s="651"/>
      <c r="BN214" s="651"/>
      <c r="BO214" s="651"/>
      <c r="BP214" s="651"/>
      <c r="BQ214" s="651"/>
      <c r="BR214" s="651"/>
      <c r="BS214" s="651"/>
      <c r="BT214" s="651"/>
    </row>
    <row r="215" ht="12.75" hidden="1" customHeight="1">
      <c r="A215" s="1074"/>
      <c r="B215" s="584"/>
      <c r="C215" s="365" t="s">
        <v>189</v>
      </c>
      <c r="D215" s="844"/>
      <c r="E215" s="845"/>
      <c r="F215" s="1176"/>
      <c r="G215" s="847"/>
      <c r="H215" s="846"/>
      <c r="I215" s="369">
        <f t="shared" ref="I215:M215" si="123">I213*I214</f>
        <v>0</v>
      </c>
      <c r="J215" s="369">
        <f t="shared" si="123"/>
        <v>0</v>
      </c>
      <c r="K215" s="370">
        <f t="shared" si="123"/>
        <v>0</v>
      </c>
      <c r="L215" s="371">
        <f t="shared" si="123"/>
        <v>0</v>
      </c>
      <c r="M215" s="371">
        <f t="shared" si="123"/>
        <v>0</v>
      </c>
      <c r="N215" s="849">
        <f>SUM(I215:M215)</f>
        <v>0</v>
      </c>
      <c r="O215" s="584"/>
      <c r="P215" s="586"/>
      <c r="Q215" s="595"/>
      <c r="R215" s="587"/>
      <c r="S215" s="354"/>
      <c r="T215" s="595"/>
      <c r="U215" s="443"/>
      <c r="V215" s="595"/>
      <c r="W215" s="595"/>
      <c r="X215" s="443"/>
      <c r="Y215" s="443"/>
      <c r="Z215" s="443"/>
      <c r="AA215" s="443"/>
      <c r="AB215" s="349"/>
      <c r="AC215" s="584"/>
      <c r="AD215" s="595"/>
      <c r="AE215" s="595"/>
      <c r="AF215" s="443"/>
      <c r="AG215" s="354"/>
      <c r="AH215" s="595"/>
      <c r="AI215" s="595"/>
      <c r="AJ215" s="595"/>
      <c r="AK215" s="595"/>
      <c r="AL215" s="595"/>
      <c r="AM215" s="595"/>
      <c r="AN215" s="595"/>
      <c r="AO215" s="595"/>
      <c r="AP215" s="443"/>
      <c r="AQ215" s="443"/>
      <c r="AR215" s="443"/>
      <c r="AS215" s="595"/>
      <c r="AT215" s="443"/>
      <c r="AU215" s="443"/>
      <c r="AV215" s="443"/>
      <c r="AW215" s="820"/>
      <c r="AX215" s="595"/>
      <c r="AY215" s="584"/>
      <c r="AZ215" s="584"/>
      <c r="BA215" s="584"/>
      <c r="BB215" s="584"/>
      <c r="BC215" s="584"/>
      <c r="BD215" s="584"/>
      <c r="BE215" s="584"/>
      <c r="BF215" s="584"/>
      <c r="BG215" s="584"/>
      <c r="BH215" s="584"/>
      <c r="BI215" s="584"/>
      <c r="BJ215" s="597"/>
      <c r="BK215" s="597"/>
      <c r="BL215" s="597"/>
      <c r="BM215" s="597"/>
      <c r="BN215" s="597"/>
      <c r="BO215" s="597"/>
      <c r="BP215" s="597"/>
      <c r="BQ215" s="597"/>
      <c r="BR215" s="597"/>
      <c r="BS215" s="597"/>
      <c r="BT215" s="597"/>
    </row>
    <row r="216" ht="12.75" hidden="1" customHeight="1">
      <c r="A216" s="1074"/>
      <c r="B216" s="584"/>
      <c r="C216" s="851"/>
      <c r="D216" s="609"/>
      <c r="E216" s="585"/>
      <c r="F216" s="1075"/>
      <c r="G216" s="587"/>
      <c r="H216" s="586"/>
      <c r="I216" s="443"/>
      <c r="J216" s="806"/>
      <c r="K216" s="354"/>
      <c r="L216" s="588"/>
      <c r="M216" s="588"/>
      <c r="N216" s="833"/>
      <c r="O216" s="584"/>
      <c r="P216" s="899"/>
      <c r="Q216" s="900"/>
      <c r="R216" s="461" t="s">
        <v>236</v>
      </c>
      <c r="S216" s="354"/>
      <c r="T216" s="595"/>
      <c r="U216" s="443"/>
      <c r="V216" s="595"/>
      <c r="W216" s="595"/>
      <c r="X216" s="443"/>
      <c r="Y216" s="443"/>
      <c r="Z216" s="443"/>
      <c r="AA216" s="443"/>
      <c r="AB216" s="354"/>
      <c r="AC216" s="595"/>
      <c r="AD216" s="900"/>
      <c r="AE216" s="901"/>
      <c r="AF216" s="901" t="s">
        <v>237</v>
      </c>
      <c r="AG216" s="354"/>
      <c r="AH216" s="443"/>
      <c r="AI216" s="595"/>
      <c r="AJ216" s="595"/>
      <c r="AK216" s="443"/>
      <c r="AL216" s="443"/>
      <c r="AM216" s="443"/>
      <c r="AN216" s="443"/>
      <c r="AO216" s="595"/>
      <c r="AP216" s="605"/>
      <c r="AQ216" s="595"/>
      <c r="AR216" s="605"/>
      <c r="AS216" s="461"/>
      <c r="AT216" s="461" t="s">
        <v>238</v>
      </c>
      <c r="AU216" s="595"/>
      <c r="AV216" s="443"/>
      <c r="AW216" s="595"/>
      <c r="AX216" s="595"/>
      <c r="AY216" s="443"/>
      <c r="AZ216" s="443"/>
      <c r="BA216" s="443"/>
      <c r="BB216" s="443"/>
      <c r="BC216" s="584"/>
      <c r="BD216" s="584"/>
      <c r="BE216" s="584"/>
      <c r="BF216" s="584"/>
      <c r="BG216" s="584"/>
      <c r="BH216" s="584"/>
      <c r="BI216" s="584"/>
      <c r="BJ216" s="584"/>
      <c r="BK216" s="584"/>
      <c r="BL216" s="584"/>
      <c r="BM216" s="584"/>
      <c r="BN216" s="597"/>
      <c r="BO216" s="597"/>
      <c r="BP216" s="597"/>
      <c r="BQ216" s="597"/>
      <c r="BR216" s="597"/>
      <c r="BS216" s="597"/>
      <c r="BT216" s="597"/>
    </row>
    <row r="217" hidden="1">
      <c r="A217" s="1074"/>
      <c r="B217" s="12" t="s">
        <v>176</v>
      </c>
      <c r="C217" s="412" t="s">
        <v>239</v>
      </c>
      <c r="D217" s="821"/>
      <c r="E217" s="822"/>
      <c r="F217" s="1175"/>
      <c r="G217" s="824"/>
      <c r="H217" s="823"/>
      <c r="I217" s="333" t="s">
        <v>240</v>
      </c>
      <c r="J217" s="334" t="s">
        <v>241</v>
      </c>
      <c r="K217" s="335" t="s">
        <v>242</v>
      </c>
      <c r="L217" s="878"/>
      <c r="M217" s="337" t="s">
        <v>243</v>
      </c>
      <c r="N217" s="826">
        <f>SUM(N218:N222)</f>
        <v>0</v>
      </c>
      <c r="O217" s="902">
        <f>N217+N188</f>
        <v>0</v>
      </c>
      <c r="P217" s="903" t="s">
        <v>580</v>
      </c>
      <c r="Q217" s="904"/>
      <c r="R217" s="905"/>
      <c r="S217" s="439"/>
      <c r="T217" s="623"/>
      <c r="U217" s="621"/>
      <c r="V217" s="623"/>
      <c r="W217" s="462">
        <v>8.0</v>
      </c>
      <c r="X217" s="621"/>
      <c r="Y217" s="621"/>
      <c r="Z217" s="906"/>
      <c r="AA217" s="623"/>
      <c r="AB217" s="623"/>
      <c r="AC217" s="595"/>
      <c r="AD217" s="903" t="s">
        <v>580</v>
      </c>
      <c r="AE217" s="904"/>
      <c r="AF217" s="907"/>
      <c r="AG217" s="439"/>
      <c r="AH217" s="623"/>
      <c r="AI217" s="621"/>
      <c r="AJ217" s="623"/>
      <c r="AK217" s="462">
        <v>8.0</v>
      </c>
      <c r="AL217" s="621"/>
      <c r="AM217" s="621"/>
      <c r="AN217" s="906"/>
      <c r="AO217" s="623"/>
      <c r="AP217" s="623"/>
      <c r="AQ217" s="595"/>
      <c r="AR217" s="903" t="s">
        <v>580</v>
      </c>
      <c r="AS217" s="904"/>
      <c r="AT217" s="907"/>
      <c r="AU217" s="623"/>
      <c r="AV217" s="623"/>
      <c r="AW217" s="621"/>
      <c r="AX217" s="623"/>
      <c r="AY217" s="462">
        <v>8.0</v>
      </c>
      <c r="AZ217" s="621"/>
      <c r="BA217" s="621"/>
      <c r="BB217" s="906"/>
      <c r="BC217" s="624"/>
      <c r="BD217" s="584"/>
      <c r="BE217" s="584"/>
      <c r="BF217" s="584"/>
      <c r="BG217" s="584"/>
      <c r="BH217" s="584"/>
      <c r="BI217" s="584"/>
      <c r="BJ217" s="584"/>
      <c r="BK217" s="584"/>
      <c r="BL217" s="584"/>
      <c r="BM217" s="584"/>
      <c r="BN217" s="584"/>
      <c r="BO217" s="597"/>
      <c r="BP217" s="597"/>
      <c r="BQ217" s="597"/>
      <c r="BR217" s="597"/>
      <c r="BS217" s="597"/>
      <c r="BT217" s="597"/>
    </row>
    <row r="218" hidden="1">
      <c r="A218" s="1074"/>
      <c r="B218" s="584"/>
      <c r="C218" s="851"/>
      <c r="D218" s="609"/>
      <c r="E218" s="585"/>
      <c r="F218" s="1075"/>
      <c r="G218" s="587"/>
      <c r="H218" s="586"/>
      <c r="I218" s="382">
        <v>10.0</v>
      </c>
      <c r="J218" s="382">
        <v>0.5</v>
      </c>
      <c r="K218" s="465">
        <v>1.0</v>
      </c>
      <c r="L218" s="840"/>
      <c r="M218" s="391">
        <v>1.0</v>
      </c>
      <c r="N218" s="833"/>
      <c r="O218" s="908">
        <f>O217/6</f>
        <v>0</v>
      </c>
      <c r="P218" s="909"/>
      <c r="Q218" s="910"/>
      <c r="R218" s="911"/>
      <c r="S218" s="912"/>
      <c r="T218" s="469" t="s">
        <v>244</v>
      </c>
      <c r="U218" s="470" t="s">
        <v>245</v>
      </c>
      <c r="V218" s="912" t="s">
        <v>26</v>
      </c>
      <c r="W218" s="472" t="s">
        <v>246</v>
      </c>
      <c r="X218" s="474" t="s">
        <v>247</v>
      </c>
      <c r="Y218" s="474" t="s">
        <v>248</v>
      </c>
      <c r="Z218" s="475" t="s">
        <v>27</v>
      </c>
      <c r="AA218" s="913" t="s">
        <v>249</v>
      </c>
      <c r="AB218" s="913" t="s">
        <v>581</v>
      </c>
      <c r="AC218" s="595"/>
      <c r="AD218" s="909"/>
      <c r="AE218" s="910"/>
      <c r="AF218" s="914"/>
      <c r="AG218" s="912"/>
      <c r="AH218" s="469" t="s">
        <v>244</v>
      </c>
      <c r="AI218" s="470" t="s">
        <v>245</v>
      </c>
      <c r="AJ218" s="912" t="s">
        <v>26</v>
      </c>
      <c r="AK218" s="472" t="s">
        <v>246</v>
      </c>
      <c r="AL218" s="474" t="s">
        <v>247</v>
      </c>
      <c r="AM218" s="474" t="s">
        <v>248</v>
      </c>
      <c r="AN218" s="475" t="s">
        <v>27</v>
      </c>
      <c r="AO218" s="913" t="s">
        <v>249</v>
      </c>
      <c r="AP218" s="913" t="s">
        <v>581</v>
      </c>
      <c r="AQ218" s="595"/>
      <c r="AR218" s="909"/>
      <c r="AS218" s="910"/>
      <c r="AT218" s="914"/>
      <c r="AU218" s="471"/>
      <c r="AV218" s="469" t="s">
        <v>244</v>
      </c>
      <c r="AW218" s="470" t="s">
        <v>245</v>
      </c>
      <c r="AX218" s="912" t="s">
        <v>26</v>
      </c>
      <c r="AY218" s="472" t="s">
        <v>246</v>
      </c>
      <c r="AZ218" s="474" t="s">
        <v>247</v>
      </c>
      <c r="BA218" s="474" t="s">
        <v>248</v>
      </c>
      <c r="BB218" s="475" t="s">
        <v>27</v>
      </c>
      <c r="BC218" s="476" t="s">
        <v>249</v>
      </c>
      <c r="BD218" s="584"/>
      <c r="BE218" s="584"/>
      <c r="BF218" s="584"/>
      <c r="BG218" s="584"/>
      <c r="BH218" s="584"/>
      <c r="BI218" s="584"/>
      <c r="BJ218" s="584"/>
      <c r="BK218" s="584"/>
      <c r="BL218" s="584"/>
      <c r="BM218" s="584"/>
      <c r="BN218" s="584"/>
      <c r="BO218" s="597"/>
      <c r="BP218" s="597"/>
      <c r="BQ218" s="597"/>
      <c r="BR218" s="597"/>
      <c r="BS218" s="597"/>
      <c r="BT218" s="597"/>
    </row>
    <row r="219" hidden="1">
      <c r="A219" s="1074"/>
      <c r="B219" s="584"/>
      <c r="C219" s="347" t="s">
        <v>26</v>
      </c>
      <c r="D219" s="609"/>
      <c r="E219" s="585"/>
      <c r="F219" s="1075"/>
      <c r="G219" s="587"/>
      <c r="H219" s="586"/>
      <c r="I219" s="443"/>
      <c r="J219" s="595"/>
      <c r="K219" s="354"/>
      <c r="L219" s="588"/>
      <c r="M219" s="588"/>
      <c r="N219" s="833"/>
      <c r="O219" s="590"/>
      <c r="P219" s="915" t="s">
        <v>582</v>
      </c>
      <c r="Q219" s="916" t="b">
        <f>Q220=Q221</f>
        <v>1</v>
      </c>
      <c r="R219" s="917" t="s">
        <v>250</v>
      </c>
      <c r="S219" s="918" t="s">
        <v>251</v>
      </c>
      <c r="T219" s="919"/>
      <c r="U219" s="480">
        <f t="shared" ref="U219:U338" si="124">$X$207</f>
        <v>4</v>
      </c>
      <c r="V219" s="481">
        <f t="shared" ref="V219:V338" si="125">AC$210</f>
        <v>46</v>
      </c>
      <c r="W219" s="919"/>
      <c r="X219" s="919"/>
      <c r="Y219" s="1046"/>
      <c r="Z219" s="483">
        <f t="shared" ref="Z219:Z221" si="126">Y219*V219*U219*W$217</f>
        <v>0</v>
      </c>
      <c r="AA219" s="921"/>
      <c r="AB219" s="921"/>
      <c r="AC219" s="595"/>
      <c r="AD219" s="922" t="s">
        <v>582</v>
      </c>
      <c r="AE219" s="923" t="b">
        <f>AE220=AE221</f>
        <v>1</v>
      </c>
      <c r="AF219" s="917" t="s">
        <v>250</v>
      </c>
      <c r="AG219" s="918" t="s">
        <v>251</v>
      </c>
      <c r="AH219" s="919"/>
      <c r="AI219" s="480">
        <f t="shared" ref="AI219:AI223" si="127">$X$207</f>
        <v>4</v>
      </c>
      <c r="AJ219" s="924">
        <f t="shared" ref="AJ219:AJ278" si="128">AC$210</f>
        <v>46</v>
      </c>
      <c r="AK219" s="919"/>
      <c r="AL219" s="919"/>
      <c r="AM219" s="920"/>
      <c r="AN219" s="483">
        <f t="shared" ref="AN219:AN223" si="129">AM219*AJ219*AI219*AK$217</f>
        <v>0</v>
      </c>
      <c r="AO219" s="921"/>
      <c r="AP219" s="925" t="str">
        <f t="shared" ref="AP219:AP278" si="130">iferror(VLOOKUP(AF219,$D$15:$U$182,18,false),"")</f>
        <v/>
      </c>
      <c r="AQ219" s="595"/>
      <c r="AR219" s="922" t="s">
        <v>582</v>
      </c>
      <c r="AS219" s="923" t="b">
        <f>AS220=AS221</f>
        <v>1</v>
      </c>
      <c r="AT219" s="917" t="s">
        <v>250</v>
      </c>
      <c r="AU219" s="478" t="s">
        <v>251</v>
      </c>
      <c r="AV219" s="919"/>
      <c r="AW219" s="480">
        <f t="shared" ref="AW219:AW220" si="131">$X$207</f>
        <v>4</v>
      </c>
      <c r="AX219" s="921" t="str">
        <f t="shared" ref="AX219:AX220" si="132">AY$210</f>
        <v/>
      </c>
      <c r="AY219" s="919"/>
      <c r="AZ219" s="919"/>
      <c r="BA219" s="920"/>
      <c r="BB219" s="483">
        <f t="shared" ref="BB219:BB220" si="133">BA219*AX219*AW219*AY$217</f>
        <v>0</v>
      </c>
      <c r="BC219" s="926"/>
      <c r="BD219" s="584"/>
      <c r="BE219" s="584"/>
      <c r="BF219" s="584"/>
      <c r="BG219" s="584"/>
      <c r="BH219" s="584"/>
      <c r="BI219" s="584"/>
      <c r="BJ219" s="584"/>
      <c r="BK219" s="584"/>
      <c r="BL219" s="584"/>
      <c r="BM219" s="584"/>
      <c r="BN219" s="584"/>
      <c r="BO219" s="597"/>
      <c r="BP219" s="597"/>
      <c r="BQ219" s="597"/>
      <c r="BR219" s="597"/>
      <c r="BS219" s="597"/>
      <c r="BT219" s="597"/>
    </row>
    <row r="220" hidden="1">
      <c r="A220" s="1074"/>
      <c r="B220" s="584"/>
      <c r="C220" s="359" t="s">
        <v>188</v>
      </c>
      <c r="D220" s="609"/>
      <c r="E220" s="585"/>
      <c r="F220" s="1075"/>
      <c r="G220" s="587"/>
      <c r="H220" s="586"/>
      <c r="I220" s="839"/>
      <c r="J220" s="839"/>
      <c r="K220" s="419"/>
      <c r="L220" s="840"/>
      <c r="M220" s="840"/>
      <c r="N220" s="833"/>
      <c r="O220" s="590"/>
      <c r="P220" s="927">
        <f>COUNTIF(P222:P334,"=0")</f>
        <v>0</v>
      </c>
      <c r="Q220" s="928">
        <f>COUNTIF(T222:T342,"&gt;0")</f>
        <v>26</v>
      </c>
      <c r="R220" s="929" t="s">
        <v>252</v>
      </c>
      <c r="S220" s="930" t="s">
        <v>251</v>
      </c>
      <c r="T220" s="488"/>
      <c r="U220" s="489">
        <f t="shared" si="124"/>
        <v>4</v>
      </c>
      <c r="V220" s="490">
        <f t="shared" si="125"/>
        <v>46</v>
      </c>
      <c r="W220" s="491">
        <f>(20/6)*$X$207</f>
        <v>13.33333333</v>
      </c>
      <c r="X220" s="489">
        <f t="shared" ref="X220:X221" si="135">W220*W$217</f>
        <v>106.6666667</v>
      </c>
      <c r="Y220" s="492">
        <f t="shared" ref="Y220:Y221" si="136">ROUNDUP(T220/X220,2)</f>
        <v>0</v>
      </c>
      <c r="Z220" s="493">
        <f t="shared" si="126"/>
        <v>0</v>
      </c>
      <c r="AA220" s="931" t="str">
        <f t="shared" ref="AA220:AA226" si="137">iferror(Z220/T220,"")</f>
        <v/>
      </c>
      <c r="AB220" s="925" t="str">
        <f t="shared" ref="AB220:AB340" si="138">iferror(VLOOKUP(R220,$D$15:$U$182,18,false),"")</f>
        <v/>
      </c>
      <c r="AC220" s="595"/>
      <c r="AD220" s="927">
        <f>COUNTIF(AD222:AD281,"=0")</f>
        <v>0</v>
      </c>
      <c r="AE220" s="928">
        <f>countif(AH220:AH278,"&gt;0")</f>
        <v>0</v>
      </c>
      <c r="AF220" s="929" t="s">
        <v>343</v>
      </c>
      <c r="AG220" s="932" t="s">
        <v>55</v>
      </c>
      <c r="AH220" s="488">
        <f t="shared" ref="AH220:AH278" si="139">sumif($D$13:$D$182,AF220,$Q$13:$Q$182)</f>
        <v>0</v>
      </c>
      <c r="AI220" s="489">
        <f t="shared" si="127"/>
        <v>4</v>
      </c>
      <c r="AJ220" s="490">
        <f t="shared" si="128"/>
        <v>46</v>
      </c>
      <c r="AK220" s="491">
        <f>(6/2)*$X$207</f>
        <v>12</v>
      </c>
      <c r="AL220" s="489">
        <f t="shared" ref="AL220:AL223" si="140">AK220*AK$217</f>
        <v>96</v>
      </c>
      <c r="AM220" s="492">
        <f t="shared" ref="AM220:AM223" si="141">ROUNDUP(AH220/AL220,2)</f>
        <v>0</v>
      </c>
      <c r="AN220" s="493">
        <f t="shared" si="129"/>
        <v>0</v>
      </c>
      <c r="AO220" s="931" t="str">
        <f t="shared" ref="AO220:AO230" si="142">iferror(AN220/AH220,"")</f>
        <v/>
      </c>
      <c r="AP220" s="925" t="str">
        <f t="shared" si="130"/>
        <v/>
      </c>
      <c r="AQ220" s="595"/>
      <c r="AR220" s="927">
        <f>COUNTIF(AR222:AR259,"=0")</f>
        <v>0</v>
      </c>
      <c r="AS220" s="928">
        <f>countif(AV220:AV257,"&gt;0")</f>
        <v>0</v>
      </c>
      <c r="AT220" s="929" t="s">
        <v>301</v>
      </c>
      <c r="AU220" s="487" t="s">
        <v>41</v>
      </c>
      <c r="AV220" s="488">
        <f t="shared" ref="AV220:AV258" si="143">sumif($D$13:$D$182,AT220,$Q$13:$Q$182)</f>
        <v>0</v>
      </c>
      <c r="AW220" s="489">
        <f t="shared" si="131"/>
        <v>4</v>
      </c>
      <c r="AX220" s="924" t="str">
        <f t="shared" si="132"/>
        <v/>
      </c>
      <c r="AY220" s="491">
        <f>(15/4)*$X$207</f>
        <v>15</v>
      </c>
      <c r="AZ220" s="489">
        <f>AY220*AY$217</f>
        <v>120</v>
      </c>
      <c r="BA220" s="492">
        <f>ROUNDUP(AV220/AZ220,2)</f>
        <v>0</v>
      </c>
      <c r="BB220" s="493">
        <f t="shared" si="133"/>
        <v>0</v>
      </c>
      <c r="BC220" s="494" t="str">
        <f t="shared" ref="BC220:BC258" si="144">iferror(BB220/AV220,"")</f>
        <v/>
      </c>
      <c r="BD220" s="595"/>
      <c r="BE220" s="595"/>
      <c r="BF220" s="595"/>
      <c r="BG220" s="595"/>
      <c r="BH220" s="595"/>
      <c r="BI220" s="595"/>
      <c r="BJ220" s="595"/>
      <c r="BK220" s="595"/>
      <c r="BL220" s="595"/>
      <c r="BM220" s="595"/>
      <c r="BN220" s="595"/>
      <c r="BO220" s="651"/>
      <c r="BP220" s="651"/>
      <c r="BQ220" s="651"/>
      <c r="BR220" s="651"/>
      <c r="BS220" s="651"/>
      <c r="BT220" s="651"/>
    </row>
    <row r="221" hidden="1">
      <c r="A221" s="1074"/>
      <c r="B221" s="584"/>
      <c r="C221" s="365" t="s">
        <v>189</v>
      </c>
      <c r="D221" s="844"/>
      <c r="E221" s="845"/>
      <c r="F221" s="1176"/>
      <c r="G221" s="847"/>
      <c r="H221" s="846"/>
      <c r="I221" s="369">
        <f t="shared" ref="I221:M221" si="134">I219*I218*I220</f>
        <v>0</v>
      </c>
      <c r="J221" s="369">
        <f t="shared" si="134"/>
        <v>0</v>
      </c>
      <c r="K221" s="370">
        <f t="shared" si="134"/>
        <v>0</v>
      </c>
      <c r="L221" s="371">
        <f t="shared" si="134"/>
        <v>0</v>
      </c>
      <c r="M221" s="371">
        <f t="shared" si="134"/>
        <v>0</v>
      </c>
      <c r="N221" s="849">
        <f>SUM(I221:M221)</f>
        <v>0</v>
      </c>
      <c r="O221" s="590"/>
      <c r="P221" s="933"/>
      <c r="Q221" s="934">
        <f>COUNTA(Q222:Q334)</f>
        <v>26</v>
      </c>
      <c r="R221" s="929" t="s">
        <v>253</v>
      </c>
      <c r="S221" s="930" t="s">
        <v>251</v>
      </c>
      <c r="T221" s="488"/>
      <c r="U221" s="489">
        <f t="shared" si="124"/>
        <v>4</v>
      </c>
      <c r="V221" s="490">
        <f t="shared" si="125"/>
        <v>46</v>
      </c>
      <c r="W221" s="491">
        <f>(3/6)*$X$207</f>
        <v>2</v>
      </c>
      <c r="X221" s="489">
        <f t="shared" si="135"/>
        <v>16</v>
      </c>
      <c r="Y221" s="492">
        <f t="shared" si="136"/>
        <v>0</v>
      </c>
      <c r="Z221" s="493">
        <f t="shared" si="126"/>
        <v>0</v>
      </c>
      <c r="AA221" s="931" t="str">
        <f t="shared" si="137"/>
        <v/>
      </c>
      <c r="AB221" s="925" t="str">
        <f t="shared" si="138"/>
        <v/>
      </c>
      <c r="AC221" s="595"/>
      <c r="AD221" s="933"/>
      <c r="AE221" s="934">
        <f>COUNTA(AE222:AE249)</f>
        <v>0</v>
      </c>
      <c r="AF221" s="929" t="s">
        <v>583</v>
      </c>
      <c r="AG221" s="932" t="s">
        <v>55</v>
      </c>
      <c r="AH221" s="488">
        <f t="shared" si="139"/>
        <v>0</v>
      </c>
      <c r="AI221" s="489">
        <f t="shared" si="127"/>
        <v>4</v>
      </c>
      <c r="AJ221" s="490">
        <f t="shared" si="128"/>
        <v>46</v>
      </c>
      <c r="AK221" s="491">
        <f>(30/4)*$X$207</f>
        <v>30</v>
      </c>
      <c r="AL221" s="489">
        <f t="shared" si="140"/>
        <v>240</v>
      </c>
      <c r="AM221" s="492">
        <f t="shared" si="141"/>
        <v>0</v>
      </c>
      <c r="AN221" s="493">
        <f t="shared" si="129"/>
        <v>0</v>
      </c>
      <c r="AO221" s="931" t="str">
        <f t="shared" si="142"/>
        <v/>
      </c>
      <c r="AP221" s="925" t="str">
        <f t="shared" si="130"/>
        <v/>
      </c>
      <c r="AQ221" s="595"/>
      <c r="AR221" s="933"/>
      <c r="AS221" s="934">
        <f>COUNTA(AS222:AS258)</f>
        <v>0</v>
      </c>
      <c r="AT221" s="929" t="s">
        <v>302</v>
      </c>
      <c r="AU221" s="487" t="s">
        <v>52</v>
      </c>
      <c r="AV221" s="488">
        <f t="shared" si="143"/>
        <v>0</v>
      </c>
      <c r="AW221" s="935"/>
      <c r="AX221" s="924"/>
      <c r="AY221" s="935"/>
      <c r="AZ221" s="935"/>
      <c r="BA221" s="935"/>
      <c r="BB221" s="936"/>
      <c r="BC221" s="494" t="str">
        <f t="shared" si="144"/>
        <v/>
      </c>
      <c r="BD221" s="595"/>
      <c r="BE221" s="595"/>
      <c r="BF221" s="595"/>
      <c r="BG221" s="595"/>
      <c r="BH221" s="595"/>
      <c r="BI221" s="595"/>
      <c r="BJ221" s="595"/>
      <c r="BK221" s="595"/>
      <c r="BL221" s="595"/>
      <c r="BM221" s="595"/>
      <c r="BN221" s="595"/>
      <c r="BO221" s="651"/>
      <c r="BP221" s="651"/>
      <c r="BQ221" s="651"/>
      <c r="BR221" s="651"/>
      <c r="BS221" s="651"/>
      <c r="BT221" s="651"/>
    </row>
    <row r="222" hidden="1">
      <c r="A222" s="1074"/>
      <c r="B222" s="584"/>
      <c r="C222" s="851"/>
      <c r="D222" s="609"/>
      <c r="E222" s="585"/>
      <c r="F222" s="1075"/>
      <c r="G222" s="587"/>
      <c r="H222" s="586"/>
      <c r="I222" s="443"/>
      <c r="J222" s="806"/>
      <c r="K222" s="354"/>
      <c r="L222" s="588"/>
      <c r="M222" s="588"/>
      <c r="N222" s="833"/>
      <c r="O222" s="590"/>
      <c r="P222" s="937">
        <f>IFERROR(__xludf.DUMMYFUNCTION("IF(Q222="""","""",
   IF(Q222=0,0,
      IF(ISNUMBER(MATCH(Q222,FILTER(R$222:R$342,T$222:T$342&lt;&gt;0),0)),1,0)
   )
)"),1.0)</f>
        <v>1</v>
      </c>
      <c r="Q222" s="938" t="str">
        <f>IFERROR(__xludf.DUMMYFUNCTION("UNIQUE(
  FILTER(
    D15:D182,
    O15:O182&gt;0,
    D15:D182&lt;&gt;"""",
    REGEXMATCH(D15:D182,""^R-|^WR-"")
  )
)
"),"R-Sheeting")</f>
        <v>R-Sheeting</v>
      </c>
      <c r="R222" s="929" t="s">
        <v>303</v>
      </c>
      <c r="S222" s="930" t="s">
        <v>251</v>
      </c>
      <c r="T222" s="488">
        <f t="shared" ref="T222:T340" si="145">sumif($D$13:$D$182,R222,$Q$13:$Q$182)</f>
        <v>0</v>
      </c>
      <c r="U222" s="489">
        <f t="shared" si="124"/>
        <v>4</v>
      </c>
      <c r="V222" s="490">
        <f t="shared" si="125"/>
        <v>46</v>
      </c>
      <c r="W222" s="491"/>
      <c r="X222" s="489"/>
      <c r="Y222" s="492"/>
      <c r="Z222" s="493"/>
      <c r="AA222" s="931" t="str">
        <f t="shared" si="137"/>
        <v/>
      </c>
      <c r="AB222" s="925" t="str">
        <f t="shared" si="138"/>
        <v/>
      </c>
      <c r="AC222" s="595"/>
      <c r="AD222" s="939" t="str">
        <f>IFERROR(__xludf.DUMMYFUNCTION("IF(AE222="""","""",
   IF(AE222=0,0,
      IF(ISNUMBER(MATCH(AE222,FILTER(AF$220:AF$278,AH$220:AH$278&lt;&gt;0),0)),1,0)
   )
)"),"")</f>
        <v/>
      </c>
      <c r="AE222" s="940" t="str">
        <f>IFERROR(__xludf.DUMMYFUNCTION("IFERROR(
  UNIQUE(
    FILTER(
      D15:D182,
      O15:O182&gt;0,
      D15:D182&lt;&gt;"""",
      REGEXMATCH(D15:D182,""^W-"")
    )
  )
)"),"")</f>
        <v/>
      </c>
      <c r="AF222" s="929" t="s">
        <v>349</v>
      </c>
      <c r="AG222" s="932" t="s">
        <v>55</v>
      </c>
      <c r="AH222" s="488">
        <f t="shared" si="139"/>
        <v>0</v>
      </c>
      <c r="AI222" s="489">
        <f t="shared" si="127"/>
        <v>4</v>
      </c>
      <c r="AJ222" s="490">
        <f t="shared" si="128"/>
        <v>46</v>
      </c>
      <c r="AK222" s="491">
        <f>(20/1)*$X$207</f>
        <v>80</v>
      </c>
      <c r="AL222" s="489">
        <f t="shared" si="140"/>
        <v>640</v>
      </c>
      <c r="AM222" s="492">
        <f t="shared" si="141"/>
        <v>0</v>
      </c>
      <c r="AN222" s="493">
        <f t="shared" si="129"/>
        <v>0</v>
      </c>
      <c r="AO222" s="931" t="str">
        <f t="shared" si="142"/>
        <v/>
      </c>
      <c r="AP222" s="925" t="str">
        <f t="shared" si="130"/>
        <v/>
      </c>
      <c r="AQ222" s="595"/>
      <c r="AR222" s="939" t="str">
        <f>IFERROR(__xludf.DUMMYFUNCTION("IF(AS222="""","""",
   IF(AS222=0,0,
      IF(ISNUMBER(MATCH(AS222,FILTER(AT$220:AT$258,AV$220:AV$258&lt;&gt;0),0)),1,0)
   )
)"),"")</f>
        <v/>
      </c>
      <c r="AS222" s="940" t="str">
        <f>IFERROR(__xludf.DUMMYFUNCTION("iferror(UNIQUE(
  FILTER(
    D15:D182,
    O15:O182&gt;0,
    D15:D182&lt;&gt;"""",
    REGEXMATCH(D15:D182,""^S-"")
  )
)
)"),"")</f>
        <v/>
      </c>
      <c r="AT222" s="486" t="s">
        <v>304</v>
      </c>
      <c r="AU222" s="487" t="s">
        <v>52</v>
      </c>
      <c r="AV222" s="488">
        <f t="shared" si="143"/>
        <v>0</v>
      </c>
      <c r="AW222" s="935"/>
      <c r="AX222" s="924"/>
      <c r="AY222" s="935"/>
      <c r="AZ222" s="935"/>
      <c r="BA222" s="935"/>
      <c r="BB222" s="936"/>
      <c r="BC222" s="494" t="str">
        <f t="shared" si="144"/>
        <v/>
      </c>
      <c r="BD222" s="595"/>
      <c r="BE222" s="595"/>
      <c r="BF222" s="595"/>
      <c r="BG222" s="595"/>
      <c r="BH222" s="595"/>
      <c r="BI222" s="595"/>
      <c r="BJ222" s="595"/>
      <c r="BK222" s="595"/>
      <c r="BL222" s="595"/>
      <c r="BM222" s="595"/>
      <c r="BN222" s="595"/>
      <c r="BO222" s="651"/>
      <c r="BP222" s="651"/>
      <c r="BQ222" s="651"/>
      <c r="BR222" s="651"/>
      <c r="BS222" s="651"/>
      <c r="BT222" s="651"/>
    </row>
    <row r="223" hidden="1">
      <c r="A223" s="1074"/>
      <c r="B223" s="12" t="s">
        <v>176</v>
      </c>
      <c r="C223" s="412" t="s">
        <v>254</v>
      </c>
      <c r="D223" s="821"/>
      <c r="E223" s="822"/>
      <c r="F223" s="1175"/>
      <c r="G223" s="824"/>
      <c r="H223" s="823"/>
      <c r="I223" s="333" t="s">
        <v>255</v>
      </c>
      <c r="J223" s="334" t="s">
        <v>248</v>
      </c>
      <c r="K223" s="335" t="s">
        <v>256</v>
      </c>
      <c r="L223" s="336" t="s">
        <v>26</v>
      </c>
      <c r="M223" s="878"/>
      <c r="N223" s="857">
        <f>SUM(N224:N228)</f>
        <v>0</v>
      </c>
      <c r="O223" s="590"/>
      <c r="P223" s="939">
        <f>IFERROR(__xludf.DUMMYFUNCTION("IF(Q223="""","""",
   IF(Q223=0,0,
      IF(ISNUMBER(MATCH(Q223,FILTER(R$222:R$342,T$222:T$342&lt;&gt;0),0)),1,0)
   )
)"),1.0)</f>
        <v>1</v>
      </c>
      <c r="Q223" s="941" t="str">
        <f>IFERROR(__xludf.DUMMYFUNCTION("""COMPUTED_VALUE"""),"R-Fixings")</f>
        <v>R-Fixings</v>
      </c>
      <c r="R223" s="942" t="s">
        <v>51</v>
      </c>
      <c r="S223" s="930" t="s">
        <v>52</v>
      </c>
      <c r="T223" s="488">
        <f t="shared" si="145"/>
        <v>0</v>
      </c>
      <c r="U223" s="489">
        <f t="shared" si="124"/>
        <v>4</v>
      </c>
      <c r="V223" s="490">
        <f t="shared" si="125"/>
        <v>46</v>
      </c>
      <c r="W223" s="491"/>
      <c r="X223" s="489"/>
      <c r="Y223" s="492"/>
      <c r="Z223" s="493"/>
      <c r="AA223" s="931" t="str">
        <f t="shared" si="137"/>
        <v/>
      </c>
      <c r="AB223" s="925" t="str">
        <f t="shared" si="138"/>
        <v/>
      </c>
      <c r="AC223" s="595"/>
      <c r="AD223" s="939" t="str">
        <f>IFERROR(__xludf.DUMMYFUNCTION("IF(AE223="""","""",
   IF(AE223=0,0,
      IF(ISNUMBER(MATCH(AE223,FILTER(AF$220:AF$278,AH$220:AH$278&lt;&gt;0),0)),1,0)
   )
)"),"")</f>
        <v/>
      </c>
      <c r="AE223" s="943"/>
      <c r="AF223" s="929" t="s">
        <v>584</v>
      </c>
      <c r="AG223" s="932" t="s">
        <v>55</v>
      </c>
      <c r="AH223" s="488">
        <f t="shared" si="139"/>
        <v>0</v>
      </c>
      <c r="AI223" s="489">
        <f t="shared" si="127"/>
        <v>4</v>
      </c>
      <c r="AJ223" s="490">
        <f t="shared" si="128"/>
        <v>46</v>
      </c>
      <c r="AK223" s="491">
        <f>(30/2)*$X$207</f>
        <v>60</v>
      </c>
      <c r="AL223" s="489">
        <f t="shared" si="140"/>
        <v>480</v>
      </c>
      <c r="AM223" s="492">
        <f t="shared" si="141"/>
        <v>0</v>
      </c>
      <c r="AN223" s="493">
        <f t="shared" si="129"/>
        <v>0</v>
      </c>
      <c r="AO223" s="931" t="str">
        <f t="shared" si="142"/>
        <v/>
      </c>
      <c r="AP223" s="925" t="str">
        <f t="shared" si="130"/>
        <v/>
      </c>
      <c r="AQ223" s="595"/>
      <c r="AR223" s="939" t="str">
        <f>IFERROR(__xludf.DUMMYFUNCTION("IF(AS223="""","""",
   IF(AS223=0,0,
      IF(ISNUMBER(MATCH(AS223,FILTER(AT$220:AT$258,AV$220:AV$258&lt;&gt;0),0)),1,0)
   )
)"),"")</f>
        <v/>
      </c>
      <c r="AS223" s="943"/>
      <c r="AT223" s="486" t="s">
        <v>305</v>
      </c>
      <c r="AU223" s="487" t="s">
        <v>52</v>
      </c>
      <c r="AV223" s="488">
        <f t="shared" si="143"/>
        <v>0</v>
      </c>
      <c r="AW223" s="935"/>
      <c r="AX223" s="924"/>
      <c r="AY223" s="935"/>
      <c r="AZ223" s="935"/>
      <c r="BA223" s="935"/>
      <c r="BB223" s="936"/>
      <c r="BC223" s="494" t="str">
        <f t="shared" si="144"/>
        <v/>
      </c>
      <c r="BD223" s="595"/>
      <c r="BE223" s="595"/>
      <c r="BF223" s="595"/>
      <c r="BG223" s="595"/>
      <c r="BH223" s="595"/>
      <c r="BI223" s="595"/>
      <c r="BJ223" s="595"/>
      <c r="BK223" s="595"/>
      <c r="BL223" s="595"/>
      <c r="BM223" s="595"/>
      <c r="BN223" s="595"/>
      <c r="BO223" s="651"/>
      <c r="BP223" s="651"/>
      <c r="BQ223" s="651"/>
      <c r="BR223" s="651"/>
      <c r="BS223" s="651"/>
      <c r="BT223" s="651"/>
    </row>
    <row r="224" hidden="1">
      <c r="A224" s="1074"/>
      <c r="B224" s="584"/>
      <c r="C224" s="499" t="s">
        <v>257</v>
      </c>
      <c r="D224" s="844"/>
      <c r="E224" s="845"/>
      <c r="F224" s="1176"/>
      <c r="G224" s="847"/>
      <c r="H224" s="846"/>
      <c r="I224" s="437">
        <v>1.0</v>
      </c>
      <c r="J224" s="500">
        <f>W209</f>
        <v>19.96000182</v>
      </c>
      <c r="K224" s="501">
        <v>0.5</v>
      </c>
      <c r="L224" s="371">
        <v>45.0</v>
      </c>
      <c r="M224" s="870">
        <v>0.0</v>
      </c>
      <c r="N224" s="849">
        <f t="shared" ref="N224:N227" si="146">M224*L224*K224*J224*I224</f>
        <v>0</v>
      </c>
      <c r="O224" s="590"/>
      <c r="P224" s="939">
        <f>IFERROR(__xludf.DUMMYFUNCTION("IF(Q224="""","""",
   IF(Q224=0,0,
      IF(ISNUMBER(MATCH(Q224,FILTER(R$222:R$342,T$222:T$342&lt;&gt;0),0)),1,0)
   )
)"),1.0)</f>
        <v>1</v>
      </c>
      <c r="Q224" s="941" t="str">
        <f>IFERROR(__xludf.DUMMYFUNCTION("""COMPUTED_VALUE"""),"R-Washer")</f>
        <v>R-Washer</v>
      </c>
      <c r="R224" s="942" t="s">
        <v>585</v>
      </c>
      <c r="S224" s="930" t="s">
        <v>55</v>
      </c>
      <c r="T224" s="488">
        <f t="shared" si="145"/>
        <v>0</v>
      </c>
      <c r="U224" s="489">
        <f t="shared" si="124"/>
        <v>4</v>
      </c>
      <c r="V224" s="490">
        <f t="shared" si="125"/>
        <v>46</v>
      </c>
      <c r="W224" s="491">
        <f>(10/1)*$X$207</f>
        <v>40</v>
      </c>
      <c r="X224" s="489">
        <f t="shared" ref="X224:X226" si="147">W224*W$217</f>
        <v>320</v>
      </c>
      <c r="Y224" s="492">
        <f t="shared" ref="Y224:Y226" si="148">ROUNDUP(T224/X224,2)</f>
        <v>0</v>
      </c>
      <c r="Z224" s="493">
        <f t="shared" ref="Z224:Z226" si="149">Y224*V224*U224*W$217</f>
        <v>0</v>
      </c>
      <c r="AA224" s="931" t="str">
        <f t="shared" si="137"/>
        <v/>
      </c>
      <c r="AB224" s="925" t="str">
        <f t="shared" si="138"/>
        <v/>
      </c>
      <c r="AC224" s="595"/>
      <c r="AD224" s="939" t="str">
        <f>IFERROR(__xludf.DUMMYFUNCTION("IF(AE224="""","""",
   IF(AE224=0,0,
      IF(ISNUMBER(MATCH(AE224,FILTER(AF$220:AF$278,AH$220:AH$278&lt;&gt;0),0)),1,0)
   )
)"),"")</f>
        <v/>
      </c>
      <c r="AE224" s="943"/>
      <c r="AF224" s="929" t="s">
        <v>368</v>
      </c>
      <c r="AG224" s="930" t="s">
        <v>41</v>
      </c>
      <c r="AH224" s="488">
        <f t="shared" si="139"/>
        <v>0</v>
      </c>
      <c r="AI224" s="935"/>
      <c r="AJ224" s="490">
        <f t="shared" si="128"/>
        <v>46</v>
      </c>
      <c r="AK224" s="935"/>
      <c r="AL224" s="935"/>
      <c r="AM224" s="935"/>
      <c r="AN224" s="936"/>
      <c r="AO224" s="931" t="str">
        <f t="shared" si="142"/>
        <v/>
      </c>
      <c r="AP224" s="925" t="str">
        <f t="shared" si="130"/>
        <v/>
      </c>
      <c r="AQ224" s="595"/>
      <c r="AR224" s="939" t="str">
        <f>IFERROR(__xludf.DUMMYFUNCTION("IF(AS224="""","""",
   IF(AS224=0,0,
      IF(ISNUMBER(MATCH(AS224,FILTER(AT$220:AT$258,AV$220:AV$258&lt;&gt;0),0)),1,0)
   )
)"),"")</f>
        <v/>
      </c>
      <c r="AS224" s="943"/>
      <c r="AT224" s="486" t="s">
        <v>307</v>
      </c>
      <c r="AU224" s="487" t="s">
        <v>41</v>
      </c>
      <c r="AV224" s="488">
        <f t="shared" si="143"/>
        <v>0</v>
      </c>
      <c r="AW224" s="489">
        <f t="shared" ref="AW224:AW228" si="150">$X$207</f>
        <v>4</v>
      </c>
      <c r="AX224" s="924" t="str">
        <f t="shared" ref="AX224:AX228" si="151">AY$210</f>
        <v/>
      </c>
      <c r="AY224" s="491">
        <f>(50/4)*$X$207</f>
        <v>50</v>
      </c>
      <c r="AZ224" s="489">
        <f t="shared" ref="AZ224:AZ228" si="152">AY224*AY$217</f>
        <v>400</v>
      </c>
      <c r="BA224" s="492">
        <f t="shared" ref="BA224:BA228" si="153">ROUNDUP(AV224/AZ224,2)</f>
        <v>0</v>
      </c>
      <c r="BB224" s="493">
        <f t="shared" ref="BB224:BB228" si="154">BA224*AX224*AW224*AY$217</f>
        <v>0</v>
      </c>
      <c r="BC224" s="494" t="str">
        <f t="shared" si="144"/>
        <v/>
      </c>
      <c r="BD224" s="595"/>
      <c r="BE224" s="595"/>
      <c r="BF224" s="595"/>
      <c r="BG224" s="595"/>
      <c r="BH224" s="595"/>
      <c r="BI224" s="595"/>
      <c r="BJ224" s="595"/>
      <c r="BK224" s="595"/>
      <c r="BL224" s="595"/>
      <c r="BM224" s="595"/>
      <c r="BN224" s="595"/>
      <c r="BO224" s="651"/>
      <c r="BP224" s="651"/>
      <c r="BQ224" s="651"/>
      <c r="BR224" s="651"/>
      <c r="BS224" s="651"/>
      <c r="BT224" s="651"/>
    </row>
    <row r="225" hidden="1">
      <c r="A225" s="1074"/>
      <c r="B225" s="584"/>
      <c r="C225" s="499" t="s">
        <v>258</v>
      </c>
      <c r="D225" s="844"/>
      <c r="E225" s="845"/>
      <c r="F225" s="1176"/>
      <c r="G225" s="847"/>
      <c r="H225" s="846"/>
      <c r="I225" s="437">
        <v>1.0</v>
      </c>
      <c r="J225" s="500">
        <f>J224</f>
        <v>19.96000182</v>
      </c>
      <c r="K225" s="501">
        <v>0.5</v>
      </c>
      <c r="L225" s="371">
        <f>32*1.25</f>
        <v>40</v>
      </c>
      <c r="M225" s="870">
        <v>0.0</v>
      </c>
      <c r="N225" s="849">
        <f t="shared" si="146"/>
        <v>0</v>
      </c>
      <c r="O225" s="590"/>
      <c r="P225" s="939">
        <f>IFERROR(__xludf.DUMMYFUNCTION("IF(Q225="""","""",
   IF(Q225=0,0,
      IF(ISNUMBER(MATCH(Q225,FILTER(R$222:R$342,T$222:T$342&lt;&gt;0),0)),1,0)
   )
)"),1.0)</f>
        <v>1</v>
      </c>
      <c r="Q225" s="941" t="str">
        <f>IFERROR(__xludf.DUMMYFUNCTION("""COMPUTED_VALUE"""),"R-Underlay")</f>
        <v>R-Underlay</v>
      </c>
      <c r="R225" s="929" t="s">
        <v>306</v>
      </c>
      <c r="S225" s="930" t="s">
        <v>55</v>
      </c>
      <c r="T225" s="488">
        <f t="shared" si="145"/>
        <v>0</v>
      </c>
      <c r="U225" s="489">
        <f t="shared" si="124"/>
        <v>4</v>
      </c>
      <c r="V225" s="490">
        <f t="shared" si="125"/>
        <v>46</v>
      </c>
      <c r="W225" s="491">
        <f>(40/2)*$X$207</f>
        <v>80</v>
      </c>
      <c r="X225" s="489">
        <f t="shared" si="147"/>
        <v>640</v>
      </c>
      <c r="Y225" s="492">
        <f t="shared" si="148"/>
        <v>0</v>
      </c>
      <c r="Z225" s="493">
        <f t="shared" si="149"/>
        <v>0</v>
      </c>
      <c r="AA225" s="931" t="str">
        <f t="shared" si="137"/>
        <v/>
      </c>
      <c r="AB225" s="925" t="str">
        <f t="shared" si="138"/>
        <v/>
      </c>
      <c r="AC225" s="595"/>
      <c r="AD225" s="939" t="str">
        <f>IFERROR(__xludf.DUMMYFUNCTION("IF(AE225="""","""",
   IF(AE225=0,0,
      IF(ISNUMBER(MATCH(AE225,FILTER(AF$220:AF$278,AH$220:AH$278&lt;&gt;0),0)),1,0)
   )
)"),"")</f>
        <v/>
      </c>
      <c r="AE225" s="943"/>
      <c r="AF225" s="929" t="s">
        <v>586</v>
      </c>
      <c r="AG225" s="932" t="s">
        <v>55</v>
      </c>
      <c r="AH225" s="488">
        <f t="shared" si="139"/>
        <v>0</v>
      </c>
      <c r="AI225" s="489">
        <f t="shared" ref="AI225:AI257" si="155">$X$207</f>
        <v>4</v>
      </c>
      <c r="AJ225" s="490">
        <f t="shared" si="128"/>
        <v>46</v>
      </c>
      <c r="AK225" s="491">
        <f t="shared" ref="AK225:AK226" si="156">(30/4)*$X$207</f>
        <v>30</v>
      </c>
      <c r="AL225" s="489">
        <f t="shared" ref="AL225:AL230" si="157">AK225*AK$217</f>
        <v>240</v>
      </c>
      <c r="AM225" s="492">
        <f t="shared" ref="AM225:AM230" si="158">ROUNDUP(AH225/AL225,2)</f>
        <v>0</v>
      </c>
      <c r="AN225" s="493">
        <f t="shared" ref="AN225:AN230" si="159">AM225*AJ225*AI225*AK$217</f>
        <v>0</v>
      </c>
      <c r="AO225" s="931" t="str">
        <f t="shared" si="142"/>
        <v/>
      </c>
      <c r="AP225" s="925" t="str">
        <f t="shared" si="130"/>
        <v/>
      </c>
      <c r="AQ225" s="595"/>
      <c r="AR225" s="939" t="str">
        <f>IFERROR(__xludf.DUMMYFUNCTION("IF(AS225="""","""",
   IF(AS225=0,0,
      IF(ISNUMBER(MATCH(AS225,FILTER(AT$220:AT$258,AV$220:AV$258&lt;&gt;0),0)),1,0)
   )
)"),"")</f>
        <v/>
      </c>
      <c r="AS225" s="943"/>
      <c r="AT225" s="486" t="s">
        <v>309</v>
      </c>
      <c r="AU225" s="487" t="s">
        <v>55</v>
      </c>
      <c r="AV225" s="488">
        <f t="shared" si="143"/>
        <v>0</v>
      </c>
      <c r="AW225" s="489">
        <f t="shared" si="150"/>
        <v>4</v>
      </c>
      <c r="AX225" s="924" t="str">
        <f t="shared" si="151"/>
        <v/>
      </c>
      <c r="AY225" s="491">
        <f>(20/1)*$X$207</f>
        <v>80</v>
      </c>
      <c r="AZ225" s="489">
        <f t="shared" si="152"/>
        <v>640</v>
      </c>
      <c r="BA225" s="492">
        <f t="shared" si="153"/>
        <v>0</v>
      </c>
      <c r="BB225" s="493">
        <f t="shared" si="154"/>
        <v>0</v>
      </c>
      <c r="BC225" s="494" t="str">
        <f t="shared" si="144"/>
        <v/>
      </c>
      <c r="BD225" s="595"/>
      <c r="BE225" s="595"/>
      <c r="BF225" s="595"/>
      <c r="BG225" s="595"/>
      <c r="BH225" s="595"/>
      <c r="BI225" s="595"/>
      <c r="BJ225" s="595"/>
      <c r="BK225" s="595"/>
      <c r="BL225" s="595"/>
      <c r="BM225" s="595"/>
      <c r="BN225" s="595"/>
      <c r="BO225" s="651"/>
      <c r="BP225" s="651"/>
      <c r="BQ225" s="651"/>
      <c r="BR225" s="651"/>
      <c r="BS225" s="651"/>
      <c r="BT225" s="651"/>
    </row>
    <row r="226" hidden="1">
      <c r="A226" s="1074"/>
      <c r="B226" s="584"/>
      <c r="C226" s="499" t="s">
        <v>259</v>
      </c>
      <c r="D226" s="844"/>
      <c r="E226" s="845"/>
      <c r="F226" s="1176"/>
      <c r="G226" s="847"/>
      <c r="H226" s="846"/>
      <c r="I226" s="437">
        <v>1.0</v>
      </c>
      <c r="J226" s="500">
        <v>1.0</v>
      </c>
      <c r="K226" s="944">
        <v>1.0</v>
      </c>
      <c r="L226" s="371">
        <f>72</f>
        <v>72</v>
      </c>
      <c r="M226" s="870">
        <v>0.0</v>
      </c>
      <c r="N226" s="849">
        <f t="shared" si="146"/>
        <v>0</v>
      </c>
      <c r="O226" s="590"/>
      <c r="P226" s="939">
        <f>IFERROR(__xludf.DUMMYFUNCTION("IF(Q226="""","""",
   IF(Q226=0,0,
      IF(ISNUMBER(MATCH(Q226,FILTER(R$222:R$342,T$222:T$342&lt;&gt;0),0)),1,0)
   )
)"),1.0)</f>
        <v>1</v>
      </c>
      <c r="Q226" s="941" t="str">
        <f>IFERROR(__xludf.DUMMYFUNCTION("""COMPUTED_VALUE"""),"R-UTape")</f>
        <v>R-UTape</v>
      </c>
      <c r="R226" s="929" t="s">
        <v>308</v>
      </c>
      <c r="S226" s="930" t="s">
        <v>55</v>
      </c>
      <c r="T226" s="488">
        <f t="shared" si="145"/>
        <v>0</v>
      </c>
      <c r="U226" s="489">
        <f t="shared" si="124"/>
        <v>4</v>
      </c>
      <c r="V226" s="490">
        <f t="shared" si="125"/>
        <v>46</v>
      </c>
      <c r="W226" s="491">
        <f>(10/2)*$X$207</f>
        <v>20</v>
      </c>
      <c r="X226" s="489">
        <f t="shared" si="147"/>
        <v>160</v>
      </c>
      <c r="Y226" s="492">
        <f t="shared" si="148"/>
        <v>0</v>
      </c>
      <c r="Z226" s="493">
        <f t="shared" si="149"/>
        <v>0</v>
      </c>
      <c r="AA226" s="931" t="str">
        <f t="shared" si="137"/>
        <v/>
      </c>
      <c r="AB226" s="925" t="str">
        <f t="shared" si="138"/>
        <v/>
      </c>
      <c r="AC226" s="595"/>
      <c r="AD226" s="939" t="str">
        <f>IFERROR(__xludf.DUMMYFUNCTION("IF(AE226="""","""",
   IF(AE226=0,0,
      IF(ISNUMBER(MATCH(AE226,FILTER(AF$220:AF$278,AH$220:AH$278&lt;&gt;0),0)),1,0)
   )
)"),"")</f>
        <v/>
      </c>
      <c r="AE226" s="943"/>
      <c r="AF226" s="942" t="s">
        <v>548</v>
      </c>
      <c r="AG226" s="945" t="s">
        <v>52</v>
      </c>
      <c r="AH226" s="488">
        <f t="shared" si="139"/>
        <v>0</v>
      </c>
      <c r="AI226" s="489">
        <f t="shared" si="155"/>
        <v>4</v>
      </c>
      <c r="AJ226" s="490">
        <f t="shared" si="128"/>
        <v>46</v>
      </c>
      <c r="AK226" s="491">
        <f t="shared" si="156"/>
        <v>30</v>
      </c>
      <c r="AL226" s="489">
        <f t="shared" si="157"/>
        <v>240</v>
      </c>
      <c r="AM226" s="492">
        <f t="shared" si="158"/>
        <v>0</v>
      </c>
      <c r="AN226" s="493">
        <f t="shared" si="159"/>
        <v>0</v>
      </c>
      <c r="AO226" s="931" t="str">
        <f t="shared" si="142"/>
        <v/>
      </c>
      <c r="AP226" s="925" t="str">
        <f t="shared" si="130"/>
        <v/>
      </c>
      <c r="AQ226" s="595"/>
      <c r="AR226" s="939" t="str">
        <f>IFERROR(__xludf.DUMMYFUNCTION("IF(AS226="""","""",
   IF(AS226=0,0,
      IF(ISNUMBER(MATCH(AS226,FILTER(AT$220:AT$258,AV$220:AV$258&lt;&gt;0),0)),1,0)
   )
)"),"")</f>
        <v/>
      </c>
      <c r="AS226" s="943"/>
      <c r="AT226" s="486" t="s">
        <v>312</v>
      </c>
      <c r="AU226" s="487" t="s">
        <v>41</v>
      </c>
      <c r="AV226" s="488">
        <f t="shared" si="143"/>
        <v>0</v>
      </c>
      <c r="AW226" s="489">
        <f t="shared" si="150"/>
        <v>4</v>
      </c>
      <c r="AX226" s="924" t="str">
        <f t="shared" si="151"/>
        <v/>
      </c>
      <c r="AY226" s="491">
        <f>(70/4)*$X$207</f>
        <v>70</v>
      </c>
      <c r="AZ226" s="489">
        <f t="shared" si="152"/>
        <v>560</v>
      </c>
      <c r="BA226" s="492">
        <f t="shared" si="153"/>
        <v>0</v>
      </c>
      <c r="BB226" s="493">
        <f t="shared" si="154"/>
        <v>0</v>
      </c>
      <c r="BC226" s="494" t="str">
        <f t="shared" si="144"/>
        <v/>
      </c>
      <c r="BD226" s="595"/>
      <c r="BE226" s="595"/>
      <c r="BF226" s="595"/>
      <c r="BG226" s="595"/>
      <c r="BH226" s="595"/>
      <c r="BI226" s="595"/>
      <c r="BJ226" s="595"/>
      <c r="BK226" s="595"/>
      <c r="BL226" s="595"/>
      <c r="BM226" s="595"/>
      <c r="BN226" s="595"/>
      <c r="BO226" s="651"/>
      <c r="BP226" s="651"/>
      <c r="BQ226" s="651"/>
      <c r="BR226" s="651"/>
      <c r="BS226" s="651"/>
      <c r="BT226" s="651"/>
    </row>
    <row r="227" hidden="1">
      <c r="A227" s="1074"/>
      <c r="B227" s="584"/>
      <c r="C227" s="946"/>
      <c r="D227" s="844"/>
      <c r="E227" s="845"/>
      <c r="F227" s="1176"/>
      <c r="G227" s="847"/>
      <c r="H227" s="846"/>
      <c r="I227" s="437">
        <v>1.0</v>
      </c>
      <c r="J227" s="500">
        <f>J224</f>
        <v>19.96000182</v>
      </c>
      <c r="K227" s="501">
        <v>0.0</v>
      </c>
      <c r="L227" s="850"/>
      <c r="M227" s="840"/>
      <c r="N227" s="849">
        <f t="shared" si="146"/>
        <v>0</v>
      </c>
      <c r="O227" s="590"/>
      <c r="P227" s="939">
        <f>IFERROR(__xludf.DUMMYFUNCTION("IF(Q227="""","""",
   IF(Q227=0,0,
      IF(ISNUMBER(MATCH(Q227,FILTER(R$222:R$342,T$222:T$342&lt;&gt;0),0)),1,0)
   )
)"),1.0)</f>
        <v>1</v>
      </c>
      <c r="Q227" s="941" t="str">
        <f>IFERROR(__xludf.DUMMYFUNCTION("""COMPUTED_VALUE"""),"R-Flashing")</f>
        <v>R-Flashing</v>
      </c>
      <c r="R227" s="929" t="s">
        <v>310</v>
      </c>
      <c r="S227" s="930" t="s">
        <v>52</v>
      </c>
      <c r="T227" s="488">
        <f t="shared" si="145"/>
        <v>0</v>
      </c>
      <c r="U227" s="489">
        <f t="shared" si="124"/>
        <v>4</v>
      </c>
      <c r="V227" s="490">
        <f t="shared" si="125"/>
        <v>46</v>
      </c>
      <c r="W227" s="491"/>
      <c r="X227" s="489"/>
      <c r="Y227" s="492"/>
      <c r="Z227" s="493"/>
      <c r="AA227" s="931"/>
      <c r="AB227" s="925" t="str">
        <f t="shared" si="138"/>
        <v/>
      </c>
      <c r="AC227" s="595"/>
      <c r="AD227" s="939" t="str">
        <f>IFERROR(__xludf.DUMMYFUNCTION("IF(AE227="""","""",
   IF(AE227=0,0,
      IF(ISNUMBER(MATCH(AE227,FILTER(AF$220:AF$278,AH$220:AH$278&lt;&gt;0),0)),1,0)
   )
)"),"")</f>
        <v/>
      </c>
      <c r="AE227" s="943"/>
      <c r="AF227" s="929" t="s">
        <v>173</v>
      </c>
      <c r="AG227" s="932" t="s">
        <v>55</v>
      </c>
      <c r="AH227" s="488">
        <f t="shared" si="139"/>
        <v>0</v>
      </c>
      <c r="AI227" s="489">
        <f t="shared" si="155"/>
        <v>4</v>
      </c>
      <c r="AJ227" s="490">
        <f t="shared" si="128"/>
        <v>46</v>
      </c>
      <c r="AK227" s="491">
        <f>(40/2)*$X$207</f>
        <v>80</v>
      </c>
      <c r="AL227" s="489">
        <f t="shared" si="157"/>
        <v>640</v>
      </c>
      <c r="AM227" s="492">
        <f t="shared" si="158"/>
        <v>0</v>
      </c>
      <c r="AN227" s="493">
        <f t="shared" si="159"/>
        <v>0</v>
      </c>
      <c r="AO227" s="931" t="str">
        <f t="shared" si="142"/>
        <v/>
      </c>
      <c r="AP227" s="925" t="str">
        <f t="shared" si="130"/>
        <v/>
      </c>
      <c r="AQ227" s="595"/>
      <c r="AR227" s="939" t="str">
        <f>IFERROR(__xludf.DUMMYFUNCTION("IF(AS227="""","""",
   IF(AS227=0,0,
      IF(ISNUMBER(MATCH(AS227,FILTER(AT$220:AT$258,AV$220:AV$258&lt;&gt;0),0)),1,0)
   )
)"),"")</f>
        <v/>
      </c>
      <c r="AS227" s="943"/>
      <c r="AT227" s="486" t="s">
        <v>315</v>
      </c>
      <c r="AU227" s="487" t="s">
        <v>41</v>
      </c>
      <c r="AV227" s="488">
        <f t="shared" si="143"/>
        <v>0</v>
      </c>
      <c r="AW227" s="489">
        <f t="shared" si="150"/>
        <v>4</v>
      </c>
      <c r="AX227" s="924" t="str">
        <f t="shared" si="151"/>
        <v/>
      </c>
      <c r="AY227" s="491">
        <f>(15/4)*$X$207</f>
        <v>15</v>
      </c>
      <c r="AZ227" s="489">
        <f t="shared" si="152"/>
        <v>120</v>
      </c>
      <c r="BA227" s="492">
        <f t="shared" si="153"/>
        <v>0</v>
      </c>
      <c r="BB227" s="493">
        <f t="shared" si="154"/>
        <v>0</v>
      </c>
      <c r="BC227" s="494" t="str">
        <f t="shared" si="144"/>
        <v/>
      </c>
      <c r="BD227" s="595"/>
      <c r="BE227" s="595"/>
      <c r="BF227" s="595"/>
      <c r="BG227" s="595"/>
      <c r="BH227" s="595"/>
      <c r="BI227" s="595"/>
      <c r="BJ227" s="595"/>
      <c r="BK227" s="595"/>
      <c r="BL227" s="595"/>
      <c r="BM227" s="595"/>
      <c r="BN227" s="595"/>
      <c r="BO227" s="651"/>
      <c r="BP227" s="651"/>
      <c r="BQ227" s="651"/>
      <c r="BR227" s="651"/>
      <c r="BS227" s="651"/>
      <c r="BT227" s="651"/>
    </row>
    <row r="228" hidden="1">
      <c r="A228" s="1074"/>
      <c r="B228" s="584"/>
      <c r="C228" s="851"/>
      <c r="D228" s="609"/>
      <c r="E228" s="585"/>
      <c r="F228" s="1075"/>
      <c r="G228" s="587"/>
      <c r="H228" s="586"/>
      <c r="I228" s="443"/>
      <c r="J228" s="443"/>
      <c r="K228" s="354"/>
      <c r="L228" s="588"/>
      <c r="M228" s="588"/>
      <c r="N228" s="833"/>
      <c r="O228" s="590"/>
      <c r="P228" s="939">
        <f>IFERROR(__xludf.DUMMYFUNCTION("IF(Q228="""","""",
   IF(Q228=0,0,
      IF(ISNUMBER(MATCH(Q228,FILTER(R$222:R$342,T$222:T$342&lt;&gt;0),0)),1,0)
   )
)"),1.0)</f>
        <v>1</v>
      </c>
      <c r="Q228" s="941" t="str">
        <f>IFERROR(__xludf.DUMMYFUNCTION("""COMPUTED_VALUE"""),"R-Silicone")</f>
        <v>R-Silicone</v>
      </c>
      <c r="R228" s="929" t="s">
        <v>313</v>
      </c>
      <c r="S228" s="930" t="s">
        <v>52</v>
      </c>
      <c r="T228" s="488">
        <f t="shared" si="145"/>
        <v>0</v>
      </c>
      <c r="U228" s="489">
        <f t="shared" si="124"/>
        <v>4</v>
      </c>
      <c r="V228" s="490">
        <f t="shared" si="125"/>
        <v>46</v>
      </c>
      <c r="W228" s="491"/>
      <c r="X228" s="489"/>
      <c r="Y228" s="492"/>
      <c r="Z228" s="493"/>
      <c r="AA228" s="931"/>
      <c r="AB228" s="925" t="str">
        <f t="shared" si="138"/>
        <v/>
      </c>
      <c r="AC228" s="595"/>
      <c r="AD228" s="939" t="str">
        <f>IFERROR(__xludf.DUMMYFUNCTION("IF(AE228="""","""",
   IF(AE228=0,0,
      IF(ISNUMBER(MATCH(AE228,FILTER(AF$220:AF$278,AH$220:AH$278&lt;&gt;0),0)),1,0)
   )
)"),"")</f>
        <v/>
      </c>
      <c r="AE228" s="943"/>
      <c r="AF228" s="929" t="s">
        <v>363</v>
      </c>
      <c r="AG228" s="930" t="s">
        <v>52</v>
      </c>
      <c r="AH228" s="488">
        <f t="shared" si="139"/>
        <v>0</v>
      </c>
      <c r="AI228" s="489">
        <f t="shared" si="155"/>
        <v>4</v>
      </c>
      <c r="AJ228" s="490">
        <f t="shared" si="128"/>
        <v>46</v>
      </c>
      <c r="AK228" s="491">
        <f>(3/4)*$X$207</f>
        <v>3</v>
      </c>
      <c r="AL228" s="489">
        <f t="shared" si="157"/>
        <v>24</v>
      </c>
      <c r="AM228" s="492">
        <f t="shared" si="158"/>
        <v>0</v>
      </c>
      <c r="AN228" s="493">
        <f t="shared" si="159"/>
        <v>0</v>
      </c>
      <c r="AO228" s="494" t="str">
        <f t="shared" si="142"/>
        <v/>
      </c>
      <c r="AP228" s="925" t="str">
        <f t="shared" si="130"/>
        <v/>
      </c>
      <c r="AQ228" s="595"/>
      <c r="AR228" s="939" t="str">
        <f>IFERROR(__xludf.DUMMYFUNCTION("IF(AS228="""","""",
   IF(AS228=0,0,
      IF(ISNUMBER(MATCH(AS228,FILTER(AT$220:AT$258,AV$220:AV$258&lt;&gt;0),0)),1,0)
   )
)"),"")</f>
        <v/>
      </c>
      <c r="AS228" s="943"/>
      <c r="AT228" s="486" t="s">
        <v>318</v>
      </c>
      <c r="AU228" s="487" t="s">
        <v>55</v>
      </c>
      <c r="AV228" s="488">
        <f t="shared" si="143"/>
        <v>0</v>
      </c>
      <c r="AW228" s="489">
        <f t="shared" si="150"/>
        <v>4</v>
      </c>
      <c r="AX228" s="924" t="str">
        <f t="shared" si="151"/>
        <v/>
      </c>
      <c r="AY228" s="491">
        <f>(20/1)*$X$207</f>
        <v>80</v>
      </c>
      <c r="AZ228" s="489">
        <f t="shared" si="152"/>
        <v>640</v>
      </c>
      <c r="BA228" s="492">
        <f t="shared" si="153"/>
        <v>0</v>
      </c>
      <c r="BB228" s="493">
        <f t="shared" si="154"/>
        <v>0</v>
      </c>
      <c r="BC228" s="494" t="str">
        <f t="shared" si="144"/>
        <v/>
      </c>
      <c r="BD228" s="595"/>
      <c r="BE228" s="595"/>
      <c r="BF228" s="595"/>
      <c r="BG228" s="595"/>
      <c r="BH228" s="595"/>
      <c r="BI228" s="595"/>
      <c r="BJ228" s="595"/>
      <c r="BK228" s="595"/>
      <c r="BL228" s="595"/>
      <c r="BM228" s="595"/>
      <c r="BN228" s="595"/>
      <c r="BO228" s="651"/>
      <c r="BP228" s="651"/>
      <c r="BQ228" s="651"/>
      <c r="BR228" s="651"/>
      <c r="BS228" s="651"/>
      <c r="BT228" s="651"/>
    </row>
    <row r="229" hidden="1">
      <c r="A229" s="1074"/>
      <c r="B229" s="12" t="s">
        <v>176</v>
      </c>
      <c r="C229" s="329" t="s">
        <v>260</v>
      </c>
      <c r="D229" s="821"/>
      <c r="E229" s="822"/>
      <c r="F229" s="1175"/>
      <c r="G229" s="824"/>
      <c r="H229" s="823"/>
      <c r="I229" s="333" t="s">
        <v>18</v>
      </c>
      <c r="J229" s="334" t="s">
        <v>15</v>
      </c>
      <c r="K229" s="335" t="s">
        <v>26</v>
      </c>
      <c r="L229" s="878"/>
      <c r="M229" s="878"/>
      <c r="N229" s="857">
        <f>SUM(N230:N240)</f>
        <v>12963.68095</v>
      </c>
      <c r="O229" s="590"/>
      <c r="P229" s="939">
        <f>IFERROR(__xludf.DUMMYFUNCTION("IF(Q229="""","""",
   IF(Q229=0,0,
      IF(ISNUMBER(MATCH(Q229,FILTER(R$222:R$342,T$222:T$342&lt;&gt;0),0)),1,0)
   )
)"),1.0)</f>
        <v>1</v>
      </c>
      <c r="Q229" s="941" t="str">
        <f>IFERROR(__xludf.DUMMYFUNCTION("""COMPUTED_VALUE"""),"R-Rivets")</f>
        <v>R-Rivets</v>
      </c>
      <c r="R229" s="929" t="s">
        <v>316</v>
      </c>
      <c r="S229" s="930" t="s">
        <v>41</v>
      </c>
      <c r="T229" s="488">
        <f t="shared" si="145"/>
        <v>0</v>
      </c>
      <c r="U229" s="489">
        <f t="shared" si="124"/>
        <v>4</v>
      </c>
      <c r="V229" s="490">
        <f t="shared" si="125"/>
        <v>46</v>
      </c>
      <c r="W229" s="491">
        <f t="shared" ref="W229:W230" si="160">(120/4)*$X$207</f>
        <v>120</v>
      </c>
      <c r="X229" s="489">
        <f t="shared" ref="X229:X232" si="161">W229*W$217</f>
        <v>960</v>
      </c>
      <c r="Y229" s="492">
        <f t="shared" ref="Y229:Y232" si="162">ROUNDUP(T229/X229,2)</f>
        <v>0</v>
      </c>
      <c r="Z229" s="493">
        <f t="shared" ref="Z229:Z232" si="163">Y229*V229*U229*W$217</f>
        <v>0</v>
      </c>
      <c r="AA229" s="931" t="str">
        <f t="shared" ref="AA229:AA233" si="164">iferror(Z229/T229,"")</f>
        <v/>
      </c>
      <c r="AB229" s="925" t="str">
        <f t="shared" si="138"/>
        <v/>
      </c>
      <c r="AC229" s="595"/>
      <c r="AD229" s="939" t="str">
        <f>IFERROR(__xludf.DUMMYFUNCTION("IF(AE229="""","""",
   IF(AE229=0,0,
      IF(ISNUMBER(MATCH(AE229,FILTER(AF$220:AF$278,AH$220:AH$278&lt;&gt;0),0)),1,0)
   )
)"),"")</f>
        <v/>
      </c>
      <c r="AE229" s="943"/>
      <c r="AF229" s="929" t="s">
        <v>170</v>
      </c>
      <c r="AG229" s="932" t="s">
        <v>55</v>
      </c>
      <c r="AH229" s="488">
        <f t="shared" si="139"/>
        <v>0</v>
      </c>
      <c r="AI229" s="489">
        <f t="shared" si="155"/>
        <v>4</v>
      </c>
      <c r="AJ229" s="490">
        <f t="shared" si="128"/>
        <v>46</v>
      </c>
      <c r="AK229" s="491">
        <f>(20/1)*$X$207</f>
        <v>80</v>
      </c>
      <c r="AL229" s="489">
        <f t="shared" si="157"/>
        <v>640</v>
      </c>
      <c r="AM229" s="492">
        <f t="shared" si="158"/>
        <v>0</v>
      </c>
      <c r="AN229" s="493">
        <f t="shared" si="159"/>
        <v>0</v>
      </c>
      <c r="AO229" s="494" t="str">
        <f t="shared" si="142"/>
        <v/>
      </c>
      <c r="AP229" s="925" t="str">
        <f t="shared" si="130"/>
        <v/>
      </c>
      <c r="AQ229" s="595"/>
      <c r="AR229" s="939" t="str">
        <f>IFERROR(__xludf.DUMMYFUNCTION("IF(AS229="""","""",
   IF(AS229=0,0,
      IF(ISNUMBER(MATCH(AS229,FILTER(AT$220:AT$258,AV$220:AV$258&lt;&gt;0),0)),1,0)
   )
)"),"")</f>
        <v/>
      </c>
      <c r="AS229" s="943"/>
      <c r="AT229" s="486" t="s">
        <v>320</v>
      </c>
      <c r="AU229" s="487" t="s">
        <v>52</v>
      </c>
      <c r="AV229" s="488">
        <f t="shared" si="143"/>
        <v>0</v>
      </c>
      <c r="AW229" s="935"/>
      <c r="AX229" s="924"/>
      <c r="AY229" s="935"/>
      <c r="AZ229" s="935"/>
      <c r="BA229" s="935"/>
      <c r="BB229" s="936"/>
      <c r="BC229" s="494" t="str">
        <f t="shared" si="144"/>
        <v/>
      </c>
      <c r="BD229" s="595"/>
      <c r="BE229" s="595"/>
      <c r="BF229" s="595"/>
      <c r="BG229" s="595"/>
      <c r="BH229" s="595"/>
      <c r="BI229" s="595"/>
      <c r="BJ229" s="595"/>
      <c r="BK229" s="595"/>
      <c r="BL229" s="595"/>
      <c r="BM229" s="595"/>
      <c r="BN229" s="595"/>
      <c r="BO229" s="651"/>
      <c r="BP229" s="651"/>
      <c r="BQ229" s="651"/>
      <c r="BR229" s="651"/>
      <c r="BS229" s="651"/>
      <c r="BT229" s="651"/>
    </row>
    <row r="230" hidden="1">
      <c r="A230" s="1074"/>
      <c r="B230" s="584"/>
      <c r="C230" s="499" t="s">
        <v>261</v>
      </c>
      <c r="D230" s="844"/>
      <c r="E230" s="845"/>
      <c r="F230" s="1176"/>
      <c r="G230" s="847"/>
      <c r="H230" s="846"/>
      <c r="I230" s="437">
        <f>X207</f>
        <v>4</v>
      </c>
      <c r="J230" s="504">
        <v>1.0</v>
      </c>
      <c r="K230" s="437" t="str">
        <f>X209</f>
        <v/>
      </c>
      <c r="L230" s="371">
        <f>W209</f>
        <v>19.96000182</v>
      </c>
      <c r="M230" s="840"/>
      <c r="N230" s="849">
        <f t="shared" ref="N230:N232" si="165">I230*J230*K230*M230*L230</f>
        <v>0</v>
      </c>
      <c r="O230" s="590"/>
      <c r="P230" s="939">
        <f>IFERROR(__xludf.DUMMYFUNCTION("IF(Q230="""","""",
   IF(Q230=0,0,
      IF(ISNUMBER(MATCH(Q230,FILTER(R$222:R$342,T$222:T$342&lt;&gt;0),0)),1,0)
   )
)"),1.0)</f>
        <v>1</v>
      </c>
      <c r="Q230" s="941" t="str">
        <f>IFERROR(__xludf.DUMMYFUNCTION("""COMPUTED_VALUE"""),"R-GenFix")</f>
        <v>R-GenFix</v>
      </c>
      <c r="R230" s="942" t="s">
        <v>432</v>
      </c>
      <c r="S230" s="930" t="s">
        <v>52</v>
      </c>
      <c r="T230" s="488">
        <f t="shared" si="145"/>
        <v>0</v>
      </c>
      <c r="U230" s="489">
        <f t="shared" si="124"/>
        <v>4</v>
      </c>
      <c r="V230" s="490">
        <f t="shared" si="125"/>
        <v>46</v>
      </c>
      <c r="W230" s="491">
        <f t="shared" si="160"/>
        <v>120</v>
      </c>
      <c r="X230" s="489">
        <f t="shared" si="161"/>
        <v>960</v>
      </c>
      <c r="Y230" s="492">
        <f t="shared" si="162"/>
        <v>0</v>
      </c>
      <c r="Z230" s="493">
        <f t="shared" si="163"/>
        <v>0</v>
      </c>
      <c r="AA230" s="931" t="str">
        <f t="shared" si="164"/>
        <v/>
      </c>
      <c r="AB230" s="925" t="str">
        <f t="shared" si="138"/>
        <v/>
      </c>
      <c r="AC230" s="1178"/>
      <c r="AD230" s="939" t="str">
        <f>IFERROR(__xludf.DUMMYFUNCTION("IF(AE230="""","""",
   IF(AE230=0,0,
      IF(ISNUMBER(MATCH(AE230,FILTER(AF$220:AF$278,AH$220:AH$278&lt;&gt;0),0)),1,0)
   )
)"),"")</f>
        <v/>
      </c>
      <c r="AE230" s="943"/>
      <c r="AF230" s="929" t="s">
        <v>373</v>
      </c>
      <c r="AG230" s="930" t="s">
        <v>55</v>
      </c>
      <c r="AH230" s="488">
        <f t="shared" si="139"/>
        <v>0</v>
      </c>
      <c r="AI230" s="489">
        <f t="shared" si="155"/>
        <v>4</v>
      </c>
      <c r="AJ230" s="490">
        <f t="shared" si="128"/>
        <v>46</v>
      </c>
      <c r="AK230" s="491">
        <f>(10/1)*$X$207</f>
        <v>40</v>
      </c>
      <c r="AL230" s="489">
        <f t="shared" si="157"/>
        <v>320</v>
      </c>
      <c r="AM230" s="492">
        <f t="shared" si="158"/>
        <v>0</v>
      </c>
      <c r="AN230" s="493">
        <f t="shared" si="159"/>
        <v>0</v>
      </c>
      <c r="AO230" s="494" t="str">
        <f t="shared" si="142"/>
        <v/>
      </c>
      <c r="AP230" s="925" t="str">
        <f t="shared" si="130"/>
        <v/>
      </c>
      <c r="AQ230" s="595"/>
      <c r="AR230" s="939" t="str">
        <f>IFERROR(__xludf.DUMMYFUNCTION("IF(AS230="""","""",
   IF(AS230=0,0,
      IF(ISNUMBER(MATCH(AS230,FILTER(AT$220:AT$258,AV$220:AV$258&lt;&gt;0),0)),1,0)
   )
)"),"")</f>
        <v/>
      </c>
      <c r="AS230" s="943"/>
      <c r="AT230" s="486" t="s">
        <v>323</v>
      </c>
      <c r="AU230" s="487" t="s">
        <v>52</v>
      </c>
      <c r="AV230" s="488">
        <f t="shared" si="143"/>
        <v>0</v>
      </c>
      <c r="AW230" s="935"/>
      <c r="AX230" s="924"/>
      <c r="AY230" s="935"/>
      <c r="AZ230" s="935"/>
      <c r="BA230" s="935"/>
      <c r="BB230" s="936"/>
      <c r="BC230" s="494" t="str">
        <f t="shared" si="144"/>
        <v/>
      </c>
      <c r="BD230" s="595"/>
      <c r="BE230" s="595"/>
      <c r="BF230" s="595"/>
      <c r="BG230" s="595"/>
      <c r="BH230" s="595"/>
      <c r="BI230" s="595"/>
      <c r="BJ230" s="595"/>
      <c r="BK230" s="595"/>
      <c r="BL230" s="595"/>
      <c r="BM230" s="595"/>
      <c r="BN230" s="595"/>
      <c r="BO230" s="651"/>
      <c r="BP230" s="651"/>
      <c r="BQ230" s="651"/>
      <c r="BR230" s="651"/>
      <c r="BS230" s="651"/>
      <c r="BT230" s="651"/>
    </row>
    <row r="231" hidden="1">
      <c r="A231" s="1074"/>
      <c r="B231" s="584"/>
      <c r="C231" s="499" t="s">
        <v>262</v>
      </c>
      <c r="D231" s="844"/>
      <c r="E231" s="845"/>
      <c r="F231" s="1176"/>
      <c r="G231" s="847"/>
      <c r="H231" s="846"/>
      <c r="I231" s="437">
        <f>I230</f>
        <v>4</v>
      </c>
      <c r="J231" s="506">
        <v>68.0</v>
      </c>
      <c r="K231" s="370">
        <v>1.0</v>
      </c>
      <c r="L231" s="371">
        <f>L230</f>
        <v>19.96000182</v>
      </c>
      <c r="M231" s="840"/>
      <c r="N231" s="849">
        <f t="shared" si="165"/>
        <v>0</v>
      </c>
      <c r="O231" s="590"/>
      <c r="P231" s="939">
        <f>IFERROR(__xludf.DUMMYFUNCTION("IF(Q231="""","""",
   IF(Q231=0,0,
      IF(ISNUMBER(MATCH(Q231,FILTER(R$222:R$342,T$222:T$342&lt;&gt;0),0)),1,0)
   )
)"),1.0)</f>
        <v>1</v>
      </c>
      <c r="Q231" s="941" t="str">
        <f>IFERROR(__xludf.DUMMYFUNCTION("""COMPUTED_VALUE"""),"R-FFTop")</f>
        <v>R-FFTop</v>
      </c>
      <c r="R231" s="929" t="s">
        <v>130</v>
      </c>
      <c r="S231" s="930" t="s">
        <v>55</v>
      </c>
      <c r="T231" s="488">
        <f t="shared" si="145"/>
        <v>0</v>
      </c>
      <c r="U231" s="489">
        <f t="shared" si="124"/>
        <v>4</v>
      </c>
      <c r="V231" s="490">
        <f t="shared" si="125"/>
        <v>46</v>
      </c>
      <c r="W231" s="491">
        <f>(12/1)*$X$207</f>
        <v>48</v>
      </c>
      <c r="X231" s="489">
        <f t="shared" si="161"/>
        <v>384</v>
      </c>
      <c r="Y231" s="492">
        <f t="shared" si="162"/>
        <v>0</v>
      </c>
      <c r="Z231" s="493">
        <f t="shared" si="163"/>
        <v>0</v>
      </c>
      <c r="AA231" s="931" t="str">
        <f t="shared" si="164"/>
        <v/>
      </c>
      <c r="AB231" s="925" t="str">
        <f t="shared" si="138"/>
        <v/>
      </c>
      <c r="AC231" s="595"/>
      <c r="AD231" s="939" t="str">
        <f>IFERROR(__xludf.DUMMYFUNCTION("IF(AE231="""","""",
   IF(AE231=0,0,
      IF(ISNUMBER(MATCH(AE231,FILTER(AF$220:AF$278,AH$220:AH$278&lt;&gt;0),0)),1,0)
   )
)"),"")</f>
        <v/>
      </c>
      <c r="AE231" s="943"/>
      <c r="AF231" s="929" t="s">
        <v>338</v>
      </c>
      <c r="AG231" s="930" t="s">
        <v>55</v>
      </c>
      <c r="AH231" s="488">
        <f t="shared" si="139"/>
        <v>0</v>
      </c>
      <c r="AI231" s="489">
        <f t="shared" si="155"/>
        <v>4</v>
      </c>
      <c r="AJ231" s="490">
        <f t="shared" si="128"/>
        <v>46</v>
      </c>
      <c r="AK231" s="935"/>
      <c r="AL231" s="935"/>
      <c r="AM231" s="935"/>
      <c r="AN231" s="936"/>
      <c r="AO231" s="494"/>
      <c r="AP231" s="925" t="str">
        <f t="shared" si="130"/>
        <v/>
      </c>
      <c r="AQ231" s="595"/>
      <c r="AR231" s="939" t="str">
        <f>IFERROR(__xludf.DUMMYFUNCTION("IF(AS231="""","""",
   IF(AS231=0,0,
      IF(ISNUMBER(MATCH(AS231,FILTER(AT$220:AT$258,AV$220:AV$258&lt;&gt;0),0)),1,0)
   )
)"),"")</f>
        <v/>
      </c>
      <c r="AS231" s="943"/>
      <c r="AT231" s="486" t="s">
        <v>326</v>
      </c>
      <c r="AU231" s="487" t="s">
        <v>55</v>
      </c>
      <c r="AV231" s="488">
        <f t="shared" si="143"/>
        <v>0</v>
      </c>
      <c r="AW231" s="489">
        <f t="shared" ref="AW231:AW235" si="166">$X$207</f>
        <v>4</v>
      </c>
      <c r="AX231" s="924" t="str">
        <f t="shared" ref="AX231:AX235" si="167">AY$210</f>
        <v/>
      </c>
      <c r="AY231" s="491">
        <f t="shared" ref="AY231:AY235" si="168">(20/1)*$X$207</f>
        <v>80</v>
      </c>
      <c r="AZ231" s="489">
        <f t="shared" ref="AZ231:AZ235" si="169">AY231*AY$217</f>
        <v>640</v>
      </c>
      <c r="BA231" s="492">
        <f t="shared" ref="BA231:BA235" si="170">ROUNDUP(AV231/AZ231,2)</f>
        <v>0</v>
      </c>
      <c r="BB231" s="493">
        <f t="shared" ref="BB231:BB235" si="171">BA231*AX231*AW231*AY$217</f>
        <v>0</v>
      </c>
      <c r="BC231" s="494" t="str">
        <f t="shared" si="144"/>
        <v/>
      </c>
      <c r="BD231" s="595"/>
      <c r="BE231" s="595"/>
      <c r="BF231" s="595"/>
      <c r="BG231" s="595"/>
      <c r="BH231" s="595"/>
      <c r="BI231" s="595"/>
      <c r="BJ231" s="595"/>
      <c r="BK231" s="595"/>
      <c r="BL231" s="595"/>
      <c r="BM231" s="595"/>
      <c r="BN231" s="595"/>
      <c r="BO231" s="651"/>
      <c r="BP231" s="651"/>
      <c r="BQ231" s="651"/>
      <c r="BR231" s="651"/>
      <c r="BS231" s="651"/>
      <c r="BT231" s="651"/>
    </row>
    <row r="232" hidden="1">
      <c r="A232" s="1074"/>
      <c r="B232" s="584"/>
      <c r="C232" s="499" t="s">
        <v>263</v>
      </c>
      <c r="D232" s="844"/>
      <c r="E232" s="845"/>
      <c r="F232" s="1176"/>
      <c r="G232" s="847"/>
      <c r="H232" s="846"/>
      <c r="I232" s="437">
        <f>X207</f>
        <v>4</v>
      </c>
      <c r="J232" s="436">
        <v>1.0</v>
      </c>
      <c r="K232" s="370">
        <v>25.0</v>
      </c>
      <c r="L232" s="371">
        <f>L230</f>
        <v>19.96000182</v>
      </c>
      <c r="M232" s="840"/>
      <c r="N232" s="849">
        <f t="shared" si="165"/>
        <v>0</v>
      </c>
      <c r="O232" s="590"/>
      <c r="P232" s="939">
        <f>IFERROR(__xludf.DUMMYFUNCTION("IF(Q232="""","""",
   IF(Q232=0,0,
      IF(ISNUMBER(MATCH(Q232,FILTER(R$222:R$342,T$222:T$342&lt;&gt;0),0)),1,0)
   )
)"),1.0)</f>
        <v>1</v>
      </c>
      <c r="Q232" s="941" t="str">
        <f>IFERROR(__xludf.DUMMYFUNCTION("""COMPUTED_VALUE"""),"R-TU/TD")</f>
        <v>R-TU/TD</v>
      </c>
      <c r="R232" s="929" t="s">
        <v>321</v>
      </c>
      <c r="S232" s="930" t="s">
        <v>52</v>
      </c>
      <c r="T232" s="488">
        <f t="shared" si="145"/>
        <v>8</v>
      </c>
      <c r="U232" s="489">
        <f t="shared" si="124"/>
        <v>4</v>
      </c>
      <c r="V232" s="490">
        <f t="shared" si="125"/>
        <v>46</v>
      </c>
      <c r="W232" s="491">
        <f>(0.5/3)*$X$207</f>
        <v>0.6666666667</v>
      </c>
      <c r="X232" s="489">
        <f t="shared" si="161"/>
        <v>5.333333333</v>
      </c>
      <c r="Y232" s="492">
        <f t="shared" si="162"/>
        <v>1.5</v>
      </c>
      <c r="Z232" s="493">
        <f t="shared" si="163"/>
        <v>2208</v>
      </c>
      <c r="AA232" s="931">
        <f t="shared" si="164"/>
        <v>276</v>
      </c>
      <c r="AB232" s="925">
        <f t="shared" si="138"/>
        <v>50</v>
      </c>
      <c r="AC232" s="595"/>
      <c r="AD232" s="939" t="str">
        <f>IFERROR(__xludf.DUMMYFUNCTION("IF(AE232="""","""",
   IF(AE232=0,0,
      IF(ISNUMBER(MATCH(AE232,FILTER(AF$220:AF$278,AH$220:AH$278&lt;&gt;0),0)),1,0)
   )
)"),"")</f>
        <v/>
      </c>
      <c r="AE232" s="943"/>
      <c r="AF232" s="929" t="s">
        <v>340</v>
      </c>
      <c r="AG232" s="932" t="s">
        <v>55</v>
      </c>
      <c r="AH232" s="488">
        <f t="shared" si="139"/>
        <v>0</v>
      </c>
      <c r="AI232" s="489">
        <f t="shared" si="155"/>
        <v>4</v>
      </c>
      <c r="AJ232" s="490">
        <f t="shared" si="128"/>
        <v>46</v>
      </c>
      <c r="AK232" s="491"/>
      <c r="AL232" s="489"/>
      <c r="AM232" s="492"/>
      <c r="AN232" s="493"/>
      <c r="AO232" s="494"/>
      <c r="AP232" s="925" t="str">
        <f t="shared" si="130"/>
        <v/>
      </c>
      <c r="AQ232" s="595"/>
      <c r="AR232" s="939" t="str">
        <f>IFERROR(__xludf.DUMMYFUNCTION("IF(AS232="""","""",
   IF(AS232=0,0,
      IF(ISNUMBER(MATCH(AS232,FILTER(AT$220:AT$258,AV$220:AV$258&lt;&gt;0),0)),1,0)
   )
)"),"")</f>
        <v/>
      </c>
      <c r="AS232" s="943"/>
      <c r="AT232" s="486" t="s">
        <v>329</v>
      </c>
      <c r="AU232" s="487" t="s">
        <v>55</v>
      </c>
      <c r="AV232" s="488">
        <f t="shared" si="143"/>
        <v>0</v>
      </c>
      <c r="AW232" s="489">
        <f t="shared" si="166"/>
        <v>4</v>
      </c>
      <c r="AX232" s="924" t="str">
        <f t="shared" si="167"/>
        <v/>
      </c>
      <c r="AY232" s="491">
        <f t="shared" si="168"/>
        <v>80</v>
      </c>
      <c r="AZ232" s="489">
        <f t="shared" si="169"/>
        <v>640</v>
      </c>
      <c r="BA232" s="492">
        <f t="shared" si="170"/>
        <v>0</v>
      </c>
      <c r="BB232" s="493">
        <f t="shared" si="171"/>
        <v>0</v>
      </c>
      <c r="BC232" s="494" t="str">
        <f t="shared" si="144"/>
        <v/>
      </c>
      <c r="BD232" s="595"/>
      <c r="BE232" s="595"/>
      <c r="BF232" s="595"/>
      <c r="BG232" s="595"/>
      <c r="BH232" s="595"/>
      <c r="BI232" s="595"/>
      <c r="BJ232" s="595"/>
      <c r="BK232" s="595"/>
      <c r="BL232" s="595"/>
      <c r="BM232" s="595"/>
      <c r="BN232" s="595"/>
      <c r="BO232" s="651"/>
      <c r="BP232" s="651"/>
      <c r="BQ232" s="651"/>
      <c r="BR232" s="651"/>
      <c r="BS232" s="651"/>
      <c r="BT232" s="651"/>
    </row>
    <row r="233" hidden="1">
      <c r="A233" s="1074"/>
      <c r="B233" s="584"/>
      <c r="C233" s="851"/>
      <c r="D233" s="609"/>
      <c r="E233" s="585"/>
      <c r="F233" s="1075"/>
      <c r="G233" s="587"/>
      <c r="H233" s="586"/>
      <c r="I233" s="443"/>
      <c r="J233" s="443"/>
      <c r="K233" s="354"/>
      <c r="L233" s="588"/>
      <c r="M233" s="588"/>
      <c r="N233" s="833"/>
      <c r="O233" s="590"/>
      <c r="P233" s="939">
        <f>IFERROR(__xludf.DUMMYFUNCTION("IF(Q233="""","""",
   IF(Q233=0,0,
      IF(ISNUMBER(MATCH(Q233,FILTER(R$222:R$342,T$222:T$342&lt;&gt;0),0)),1,0)
   )
)"),1.0)</f>
        <v>1</v>
      </c>
      <c r="Q233" s="941" t="str">
        <f>IFERROR(__xludf.DUMMYFUNCTION("""COMPUTED_VALUE"""),"R-FlashingTape")</f>
        <v>R-FlashingTape</v>
      </c>
      <c r="R233" s="929" t="s">
        <v>324</v>
      </c>
      <c r="S233" s="930" t="s">
        <v>52</v>
      </c>
      <c r="T233" s="488">
        <f t="shared" si="145"/>
        <v>0</v>
      </c>
      <c r="U233" s="489">
        <f t="shared" si="124"/>
        <v>4</v>
      </c>
      <c r="V233" s="490">
        <f t="shared" si="125"/>
        <v>46</v>
      </c>
      <c r="W233" s="935"/>
      <c r="X233" s="935"/>
      <c r="Y233" s="935"/>
      <c r="Z233" s="936"/>
      <c r="AA233" s="931" t="str">
        <f t="shared" si="164"/>
        <v/>
      </c>
      <c r="AB233" s="925" t="str">
        <f t="shared" si="138"/>
        <v/>
      </c>
      <c r="AC233" s="595"/>
      <c r="AD233" s="939" t="str">
        <f>IFERROR(__xludf.DUMMYFUNCTION("IF(AE233="""","""",
   IF(AE233=0,0,
      IF(ISNUMBER(MATCH(AE233,FILTER(AF$220:AF$278,AH$220:AH$278&lt;&gt;0),0)),1,0)
   )
)"),"")</f>
        <v/>
      </c>
      <c r="AE233" s="943"/>
      <c r="AF233" s="929" t="s">
        <v>335</v>
      </c>
      <c r="AG233" s="932" t="s">
        <v>55</v>
      </c>
      <c r="AH233" s="488">
        <f t="shared" si="139"/>
        <v>0</v>
      </c>
      <c r="AI233" s="489">
        <f t="shared" si="155"/>
        <v>4</v>
      </c>
      <c r="AJ233" s="490">
        <f t="shared" si="128"/>
        <v>46</v>
      </c>
      <c r="AK233" s="491"/>
      <c r="AL233" s="489"/>
      <c r="AM233" s="492"/>
      <c r="AN233" s="493"/>
      <c r="AO233" s="494"/>
      <c r="AP233" s="925" t="str">
        <f t="shared" si="130"/>
        <v/>
      </c>
      <c r="AQ233" s="595"/>
      <c r="AR233" s="939" t="str">
        <f>IFERROR(__xludf.DUMMYFUNCTION("IF(AS233="""","""",
   IF(AS233=0,0,
      IF(ISNUMBER(MATCH(AS233,FILTER(AT$220:AT$258,AV$220:AV$258&lt;&gt;0),0)),1,0)
   )
)"),"")</f>
        <v/>
      </c>
      <c r="AS233" s="943"/>
      <c r="AT233" s="486" t="s">
        <v>331</v>
      </c>
      <c r="AU233" s="487" t="s">
        <v>55</v>
      </c>
      <c r="AV233" s="488">
        <f t="shared" si="143"/>
        <v>0</v>
      </c>
      <c r="AW233" s="489">
        <f t="shared" si="166"/>
        <v>4</v>
      </c>
      <c r="AX233" s="924" t="str">
        <f t="shared" si="167"/>
        <v/>
      </c>
      <c r="AY233" s="491">
        <f t="shared" si="168"/>
        <v>80</v>
      </c>
      <c r="AZ233" s="489">
        <f t="shared" si="169"/>
        <v>640</v>
      </c>
      <c r="BA233" s="492">
        <f t="shared" si="170"/>
        <v>0</v>
      </c>
      <c r="BB233" s="493">
        <f t="shared" si="171"/>
        <v>0</v>
      </c>
      <c r="BC233" s="494" t="str">
        <f t="shared" si="144"/>
        <v/>
      </c>
      <c r="BD233" s="595"/>
      <c r="BE233" s="595"/>
      <c r="BF233" s="595"/>
      <c r="BG233" s="595"/>
      <c r="BH233" s="595"/>
      <c r="BI233" s="595"/>
      <c r="BJ233" s="595"/>
      <c r="BK233" s="595"/>
      <c r="BL233" s="595"/>
      <c r="BM233" s="595"/>
      <c r="BN233" s="595"/>
      <c r="BO233" s="651"/>
      <c r="BP233" s="651"/>
      <c r="BQ233" s="651"/>
      <c r="BR233" s="651"/>
      <c r="BS233" s="651"/>
      <c r="BT233" s="651"/>
    </row>
    <row r="234" hidden="1">
      <c r="A234" s="1074"/>
      <c r="B234" s="584"/>
      <c r="C234" s="499" t="s">
        <v>264</v>
      </c>
      <c r="D234" s="844"/>
      <c r="E234" s="845"/>
      <c r="F234" s="1176"/>
      <c r="G234" s="847"/>
      <c r="H234" s="846"/>
      <c r="I234" s="437">
        <f>X207</f>
        <v>4</v>
      </c>
      <c r="J234" s="500">
        <f>W209</f>
        <v>19.96000182</v>
      </c>
      <c r="K234" s="948">
        <v>80.0</v>
      </c>
      <c r="L234" s="850"/>
      <c r="M234" s="870">
        <v>1.0</v>
      </c>
      <c r="N234" s="849">
        <f t="shared" ref="N234:N236" si="173">I234*J234*K234*M234</f>
        <v>6387.200582</v>
      </c>
      <c r="O234" s="590"/>
      <c r="P234" s="939">
        <f>IFERROR(__xludf.DUMMYFUNCTION("IF(Q234="""","""",
   IF(Q234=0,0,
      IF(ISNUMBER(MATCH(Q234,FILTER(R$222:R$342,T$222:T$342&lt;&gt;0),0)),1,0)
   )
)"),1.0)</f>
        <v>1</v>
      </c>
      <c r="Q234" s="941" t="str">
        <f>IFERROR(__xludf.DUMMYFUNCTION("""COMPUTED_VALUE"""),"R-Powdercoating")</f>
        <v>R-Powdercoating</v>
      </c>
      <c r="R234" s="929" t="s">
        <v>327</v>
      </c>
      <c r="S234" s="930" t="s">
        <v>52</v>
      </c>
      <c r="T234" s="488">
        <f t="shared" si="145"/>
        <v>0</v>
      </c>
      <c r="U234" s="489">
        <f t="shared" si="124"/>
        <v>4</v>
      </c>
      <c r="V234" s="490">
        <f t="shared" si="125"/>
        <v>46</v>
      </c>
      <c r="W234" s="491"/>
      <c r="X234" s="489"/>
      <c r="Y234" s="492"/>
      <c r="Z234" s="493"/>
      <c r="AA234" s="931"/>
      <c r="AB234" s="925" t="str">
        <f t="shared" si="138"/>
        <v/>
      </c>
      <c r="AC234" s="595"/>
      <c r="AD234" s="939" t="str">
        <f>IFERROR(__xludf.DUMMYFUNCTION("IF(AE234="""","""",
   IF(AE234=0,0,
      IF(ISNUMBER(MATCH(AE234,FILTER(AF$220:AF$278,AH$220:AH$278&lt;&gt;0),0)),1,0)
   )
)"),"")</f>
        <v/>
      </c>
      <c r="AE234" s="943"/>
      <c r="AF234" s="929" t="s">
        <v>153</v>
      </c>
      <c r="AG234" s="932" t="s">
        <v>52</v>
      </c>
      <c r="AH234" s="488">
        <f t="shared" si="139"/>
        <v>0</v>
      </c>
      <c r="AI234" s="489">
        <f t="shared" si="155"/>
        <v>4</v>
      </c>
      <c r="AJ234" s="490">
        <f t="shared" si="128"/>
        <v>46</v>
      </c>
      <c r="AK234" s="935"/>
      <c r="AL234" s="935"/>
      <c r="AM234" s="935"/>
      <c r="AN234" s="936"/>
      <c r="AO234" s="494"/>
      <c r="AP234" s="925" t="str">
        <f t="shared" si="130"/>
        <v/>
      </c>
      <c r="AQ234" s="595"/>
      <c r="AR234" s="939" t="str">
        <f>IFERROR(__xludf.DUMMYFUNCTION("IF(AS234="""","""",
   IF(AS234=0,0,
      IF(ISNUMBER(MATCH(AS234,FILTER(AT$220:AT$258,AV$220:AV$258&lt;&gt;0),0)),1,0)
   )
)"),"")</f>
        <v/>
      </c>
      <c r="AS234" s="943"/>
      <c r="AT234" s="486" t="s">
        <v>334</v>
      </c>
      <c r="AU234" s="487" t="s">
        <v>55</v>
      </c>
      <c r="AV234" s="488">
        <f t="shared" si="143"/>
        <v>0</v>
      </c>
      <c r="AW234" s="489">
        <f t="shared" si="166"/>
        <v>4</v>
      </c>
      <c r="AX234" s="924" t="str">
        <f t="shared" si="167"/>
        <v/>
      </c>
      <c r="AY234" s="491">
        <f t="shared" si="168"/>
        <v>80</v>
      </c>
      <c r="AZ234" s="489">
        <f t="shared" si="169"/>
        <v>640</v>
      </c>
      <c r="BA234" s="492">
        <f t="shared" si="170"/>
        <v>0</v>
      </c>
      <c r="BB234" s="493">
        <f t="shared" si="171"/>
        <v>0</v>
      </c>
      <c r="BC234" s="494" t="str">
        <f t="shared" si="144"/>
        <v/>
      </c>
      <c r="BD234" s="595"/>
      <c r="BE234" s="595"/>
      <c r="BF234" s="595"/>
      <c r="BG234" s="595"/>
      <c r="BH234" s="595"/>
      <c r="BI234" s="595"/>
      <c r="BJ234" s="595"/>
      <c r="BK234" s="595"/>
      <c r="BL234" s="595"/>
      <c r="BM234" s="595"/>
      <c r="BN234" s="595"/>
      <c r="BO234" s="651"/>
      <c r="BP234" s="651"/>
      <c r="BQ234" s="651"/>
      <c r="BR234" s="651"/>
      <c r="BS234" s="651"/>
      <c r="BT234" s="651"/>
    </row>
    <row r="235" hidden="1">
      <c r="A235" s="1074"/>
      <c r="B235" s="584"/>
      <c r="C235" s="499" t="s">
        <v>265</v>
      </c>
      <c r="D235" s="844"/>
      <c r="E235" s="845"/>
      <c r="F235" s="1176"/>
      <c r="G235" s="847"/>
      <c r="H235" s="846"/>
      <c r="I235" s="437">
        <f t="shared" ref="I235:J235" si="172">I234</f>
        <v>4</v>
      </c>
      <c r="J235" s="500">
        <f t="shared" si="172"/>
        <v>19.96000182</v>
      </c>
      <c r="K235" s="948">
        <v>50.0</v>
      </c>
      <c r="L235" s="850"/>
      <c r="M235" s="870">
        <v>1.0</v>
      </c>
      <c r="N235" s="849">
        <f t="shared" si="173"/>
        <v>3992.000364</v>
      </c>
      <c r="O235" s="590"/>
      <c r="P235" s="939">
        <f>IFERROR(__xludf.DUMMYFUNCTION("IF(Q235="""","""",
   IF(Q235=0,0,
      IF(ISNUMBER(MATCH(Q235,FILTER(R$222:R$342,T$222:T$342&lt;&gt;0),0)),1,0)
   )
)"),1.0)</f>
        <v>1</v>
      </c>
      <c r="Q235" s="941" t="str">
        <f>IFERROR(__xludf.DUMMYFUNCTION("""COMPUTED_VALUE"""),"R-Skylight")</f>
        <v>R-Skylight</v>
      </c>
      <c r="R235" s="929" t="s">
        <v>139</v>
      </c>
      <c r="S235" s="930" t="s">
        <v>55</v>
      </c>
      <c r="T235" s="488">
        <f t="shared" si="145"/>
        <v>64.8</v>
      </c>
      <c r="U235" s="489">
        <f t="shared" si="124"/>
        <v>4</v>
      </c>
      <c r="V235" s="490">
        <f t="shared" si="125"/>
        <v>46</v>
      </c>
      <c r="W235" s="491">
        <f>(4/2)*$X$207</f>
        <v>8</v>
      </c>
      <c r="X235" s="489">
        <f>W235*W$217</f>
        <v>64</v>
      </c>
      <c r="Y235" s="492">
        <f>ROUNDUP(T235/X235,2)</f>
        <v>1.02</v>
      </c>
      <c r="Z235" s="493">
        <f>Y235*V235*U235*W$217</f>
        <v>1501.44</v>
      </c>
      <c r="AA235" s="931">
        <f t="shared" ref="AA235:AA241" si="174">iferror(Z235/T235,"")</f>
        <v>23.17037037</v>
      </c>
      <c r="AB235" s="925">
        <f t="shared" si="138"/>
        <v>20</v>
      </c>
      <c r="AC235" s="595"/>
      <c r="AD235" s="939" t="str">
        <f>IFERROR(__xludf.DUMMYFUNCTION("IF(AE235="""","""",
   IF(AE235=0,0,
      IF(ISNUMBER(MATCH(AE235,FILTER(AF$220:AF$278,AH$220:AH$278&lt;&gt;0),0)),1,0)
   )
)"),"")</f>
        <v/>
      </c>
      <c r="AE235" s="943"/>
      <c r="AF235" s="929" t="s">
        <v>161</v>
      </c>
      <c r="AG235" s="932" t="s">
        <v>55</v>
      </c>
      <c r="AH235" s="488">
        <f t="shared" si="139"/>
        <v>0</v>
      </c>
      <c r="AI235" s="489">
        <f t="shared" si="155"/>
        <v>4</v>
      </c>
      <c r="AJ235" s="490">
        <f t="shared" si="128"/>
        <v>46</v>
      </c>
      <c r="AK235" s="491">
        <f>(8/2)*$X$207</f>
        <v>16</v>
      </c>
      <c r="AL235" s="489">
        <f t="shared" ref="AL235:AL237" si="175">AK235*AK$217</f>
        <v>128</v>
      </c>
      <c r="AM235" s="492">
        <f t="shared" ref="AM235:AM237" si="176">ROUNDUP(AH235/AL235,2)</f>
        <v>0</v>
      </c>
      <c r="AN235" s="493">
        <f t="shared" ref="AN235:AN237" si="177">AM235*AJ235*AI235*AK$217</f>
        <v>0</v>
      </c>
      <c r="AO235" s="494" t="str">
        <f t="shared" ref="AO235:AO250" si="178">iferror(AN235/AH235,"")</f>
        <v/>
      </c>
      <c r="AP235" s="925" t="str">
        <f t="shared" si="130"/>
        <v/>
      </c>
      <c r="AQ235" s="595"/>
      <c r="AR235" s="939" t="str">
        <f>IFERROR(__xludf.DUMMYFUNCTION("IF(AS235="""","""",
   IF(AS235=0,0,
      IF(ISNUMBER(MATCH(AS235,FILTER(AT$220:AT$258,AV$220:AV$258&lt;&gt;0),0)),1,0)
   )
)"),"")</f>
        <v/>
      </c>
      <c r="AS235" s="943"/>
      <c r="AT235" s="486" t="s">
        <v>336</v>
      </c>
      <c r="AU235" s="487" t="s">
        <v>55</v>
      </c>
      <c r="AV235" s="488">
        <f t="shared" si="143"/>
        <v>0</v>
      </c>
      <c r="AW235" s="489">
        <f t="shared" si="166"/>
        <v>4</v>
      </c>
      <c r="AX235" s="924" t="str">
        <f t="shared" si="167"/>
        <v/>
      </c>
      <c r="AY235" s="491">
        <f t="shared" si="168"/>
        <v>80</v>
      </c>
      <c r="AZ235" s="489">
        <f t="shared" si="169"/>
        <v>640</v>
      </c>
      <c r="BA235" s="492">
        <f t="shared" si="170"/>
        <v>0</v>
      </c>
      <c r="BB235" s="493">
        <f t="shared" si="171"/>
        <v>0</v>
      </c>
      <c r="BC235" s="494" t="str">
        <f t="shared" si="144"/>
        <v/>
      </c>
      <c r="BD235" s="595"/>
      <c r="BE235" s="595"/>
      <c r="BF235" s="595"/>
      <c r="BG235" s="595"/>
      <c r="BH235" s="595"/>
      <c r="BI235" s="595"/>
      <c r="BJ235" s="595"/>
      <c r="BK235" s="595"/>
      <c r="BL235" s="595"/>
      <c r="BM235" s="595"/>
      <c r="BN235" s="595"/>
      <c r="BO235" s="651"/>
      <c r="BP235" s="651"/>
      <c r="BQ235" s="651"/>
      <c r="BR235" s="651"/>
      <c r="BS235" s="651"/>
      <c r="BT235" s="651"/>
    </row>
    <row r="236" hidden="1">
      <c r="A236" s="1074"/>
      <c r="B236" s="584"/>
      <c r="C236" s="499" t="s">
        <v>266</v>
      </c>
      <c r="D236" s="844"/>
      <c r="E236" s="845"/>
      <c r="F236" s="1176"/>
      <c r="G236" s="847"/>
      <c r="H236" s="846"/>
      <c r="I236" s="437">
        <f>I234</f>
        <v>4</v>
      </c>
      <c r="J236" s="507">
        <v>1.0</v>
      </c>
      <c r="K236" s="370">
        <v>0.0</v>
      </c>
      <c r="L236" s="850"/>
      <c r="M236" s="840"/>
      <c r="N236" s="849">
        <f t="shared" si="173"/>
        <v>0</v>
      </c>
      <c r="O236" s="590"/>
      <c r="P236" s="939">
        <f>IFERROR(__xludf.DUMMYFUNCTION("IF(Q236="""","""",
   IF(Q236=0,0,
      IF(ISNUMBER(MATCH(Q236,FILTER(R$222:R$342,T$222:T$342&lt;&gt;0),0)),1,0)
   )
)"),1.0)</f>
        <v>1</v>
      </c>
      <c r="Q236" s="941" t="str">
        <f>IFERROR(__xludf.DUMMYFUNCTION("""COMPUTED_VALUE"""),"R-Dektite")</f>
        <v>R-Dektite</v>
      </c>
      <c r="R236" s="929" t="s">
        <v>337</v>
      </c>
      <c r="S236" s="930" t="s">
        <v>52</v>
      </c>
      <c r="T236" s="488">
        <f t="shared" si="145"/>
        <v>4</v>
      </c>
      <c r="U236" s="489">
        <f t="shared" si="124"/>
        <v>4</v>
      </c>
      <c r="V236" s="490">
        <f t="shared" si="125"/>
        <v>46</v>
      </c>
      <c r="W236" s="491"/>
      <c r="X236" s="489"/>
      <c r="Y236" s="492"/>
      <c r="Z236" s="493"/>
      <c r="AA236" s="931">
        <f t="shared" si="174"/>
        <v>0</v>
      </c>
      <c r="AB236" s="925" t="str">
        <f t="shared" si="138"/>
        <v/>
      </c>
      <c r="AC236" s="595"/>
      <c r="AD236" s="939" t="str">
        <f>IFERROR(__xludf.DUMMYFUNCTION("IF(AE236="""","""",
   IF(AE236=0,0,
      IF(ISNUMBER(MATCH(AE236,FILTER(AF$220:AF$278,AH$220:AH$278&lt;&gt;0),0)),1,0)
   )
)"),"")</f>
        <v/>
      </c>
      <c r="AE236" s="943"/>
      <c r="AF236" s="942" t="s">
        <v>587</v>
      </c>
      <c r="AG236" s="945" t="s">
        <v>55</v>
      </c>
      <c r="AH236" s="488">
        <f t="shared" si="139"/>
        <v>0</v>
      </c>
      <c r="AI236" s="489">
        <f t="shared" si="155"/>
        <v>4</v>
      </c>
      <c r="AJ236" s="490">
        <f t="shared" si="128"/>
        <v>46</v>
      </c>
      <c r="AK236" s="491">
        <f t="shared" ref="AK236:AK237" si="179">(30/4)*$X$207</f>
        <v>30</v>
      </c>
      <c r="AL236" s="489">
        <f t="shared" si="175"/>
        <v>240</v>
      </c>
      <c r="AM236" s="492">
        <f t="shared" si="176"/>
        <v>0</v>
      </c>
      <c r="AN236" s="493">
        <f t="shared" si="177"/>
        <v>0</v>
      </c>
      <c r="AO236" s="494" t="str">
        <f t="shared" si="178"/>
        <v/>
      </c>
      <c r="AP236" s="925" t="str">
        <f t="shared" si="130"/>
        <v/>
      </c>
      <c r="AQ236" s="595"/>
      <c r="AR236" s="939" t="str">
        <f>IFERROR(__xludf.DUMMYFUNCTION("IF(AS236="""","""",
   IF(AS236=0,0,
      IF(ISNUMBER(MATCH(AS236,FILTER(AT$220:AT$258,AV$220:AV$258&lt;&gt;0),0)),1,0)
   )
)"),"")</f>
        <v/>
      </c>
      <c r="AS236" s="943"/>
      <c r="AT236" s="486" t="s">
        <v>339</v>
      </c>
      <c r="AU236" s="487" t="s">
        <v>52</v>
      </c>
      <c r="AV236" s="488">
        <f t="shared" si="143"/>
        <v>0</v>
      </c>
      <c r="AW236" s="935"/>
      <c r="AX236" s="924"/>
      <c r="AY236" s="935"/>
      <c r="AZ236" s="935"/>
      <c r="BA236" s="935"/>
      <c r="BB236" s="936"/>
      <c r="BC236" s="494" t="str">
        <f t="shared" si="144"/>
        <v/>
      </c>
      <c r="BD236" s="595"/>
      <c r="BE236" s="595"/>
      <c r="BF236" s="595"/>
      <c r="BG236" s="595"/>
      <c r="BH236" s="595"/>
      <c r="BI236" s="595"/>
      <c r="BJ236" s="595"/>
      <c r="BK236" s="595"/>
      <c r="BL236" s="595"/>
      <c r="BM236" s="595"/>
      <c r="BN236" s="595"/>
      <c r="BO236" s="651"/>
      <c r="BP236" s="651"/>
      <c r="BQ236" s="651"/>
      <c r="BR236" s="651"/>
      <c r="BS236" s="651"/>
      <c r="BT236" s="651"/>
    </row>
    <row r="237" hidden="1">
      <c r="A237" s="1074"/>
      <c r="B237" s="584"/>
      <c r="C237" s="499" t="s">
        <v>267</v>
      </c>
      <c r="D237" s="844"/>
      <c r="E237" s="845"/>
      <c r="F237" s="1176"/>
      <c r="G237" s="847"/>
      <c r="H237" s="846"/>
      <c r="I237" s="437">
        <f>I234</f>
        <v>4</v>
      </c>
      <c r="J237" s="954">
        <v>5.0</v>
      </c>
      <c r="K237" s="370">
        <f>$AC$210</f>
        <v>46</v>
      </c>
      <c r="L237" s="371">
        <v>2.0</v>
      </c>
      <c r="M237" s="870">
        <v>1.0</v>
      </c>
      <c r="N237" s="849">
        <f t="shared" ref="N237:N239" si="180">I237*J237*K237*M237*L237</f>
        <v>1840</v>
      </c>
      <c r="O237" s="590"/>
      <c r="P237" s="939">
        <f>IFERROR(__xludf.DUMMYFUNCTION("IF(Q237="""","""",
   IF(Q237=0,0,
      IF(ISNUMBER(MATCH(Q237,FILTER(R$222:R$342,T$222:T$342&lt;&gt;0),0)),1,0)
   )
)"),1.0)</f>
        <v>1</v>
      </c>
      <c r="Q237" s="941" t="str">
        <f>IFERROR(__xludf.DUMMYFUNCTION("""COMPUTED_VALUE"""),"R-PenoBig")</f>
        <v>R-PenoBig</v>
      </c>
      <c r="R237" s="929" t="s">
        <v>141</v>
      </c>
      <c r="S237" s="930" t="s">
        <v>52</v>
      </c>
      <c r="T237" s="488">
        <f t="shared" si="145"/>
        <v>28</v>
      </c>
      <c r="U237" s="489">
        <f t="shared" si="124"/>
        <v>4</v>
      </c>
      <c r="V237" s="490">
        <f t="shared" si="125"/>
        <v>46</v>
      </c>
      <c r="W237" s="491">
        <f>(80/4)*$X$207</f>
        <v>80</v>
      </c>
      <c r="X237" s="489">
        <f t="shared" ref="X237:X241" si="181">W237*W$217</f>
        <v>640</v>
      </c>
      <c r="Y237" s="492">
        <f t="shared" ref="Y237:Y241" si="182">ROUNDUP(T237/X237,2)</f>
        <v>0.05</v>
      </c>
      <c r="Z237" s="493">
        <f t="shared" ref="Z237:Z241" si="183">Y237*V237*U237*W$217</f>
        <v>73.6</v>
      </c>
      <c r="AA237" s="931">
        <f t="shared" si="174"/>
        <v>2.628571429</v>
      </c>
      <c r="AB237" s="925" t="str">
        <f t="shared" si="138"/>
        <v/>
      </c>
      <c r="AC237" s="595"/>
      <c r="AD237" s="939" t="str">
        <f>IFERROR(__xludf.DUMMYFUNCTION("IF(AE237="""","""",
   IF(AE237=0,0,
      IF(ISNUMBER(MATCH(AE237,FILTER(AF$220:AF$278,AH$220:AH$278&lt;&gt;0),0)),1,0)
   )
)"),"")</f>
        <v/>
      </c>
      <c r="AE237" s="943"/>
      <c r="AF237" s="929" t="s">
        <v>588</v>
      </c>
      <c r="AG237" s="932" t="s">
        <v>55</v>
      </c>
      <c r="AH237" s="488">
        <f t="shared" si="139"/>
        <v>0</v>
      </c>
      <c r="AI237" s="489">
        <f t="shared" si="155"/>
        <v>4</v>
      </c>
      <c r="AJ237" s="490">
        <f t="shared" si="128"/>
        <v>46</v>
      </c>
      <c r="AK237" s="491">
        <f t="shared" si="179"/>
        <v>30</v>
      </c>
      <c r="AL237" s="489">
        <f t="shared" si="175"/>
        <v>240</v>
      </c>
      <c r="AM237" s="492">
        <f t="shared" si="176"/>
        <v>0</v>
      </c>
      <c r="AN237" s="493">
        <f t="shared" si="177"/>
        <v>0</v>
      </c>
      <c r="AO237" s="494" t="str">
        <f t="shared" si="178"/>
        <v/>
      </c>
      <c r="AP237" s="925" t="str">
        <f t="shared" si="130"/>
        <v/>
      </c>
      <c r="AQ237" s="595"/>
      <c r="AR237" s="939" t="str">
        <f>IFERROR(__xludf.DUMMYFUNCTION("IF(AS237="""","""",
   IF(AS237=0,0,
      IF(ISNUMBER(MATCH(AS237,FILTER(AT$220:AT$258,AV$220:AV$258&lt;&gt;0),0)),1,0)
   )
)"),"")</f>
        <v/>
      </c>
      <c r="AS237" s="943"/>
      <c r="AT237" s="486" t="s">
        <v>341</v>
      </c>
      <c r="AU237" s="487" t="s">
        <v>55</v>
      </c>
      <c r="AV237" s="488">
        <f t="shared" si="143"/>
        <v>0</v>
      </c>
      <c r="AW237" s="489">
        <f t="shared" ref="AW237:AW239" si="184">$X$207</f>
        <v>4</v>
      </c>
      <c r="AX237" s="924" t="str">
        <f t="shared" ref="AX237:AX239" si="185">AY$210</f>
        <v/>
      </c>
      <c r="AY237" s="491">
        <f t="shared" ref="AY237:AY238" si="186">(10/2)*$X$207</f>
        <v>20</v>
      </c>
      <c r="AZ237" s="489">
        <f t="shared" ref="AZ237:AZ239" si="187">AY237*AY$217</f>
        <v>160</v>
      </c>
      <c r="BA237" s="492">
        <f t="shared" ref="BA237:BA239" si="188">ROUNDUP(AV237/AZ237,2)</f>
        <v>0</v>
      </c>
      <c r="BB237" s="493">
        <f t="shared" ref="BB237:BB239" si="189">BA237*AX237*AW237*AY$217</f>
        <v>0</v>
      </c>
      <c r="BC237" s="494" t="str">
        <f t="shared" si="144"/>
        <v/>
      </c>
      <c r="BD237" s="595"/>
      <c r="BE237" s="595"/>
      <c r="BF237" s="595"/>
      <c r="BG237" s="595"/>
      <c r="BH237" s="595"/>
      <c r="BI237" s="595"/>
      <c r="BJ237" s="595"/>
      <c r="BK237" s="595"/>
      <c r="BL237" s="595"/>
      <c r="BM237" s="595"/>
      <c r="BN237" s="595"/>
      <c r="BO237" s="651"/>
      <c r="BP237" s="651"/>
      <c r="BQ237" s="651"/>
      <c r="BR237" s="651"/>
      <c r="BS237" s="651"/>
      <c r="BT237" s="651"/>
    </row>
    <row r="238" hidden="1">
      <c r="A238" s="1074"/>
      <c r="B238" s="584"/>
      <c r="C238" s="499" t="s">
        <v>268</v>
      </c>
      <c r="D238" s="844"/>
      <c r="E238" s="845"/>
      <c r="F238" s="1176"/>
      <c r="G238" s="847"/>
      <c r="H238" s="846"/>
      <c r="I238" s="437">
        <f t="shared" ref="I238:I239" si="190">I237</f>
        <v>4</v>
      </c>
      <c r="J238" s="504">
        <v>0.5</v>
      </c>
      <c r="K238" s="370">
        <f>K237</f>
        <v>46</v>
      </c>
      <c r="L238" s="371">
        <f>L230</f>
        <v>19.96000182</v>
      </c>
      <c r="M238" s="840"/>
      <c r="N238" s="849">
        <f t="shared" si="180"/>
        <v>0</v>
      </c>
      <c r="O238" s="590"/>
      <c r="P238" s="939">
        <f>IFERROR(__xludf.DUMMYFUNCTION("IF(Q238="""","""",
   IF(Q238=0,0,
      IF(ISNUMBER(MATCH(Q238,FILTER(R$222:R$342,T$222:T$342&lt;&gt;0),0)),1,0)
   )
)"),1.0)</f>
        <v>1</v>
      </c>
      <c r="Q238" s="941" t="str">
        <f>IFERROR(__xludf.DUMMYFUNCTION("""COMPUTED_VALUE"""),"R-EavesGut")</f>
        <v>R-EavesGut</v>
      </c>
      <c r="R238" s="942" t="s">
        <v>332</v>
      </c>
      <c r="S238" s="930" t="s">
        <v>55</v>
      </c>
      <c r="T238" s="488">
        <f t="shared" si="145"/>
        <v>0</v>
      </c>
      <c r="U238" s="489">
        <f t="shared" si="124"/>
        <v>4</v>
      </c>
      <c r="V238" s="490">
        <f t="shared" si="125"/>
        <v>46</v>
      </c>
      <c r="W238" s="491">
        <f>(20/1)*$X$207</f>
        <v>80</v>
      </c>
      <c r="X238" s="489">
        <f t="shared" si="181"/>
        <v>640</v>
      </c>
      <c r="Y238" s="492">
        <f t="shared" si="182"/>
        <v>0</v>
      </c>
      <c r="Z238" s="493">
        <f t="shared" si="183"/>
        <v>0</v>
      </c>
      <c r="AA238" s="931" t="str">
        <f t="shared" si="174"/>
        <v/>
      </c>
      <c r="AB238" s="925" t="str">
        <f t="shared" si="138"/>
        <v/>
      </c>
      <c r="AC238" s="595"/>
      <c r="AD238" s="939" t="str">
        <f>IFERROR(__xludf.DUMMYFUNCTION("IF(AE238="""","""",
   IF(AE238=0,0,
      IF(ISNUMBER(MATCH(AE238,FILTER(AF$220:AF$278,AH$220:AH$278&lt;&gt;0),0)),1,0)
   )
)"),"")</f>
        <v/>
      </c>
      <c r="AE238" s="943"/>
      <c r="AF238" s="929" t="s">
        <v>164</v>
      </c>
      <c r="AG238" s="932" t="s">
        <v>52</v>
      </c>
      <c r="AH238" s="488">
        <f t="shared" si="139"/>
        <v>0</v>
      </c>
      <c r="AI238" s="489">
        <f t="shared" si="155"/>
        <v>4</v>
      </c>
      <c r="AJ238" s="490">
        <f t="shared" si="128"/>
        <v>46</v>
      </c>
      <c r="AK238" s="935"/>
      <c r="AL238" s="935"/>
      <c r="AM238" s="935"/>
      <c r="AN238" s="936"/>
      <c r="AO238" s="494" t="str">
        <f t="shared" si="178"/>
        <v/>
      </c>
      <c r="AP238" s="925" t="str">
        <f t="shared" si="130"/>
        <v/>
      </c>
      <c r="AQ238" s="595"/>
      <c r="AR238" s="939" t="str">
        <f>IFERROR(__xludf.DUMMYFUNCTION("IF(AS238="""","""",
   IF(AS238=0,0,
      IF(ISNUMBER(MATCH(AS238,FILTER(AT$220:AT$258,AV$220:AV$258&lt;&gt;0),0)),1,0)
   )
)"),"")</f>
        <v/>
      </c>
      <c r="AS238" s="943"/>
      <c r="AT238" s="486" t="s">
        <v>342</v>
      </c>
      <c r="AU238" s="487" t="s">
        <v>55</v>
      </c>
      <c r="AV238" s="488">
        <f t="shared" si="143"/>
        <v>0</v>
      </c>
      <c r="AW238" s="489">
        <f t="shared" si="184"/>
        <v>4</v>
      </c>
      <c r="AX238" s="924" t="str">
        <f t="shared" si="185"/>
        <v/>
      </c>
      <c r="AY238" s="491">
        <f t="shared" si="186"/>
        <v>20</v>
      </c>
      <c r="AZ238" s="489">
        <f t="shared" si="187"/>
        <v>160</v>
      </c>
      <c r="BA238" s="492">
        <f t="shared" si="188"/>
        <v>0</v>
      </c>
      <c r="BB238" s="493">
        <f t="shared" si="189"/>
        <v>0</v>
      </c>
      <c r="BC238" s="494" t="str">
        <f t="shared" si="144"/>
        <v/>
      </c>
      <c r="BD238" s="595"/>
      <c r="BE238" s="595"/>
      <c r="BF238" s="595"/>
      <c r="BG238" s="595"/>
      <c r="BH238" s="595"/>
      <c r="BI238" s="595"/>
      <c r="BJ238" s="595"/>
      <c r="BK238" s="595"/>
      <c r="BL238" s="595"/>
      <c r="BM238" s="595"/>
      <c r="BN238" s="595"/>
      <c r="BO238" s="651"/>
      <c r="BP238" s="651"/>
      <c r="BQ238" s="651"/>
      <c r="BR238" s="651"/>
      <c r="BS238" s="651"/>
      <c r="BT238" s="651"/>
    </row>
    <row r="239" hidden="1">
      <c r="A239" s="1074"/>
      <c r="B239" s="584"/>
      <c r="C239" s="499" t="s">
        <v>269</v>
      </c>
      <c r="D239" s="844"/>
      <c r="E239" s="845"/>
      <c r="F239" s="1176"/>
      <c r="G239" s="847"/>
      <c r="H239" s="846"/>
      <c r="I239" s="437">
        <f t="shared" si="190"/>
        <v>4</v>
      </c>
      <c r="J239" s="1179">
        <v>282.0</v>
      </c>
      <c r="K239" s="370">
        <v>0.33</v>
      </c>
      <c r="L239" s="371">
        <v>2.0</v>
      </c>
      <c r="M239" s="870">
        <v>1.0</v>
      </c>
      <c r="N239" s="849">
        <f t="shared" si="180"/>
        <v>744.48</v>
      </c>
      <c r="O239" s="590"/>
      <c r="P239" s="939">
        <f>IFERROR(__xludf.DUMMYFUNCTION("IF(Q239="""","""",
   IF(Q239=0,0,
      IF(ISNUMBER(MATCH(Q239,FILTER(R$222:R$342,T$222:T$342&lt;&gt;0),0)),1,0)
   )
)"),1.0)</f>
        <v>1</v>
      </c>
      <c r="Q239" s="941" t="str">
        <f>IFERROR(__xludf.DUMMYFUNCTION("""COMPUTED_VALUE"""),"R-EGBracket")</f>
        <v>R-EGBracket</v>
      </c>
      <c r="R239" s="942" t="s">
        <v>589</v>
      </c>
      <c r="S239" s="930" t="s">
        <v>52</v>
      </c>
      <c r="T239" s="488">
        <f t="shared" si="145"/>
        <v>0</v>
      </c>
      <c r="U239" s="489">
        <f t="shared" si="124"/>
        <v>4</v>
      </c>
      <c r="V239" s="490">
        <f t="shared" si="125"/>
        <v>46</v>
      </c>
      <c r="W239" s="491">
        <f>(5/1)*$X$207</f>
        <v>20</v>
      </c>
      <c r="X239" s="489">
        <f t="shared" si="181"/>
        <v>160</v>
      </c>
      <c r="Y239" s="492">
        <f t="shared" si="182"/>
        <v>0</v>
      </c>
      <c r="Z239" s="493">
        <f t="shared" si="183"/>
        <v>0</v>
      </c>
      <c r="AA239" s="931" t="str">
        <f t="shared" si="174"/>
        <v/>
      </c>
      <c r="AB239" s="925" t="str">
        <f t="shared" si="138"/>
        <v/>
      </c>
      <c r="AC239" s="595"/>
      <c r="AD239" s="939" t="str">
        <f>IFERROR(__xludf.DUMMYFUNCTION("IF(AE239="""","""",
   IF(AE239=0,0,
      IF(ISNUMBER(MATCH(AE239,FILTER(AF$220:AF$278,AH$220:AH$278&lt;&gt;0),0)),1,0)
   )
)"),"")</f>
        <v/>
      </c>
      <c r="AE239" s="943"/>
      <c r="AF239" s="929" t="s">
        <v>371</v>
      </c>
      <c r="AG239" s="930" t="s">
        <v>41</v>
      </c>
      <c r="AH239" s="488">
        <f t="shared" si="139"/>
        <v>0</v>
      </c>
      <c r="AI239" s="489">
        <f t="shared" si="155"/>
        <v>4</v>
      </c>
      <c r="AJ239" s="490">
        <f t="shared" si="128"/>
        <v>46</v>
      </c>
      <c r="AK239" s="491">
        <f>(6/3)*$X$207</f>
        <v>8</v>
      </c>
      <c r="AL239" s="489">
        <f t="shared" ref="AL239:AL247" si="191">AK239*AK$217</f>
        <v>64</v>
      </c>
      <c r="AM239" s="492">
        <f t="shared" ref="AM239:AM247" si="192">ROUNDUP(AH239/AL239,2)</f>
        <v>0</v>
      </c>
      <c r="AN239" s="493">
        <f t="shared" ref="AN239:AN247" si="193">AM239*AJ239*AI239*AK$217</f>
        <v>0</v>
      </c>
      <c r="AO239" s="494" t="str">
        <f t="shared" si="178"/>
        <v/>
      </c>
      <c r="AP239" s="925" t="str">
        <f t="shared" si="130"/>
        <v/>
      </c>
      <c r="AQ239" s="595"/>
      <c r="AR239" s="939" t="str">
        <f>IFERROR(__xludf.DUMMYFUNCTION("IF(AS239="""","""",
   IF(AS239=0,0,
      IF(ISNUMBER(MATCH(AS239,FILTER(AT$220:AT$258,AV$220:AV$258&lt;&gt;0),0)),1,0)
   )
)"),"")</f>
        <v/>
      </c>
      <c r="AS239" s="943"/>
      <c r="AT239" s="486" t="s">
        <v>344</v>
      </c>
      <c r="AU239" s="487" t="s">
        <v>55</v>
      </c>
      <c r="AV239" s="488">
        <f t="shared" si="143"/>
        <v>0</v>
      </c>
      <c r="AW239" s="489">
        <f t="shared" si="184"/>
        <v>4</v>
      </c>
      <c r="AX239" s="924" t="str">
        <f t="shared" si="185"/>
        <v/>
      </c>
      <c r="AY239" s="491">
        <f>(3/2)*$X$207</f>
        <v>6</v>
      </c>
      <c r="AZ239" s="489">
        <f t="shared" si="187"/>
        <v>48</v>
      </c>
      <c r="BA239" s="492">
        <f t="shared" si="188"/>
        <v>0</v>
      </c>
      <c r="BB239" s="493">
        <f t="shared" si="189"/>
        <v>0</v>
      </c>
      <c r="BC239" s="494" t="str">
        <f t="shared" si="144"/>
        <v/>
      </c>
      <c r="BD239" s="595"/>
      <c r="BE239" s="595"/>
      <c r="BF239" s="595"/>
      <c r="BG239" s="595"/>
      <c r="BH239" s="595"/>
      <c r="BI239" s="595"/>
      <c r="BJ239" s="595"/>
      <c r="BK239" s="595"/>
      <c r="BL239" s="595"/>
      <c r="BM239" s="595"/>
      <c r="BN239" s="595"/>
      <c r="BO239" s="651"/>
      <c r="BP239" s="651"/>
      <c r="BQ239" s="651"/>
      <c r="BR239" s="651"/>
      <c r="BS239" s="651"/>
      <c r="BT239" s="651"/>
    </row>
    <row r="240" hidden="1">
      <c r="A240" s="1074"/>
      <c r="B240" s="584"/>
      <c r="C240" s="851"/>
      <c r="D240" s="609"/>
      <c r="E240" s="585"/>
      <c r="F240" s="1075"/>
      <c r="G240" s="587"/>
      <c r="H240" s="586"/>
      <c r="I240" s="584"/>
      <c r="J240" s="584"/>
      <c r="K240" s="383"/>
      <c r="L240" s="588"/>
      <c r="M240" s="588"/>
      <c r="N240" s="833"/>
      <c r="O240" s="590"/>
      <c r="P240" s="939">
        <f>IFERROR(__xludf.DUMMYFUNCTION("IF(Q240="""","""",
   IF(Q240=0,0,
      IF(ISNUMBER(MATCH(Q240,FILTER(R$222:R$342,T$222:T$342&lt;&gt;0),0)),1,0)
   )
)"),1.0)</f>
        <v>1</v>
      </c>
      <c r="Q240" s="941" t="str">
        <f>IFERROR(__xludf.DUMMYFUNCTION("""COMPUTED_VALUE"""),"R-EGBracketFixing")</f>
        <v>R-EGBracketFixing</v>
      </c>
      <c r="R240" s="929" t="s">
        <v>120</v>
      </c>
      <c r="S240" s="930" t="s">
        <v>55</v>
      </c>
      <c r="T240" s="488">
        <f t="shared" si="145"/>
        <v>100.1</v>
      </c>
      <c r="U240" s="489">
        <f t="shared" si="124"/>
        <v>4</v>
      </c>
      <c r="V240" s="490">
        <f t="shared" si="125"/>
        <v>46</v>
      </c>
      <c r="W240" s="491">
        <f>(8/4)*$X$207</f>
        <v>8</v>
      </c>
      <c r="X240" s="489">
        <f t="shared" si="181"/>
        <v>64</v>
      </c>
      <c r="Y240" s="492">
        <f t="shared" si="182"/>
        <v>1.57</v>
      </c>
      <c r="Z240" s="493">
        <f t="shared" si="183"/>
        <v>2311.04</v>
      </c>
      <c r="AA240" s="931">
        <f t="shared" si="174"/>
        <v>23.08731269</v>
      </c>
      <c r="AB240" s="925">
        <f t="shared" si="138"/>
        <v>20</v>
      </c>
      <c r="AC240" s="595"/>
      <c r="AD240" s="939" t="str">
        <f>IFERROR(__xludf.DUMMYFUNCTION("IF(AE240="""","""",
   IF(AE240=0,0,
      IF(ISNUMBER(MATCH(AE240,FILTER(AF$220:AF$278,AH$220:AH$278&lt;&gt;0),0)),1,0)
   )
)"),"")</f>
        <v/>
      </c>
      <c r="AE240" s="943"/>
      <c r="AF240" s="942" t="s">
        <v>590</v>
      </c>
      <c r="AG240" s="945" t="s">
        <v>41</v>
      </c>
      <c r="AH240" s="488">
        <f t="shared" si="139"/>
        <v>0</v>
      </c>
      <c r="AI240" s="489">
        <f t="shared" si="155"/>
        <v>4</v>
      </c>
      <c r="AJ240" s="490">
        <f t="shared" si="128"/>
        <v>46</v>
      </c>
      <c r="AK240" s="491">
        <f>(30/4)*$X$207</f>
        <v>30</v>
      </c>
      <c r="AL240" s="489">
        <f t="shared" si="191"/>
        <v>240</v>
      </c>
      <c r="AM240" s="492">
        <f t="shared" si="192"/>
        <v>0</v>
      </c>
      <c r="AN240" s="493">
        <f t="shared" si="193"/>
        <v>0</v>
      </c>
      <c r="AO240" s="494" t="str">
        <f t="shared" si="178"/>
        <v/>
      </c>
      <c r="AP240" s="925" t="str">
        <f t="shared" si="130"/>
        <v/>
      </c>
      <c r="AQ240" s="595"/>
      <c r="AR240" s="939" t="str">
        <f>IFERROR(__xludf.DUMMYFUNCTION("IF(AS240="""","""",
   IF(AS240=0,0,
      IF(ISNUMBER(MATCH(AS240,FILTER(AT$220:AT$258,AV$220:AV$258&lt;&gt;0),0)),1,0)
   )
)"),"")</f>
        <v/>
      </c>
      <c r="AS240" s="943"/>
      <c r="AT240" s="486" t="s">
        <v>347</v>
      </c>
      <c r="AU240" s="487" t="s">
        <v>52</v>
      </c>
      <c r="AV240" s="488">
        <f t="shared" si="143"/>
        <v>0</v>
      </c>
      <c r="AW240" s="935"/>
      <c r="AX240" s="924"/>
      <c r="AY240" s="935"/>
      <c r="AZ240" s="935"/>
      <c r="BA240" s="935"/>
      <c r="BB240" s="936"/>
      <c r="BC240" s="494" t="str">
        <f t="shared" si="144"/>
        <v/>
      </c>
      <c r="BD240" s="595"/>
      <c r="BE240" s="595"/>
      <c r="BF240" s="595"/>
      <c r="BG240" s="595"/>
      <c r="BH240" s="595"/>
      <c r="BI240" s="595"/>
      <c r="BJ240" s="595"/>
      <c r="BK240" s="595"/>
      <c r="BL240" s="595"/>
      <c r="BM240" s="595"/>
      <c r="BN240" s="595"/>
      <c r="BO240" s="651"/>
      <c r="BP240" s="651"/>
      <c r="BQ240" s="651"/>
      <c r="BR240" s="651"/>
      <c r="BS240" s="651"/>
      <c r="BT240" s="651"/>
    </row>
    <row r="241" hidden="1">
      <c r="A241" s="1074"/>
      <c r="B241" s="12" t="s">
        <v>176</v>
      </c>
      <c r="C241" s="329" t="s">
        <v>270</v>
      </c>
      <c r="D241" s="821"/>
      <c r="E241" s="822"/>
      <c r="F241" s="1175"/>
      <c r="G241" s="824"/>
      <c r="H241" s="823"/>
      <c r="I241" s="333" t="s">
        <v>18</v>
      </c>
      <c r="J241" s="334" t="s">
        <v>15</v>
      </c>
      <c r="K241" s="335" t="s">
        <v>26</v>
      </c>
      <c r="L241" s="878"/>
      <c r="M241" s="878"/>
      <c r="N241" s="857">
        <f>SUM(N242:N256)</f>
        <v>3360</v>
      </c>
      <c r="O241" s="950"/>
      <c r="P241" s="939">
        <f>IFERROR(__xludf.DUMMYFUNCTION("IF(Q241="""","""",
   IF(Q241=0,0,
      IF(ISNUMBER(MATCH(Q241,FILTER(R$222:R$342,T$222:T$342&lt;&gt;0),0)),1,0)
   )
)"),1.0)</f>
        <v>1</v>
      </c>
      <c r="Q241" s="941" t="str">
        <f>IFERROR(__xludf.DUMMYFUNCTION("""COMPUTED_VALUE"""),"R-SE")</f>
        <v>R-SE</v>
      </c>
      <c r="R241" s="929" t="s">
        <v>122</v>
      </c>
      <c r="S241" s="930" t="s">
        <v>52</v>
      </c>
      <c r="T241" s="488">
        <f t="shared" si="145"/>
        <v>168</v>
      </c>
      <c r="U241" s="489">
        <f t="shared" si="124"/>
        <v>4</v>
      </c>
      <c r="V241" s="490">
        <f t="shared" si="125"/>
        <v>46</v>
      </c>
      <c r="W241" s="491">
        <f>(20/1)*$X$207</f>
        <v>80</v>
      </c>
      <c r="X241" s="489">
        <f t="shared" si="181"/>
        <v>640</v>
      </c>
      <c r="Y241" s="492">
        <f t="shared" si="182"/>
        <v>0.27</v>
      </c>
      <c r="Z241" s="493">
        <f t="shared" si="183"/>
        <v>397.44</v>
      </c>
      <c r="AA241" s="931">
        <f t="shared" si="174"/>
        <v>2.365714286</v>
      </c>
      <c r="AB241" s="925">
        <f t="shared" si="138"/>
        <v>5</v>
      </c>
      <c r="AC241" s="595"/>
      <c r="AD241" s="939" t="str">
        <f>IFERROR(__xludf.DUMMYFUNCTION("IF(AE241="""","""",
   IF(AE241=0,0,
      IF(ISNUMBER(MATCH(AE241,FILTER(AF$220:AF$278,AH$220:AH$278&lt;&gt;0),0)),1,0)
   )
)"),"")</f>
        <v/>
      </c>
      <c r="AE241" s="943"/>
      <c r="AF241" s="929" t="s">
        <v>366</v>
      </c>
      <c r="AG241" s="930" t="s">
        <v>41</v>
      </c>
      <c r="AH241" s="488">
        <f t="shared" si="139"/>
        <v>0</v>
      </c>
      <c r="AI241" s="489">
        <f t="shared" si="155"/>
        <v>4</v>
      </c>
      <c r="AJ241" s="490">
        <f t="shared" si="128"/>
        <v>46</v>
      </c>
      <c r="AK241" s="491">
        <f>(100/4)*$X$207</f>
        <v>100</v>
      </c>
      <c r="AL241" s="489">
        <f t="shared" si="191"/>
        <v>800</v>
      </c>
      <c r="AM241" s="492">
        <f t="shared" si="192"/>
        <v>0</v>
      </c>
      <c r="AN241" s="493">
        <f t="shared" si="193"/>
        <v>0</v>
      </c>
      <c r="AO241" s="494" t="str">
        <f t="shared" si="178"/>
        <v/>
      </c>
      <c r="AP241" s="925" t="str">
        <f t="shared" si="130"/>
        <v/>
      </c>
      <c r="AQ241" s="595"/>
      <c r="AR241" s="939" t="str">
        <f>IFERROR(__xludf.DUMMYFUNCTION("IF(AS241="""","""",
   IF(AS241=0,0,
      IF(ISNUMBER(MATCH(AS241,FILTER(AT$220:AT$258,AV$220:AV$258&lt;&gt;0),0)),1,0)
   )
)"),"")</f>
        <v/>
      </c>
      <c r="AS241" s="943"/>
      <c r="AT241" s="486" t="s">
        <v>350</v>
      </c>
      <c r="AU241" s="487" t="s">
        <v>55</v>
      </c>
      <c r="AV241" s="488">
        <f t="shared" si="143"/>
        <v>0</v>
      </c>
      <c r="AW241" s="489">
        <f t="shared" ref="AW241:AW249" si="194">$X$207</f>
        <v>4</v>
      </c>
      <c r="AX241" s="924" t="str">
        <f t="shared" ref="AX241:AX249" si="195">AY$210</f>
        <v/>
      </c>
      <c r="AY241" s="491">
        <f t="shared" ref="AY241:AY242" si="196">(20/1)*$X$207</f>
        <v>80</v>
      </c>
      <c r="AZ241" s="489">
        <f t="shared" ref="AZ241:AZ249" si="197">AY241*AY$217</f>
        <v>640</v>
      </c>
      <c r="BA241" s="492">
        <f t="shared" ref="BA241:BA249" si="198">ROUNDUP(AV241/AZ241,2)</f>
        <v>0</v>
      </c>
      <c r="BB241" s="493">
        <f t="shared" ref="BB241:BB249" si="199">BA241*AX241*AW241*AY$217</f>
        <v>0</v>
      </c>
      <c r="BC241" s="494" t="str">
        <f t="shared" si="144"/>
        <v/>
      </c>
      <c r="BD241" s="595"/>
      <c r="BE241" s="595"/>
      <c r="BF241" s="595"/>
      <c r="BG241" s="595"/>
      <c r="BH241" s="595"/>
      <c r="BI241" s="595"/>
      <c r="BJ241" s="595"/>
      <c r="BK241" s="595"/>
      <c r="BL241" s="595"/>
      <c r="BM241" s="595"/>
      <c r="BN241" s="595"/>
      <c r="BO241" s="651"/>
      <c r="BP241" s="651"/>
      <c r="BQ241" s="651"/>
      <c r="BR241" s="651"/>
      <c r="BS241" s="651"/>
      <c r="BT241" s="651"/>
    </row>
    <row r="242" hidden="1">
      <c r="A242" s="1074"/>
      <c r="B242" s="584"/>
      <c r="C242" s="499" t="s">
        <v>271</v>
      </c>
      <c r="D242" s="844"/>
      <c r="E242" s="845"/>
      <c r="F242" s="1176"/>
      <c r="G242" s="847"/>
      <c r="H242" s="846"/>
      <c r="I242" s="437">
        <v>2.0</v>
      </c>
      <c r="J242" s="504">
        <v>3.0</v>
      </c>
      <c r="K242" s="370">
        <v>750.0</v>
      </c>
      <c r="L242" s="850"/>
      <c r="M242" s="401">
        <v>0.0</v>
      </c>
      <c r="N242" s="849">
        <f t="shared" ref="N242:N245" si="200">M242*K242*J242*I242</f>
        <v>0</v>
      </c>
      <c r="O242" s="590"/>
      <c r="P242" s="939">
        <f>IFERROR(__xludf.DUMMYFUNCTION("IF(Q242="""","""",
   IF(Q242=0,0,
      IF(ISNUMBER(MATCH(Q242,FILTER(R$222:R$342,T$222:T$342&lt;&gt;0),0)),1,0)
   )
)"),1.0)</f>
        <v>1</v>
      </c>
      <c r="Q242" s="941" t="str">
        <f>IFERROR(__xludf.DUMMYFUNCTION("""COMPUTED_VALUE"""),"R-DP")</f>
        <v>R-DP</v>
      </c>
      <c r="R242" s="929" t="s">
        <v>123</v>
      </c>
      <c r="S242" s="930" t="s">
        <v>52</v>
      </c>
      <c r="T242" s="488">
        <f t="shared" si="145"/>
        <v>337</v>
      </c>
      <c r="U242" s="489">
        <f t="shared" si="124"/>
        <v>4</v>
      </c>
      <c r="V242" s="490">
        <f t="shared" si="125"/>
        <v>46</v>
      </c>
      <c r="W242" s="491"/>
      <c r="X242" s="489"/>
      <c r="Y242" s="492"/>
      <c r="Z242" s="493"/>
      <c r="AA242" s="931"/>
      <c r="AB242" s="925" t="str">
        <f t="shared" si="138"/>
        <v/>
      </c>
      <c r="AC242" s="595"/>
      <c r="AD242" s="939" t="str">
        <f>IFERROR(__xludf.DUMMYFUNCTION("IF(AE242="""","""",
   IF(AE242=0,0,
      IF(ISNUMBER(MATCH(AE242,FILTER(AF$220:AF$278,AH$220:AH$278&lt;&gt;0),0)),1,0)
   )
)"),"")</f>
        <v/>
      </c>
      <c r="AE242" s="943"/>
      <c r="AF242" s="929" t="s">
        <v>376</v>
      </c>
      <c r="AG242" s="932" t="s">
        <v>52</v>
      </c>
      <c r="AH242" s="488">
        <f t="shared" si="139"/>
        <v>0</v>
      </c>
      <c r="AI242" s="489">
        <f t="shared" si="155"/>
        <v>4</v>
      </c>
      <c r="AJ242" s="490">
        <f t="shared" si="128"/>
        <v>46</v>
      </c>
      <c r="AK242" s="491">
        <f t="shared" ref="AK242:AK244" si="201">(30/4)*$X$207</f>
        <v>30</v>
      </c>
      <c r="AL242" s="489">
        <f t="shared" si="191"/>
        <v>240</v>
      </c>
      <c r="AM242" s="492">
        <f t="shared" si="192"/>
        <v>0</v>
      </c>
      <c r="AN242" s="493">
        <f t="shared" si="193"/>
        <v>0</v>
      </c>
      <c r="AO242" s="494" t="str">
        <f t="shared" si="178"/>
        <v/>
      </c>
      <c r="AP242" s="925" t="str">
        <f t="shared" si="130"/>
        <v/>
      </c>
      <c r="AQ242" s="595"/>
      <c r="AR242" s="939" t="str">
        <f>IFERROR(__xludf.DUMMYFUNCTION("IF(AS242="""","""",
   IF(AS242=0,0,
      IF(ISNUMBER(MATCH(AS242,FILTER(AT$220:AT$258,AV$220:AV$258&lt;&gt;0),0)),1,0)
   )
)"),"")</f>
        <v/>
      </c>
      <c r="AS242" s="943"/>
      <c r="AT242" s="486" t="s">
        <v>336</v>
      </c>
      <c r="AU242" s="487" t="s">
        <v>55</v>
      </c>
      <c r="AV242" s="488">
        <f t="shared" si="143"/>
        <v>0</v>
      </c>
      <c r="AW242" s="489">
        <f t="shared" si="194"/>
        <v>4</v>
      </c>
      <c r="AX242" s="924" t="str">
        <f t="shared" si="195"/>
        <v/>
      </c>
      <c r="AY242" s="491">
        <f t="shared" si="196"/>
        <v>80</v>
      </c>
      <c r="AZ242" s="489">
        <f t="shared" si="197"/>
        <v>640</v>
      </c>
      <c r="BA242" s="492">
        <f t="shared" si="198"/>
        <v>0</v>
      </c>
      <c r="BB242" s="493">
        <f t="shared" si="199"/>
        <v>0</v>
      </c>
      <c r="BC242" s="494" t="str">
        <f t="shared" si="144"/>
        <v/>
      </c>
      <c r="BD242" s="595"/>
      <c r="BE242" s="595"/>
      <c r="BF242" s="595"/>
      <c r="BG242" s="595"/>
      <c r="BH242" s="595"/>
      <c r="BI242" s="595"/>
      <c r="BJ242" s="595"/>
      <c r="BK242" s="595"/>
      <c r="BL242" s="595"/>
      <c r="BM242" s="595"/>
      <c r="BN242" s="595"/>
      <c r="BO242" s="651"/>
      <c r="BP242" s="651"/>
      <c r="BQ242" s="651"/>
      <c r="BR242" s="651"/>
      <c r="BS242" s="651"/>
      <c r="BT242" s="651"/>
    </row>
    <row r="243" hidden="1">
      <c r="A243" s="1074"/>
      <c r="B243" s="584"/>
      <c r="C243" s="499" t="s">
        <v>272</v>
      </c>
      <c r="D243" s="844"/>
      <c r="E243" s="845"/>
      <c r="F243" s="1176"/>
      <c r="G243" s="847"/>
      <c r="H243" s="846"/>
      <c r="I243" s="437">
        <v>1.0</v>
      </c>
      <c r="J243" s="504">
        <v>10.0</v>
      </c>
      <c r="K243" s="370">
        <v>750.0</v>
      </c>
      <c r="L243" s="850"/>
      <c r="M243" s="401">
        <v>0.0</v>
      </c>
      <c r="N243" s="849">
        <f t="shared" si="200"/>
        <v>0</v>
      </c>
      <c r="O243" s="590"/>
      <c r="P243" s="939">
        <f>IFERROR(__xludf.DUMMYFUNCTION("IF(Q243="""","""",
   IF(Q243=0,0,
      IF(ISNUMBER(MATCH(Q243,FILTER(R$222:R$342,T$222:T$342&lt;&gt;0),0)),1,0)
   )
)"),1.0)</f>
        <v>1</v>
      </c>
      <c r="Q243" s="941" t="str">
        <f>IFERROR(__xludf.DUMMYFUNCTION("""COMPUTED_VALUE"""),"R-DPBracket")</f>
        <v>R-DPBracket</v>
      </c>
      <c r="R243" s="929" t="s">
        <v>345</v>
      </c>
      <c r="S243" s="930" t="s">
        <v>591</v>
      </c>
      <c r="T243" s="488">
        <f t="shared" si="145"/>
        <v>0</v>
      </c>
      <c r="U243" s="489">
        <f t="shared" si="124"/>
        <v>4</v>
      </c>
      <c r="V243" s="490">
        <f t="shared" si="125"/>
        <v>46</v>
      </c>
      <c r="W243" s="491"/>
      <c r="X243" s="489"/>
      <c r="Y243" s="492"/>
      <c r="Z243" s="493"/>
      <c r="AA243" s="931"/>
      <c r="AB243" s="925" t="str">
        <f t="shared" si="138"/>
        <v/>
      </c>
      <c r="AC243" s="595"/>
      <c r="AD243" s="939" t="str">
        <f>IFERROR(__xludf.DUMMYFUNCTION("IF(AE243="""","""",
   IF(AE243=0,0,
      IF(ISNUMBER(MATCH(AE243,FILTER(AF$220:AF$278,AH$220:AH$278&lt;&gt;0),0)),1,0)
   )
)"),"")</f>
        <v/>
      </c>
      <c r="AE243" s="943"/>
      <c r="AF243" s="929" t="s">
        <v>381</v>
      </c>
      <c r="AG243" s="932" t="s">
        <v>52</v>
      </c>
      <c r="AH243" s="488">
        <f t="shared" si="139"/>
        <v>0</v>
      </c>
      <c r="AI243" s="489">
        <f t="shared" si="155"/>
        <v>4</v>
      </c>
      <c r="AJ243" s="490">
        <f t="shared" si="128"/>
        <v>46</v>
      </c>
      <c r="AK243" s="491">
        <f t="shared" si="201"/>
        <v>30</v>
      </c>
      <c r="AL243" s="489">
        <f t="shared" si="191"/>
        <v>240</v>
      </c>
      <c r="AM243" s="492">
        <f t="shared" si="192"/>
        <v>0</v>
      </c>
      <c r="AN243" s="493">
        <f t="shared" si="193"/>
        <v>0</v>
      </c>
      <c r="AO243" s="494" t="str">
        <f t="shared" si="178"/>
        <v/>
      </c>
      <c r="AP243" s="925" t="str">
        <f t="shared" si="130"/>
        <v/>
      </c>
      <c r="AQ243" s="595"/>
      <c r="AR243" s="939" t="str">
        <f>IFERROR(__xludf.DUMMYFUNCTION("IF(AS243="""","""",
   IF(AS243=0,0,
      IF(ISNUMBER(MATCH(AS243,FILTER(AT$220:AT$258,AV$220:AV$258&lt;&gt;0),0)),1,0)
   )
)"),"")</f>
        <v/>
      </c>
      <c r="AS243" s="943"/>
      <c r="AT243" s="486" t="s">
        <v>354</v>
      </c>
      <c r="AU243" s="487" t="s">
        <v>52</v>
      </c>
      <c r="AV243" s="488">
        <f t="shared" si="143"/>
        <v>0</v>
      </c>
      <c r="AW243" s="489">
        <f t="shared" si="194"/>
        <v>4</v>
      </c>
      <c r="AX243" s="924" t="str">
        <f t="shared" si="195"/>
        <v/>
      </c>
      <c r="AY243" s="491">
        <f>(1/2)*$X$207</f>
        <v>2</v>
      </c>
      <c r="AZ243" s="489">
        <f t="shared" si="197"/>
        <v>16</v>
      </c>
      <c r="BA243" s="492">
        <f t="shared" si="198"/>
        <v>0</v>
      </c>
      <c r="BB243" s="493">
        <f t="shared" si="199"/>
        <v>0</v>
      </c>
      <c r="BC243" s="494" t="str">
        <f t="shared" si="144"/>
        <v/>
      </c>
      <c r="BD243" s="595"/>
      <c r="BE243" s="595"/>
      <c r="BF243" s="595"/>
      <c r="BG243" s="595"/>
      <c r="BH243" s="595"/>
      <c r="BI243" s="595"/>
      <c r="BJ243" s="595"/>
      <c r="BK243" s="595"/>
      <c r="BL243" s="595"/>
      <c r="BM243" s="595"/>
      <c r="BN243" s="595"/>
      <c r="BO243" s="651"/>
      <c r="BP243" s="651"/>
      <c r="BQ243" s="651"/>
      <c r="BR243" s="651"/>
      <c r="BS243" s="651"/>
      <c r="BT243" s="651"/>
    </row>
    <row r="244" hidden="1">
      <c r="A244" s="1074"/>
      <c r="B244" s="584"/>
      <c r="C244" s="499" t="s">
        <v>273</v>
      </c>
      <c r="D244" s="844"/>
      <c r="E244" s="845"/>
      <c r="F244" s="1176"/>
      <c r="G244" s="847"/>
      <c r="H244" s="846"/>
      <c r="I244" s="437">
        <v>1.0</v>
      </c>
      <c r="J244" s="504">
        <f>J243</f>
        <v>10</v>
      </c>
      <c r="K244" s="370">
        <v>95.0</v>
      </c>
      <c r="L244" s="850"/>
      <c r="M244" s="401">
        <v>0.0</v>
      </c>
      <c r="N244" s="849">
        <f t="shared" si="200"/>
        <v>0</v>
      </c>
      <c r="O244" s="590"/>
      <c r="P244" s="939">
        <f>IFERROR(__xludf.DUMMYFUNCTION("IF(Q244="""","""",
   IF(Q244=0,0,
      IF(ISNUMBER(MATCH(Q244,FILTER(R$222:R$342,T$222:T$342&lt;&gt;0),0)),1,0)
   )
)"),1.0)</f>
        <v>1</v>
      </c>
      <c r="Q244" s="941" t="str">
        <f>IFERROR(__xludf.DUMMYFUNCTION("""COMPUTED_VALUE"""),"R-DPBends")</f>
        <v>R-DPBends</v>
      </c>
      <c r="R244" s="929" t="s">
        <v>348</v>
      </c>
      <c r="S244" s="930" t="s">
        <v>55</v>
      </c>
      <c r="T244" s="488">
        <f t="shared" si="145"/>
        <v>0</v>
      </c>
      <c r="U244" s="489">
        <f t="shared" si="124"/>
        <v>4</v>
      </c>
      <c r="V244" s="490">
        <f t="shared" si="125"/>
        <v>46</v>
      </c>
      <c r="W244" s="491">
        <f>(30/9)*$X$207</f>
        <v>13.33333333</v>
      </c>
      <c r="X244" s="489">
        <f t="shared" ref="X244:X245" si="202">W244*W$217</f>
        <v>106.6666667</v>
      </c>
      <c r="Y244" s="492">
        <f t="shared" ref="Y244:Y245" si="203">ROUNDUP(T244/X244,2)</f>
        <v>0</v>
      </c>
      <c r="Z244" s="493">
        <f t="shared" ref="Z244:Z245" si="204">Y244*V244*U244*W$217</f>
        <v>0</v>
      </c>
      <c r="AA244" s="931" t="str">
        <f t="shared" ref="AA244:AA245" si="205">iferror(Z244/T244,"")</f>
        <v/>
      </c>
      <c r="AB244" s="925" t="str">
        <f t="shared" si="138"/>
        <v/>
      </c>
      <c r="AC244" s="595"/>
      <c r="AD244" s="939" t="str">
        <f>IFERROR(__xludf.DUMMYFUNCTION("IF(AE244="""","""",
   IF(AE244=0,0,
      IF(ISNUMBER(MATCH(AE244,FILTER(AF$220:AF$278,AH$220:AH$278&lt;&gt;0),0)),1,0)
   )
)"),"")</f>
        <v/>
      </c>
      <c r="AE244" s="943"/>
      <c r="AF244" s="929" t="s">
        <v>379</v>
      </c>
      <c r="AG244" s="932" t="s">
        <v>52</v>
      </c>
      <c r="AH244" s="488">
        <f t="shared" si="139"/>
        <v>0</v>
      </c>
      <c r="AI244" s="489">
        <f t="shared" si="155"/>
        <v>4</v>
      </c>
      <c r="AJ244" s="490">
        <f t="shared" si="128"/>
        <v>46</v>
      </c>
      <c r="AK244" s="491">
        <f t="shared" si="201"/>
        <v>30</v>
      </c>
      <c r="AL244" s="489">
        <f t="shared" si="191"/>
        <v>240</v>
      </c>
      <c r="AM244" s="492">
        <f t="shared" si="192"/>
        <v>0</v>
      </c>
      <c r="AN244" s="493">
        <f t="shared" si="193"/>
        <v>0</v>
      </c>
      <c r="AO244" s="494" t="str">
        <f t="shared" si="178"/>
        <v/>
      </c>
      <c r="AP244" s="925" t="str">
        <f t="shared" si="130"/>
        <v/>
      </c>
      <c r="AQ244" s="595"/>
      <c r="AR244" s="939" t="str">
        <f>IFERROR(__xludf.DUMMYFUNCTION("IF(AS244="""","""",
   IF(AS244=0,0,
      IF(ISNUMBER(MATCH(AS244,FILTER(AT$220:AT$258,AV$220:AV$258&lt;&gt;0),0)),1,0)
   )
)"),"")</f>
        <v/>
      </c>
      <c r="AS244" s="943"/>
      <c r="AT244" s="486" t="s">
        <v>356</v>
      </c>
      <c r="AU244" s="487" t="s">
        <v>52</v>
      </c>
      <c r="AV244" s="488">
        <f t="shared" si="143"/>
        <v>0</v>
      </c>
      <c r="AW244" s="489">
        <f t="shared" si="194"/>
        <v>4</v>
      </c>
      <c r="AX244" s="924" t="str">
        <f t="shared" si="195"/>
        <v/>
      </c>
      <c r="AY244" s="491">
        <f>(0.5/2)*$X$207</f>
        <v>1</v>
      </c>
      <c r="AZ244" s="489">
        <f t="shared" si="197"/>
        <v>8</v>
      </c>
      <c r="BA244" s="492">
        <f t="shared" si="198"/>
        <v>0</v>
      </c>
      <c r="BB244" s="493">
        <f t="shared" si="199"/>
        <v>0</v>
      </c>
      <c r="BC244" s="494" t="str">
        <f t="shared" si="144"/>
        <v/>
      </c>
      <c r="BD244" s="595"/>
      <c r="BE244" s="595"/>
      <c r="BF244" s="595"/>
      <c r="BG244" s="595"/>
      <c r="BH244" s="595"/>
      <c r="BI244" s="595"/>
      <c r="BJ244" s="595"/>
      <c r="BK244" s="595"/>
      <c r="BL244" s="595"/>
      <c r="BM244" s="595"/>
      <c r="BN244" s="595"/>
      <c r="BO244" s="651"/>
      <c r="BP244" s="651"/>
      <c r="BQ244" s="651"/>
      <c r="BR244" s="651"/>
      <c r="BS244" s="651"/>
      <c r="BT244" s="651"/>
    </row>
    <row r="245" hidden="1">
      <c r="A245" s="1074"/>
      <c r="B245" s="584"/>
      <c r="C245" s="499" t="s">
        <v>274</v>
      </c>
      <c r="D245" s="844"/>
      <c r="E245" s="845"/>
      <c r="F245" s="1176"/>
      <c r="G245" s="847"/>
      <c r="H245" s="846"/>
      <c r="I245" s="437">
        <v>5.0</v>
      </c>
      <c r="J245" s="436">
        <v>2.0</v>
      </c>
      <c r="K245" s="370">
        <v>1000.0</v>
      </c>
      <c r="L245" s="850"/>
      <c r="M245" s="401">
        <v>0.0</v>
      </c>
      <c r="N245" s="849">
        <f t="shared" si="200"/>
        <v>0</v>
      </c>
      <c r="O245" s="590"/>
      <c r="P245" s="939">
        <f>IFERROR(__xludf.DUMMYFUNCTION("IF(Q245="""","""",
   IF(Q245=0,0,
      IF(ISNUMBER(MATCH(Q245,FILTER(R$222:R$342,T$222:T$342&lt;&gt;0),0)),1,0)
   )
)"),1.0)</f>
        <v>1</v>
      </c>
      <c r="Q245" s="941" t="str">
        <f>IFERROR(__xludf.DUMMYFUNCTION("""COMPUTED_VALUE"""),"R-OP")</f>
        <v>R-OP</v>
      </c>
      <c r="R245" s="929" t="s">
        <v>351</v>
      </c>
      <c r="S245" s="930" t="s">
        <v>52</v>
      </c>
      <c r="T245" s="488">
        <f t="shared" si="145"/>
        <v>0</v>
      </c>
      <c r="U245" s="489">
        <f t="shared" si="124"/>
        <v>4</v>
      </c>
      <c r="V245" s="490">
        <f t="shared" si="125"/>
        <v>46</v>
      </c>
      <c r="W245" s="491">
        <f>(20/1)*$X$207</f>
        <v>80</v>
      </c>
      <c r="X245" s="489">
        <f t="shared" si="202"/>
        <v>640</v>
      </c>
      <c r="Y245" s="492">
        <f t="shared" si="203"/>
        <v>0</v>
      </c>
      <c r="Z245" s="493">
        <f t="shared" si="204"/>
        <v>0</v>
      </c>
      <c r="AA245" s="931" t="str">
        <f t="shared" si="205"/>
        <v/>
      </c>
      <c r="AB245" s="925" t="str">
        <f t="shared" si="138"/>
        <v/>
      </c>
      <c r="AC245" s="595"/>
      <c r="AD245" s="939" t="str">
        <f>IFERROR(__xludf.DUMMYFUNCTION("IF(AE245="""","""",
   IF(AE245=0,0,
      IF(ISNUMBER(MATCH(AE245,FILTER(AF$220:AF$278,AH$220:AH$278&lt;&gt;0),0)),1,0)
   )
)"),"")</f>
        <v/>
      </c>
      <c r="AE245" s="943"/>
      <c r="AF245" s="929" t="s">
        <v>361</v>
      </c>
      <c r="AG245" s="930" t="s">
        <v>52</v>
      </c>
      <c r="AH245" s="488">
        <f t="shared" si="139"/>
        <v>0</v>
      </c>
      <c r="AI245" s="489">
        <f t="shared" si="155"/>
        <v>4</v>
      </c>
      <c r="AJ245" s="490">
        <f t="shared" si="128"/>
        <v>46</v>
      </c>
      <c r="AK245" s="491">
        <f>(20/1)*$X$207</f>
        <v>80</v>
      </c>
      <c r="AL245" s="489">
        <f t="shared" si="191"/>
        <v>640</v>
      </c>
      <c r="AM245" s="492">
        <f t="shared" si="192"/>
        <v>0</v>
      </c>
      <c r="AN245" s="493">
        <f t="shared" si="193"/>
        <v>0</v>
      </c>
      <c r="AO245" s="494" t="str">
        <f t="shared" si="178"/>
        <v/>
      </c>
      <c r="AP245" s="925" t="str">
        <f t="shared" si="130"/>
        <v/>
      </c>
      <c r="AQ245" s="595"/>
      <c r="AR245" s="939" t="str">
        <f>IFERROR(__xludf.DUMMYFUNCTION("IF(AS245="""","""",
   IF(AS245=0,0,
      IF(ISNUMBER(MATCH(AS245,FILTER(AT$220:AT$258,AV$220:AV$258&lt;&gt;0),0)),1,0)
   )
)"),"")</f>
        <v/>
      </c>
      <c r="AS245" s="943"/>
      <c r="AT245" s="486" t="s">
        <v>357</v>
      </c>
      <c r="AU245" s="487" t="s">
        <v>52</v>
      </c>
      <c r="AV245" s="488">
        <f t="shared" si="143"/>
        <v>0</v>
      </c>
      <c r="AW245" s="489">
        <f t="shared" si="194"/>
        <v>4</v>
      </c>
      <c r="AX245" s="924" t="str">
        <f t="shared" si="195"/>
        <v/>
      </c>
      <c r="AY245" s="491">
        <f>(2/2)*$X$207</f>
        <v>4</v>
      </c>
      <c r="AZ245" s="489">
        <f t="shared" si="197"/>
        <v>32</v>
      </c>
      <c r="BA245" s="492">
        <f t="shared" si="198"/>
        <v>0</v>
      </c>
      <c r="BB245" s="493">
        <f t="shared" si="199"/>
        <v>0</v>
      </c>
      <c r="BC245" s="494" t="str">
        <f t="shared" si="144"/>
        <v/>
      </c>
      <c r="BD245" s="595"/>
      <c r="BE245" s="595"/>
      <c r="BF245" s="595"/>
      <c r="BG245" s="595"/>
      <c r="BH245" s="595"/>
      <c r="BI245" s="595"/>
      <c r="BJ245" s="595"/>
      <c r="BK245" s="595"/>
      <c r="BL245" s="595"/>
      <c r="BM245" s="595"/>
      <c r="BN245" s="595"/>
      <c r="BO245" s="651"/>
      <c r="BP245" s="651"/>
      <c r="BQ245" s="651"/>
      <c r="BR245" s="651"/>
      <c r="BS245" s="651"/>
      <c r="BT245" s="651"/>
    </row>
    <row r="246" hidden="1">
      <c r="A246" s="1074"/>
      <c r="B246" s="584"/>
      <c r="C246" s="851"/>
      <c r="D246" s="609"/>
      <c r="E246" s="585"/>
      <c r="F246" s="1075"/>
      <c r="G246" s="587"/>
      <c r="H246" s="586"/>
      <c r="I246" s="443"/>
      <c r="J246" s="443"/>
      <c r="K246" s="349"/>
      <c r="L246" s="588"/>
      <c r="M246" s="951"/>
      <c r="N246" s="833"/>
      <c r="O246" s="590"/>
      <c r="P246" s="939">
        <f>IFERROR(__xludf.DUMMYFUNCTION("IF(Q246="""","""",
   IF(Q246=0,0,
      IF(ISNUMBER(MATCH(Q246,FILTER(R$222:R$342,T$222:T$342&lt;&gt;0),0)),1,0)
   )
)"),1.0)</f>
        <v>1</v>
      </c>
      <c r="Q246" s="941" t="str">
        <f>IFERROR(__xludf.DUMMYFUNCTION("""COMPUTED_VALUE"""),"R-OPSeal")</f>
        <v>R-OPSeal</v>
      </c>
      <c r="R246" s="929" t="s">
        <v>353</v>
      </c>
      <c r="S246" s="930" t="s">
        <v>52</v>
      </c>
      <c r="T246" s="488">
        <f t="shared" si="145"/>
        <v>0</v>
      </c>
      <c r="U246" s="489">
        <f t="shared" si="124"/>
        <v>4</v>
      </c>
      <c r="V246" s="490">
        <f t="shared" si="125"/>
        <v>46</v>
      </c>
      <c r="W246" s="491"/>
      <c r="X246" s="489"/>
      <c r="Y246" s="492"/>
      <c r="Z246" s="493"/>
      <c r="AA246" s="931"/>
      <c r="AB246" s="925" t="str">
        <f t="shared" si="138"/>
        <v/>
      </c>
      <c r="AC246" s="595"/>
      <c r="AD246" s="939" t="str">
        <f>IFERROR(__xludf.DUMMYFUNCTION("IF(AE246="""","""",
   IF(AE246=0,0,
      IF(ISNUMBER(MATCH(AE246,FILTER(AF$220:AF$278,AH$220:AH$278&lt;&gt;0),0)),1,0)
   )
)"),"")</f>
        <v/>
      </c>
      <c r="AE246" s="943"/>
      <c r="AF246" s="929" t="s">
        <v>358</v>
      </c>
      <c r="AG246" s="930" t="s">
        <v>52</v>
      </c>
      <c r="AH246" s="488">
        <f t="shared" si="139"/>
        <v>0</v>
      </c>
      <c r="AI246" s="489">
        <f t="shared" si="155"/>
        <v>4</v>
      </c>
      <c r="AJ246" s="490">
        <f t="shared" si="128"/>
        <v>46</v>
      </c>
      <c r="AK246" s="491">
        <f>(1/2)*$X$207</f>
        <v>2</v>
      </c>
      <c r="AL246" s="489">
        <f t="shared" si="191"/>
        <v>16</v>
      </c>
      <c r="AM246" s="492">
        <f t="shared" si="192"/>
        <v>0</v>
      </c>
      <c r="AN246" s="493">
        <f t="shared" si="193"/>
        <v>0</v>
      </c>
      <c r="AO246" s="494" t="str">
        <f t="shared" si="178"/>
        <v/>
      </c>
      <c r="AP246" s="925" t="str">
        <f t="shared" si="130"/>
        <v/>
      </c>
      <c r="AQ246" s="595"/>
      <c r="AR246" s="939" t="str">
        <f>IFERROR(__xludf.DUMMYFUNCTION("IF(AS246="""","""",
   IF(AS246=0,0,
      IF(ISNUMBER(MATCH(AS246,FILTER(AT$220:AT$258,AV$220:AV$258&lt;&gt;0),0)),1,0)
   )
)"),"")</f>
        <v/>
      </c>
      <c r="AS246" s="943"/>
      <c r="AT246" s="486" t="s">
        <v>359</v>
      </c>
      <c r="AU246" s="487" t="s">
        <v>41</v>
      </c>
      <c r="AV246" s="488">
        <f t="shared" si="143"/>
        <v>0</v>
      </c>
      <c r="AW246" s="489">
        <f t="shared" si="194"/>
        <v>4</v>
      </c>
      <c r="AX246" s="924" t="str">
        <f t="shared" si="195"/>
        <v/>
      </c>
      <c r="AY246" s="491">
        <f>(5/4)*$X$207</f>
        <v>5</v>
      </c>
      <c r="AZ246" s="489">
        <f t="shared" si="197"/>
        <v>40</v>
      </c>
      <c r="BA246" s="492">
        <f t="shared" si="198"/>
        <v>0</v>
      </c>
      <c r="BB246" s="493">
        <f t="shared" si="199"/>
        <v>0</v>
      </c>
      <c r="BC246" s="494" t="str">
        <f t="shared" si="144"/>
        <v/>
      </c>
      <c r="BD246" s="595"/>
      <c r="BE246" s="595"/>
      <c r="BF246" s="595"/>
      <c r="BG246" s="595"/>
      <c r="BH246" s="595"/>
      <c r="BI246" s="595"/>
      <c r="BJ246" s="595"/>
      <c r="BK246" s="595"/>
      <c r="BL246" s="595"/>
      <c r="BM246" s="595"/>
      <c r="BN246" s="595"/>
      <c r="BO246" s="651"/>
      <c r="BP246" s="651"/>
      <c r="BQ246" s="651"/>
      <c r="BR246" s="651"/>
      <c r="BS246" s="651"/>
      <c r="BT246" s="651"/>
    </row>
    <row r="247" hidden="1">
      <c r="A247" s="1074"/>
      <c r="B247" s="584"/>
      <c r="C247" s="952" t="s">
        <v>592</v>
      </c>
      <c r="D247" s="844"/>
      <c r="E247" s="845"/>
      <c r="F247" s="1176"/>
      <c r="G247" s="847"/>
      <c r="H247" s="846"/>
      <c r="I247" s="953">
        <v>1.0</v>
      </c>
      <c r="J247" s="504">
        <v>1.0</v>
      </c>
      <c r="K247" s="948">
        <v>260.0</v>
      </c>
      <c r="L247" s="850"/>
      <c r="M247" s="870">
        <v>2.0</v>
      </c>
      <c r="N247" s="849">
        <f t="shared" ref="N247:N250" si="206">M247*K247*J247*I247</f>
        <v>520</v>
      </c>
      <c r="O247" s="590"/>
      <c r="P247" s="939">
        <f>IFERROR(__xludf.DUMMYFUNCTION("IF(Q247="""","""",
   IF(Q247=0,0,
      IF(ISNUMBER(MATCH(Q247,FILTER(R$222:R$342,T$222:T$342&lt;&gt;0),0)),1,0)
   )
)"),1.0)</f>
        <v>1</v>
      </c>
      <c r="Q247" s="941" t="str">
        <f>IFERROR(__xludf.DUMMYFUNCTION("""COMPUTED_VALUE"""),"R-OPFixing")</f>
        <v>R-OPFixing</v>
      </c>
      <c r="R247" s="929" t="s">
        <v>126</v>
      </c>
      <c r="S247" s="930" t="s">
        <v>55</v>
      </c>
      <c r="T247" s="488">
        <f t="shared" si="145"/>
        <v>0</v>
      </c>
      <c r="U247" s="489">
        <f t="shared" si="124"/>
        <v>4</v>
      </c>
      <c r="V247" s="490">
        <f t="shared" si="125"/>
        <v>46</v>
      </c>
      <c r="W247" s="491">
        <f>(12/1)*$X$207</f>
        <v>48</v>
      </c>
      <c r="X247" s="489">
        <f>W247*W$217</f>
        <v>384</v>
      </c>
      <c r="Y247" s="492">
        <f>ROUNDUP(T247/X247,2)</f>
        <v>0</v>
      </c>
      <c r="Z247" s="493">
        <f>Y247*V247*U247*W$217</f>
        <v>0</v>
      </c>
      <c r="AA247" s="931" t="str">
        <f>iferror(Z247/T247,"")</f>
        <v/>
      </c>
      <c r="AB247" s="925" t="str">
        <f t="shared" si="138"/>
        <v/>
      </c>
      <c r="AC247" s="595"/>
      <c r="AD247" s="939" t="str">
        <f>IFERROR(__xludf.DUMMYFUNCTION("IF(AE247="""","""",
   IF(AE247=0,0,
      IF(ISNUMBER(MATCH(AE247,FILTER(AF$220:AF$278,AH$220:AH$278&lt;&gt;0),0)),1,0)
   )
)"),"")</f>
        <v/>
      </c>
      <c r="AE247" s="943"/>
      <c r="AF247" s="942" t="s">
        <v>593</v>
      </c>
      <c r="AG247" s="945" t="s">
        <v>41</v>
      </c>
      <c r="AH247" s="488">
        <f t="shared" si="139"/>
        <v>0</v>
      </c>
      <c r="AI247" s="489">
        <f t="shared" si="155"/>
        <v>4</v>
      </c>
      <c r="AJ247" s="490">
        <f t="shared" si="128"/>
        <v>46</v>
      </c>
      <c r="AK247" s="491">
        <f>(30/4)*$X$207</f>
        <v>30</v>
      </c>
      <c r="AL247" s="489">
        <f t="shared" si="191"/>
        <v>240</v>
      </c>
      <c r="AM247" s="492">
        <f t="shared" si="192"/>
        <v>0</v>
      </c>
      <c r="AN247" s="493">
        <f t="shared" si="193"/>
        <v>0</v>
      </c>
      <c r="AO247" s="494" t="str">
        <f t="shared" si="178"/>
        <v/>
      </c>
      <c r="AP247" s="925" t="str">
        <f t="shared" si="130"/>
        <v/>
      </c>
      <c r="AQ247" s="595"/>
      <c r="AR247" s="939" t="str">
        <f>IFERROR(__xludf.DUMMYFUNCTION("IF(AS247="""","""",
   IF(AS247=0,0,
      IF(ISNUMBER(MATCH(AS247,FILTER(AT$220:AT$258,AV$220:AV$258&lt;&gt;0),0)),1,0)
   )
)"),"")</f>
        <v/>
      </c>
      <c r="AS247" s="943"/>
      <c r="AT247" s="486" t="s">
        <v>362</v>
      </c>
      <c r="AU247" s="487" t="s">
        <v>55</v>
      </c>
      <c r="AV247" s="488">
        <f t="shared" si="143"/>
        <v>0</v>
      </c>
      <c r="AW247" s="489">
        <f t="shared" si="194"/>
        <v>4</v>
      </c>
      <c r="AX247" s="924" t="str">
        <f t="shared" si="195"/>
        <v/>
      </c>
      <c r="AY247" s="491">
        <f>(20/1)*$X$207</f>
        <v>80</v>
      </c>
      <c r="AZ247" s="489">
        <f t="shared" si="197"/>
        <v>640</v>
      </c>
      <c r="BA247" s="492">
        <f t="shared" si="198"/>
        <v>0</v>
      </c>
      <c r="BB247" s="493">
        <f t="shared" si="199"/>
        <v>0</v>
      </c>
      <c r="BC247" s="494" t="str">
        <f t="shared" si="144"/>
        <v/>
      </c>
      <c r="BD247" s="595"/>
      <c r="BE247" s="595"/>
      <c r="BF247" s="595"/>
      <c r="BG247" s="595"/>
      <c r="BH247" s="595"/>
      <c r="BI247" s="595"/>
      <c r="BJ247" s="595"/>
      <c r="BK247" s="595"/>
      <c r="BL247" s="595"/>
      <c r="BM247" s="595"/>
      <c r="BN247" s="595"/>
      <c r="BO247" s="651"/>
      <c r="BP247" s="651"/>
      <c r="BQ247" s="651"/>
      <c r="BR247" s="651"/>
      <c r="BS247" s="651"/>
      <c r="BT247" s="651"/>
    </row>
    <row r="248" hidden="1">
      <c r="A248" s="1074"/>
      <c r="B248" s="584"/>
      <c r="C248" s="499" t="s">
        <v>272</v>
      </c>
      <c r="D248" s="844"/>
      <c r="E248" s="845"/>
      <c r="F248" s="1176"/>
      <c r="G248" s="847"/>
      <c r="H248" s="846"/>
      <c r="I248" s="437">
        <v>1.0</v>
      </c>
      <c r="J248" s="954">
        <v>4.0</v>
      </c>
      <c r="K248" s="948">
        <v>260.0</v>
      </c>
      <c r="L248" s="850"/>
      <c r="M248" s="870">
        <v>2.0</v>
      </c>
      <c r="N248" s="849">
        <f t="shared" si="206"/>
        <v>2080</v>
      </c>
      <c r="O248" s="590"/>
      <c r="P248" s="939" t="str">
        <f>IFERROR(__xludf.DUMMYFUNCTION("IF(Q248="""","""",
   IF(Q248=0,0,
      IF(ISNUMBER(MATCH(Q248,FILTER(R$222:R$342,T$222:T$342&lt;&gt;0),0)),1,0)
   )
)"),"")</f>
        <v/>
      </c>
      <c r="Q248" s="941"/>
      <c r="R248" s="929" t="s">
        <v>111</v>
      </c>
      <c r="S248" s="930" t="s">
        <v>55</v>
      </c>
      <c r="T248" s="488">
        <f t="shared" si="145"/>
        <v>0</v>
      </c>
      <c r="U248" s="489">
        <f t="shared" si="124"/>
        <v>4</v>
      </c>
      <c r="V248" s="490">
        <f t="shared" si="125"/>
        <v>46</v>
      </c>
      <c r="W248" s="491"/>
      <c r="X248" s="489"/>
      <c r="Y248" s="492"/>
      <c r="Z248" s="493"/>
      <c r="AA248" s="931"/>
      <c r="AB248" s="925" t="str">
        <f t="shared" si="138"/>
        <v/>
      </c>
      <c r="AC248" s="595"/>
      <c r="AD248" s="939" t="str">
        <f>IFERROR(__xludf.DUMMYFUNCTION("IF(AE248="""","""",
   IF(AE248=0,0,
      IF(ISNUMBER(MATCH(AE248,FILTER(AF$220:AF$278,AH$220:AH$278&lt;&gt;0),0)),1,0)
   )
)"),"")</f>
        <v/>
      </c>
      <c r="AE248" s="943"/>
      <c r="AF248" s="929" t="s">
        <v>163</v>
      </c>
      <c r="AG248" s="932" t="s">
        <v>52</v>
      </c>
      <c r="AH248" s="488">
        <f t="shared" si="139"/>
        <v>0</v>
      </c>
      <c r="AI248" s="489">
        <f t="shared" si="155"/>
        <v>4</v>
      </c>
      <c r="AJ248" s="490">
        <f t="shared" si="128"/>
        <v>46</v>
      </c>
      <c r="AK248" s="935"/>
      <c r="AL248" s="935"/>
      <c r="AM248" s="935"/>
      <c r="AN248" s="936"/>
      <c r="AO248" s="494" t="str">
        <f t="shared" si="178"/>
        <v/>
      </c>
      <c r="AP248" s="925" t="str">
        <f t="shared" si="130"/>
        <v/>
      </c>
      <c r="AQ248" s="595"/>
      <c r="AR248" s="939" t="str">
        <f>IFERROR(__xludf.DUMMYFUNCTION("IF(AS248="""","""",
   IF(AS248=0,0,
      IF(ISNUMBER(MATCH(AS248,FILTER(AT$220:AT$258,AV$220:AV$258&lt;&gt;0),0)),1,0)
   )
)"),"")</f>
        <v/>
      </c>
      <c r="AS248" s="943"/>
      <c r="AT248" s="486" t="s">
        <v>364</v>
      </c>
      <c r="AU248" s="487" t="s">
        <v>41</v>
      </c>
      <c r="AV248" s="488">
        <f t="shared" si="143"/>
        <v>0</v>
      </c>
      <c r="AW248" s="489">
        <f t="shared" si="194"/>
        <v>4</v>
      </c>
      <c r="AX248" s="924" t="str">
        <f t="shared" si="195"/>
        <v/>
      </c>
      <c r="AY248" s="491">
        <f>(3/4)*$X$207</f>
        <v>3</v>
      </c>
      <c r="AZ248" s="489">
        <f t="shared" si="197"/>
        <v>24</v>
      </c>
      <c r="BA248" s="492">
        <f t="shared" si="198"/>
        <v>0</v>
      </c>
      <c r="BB248" s="493">
        <f t="shared" si="199"/>
        <v>0</v>
      </c>
      <c r="BC248" s="494" t="str">
        <f t="shared" si="144"/>
        <v/>
      </c>
      <c r="BD248" s="595"/>
      <c r="BE248" s="595"/>
      <c r="BF248" s="595"/>
      <c r="BG248" s="595"/>
      <c r="BH248" s="595"/>
      <c r="BI248" s="595"/>
      <c r="BJ248" s="595"/>
      <c r="BK248" s="595"/>
      <c r="BL248" s="595"/>
      <c r="BM248" s="595"/>
      <c r="BN248" s="595"/>
      <c r="BO248" s="651"/>
      <c r="BP248" s="651"/>
      <c r="BQ248" s="651"/>
      <c r="BR248" s="651"/>
      <c r="BS248" s="651"/>
      <c r="BT248" s="651"/>
    </row>
    <row r="249" hidden="1">
      <c r="A249" s="1074"/>
      <c r="B249" s="584"/>
      <c r="C249" s="499" t="s">
        <v>273</v>
      </c>
      <c r="D249" s="844"/>
      <c r="E249" s="845"/>
      <c r="F249" s="1176"/>
      <c r="G249" s="847"/>
      <c r="H249" s="846"/>
      <c r="I249" s="437">
        <v>1.0</v>
      </c>
      <c r="J249" s="954">
        <v>4.0</v>
      </c>
      <c r="K249" s="370">
        <v>95.0</v>
      </c>
      <c r="L249" s="850"/>
      <c r="M249" s="870">
        <v>2.0</v>
      </c>
      <c r="N249" s="849">
        <f t="shared" si="206"/>
        <v>760</v>
      </c>
      <c r="O249" s="590"/>
      <c r="P249" s="939" t="str">
        <f>IFERROR(__xludf.DUMMYFUNCTION("IF(Q249="""","""",
   IF(Q249=0,0,
      IF(ISNUMBER(MATCH(Q249,FILTER(R$222:R$342,T$222:T$342&lt;&gt;0),0)),1,0)
   )
)"),"")</f>
        <v/>
      </c>
      <c r="Q249" s="941"/>
      <c r="R249" s="929" t="s">
        <v>105</v>
      </c>
      <c r="S249" s="930" t="s">
        <v>55</v>
      </c>
      <c r="T249" s="488">
        <f t="shared" si="145"/>
        <v>238.7</v>
      </c>
      <c r="U249" s="489">
        <f t="shared" si="124"/>
        <v>4</v>
      </c>
      <c r="V249" s="490">
        <f t="shared" si="125"/>
        <v>46</v>
      </c>
      <c r="W249" s="491">
        <f>(12/1)*$X$207</f>
        <v>48</v>
      </c>
      <c r="X249" s="489">
        <f t="shared" ref="X249:X250" si="207">W249*W$217</f>
        <v>384</v>
      </c>
      <c r="Y249" s="492">
        <f t="shared" ref="Y249:Y250" si="208">ROUNDUP(T249/X249,2)</f>
        <v>0.63</v>
      </c>
      <c r="Z249" s="493">
        <f t="shared" ref="Z249:Z250" si="209">Y249*V249*U249*W$217</f>
        <v>927.36</v>
      </c>
      <c r="AA249" s="931">
        <f t="shared" ref="AA249:AA250" si="210">iferror(Z249/T249,"")</f>
        <v>3.885043988</v>
      </c>
      <c r="AB249" s="925" t="str">
        <f t="shared" si="138"/>
        <v/>
      </c>
      <c r="AC249" s="595"/>
      <c r="AD249" s="939" t="str">
        <f>IFERROR(__xludf.DUMMYFUNCTION("IF(AE249="""","""",
   IF(AE249=0,0,
      IF(ISNUMBER(MATCH(AE249,FILTER(AF$220:AF$278,AH$220:AH$278&lt;&gt;0),0)),1,0)
   )
)"),"")</f>
        <v/>
      </c>
      <c r="AE249" s="943"/>
      <c r="AF249" s="929" t="s">
        <v>311</v>
      </c>
      <c r="AG249" s="932" t="s">
        <v>41</v>
      </c>
      <c r="AH249" s="488">
        <f t="shared" si="139"/>
        <v>0</v>
      </c>
      <c r="AI249" s="489">
        <f t="shared" si="155"/>
        <v>4</v>
      </c>
      <c r="AJ249" s="490">
        <f t="shared" si="128"/>
        <v>46</v>
      </c>
      <c r="AK249" s="491">
        <f>(50/4)*$X$207</f>
        <v>50</v>
      </c>
      <c r="AL249" s="489">
        <f t="shared" ref="AL249:AL250" si="211">AK249*AK$217</f>
        <v>400</v>
      </c>
      <c r="AM249" s="492">
        <f t="shared" ref="AM249:AM250" si="212">ROUNDUP(AH249/AL249,2)</f>
        <v>0</v>
      </c>
      <c r="AN249" s="493">
        <f t="shared" ref="AN249:AN250" si="213">AM249*AJ249*AI249*AK$217</f>
        <v>0</v>
      </c>
      <c r="AO249" s="494" t="str">
        <f t="shared" si="178"/>
        <v/>
      </c>
      <c r="AP249" s="925" t="str">
        <f t="shared" si="130"/>
        <v/>
      </c>
      <c r="AQ249" s="595"/>
      <c r="AR249" s="939" t="str">
        <f>IFERROR(__xludf.DUMMYFUNCTION("IF(AS249="""","""",
   IF(AS249=0,0,
      IF(ISNUMBER(MATCH(AS249,FILTER(AT$220:AT$258,AV$220:AV$258&lt;&gt;0),0)),1,0)
   )
)"),"")</f>
        <v/>
      </c>
      <c r="AS249" s="943"/>
      <c r="AT249" s="486" t="s">
        <v>367</v>
      </c>
      <c r="AU249" s="487" t="s">
        <v>52</v>
      </c>
      <c r="AV249" s="488">
        <f t="shared" si="143"/>
        <v>0</v>
      </c>
      <c r="AW249" s="489">
        <f t="shared" si="194"/>
        <v>4</v>
      </c>
      <c r="AX249" s="924" t="str">
        <f t="shared" si="195"/>
        <v/>
      </c>
      <c r="AY249" s="491">
        <f>(100/4)*$X$207</f>
        <v>100</v>
      </c>
      <c r="AZ249" s="489">
        <f t="shared" si="197"/>
        <v>800</v>
      </c>
      <c r="BA249" s="492">
        <f t="shared" si="198"/>
        <v>0</v>
      </c>
      <c r="BB249" s="493">
        <f t="shared" si="199"/>
        <v>0</v>
      </c>
      <c r="BC249" s="494" t="str">
        <f t="shared" si="144"/>
        <v/>
      </c>
      <c r="BD249" s="595"/>
      <c r="BE249" s="595"/>
      <c r="BF249" s="595"/>
      <c r="BG249" s="595"/>
      <c r="BH249" s="595"/>
      <c r="BI249" s="595"/>
      <c r="BJ249" s="595"/>
      <c r="BK249" s="595"/>
      <c r="BL249" s="595"/>
      <c r="BM249" s="595"/>
      <c r="BN249" s="595"/>
      <c r="BO249" s="651"/>
      <c r="BP249" s="651"/>
      <c r="BQ249" s="651"/>
      <c r="BR249" s="651"/>
      <c r="BS249" s="651"/>
      <c r="BT249" s="651"/>
    </row>
    <row r="250" hidden="1">
      <c r="A250" s="1074"/>
      <c r="B250" s="12" t="s">
        <v>176</v>
      </c>
      <c r="C250" s="499" t="s">
        <v>274</v>
      </c>
      <c r="D250" s="844"/>
      <c r="E250" s="845"/>
      <c r="F250" s="1176"/>
      <c r="G250" s="847"/>
      <c r="H250" s="846"/>
      <c r="I250" s="437">
        <v>1.0</v>
      </c>
      <c r="J250" s="436">
        <v>2.0</v>
      </c>
      <c r="K250" s="370">
        <v>600.0</v>
      </c>
      <c r="L250" s="850"/>
      <c r="M250" s="401">
        <v>0.0</v>
      </c>
      <c r="N250" s="849">
        <f t="shared" si="206"/>
        <v>0</v>
      </c>
      <c r="O250" s="590"/>
      <c r="P250" s="939" t="str">
        <f>IFERROR(__xludf.DUMMYFUNCTION("IF(Q250="""","""",
   IF(Q250=0,0,
      IF(ISNUMBER(MATCH(Q250,FILTER(R$222:R$342,T$222:T$342&lt;&gt;0),0)),1,0)
   )
)"),"")</f>
        <v/>
      </c>
      <c r="Q250" s="941"/>
      <c r="R250" s="942" t="s">
        <v>594</v>
      </c>
      <c r="S250" s="930" t="s">
        <v>55</v>
      </c>
      <c r="T250" s="488">
        <f t="shared" si="145"/>
        <v>0</v>
      </c>
      <c r="U250" s="489">
        <f t="shared" si="124"/>
        <v>4</v>
      </c>
      <c r="V250" s="490">
        <f t="shared" si="125"/>
        <v>46</v>
      </c>
      <c r="W250" s="491">
        <f>(5/1)*$X$207</f>
        <v>20</v>
      </c>
      <c r="X250" s="489">
        <f t="shared" si="207"/>
        <v>160</v>
      </c>
      <c r="Y250" s="492">
        <f t="shared" si="208"/>
        <v>0</v>
      </c>
      <c r="Z250" s="493">
        <f t="shared" si="209"/>
        <v>0</v>
      </c>
      <c r="AA250" s="931" t="str">
        <f t="shared" si="210"/>
        <v/>
      </c>
      <c r="AB250" s="925" t="str">
        <f t="shared" si="138"/>
        <v/>
      </c>
      <c r="AC250" s="595"/>
      <c r="AD250" s="939" t="str">
        <f>IFERROR(__xludf.DUMMYFUNCTION("IF(AE250="""","""",
   IF(AE250=0,0,
      IF(ISNUMBER(MATCH(AE250,FILTER(AF$220:AF$278,AH$220:AH$278&lt;&gt;0),0)),1,0)
   )
)"),"")</f>
        <v/>
      </c>
      <c r="AE250" s="943"/>
      <c r="AF250" s="929" t="s">
        <v>149</v>
      </c>
      <c r="AG250" s="932" t="s">
        <v>41</v>
      </c>
      <c r="AH250" s="488">
        <f t="shared" si="139"/>
        <v>0</v>
      </c>
      <c r="AI250" s="489">
        <f t="shared" si="155"/>
        <v>4</v>
      </c>
      <c r="AJ250" s="490">
        <f t="shared" si="128"/>
        <v>46</v>
      </c>
      <c r="AK250" s="491">
        <f>(20/4)*$X$207</f>
        <v>20</v>
      </c>
      <c r="AL250" s="489">
        <f t="shared" si="211"/>
        <v>160</v>
      </c>
      <c r="AM250" s="492">
        <f t="shared" si="212"/>
        <v>0</v>
      </c>
      <c r="AN250" s="493">
        <f t="shared" si="213"/>
        <v>0</v>
      </c>
      <c r="AO250" s="494" t="str">
        <f t="shared" si="178"/>
        <v/>
      </c>
      <c r="AP250" s="925" t="str">
        <f t="shared" si="130"/>
        <v/>
      </c>
      <c r="AQ250" s="595"/>
      <c r="AR250" s="939" t="str">
        <f>IFERROR(__xludf.DUMMYFUNCTION("IF(AS250="""","""",
   IF(AS250=0,0,
      IF(ISNUMBER(MATCH(AS250,FILTER(AT$220:AT$258,AV$220:AV$258&lt;&gt;0),0)),1,0)
   )
)"),"")</f>
        <v/>
      </c>
      <c r="AS250" s="943"/>
      <c r="AT250" s="486" t="s">
        <v>369</v>
      </c>
      <c r="AU250" s="487" t="s">
        <v>52</v>
      </c>
      <c r="AV250" s="488">
        <f t="shared" si="143"/>
        <v>0</v>
      </c>
      <c r="AW250" s="935"/>
      <c r="AX250" s="924"/>
      <c r="AY250" s="935"/>
      <c r="AZ250" s="935"/>
      <c r="BA250" s="935"/>
      <c r="BB250" s="936"/>
      <c r="BC250" s="494" t="str">
        <f t="shared" si="144"/>
        <v/>
      </c>
      <c r="BD250" s="595"/>
      <c r="BE250" s="595"/>
      <c r="BF250" s="595"/>
      <c r="BG250" s="595"/>
      <c r="BH250" s="595"/>
      <c r="BI250" s="595"/>
      <c r="BJ250" s="595"/>
      <c r="BK250" s="595"/>
      <c r="BL250" s="595"/>
      <c r="BM250" s="595"/>
      <c r="BN250" s="595"/>
      <c r="BO250" s="651"/>
      <c r="BP250" s="651"/>
      <c r="BQ250" s="651"/>
      <c r="BR250" s="651"/>
      <c r="BS250" s="651"/>
      <c r="BT250" s="651"/>
    </row>
    <row r="251" hidden="1">
      <c r="A251" s="1074"/>
      <c r="B251" s="584"/>
      <c r="C251" s="851"/>
      <c r="D251" s="609"/>
      <c r="E251" s="585"/>
      <c r="F251" s="1075"/>
      <c r="G251" s="587"/>
      <c r="H251" s="586"/>
      <c r="I251" s="443"/>
      <c r="J251" s="443"/>
      <c r="K251" s="349"/>
      <c r="L251" s="588"/>
      <c r="M251" s="588"/>
      <c r="N251" s="833"/>
      <c r="O251" s="590"/>
      <c r="P251" s="939" t="str">
        <f>IFERROR(__xludf.DUMMYFUNCTION("IF(Q251="""","""",
   IF(Q251=0,0,
      IF(ISNUMBER(MATCH(Q251,FILTER(R$222:R$342,T$222:T$342&lt;&gt;0),0)),1,0)
   )
)"),"")</f>
        <v/>
      </c>
      <c r="Q251" s="941"/>
      <c r="R251" s="929" t="s">
        <v>360</v>
      </c>
      <c r="S251" s="930" t="s">
        <v>52</v>
      </c>
      <c r="T251" s="488">
        <f t="shared" si="145"/>
        <v>2713.533805</v>
      </c>
      <c r="U251" s="489">
        <f t="shared" si="124"/>
        <v>4</v>
      </c>
      <c r="V251" s="490">
        <f t="shared" si="125"/>
        <v>46</v>
      </c>
      <c r="W251" s="491"/>
      <c r="X251" s="489"/>
      <c r="Y251" s="492"/>
      <c r="Z251" s="493"/>
      <c r="AA251" s="931"/>
      <c r="AB251" s="925" t="str">
        <f t="shared" si="138"/>
        <v/>
      </c>
      <c r="AC251" s="1178"/>
      <c r="AD251" s="939" t="str">
        <f>IFERROR(__xludf.DUMMYFUNCTION("IF(AE251="""","""",
   IF(AE251=0,0,
      IF(ISNUMBER(MATCH(AE251,FILTER(AF$220:AF$278,AH$220:AH$278&lt;&gt;0),0)),1,0)
   )
)"),"")</f>
        <v/>
      </c>
      <c r="AE251" s="943"/>
      <c r="AF251" s="929" t="s">
        <v>162</v>
      </c>
      <c r="AG251" s="932" t="s">
        <v>52</v>
      </c>
      <c r="AH251" s="488">
        <f t="shared" si="139"/>
        <v>0</v>
      </c>
      <c r="AI251" s="489">
        <f t="shared" si="155"/>
        <v>4</v>
      </c>
      <c r="AJ251" s="490">
        <f t="shared" si="128"/>
        <v>46</v>
      </c>
      <c r="AK251" s="491"/>
      <c r="AL251" s="489"/>
      <c r="AM251" s="492"/>
      <c r="AN251" s="493"/>
      <c r="AO251" s="494"/>
      <c r="AP251" s="925" t="str">
        <f t="shared" si="130"/>
        <v/>
      </c>
      <c r="AQ251" s="595"/>
      <c r="AR251" s="939" t="str">
        <f>IFERROR(__xludf.DUMMYFUNCTION("IF(AS251="""","""",
   IF(AS251=0,0,
      IF(ISNUMBER(MATCH(AS251,FILTER(AT$220:AT$258,AV$220:AV$258&lt;&gt;0),0)),1,0)
   )
)"),"")</f>
        <v/>
      </c>
      <c r="AS251" s="943"/>
      <c r="AT251" s="486" t="s">
        <v>372</v>
      </c>
      <c r="AU251" s="487" t="s">
        <v>55</v>
      </c>
      <c r="AV251" s="488">
        <f t="shared" si="143"/>
        <v>0</v>
      </c>
      <c r="AW251" s="489">
        <f t="shared" ref="AW251:AW258" si="214">$X$207</f>
        <v>4</v>
      </c>
      <c r="AX251" s="924" t="str">
        <f t="shared" ref="AX251:AX258" si="215">AY$210</f>
        <v/>
      </c>
      <c r="AY251" s="491">
        <f>(3/3)*$X$207</f>
        <v>4</v>
      </c>
      <c r="AZ251" s="489">
        <f t="shared" ref="AZ251:AZ258" si="216">AY251*AY$217</f>
        <v>32</v>
      </c>
      <c r="BA251" s="492">
        <f t="shared" ref="BA251:BA258" si="217">ROUNDUP(AV251/AZ251,2)</f>
        <v>0</v>
      </c>
      <c r="BB251" s="493">
        <f t="shared" ref="BB251:BB258" si="218">BA251*AX251*AW251*AY$217</f>
        <v>0</v>
      </c>
      <c r="BC251" s="494" t="str">
        <f t="shared" si="144"/>
        <v/>
      </c>
      <c r="BD251" s="595"/>
      <c r="BE251" s="595"/>
      <c r="BF251" s="595"/>
      <c r="BG251" s="595"/>
      <c r="BH251" s="595"/>
      <c r="BI251" s="595"/>
      <c r="BJ251" s="595"/>
      <c r="BK251" s="595"/>
      <c r="BL251" s="595"/>
      <c r="BM251" s="595"/>
      <c r="BN251" s="595"/>
      <c r="BO251" s="651"/>
      <c r="BP251" s="651"/>
      <c r="BQ251" s="651"/>
      <c r="BR251" s="651"/>
      <c r="BS251" s="651"/>
      <c r="BT251" s="651"/>
    </row>
    <row r="252" hidden="1">
      <c r="A252" s="1074"/>
      <c r="B252" s="584"/>
      <c r="C252" s="499" t="s">
        <v>275</v>
      </c>
      <c r="D252" s="844"/>
      <c r="E252" s="845"/>
      <c r="F252" s="1176"/>
      <c r="G252" s="847"/>
      <c r="H252" s="846"/>
      <c r="I252" s="437">
        <v>2.0</v>
      </c>
      <c r="J252" s="954">
        <v>2.0</v>
      </c>
      <c r="K252" s="370">
        <v>350.0</v>
      </c>
      <c r="L252" s="850"/>
      <c r="M252" s="401">
        <v>0.0</v>
      </c>
      <c r="N252" s="849">
        <f t="shared" ref="N252:N255" si="219">M252*K252*J252*I252</f>
        <v>0</v>
      </c>
      <c r="O252" s="590"/>
      <c r="P252" s="939" t="str">
        <f>IFERROR(__xludf.DUMMYFUNCTION("IF(Q252="""","""",
   IF(Q252=0,0,
      IF(ISNUMBER(MATCH(Q252,FILTER(R$222:R$342,T$222:T$342&lt;&gt;0),0)),1,0)
   )
)"),"")</f>
        <v/>
      </c>
      <c r="Q252" s="941"/>
      <c r="R252" s="929" t="s">
        <v>96</v>
      </c>
      <c r="S252" s="930" t="s">
        <v>55</v>
      </c>
      <c r="T252" s="488">
        <f t="shared" si="145"/>
        <v>290.2262254</v>
      </c>
      <c r="U252" s="489">
        <f t="shared" si="124"/>
        <v>4</v>
      </c>
      <c r="V252" s="490">
        <f t="shared" si="125"/>
        <v>46</v>
      </c>
      <c r="W252" s="491">
        <f>(6/2)*$X$207</f>
        <v>12</v>
      </c>
      <c r="X252" s="489">
        <f>W252*W$217</f>
        <v>96</v>
      </c>
      <c r="Y252" s="492">
        <f>ROUNDUP(T252/X252,2)</f>
        <v>3.03</v>
      </c>
      <c r="Z252" s="493">
        <f>Y252*V252*U252*W$217</f>
        <v>4460.16</v>
      </c>
      <c r="AA252" s="931">
        <f t="shared" ref="AA252:AA254" si="220">iferror(Z252/T252,"")</f>
        <v>15.36787378</v>
      </c>
      <c r="AB252" s="925">
        <f t="shared" si="138"/>
        <v>15</v>
      </c>
      <c r="AC252" s="595"/>
      <c r="AD252" s="939" t="str">
        <f>IFERROR(__xludf.DUMMYFUNCTION("IF(AE252="""","""",
   IF(AE252=0,0,
      IF(ISNUMBER(MATCH(AE252,FILTER(AF$220:AF$278,AH$220:AH$278&lt;&gt;0),0)),1,0)
   )
)"),"")</f>
        <v/>
      </c>
      <c r="AE252" s="943"/>
      <c r="AF252" s="942" t="s">
        <v>595</v>
      </c>
      <c r="AG252" s="932" t="s">
        <v>52</v>
      </c>
      <c r="AH252" s="488">
        <f t="shared" si="139"/>
        <v>0</v>
      </c>
      <c r="AI252" s="489">
        <f t="shared" si="155"/>
        <v>4</v>
      </c>
      <c r="AJ252" s="490">
        <f t="shared" si="128"/>
        <v>46</v>
      </c>
      <c r="AK252" s="491">
        <f t="shared" ref="AK252:AK253" si="221">(30/4)*$X$207</f>
        <v>30</v>
      </c>
      <c r="AL252" s="489">
        <f t="shared" ref="AL252:AL257" si="222">AK252*AK$217</f>
        <v>240</v>
      </c>
      <c r="AM252" s="492">
        <f t="shared" ref="AM252:AM257" si="223">ROUNDUP(AH252/AL252,2)</f>
        <v>0</v>
      </c>
      <c r="AN252" s="493">
        <f t="shared" ref="AN252:AN257" si="224">AM252*AJ252*AI252*AK$217</f>
        <v>0</v>
      </c>
      <c r="AO252" s="494" t="str">
        <f t="shared" ref="AO252:AO261" si="225">iferror(AN252/AH252,"")</f>
        <v/>
      </c>
      <c r="AP252" s="925" t="str">
        <f t="shared" si="130"/>
        <v/>
      </c>
      <c r="AQ252" s="595"/>
      <c r="AR252" s="939" t="str">
        <f>IFERROR(__xludf.DUMMYFUNCTION("IF(AS252="""","""",
   IF(AS252=0,0,
      IF(ISNUMBER(MATCH(AS252,FILTER(AT$220:AT$258,AV$220:AV$258&lt;&gt;0),0)),1,0)
   )
)"),"")</f>
        <v/>
      </c>
      <c r="AS252" s="943"/>
      <c r="AT252" s="486" t="s">
        <v>374</v>
      </c>
      <c r="AU252" s="487" t="s">
        <v>52</v>
      </c>
      <c r="AV252" s="488">
        <f t="shared" si="143"/>
        <v>0</v>
      </c>
      <c r="AW252" s="489">
        <f t="shared" si="214"/>
        <v>4</v>
      </c>
      <c r="AX252" s="924" t="str">
        <f t="shared" si="215"/>
        <v/>
      </c>
      <c r="AY252" s="491">
        <f>(10/1)*$X$207</f>
        <v>40</v>
      </c>
      <c r="AZ252" s="489">
        <f t="shared" si="216"/>
        <v>320</v>
      </c>
      <c r="BA252" s="492">
        <f t="shared" si="217"/>
        <v>0</v>
      </c>
      <c r="BB252" s="493">
        <f t="shared" si="218"/>
        <v>0</v>
      </c>
      <c r="BC252" s="494" t="str">
        <f t="shared" si="144"/>
        <v/>
      </c>
      <c r="BD252" s="595"/>
      <c r="BE252" s="595"/>
      <c r="BF252" s="595"/>
      <c r="BG252" s="595"/>
      <c r="BH252" s="595"/>
      <c r="BI252" s="595"/>
      <c r="BJ252" s="595"/>
      <c r="BK252" s="595"/>
      <c r="BL252" s="595"/>
      <c r="BM252" s="595"/>
      <c r="BN252" s="595"/>
      <c r="BO252" s="651"/>
      <c r="BP252" s="651"/>
      <c r="BQ252" s="651"/>
      <c r="BR252" s="651"/>
      <c r="BS252" s="651"/>
      <c r="BT252" s="651"/>
    </row>
    <row r="253" hidden="1">
      <c r="A253" s="1074"/>
      <c r="B253" s="584"/>
      <c r="C253" s="499" t="s">
        <v>272</v>
      </c>
      <c r="D253" s="844"/>
      <c r="E253" s="845"/>
      <c r="F253" s="1176"/>
      <c r="G253" s="847"/>
      <c r="H253" s="846"/>
      <c r="I253" s="437">
        <v>1.0</v>
      </c>
      <c r="J253" s="504">
        <v>10.0</v>
      </c>
      <c r="K253" s="370">
        <v>350.0</v>
      </c>
      <c r="L253" s="850"/>
      <c r="M253" s="401">
        <v>0.0</v>
      </c>
      <c r="N253" s="849">
        <f t="shared" si="219"/>
        <v>0</v>
      </c>
      <c r="O253" s="590"/>
      <c r="P253" s="939" t="str">
        <f>IFERROR(__xludf.DUMMYFUNCTION("IF(Q253="""","""",
   IF(Q253=0,0,
      IF(ISNUMBER(MATCH(Q253,FILTER(R$222:R$342,T$222:T$342&lt;&gt;0),0)),1,0)
   )
)"),"")</f>
        <v/>
      </c>
      <c r="Q253" s="941"/>
      <c r="R253" s="942" t="s">
        <v>596</v>
      </c>
      <c r="S253" s="930" t="s">
        <v>52</v>
      </c>
      <c r="T253" s="488">
        <f t="shared" si="145"/>
        <v>0</v>
      </c>
      <c r="U253" s="489">
        <f t="shared" si="124"/>
        <v>4</v>
      </c>
      <c r="V253" s="490">
        <f t="shared" si="125"/>
        <v>46</v>
      </c>
      <c r="W253" s="491"/>
      <c r="X253" s="489"/>
      <c r="Y253" s="492"/>
      <c r="Z253" s="493"/>
      <c r="AA253" s="931" t="str">
        <f t="shared" si="220"/>
        <v/>
      </c>
      <c r="AB253" s="925" t="str">
        <f t="shared" si="138"/>
        <v/>
      </c>
      <c r="AC253" s="595"/>
      <c r="AD253" s="939" t="str">
        <f>IFERROR(__xludf.DUMMYFUNCTION("IF(AE253="""","""",
   IF(AE253=0,0,
      IF(ISNUMBER(MATCH(AE253,FILTER(AF$220:AF$278,AH$220:AH$278&lt;&gt;0),0)),1,0)
   )
)"),"")</f>
        <v/>
      </c>
      <c r="AE253" s="943"/>
      <c r="AF253" s="929" t="s">
        <v>597</v>
      </c>
      <c r="AG253" s="932" t="s">
        <v>52</v>
      </c>
      <c r="AH253" s="488">
        <f t="shared" si="139"/>
        <v>0</v>
      </c>
      <c r="AI253" s="489">
        <f t="shared" si="155"/>
        <v>4</v>
      </c>
      <c r="AJ253" s="490">
        <f t="shared" si="128"/>
        <v>46</v>
      </c>
      <c r="AK253" s="491">
        <f t="shared" si="221"/>
        <v>30</v>
      </c>
      <c r="AL253" s="489">
        <f t="shared" si="222"/>
        <v>240</v>
      </c>
      <c r="AM253" s="492">
        <f t="shared" si="223"/>
        <v>0</v>
      </c>
      <c r="AN253" s="493">
        <f t="shared" si="224"/>
        <v>0</v>
      </c>
      <c r="AO253" s="494" t="str">
        <f t="shared" si="225"/>
        <v/>
      </c>
      <c r="AP253" s="925" t="str">
        <f t="shared" si="130"/>
        <v/>
      </c>
      <c r="AQ253" s="595"/>
      <c r="AR253" s="939" t="str">
        <f>IFERROR(__xludf.DUMMYFUNCTION("IF(AS253="""","""",
   IF(AS253=0,0,
      IF(ISNUMBER(MATCH(AS253,FILTER(AT$220:AT$258,AV$220:AV$258&lt;&gt;0),0)),1,0)
   )
)"),"")</f>
        <v/>
      </c>
      <c r="AS253" s="943"/>
      <c r="AT253" s="955" t="str">
        <f>'Audit Check'!S36</f>
        <v/>
      </c>
      <c r="AU253" s="924"/>
      <c r="AV253" s="488">
        <f t="shared" si="143"/>
        <v>0</v>
      </c>
      <c r="AW253" s="489">
        <f t="shared" si="214"/>
        <v>4</v>
      </c>
      <c r="AX253" s="924" t="str">
        <f t="shared" si="215"/>
        <v/>
      </c>
      <c r="AY253" s="491">
        <f t="shared" ref="AY253:AY258" si="226">(30/4)*$X$207</f>
        <v>30</v>
      </c>
      <c r="AZ253" s="489">
        <f t="shared" si="216"/>
        <v>240</v>
      </c>
      <c r="BA253" s="492">
        <f t="shared" si="217"/>
        <v>0</v>
      </c>
      <c r="BB253" s="493">
        <f t="shared" si="218"/>
        <v>0</v>
      </c>
      <c r="BC253" s="494" t="str">
        <f t="shared" si="144"/>
        <v/>
      </c>
      <c r="BD253" s="595"/>
      <c r="BE253" s="595"/>
      <c r="BF253" s="595"/>
      <c r="BG253" s="595"/>
      <c r="BH253" s="595"/>
      <c r="BI253" s="595"/>
      <c r="BJ253" s="595"/>
      <c r="BK253" s="595"/>
      <c r="BL253" s="595"/>
      <c r="BM253" s="595"/>
      <c r="BN253" s="595"/>
      <c r="BO253" s="651"/>
      <c r="BP253" s="651"/>
      <c r="BQ253" s="651"/>
      <c r="BR253" s="651"/>
      <c r="BS253" s="651"/>
      <c r="BT253" s="651"/>
    </row>
    <row r="254" hidden="1">
      <c r="A254" s="1074"/>
      <c r="B254" s="584"/>
      <c r="C254" s="499" t="s">
        <v>273</v>
      </c>
      <c r="D254" s="844"/>
      <c r="E254" s="845"/>
      <c r="F254" s="1176"/>
      <c r="G254" s="847"/>
      <c r="H254" s="846"/>
      <c r="I254" s="437">
        <v>1.0</v>
      </c>
      <c r="J254" s="504">
        <f>J253</f>
        <v>10</v>
      </c>
      <c r="K254" s="370">
        <v>95.0</v>
      </c>
      <c r="L254" s="850"/>
      <c r="M254" s="401">
        <v>0.0</v>
      </c>
      <c r="N254" s="849">
        <f t="shared" si="219"/>
        <v>0</v>
      </c>
      <c r="O254" s="590"/>
      <c r="P254" s="939" t="str">
        <f>IFERROR(__xludf.DUMMYFUNCTION("IF(Q254="""","""",
   IF(Q254=0,0,
      IF(ISNUMBER(MATCH(Q254,FILTER(R$222:R$342,T$222:T$342&lt;&gt;0),0)),1,0)
   )
)"),"")</f>
        <v/>
      </c>
      <c r="Q254" s="941"/>
      <c r="R254" s="942" t="s">
        <v>598</v>
      </c>
      <c r="S254" s="930" t="s">
        <v>55</v>
      </c>
      <c r="T254" s="488">
        <f t="shared" si="145"/>
        <v>69.2820323</v>
      </c>
      <c r="U254" s="489">
        <f t="shared" si="124"/>
        <v>4</v>
      </c>
      <c r="V254" s="490">
        <f t="shared" si="125"/>
        <v>46</v>
      </c>
      <c r="W254" s="491">
        <f>(5/1)*$X$207</f>
        <v>20</v>
      </c>
      <c r="X254" s="489">
        <f>W254*W$217</f>
        <v>160</v>
      </c>
      <c r="Y254" s="492">
        <f>ROUNDUP(T254/X254,2)</f>
        <v>0.44</v>
      </c>
      <c r="Z254" s="493">
        <f>Y254*V254*U254*W$217</f>
        <v>647.68</v>
      </c>
      <c r="AA254" s="931">
        <f t="shared" si="220"/>
        <v>9.348455559</v>
      </c>
      <c r="AB254" s="925">
        <f t="shared" si="138"/>
        <v>1</v>
      </c>
      <c r="AC254" s="595"/>
      <c r="AD254" s="939" t="str">
        <f>IFERROR(__xludf.DUMMYFUNCTION("IF(AE254="""","""",
   IF(AE254=0,0,
      IF(ISNUMBER(MATCH(AE254,FILTER(AF$220:AF$278,AH$220:AH$278&lt;&gt;0),0)),1,0)
   )
)"),"")</f>
        <v/>
      </c>
      <c r="AE254" s="943"/>
      <c r="AF254" s="929" t="s">
        <v>168</v>
      </c>
      <c r="AG254" s="932" t="s">
        <v>55</v>
      </c>
      <c r="AH254" s="488">
        <f t="shared" si="139"/>
        <v>0</v>
      </c>
      <c r="AI254" s="489">
        <f t="shared" si="155"/>
        <v>4</v>
      </c>
      <c r="AJ254" s="490">
        <f t="shared" si="128"/>
        <v>46</v>
      </c>
      <c r="AK254" s="491">
        <f>(30/2)*$X$207</f>
        <v>60</v>
      </c>
      <c r="AL254" s="489">
        <f t="shared" si="222"/>
        <v>480</v>
      </c>
      <c r="AM254" s="492">
        <f t="shared" si="223"/>
        <v>0</v>
      </c>
      <c r="AN254" s="493">
        <f t="shared" si="224"/>
        <v>0</v>
      </c>
      <c r="AO254" s="494" t="str">
        <f t="shared" si="225"/>
        <v/>
      </c>
      <c r="AP254" s="925" t="str">
        <f t="shared" si="130"/>
        <v/>
      </c>
      <c r="AQ254" s="595"/>
      <c r="AR254" s="939" t="str">
        <f>IFERROR(__xludf.DUMMYFUNCTION("IF(AS254="""","""",
   IF(AS254=0,0,
      IF(ISNUMBER(MATCH(AS254,FILTER(AT$220:AT$258,AV$220:AV$258&lt;&gt;0),0)),1,0)
   )
)"),"")</f>
        <v/>
      </c>
      <c r="AS254" s="943"/>
      <c r="AT254" s="955" t="str">
        <f>'Audit Check'!S37</f>
        <v/>
      </c>
      <c r="AU254" s="924"/>
      <c r="AV254" s="488">
        <f t="shared" si="143"/>
        <v>0</v>
      </c>
      <c r="AW254" s="489">
        <f t="shared" si="214"/>
        <v>4</v>
      </c>
      <c r="AX254" s="924" t="str">
        <f t="shared" si="215"/>
        <v/>
      </c>
      <c r="AY254" s="491">
        <f t="shared" si="226"/>
        <v>30</v>
      </c>
      <c r="AZ254" s="489">
        <f t="shared" si="216"/>
        <v>240</v>
      </c>
      <c r="BA254" s="492">
        <f t="shared" si="217"/>
        <v>0</v>
      </c>
      <c r="BB254" s="493">
        <f t="shared" si="218"/>
        <v>0</v>
      </c>
      <c r="BC254" s="494" t="str">
        <f t="shared" si="144"/>
        <v/>
      </c>
      <c r="BD254" s="595"/>
      <c r="BE254" s="595"/>
      <c r="BF254" s="595"/>
      <c r="BG254" s="595"/>
      <c r="BH254" s="595"/>
      <c r="BI254" s="595"/>
      <c r="BJ254" s="595"/>
      <c r="BK254" s="595"/>
      <c r="BL254" s="595"/>
      <c r="BM254" s="595"/>
      <c r="BN254" s="595"/>
      <c r="BO254" s="651"/>
      <c r="BP254" s="651"/>
      <c r="BQ254" s="651"/>
      <c r="BR254" s="651"/>
      <c r="BS254" s="651"/>
      <c r="BT254" s="651"/>
    </row>
    <row r="255" hidden="1">
      <c r="A255" s="1074"/>
      <c r="B255" s="584"/>
      <c r="C255" s="499" t="s">
        <v>274</v>
      </c>
      <c r="D255" s="844"/>
      <c r="E255" s="845"/>
      <c r="F255" s="1176"/>
      <c r="G255" s="847"/>
      <c r="H255" s="846"/>
      <c r="I255" s="437">
        <v>1.0</v>
      </c>
      <c r="J255" s="436">
        <v>2.0</v>
      </c>
      <c r="K255" s="370">
        <v>600.0</v>
      </c>
      <c r="L255" s="850"/>
      <c r="M255" s="401">
        <v>0.0</v>
      </c>
      <c r="N255" s="849">
        <f t="shared" si="219"/>
        <v>0</v>
      </c>
      <c r="O255" s="590"/>
      <c r="P255" s="939" t="str">
        <f>IFERROR(__xludf.DUMMYFUNCTION("IF(Q255="""","""",
   IF(Q255=0,0,
      IF(ISNUMBER(MATCH(Q255,FILTER(R$222:R$342,T$222:T$342&lt;&gt;0),0)),1,0)
   )
)"),"")</f>
        <v/>
      </c>
      <c r="Q255" s="941"/>
      <c r="R255" s="929" t="s">
        <v>103</v>
      </c>
      <c r="S255" s="930" t="s">
        <v>52</v>
      </c>
      <c r="T255" s="488">
        <f t="shared" si="145"/>
        <v>869.6430225</v>
      </c>
      <c r="U255" s="489">
        <f t="shared" si="124"/>
        <v>4</v>
      </c>
      <c r="V255" s="490">
        <f t="shared" si="125"/>
        <v>46</v>
      </c>
      <c r="W255" s="491"/>
      <c r="X255" s="489"/>
      <c r="Y255" s="492"/>
      <c r="Z255" s="493"/>
      <c r="AA255" s="931"/>
      <c r="AB255" s="925" t="str">
        <f t="shared" si="138"/>
        <v/>
      </c>
      <c r="AC255" s="595"/>
      <c r="AD255" s="939" t="str">
        <f>IFERROR(__xludf.DUMMYFUNCTION("IF(AE255="""","""",
   IF(AE255=0,0,
      IF(ISNUMBER(MATCH(AE255,FILTER(AF$220:AF$278,AH$220:AH$278&lt;&gt;0),0)),1,0)
   )
)"),"")</f>
        <v/>
      </c>
      <c r="AE255" s="943"/>
      <c r="AF255" s="929" t="s">
        <v>385</v>
      </c>
      <c r="AG255" s="932" t="s">
        <v>41</v>
      </c>
      <c r="AH255" s="488">
        <f t="shared" si="139"/>
        <v>0</v>
      </c>
      <c r="AI255" s="489">
        <f t="shared" si="155"/>
        <v>4</v>
      </c>
      <c r="AJ255" s="490">
        <f t="shared" si="128"/>
        <v>46</v>
      </c>
      <c r="AK255" s="491">
        <f t="shared" ref="AK255:AK257" si="227">(30/4)*$X$207</f>
        <v>30</v>
      </c>
      <c r="AL255" s="489">
        <f t="shared" si="222"/>
        <v>240</v>
      </c>
      <c r="AM255" s="492">
        <f t="shared" si="223"/>
        <v>0</v>
      </c>
      <c r="AN255" s="493">
        <f t="shared" si="224"/>
        <v>0</v>
      </c>
      <c r="AO255" s="494" t="str">
        <f t="shared" si="225"/>
        <v/>
      </c>
      <c r="AP255" s="925" t="str">
        <f t="shared" si="130"/>
        <v/>
      </c>
      <c r="AQ255" s="595"/>
      <c r="AR255" s="939" t="str">
        <f>IFERROR(__xludf.DUMMYFUNCTION("IF(AS255="""","""",
   IF(AS255=0,0,
      IF(ISNUMBER(MATCH(AS255,FILTER(AT$220:AT$258,AV$220:AV$258&lt;&gt;0),0)),1,0)
   )
)"),"")</f>
        <v/>
      </c>
      <c r="AS255" s="943"/>
      <c r="AT255" s="955" t="str">
        <f>'Audit Check'!S38</f>
        <v/>
      </c>
      <c r="AU255" s="924"/>
      <c r="AV255" s="488">
        <f t="shared" si="143"/>
        <v>0</v>
      </c>
      <c r="AW255" s="489">
        <f t="shared" si="214"/>
        <v>4</v>
      </c>
      <c r="AX255" s="924" t="str">
        <f t="shared" si="215"/>
        <v/>
      </c>
      <c r="AY255" s="491">
        <f t="shared" si="226"/>
        <v>30</v>
      </c>
      <c r="AZ255" s="489">
        <f t="shared" si="216"/>
        <v>240</v>
      </c>
      <c r="BA255" s="492">
        <f t="shared" si="217"/>
        <v>0</v>
      </c>
      <c r="BB255" s="493">
        <f t="shared" si="218"/>
        <v>0</v>
      </c>
      <c r="BC255" s="494" t="str">
        <f t="shared" si="144"/>
        <v/>
      </c>
      <c r="BD255" s="595"/>
      <c r="BE255" s="595"/>
      <c r="BF255" s="595"/>
      <c r="BG255" s="595"/>
      <c r="BH255" s="595"/>
      <c r="BI255" s="595"/>
      <c r="BJ255" s="595"/>
      <c r="BK255" s="595"/>
      <c r="BL255" s="595"/>
      <c r="BM255" s="595"/>
      <c r="BN255" s="595"/>
      <c r="BO255" s="651"/>
      <c r="BP255" s="651"/>
      <c r="BQ255" s="651"/>
      <c r="BR255" s="651"/>
      <c r="BS255" s="651"/>
      <c r="BT255" s="651"/>
    </row>
    <row r="256" hidden="1">
      <c r="A256" s="1074"/>
      <c r="B256" s="584"/>
      <c r="C256" s="851"/>
      <c r="D256" s="609"/>
      <c r="E256" s="585"/>
      <c r="F256" s="1075"/>
      <c r="G256" s="587"/>
      <c r="H256" s="586"/>
      <c r="I256" s="584"/>
      <c r="J256" s="584"/>
      <c r="K256" s="586"/>
      <c r="L256" s="588"/>
      <c r="M256" s="588"/>
      <c r="N256" s="833"/>
      <c r="O256" s="590"/>
      <c r="P256" s="939" t="str">
        <f>IFERROR(__xludf.DUMMYFUNCTION("IF(Q256="""","""",
   IF(Q256=0,0,
      IF(ISNUMBER(MATCH(Q256,FILTER(R$222:R$342,T$222:T$342&lt;&gt;0),0)),1,0)
   )
)"),"")</f>
        <v/>
      </c>
      <c r="Q256" s="941"/>
      <c r="R256" s="942" t="s">
        <v>599</v>
      </c>
      <c r="S256" s="930" t="s">
        <v>52</v>
      </c>
      <c r="T256" s="488">
        <f t="shared" si="145"/>
        <v>0</v>
      </c>
      <c r="U256" s="489">
        <f t="shared" si="124"/>
        <v>4</v>
      </c>
      <c r="V256" s="490">
        <f t="shared" si="125"/>
        <v>46</v>
      </c>
      <c r="W256" s="491">
        <f t="shared" ref="W256:W257" si="228">(5/1)*$X$207</f>
        <v>20</v>
      </c>
      <c r="X256" s="489">
        <f t="shared" ref="X256:X260" si="229">W256*W$217</f>
        <v>160</v>
      </c>
      <c r="Y256" s="492">
        <f t="shared" ref="Y256:Y260" si="230">ROUNDUP(T256/X256,2)</f>
        <v>0</v>
      </c>
      <c r="Z256" s="493">
        <f t="shared" ref="Z256:Z260" si="231">Y256*V256*U256*W$217</f>
        <v>0</v>
      </c>
      <c r="AA256" s="931"/>
      <c r="AB256" s="925" t="str">
        <f t="shared" si="138"/>
        <v/>
      </c>
      <c r="AC256" s="595"/>
      <c r="AD256" s="939" t="str">
        <f>IFERROR(__xludf.DUMMYFUNCTION("IF(AE256="""","""",
   IF(AE256=0,0,
      IF(ISNUMBER(MATCH(AE256,FILTER(AF$220:AF$278,AH$220:AH$278&lt;&gt;0),0)),1,0)
   )
)"),"")</f>
        <v/>
      </c>
      <c r="AE256" s="943"/>
      <c r="AF256" s="929" t="s">
        <v>386</v>
      </c>
      <c r="AG256" s="932" t="s">
        <v>52</v>
      </c>
      <c r="AH256" s="488">
        <f t="shared" si="139"/>
        <v>0</v>
      </c>
      <c r="AI256" s="489">
        <f t="shared" si="155"/>
        <v>4</v>
      </c>
      <c r="AJ256" s="490">
        <f t="shared" si="128"/>
        <v>46</v>
      </c>
      <c r="AK256" s="491">
        <f t="shared" si="227"/>
        <v>30</v>
      </c>
      <c r="AL256" s="489">
        <f t="shared" si="222"/>
        <v>240</v>
      </c>
      <c r="AM256" s="492">
        <f t="shared" si="223"/>
        <v>0</v>
      </c>
      <c r="AN256" s="493">
        <f t="shared" si="224"/>
        <v>0</v>
      </c>
      <c r="AO256" s="494" t="str">
        <f t="shared" si="225"/>
        <v/>
      </c>
      <c r="AP256" s="925" t="str">
        <f t="shared" si="130"/>
        <v/>
      </c>
      <c r="AQ256" s="595"/>
      <c r="AR256" s="939" t="str">
        <f>IFERROR(__xludf.DUMMYFUNCTION("IF(AS256="""","""",
   IF(AS256=0,0,
      IF(ISNUMBER(MATCH(AS256,FILTER(AT$220:AT$258,AV$220:AV$258&lt;&gt;0),0)),1,0)
   )
)"),"")</f>
        <v/>
      </c>
      <c r="AS256" s="943"/>
      <c r="AT256" s="955" t="str">
        <f>'Audit Check'!S39</f>
        <v/>
      </c>
      <c r="AU256" s="924"/>
      <c r="AV256" s="488">
        <f t="shared" si="143"/>
        <v>0</v>
      </c>
      <c r="AW256" s="489">
        <f t="shared" si="214"/>
        <v>4</v>
      </c>
      <c r="AX256" s="924" t="str">
        <f t="shared" si="215"/>
        <v/>
      </c>
      <c r="AY256" s="491">
        <f t="shared" si="226"/>
        <v>30</v>
      </c>
      <c r="AZ256" s="489">
        <f t="shared" si="216"/>
        <v>240</v>
      </c>
      <c r="BA256" s="492">
        <f t="shared" si="217"/>
        <v>0</v>
      </c>
      <c r="BB256" s="493">
        <f t="shared" si="218"/>
        <v>0</v>
      </c>
      <c r="BC256" s="494" t="str">
        <f t="shared" si="144"/>
        <v/>
      </c>
      <c r="BD256" s="595"/>
      <c r="BE256" s="595"/>
      <c r="BF256" s="595"/>
      <c r="BG256" s="595"/>
      <c r="BH256" s="595"/>
      <c r="BI256" s="595"/>
      <c r="BJ256" s="595"/>
      <c r="BK256" s="595"/>
      <c r="BL256" s="595"/>
      <c r="BM256" s="595"/>
      <c r="BN256" s="595"/>
      <c r="BO256" s="651"/>
      <c r="BP256" s="651"/>
      <c r="BQ256" s="651"/>
      <c r="BR256" s="651"/>
      <c r="BS256" s="651"/>
      <c r="BT256" s="651"/>
    </row>
    <row r="257" hidden="1">
      <c r="A257" s="1074"/>
      <c r="B257" s="584"/>
      <c r="C257" s="329" t="s">
        <v>276</v>
      </c>
      <c r="D257" s="821"/>
      <c r="E257" s="822"/>
      <c r="F257" s="1175"/>
      <c r="G257" s="824"/>
      <c r="H257" s="823"/>
      <c r="I257" s="333" t="s">
        <v>18</v>
      </c>
      <c r="J257" s="334" t="s">
        <v>15</v>
      </c>
      <c r="K257" s="335" t="s">
        <v>26</v>
      </c>
      <c r="L257" s="878"/>
      <c r="M257" s="878"/>
      <c r="N257" s="857">
        <f>SUM(N259:N279)</f>
        <v>0</v>
      </c>
      <c r="O257" s="590"/>
      <c r="P257" s="939" t="str">
        <f>IFERROR(__xludf.DUMMYFUNCTION("IF(Q257="""","""",
   IF(Q257=0,0,
      IF(ISNUMBER(MATCH(Q257,FILTER(R$222:R$342,T$222:T$342&lt;&gt;0),0)),1,0)
   )
)"),"")</f>
        <v/>
      </c>
      <c r="Q257" s="941"/>
      <c r="R257" s="942" t="s">
        <v>600</v>
      </c>
      <c r="S257" s="930" t="s">
        <v>52</v>
      </c>
      <c r="T257" s="488">
        <f t="shared" si="145"/>
        <v>0</v>
      </c>
      <c r="U257" s="489">
        <f t="shared" si="124"/>
        <v>4</v>
      </c>
      <c r="V257" s="490">
        <f t="shared" si="125"/>
        <v>46</v>
      </c>
      <c r="W257" s="491">
        <f t="shared" si="228"/>
        <v>20</v>
      </c>
      <c r="X257" s="489">
        <f t="shared" si="229"/>
        <v>160</v>
      </c>
      <c r="Y257" s="492">
        <f t="shared" si="230"/>
        <v>0</v>
      </c>
      <c r="Z257" s="493">
        <f t="shared" si="231"/>
        <v>0</v>
      </c>
      <c r="AA257" s="931"/>
      <c r="AB257" s="925" t="str">
        <f t="shared" si="138"/>
        <v/>
      </c>
      <c r="AC257" s="595"/>
      <c r="AD257" s="939" t="str">
        <f>IFERROR(__xludf.DUMMYFUNCTION("IF(AE257="""","""",
   IF(AE257=0,0,
      IF(ISNUMBER(MATCH(AE257,FILTER(AF$220:AF$278,AH$220:AH$278&lt;&gt;0),0)),1,0)
   )
)"),"")</f>
        <v/>
      </c>
      <c r="AE257" s="943"/>
      <c r="AF257" s="929" t="s">
        <v>387</v>
      </c>
      <c r="AG257" s="932" t="s">
        <v>52</v>
      </c>
      <c r="AH257" s="488">
        <f t="shared" si="139"/>
        <v>0</v>
      </c>
      <c r="AI257" s="489">
        <f t="shared" si="155"/>
        <v>4</v>
      </c>
      <c r="AJ257" s="490">
        <f t="shared" si="128"/>
        <v>46</v>
      </c>
      <c r="AK257" s="491">
        <f t="shared" si="227"/>
        <v>30</v>
      </c>
      <c r="AL257" s="489">
        <f t="shared" si="222"/>
        <v>240</v>
      </c>
      <c r="AM257" s="492">
        <f t="shared" si="223"/>
        <v>0</v>
      </c>
      <c r="AN257" s="493">
        <f t="shared" si="224"/>
        <v>0</v>
      </c>
      <c r="AO257" s="494" t="str">
        <f t="shared" si="225"/>
        <v/>
      </c>
      <c r="AP257" s="925" t="str">
        <f t="shared" si="130"/>
        <v/>
      </c>
      <c r="AQ257" s="595"/>
      <c r="AR257" s="939" t="str">
        <f>IFERROR(__xludf.DUMMYFUNCTION("IF(AS257="""","""",
   IF(AS257=0,0,
      IF(ISNUMBER(MATCH(AS257,FILTER(AT$220:AT$258,AV$220:AV$258&lt;&gt;0),0)),1,0)
   )
)"),"")</f>
        <v/>
      </c>
      <c r="AS257" s="943"/>
      <c r="AT257" s="955" t="str">
        <f>'Audit Check'!S40</f>
        <v/>
      </c>
      <c r="AU257" s="924"/>
      <c r="AV257" s="488">
        <f t="shared" si="143"/>
        <v>0</v>
      </c>
      <c r="AW257" s="489">
        <f t="shared" si="214"/>
        <v>4</v>
      </c>
      <c r="AX257" s="924" t="str">
        <f t="shared" si="215"/>
        <v/>
      </c>
      <c r="AY257" s="491">
        <f t="shared" si="226"/>
        <v>30</v>
      </c>
      <c r="AZ257" s="489">
        <f t="shared" si="216"/>
        <v>240</v>
      </c>
      <c r="BA257" s="492">
        <f t="shared" si="217"/>
        <v>0</v>
      </c>
      <c r="BB257" s="493">
        <f t="shared" si="218"/>
        <v>0</v>
      </c>
      <c r="BC257" s="494" t="str">
        <f t="shared" si="144"/>
        <v/>
      </c>
      <c r="BD257" s="595"/>
      <c r="BE257" s="595"/>
      <c r="BF257" s="595"/>
      <c r="BG257" s="595"/>
      <c r="BH257" s="595"/>
      <c r="BI257" s="595"/>
      <c r="BJ257" s="595"/>
      <c r="BK257" s="595"/>
      <c r="BL257" s="595"/>
      <c r="BM257" s="595"/>
      <c r="BN257" s="595"/>
      <c r="BO257" s="651"/>
      <c r="BP257" s="651"/>
      <c r="BQ257" s="651"/>
      <c r="BR257" s="651"/>
      <c r="BS257" s="651"/>
      <c r="BT257" s="651"/>
    </row>
    <row r="258" hidden="1">
      <c r="A258" s="1074"/>
      <c r="B258" s="584"/>
      <c r="C258" s="510" t="s">
        <v>277</v>
      </c>
      <c r="D258" s="609"/>
      <c r="E258" s="585"/>
      <c r="F258" s="1075"/>
      <c r="G258" s="587"/>
      <c r="H258" s="586"/>
      <c r="I258" s="820"/>
      <c r="J258" s="595"/>
      <c r="K258" s="383"/>
      <c r="L258" s="588"/>
      <c r="M258" s="588"/>
      <c r="N258" s="833"/>
      <c r="O258" s="590"/>
      <c r="P258" s="939" t="str">
        <f>IFERROR(__xludf.DUMMYFUNCTION("IF(Q258="""","""",
   IF(Q258=0,0,
      IF(ISNUMBER(MATCH(Q258,FILTER(R$222:R$342,T$222:T$342&lt;&gt;0),0)),1,0)
   )
)"),"")</f>
        <v/>
      </c>
      <c r="Q258" s="941"/>
      <c r="R258" s="929" t="s">
        <v>370</v>
      </c>
      <c r="S258" s="930" t="s">
        <v>41</v>
      </c>
      <c r="T258" s="488">
        <f t="shared" si="145"/>
        <v>0</v>
      </c>
      <c r="U258" s="489">
        <f t="shared" si="124"/>
        <v>4</v>
      </c>
      <c r="V258" s="490">
        <f t="shared" si="125"/>
        <v>46</v>
      </c>
      <c r="W258" s="491">
        <f t="shared" ref="W258:W259" si="232">(15/1)*$X$207</f>
        <v>60</v>
      </c>
      <c r="X258" s="489">
        <f t="shared" si="229"/>
        <v>480</v>
      </c>
      <c r="Y258" s="492">
        <f t="shared" si="230"/>
        <v>0</v>
      </c>
      <c r="Z258" s="493">
        <f t="shared" si="231"/>
        <v>0</v>
      </c>
      <c r="AA258" s="931" t="str">
        <f t="shared" ref="AA258:AA261" si="233">iferror(Z258/T258,"")</f>
        <v/>
      </c>
      <c r="AB258" s="925" t="str">
        <f t="shared" si="138"/>
        <v/>
      </c>
      <c r="AC258" s="595"/>
      <c r="AD258" s="939" t="str">
        <f>IFERROR(__xludf.DUMMYFUNCTION("IF(AE258="""","""",
   IF(AE258=0,0,
      IF(ISNUMBER(MATCH(AE258,FILTER(AF$220:AF$278,AH$220:AH$278&lt;&gt;0),0)),1,0)
   )
)"),"")</f>
        <v/>
      </c>
      <c r="AE258" s="943"/>
      <c r="AF258" s="929" t="s">
        <v>346</v>
      </c>
      <c r="AG258" s="932" t="s">
        <v>52</v>
      </c>
      <c r="AH258" s="488">
        <f t="shared" si="139"/>
        <v>0</v>
      </c>
      <c r="AI258" s="935"/>
      <c r="AJ258" s="490">
        <f t="shared" si="128"/>
        <v>46</v>
      </c>
      <c r="AK258" s="935"/>
      <c r="AL258" s="935"/>
      <c r="AM258" s="935"/>
      <c r="AN258" s="936"/>
      <c r="AO258" s="494" t="str">
        <f t="shared" si="225"/>
        <v/>
      </c>
      <c r="AP258" s="925" t="str">
        <f t="shared" si="130"/>
        <v/>
      </c>
      <c r="AQ258" s="595"/>
      <c r="AR258" s="939" t="str">
        <f>IFERROR(__xludf.DUMMYFUNCTION("IF(AS258="""","""",
   IF(AS258=0,0,
      IF(ISNUMBER(MATCH(AS258,FILTER(AT$220:AT$258,AV$220:AV$258&lt;&gt;0),0)),1,0)
   )
)"),"")</f>
        <v/>
      </c>
      <c r="AS258" s="956"/>
      <c r="AT258" s="957" t="str">
        <f>'Audit Check'!S83</f>
        <v/>
      </c>
      <c r="AU258" s="924"/>
      <c r="AV258" s="488">
        <f t="shared" si="143"/>
        <v>0</v>
      </c>
      <c r="AW258" s="489">
        <f t="shared" si="214"/>
        <v>4</v>
      </c>
      <c r="AX258" s="924" t="str">
        <f t="shared" si="215"/>
        <v/>
      </c>
      <c r="AY258" s="491">
        <f t="shared" si="226"/>
        <v>30</v>
      </c>
      <c r="AZ258" s="489">
        <f t="shared" si="216"/>
        <v>240</v>
      </c>
      <c r="BA258" s="492">
        <f t="shared" si="217"/>
        <v>0</v>
      </c>
      <c r="BB258" s="493">
        <f t="shared" si="218"/>
        <v>0</v>
      </c>
      <c r="BC258" s="494" t="str">
        <f t="shared" si="144"/>
        <v/>
      </c>
      <c r="BD258" s="595"/>
      <c r="BE258" s="595"/>
      <c r="BF258" s="595"/>
      <c r="BG258" s="595"/>
      <c r="BH258" s="595"/>
      <c r="BI258" s="595"/>
      <c r="BJ258" s="595"/>
      <c r="BK258" s="595"/>
      <c r="BL258" s="595"/>
      <c r="BM258" s="595"/>
      <c r="BN258" s="595"/>
      <c r="BO258" s="651"/>
      <c r="BP258" s="651"/>
      <c r="BQ258" s="651"/>
      <c r="BR258" s="651"/>
      <c r="BS258" s="651"/>
      <c r="BT258" s="651"/>
    </row>
    <row r="259" hidden="1">
      <c r="A259" s="1074"/>
      <c r="B259" s="584"/>
      <c r="C259" s="499" t="s">
        <v>278</v>
      </c>
      <c r="D259" s="844"/>
      <c r="E259" s="845"/>
      <c r="F259" s="1176"/>
      <c r="G259" s="847"/>
      <c r="H259" s="846"/>
      <c r="I259" s="437">
        <v>1.0</v>
      </c>
      <c r="J259" s="436">
        <v>2.0</v>
      </c>
      <c r="K259" s="370">
        <v>750.0</v>
      </c>
      <c r="L259" s="850"/>
      <c r="M259" s="401">
        <v>0.0</v>
      </c>
      <c r="N259" s="849">
        <f t="shared" ref="N259:N261" si="235">M259*K259*J259*I259</f>
        <v>0</v>
      </c>
      <c r="O259" s="590"/>
      <c r="P259" s="939" t="str">
        <f>IFERROR(__xludf.DUMMYFUNCTION("IF(Q259="""","""",
   IF(Q259=0,0,
      IF(ISNUMBER(MATCH(Q259,FILTER(R$222:R$342,T$222:T$342&lt;&gt;0),0)),1,0)
   )
)"),"")</f>
        <v/>
      </c>
      <c r="Q259" s="941"/>
      <c r="R259" s="942" t="s">
        <v>45</v>
      </c>
      <c r="S259" s="930" t="s">
        <v>41</v>
      </c>
      <c r="T259" s="488">
        <f t="shared" si="145"/>
        <v>0</v>
      </c>
      <c r="U259" s="489">
        <f t="shared" si="124"/>
        <v>4</v>
      </c>
      <c r="V259" s="490">
        <f t="shared" si="125"/>
        <v>46</v>
      </c>
      <c r="W259" s="491">
        <f t="shared" si="232"/>
        <v>60</v>
      </c>
      <c r="X259" s="489">
        <f t="shared" si="229"/>
        <v>480</v>
      </c>
      <c r="Y259" s="492">
        <f t="shared" si="230"/>
        <v>0</v>
      </c>
      <c r="Z259" s="493">
        <f t="shared" si="231"/>
        <v>0</v>
      </c>
      <c r="AA259" s="931" t="str">
        <f t="shared" si="233"/>
        <v/>
      </c>
      <c r="AB259" s="925" t="str">
        <f t="shared" si="138"/>
        <v/>
      </c>
      <c r="AC259" s="595"/>
      <c r="AD259" s="939" t="str">
        <f>IFERROR(__xludf.DUMMYFUNCTION("IF(AE259="""","""",
   IF(AE259=0,0,
      IF(ISNUMBER(MATCH(AE259,FILTER(AF$220:AF$278,AH$220:AH$278&lt;&gt;0),0)),1,0)
   )
)"),"")</f>
        <v/>
      </c>
      <c r="AE259" s="943"/>
      <c r="AF259" s="929" t="s">
        <v>346</v>
      </c>
      <c r="AG259" s="932" t="s">
        <v>55</v>
      </c>
      <c r="AH259" s="488">
        <f t="shared" si="139"/>
        <v>0</v>
      </c>
      <c r="AI259" s="489">
        <f t="shared" ref="AI259:AI278" si="236">$X$207</f>
        <v>4</v>
      </c>
      <c r="AJ259" s="490">
        <f t="shared" si="128"/>
        <v>46</v>
      </c>
      <c r="AK259" s="491">
        <f>(30/4)*$X$207</f>
        <v>30</v>
      </c>
      <c r="AL259" s="489">
        <f t="shared" ref="AL259:AL261" si="237">AK259*AK$217</f>
        <v>240</v>
      </c>
      <c r="AM259" s="492">
        <f t="shared" ref="AM259:AM261" si="238">ROUNDUP(AH259/AL259,2)</f>
        <v>0</v>
      </c>
      <c r="AN259" s="493">
        <f t="shared" ref="AN259:AN261" si="239">AM259*AJ259*AI259*AK$217</f>
        <v>0</v>
      </c>
      <c r="AO259" s="494" t="str">
        <f t="shared" si="225"/>
        <v/>
      </c>
      <c r="AP259" s="925" t="str">
        <f t="shared" si="130"/>
        <v/>
      </c>
      <c r="AQ259" s="595"/>
      <c r="AR259" s="958"/>
      <c r="AS259" s="959"/>
      <c r="AT259" s="960"/>
      <c r="AU259" s="471"/>
      <c r="AV259" s="473"/>
      <c r="AW259" s="549">
        <f>AVERAGE(AW219:AW244)</f>
        <v>4</v>
      </c>
      <c r="AX259" s="471"/>
      <c r="AY259" s="961"/>
      <c r="AZ259" s="962">
        <f>X207</f>
        <v>4</v>
      </c>
      <c r="BA259" s="552">
        <f t="shared" ref="BA259:BB259" si="234">SUM(BA219:BA258)</f>
        <v>0</v>
      </c>
      <c r="BB259" s="553">
        <f t="shared" si="234"/>
        <v>0</v>
      </c>
      <c r="BC259" s="554" t="str">
        <f>BB259/BA259/AZ259</f>
        <v>#DIV/0!</v>
      </c>
      <c r="BD259" s="595"/>
      <c r="BE259" s="595"/>
      <c r="BF259" s="595"/>
      <c r="BG259" s="595"/>
      <c r="BH259" s="595"/>
      <c r="BI259" s="595"/>
      <c r="BJ259" s="595"/>
      <c r="BK259" s="595"/>
      <c r="BL259" s="595"/>
      <c r="BM259" s="595"/>
      <c r="BN259" s="595"/>
      <c r="BO259" s="651"/>
      <c r="BP259" s="651"/>
      <c r="BQ259" s="651"/>
      <c r="BR259" s="651"/>
      <c r="BS259" s="651"/>
      <c r="BT259" s="651"/>
    </row>
    <row r="260" hidden="1">
      <c r="A260" s="1074"/>
      <c r="B260" s="584"/>
      <c r="C260" s="499" t="s">
        <v>279</v>
      </c>
      <c r="D260" s="844"/>
      <c r="E260" s="845"/>
      <c r="F260" s="1176"/>
      <c r="G260" s="847"/>
      <c r="H260" s="846"/>
      <c r="I260" s="437">
        <f t="shared" ref="I260:I261" si="240">I259</f>
        <v>1</v>
      </c>
      <c r="J260" s="436">
        <v>0.0</v>
      </c>
      <c r="K260" s="370">
        <v>3000.0</v>
      </c>
      <c r="L260" s="850"/>
      <c r="M260" s="401">
        <v>0.0</v>
      </c>
      <c r="N260" s="849">
        <f t="shared" si="235"/>
        <v>0</v>
      </c>
      <c r="O260" s="590"/>
      <c r="P260" s="939" t="str">
        <f>IFERROR(__xludf.DUMMYFUNCTION("IF(Q260="""","""",
   IF(Q260=0,0,
      IF(ISNUMBER(MATCH(Q260,FILTER(R$222:R$342,T$222:T$342&lt;&gt;0),0)),1,0)
   )
)"),"")</f>
        <v/>
      </c>
      <c r="Q260" s="941"/>
      <c r="R260" s="929" t="s">
        <v>375</v>
      </c>
      <c r="S260" s="930" t="s">
        <v>41</v>
      </c>
      <c r="T260" s="488">
        <f t="shared" si="145"/>
        <v>0</v>
      </c>
      <c r="U260" s="489">
        <f t="shared" si="124"/>
        <v>4</v>
      </c>
      <c r="V260" s="490">
        <f t="shared" si="125"/>
        <v>46</v>
      </c>
      <c r="W260" s="491">
        <f>(10/4)*$X$207</f>
        <v>10</v>
      </c>
      <c r="X260" s="489">
        <f t="shared" si="229"/>
        <v>80</v>
      </c>
      <c r="Y260" s="492">
        <f t="shared" si="230"/>
        <v>0</v>
      </c>
      <c r="Z260" s="493">
        <f t="shared" si="231"/>
        <v>0</v>
      </c>
      <c r="AA260" s="931" t="str">
        <f t="shared" si="233"/>
        <v/>
      </c>
      <c r="AB260" s="925" t="str">
        <f t="shared" si="138"/>
        <v/>
      </c>
      <c r="AC260" s="595"/>
      <c r="AD260" s="939" t="str">
        <f>IFERROR(__xludf.DUMMYFUNCTION("IF(AE260="""","""",
   IF(AE260=0,0,
      IF(ISNUMBER(MATCH(AE260,FILTER(AF$220:AF$278,AH$220:AH$278&lt;&gt;0),0)),1,0)
   )
)"),"")</f>
        <v/>
      </c>
      <c r="AE260" s="943"/>
      <c r="AF260" s="929" t="s">
        <v>352</v>
      </c>
      <c r="AG260" s="932" t="s">
        <v>55</v>
      </c>
      <c r="AH260" s="488">
        <f t="shared" si="139"/>
        <v>0</v>
      </c>
      <c r="AI260" s="489">
        <f t="shared" si="236"/>
        <v>4</v>
      </c>
      <c r="AJ260" s="490">
        <f t="shared" si="128"/>
        <v>46</v>
      </c>
      <c r="AK260" s="491">
        <f>(20/1)*$X$207</f>
        <v>80</v>
      </c>
      <c r="AL260" s="489">
        <f t="shared" si="237"/>
        <v>640</v>
      </c>
      <c r="AM260" s="492">
        <f t="shared" si="238"/>
        <v>0</v>
      </c>
      <c r="AN260" s="493">
        <f t="shared" si="239"/>
        <v>0</v>
      </c>
      <c r="AO260" s="494" t="str">
        <f t="shared" si="225"/>
        <v/>
      </c>
      <c r="AP260" s="925" t="str">
        <f t="shared" si="130"/>
        <v/>
      </c>
      <c r="AQ260" s="595"/>
      <c r="AR260" s="963"/>
      <c r="AS260" s="963"/>
      <c r="AT260" s="963"/>
      <c r="AU260" s="595"/>
      <c r="AV260" s="443"/>
      <c r="AW260" s="595"/>
      <c r="AX260" s="595"/>
      <c r="AY260" s="443"/>
      <c r="AZ260" s="551">
        <v>8.0</v>
      </c>
      <c r="BA260" s="552">
        <f>AZ259/AZ260*BA259</f>
        <v>0</v>
      </c>
      <c r="BB260" s="553" t="str">
        <f>BC259*BA260*AZ260</f>
        <v>#DIV/0!</v>
      </c>
      <c r="BC260" s="595"/>
      <c r="BD260" s="595"/>
      <c r="BE260" s="595"/>
      <c r="BF260" s="595"/>
      <c r="BG260" s="595"/>
      <c r="BH260" s="595"/>
      <c r="BI260" s="595"/>
      <c r="BJ260" s="595"/>
      <c r="BK260" s="595"/>
      <c r="BL260" s="595"/>
      <c r="BM260" s="595"/>
      <c r="BN260" s="595"/>
      <c r="BO260" s="651"/>
      <c r="BP260" s="651"/>
      <c r="BQ260" s="651"/>
      <c r="BR260" s="651"/>
      <c r="BS260" s="651"/>
      <c r="BT260" s="651"/>
    </row>
    <row r="261" hidden="1">
      <c r="A261" s="1074"/>
      <c r="B261" s="584"/>
      <c r="C261" s="499" t="s">
        <v>280</v>
      </c>
      <c r="D261" s="844"/>
      <c r="E261" s="845"/>
      <c r="F261" s="1176"/>
      <c r="G261" s="847"/>
      <c r="H261" s="846"/>
      <c r="I261" s="437">
        <f t="shared" si="240"/>
        <v>1</v>
      </c>
      <c r="J261" s="436">
        <f>J260</f>
        <v>0</v>
      </c>
      <c r="K261" s="370">
        <v>95.0</v>
      </c>
      <c r="L261" s="850"/>
      <c r="M261" s="840"/>
      <c r="N261" s="849">
        <f t="shared" si="235"/>
        <v>0</v>
      </c>
      <c r="O261" s="590"/>
      <c r="P261" s="939" t="str">
        <f>IFERROR(__xludf.DUMMYFUNCTION("IF(Q261="""","""",
   IF(Q261=0,0,
      IF(ISNUMBER(MATCH(Q261,FILTER(R$222:R$342,T$222:T$342&lt;&gt;0),0)),1,0)
   )
)"),"")</f>
        <v/>
      </c>
      <c r="Q261" s="941"/>
      <c r="R261" s="929" t="s">
        <v>377</v>
      </c>
      <c r="S261" s="930" t="s">
        <v>52</v>
      </c>
      <c r="T261" s="488">
        <f t="shared" si="145"/>
        <v>0</v>
      </c>
      <c r="U261" s="489">
        <f t="shared" si="124"/>
        <v>4</v>
      </c>
      <c r="V261" s="490">
        <f t="shared" si="125"/>
        <v>46</v>
      </c>
      <c r="W261" s="935"/>
      <c r="X261" s="935"/>
      <c r="Y261" s="935"/>
      <c r="Z261" s="936"/>
      <c r="AA261" s="931" t="str">
        <f t="shared" si="233"/>
        <v/>
      </c>
      <c r="AB261" s="925" t="str">
        <f t="shared" si="138"/>
        <v/>
      </c>
      <c r="AC261" s="595"/>
      <c r="AD261" s="939" t="str">
        <f>IFERROR(__xludf.DUMMYFUNCTION("IF(AE261="""","""",
   IF(AE261=0,0,
      IF(ISNUMBER(MATCH(AE261,FILTER(AF$220:AF$278,AH$220:AH$278&lt;&gt;0),0)),1,0)
   )
)"),"")</f>
        <v/>
      </c>
      <c r="AE261" s="943"/>
      <c r="AF261" s="929" t="s">
        <v>314</v>
      </c>
      <c r="AG261" s="932" t="s">
        <v>41</v>
      </c>
      <c r="AH261" s="488">
        <f t="shared" si="139"/>
        <v>0</v>
      </c>
      <c r="AI261" s="489">
        <f t="shared" si="236"/>
        <v>4</v>
      </c>
      <c r="AJ261" s="490">
        <f t="shared" si="128"/>
        <v>46</v>
      </c>
      <c r="AK261" s="491">
        <f>(20/4)*$X$207</f>
        <v>20</v>
      </c>
      <c r="AL261" s="489">
        <f t="shared" si="237"/>
        <v>160</v>
      </c>
      <c r="AM261" s="492">
        <f t="shared" si="238"/>
        <v>0</v>
      </c>
      <c r="AN261" s="493">
        <f t="shared" si="239"/>
        <v>0</v>
      </c>
      <c r="AO261" s="494" t="str">
        <f t="shared" si="225"/>
        <v/>
      </c>
      <c r="AP261" s="925" t="str">
        <f t="shared" si="130"/>
        <v/>
      </c>
      <c r="AQ261" s="595"/>
      <c r="AR261" s="595"/>
      <c r="AS261" s="595"/>
      <c r="AT261" s="595"/>
      <c r="AU261" s="595"/>
      <c r="AV261" s="595"/>
      <c r="AW261" s="595"/>
      <c r="AX261" s="595"/>
      <c r="AY261" s="595"/>
      <c r="AZ261" s="595"/>
      <c r="BA261" s="595"/>
      <c r="BB261" s="595"/>
      <c r="BC261" s="595"/>
      <c r="BD261" s="595"/>
      <c r="BE261" s="595"/>
      <c r="BF261" s="595"/>
      <c r="BG261" s="595"/>
      <c r="BH261" s="595"/>
      <c r="BI261" s="595"/>
      <c r="BJ261" s="595"/>
      <c r="BK261" s="595"/>
      <c r="BL261" s="595"/>
      <c r="BM261" s="595"/>
      <c r="BN261" s="595"/>
      <c r="BO261" s="651"/>
      <c r="BP261" s="651"/>
      <c r="BQ261" s="651"/>
      <c r="BR261" s="651"/>
      <c r="BS261" s="651"/>
      <c r="BT261" s="651"/>
    </row>
    <row r="262" hidden="1">
      <c r="A262" s="1074"/>
      <c r="B262" s="584"/>
      <c r="C262" s="499" t="s">
        <v>281</v>
      </c>
      <c r="D262" s="844"/>
      <c r="E262" s="845"/>
      <c r="F262" s="1176"/>
      <c r="G262" s="847"/>
      <c r="H262" s="846"/>
      <c r="I262" s="964"/>
      <c r="J262" s="964"/>
      <c r="K262" s="370"/>
      <c r="L262" s="850"/>
      <c r="M262" s="840"/>
      <c r="N262" s="849">
        <f>SUM(N260)*0.3</f>
        <v>0</v>
      </c>
      <c r="O262" s="590"/>
      <c r="P262" s="939" t="str">
        <f>IFERROR(__xludf.DUMMYFUNCTION("IF(Q262="""","""",
   IF(Q262=0,0,
      IF(ISNUMBER(MATCH(Q262,FILTER(R$222:R$342,T$222:T$342&lt;&gt;0),0)),1,0)
   )
)"),"")</f>
        <v/>
      </c>
      <c r="Q262" s="941"/>
      <c r="R262" s="929" t="s">
        <v>378</v>
      </c>
      <c r="S262" s="930" t="s">
        <v>52</v>
      </c>
      <c r="T262" s="488">
        <f t="shared" si="145"/>
        <v>0</v>
      </c>
      <c r="U262" s="489">
        <f t="shared" si="124"/>
        <v>4</v>
      </c>
      <c r="V262" s="490">
        <f t="shared" si="125"/>
        <v>46</v>
      </c>
      <c r="W262" s="491"/>
      <c r="X262" s="489"/>
      <c r="Y262" s="492"/>
      <c r="Z262" s="493"/>
      <c r="AA262" s="931"/>
      <c r="AB262" s="925" t="str">
        <f t="shared" si="138"/>
        <v/>
      </c>
      <c r="AC262" s="595"/>
      <c r="AD262" s="939" t="str">
        <f>IFERROR(__xludf.DUMMYFUNCTION("IF(AE262="""","""",
   IF(AE262=0,0,
      IF(ISNUMBER(MATCH(AE262,FILTER(AF$220:AF$278,AH$220:AH$278&lt;&gt;0),0)),1,0)
   )
)"),"")</f>
        <v/>
      </c>
      <c r="AE262" s="943"/>
      <c r="AF262" s="929" t="s">
        <v>328</v>
      </c>
      <c r="AG262" s="932" t="s">
        <v>55</v>
      </c>
      <c r="AH262" s="488">
        <f t="shared" si="139"/>
        <v>0</v>
      </c>
      <c r="AI262" s="489">
        <f t="shared" si="236"/>
        <v>4</v>
      </c>
      <c r="AJ262" s="490">
        <f t="shared" si="128"/>
        <v>46</v>
      </c>
      <c r="AK262" s="491"/>
      <c r="AL262" s="489"/>
      <c r="AM262" s="492"/>
      <c r="AN262" s="493"/>
      <c r="AO262" s="494"/>
      <c r="AP262" s="925" t="str">
        <f t="shared" si="130"/>
        <v/>
      </c>
      <c r="AQ262" s="595"/>
      <c r="AR262" s="595"/>
      <c r="AS262" s="595"/>
      <c r="AT262" s="595"/>
      <c r="AU262" s="595"/>
      <c r="AV262" s="595"/>
      <c r="AW262" s="595"/>
      <c r="AX262" s="595"/>
      <c r="AY262" s="595"/>
      <c r="AZ262" s="595"/>
      <c r="BA262" s="595"/>
      <c r="BB262" s="595"/>
      <c r="BC262" s="595"/>
      <c r="BD262" s="595"/>
      <c r="BE262" s="595"/>
      <c r="BF262" s="595"/>
      <c r="BG262" s="595"/>
      <c r="BH262" s="595"/>
      <c r="BI262" s="595"/>
      <c r="BJ262" s="595"/>
      <c r="BK262" s="595"/>
      <c r="BL262" s="595"/>
      <c r="BM262" s="595"/>
      <c r="BN262" s="595"/>
      <c r="BO262" s="651"/>
      <c r="BP262" s="651"/>
      <c r="BQ262" s="651"/>
      <c r="BR262" s="651"/>
      <c r="BS262" s="651"/>
      <c r="BT262" s="651"/>
    </row>
    <row r="263" hidden="1">
      <c r="A263" s="1074"/>
      <c r="B263" s="584"/>
      <c r="C263" s="946"/>
      <c r="D263" s="844"/>
      <c r="E263" s="845"/>
      <c r="F263" s="1176"/>
      <c r="G263" s="847"/>
      <c r="H263" s="846"/>
      <c r="I263" s="964"/>
      <c r="J263" s="964"/>
      <c r="K263" s="370"/>
      <c r="L263" s="850"/>
      <c r="M263" s="840"/>
      <c r="N263" s="965"/>
      <c r="O263" s="590"/>
      <c r="P263" s="939" t="str">
        <f>IFERROR(__xludf.DUMMYFUNCTION("IF(Q263="""","""",
   IF(Q263=0,0,
      IF(ISNUMBER(MATCH(Q263,FILTER(R$222:R$342,T$222:T$342&lt;&gt;0),0)),1,0)
   )
)"),"")</f>
        <v/>
      </c>
      <c r="Q263" s="941"/>
      <c r="R263" s="942" t="s">
        <v>601</v>
      </c>
      <c r="S263" s="930" t="s">
        <v>52</v>
      </c>
      <c r="T263" s="488">
        <f t="shared" si="145"/>
        <v>0</v>
      </c>
      <c r="U263" s="489">
        <f t="shared" si="124"/>
        <v>4</v>
      </c>
      <c r="V263" s="490">
        <f t="shared" si="125"/>
        <v>46</v>
      </c>
      <c r="W263" s="491">
        <f>(5/1)*$X$207</f>
        <v>20</v>
      </c>
      <c r="X263" s="489">
        <f>W263*W$217</f>
        <v>160</v>
      </c>
      <c r="Y263" s="492">
        <f>ROUNDUP(T263/X263,2)</f>
        <v>0</v>
      </c>
      <c r="Z263" s="493">
        <f>Y263*V263*U263*W$217</f>
        <v>0</v>
      </c>
      <c r="AA263" s="931" t="str">
        <f>iferror(Z263/T263,"")</f>
        <v/>
      </c>
      <c r="AB263" s="925" t="str">
        <f t="shared" si="138"/>
        <v/>
      </c>
      <c r="AC263" s="595"/>
      <c r="AD263" s="939" t="str">
        <f>IFERROR(__xludf.DUMMYFUNCTION("IF(AE263="""","""",
   IF(AE263=0,0,
      IF(ISNUMBER(MATCH(AE263,FILTER(AF$220:AF$278,AH$220:AH$278&lt;&gt;0),0)),1,0)
   )
)"),"")</f>
        <v/>
      </c>
      <c r="AE263" s="943"/>
      <c r="AF263" s="929" t="s">
        <v>333</v>
      </c>
      <c r="AG263" s="932" t="s">
        <v>55</v>
      </c>
      <c r="AH263" s="488">
        <f t="shared" si="139"/>
        <v>0</v>
      </c>
      <c r="AI263" s="489">
        <f t="shared" si="236"/>
        <v>4</v>
      </c>
      <c r="AJ263" s="490">
        <f t="shared" si="128"/>
        <v>46</v>
      </c>
      <c r="AK263" s="491"/>
      <c r="AL263" s="489"/>
      <c r="AM263" s="492"/>
      <c r="AN263" s="493"/>
      <c r="AO263" s="494"/>
      <c r="AP263" s="925" t="str">
        <f t="shared" si="130"/>
        <v/>
      </c>
      <c r="AQ263" s="595"/>
      <c r="AR263" s="595"/>
      <c r="AS263" s="595"/>
      <c r="AT263" s="595"/>
      <c r="AU263" s="595"/>
      <c r="AV263" s="595"/>
      <c r="AW263" s="595"/>
      <c r="AX263" s="595"/>
      <c r="AY263" s="595"/>
      <c r="AZ263" s="595"/>
      <c r="BA263" s="595"/>
      <c r="BB263" s="595"/>
      <c r="BC263" s="595"/>
      <c r="BD263" s="595"/>
      <c r="BE263" s="595"/>
      <c r="BF263" s="595"/>
      <c r="BG263" s="595"/>
      <c r="BH263" s="595"/>
      <c r="BI263" s="595"/>
      <c r="BJ263" s="595"/>
      <c r="BK263" s="595"/>
      <c r="BL263" s="595"/>
      <c r="BM263" s="595"/>
      <c r="BN263" s="595"/>
      <c r="BO263" s="651"/>
      <c r="BP263" s="651"/>
      <c r="BQ263" s="651"/>
      <c r="BR263" s="651"/>
      <c r="BS263" s="651"/>
      <c r="BT263" s="651"/>
    </row>
    <row r="264" hidden="1">
      <c r="A264" s="1074"/>
      <c r="B264" s="584"/>
      <c r="C264" s="966" t="s">
        <v>283</v>
      </c>
      <c r="D264" s="609"/>
      <c r="E264" s="585"/>
      <c r="F264" s="1075"/>
      <c r="G264" s="587"/>
      <c r="H264" s="586"/>
      <c r="I264" s="595"/>
      <c r="J264" s="595"/>
      <c r="K264" s="383"/>
      <c r="L264" s="588"/>
      <c r="M264" s="588"/>
      <c r="N264" s="833"/>
      <c r="O264" s="590"/>
      <c r="P264" s="939" t="str">
        <f>IFERROR(__xludf.DUMMYFUNCTION("IF(Q264="""","""",
   IF(Q264=0,0,
      IF(ISNUMBER(MATCH(Q264,FILTER(R$222:R$342,T$222:T$342&lt;&gt;0),0)),1,0)
   )
)"),"")</f>
        <v/>
      </c>
      <c r="Q264" s="941"/>
      <c r="R264" s="929" t="s">
        <v>380</v>
      </c>
      <c r="S264" s="930" t="s">
        <v>55</v>
      </c>
      <c r="T264" s="488">
        <f t="shared" si="145"/>
        <v>0</v>
      </c>
      <c r="U264" s="489">
        <f t="shared" si="124"/>
        <v>4</v>
      </c>
      <c r="V264" s="490">
        <f t="shared" si="125"/>
        <v>46</v>
      </c>
      <c r="W264" s="491"/>
      <c r="X264" s="489"/>
      <c r="Y264" s="492"/>
      <c r="Z264" s="493"/>
      <c r="AA264" s="931"/>
      <c r="AB264" s="925" t="str">
        <f t="shared" si="138"/>
        <v/>
      </c>
      <c r="AC264" s="595"/>
      <c r="AD264" s="939" t="str">
        <f>IFERROR(__xludf.DUMMYFUNCTION("IF(AE264="""","""",
   IF(AE264=0,0,
      IF(ISNUMBER(MATCH(AE264,FILTER(AF$220:AF$278,AH$220:AH$278&lt;&gt;0),0)),1,0)
   )
)"),"")</f>
        <v/>
      </c>
      <c r="AE264" s="943"/>
      <c r="AF264" s="929" t="s">
        <v>325</v>
      </c>
      <c r="AG264" s="932" t="s">
        <v>55</v>
      </c>
      <c r="AH264" s="488">
        <f t="shared" si="139"/>
        <v>0</v>
      </c>
      <c r="AI264" s="489">
        <f t="shared" si="236"/>
        <v>4</v>
      </c>
      <c r="AJ264" s="490">
        <f t="shared" si="128"/>
        <v>46</v>
      </c>
      <c r="AK264" s="491"/>
      <c r="AL264" s="489"/>
      <c r="AM264" s="492"/>
      <c r="AN264" s="493"/>
      <c r="AO264" s="494"/>
      <c r="AP264" s="925" t="str">
        <f t="shared" si="130"/>
        <v/>
      </c>
      <c r="AQ264" s="595"/>
      <c r="AR264" s="595"/>
      <c r="AS264" s="595"/>
      <c r="AT264" s="595"/>
      <c r="AU264" s="595"/>
      <c r="AV264" s="595"/>
      <c r="AW264" s="595"/>
      <c r="AX264" s="595"/>
      <c r="AY264" s="595"/>
      <c r="AZ264" s="595"/>
      <c r="BA264" s="595"/>
      <c r="BB264" s="595"/>
      <c r="BC264" s="595"/>
      <c r="BD264" s="595"/>
      <c r="BE264" s="595"/>
      <c r="BF264" s="595"/>
      <c r="BG264" s="595"/>
      <c r="BH264" s="595"/>
      <c r="BI264" s="595"/>
      <c r="BJ264" s="595"/>
      <c r="BK264" s="595"/>
      <c r="BL264" s="595"/>
      <c r="BM264" s="595"/>
      <c r="BN264" s="595"/>
      <c r="BO264" s="651"/>
      <c r="BP264" s="651"/>
      <c r="BQ264" s="651"/>
      <c r="BR264" s="651"/>
      <c r="BS264" s="651"/>
      <c r="BT264" s="651"/>
    </row>
    <row r="265" hidden="1">
      <c r="A265" s="1074"/>
      <c r="B265" s="584"/>
      <c r="C265" s="499" t="s">
        <v>278</v>
      </c>
      <c r="D265" s="844"/>
      <c r="E265" s="845"/>
      <c r="F265" s="1176"/>
      <c r="G265" s="847"/>
      <c r="H265" s="846"/>
      <c r="I265" s="437">
        <v>2.0</v>
      </c>
      <c r="J265" s="436">
        <f>W210</f>
        <v>3.992000364</v>
      </c>
      <c r="K265" s="948">
        <v>150.0</v>
      </c>
      <c r="L265" s="850"/>
      <c r="M265" s="870">
        <v>0.0</v>
      </c>
      <c r="N265" s="849">
        <f t="shared" ref="N265:N267" si="242">M265*K265*J265*I265</f>
        <v>0</v>
      </c>
      <c r="O265" s="590"/>
      <c r="P265" s="939" t="str">
        <f>IFERROR(__xludf.DUMMYFUNCTION("IF(Q265="""","""",
   IF(Q265=0,0,
      IF(ISNUMBER(MATCH(Q265,FILTER(R$222:R$342,T$222:T$342&lt;&gt;0),0)),1,0)
   )
)"),"")</f>
        <v/>
      </c>
      <c r="Q265" s="941"/>
      <c r="R265" s="929" t="s">
        <v>382</v>
      </c>
      <c r="S265" s="930" t="s">
        <v>41</v>
      </c>
      <c r="T265" s="488">
        <f t="shared" si="145"/>
        <v>0</v>
      </c>
      <c r="U265" s="489">
        <f t="shared" si="124"/>
        <v>4</v>
      </c>
      <c r="V265" s="490">
        <f t="shared" si="125"/>
        <v>46</v>
      </c>
      <c r="W265" s="491"/>
      <c r="X265" s="489"/>
      <c r="Y265" s="492"/>
      <c r="Z265" s="493"/>
      <c r="AA265" s="931"/>
      <c r="AB265" s="925" t="str">
        <f t="shared" si="138"/>
        <v/>
      </c>
      <c r="AC265" s="595"/>
      <c r="AD265" s="939" t="str">
        <f>IFERROR(__xludf.DUMMYFUNCTION("IF(AE265="""","""",
   IF(AE265=0,0,
      IF(ISNUMBER(MATCH(AE265,FILTER(AF$220:AF$278,AH$220:AH$278&lt;&gt;0),0)),1,0)
   )
)"),"")</f>
        <v/>
      </c>
      <c r="AE265" s="943"/>
      <c r="AF265" s="929" t="s">
        <v>330</v>
      </c>
      <c r="AG265" s="932" t="s">
        <v>55</v>
      </c>
      <c r="AH265" s="488">
        <f t="shared" si="139"/>
        <v>0</v>
      </c>
      <c r="AI265" s="489">
        <f t="shared" si="236"/>
        <v>4</v>
      </c>
      <c r="AJ265" s="490">
        <f t="shared" si="128"/>
        <v>46</v>
      </c>
      <c r="AK265" s="491"/>
      <c r="AL265" s="489"/>
      <c r="AM265" s="492"/>
      <c r="AN265" s="493"/>
      <c r="AO265" s="494"/>
      <c r="AP265" s="925" t="str">
        <f t="shared" si="130"/>
        <v/>
      </c>
      <c r="AQ265" s="595"/>
      <c r="AR265" s="595"/>
      <c r="AS265" s="595"/>
      <c r="AT265" s="595"/>
      <c r="AU265" s="595"/>
      <c r="AV265" s="595"/>
      <c r="AW265" s="595"/>
      <c r="AX265" s="595"/>
      <c r="AY265" s="595"/>
      <c r="AZ265" s="595"/>
      <c r="BA265" s="595"/>
      <c r="BB265" s="595"/>
      <c r="BC265" s="595"/>
      <c r="BD265" s="595"/>
      <c r="BE265" s="595"/>
      <c r="BF265" s="595"/>
      <c r="BG265" s="595"/>
      <c r="BH265" s="595"/>
      <c r="BI265" s="595"/>
      <c r="BJ265" s="595"/>
      <c r="BK265" s="595"/>
      <c r="BL265" s="595"/>
      <c r="BM265" s="595"/>
      <c r="BN265" s="595"/>
      <c r="BO265" s="651"/>
      <c r="BP265" s="651"/>
      <c r="BQ265" s="651"/>
      <c r="BR265" s="651"/>
      <c r="BS265" s="651"/>
      <c r="BT265" s="651"/>
    </row>
    <row r="266" hidden="1">
      <c r="A266" s="1074"/>
      <c r="B266" s="584"/>
      <c r="C266" s="499" t="s">
        <v>279</v>
      </c>
      <c r="D266" s="844"/>
      <c r="E266" s="845"/>
      <c r="F266" s="1176"/>
      <c r="G266" s="847"/>
      <c r="H266" s="846"/>
      <c r="I266" s="437">
        <f t="shared" ref="I266:J266" si="241">I265</f>
        <v>2</v>
      </c>
      <c r="J266" s="436">
        <f t="shared" si="241"/>
        <v>3.992000364</v>
      </c>
      <c r="K266" s="948">
        <v>300.0</v>
      </c>
      <c r="L266" s="850"/>
      <c r="M266" s="870">
        <v>0.0</v>
      </c>
      <c r="N266" s="849">
        <f t="shared" si="242"/>
        <v>0</v>
      </c>
      <c r="O266" s="590"/>
      <c r="P266" s="939" t="str">
        <f>IFERROR(__xludf.DUMMYFUNCTION("IF(Q266="""","""",
   IF(Q266=0,0,
      IF(ISNUMBER(MATCH(Q266,FILTER(R$222:R$342,T$222:T$342&lt;&gt;0),0)),1,0)
   )
)"),"")</f>
        <v/>
      </c>
      <c r="Q266" s="941"/>
      <c r="R266" s="929" t="s">
        <v>383</v>
      </c>
      <c r="S266" s="930" t="s">
        <v>52</v>
      </c>
      <c r="T266" s="488">
        <f t="shared" si="145"/>
        <v>0</v>
      </c>
      <c r="U266" s="489">
        <f t="shared" si="124"/>
        <v>4</v>
      </c>
      <c r="V266" s="490">
        <f t="shared" si="125"/>
        <v>46</v>
      </c>
      <c r="W266" s="491"/>
      <c r="X266" s="489"/>
      <c r="Y266" s="492"/>
      <c r="Z266" s="493"/>
      <c r="AA266" s="931"/>
      <c r="AB266" s="925" t="str">
        <f t="shared" si="138"/>
        <v/>
      </c>
      <c r="AC266" s="595"/>
      <c r="AD266" s="939" t="str">
        <f>IFERROR(__xludf.DUMMYFUNCTION("IF(AE266="""","""",
   IF(AE266=0,0,
      IF(ISNUMBER(MATCH(AE266,FILTER(AF$220:AF$278,AH$220:AH$278&lt;&gt;0),0)),1,0)
   )
)"),"")</f>
        <v/>
      </c>
      <c r="AE266" s="943"/>
      <c r="AF266" s="929" t="s">
        <v>355</v>
      </c>
      <c r="AG266" s="930" t="s">
        <v>55</v>
      </c>
      <c r="AH266" s="488">
        <f t="shared" si="139"/>
        <v>0</v>
      </c>
      <c r="AI266" s="489">
        <f t="shared" si="236"/>
        <v>4</v>
      </c>
      <c r="AJ266" s="490">
        <f t="shared" si="128"/>
        <v>46</v>
      </c>
      <c r="AK266" s="491">
        <f>(40/2)*$X$207</f>
        <v>80</v>
      </c>
      <c r="AL266" s="489">
        <f t="shared" ref="AL266:AL267" si="244">AK266*AK$217</f>
        <v>640</v>
      </c>
      <c r="AM266" s="492">
        <f t="shared" ref="AM266:AM267" si="245">ROUNDUP(AH266/AL266,2)</f>
        <v>0</v>
      </c>
      <c r="AN266" s="493">
        <f t="shared" ref="AN266:AN267" si="246">AM266*AJ266*AI266*AK$217</f>
        <v>0</v>
      </c>
      <c r="AO266" s="494" t="str">
        <f t="shared" ref="AO266:AO267" si="247">iferror(AN266/AH266,"")</f>
        <v/>
      </c>
      <c r="AP266" s="925" t="str">
        <f t="shared" si="130"/>
        <v/>
      </c>
      <c r="AQ266" s="595"/>
      <c r="AR266" s="595"/>
      <c r="AS266" s="595"/>
      <c r="AT266" s="595"/>
      <c r="AU266" s="595"/>
      <c r="AV266" s="595"/>
      <c r="AW266" s="595"/>
      <c r="AX266" s="595"/>
      <c r="AY266" s="595"/>
      <c r="AZ266" s="595"/>
      <c r="BA266" s="595"/>
      <c r="BB266" s="595"/>
      <c r="BC266" s="595"/>
      <c r="BD266" s="595"/>
      <c r="BE266" s="595"/>
      <c r="BF266" s="595"/>
      <c r="BG266" s="595"/>
      <c r="BH266" s="595"/>
      <c r="BI266" s="595"/>
      <c r="BJ266" s="595"/>
      <c r="BK266" s="595"/>
      <c r="BL266" s="595"/>
      <c r="BM266" s="595"/>
      <c r="BN266" s="595"/>
      <c r="BO266" s="651"/>
      <c r="BP266" s="651"/>
      <c r="BQ266" s="651"/>
      <c r="BR266" s="651"/>
      <c r="BS266" s="651"/>
      <c r="BT266" s="651"/>
    </row>
    <row r="267" hidden="1">
      <c r="A267" s="1074"/>
      <c r="B267" s="584"/>
      <c r="C267" s="499" t="s">
        <v>280</v>
      </c>
      <c r="D267" s="844"/>
      <c r="E267" s="845"/>
      <c r="F267" s="1176"/>
      <c r="G267" s="847"/>
      <c r="H267" s="846"/>
      <c r="I267" s="437">
        <f t="shared" ref="I267:J267" si="243">I266</f>
        <v>2</v>
      </c>
      <c r="J267" s="436">
        <f t="shared" si="243"/>
        <v>3.992000364</v>
      </c>
      <c r="K267" s="370">
        <v>95.0</v>
      </c>
      <c r="L267" s="850"/>
      <c r="M267" s="840"/>
      <c r="N267" s="849">
        <f t="shared" si="242"/>
        <v>0</v>
      </c>
      <c r="O267" s="590"/>
      <c r="P267" s="939" t="str">
        <f>IFERROR(__xludf.DUMMYFUNCTION("IF(Q267="""","""",
   IF(Q267=0,0,
      IF(ISNUMBER(MATCH(Q267,FILTER(R$222:R$342,T$222:T$342&lt;&gt;0),0)),1,0)
   )
)"),"")</f>
        <v/>
      </c>
      <c r="Q267" s="941"/>
      <c r="R267" s="929" t="s">
        <v>384</v>
      </c>
      <c r="S267" s="930" t="s">
        <v>52</v>
      </c>
      <c r="T267" s="488">
        <f t="shared" si="145"/>
        <v>0</v>
      </c>
      <c r="U267" s="489">
        <f t="shared" si="124"/>
        <v>4</v>
      </c>
      <c r="V267" s="490">
        <f t="shared" si="125"/>
        <v>46</v>
      </c>
      <c r="W267" s="491">
        <f>(10/1)*$X$207</f>
        <v>40</v>
      </c>
      <c r="X267" s="489">
        <f t="shared" ref="X267:X268" si="248">W267*W$217</f>
        <v>320</v>
      </c>
      <c r="Y267" s="492">
        <f t="shared" ref="Y267:Y268" si="249">ROUNDUP(T267/X267,2)</f>
        <v>0</v>
      </c>
      <c r="Z267" s="493">
        <f t="shared" ref="Z267:Z268" si="250">Y267*V267*U267*W$217</f>
        <v>0</v>
      </c>
      <c r="AA267" s="931" t="str">
        <f t="shared" ref="AA267:AA268" si="251">iferror(Z267/T267,"")</f>
        <v/>
      </c>
      <c r="AB267" s="925" t="str">
        <f t="shared" si="138"/>
        <v/>
      </c>
      <c r="AC267" s="595"/>
      <c r="AD267" s="939" t="str">
        <f>IFERROR(__xludf.DUMMYFUNCTION("IF(AE267="""","""",
   IF(AE267=0,0,
      IF(ISNUMBER(MATCH(AE267,FILTER(AF$220:AF$278,AH$220:AH$278&lt;&gt;0),0)),1,0)
   )
)"),"")</f>
        <v/>
      </c>
      <c r="AE267" s="943"/>
      <c r="AF267" s="929" t="s">
        <v>154</v>
      </c>
      <c r="AG267" s="932" t="s">
        <v>41</v>
      </c>
      <c r="AH267" s="488">
        <f t="shared" si="139"/>
        <v>0</v>
      </c>
      <c r="AI267" s="489">
        <f t="shared" si="236"/>
        <v>4</v>
      </c>
      <c r="AJ267" s="490">
        <f t="shared" si="128"/>
        <v>46</v>
      </c>
      <c r="AK267" s="491">
        <f>(50/4)*$X$207</f>
        <v>50</v>
      </c>
      <c r="AL267" s="489">
        <f t="shared" si="244"/>
        <v>400</v>
      </c>
      <c r="AM267" s="492">
        <f t="shared" si="245"/>
        <v>0</v>
      </c>
      <c r="AN267" s="493">
        <f t="shared" si="246"/>
        <v>0</v>
      </c>
      <c r="AO267" s="494" t="str">
        <f t="shared" si="247"/>
        <v/>
      </c>
      <c r="AP267" s="925" t="str">
        <f t="shared" si="130"/>
        <v/>
      </c>
      <c r="AQ267" s="595"/>
      <c r="AR267" s="595"/>
      <c r="AS267" s="595"/>
      <c r="AT267" s="595"/>
      <c r="AU267" s="595"/>
      <c r="AV267" s="595"/>
      <c r="AW267" s="595"/>
      <c r="AX267" s="595"/>
      <c r="AY267" s="595"/>
      <c r="AZ267" s="595"/>
      <c r="BA267" s="595"/>
      <c r="BB267" s="595"/>
      <c r="BC267" s="595"/>
      <c r="BD267" s="595"/>
      <c r="BE267" s="595"/>
      <c r="BF267" s="595"/>
      <c r="BG267" s="595"/>
      <c r="BH267" s="595"/>
      <c r="BI267" s="595"/>
      <c r="BJ267" s="595"/>
      <c r="BK267" s="595"/>
      <c r="BL267" s="595"/>
      <c r="BM267" s="595"/>
      <c r="BN267" s="595"/>
      <c r="BO267" s="651"/>
      <c r="BP267" s="651"/>
      <c r="BQ267" s="651"/>
      <c r="BR267" s="651"/>
      <c r="BS267" s="651"/>
      <c r="BT267" s="651"/>
    </row>
    <row r="268" hidden="1">
      <c r="A268" s="1074"/>
      <c r="B268" s="584"/>
      <c r="C268" s="499" t="s">
        <v>281</v>
      </c>
      <c r="D268" s="844"/>
      <c r="E268" s="845"/>
      <c r="F268" s="1176"/>
      <c r="G268" s="847"/>
      <c r="H268" s="846"/>
      <c r="I268" s="964"/>
      <c r="J268" s="964"/>
      <c r="K268" s="370"/>
      <c r="L268" s="850"/>
      <c r="M268" s="840"/>
      <c r="N268" s="849">
        <f>SUM(N266)*0.3</f>
        <v>0</v>
      </c>
      <c r="O268" s="590"/>
      <c r="P268" s="939" t="str">
        <f>IFERROR(__xludf.DUMMYFUNCTION("IF(Q268="""","""",
   IF(Q268=0,0,
      IF(ISNUMBER(MATCH(Q268,FILTER(R$222:R$342,T$222:T$342&lt;&gt;0),0)),1,0)
   )
)"),"")</f>
        <v/>
      </c>
      <c r="Q268" s="941"/>
      <c r="R268" s="929" t="s">
        <v>143</v>
      </c>
      <c r="S268" s="930" t="s">
        <v>52</v>
      </c>
      <c r="T268" s="488">
        <f t="shared" si="145"/>
        <v>12</v>
      </c>
      <c r="U268" s="489">
        <f t="shared" si="124"/>
        <v>4</v>
      </c>
      <c r="V268" s="490">
        <f t="shared" si="125"/>
        <v>46</v>
      </c>
      <c r="W268" s="491">
        <f>(4/1)*$X$207</f>
        <v>16</v>
      </c>
      <c r="X268" s="489">
        <f t="shared" si="248"/>
        <v>128</v>
      </c>
      <c r="Y268" s="492">
        <f t="shared" si="249"/>
        <v>0.1</v>
      </c>
      <c r="Z268" s="493">
        <f t="shared" si="250"/>
        <v>147.2</v>
      </c>
      <c r="AA268" s="931">
        <f t="shared" si="251"/>
        <v>12.26666667</v>
      </c>
      <c r="AB268" s="925" t="str">
        <f t="shared" si="138"/>
        <v/>
      </c>
      <c r="AC268" s="595"/>
      <c r="AD268" s="939" t="str">
        <f>IFERROR(__xludf.DUMMYFUNCTION("IF(AE268="""","""",
   IF(AE268=0,0,
      IF(ISNUMBER(MATCH(AE268,FILTER(AF$220:AF$278,AH$220:AH$278&lt;&gt;0),0)),1,0)
   )
)"),"")</f>
        <v/>
      </c>
      <c r="AE268" s="943"/>
      <c r="AF268" s="929" t="s">
        <v>155</v>
      </c>
      <c r="AG268" s="932" t="s">
        <v>55</v>
      </c>
      <c r="AH268" s="488">
        <f t="shared" si="139"/>
        <v>0</v>
      </c>
      <c r="AI268" s="489">
        <f t="shared" si="236"/>
        <v>4</v>
      </c>
      <c r="AJ268" s="490">
        <f t="shared" si="128"/>
        <v>46</v>
      </c>
      <c r="AK268" s="491"/>
      <c r="AL268" s="489"/>
      <c r="AM268" s="492"/>
      <c r="AN268" s="493"/>
      <c r="AO268" s="494"/>
      <c r="AP268" s="925" t="str">
        <f t="shared" si="130"/>
        <v/>
      </c>
      <c r="AQ268" s="595"/>
      <c r="AR268" s="595"/>
      <c r="AS268" s="595"/>
      <c r="AT268" s="595"/>
      <c r="AU268" s="595"/>
      <c r="AV268" s="595"/>
      <c r="AW268" s="595"/>
      <c r="AX268" s="595"/>
      <c r="AY268" s="595"/>
      <c r="AZ268" s="595"/>
      <c r="BA268" s="595"/>
      <c r="BB268" s="595"/>
      <c r="BC268" s="595"/>
      <c r="BD268" s="595"/>
      <c r="BE268" s="595"/>
      <c r="BF268" s="595"/>
      <c r="BG268" s="595"/>
      <c r="BH268" s="595"/>
      <c r="BI268" s="595"/>
      <c r="BJ268" s="595"/>
      <c r="BK268" s="595"/>
      <c r="BL268" s="595"/>
      <c r="BM268" s="595"/>
      <c r="BN268" s="595"/>
      <c r="BO268" s="651"/>
      <c r="BP268" s="651"/>
      <c r="BQ268" s="651"/>
      <c r="BR268" s="651"/>
      <c r="BS268" s="651"/>
      <c r="BT268" s="651"/>
    </row>
    <row r="269" hidden="1">
      <c r="A269" s="1074"/>
      <c r="B269" s="584"/>
      <c r="C269" s="946"/>
      <c r="D269" s="844"/>
      <c r="E269" s="845"/>
      <c r="F269" s="1176"/>
      <c r="G269" s="847"/>
      <c r="H269" s="846"/>
      <c r="I269" s="964"/>
      <c r="J269" s="967"/>
      <c r="K269" s="370"/>
      <c r="L269" s="850"/>
      <c r="M269" s="840"/>
      <c r="N269" s="965"/>
      <c r="O269" s="590"/>
      <c r="P269" s="939" t="str">
        <f>IFERROR(__xludf.DUMMYFUNCTION("IF(Q269="""","""",
   IF(Q269=0,0,
      IF(ISNUMBER(MATCH(Q269,FILTER(R$222:R$342,T$222:T$342&lt;&gt;0),0)),1,0)
   )
)"),"")</f>
        <v/>
      </c>
      <c r="Q269" s="941"/>
      <c r="R269" s="929" t="s">
        <v>144</v>
      </c>
      <c r="S269" s="930" t="s">
        <v>52</v>
      </c>
      <c r="T269" s="488">
        <f t="shared" si="145"/>
        <v>12</v>
      </c>
      <c r="U269" s="489">
        <f t="shared" si="124"/>
        <v>4</v>
      </c>
      <c r="V269" s="490">
        <f t="shared" si="125"/>
        <v>46</v>
      </c>
      <c r="W269" s="491"/>
      <c r="X269" s="489"/>
      <c r="Y269" s="492"/>
      <c r="Z269" s="493"/>
      <c r="AA269" s="931"/>
      <c r="AB269" s="925" t="str">
        <f t="shared" si="138"/>
        <v/>
      </c>
      <c r="AC269" s="595"/>
      <c r="AD269" s="939" t="str">
        <f>IFERROR(__xludf.DUMMYFUNCTION("IF(AE269="""","""",
   IF(AE269=0,0,
      IF(ISNUMBER(MATCH(AE269,FILTER(AF$220:AF$278,AH$220:AH$278&lt;&gt;0),0)),1,0)
   )
)"),"")</f>
        <v/>
      </c>
      <c r="AE269" s="943"/>
      <c r="AF269" s="942" t="s">
        <v>158</v>
      </c>
      <c r="AG269" s="945" t="s">
        <v>55</v>
      </c>
      <c r="AH269" s="488">
        <f t="shared" si="139"/>
        <v>0</v>
      </c>
      <c r="AI269" s="489">
        <f t="shared" si="236"/>
        <v>4</v>
      </c>
      <c r="AJ269" s="490">
        <f t="shared" si="128"/>
        <v>46</v>
      </c>
      <c r="AK269" s="491">
        <f t="shared" ref="AK269:AK278" si="252">(30/4)*$X$207</f>
        <v>30</v>
      </c>
      <c r="AL269" s="489">
        <f t="shared" ref="AL269:AL278" si="253">AK269*AK$217</f>
        <v>240</v>
      </c>
      <c r="AM269" s="492">
        <f t="shared" ref="AM269:AM278" si="254">ROUNDUP(AH269/AL269,2)</f>
        <v>0</v>
      </c>
      <c r="AN269" s="493">
        <f t="shared" ref="AN269:AN278" si="255">AM269*AJ269*AI269*AK$217</f>
        <v>0</v>
      </c>
      <c r="AO269" s="494" t="str">
        <f t="shared" ref="AO269:AO278" si="256">iferror(AN269/AH269,"")</f>
        <v/>
      </c>
      <c r="AP269" s="925" t="str">
        <f t="shared" si="130"/>
        <v/>
      </c>
      <c r="AQ269" s="595"/>
      <c r="AR269" s="595"/>
      <c r="AS269" s="595"/>
      <c r="AT269" s="595"/>
      <c r="AU269" s="595"/>
      <c r="AV269" s="595"/>
      <c r="AW269" s="595"/>
      <c r="AX269" s="595"/>
      <c r="AY269" s="595"/>
      <c r="AZ269" s="595"/>
      <c r="BA269" s="595"/>
      <c r="BB269" s="595"/>
      <c r="BC269" s="595"/>
      <c r="BD269" s="595"/>
      <c r="BE269" s="595"/>
      <c r="BF269" s="595"/>
      <c r="BG269" s="595"/>
      <c r="BH269" s="595"/>
      <c r="BI269" s="595"/>
      <c r="BJ269" s="595"/>
      <c r="BK269" s="595"/>
      <c r="BL269" s="595"/>
      <c r="BM269" s="595"/>
      <c r="BN269" s="595"/>
      <c r="BO269" s="651"/>
      <c r="BP269" s="651"/>
      <c r="BQ269" s="651"/>
      <c r="BR269" s="651"/>
      <c r="BS269" s="651"/>
      <c r="BT269" s="651"/>
    </row>
    <row r="270" hidden="1">
      <c r="A270" s="1074"/>
      <c r="B270" s="584"/>
      <c r="C270" s="946"/>
      <c r="D270" s="844"/>
      <c r="E270" s="845"/>
      <c r="F270" s="1176"/>
      <c r="G270" s="847"/>
      <c r="H270" s="846"/>
      <c r="I270" s="964"/>
      <c r="J270" s="964"/>
      <c r="K270" s="437"/>
      <c r="L270" s="850"/>
      <c r="M270" s="850"/>
      <c r="N270" s="965"/>
      <c r="O270" s="590"/>
      <c r="P270" s="939" t="str">
        <f>IFERROR(__xludf.DUMMYFUNCTION("IF(Q270="""","""",
   IF(Q270=0,0,
      IF(ISNUMBER(MATCH(Q270,FILTER(R$222:R$342,T$222:T$342&lt;&gt;0),0)),1,0)
   )
)"),"")</f>
        <v/>
      </c>
      <c r="Q270" s="941"/>
      <c r="R270" s="929" t="s">
        <v>388</v>
      </c>
      <c r="S270" s="930" t="s">
        <v>52</v>
      </c>
      <c r="T270" s="488">
        <f t="shared" si="145"/>
        <v>12</v>
      </c>
      <c r="U270" s="489">
        <f t="shared" si="124"/>
        <v>4</v>
      </c>
      <c r="V270" s="490">
        <f t="shared" si="125"/>
        <v>46</v>
      </c>
      <c r="W270" s="491"/>
      <c r="X270" s="489"/>
      <c r="Y270" s="492"/>
      <c r="Z270" s="493"/>
      <c r="AA270" s="931"/>
      <c r="AB270" s="925" t="str">
        <f t="shared" si="138"/>
        <v/>
      </c>
      <c r="AC270" s="595"/>
      <c r="AD270" s="939" t="str">
        <f>IFERROR(__xludf.DUMMYFUNCTION("IF(AE270="""","""",
   IF(AE270=0,0,
      IF(ISNUMBER(MATCH(AE270,FILTER(AF$220:AF$278,AH$220:AH$278&lt;&gt;0),0)),1,0)
   )
)"),"")</f>
        <v/>
      </c>
      <c r="AE270" s="943"/>
      <c r="AF270" s="942" t="s">
        <v>602</v>
      </c>
      <c r="AG270" s="932" t="s">
        <v>52</v>
      </c>
      <c r="AH270" s="488">
        <f t="shared" si="139"/>
        <v>0</v>
      </c>
      <c r="AI270" s="489">
        <f t="shared" si="236"/>
        <v>4</v>
      </c>
      <c r="AJ270" s="490">
        <f t="shared" si="128"/>
        <v>46</v>
      </c>
      <c r="AK270" s="491">
        <f t="shared" si="252"/>
        <v>30</v>
      </c>
      <c r="AL270" s="489">
        <f t="shared" si="253"/>
        <v>240</v>
      </c>
      <c r="AM270" s="492">
        <f t="shared" si="254"/>
        <v>0</v>
      </c>
      <c r="AN270" s="493">
        <f t="shared" si="255"/>
        <v>0</v>
      </c>
      <c r="AO270" s="494" t="str">
        <f t="shared" si="256"/>
        <v/>
      </c>
      <c r="AP270" s="925" t="str">
        <f t="shared" si="130"/>
        <v/>
      </c>
      <c r="AQ270" s="595"/>
      <c r="AR270" s="595"/>
      <c r="AS270" s="595"/>
      <c r="AT270" s="595"/>
      <c r="AU270" s="595"/>
      <c r="AV270" s="595"/>
      <c r="AW270" s="595"/>
      <c r="AX270" s="595"/>
      <c r="AY270" s="595"/>
      <c r="AZ270" s="595"/>
      <c r="BA270" s="595"/>
      <c r="BB270" s="595"/>
      <c r="BC270" s="595"/>
      <c r="BD270" s="595"/>
      <c r="BE270" s="595"/>
      <c r="BF270" s="595"/>
      <c r="BG270" s="595"/>
      <c r="BH270" s="595"/>
      <c r="BI270" s="595"/>
      <c r="BJ270" s="595"/>
      <c r="BK270" s="595"/>
      <c r="BL270" s="595"/>
      <c r="BM270" s="595"/>
      <c r="BN270" s="595"/>
      <c r="BO270" s="651"/>
      <c r="BP270" s="651"/>
      <c r="BQ270" s="651"/>
      <c r="BR270" s="651"/>
      <c r="BS270" s="651"/>
      <c r="BT270" s="651"/>
    </row>
    <row r="271" hidden="1">
      <c r="A271" s="1074"/>
      <c r="B271" s="584"/>
      <c r="C271" s="584"/>
      <c r="D271" s="584"/>
      <c r="E271" s="585"/>
      <c r="F271" s="1075"/>
      <c r="G271" s="587"/>
      <c r="H271" s="586"/>
      <c r="I271" s="595"/>
      <c r="J271" s="595"/>
      <c r="K271" s="354"/>
      <c r="L271" s="588"/>
      <c r="M271" s="588"/>
      <c r="N271" s="833"/>
      <c r="O271" s="590"/>
      <c r="P271" s="939" t="str">
        <f>IFERROR(__xludf.DUMMYFUNCTION("IF(Q271="""","""",
   IF(Q271=0,0,
      IF(ISNUMBER(MATCH(Q271,FILTER(R$222:R$342,T$222:T$342&lt;&gt;0),0)),1,0)
   )
)"),"")</f>
        <v/>
      </c>
      <c r="Q271" s="941"/>
      <c r="R271" s="942" t="s">
        <v>603</v>
      </c>
      <c r="S271" s="930" t="s">
        <v>52</v>
      </c>
      <c r="T271" s="488">
        <f t="shared" si="145"/>
        <v>0</v>
      </c>
      <c r="U271" s="489">
        <f t="shared" si="124"/>
        <v>4</v>
      </c>
      <c r="V271" s="490">
        <f t="shared" si="125"/>
        <v>46</v>
      </c>
      <c r="W271" s="491">
        <f>(3/1)*$X$207</f>
        <v>12</v>
      </c>
      <c r="X271" s="489">
        <f>W271*W$217</f>
        <v>96</v>
      </c>
      <c r="Y271" s="492">
        <f>ROUNDUP(T271/X271,2)</f>
        <v>0</v>
      </c>
      <c r="Z271" s="493">
        <f>Y271*V271*U271*W$217</f>
        <v>0</v>
      </c>
      <c r="AA271" s="931" t="str">
        <f>iferror(Z271/T271,"")</f>
        <v/>
      </c>
      <c r="AB271" s="925" t="str">
        <f t="shared" si="138"/>
        <v/>
      </c>
      <c r="AC271" s="595"/>
      <c r="AD271" s="939" t="str">
        <f>IFERROR(__xludf.DUMMYFUNCTION("IF(AE271="""","""",
   IF(AE271=0,0,
      IF(ISNUMBER(MATCH(AE271,FILTER(AF$220:AF$278,AH$220:AH$278&lt;&gt;0),0)),1,0)
   )
)"),"")</f>
        <v/>
      </c>
      <c r="AE271" s="943"/>
      <c r="AF271" s="942" t="s">
        <v>604</v>
      </c>
      <c r="AG271" s="945" t="s">
        <v>52</v>
      </c>
      <c r="AH271" s="488">
        <f t="shared" si="139"/>
        <v>0</v>
      </c>
      <c r="AI271" s="489">
        <f t="shared" si="236"/>
        <v>4</v>
      </c>
      <c r="AJ271" s="490">
        <f t="shared" si="128"/>
        <v>46</v>
      </c>
      <c r="AK271" s="491">
        <f t="shared" si="252"/>
        <v>30</v>
      </c>
      <c r="AL271" s="489">
        <f t="shared" si="253"/>
        <v>240</v>
      </c>
      <c r="AM271" s="492">
        <f t="shared" si="254"/>
        <v>0</v>
      </c>
      <c r="AN271" s="493">
        <f t="shared" si="255"/>
        <v>0</v>
      </c>
      <c r="AO271" s="494" t="str">
        <f t="shared" si="256"/>
        <v/>
      </c>
      <c r="AP271" s="925" t="str">
        <f t="shared" si="130"/>
        <v/>
      </c>
      <c r="AQ271" s="595"/>
      <c r="AR271" s="595"/>
      <c r="AS271" s="595"/>
      <c r="AT271" s="595"/>
      <c r="AU271" s="595"/>
      <c r="AV271" s="595"/>
      <c r="AW271" s="595"/>
      <c r="AX271" s="595"/>
      <c r="AY271" s="595"/>
      <c r="AZ271" s="595"/>
      <c r="BA271" s="595"/>
      <c r="BB271" s="595"/>
      <c r="BC271" s="595"/>
      <c r="BD271" s="595"/>
      <c r="BE271" s="595"/>
      <c r="BF271" s="595"/>
      <c r="BG271" s="595"/>
      <c r="BH271" s="595"/>
      <c r="BI271" s="595"/>
      <c r="BJ271" s="595"/>
      <c r="BK271" s="595"/>
      <c r="BL271" s="595"/>
      <c r="BM271" s="595"/>
      <c r="BN271" s="595"/>
      <c r="BO271" s="651"/>
      <c r="BP271" s="651"/>
      <c r="BQ271" s="651"/>
      <c r="BR271" s="651"/>
      <c r="BS271" s="651"/>
      <c r="BT271" s="651"/>
    </row>
    <row r="272" hidden="1">
      <c r="A272" s="1074"/>
      <c r="B272" s="584"/>
      <c r="C272" s="510" t="s">
        <v>283</v>
      </c>
      <c r="D272" s="609"/>
      <c r="E272" s="585"/>
      <c r="F272" s="1075"/>
      <c r="G272" s="587"/>
      <c r="H272" s="586"/>
      <c r="I272" s="595"/>
      <c r="J272" s="820"/>
      <c r="K272" s="383"/>
      <c r="L272" s="588"/>
      <c r="M272" s="588"/>
      <c r="N272" s="833"/>
      <c r="O272" s="590"/>
      <c r="P272" s="939" t="str">
        <f>IFERROR(__xludf.DUMMYFUNCTION("IF(Q272="""","""",
   IF(Q272=0,0,
      IF(ISNUMBER(MATCH(Q272,FILTER(R$222:R$342,T$222:T$342&lt;&gt;0),0)),1,0)
   )
)"),"")</f>
        <v/>
      </c>
      <c r="Q272" s="941"/>
      <c r="R272" s="929" t="s">
        <v>389</v>
      </c>
      <c r="S272" s="930" t="s">
        <v>52</v>
      </c>
      <c r="T272" s="488">
        <f t="shared" si="145"/>
        <v>0</v>
      </c>
      <c r="U272" s="489">
        <f t="shared" si="124"/>
        <v>4</v>
      </c>
      <c r="V272" s="490">
        <f t="shared" si="125"/>
        <v>46</v>
      </c>
      <c r="W272" s="491"/>
      <c r="X272" s="489"/>
      <c r="Y272" s="492"/>
      <c r="Z272" s="493"/>
      <c r="AA272" s="931"/>
      <c r="AB272" s="925" t="str">
        <f t="shared" si="138"/>
        <v/>
      </c>
      <c r="AC272" s="595"/>
      <c r="AD272" s="939" t="str">
        <f>IFERROR(__xludf.DUMMYFUNCTION("IF(AE272="""","""",
   IF(AE272=0,0,
      IF(ISNUMBER(MATCH(AE272,FILTER(AF$220:AF$278,AH$220:AH$278&lt;&gt;0),0)),1,0)
   )
)"),"")</f>
        <v/>
      </c>
      <c r="AE272" s="943"/>
      <c r="AF272" s="942" t="s">
        <v>688</v>
      </c>
      <c r="AG272" s="945" t="s">
        <v>55</v>
      </c>
      <c r="AH272" s="488">
        <f t="shared" si="139"/>
        <v>0</v>
      </c>
      <c r="AI272" s="489">
        <f t="shared" si="236"/>
        <v>4</v>
      </c>
      <c r="AJ272" s="490">
        <f t="shared" si="128"/>
        <v>46</v>
      </c>
      <c r="AK272" s="491">
        <f t="shared" si="252"/>
        <v>30</v>
      </c>
      <c r="AL272" s="489">
        <f t="shared" si="253"/>
        <v>240</v>
      </c>
      <c r="AM272" s="492">
        <f t="shared" si="254"/>
        <v>0</v>
      </c>
      <c r="AN272" s="493">
        <f t="shared" si="255"/>
        <v>0</v>
      </c>
      <c r="AO272" s="494" t="str">
        <f t="shared" si="256"/>
        <v/>
      </c>
      <c r="AP272" s="925" t="str">
        <f t="shared" si="130"/>
        <v/>
      </c>
      <c r="AQ272" s="595"/>
      <c r="AR272" s="595"/>
      <c r="AS272" s="595"/>
      <c r="AT272" s="595"/>
      <c r="AU272" s="595"/>
      <c r="AV272" s="595"/>
      <c r="AW272" s="595"/>
      <c r="AX272" s="595"/>
      <c r="AY272" s="595"/>
      <c r="AZ272" s="595"/>
      <c r="BA272" s="595"/>
      <c r="BB272" s="595"/>
      <c r="BC272" s="595"/>
      <c r="BD272" s="595"/>
      <c r="BE272" s="595"/>
      <c r="BF272" s="595"/>
      <c r="BG272" s="595"/>
      <c r="BH272" s="595"/>
      <c r="BI272" s="595"/>
      <c r="BJ272" s="595"/>
      <c r="BK272" s="595"/>
      <c r="BL272" s="595"/>
      <c r="BM272" s="595"/>
      <c r="BN272" s="595"/>
      <c r="BO272" s="651"/>
      <c r="BP272" s="651"/>
      <c r="BQ272" s="651"/>
      <c r="BR272" s="651"/>
      <c r="BS272" s="651"/>
      <c r="BT272" s="651"/>
    </row>
    <row r="273" hidden="1">
      <c r="A273" s="1074"/>
      <c r="B273" s="12" t="s">
        <v>176</v>
      </c>
      <c r="C273" s="499" t="s">
        <v>278</v>
      </c>
      <c r="D273" s="844"/>
      <c r="E273" s="845"/>
      <c r="F273" s="1176"/>
      <c r="G273" s="847"/>
      <c r="H273" s="846"/>
      <c r="I273" s="437">
        <v>1.0</v>
      </c>
      <c r="J273" s="436">
        <f t="shared" ref="J273:J274" si="257">J265</f>
        <v>3.992000364</v>
      </c>
      <c r="K273" s="370">
        <v>225.0</v>
      </c>
      <c r="L273" s="850"/>
      <c r="M273" s="401">
        <v>0.0</v>
      </c>
      <c r="N273" s="849">
        <f t="shared" ref="N273:N275" si="258">M273*K273*J273*I273</f>
        <v>0</v>
      </c>
      <c r="O273" s="950"/>
      <c r="P273" s="939" t="str">
        <f>IFERROR(__xludf.DUMMYFUNCTION("IF(Q273="""","""",
   IF(Q273=0,0,
      IF(ISNUMBER(MATCH(Q273,FILTER(R$222:R$342,T$222:T$342&lt;&gt;0),0)),1,0)
   )
)"),"")</f>
        <v/>
      </c>
      <c r="Q273" s="941"/>
      <c r="R273" s="929" t="s">
        <v>365</v>
      </c>
      <c r="S273" s="930" t="s">
        <v>55</v>
      </c>
      <c r="T273" s="488">
        <f t="shared" si="145"/>
        <v>0</v>
      </c>
      <c r="U273" s="489">
        <f t="shared" si="124"/>
        <v>4</v>
      </c>
      <c r="V273" s="490">
        <f t="shared" si="125"/>
        <v>46</v>
      </c>
      <c r="W273" s="491"/>
      <c r="X273" s="489"/>
      <c r="Y273" s="492"/>
      <c r="Z273" s="493"/>
      <c r="AA273" s="931" t="str">
        <f t="shared" ref="AA273:AA276" si="259">iferror(Z273/T273,"")</f>
        <v/>
      </c>
      <c r="AB273" s="925" t="str">
        <f t="shared" si="138"/>
        <v/>
      </c>
      <c r="AC273" s="595"/>
      <c r="AD273" s="939" t="str">
        <f>IFERROR(__xludf.DUMMYFUNCTION("IF(AE273="""","""",
   IF(AE273=0,0,
      IF(ISNUMBER(MATCH(AE273,FILTER(AF$220:AF$278,AH$220:AH$278&lt;&gt;0),0)),1,0)
   )
)"),"")</f>
        <v/>
      </c>
      <c r="AE273" s="943"/>
      <c r="AF273" s="942" t="s">
        <v>689</v>
      </c>
      <c r="AG273" s="945" t="s">
        <v>52</v>
      </c>
      <c r="AH273" s="488">
        <f t="shared" si="139"/>
        <v>0</v>
      </c>
      <c r="AI273" s="489">
        <f t="shared" si="236"/>
        <v>4</v>
      </c>
      <c r="AJ273" s="490">
        <f t="shared" si="128"/>
        <v>46</v>
      </c>
      <c r="AK273" s="491">
        <f t="shared" si="252"/>
        <v>30</v>
      </c>
      <c r="AL273" s="489">
        <f t="shared" si="253"/>
        <v>240</v>
      </c>
      <c r="AM273" s="492">
        <f t="shared" si="254"/>
        <v>0</v>
      </c>
      <c r="AN273" s="493">
        <f t="shared" si="255"/>
        <v>0</v>
      </c>
      <c r="AO273" s="494" t="str">
        <f t="shared" si="256"/>
        <v/>
      </c>
      <c r="AP273" s="925" t="str">
        <f t="shared" si="130"/>
        <v/>
      </c>
      <c r="AQ273" s="595"/>
      <c r="AR273" s="595"/>
      <c r="AS273" s="595"/>
      <c r="AT273" s="595"/>
      <c r="AU273" s="595"/>
      <c r="AV273" s="595"/>
      <c r="AW273" s="595"/>
      <c r="AX273" s="595"/>
      <c r="AY273" s="595"/>
      <c r="AZ273" s="595"/>
      <c r="BA273" s="595"/>
      <c r="BB273" s="595"/>
      <c r="BC273" s="595"/>
      <c r="BD273" s="595"/>
      <c r="BE273" s="595"/>
      <c r="BF273" s="595"/>
      <c r="BG273" s="595"/>
      <c r="BH273" s="595"/>
      <c r="BI273" s="595"/>
      <c r="BJ273" s="595"/>
      <c r="BK273" s="595"/>
      <c r="BL273" s="595"/>
      <c r="BM273" s="595"/>
      <c r="BN273" s="595"/>
      <c r="BO273" s="651"/>
      <c r="BP273" s="651"/>
      <c r="BQ273" s="651"/>
      <c r="BR273" s="651"/>
      <c r="BS273" s="651"/>
      <c r="BT273" s="651"/>
    </row>
    <row r="274" hidden="1">
      <c r="A274" s="1074"/>
      <c r="B274" s="584"/>
      <c r="C274" s="499" t="s">
        <v>279</v>
      </c>
      <c r="D274" s="844"/>
      <c r="E274" s="845"/>
      <c r="F274" s="1176"/>
      <c r="G274" s="847"/>
      <c r="H274" s="846"/>
      <c r="I274" s="437">
        <f t="shared" ref="I274:I275" si="260">I273</f>
        <v>1</v>
      </c>
      <c r="J274" s="436">
        <f t="shared" si="257"/>
        <v>3.992000364</v>
      </c>
      <c r="K274" s="370">
        <v>285.0</v>
      </c>
      <c r="L274" s="850"/>
      <c r="M274" s="401">
        <v>0.0</v>
      </c>
      <c r="N274" s="849">
        <f t="shared" si="258"/>
        <v>0</v>
      </c>
      <c r="O274" s="590"/>
      <c r="P274" s="939" t="str">
        <f>IFERROR(__xludf.DUMMYFUNCTION("IF(Q274="""","""",
   IF(Q274=0,0,
      IF(ISNUMBER(MATCH(Q274,FILTER(R$222:R$342,T$222:T$342&lt;&gt;0),0)),1,0)
   )
)"),"")</f>
        <v/>
      </c>
      <c r="Q274" s="941"/>
      <c r="R274" s="929" t="s">
        <v>390</v>
      </c>
      <c r="S274" s="930" t="s">
        <v>52</v>
      </c>
      <c r="T274" s="488">
        <f t="shared" si="145"/>
        <v>14</v>
      </c>
      <c r="U274" s="489">
        <f t="shared" si="124"/>
        <v>4</v>
      </c>
      <c r="V274" s="490">
        <f t="shared" si="125"/>
        <v>46</v>
      </c>
      <c r="W274" s="491">
        <f>(1/5.4)*$X$207</f>
        <v>0.7407407407</v>
      </c>
      <c r="X274" s="489">
        <f t="shared" ref="X274:X276" si="261">W274*W$217</f>
        <v>5.925925926</v>
      </c>
      <c r="Y274" s="492">
        <f t="shared" ref="Y274:Y276" si="262">ROUNDUP(T274/X274,2)</f>
        <v>2.37</v>
      </c>
      <c r="Z274" s="493">
        <f t="shared" ref="Z274:Z276" si="263">Y274*V274*U274*W$217</f>
        <v>3488.64</v>
      </c>
      <c r="AA274" s="931">
        <f t="shared" si="259"/>
        <v>249.1885714</v>
      </c>
      <c r="AB274" s="925">
        <f t="shared" si="138"/>
        <v>250</v>
      </c>
      <c r="AC274" s="595"/>
      <c r="AD274" s="939" t="str">
        <f>IFERROR(__xludf.DUMMYFUNCTION("IF(AE274="""","""",
   IF(AE274=0,0,
      IF(ISNUMBER(MATCH(AE274,FILTER(AF$220:AF$278,AH$220:AH$278&lt;&gt;0),0)),1,0)
   )
)"),"")</f>
        <v/>
      </c>
      <c r="AE274" s="943"/>
      <c r="AF274" s="929"/>
      <c r="AG274" s="968"/>
      <c r="AH274" s="488">
        <f t="shared" si="139"/>
        <v>0</v>
      </c>
      <c r="AI274" s="489">
        <f t="shared" si="236"/>
        <v>4</v>
      </c>
      <c r="AJ274" s="490">
        <f t="shared" si="128"/>
        <v>46</v>
      </c>
      <c r="AK274" s="491">
        <f t="shared" si="252"/>
        <v>30</v>
      </c>
      <c r="AL274" s="489">
        <f t="shared" si="253"/>
        <v>240</v>
      </c>
      <c r="AM274" s="492">
        <f t="shared" si="254"/>
        <v>0</v>
      </c>
      <c r="AN274" s="493">
        <f t="shared" si="255"/>
        <v>0</v>
      </c>
      <c r="AO274" s="494" t="str">
        <f t="shared" si="256"/>
        <v/>
      </c>
      <c r="AP274" s="925" t="str">
        <f t="shared" si="130"/>
        <v/>
      </c>
      <c r="AQ274" s="595"/>
      <c r="AR274" s="595"/>
      <c r="AS274" s="595"/>
      <c r="AT274" s="595"/>
      <c r="AU274" s="595"/>
      <c r="AV274" s="595"/>
      <c r="AW274" s="595"/>
      <c r="AX274" s="595"/>
      <c r="AY274" s="595"/>
      <c r="AZ274" s="595"/>
      <c r="BA274" s="595"/>
      <c r="BB274" s="595"/>
      <c r="BC274" s="595"/>
      <c r="BD274" s="595"/>
      <c r="BE274" s="595"/>
      <c r="BF274" s="595"/>
      <c r="BG274" s="595"/>
      <c r="BH274" s="595"/>
      <c r="BI274" s="595"/>
      <c r="BJ274" s="595"/>
      <c r="BK274" s="595"/>
      <c r="BL274" s="595"/>
      <c r="BM274" s="595"/>
      <c r="BN274" s="595"/>
      <c r="BO274" s="651"/>
      <c r="BP274" s="651"/>
      <c r="BQ274" s="651"/>
      <c r="BR274" s="651"/>
      <c r="BS274" s="651"/>
      <c r="BT274" s="651"/>
    </row>
    <row r="275" hidden="1">
      <c r="A275" s="1074"/>
      <c r="B275" s="584"/>
      <c r="C275" s="499" t="s">
        <v>280</v>
      </c>
      <c r="D275" s="844"/>
      <c r="E275" s="845"/>
      <c r="F275" s="1176"/>
      <c r="G275" s="847"/>
      <c r="H275" s="846"/>
      <c r="I275" s="437">
        <f t="shared" si="260"/>
        <v>1</v>
      </c>
      <c r="J275" s="964"/>
      <c r="K275" s="370">
        <v>95.0</v>
      </c>
      <c r="L275" s="850"/>
      <c r="M275" s="840"/>
      <c r="N275" s="849">
        <f t="shared" si="258"/>
        <v>0</v>
      </c>
      <c r="O275" s="590"/>
      <c r="P275" s="939" t="str">
        <f>IFERROR(__xludf.DUMMYFUNCTION("IF(Q275="""","""",
   IF(Q275=0,0,
      IF(ISNUMBER(MATCH(Q275,FILTER(R$222:R$342,T$222:T$342&lt;&gt;0),0)),1,0)
   )
)"),"")</f>
        <v/>
      </c>
      <c r="Q275" s="941"/>
      <c r="R275" s="929" t="s">
        <v>391</v>
      </c>
      <c r="S275" s="930" t="s">
        <v>52</v>
      </c>
      <c r="T275" s="488">
        <f t="shared" si="145"/>
        <v>0</v>
      </c>
      <c r="U275" s="489">
        <f t="shared" si="124"/>
        <v>4</v>
      </c>
      <c r="V275" s="490">
        <f t="shared" si="125"/>
        <v>46</v>
      </c>
      <c r="W275" s="491">
        <f t="shared" ref="W275:W276" si="264">(8/2)*$X$207</f>
        <v>16</v>
      </c>
      <c r="X275" s="489">
        <f t="shared" si="261"/>
        <v>128</v>
      </c>
      <c r="Y275" s="492">
        <f t="shared" si="262"/>
        <v>0</v>
      </c>
      <c r="Z275" s="493">
        <f t="shared" si="263"/>
        <v>0</v>
      </c>
      <c r="AA275" s="931" t="str">
        <f t="shared" si="259"/>
        <v/>
      </c>
      <c r="AB275" s="925" t="str">
        <f t="shared" si="138"/>
        <v/>
      </c>
      <c r="AC275" s="595"/>
      <c r="AD275" s="939" t="str">
        <f>IFERROR(__xludf.DUMMYFUNCTION("IF(AE275="""","""",
   IF(AE275=0,0,
      IF(ISNUMBER(MATCH(AE275,FILTER(AF$220:AF$278,AH$220:AH$278&lt;&gt;0),0)),1,0)
   )
)"),"")</f>
        <v/>
      </c>
      <c r="AE275" s="943"/>
      <c r="AF275" s="929"/>
      <c r="AG275" s="968"/>
      <c r="AH275" s="488">
        <f t="shared" si="139"/>
        <v>0</v>
      </c>
      <c r="AI275" s="489">
        <f t="shared" si="236"/>
        <v>4</v>
      </c>
      <c r="AJ275" s="490">
        <f t="shared" si="128"/>
        <v>46</v>
      </c>
      <c r="AK275" s="491">
        <f t="shared" si="252"/>
        <v>30</v>
      </c>
      <c r="AL275" s="489">
        <f t="shared" si="253"/>
        <v>240</v>
      </c>
      <c r="AM275" s="492">
        <f t="shared" si="254"/>
        <v>0</v>
      </c>
      <c r="AN275" s="493">
        <f t="shared" si="255"/>
        <v>0</v>
      </c>
      <c r="AO275" s="494" t="str">
        <f t="shared" si="256"/>
        <v/>
      </c>
      <c r="AP275" s="925" t="str">
        <f t="shared" si="130"/>
        <v/>
      </c>
      <c r="AQ275" s="595"/>
      <c r="AR275" s="595"/>
      <c r="AS275" s="595"/>
      <c r="AT275" s="595"/>
      <c r="AU275" s="595"/>
      <c r="AV275" s="595"/>
      <c r="AW275" s="595"/>
      <c r="AX275" s="595"/>
      <c r="AY275" s="595"/>
      <c r="AZ275" s="595"/>
      <c r="BA275" s="595"/>
      <c r="BB275" s="595"/>
      <c r="BC275" s="595"/>
      <c r="BD275" s="595"/>
      <c r="BE275" s="595"/>
      <c r="BF275" s="595"/>
      <c r="BG275" s="595"/>
      <c r="BH275" s="595"/>
      <c r="BI275" s="595"/>
      <c r="BJ275" s="595"/>
      <c r="BK275" s="595"/>
      <c r="BL275" s="595"/>
      <c r="BM275" s="595"/>
      <c r="BN275" s="595"/>
      <c r="BO275" s="651"/>
      <c r="BP275" s="651"/>
      <c r="BQ275" s="651"/>
      <c r="BR275" s="651"/>
      <c r="BS275" s="651"/>
      <c r="BT275" s="651"/>
    </row>
    <row r="276" hidden="1">
      <c r="A276" s="1074"/>
      <c r="B276" s="584"/>
      <c r="C276" s="499" t="s">
        <v>281</v>
      </c>
      <c r="D276" s="844"/>
      <c r="E276" s="845"/>
      <c r="F276" s="1176"/>
      <c r="G276" s="847"/>
      <c r="H276" s="846"/>
      <c r="I276" s="964"/>
      <c r="J276" s="964"/>
      <c r="K276" s="370"/>
      <c r="L276" s="850"/>
      <c r="M276" s="840"/>
      <c r="N276" s="849">
        <f>SUM(N274)*0.3</f>
        <v>0</v>
      </c>
      <c r="O276" s="590"/>
      <c r="P276" s="939" t="str">
        <f>IFERROR(__xludf.DUMMYFUNCTION("IF(Q276="""","""",
   IF(Q276=0,0,
      IF(ISNUMBER(MATCH(Q276,FILTER(R$222:R$342,T$222:T$342&lt;&gt;0),0)),1,0)
   )
)"),"")</f>
        <v/>
      </c>
      <c r="Q276" s="941"/>
      <c r="R276" s="942" t="s">
        <v>63</v>
      </c>
      <c r="S276" s="930" t="s">
        <v>52</v>
      </c>
      <c r="T276" s="488">
        <f t="shared" si="145"/>
        <v>0</v>
      </c>
      <c r="U276" s="489">
        <f t="shared" si="124"/>
        <v>4</v>
      </c>
      <c r="V276" s="490">
        <f t="shared" si="125"/>
        <v>46</v>
      </c>
      <c r="W276" s="491">
        <f t="shared" si="264"/>
        <v>16</v>
      </c>
      <c r="X276" s="489">
        <f t="shared" si="261"/>
        <v>128</v>
      </c>
      <c r="Y276" s="492">
        <f t="shared" si="262"/>
        <v>0</v>
      </c>
      <c r="Z276" s="493">
        <f t="shared" si="263"/>
        <v>0</v>
      </c>
      <c r="AA276" s="931" t="str">
        <f t="shared" si="259"/>
        <v/>
      </c>
      <c r="AB276" s="925" t="str">
        <f t="shared" si="138"/>
        <v/>
      </c>
      <c r="AC276" s="595"/>
      <c r="AD276" s="939" t="str">
        <f>IFERROR(__xludf.DUMMYFUNCTION("IF(AE276="""","""",
   IF(AE276=0,0,
      IF(ISNUMBER(MATCH(AE276,FILTER(AF$220:AF$278,AH$220:AH$278&lt;&gt;0),0)),1,0)
   )
)"),"")</f>
        <v/>
      </c>
      <c r="AE276" s="943"/>
      <c r="AF276" s="929"/>
      <c r="AG276" s="968"/>
      <c r="AH276" s="488">
        <f t="shared" si="139"/>
        <v>0</v>
      </c>
      <c r="AI276" s="489">
        <f t="shared" si="236"/>
        <v>4</v>
      </c>
      <c r="AJ276" s="490">
        <f t="shared" si="128"/>
        <v>46</v>
      </c>
      <c r="AK276" s="491">
        <f t="shared" si="252"/>
        <v>30</v>
      </c>
      <c r="AL276" s="489">
        <f t="shared" si="253"/>
        <v>240</v>
      </c>
      <c r="AM276" s="492">
        <f t="shared" si="254"/>
        <v>0</v>
      </c>
      <c r="AN276" s="493">
        <f t="shared" si="255"/>
        <v>0</v>
      </c>
      <c r="AO276" s="494" t="str">
        <f t="shared" si="256"/>
        <v/>
      </c>
      <c r="AP276" s="925" t="str">
        <f t="shared" si="130"/>
        <v/>
      </c>
      <c r="AQ276" s="595"/>
      <c r="AR276" s="595"/>
      <c r="AS276" s="595"/>
      <c r="AT276" s="595"/>
      <c r="AU276" s="595"/>
      <c r="AV276" s="595"/>
      <c r="AW276" s="595"/>
      <c r="AX276" s="595"/>
      <c r="AY276" s="595"/>
      <c r="AZ276" s="595"/>
      <c r="BA276" s="595"/>
      <c r="BB276" s="595"/>
      <c r="BC276" s="595"/>
      <c r="BD276" s="595"/>
      <c r="BE276" s="595"/>
      <c r="BF276" s="595"/>
      <c r="BG276" s="595"/>
      <c r="BH276" s="595"/>
      <c r="BI276" s="595"/>
      <c r="BJ276" s="595"/>
      <c r="BK276" s="595"/>
      <c r="BL276" s="595"/>
      <c r="BM276" s="595"/>
      <c r="BN276" s="595"/>
      <c r="BO276" s="651"/>
      <c r="BP276" s="651"/>
      <c r="BQ276" s="651"/>
      <c r="BR276" s="651"/>
      <c r="BS276" s="651"/>
      <c r="BT276" s="651"/>
    </row>
    <row r="277" hidden="1">
      <c r="A277" s="1074"/>
      <c r="B277" s="584"/>
      <c r="C277" s="946"/>
      <c r="D277" s="844"/>
      <c r="E277" s="845"/>
      <c r="F277" s="1176"/>
      <c r="G277" s="847"/>
      <c r="H277" s="846"/>
      <c r="I277" s="964"/>
      <c r="J277" s="967"/>
      <c r="K277" s="370"/>
      <c r="L277" s="850"/>
      <c r="M277" s="840"/>
      <c r="N277" s="965"/>
      <c r="O277" s="590"/>
      <c r="P277" s="939" t="str">
        <f>IFERROR(__xludf.DUMMYFUNCTION("IF(Q277="""","""",
   IF(Q277=0,0,
      IF(ISNUMBER(MATCH(Q277,FILTER(R$222:R$342,T$222:T$342&lt;&gt;0),0)),1,0)
   )
)"),"")</f>
        <v/>
      </c>
      <c r="Q277" s="941"/>
      <c r="R277" s="942" t="s">
        <v>66</v>
      </c>
      <c r="S277" s="930" t="s">
        <v>52</v>
      </c>
      <c r="T277" s="488">
        <f t="shared" si="145"/>
        <v>0</v>
      </c>
      <c r="U277" s="489">
        <f t="shared" si="124"/>
        <v>4</v>
      </c>
      <c r="V277" s="490">
        <f t="shared" si="125"/>
        <v>46</v>
      </c>
      <c r="W277" s="491"/>
      <c r="X277" s="489"/>
      <c r="Y277" s="492"/>
      <c r="Z277" s="493"/>
      <c r="AA277" s="931"/>
      <c r="AB277" s="925" t="str">
        <f t="shared" si="138"/>
        <v/>
      </c>
      <c r="AC277" s="595"/>
      <c r="AD277" s="939" t="str">
        <f>IFERROR(__xludf.DUMMYFUNCTION("IF(AE277="""","""",
   IF(AE277=0,0,
      IF(ISNUMBER(MATCH(AE277,FILTER(AF$220:AF$278,AH$220:AH$278&lt;&gt;0),0)),1,0)
   )
)"),"")</f>
        <v/>
      </c>
      <c r="AE277" s="943"/>
      <c r="AF277" s="929" t="str">
        <f>'Audit Check'!R82</f>
        <v/>
      </c>
      <c r="AG277" s="968"/>
      <c r="AH277" s="488">
        <f t="shared" si="139"/>
        <v>0</v>
      </c>
      <c r="AI277" s="489">
        <f t="shared" si="236"/>
        <v>4</v>
      </c>
      <c r="AJ277" s="490">
        <f t="shared" si="128"/>
        <v>46</v>
      </c>
      <c r="AK277" s="491">
        <f t="shared" si="252"/>
        <v>30</v>
      </c>
      <c r="AL277" s="489">
        <f t="shared" si="253"/>
        <v>240</v>
      </c>
      <c r="AM277" s="492">
        <f t="shared" si="254"/>
        <v>0</v>
      </c>
      <c r="AN277" s="493">
        <f t="shared" si="255"/>
        <v>0</v>
      </c>
      <c r="AO277" s="494" t="str">
        <f t="shared" si="256"/>
        <v/>
      </c>
      <c r="AP277" s="925" t="str">
        <f t="shared" si="130"/>
        <v/>
      </c>
      <c r="AQ277" s="595"/>
      <c r="AR277" s="595"/>
      <c r="AS277" s="595"/>
      <c r="AT277" s="595"/>
      <c r="AU277" s="595"/>
      <c r="AV277" s="595"/>
      <c r="AW277" s="595"/>
      <c r="AX277" s="595"/>
      <c r="AY277" s="595"/>
      <c r="AZ277" s="595"/>
      <c r="BA277" s="595"/>
      <c r="BB277" s="595"/>
      <c r="BC277" s="595"/>
      <c r="BD277" s="595"/>
      <c r="BE277" s="595"/>
      <c r="BF277" s="595"/>
      <c r="BG277" s="595"/>
      <c r="BH277" s="595"/>
      <c r="BI277" s="595"/>
      <c r="BJ277" s="595"/>
      <c r="BK277" s="595"/>
      <c r="BL277" s="595"/>
      <c r="BM277" s="595"/>
      <c r="BN277" s="595"/>
      <c r="BO277" s="651"/>
      <c r="BP277" s="651"/>
      <c r="BQ277" s="651"/>
      <c r="BR277" s="651"/>
      <c r="BS277" s="651"/>
      <c r="BT277" s="651"/>
    </row>
    <row r="278" hidden="1">
      <c r="A278" s="1074"/>
      <c r="B278" s="584"/>
      <c r="C278" s="969"/>
      <c r="D278" s="970"/>
      <c r="E278" s="845"/>
      <c r="F278" s="1176"/>
      <c r="G278" s="972"/>
      <c r="H278" s="971"/>
      <c r="I278" s="964"/>
      <c r="J278" s="964"/>
      <c r="K278" s="437"/>
      <c r="L278" s="850"/>
      <c r="M278" s="850"/>
      <c r="N278" s="965"/>
      <c r="O278" s="590"/>
      <c r="P278" s="939" t="str">
        <f>IFERROR(__xludf.DUMMYFUNCTION("IF(Q278="""","""",
   IF(Q278=0,0,
      IF(ISNUMBER(MATCH(Q278,FILTER(R$222:R$342,T$222:T$342&lt;&gt;0),0)),1,0)
   )
)"),"")</f>
        <v/>
      </c>
      <c r="Q278" s="941"/>
      <c r="R278" s="929" t="s">
        <v>392</v>
      </c>
      <c r="S278" s="930" t="s">
        <v>52</v>
      </c>
      <c r="T278" s="488">
        <f t="shared" si="145"/>
        <v>0</v>
      </c>
      <c r="U278" s="489">
        <f t="shared" si="124"/>
        <v>4</v>
      </c>
      <c r="V278" s="490">
        <f t="shared" si="125"/>
        <v>46</v>
      </c>
      <c r="W278" s="491">
        <f>(6/3)*$X$207</f>
        <v>8</v>
      </c>
      <c r="X278" s="489">
        <f t="shared" ref="X278:X282" si="265">W278*W$217</f>
        <v>64</v>
      </c>
      <c r="Y278" s="492">
        <f t="shared" ref="Y278:Y282" si="266">ROUNDUP(T278/X278,2)</f>
        <v>0</v>
      </c>
      <c r="Z278" s="493">
        <f t="shared" ref="Z278:Z282" si="267">Y278*V278*U278*W$217</f>
        <v>0</v>
      </c>
      <c r="AA278" s="931" t="str">
        <f t="shared" ref="AA278:AA282" si="268">iferror(Z278/T278,"")</f>
        <v/>
      </c>
      <c r="AB278" s="925" t="str">
        <f t="shared" si="138"/>
        <v/>
      </c>
      <c r="AC278" s="595"/>
      <c r="AD278" s="939" t="str">
        <f>IFERROR(__xludf.DUMMYFUNCTION("IF(AE278="""","""",
   IF(AE278=0,0,
      IF(ISNUMBER(MATCH(AE278,FILTER(AF$220:AF$278,AH$220:AH$278&lt;&gt;0),0)),1,0)
   )
)"),"")</f>
        <v/>
      </c>
      <c r="AE278" s="943"/>
      <c r="AF278" s="929" t="str">
        <f>'Audit Check'!R83</f>
        <v/>
      </c>
      <c r="AG278" s="968"/>
      <c r="AH278" s="488">
        <f t="shared" si="139"/>
        <v>0</v>
      </c>
      <c r="AI278" s="489">
        <f t="shared" si="236"/>
        <v>4</v>
      </c>
      <c r="AJ278" s="490">
        <f t="shared" si="128"/>
        <v>46</v>
      </c>
      <c r="AK278" s="491">
        <f t="shared" si="252"/>
        <v>30</v>
      </c>
      <c r="AL278" s="489">
        <f t="shared" si="253"/>
        <v>240</v>
      </c>
      <c r="AM278" s="492">
        <f t="shared" si="254"/>
        <v>0</v>
      </c>
      <c r="AN278" s="493">
        <f t="shared" si="255"/>
        <v>0</v>
      </c>
      <c r="AO278" s="494" t="str">
        <f t="shared" si="256"/>
        <v/>
      </c>
      <c r="AP278" s="925" t="str">
        <f t="shared" si="130"/>
        <v/>
      </c>
      <c r="AQ278" s="595"/>
      <c r="AR278" s="595"/>
      <c r="AS278" s="595"/>
      <c r="AT278" s="595"/>
      <c r="AU278" s="595"/>
      <c r="AV278" s="595"/>
      <c r="AW278" s="595"/>
      <c r="AX278" s="595"/>
      <c r="AY278" s="595"/>
      <c r="AZ278" s="595"/>
      <c r="BA278" s="595"/>
      <c r="BB278" s="595"/>
      <c r="BC278" s="595"/>
      <c r="BD278" s="595"/>
      <c r="BE278" s="595"/>
      <c r="BF278" s="595"/>
      <c r="BG278" s="595"/>
      <c r="BH278" s="595"/>
      <c r="BI278" s="595"/>
      <c r="BJ278" s="595"/>
      <c r="BK278" s="595"/>
      <c r="BL278" s="595"/>
      <c r="BM278" s="595"/>
      <c r="BN278" s="595"/>
      <c r="BO278" s="651"/>
      <c r="BP278" s="651"/>
      <c r="BQ278" s="651"/>
      <c r="BR278" s="651"/>
      <c r="BS278" s="651"/>
      <c r="BT278" s="651"/>
    </row>
    <row r="279" hidden="1">
      <c r="A279" s="1074"/>
      <c r="B279" s="584"/>
      <c r="C279" s="851"/>
      <c r="D279" s="609"/>
      <c r="E279" s="585"/>
      <c r="F279" s="1075"/>
      <c r="G279" s="587"/>
      <c r="H279" s="586"/>
      <c r="I279" s="584"/>
      <c r="J279" s="584"/>
      <c r="K279" s="383"/>
      <c r="L279" s="588"/>
      <c r="M279" s="588"/>
      <c r="N279" s="833"/>
      <c r="O279" s="590"/>
      <c r="P279" s="939" t="str">
        <f>IFERROR(__xludf.DUMMYFUNCTION("IF(Q279="""","""",
   IF(Q279=0,0,
      IF(ISNUMBER(MATCH(Q279,FILTER(R$222:R$342,T$222:T$342&lt;&gt;0),0)),1,0)
   )
)"),"")</f>
        <v/>
      </c>
      <c r="Q279" s="941"/>
      <c r="R279" s="942" t="s">
        <v>60</v>
      </c>
      <c r="S279" s="930" t="s">
        <v>55</v>
      </c>
      <c r="T279" s="488">
        <f t="shared" si="145"/>
        <v>0</v>
      </c>
      <c r="U279" s="489">
        <f t="shared" si="124"/>
        <v>4</v>
      </c>
      <c r="V279" s="490">
        <f t="shared" si="125"/>
        <v>46</v>
      </c>
      <c r="W279" s="491">
        <f>(15/1)*$X$207</f>
        <v>60</v>
      </c>
      <c r="X279" s="489">
        <f t="shared" si="265"/>
        <v>480</v>
      </c>
      <c r="Y279" s="492">
        <f t="shared" si="266"/>
        <v>0</v>
      </c>
      <c r="Z279" s="493">
        <f t="shared" si="267"/>
        <v>0</v>
      </c>
      <c r="AA279" s="931" t="str">
        <f t="shared" si="268"/>
        <v/>
      </c>
      <c r="AB279" s="925" t="str">
        <f t="shared" si="138"/>
        <v/>
      </c>
      <c r="AC279" s="595"/>
      <c r="AD279" s="939" t="str">
        <f>IFERROR(__xludf.DUMMYFUNCTION("IF(AE279="""","""",
   IF(AE279=0,0,
      IF(ISNUMBER(MATCH(AE279,FILTER(AF$220:AF$278,AH$220:AH$278&lt;&gt;0),0)),1,0)
   )
)"),"")</f>
        <v/>
      </c>
      <c r="AE279" s="943"/>
      <c r="AF279" s="960"/>
      <c r="AG279" s="912"/>
      <c r="AH279" s="473"/>
      <c r="AI279" s="549">
        <f>AVERAGE(AI219:AI241)</f>
        <v>4</v>
      </c>
      <c r="AJ279" s="471"/>
      <c r="AK279" s="961"/>
      <c r="AL279" s="962">
        <f>X207</f>
        <v>4</v>
      </c>
      <c r="AM279" s="552">
        <f t="shared" ref="AM279:AN279" si="269">SUM(AM219:AM278)</f>
        <v>0</v>
      </c>
      <c r="AN279" s="553">
        <f t="shared" si="269"/>
        <v>0</v>
      </c>
      <c r="AO279" s="554" t="str">
        <f>AN279/AM279/AL279</f>
        <v>#DIV/0!</v>
      </c>
      <c r="AP279" s="594"/>
      <c r="AQ279" s="595"/>
      <c r="AR279" s="595"/>
      <c r="AS279" s="595"/>
      <c r="AT279" s="595"/>
      <c r="AU279" s="595"/>
      <c r="AV279" s="595"/>
      <c r="AW279" s="595"/>
      <c r="AX279" s="595"/>
      <c r="AY279" s="595"/>
      <c r="AZ279" s="595"/>
      <c r="BA279" s="595"/>
      <c r="BB279" s="595"/>
      <c r="BC279" s="595"/>
      <c r="BD279" s="595"/>
      <c r="BE279" s="595"/>
      <c r="BF279" s="595"/>
      <c r="BG279" s="595"/>
      <c r="BH279" s="595"/>
      <c r="BI279" s="595"/>
      <c r="BJ279" s="595"/>
      <c r="BK279" s="595"/>
      <c r="BL279" s="595"/>
      <c r="BM279" s="595"/>
      <c r="BN279" s="595"/>
      <c r="BO279" s="651"/>
      <c r="BP279" s="651"/>
      <c r="BQ279" s="651"/>
      <c r="BR279" s="651"/>
      <c r="BS279" s="651"/>
      <c r="BT279" s="651"/>
    </row>
    <row r="280" hidden="1">
      <c r="A280" s="1074"/>
      <c r="B280" s="587"/>
      <c r="C280" s="329" t="s">
        <v>284</v>
      </c>
      <c r="D280" s="974" t="s">
        <v>605</v>
      </c>
      <c r="E280" s="975" t="s">
        <v>606</v>
      </c>
      <c r="F280" s="1180" t="s">
        <v>607</v>
      </c>
      <c r="G280" s="976" t="s">
        <v>608</v>
      </c>
      <c r="H280" s="976" t="s">
        <v>609</v>
      </c>
      <c r="I280" s="977"/>
      <c r="J280" s="824"/>
      <c r="K280" s="978"/>
      <c r="L280" s="979"/>
      <c r="M280" s="980">
        <f t="shared" ref="M280:N280" si="270">SUM(M281:M287)</f>
        <v>0</v>
      </c>
      <c r="N280" s="981">
        <f t="shared" si="270"/>
        <v>0</v>
      </c>
      <c r="O280" s="982"/>
      <c r="P280" s="983" t="str">
        <f>IFERROR(__xludf.DUMMYFUNCTION("IF(Q280="""","""",
   IF(Q280=0,0,
      IF(ISNUMBER(MATCH(Q280,FILTER(R$222:R$342,T$222:T$342&lt;&gt;0),0)),1,0)
   )
)"),"")</f>
        <v/>
      </c>
      <c r="Q280" s="941"/>
      <c r="R280" s="929" t="s">
        <v>393</v>
      </c>
      <c r="S280" s="930" t="s">
        <v>52</v>
      </c>
      <c r="T280" s="488">
        <f t="shared" si="145"/>
        <v>0</v>
      </c>
      <c r="U280" s="489">
        <f t="shared" si="124"/>
        <v>4</v>
      </c>
      <c r="V280" s="490">
        <f t="shared" si="125"/>
        <v>46</v>
      </c>
      <c r="W280" s="491">
        <f>(1/2)*$X$207</f>
        <v>2</v>
      </c>
      <c r="X280" s="489">
        <f t="shared" si="265"/>
        <v>16</v>
      </c>
      <c r="Y280" s="492">
        <f t="shared" si="266"/>
        <v>0</v>
      </c>
      <c r="Z280" s="493">
        <f t="shared" si="267"/>
        <v>0</v>
      </c>
      <c r="AA280" s="931" t="str">
        <f t="shared" si="268"/>
        <v/>
      </c>
      <c r="AB280" s="925" t="str">
        <f t="shared" si="138"/>
        <v/>
      </c>
      <c r="AC280" s="595"/>
      <c r="AD280" s="983" t="str">
        <f>IFERROR(__xludf.DUMMYFUNCTION("IF(AE280="""","""",
   IF(AE280=0,0,
      IF(ISNUMBER(MATCH(AE280,FILTER(AF$220:AF$278,AH$220:AH$278&lt;&gt;0),0)),1,0)
   )
)"),"")</f>
        <v/>
      </c>
      <c r="AE280" s="943"/>
      <c r="AF280" s="984"/>
      <c r="AG280" s="466"/>
      <c r="AH280" s="985"/>
      <c r="AI280" s="985"/>
      <c r="AJ280" s="603"/>
      <c r="AK280" s="985"/>
      <c r="AL280" s="986">
        <v>8.0</v>
      </c>
      <c r="AM280" s="987">
        <f>AL279/AL280*AM279</f>
        <v>0</v>
      </c>
      <c r="AN280" s="988">
        <f>AN279</f>
        <v>0</v>
      </c>
      <c r="AO280" s="603"/>
      <c r="AP280" s="594"/>
      <c r="AQ280" s="595"/>
      <c r="AR280" s="603"/>
      <c r="AS280" s="603"/>
      <c r="AT280" s="603"/>
      <c r="AU280" s="603"/>
      <c r="AV280" s="603"/>
      <c r="AW280" s="603"/>
      <c r="AX280" s="603"/>
      <c r="AY280" s="603"/>
      <c r="AZ280" s="603"/>
      <c r="BA280" s="603"/>
      <c r="BB280" s="603"/>
      <c r="BC280" s="603"/>
      <c r="BD280" s="603"/>
      <c r="BE280" s="603"/>
      <c r="BF280" s="603"/>
      <c r="BG280" s="603"/>
      <c r="BH280" s="603"/>
      <c r="BI280" s="603"/>
      <c r="BJ280" s="603"/>
      <c r="BK280" s="603"/>
      <c r="BL280" s="603"/>
      <c r="BM280" s="603"/>
      <c r="BN280" s="603"/>
      <c r="BO280" s="989"/>
      <c r="BP280" s="989"/>
      <c r="BQ280" s="989"/>
      <c r="BR280" s="989"/>
      <c r="BS280" s="989"/>
      <c r="BT280" s="989"/>
    </row>
    <row r="281" hidden="1">
      <c r="A281" s="1074"/>
      <c r="B281" s="584"/>
      <c r="C281" s="990" t="s">
        <v>285</v>
      </c>
      <c r="D281" s="991"/>
      <c r="E281" s="845"/>
      <c r="F281" s="1176"/>
      <c r="G281" s="993"/>
      <c r="H281" s="992"/>
      <c r="I281" s="964" t="str">
        <f t="shared" ref="I281:I282" si="271">T220</f>
        <v/>
      </c>
      <c r="J281" s="964"/>
      <c r="K281" s="964"/>
      <c r="L281" s="401">
        <v>0.0</v>
      </c>
      <c r="M281" s="840"/>
      <c r="N281" s="849">
        <f t="shared" ref="N281:N282" si="272">J281*I281*L281</f>
        <v>0</v>
      </c>
      <c r="O281" s="590"/>
      <c r="P281" s="939" t="str">
        <f>IFERROR(__xludf.DUMMYFUNCTION("IF(Q281="""","""",
   IF(Q281=0,0,
      IF(ISNUMBER(MATCH(Q281,FILTER(R$222:R$342,T$222:T$342&lt;&gt;0),0)),1,0)
   )
)"),"")</f>
        <v/>
      </c>
      <c r="Q281" s="941"/>
      <c r="R281" s="929" t="s">
        <v>394</v>
      </c>
      <c r="S281" s="930" t="s">
        <v>55</v>
      </c>
      <c r="T281" s="488">
        <f t="shared" si="145"/>
        <v>0</v>
      </c>
      <c r="U281" s="489">
        <f t="shared" si="124"/>
        <v>4</v>
      </c>
      <c r="V281" s="490">
        <f t="shared" si="125"/>
        <v>46</v>
      </c>
      <c r="W281" s="491">
        <f t="shared" ref="W281:W282" si="273">(15/1)*$X$207</f>
        <v>60</v>
      </c>
      <c r="X281" s="489">
        <f t="shared" si="265"/>
        <v>480</v>
      </c>
      <c r="Y281" s="492">
        <f t="shared" si="266"/>
        <v>0</v>
      </c>
      <c r="Z281" s="493">
        <f t="shared" si="267"/>
        <v>0</v>
      </c>
      <c r="AA281" s="931" t="str">
        <f t="shared" si="268"/>
        <v/>
      </c>
      <c r="AB281" s="925" t="str">
        <f t="shared" si="138"/>
        <v/>
      </c>
      <c r="AC281" s="595"/>
      <c r="AD281" s="939" t="str">
        <f>IFERROR(__xludf.DUMMYFUNCTION("IF(AE281="""","""",
   IF(AE281=0,0,
      IF(ISNUMBER(MATCH(AE281,FILTER(AF$220:AF$278,AH$220:AH$278&lt;&gt;0),0)),1,0)
   )
)"),"")</f>
        <v/>
      </c>
      <c r="AE281" s="956"/>
      <c r="AF281" s="584"/>
      <c r="AG281" s="354"/>
      <c r="AH281" s="595"/>
      <c r="AI281" s="443"/>
      <c r="AJ281" s="595"/>
      <c r="AK281" s="595"/>
      <c r="AL281" s="595"/>
      <c r="AM281" s="595"/>
      <c r="AN281" s="595"/>
      <c r="AO281" s="584"/>
      <c r="AP281" s="594"/>
      <c r="AQ281" s="595"/>
      <c r="AR281" s="595"/>
      <c r="AS281" s="595"/>
      <c r="AT281" s="595"/>
      <c r="AU281" s="595"/>
      <c r="AV281" s="595"/>
      <c r="AW281" s="595"/>
      <c r="AX281" s="595"/>
      <c r="AY281" s="595"/>
      <c r="AZ281" s="595"/>
      <c r="BA281" s="595"/>
      <c r="BB281" s="595"/>
      <c r="BC281" s="595"/>
      <c r="BD281" s="595"/>
      <c r="BE281" s="595"/>
      <c r="BF281" s="595"/>
      <c r="BG281" s="595"/>
      <c r="BH281" s="595"/>
      <c r="BI281" s="595"/>
      <c r="BJ281" s="595"/>
      <c r="BK281" s="595"/>
      <c r="BL281" s="595"/>
      <c r="BM281" s="595"/>
      <c r="BN281" s="595"/>
      <c r="BO281" s="651"/>
      <c r="BP281" s="651"/>
      <c r="BQ281" s="651"/>
      <c r="BR281" s="651"/>
      <c r="BS281" s="651"/>
      <c r="BT281" s="651"/>
    </row>
    <row r="282" hidden="1">
      <c r="A282" s="1074"/>
      <c r="B282" s="584"/>
      <c r="C282" s="990" t="s">
        <v>286</v>
      </c>
      <c r="D282" s="991"/>
      <c r="E282" s="845"/>
      <c r="F282" s="1176"/>
      <c r="G282" s="993"/>
      <c r="H282" s="992"/>
      <c r="I282" s="964" t="str">
        <f t="shared" si="271"/>
        <v/>
      </c>
      <c r="J282" s="964"/>
      <c r="K282" s="964"/>
      <c r="L282" s="401">
        <v>0.0</v>
      </c>
      <c r="M282" s="840"/>
      <c r="N282" s="849">
        <f t="shared" si="272"/>
        <v>0</v>
      </c>
      <c r="O282" s="590"/>
      <c r="P282" s="939" t="str">
        <f>IFERROR(__xludf.DUMMYFUNCTION("IF(Q282="""","""",
   IF(Q282=0,0,
      IF(ISNUMBER(MATCH(Q282,FILTER(R$222:R$342,T$222:T$342&lt;&gt;0),0)),1,0)
   )
)"),"")</f>
        <v/>
      </c>
      <c r="Q282" s="941"/>
      <c r="R282" s="929" t="s">
        <v>395</v>
      </c>
      <c r="S282" s="930" t="s">
        <v>55</v>
      </c>
      <c r="T282" s="488">
        <f t="shared" si="145"/>
        <v>0</v>
      </c>
      <c r="U282" s="489">
        <f t="shared" si="124"/>
        <v>4</v>
      </c>
      <c r="V282" s="490">
        <f t="shared" si="125"/>
        <v>46</v>
      </c>
      <c r="W282" s="491">
        <f t="shared" si="273"/>
        <v>60</v>
      </c>
      <c r="X282" s="489">
        <f t="shared" si="265"/>
        <v>480</v>
      </c>
      <c r="Y282" s="492">
        <f t="shared" si="266"/>
        <v>0</v>
      </c>
      <c r="Z282" s="493">
        <f t="shared" si="267"/>
        <v>0</v>
      </c>
      <c r="AA282" s="931" t="str">
        <f t="shared" si="268"/>
        <v/>
      </c>
      <c r="AB282" s="925" t="str">
        <f t="shared" si="138"/>
        <v/>
      </c>
      <c r="AC282" s="595"/>
      <c r="AD282" s="958"/>
      <c r="AE282" s="995"/>
      <c r="AF282" s="584"/>
      <c r="AG282" s="354"/>
      <c r="AH282" s="595"/>
      <c r="AI282" s="443"/>
      <c r="AJ282" s="595"/>
      <c r="AK282" s="595"/>
      <c r="AL282" s="595"/>
      <c r="AM282" s="595"/>
      <c r="AN282" s="595"/>
      <c r="AO282" s="584"/>
      <c r="AP282" s="594"/>
      <c r="AQ282" s="595"/>
      <c r="AR282" s="595"/>
      <c r="AS282" s="595"/>
      <c r="AT282" s="595"/>
      <c r="AU282" s="595"/>
      <c r="AV282" s="595"/>
      <c r="AW282" s="595"/>
      <c r="AX282" s="595"/>
      <c r="AY282" s="595"/>
      <c r="AZ282" s="595"/>
      <c r="BA282" s="595"/>
      <c r="BB282" s="595"/>
      <c r="BC282" s="595"/>
      <c r="BD282" s="595"/>
      <c r="BE282" s="595"/>
      <c r="BF282" s="595"/>
      <c r="BG282" s="595"/>
      <c r="BH282" s="595"/>
      <c r="BI282" s="595"/>
      <c r="BJ282" s="595"/>
      <c r="BK282" s="595"/>
      <c r="BL282" s="595"/>
      <c r="BM282" s="595"/>
      <c r="BN282" s="595"/>
      <c r="BO282" s="651"/>
      <c r="BP282" s="651"/>
      <c r="BQ282" s="651"/>
      <c r="BR282" s="651"/>
      <c r="BS282" s="651"/>
      <c r="BT282" s="651"/>
    </row>
    <row r="283" hidden="1">
      <c r="A283" s="1074"/>
      <c r="B283" s="584"/>
      <c r="C283" s="522" t="s">
        <v>287</v>
      </c>
      <c r="D283" s="996"/>
      <c r="E283" s="845"/>
      <c r="F283" s="1176"/>
      <c r="G283" s="998"/>
      <c r="H283" s="997"/>
      <c r="I283" s="964" t="str">
        <f t="shared" ref="I283:I284" si="274">I281</f>
        <v/>
      </c>
      <c r="J283" s="437">
        <f>W210</f>
        <v>3.992000364</v>
      </c>
      <c r="K283" s="437">
        <v>3.0</v>
      </c>
      <c r="L283" s="401">
        <v>0.0</v>
      </c>
      <c r="M283" s="840"/>
      <c r="N283" s="849">
        <f t="shared" ref="N283:N284" si="275">K283*J283*I283*L283</f>
        <v>0</v>
      </c>
      <c r="O283" s="590"/>
      <c r="P283" s="939" t="str">
        <f>IFERROR(__xludf.DUMMYFUNCTION("IF(Q283="""","""",
   IF(Q283=0,0,
      IF(ISNUMBER(MATCH(Q283,FILTER(R$222:R$342,T$222:T$342&lt;&gt;0),0)),1,0)
   )
)"),"")</f>
        <v/>
      </c>
      <c r="Q283" s="941"/>
      <c r="R283" s="929" t="s">
        <v>101</v>
      </c>
      <c r="S283" s="930" t="s">
        <v>52</v>
      </c>
      <c r="T283" s="488">
        <f t="shared" si="145"/>
        <v>862.6386499</v>
      </c>
      <c r="U283" s="489">
        <f t="shared" si="124"/>
        <v>4</v>
      </c>
      <c r="V283" s="490">
        <f t="shared" si="125"/>
        <v>46</v>
      </c>
      <c r="W283" s="491"/>
      <c r="X283" s="489"/>
      <c r="Y283" s="492"/>
      <c r="Z283" s="493"/>
      <c r="AA283" s="931"/>
      <c r="AB283" s="925" t="str">
        <f t="shared" si="138"/>
        <v/>
      </c>
      <c r="AC283" s="1178"/>
      <c r="AD283" s="595"/>
      <c r="AE283" s="595"/>
      <c r="AF283" s="584"/>
      <c r="AG283" s="354"/>
      <c r="AH283" s="595"/>
      <c r="AI283" s="443"/>
      <c r="AJ283" s="595"/>
      <c r="AK283" s="595"/>
      <c r="AL283" s="595"/>
      <c r="AM283" s="595"/>
      <c r="AN283" s="595"/>
      <c r="AO283" s="584"/>
      <c r="AP283" s="594"/>
      <c r="AQ283" s="595"/>
      <c r="AR283" s="595"/>
      <c r="AS283" s="595"/>
      <c r="AT283" s="595"/>
      <c r="AU283" s="595"/>
      <c r="AV283" s="595"/>
      <c r="AW283" s="595"/>
      <c r="AX283" s="595"/>
      <c r="AY283" s="595"/>
      <c r="AZ283" s="595"/>
      <c r="BA283" s="595"/>
      <c r="BB283" s="595"/>
      <c r="BC283" s="595"/>
      <c r="BD283" s="595"/>
      <c r="BE283" s="595"/>
      <c r="BF283" s="595"/>
      <c r="BG283" s="595"/>
      <c r="BH283" s="595"/>
      <c r="BI283" s="595"/>
      <c r="BJ283" s="595"/>
      <c r="BK283" s="595"/>
      <c r="BL283" s="595"/>
      <c r="BM283" s="595"/>
      <c r="BN283" s="595"/>
      <c r="BO283" s="651"/>
      <c r="BP283" s="651"/>
      <c r="BQ283" s="651"/>
      <c r="BR283" s="651"/>
      <c r="BS283" s="651"/>
      <c r="BT283" s="651"/>
    </row>
    <row r="284" hidden="1">
      <c r="A284" s="1074"/>
      <c r="B284" s="584"/>
      <c r="C284" s="522" t="s">
        <v>288</v>
      </c>
      <c r="D284" s="996"/>
      <c r="E284" s="845"/>
      <c r="F284" s="1176"/>
      <c r="G284" s="998"/>
      <c r="H284" s="997"/>
      <c r="I284" s="964" t="str">
        <f t="shared" si="274"/>
        <v/>
      </c>
      <c r="J284" s="437">
        <f>J283</f>
        <v>3.992000364</v>
      </c>
      <c r="K284" s="437">
        <v>10.0</v>
      </c>
      <c r="L284" s="401">
        <v>0.0</v>
      </c>
      <c r="M284" s="840"/>
      <c r="N284" s="849">
        <f t="shared" si="275"/>
        <v>0</v>
      </c>
      <c r="O284" s="590"/>
      <c r="P284" s="939" t="str">
        <f>IFERROR(__xludf.DUMMYFUNCTION("IF(Q284="""","""",
   IF(Q284=0,0,
      IF(ISNUMBER(MATCH(Q284,FILTER(R$222:R$342,T$222:T$342&lt;&gt;0),0)),1,0)
   )
)"),"")</f>
        <v/>
      </c>
      <c r="Q284" s="941"/>
      <c r="R284" s="942" t="s">
        <v>124</v>
      </c>
      <c r="S284" s="930" t="s">
        <v>52</v>
      </c>
      <c r="T284" s="488">
        <f t="shared" si="145"/>
        <v>0</v>
      </c>
      <c r="U284" s="489">
        <f t="shared" si="124"/>
        <v>4</v>
      </c>
      <c r="V284" s="490">
        <f t="shared" si="125"/>
        <v>46</v>
      </c>
      <c r="W284" s="491"/>
      <c r="X284" s="489"/>
      <c r="Y284" s="492"/>
      <c r="Z284" s="493"/>
      <c r="AA284" s="931"/>
      <c r="AB284" s="925" t="str">
        <f t="shared" si="138"/>
        <v/>
      </c>
      <c r="AC284" s="595"/>
      <c r="AD284" s="594"/>
      <c r="AE284" s="595"/>
      <c r="AF284" s="584"/>
      <c r="AG284" s="354"/>
      <c r="AH284" s="595"/>
      <c r="AI284" s="443"/>
      <c r="AJ284" s="595"/>
      <c r="AK284" s="595"/>
      <c r="AL284" s="595"/>
      <c r="AM284" s="595"/>
      <c r="AN284" s="595"/>
      <c r="AO284" s="584"/>
      <c r="AP284" s="594"/>
      <c r="AQ284" s="595"/>
      <c r="AR284" s="595"/>
      <c r="AS284" s="595"/>
      <c r="AT284" s="595"/>
      <c r="AU284" s="595"/>
      <c r="AV284" s="595"/>
      <c r="AW284" s="595"/>
      <c r="AX284" s="595"/>
      <c r="AY284" s="595"/>
      <c r="AZ284" s="595"/>
      <c r="BA284" s="595"/>
      <c r="BB284" s="595"/>
      <c r="BC284" s="595"/>
      <c r="BD284" s="595"/>
      <c r="BE284" s="595"/>
      <c r="BF284" s="595"/>
      <c r="BG284" s="595"/>
      <c r="BH284" s="595"/>
      <c r="BI284" s="595"/>
      <c r="BJ284" s="595"/>
      <c r="BK284" s="595"/>
      <c r="BL284" s="595"/>
      <c r="BM284" s="595"/>
      <c r="BN284" s="595"/>
      <c r="BO284" s="651"/>
      <c r="BP284" s="651"/>
      <c r="BQ284" s="651"/>
      <c r="BR284" s="651"/>
      <c r="BS284" s="651"/>
      <c r="BT284" s="651"/>
    </row>
    <row r="285" hidden="1">
      <c r="A285" s="1074"/>
      <c r="B285" s="584"/>
      <c r="C285" s="1000"/>
      <c r="D285" s="996"/>
      <c r="E285" s="845"/>
      <c r="F285" s="1176"/>
      <c r="G285" s="1001"/>
      <c r="H285" s="437"/>
      <c r="I285" s="964"/>
      <c r="J285" s="964"/>
      <c r="K285" s="964"/>
      <c r="L285" s="840"/>
      <c r="M285" s="840"/>
      <c r="N285" s="965"/>
      <c r="O285" s="590"/>
      <c r="P285" s="939" t="str">
        <f>IFERROR(__xludf.DUMMYFUNCTION("IF(Q285="""","""",
   IF(Q285=0,0,
      IF(ISNUMBER(MATCH(Q285,FILTER(R$222:R$342,T$222:T$342&lt;&gt;0),0)),1,0)
   )
)"),"")</f>
        <v/>
      </c>
      <c r="Q285" s="941"/>
      <c r="R285" s="929" t="s">
        <v>92</v>
      </c>
      <c r="S285" s="930" t="s">
        <v>41</v>
      </c>
      <c r="T285" s="488">
        <f t="shared" si="145"/>
        <v>0</v>
      </c>
      <c r="U285" s="489">
        <f t="shared" si="124"/>
        <v>4</v>
      </c>
      <c r="V285" s="490">
        <f t="shared" si="125"/>
        <v>46</v>
      </c>
      <c r="W285" s="491">
        <f>(60/4)*$X$207</f>
        <v>60</v>
      </c>
      <c r="X285" s="489">
        <f t="shared" ref="X285:X289" si="276">W285*W$217</f>
        <v>480</v>
      </c>
      <c r="Y285" s="492">
        <f t="shared" ref="Y285:Y289" si="277">ROUNDUP(T285/X285,2)</f>
        <v>0</v>
      </c>
      <c r="Z285" s="493">
        <f t="shared" ref="Z285:Z289" si="278">Y285*V285*U285*W$217</f>
        <v>0</v>
      </c>
      <c r="AA285" s="931" t="str">
        <f t="shared" ref="AA285:AA289" si="279">iferror(Z285/T285,"")</f>
        <v/>
      </c>
      <c r="AB285" s="925" t="str">
        <f t="shared" si="138"/>
        <v/>
      </c>
      <c r="AC285" s="595"/>
      <c r="AD285" s="594"/>
      <c r="AE285" s="595"/>
      <c r="AF285" s="584"/>
      <c r="AG285" s="354"/>
      <c r="AH285" s="595"/>
      <c r="AI285" s="443"/>
      <c r="AJ285" s="595"/>
      <c r="AK285" s="595"/>
      <c r="AL285" s="595"/>
      <c r="AM285" s="595"/>
      <c r="AN285" s="595"/>
      <c r="AO285" s="584"/>
      <c r="AP285" s="594"/>
      <c r="AQ285" s="595"/>
      <c r="AR285" s="595"/>
      <c r="AS285" s="595"/>
      <c r="AT285" s="595"/>
      <c r="AU285" s="595"/>
      <c r="AV285" s="595"/>
      <c r="AW285" s="595"/>
      <c r="AX285" s="595"/>
      <c r="AY285" s="595"/>
      <c r="AZ285" s="595"/>
      <c r="BA285" s="595"/>
      <c r="BB285" s="595"/>
      <c r="BC285" s="595"/>
      <c r="BD285" s="595"/>
      <c r="BE285" s="595"/>
      <c r="BF285" s="595"/>
      <c r="BG285" s="595"/>
      <c r="BH285" s="595"/>
      <c r="BI285" s="595"/>
      <c r="BJ285" s="595"/>
      <c r="BK285" s="595"/>
      <c r="BL285" s="595"/>
      <c r="BM285" s="595"/>
      <c r="BN285" s="595"/>
      <c r="BO285" s="651"/>
      <c r="BP285" s="651"/>
      <c r="BQ285" s="651"/>
      <c r="BR285" s="651"/>
      <c r="BS285" s="651"/>
      <c r="BT285" s="651"/>
    </row>
    <row r="286" hidden="1">
      <c r="A286" s="1074"/>
      <c r="B286" s="584"/>
      <c r="C286" s="1000"/>
      <c r="D286" s="996"/>
      <c r="E286" s="845"/>
      <c r="F286" s="1176"/>
      <c r="G286" s="1001"/>
      <c r="H286" s="437"/>
      <c r="I286" s="964"/>
      <c r="J286" s="964"/>
      <c r="K286" s="964"/>
      <c r="L286" s="840"/>
      <c r="M286" s="840"/>
      <c r="N286" s="965"/>
      <c r="O286" s="590"/>
      <c r="P286" s="939" t="str">
        <f>IFERROR(__xludf.DUMMYFUNCTION("IF(Q286="""","""",
   IF(Q286=0,0,
      IF(ISNUMBER(MATCH(Q286,FILTER(R$222:R$342,T$222:T$342&lt;&gt;0),0)),1,0)
   )
)"),"")</f>
        <v/>
      </c>
      <c r="Q286" s="941"/>
      <c r="R286" s="929" t="s">
        <v>396</v>
      </c>
      <c r="S286" s="930" t="s">
        <v>41</v>
      </c>
      <c r="T286" s="488">
        <f t="shared" si="145"/>
        <v>0</v>
      </c>
      <c r="U286" s="489">
        <f t="shared" si="124"/>
        <v>4</v>
      </c>
      <c r="V286" s="490">
        <f t="shared" si="125"/>
        <v>46</v>
      </c>
      <c r="W286" s="491">
        <f>(100/4)*$X$207</f>
        <v>100</v>
      </c>
      <c r="X286" s="489">
        <f t="shared" si="276"/>
        <v>800</v>
      </c>
      <c r="Y286" s="492">
        <f t="shared" si="277"/>
        <v>0</v>
      </c>
      <c r="Z286" s="493">
        <f t="shared" si="278"/>
        <v>0</v>
      </c>
      <c r="AA286" s="931" t="str">
        <f t="shared" si="279"/>
        <v/>
      </c>
      <c r="AB286" s="925" t="str">
        <f t="shared" si="138"/>
        <v/>
      </c>
      <c r="AC286" s="595"/>
      <c r="AD286" s="594"/>
      <c r="AE286" s="595"/>
      <c r="AF286" s="584"/>
      <c r="AG286" s="354"/>
      <c r="AH286" s="595"/>
      <c r="AI286" s="443"/>
      <c r="AJ286" s="595"/>
      <c r="AK286" s="595"/>
      <c r="AL286" s="595"/>
      <c r="AM286" s="595"/>
      <c r="AN286" s="595"/>
      <c r="AO286" s="584"/>
      <c r="AP286" s="595"/>
      <c r="AQ286" s="595"/>
      <c r="AR286" s="595"/>
      <c r="AS286" s="595"/>
      <c r="AT286" s="595"/>
      <c r="AU286" s="595"/>
      <c r="AV286" s="595"/>
      <c r="AW286" s="595"/>
      <c r="AX286" s="595"/>
      <c r="AY286" s="595"/>
      <c r="AZ286" s="595"/>
      <c r="BA286" s="595"/>
      <c r="BB286" s="595"/>
      <c r="BC286" s="595"/>
      <c r="BD286" s="595"/>
      <c r="BE286" s="595"/>
      <c r="BF286" s="595"/>
      <c r="BG286" s="595"/>
      <c r="BH286" s="595"/>
      <c r="BI286" s="595"/>
      <c r="BJ286" s="595"/>
      <c r="BK286" s="595"/>
      <c r="BL286" s="595"/>
      <c r="BM286" s="595"/>
      <c r="BN286" s="595"/>
      <c r="BO286" s="651"/>
      <c r="BP286" s="651"/>
      <c r="BQ286" s="651"/>
      <c r="BR286" s="651"/>
      <c r="BS286" s="651"/>
      <c r="BT286" s="651"/>
    </row>
    <row r="287" hidden="1">
      <c r="A287" s="1074"/>
      <c r="B287" s="584"/>
      <c r="C287" s="1002"/>
      <c r="D287" s="991"/>
      <c r="E287" s="994"/>
      <c r="F287" s="1176"/>
      <c r="G287" s="993"/>
      <c r="H287" s="992"/>
      <c r="I287" s="964"/>
      <c r="J287" s="964"/>
      <c r="K287" s="1003"/>
      <c r="L287" s="1004"/>
      <c r="M287" s="840"/>
      <c r="N287" s="965"/>
      <c r="O287" s="590"/>
      <c r="P287" s="939" t="str">
        <f>IFERROR(__xludf.DUMMYFUNCTION("IF(Q287="""","""",
   IF(Q287=0,0,
      IF(ISNUMBER(MATCH(Q287,FILTER(R$222:R$342,T$222:T$342&lt;&gt;0),0)),1,0)
   )
)"),"")</f>
        <v/>
      </c>
      <c r="Q287" s="941"/>
      <c r="R287" s="929" t="s">
        <v>397</v>
      </c>
      <c r="S287" s="930" t="s">
        <v>52</v>
      </c>
      <c r="T287" s="488">
        <f t="shared" si="145"/>
        <v>0</v>
      </c>
      <c r="U287" s="489">
        <f t="shared" si="124"/>
        <v>4</v>
      </c>
      <c r="V287" s="490">
        <f t="shared" si="125"/>
        <v>46</v>
      </c>
      <c r="W287" s="491">
        <f>(1/2)*$X$207</f>
        <v>2</v>
      </c>
      <c r="X287" s="489">
        <f t="shared" si="276"/>
        <v>16</v>
      </c>
      <c r="Y287" s="492">
        <f t="shared" si="277"/>
        <v>0</v>
      </c>
      <c r="Z287" s="493">
        <f t="shared" si="278"/>
        <v>0</v>
      </c>
      <c r="AA287" s="931" t="str">
        <f t="shared" si="279"/>
        <v/>
      </c>
      <c r="AB287" s="925" t="str">
        <f t="shared" si="138"/>
        <v/>
      </c>
      <c r="AC287" s="595"/>
      <c r="AD287" s="594"/>
      <c r="AE287" s="595"/>
      <c r="AF287" s="584"/>
      <c r="AG287" s="354"/>
      <c r="AH287" s="595"/>
      <c r="AI287" s="443"/>
      <c r="AJ287" s="595"/>
      <c r="AK287" s="595"/>
      <c r="AL287" s="595"/>
      <c r="AM287" s="595"/>
      <c r="AN287" s="595"/>
      <c r="AO287" s="584"/>
      <c r="AP287" s="595"/>
      <c r="AQ287" s="595"/>
      <c r="AR287" s="595"/>
      <c r="AS287" s="595"/>
      <c r="AT287" s="595"/>
      <c r="AU287" s="595"/>
      <c r="AV287" s="595"/>
      <c r="AW287" s="595"/>
      <c r="AX287" s="595"/>
      <c r="AY287" s="595"/>
      <c r="AZ287" s="595"/>
      <c r="BA287" s="595"/>
      <c r="BB287" s="595"/>
      <c r="BC287" s="595"/>
      <c r="BD287" s="595"/>
      <c r="BE287" s="595"/>
      <c r="BF287" s="595"/>
      <c r="BG287" s="595"/>
      <c r="BH287" s="595"/>
      <c r="BI287" s="595"/>
      <c r="BJ287" s="595"/>
      <c r="BK287" s="595"/>
      <c r="BL287" s="595"/>
      <c r="BM287" s="595"/>
      <c r="BN287" s="595"/>
      <c r="BO287" s="651"/>
      <c r="BP287" s="651"/>
      <c r="BQ287" s="651"/>
      <c r="BR287" s="651"/>
      <c r="BS287" s="651"/>
      <c r="BT287" s="651"/>
    </row>
    <row r="288" hidden="1">
      <c r="A288" s="1074"/>
      <c r="B288" s="584"/>
      <c r="C288" s="526" t="s">
        <v>193</v>
      </c>
      <c r="D288" s="1005"/>
      <c r="E288" s="1006"/>
      <c r="F288" s="1181"/>
      <c r="G288" s="1008"/>
      <c r="H288" s="1007"/>
      <c r="I288" s="1010"/>
      <c r="J288" s="1011"/>
      <c r="K288" s="1012"/>
      <c r="L288" s="1013"/>
      <c r="M288" s="1013"/>
      <c r="N288" s="1014">
        <f>+N280+N257+N241+N229+N223+N217+N212+N202+N196+N188</f>
        <v>19077.48095</v>
      </c>
      <c r="O288" s="590"/>
      <c r="P288" s="939" t="str">
        <f>IFERROR(__xludf.DUMMYFUNCTION("IF(Q288="""","""",
   IF(Q288=0,0,
      IF(ISNUMBER(MATCH(Q288,FILTER(R$222:R$342,T$222:T$342&lt;&gt;0),0)),1,0)
   )
)"),"")</f>
        <v/>
      </c>
      <c r="Q288" s="941"/>
      <c r="R288" s="942" t="s">
        <v>484</v>
      </c>
      <c r="S288" s="930" t="s">
        <v>52</v>
      </c>
      <c r="T288" s="488">
        <f t="shared" si="145"/>
        <v>28</v>
      </c>
      <c r="U288" s="489">
        <f t="shared" si="124"/>
        <v>4</v>
      </c>
      <c r="V288" s="490">
        <f t="shared" si="125"/>
        <v>46</v>
      </c>
      <c r="W288" s="491">
        <f>(5/1)*$X$207</f>
        <v>20</v>
      </c>
      <c r="X288" s="489">
        <f t="shared" si="276"/>
        <v>160</v>
      </c>
      <c r="Y288" s="492">
        <f t="shared" si="277"/>
        <v>0.18</v>
      </c>
      <c r="Z288" s="493">
        <f t="shared" si="278"/>
        <v>264.96</v>
      </c>
      <c r="AA288" s="931">
        <f t="shared" si="279"/>
        <v>9.462857143</v>
      </c>
      <c r="AB288" s="925">
        <f t="shared" si="138"/>
        <v>10</v>
      </c>
      <c r="AC288" s="595"/>
      <c r="AD288" s="594"/>
      <c r="AE288" s="595"/>
      <c r="AF288" s="584"/>
      <c r="AG288" s="354"/>
      <c r="AH288" s="595"/>
      <c r="AI288" s="443"/>
      <c r="AJ288" s="595"/>
      <c r="AK288" s="595"/>
      <c r="AL288" s="595"/>
      <c r="AM288" s="595"/>
      <c r="AN288" s="595"/>
      <c r="AO288" s="584"/>
      <c r="AP288" s="595"/>
      <c r="AQ288" s="595"/>
      <c r="AR288" s="595"/>
      <c r="AS288" s="595"/>
      <c r="AT288" s="595"/>
      <c r="AU288" s="595"/>
      <c r="AV288" s="595"/>
      <c r="AW288" s="595"/>
      <c r="AX288" s="595"/>
      <c r="AY288" s="595"/>
      <c r="AZ288" s="595"/>
      <c r="BA288" s="595"/>
      <c r="BB288" s="595"/>
      <c r="BC288" s="595"/>
      <c r="BD288" s="595"/>
      <c r="BE288" s="595"/>
      <c r="BF288" s="595"/>
      <c r="BG288" s="595"/>
      <c r="BH288" s="595"/>
      <c r="BI288" s="595"/>
      <c r="BJ288" s="595"/>
      <c r="BK288" s="595"/>
      <c r="BL288" s="595"/>
      <c r="BM288" s="595"/>
      <c r="BN288" s="595"/>
      <c r="BO288" s="651"/>
      <c r="BP288" s="651"/>
      <c r="BQ288" s="651"/>
      <c r="BR288" s="651"/>
      <c r="BS288" s="651"/>
      <c r="BT288" s="651"/>
    </row>
    <row r="289" hidden="1">
      <c r="A289" s="1074"/>
      <c r="B289" s="584"/>
      <c r="C289" s="443"/>
      <c r="D289" s="443"/>
      <c r="E289" s="585"/>
      <c r="F289" s="1075"/>
      <c r="G289" s="985"/>
      <c r="H289" s="349"/>
      <c r="I289" s="595"/>
      <c r="J289" s="584"/>
      <c r="K289" s="354"/>
      <c r="L289" s="588"/>
      <c r="M289" s="588"/>
      <c r="N289" s="589"/>
      <c r="O289" s="590"/>
      <c r="P289" s="939" t="str">
        <f>IFERROR(__xludf.DUMMYFUNCTION("IF(Q289="""","""",
   IF(Q289=0,0,
      IF(ISNUMBER(MATCH(Q289,FILTER(R$222:R$342,T$222:T$342&lt;&gt;0),0)),1,0)
   )
)"),"")</f>
        <v/>
      </c>
      <c r="Q289" s="941"/>
      <c r="R289" s="929" t="s">
        <v>40</v>
      </c>
      <c r="S289" s="930" t="s">
        <v>41</v>
      </c>
      <c r="T289" s="488">
        <f t="shared" si="145"/>
        <v>451.7370263</v>
      </c>
      <c r="U289" s="489">
        <f t="shared" si="124"/>
        <v>4</v>
      </c>
      <c r="V289" s="490">
        <f t="shared" si="125"/>
        <v>46</v>
      </c>
      <c r="W289" s="491">
        <f>(30/4)*$X$207</f>
        <v>30</v>
      </c>
      <c r="X289" s="489">
        <f t="shared" si="276"/>
        <v>240</v>
      </c>
      <c r="Y289" s="492">
        <f t="shared" si="277"/>
        <v>1.89</v>
      </c>
      <c r="Z289" s="493">
        <f t="shared" si="278"/>
        <v>2782.08</v>
      </c>
      <c r="AA289" s="931">
        <f t="shared" si="279"/>
        <v>6.158627339</v>
      </c>
      <c r="AB289" s="925">
        <f t="shared" si="138"/>
        <v>10</v>
      </c>
      <c r="AC289" s="595"/>
      <c r="AD289" s="594"/>
      <c r="AE289" s="595"/>
      <c r="AF289" s="584"/>
      <c r="AG289" s="354"/>
      <c r="AH289" s="595"/>
      <c r="AI289" s="443"/>
      <c r="AJ289" s="595"/>
      <c r="AK289" s="595"/>
      <c r="AL289" s="595"/>
      <c r="AM289" s="595"/>
      <c r="AN289" s="595"/>
      <c r="AO289" s="584"/>
      <c r="AP289" s="595"/>
      <c r="AQ289" s="595"/>
      <c r="AR289" s="595"/>
      <c r="AS289" s="595"/>
      <c r="AT289" s="595"/>
      <c r="AU289" s="595"/>
      <c r="AV289" s="595"/>
      <c r="AW289" s="595"/>
      <c r="AX289" s="595"/>
      <c r="AY289" s="595"/>
      <c r="AZ289" s="595"/>
      <c r="BA289" s="595"/>
      <c r="BB289" s="595"/>
      <c r="BC289" s="595"/>
      <c r="BD289" s="595"/>
      <c r="BE289" s="595"/>
      <c r="BF289" s="595"/>
      <c r="BG289" s="595"/>
      <c r="BH289" s="595"/>
      <c r="BI289" s="595"/>
      <c r="BJ289" s="595"/>
      <c r="BK289" s="595"/>
      <c r="BL289" s="595"/>
      <c r="BM289" s="595"/>
      <c r="BN289" s="595"/>
      <c r="BO289" s="651"/>
      <c r="BP289" s="651"/>
      <c r="BQ289" s="651"/>
      <c r="BR289" s="651"/>
      <c r="BS289" s="651"/>
      <c r="BT289" s="651"/>
    </row>
    <row r="290" hidden="1">
      <c r="A290" s="1074"/>
      <c r="B290" s="584"/>
      <c r="C290" s="700"/>
      <c r="D290" s="700"/>
      <c r="E290" s="722"/>
      <c r="F290" s="1182"/>
      <c r="G290" s="225"/>
      <c r="H290" s="128"/>
      <c r="I290" s="534" t="s">
        <v>175</v>
      </c>
      <c r="J290" s="1015"/>
      <c r="K290" s="1016"/>
      <c r="L290" s="588"/>
      <c r="M290" s="588"/>
      <c r="N290" s="589"/>
      <c r="O290" s="590"/>
      <c r="P290" s="939" t="str">
        <f>IFERROR(__xludf.DUMMYFUNCTION("IF(Q290="""","""",
   IF(Q290=0,0,
      IF(ISNUMBER(MATCH(Q290,FILTER(R$222:R$342,T$222:T$342&lt;&gt;0),0)),1,0)
   )
)"),"")</f>
        <v/>
      </c>
      <c r="Q290" s="941"/>
      <c r="R290" s="929" t="s">
        <v>99</v>
      </c>
      <c r="S290" s="930" t="s">
        <v>52</v>
      </c>
      <c r="T290" s="488">
        <f t="shared" si="145"/>
        <v>6.396285443</v>
      </c>
      <c r="U290" s="489">
        <f t="shared" si="124"/>
        <v>4</v>
      </c>
      <c r="V290" s="487">
        <f t="shared" si="125"/>
        <v>46</v>
      </c>
      <c r="W290" s="1017"/>
      <c r="X290" s="489"/>
      <c r="Y290" s="489"/>
      <c r="Z290" s="1018"/>
      <c r="AA290" s="931"/>
      <c r="AB290" s="925" t="str">
        <f t="shared" si="138"/>
        <v/>
      </c>
      <c r="AC290" s="1178"/>
      <c r="AD290" s="595"/>
      <c r="AE290" s="595"/>
      <c r="AF290" s="595"/>
      <c r="AG290" s="354"/>
      <c r="AH290" s="443"/>
      <c r="AI290" s="595"/>
      <c r="AJ290" s="595"/>
      <c r="AK290" s="595"/>
      <c r="AL290" s="595"/>
      <c r="AM290" s="595"/>
      <c r="AN290" s="584"/>
      <c r="AO290" s="595"/>
      <c r="AP290" s="595"/>
      <c r="AQ290" s="595"/>
      <c r="AR290" s="595"/>
      <c r="AS290" s="595"/>
      <c r="AT290" s="595"/>
      <c r="AU290" s="595"/>
      <c r="AV290" s="595"/>
      <c r="AW290" s="595"/>
      <c r="AX290" s="595"/>
      <c r="AY290" s="595"/>
      <c r="AZ290" s="595"/>
      <c r="BA290" s="595"/>
      <c r="BB290" s="595"/>
      <c r="BC290" s="595"/>
      <c r="BD290" s="595"/>
      <c r="BE290" s="595"/>
      <c r="BF290" s="595"/>
      <c r="BG290" s="595"/>
      <c r="BH290" s="595"/>
      <c r="BI290" s="595"/>
      <c r="BJ290" s="595"/>
      <c r="BK290" s="595"/>
      <c r="BL290" s="595"/>
      <c r="BM290" s="595"/>
      <c r="BN290" s="595"/>
      <c r="BO290" s="651"/>
      <c r="BP290" s="651"/>
      <c r="BQ290" s="651"/>
      <c r="BR290" s="651"/>
      <c r="BS290" s="651"/>
      <c r="BT290" s="651"/>
    </row>
    <row r="291" hidden="1">
      <c r="A291" s="1074"/>
      <c r="B291" s="584"/>
      <c r="C291" s="537" t="s">
        <v>289</v>
      </c>
      <c r="D291" s="700"/>
      <c r="E291" s="722"/>
      <c r="F291" s="1182"/>
      <c r="G291" s="225"/>
      <c r="H291" s="128"/>
      <c r="I291" s="1019"/>
      <c r="J291" s="924"/>
      <c r="K291" s="1020"/>
      <c r="L291" s="588"/>
      <c r="M291" s="588"/>
      <c r="N291" s="589"/>
      <c r="O291" s="590"/>
      <c r="P291" s="939" t="str">
        <f>IFERROR(__xludf.DUMMYFUNCTION("IF(Q291="""","""",
   IF(Q291=0,0,
      IF(ISNUMBER(MATCH(Q291,FILTER(R$222:R$342,T$222:T$342&lt;&gt;0),0)),1,0)
   )
)"),"")</f>
        <v/>
      </c>
      <c r="Q291" s="941"/>
      <c r="R291" s="929" t="s">
        <v>398</v>
      </c>
      <c r="S291" s="930" t="s">
        <v>52</v>
      </c>
      <c r="T291" s="488">
        <f t="shared" si="145"/>
        <v>0</v>
      </c>
      <c r="U291" s="489">
        <f t="shared" si="124"/>
        <v>4</v>
      </c>
      <c r="V291" s="490">
        <f t="shared" si="125"/>
        <v>46</v>
      </c>
      <c r="W291" s="491"/>
      <c r="X291" s="489"/>
      <c r="Y291" s="492"/>
      <c r="Z291" s="493"/>
      <c r="AA291" s="931"/>
      <c r="AB291" s="925" t="str">
        <f t="shared" si="138"/>
        <v/>
      </c>
      <c r="AC291" s="595"/>
      <c r="AD291" s="594"/>
      <c r="AE291" s="1021"/>
      <c r="AF291" s="595"/>
      <c r="AG291" s="354"/>
      <c r="AH291" s="443"/>
      <c r="AI291" s="595"/>
      <c r="AJ291" s="595"/>
      <c r="AK291" s="595"/>
      <c r="AL291" s="595"/>
      <c r="AM291" s="595"/>
      <c r="AN291" s="584"/>
      <c r="AO291" s="595"/>
      <c r="AP291" s="595"/>
      <c r="AQ291" s="595"/>
      <c r="AR291" s="595"/>
      <c r="AS291" s="595"/>
      <c r="AT291" s="595"/>
      <c r="AU291" s="595"/>
      <c r="AV291" s="595"/>
      <c r="AW291" s="595"/>
      <c r="AX291" s="595"/>
      <c r="AY291" s="595"/>
      <c r="AZ291" s="595"/>
      <c r="BA291" s="595"/>
      <c r="BB291" s="595"/>
      <c r="BC291" s="595"/>
      <c r="BD291" s="595"/>
      <c r="BE291" s="595"/>
      <c r="BF291" s="595"/>
      <c r="BG291" s="595"/>
      <c r="BH291" s="595"/>
      <c r="BI291" s="595"/>
      <c r="BJ291" s="595"/>
      <c r="BK291" s="595"/>
      <c r="BL291" s="595"/>
      <c r="BM291" s="595"/>
      <c r="BN291" s="595"/>
      <c r="BO291" s="651"/>
      <c r="BP291" s="651"/>
      <c r="BQ291" s="651"/>
      <c r="BR291" s="651"/>
      <c r="BS291" s="651"/>
      <c r="BT291" s="651"/>
    </row>
    <row r="292" hidden="1">
      <c r="A292" s="1074"/>
      <c r="B292" s="584"/>
      <c r="C292" s="540" t="s">
        <v>290</v>
      </c>
      <c r="D292" s="700"/>
      <c r="E292" s="722"/>
      <c r="F292" s="1182"/>
      <c r="G292" s="225"/>
      <c r="H292" s="128"/>
      <c r="I292" s="541">
        <f>+T195</f>
        <v>50232.11843</v>
      </c>
      <c r="J292" s="924"/>
      <c r="K292" s="1020"/>
      <c r="L292" s="375">
        <f>I292/I294</f>
        <v>0.6309518082</v>
      </c>
      <c r="M292" s="588"/>
      <c r="N292" s="589"/>
      <c r="O292" s="590"/>
      <c r="P292" s="939" t="str">
        <f>IFERROR(__xludf.DUMMYFUNCTION("IF(Q292="""","""",
   IF(Q292=0,0,
      IF(ISNUMBER(MATCH(Q292,FILTER(R$222:R$342,T$222:T$342&lt;&gt;0),0)),1,0)
   )
)"),"")</f>
        <v/>
      </c>
      <c r="Q292" s="941"/>
      <c r="R292" s="942" t="s">
        <v>610</v>
      </c>
      <c r="S292" s="930" t="s">
        <v>52</v>
      </c>
      <c r="T292" s="488">
        <f t="shared" si="145"/>
        <v>6</v>
      </c>
      <c r="U292" s="489">
        <f t="shared" si="124"/>
        <v>4</v>
      </c>
      <c r="V292" s="490">
        <f t="shared" si="125"/>
        <v>46</v>
      </c>
      <c r="W292" s="491">
        <f>(0.1/2)*$X$207</f>
        <v>0.2</v>
      </c>
      <c r="X292" s="489">
        <f t="shared" ref="X292:X295" si="280">W292*W$217</f>
        <v>1.6</v>
      </c>
      <c r="Y292" s="492">
        <f t="shared" ref="Y292:Y295" si="281">ROUNDUP(T292/X292,2)</f>
        <v>3.75</v>
      </c>
      <c r="Z292" s="493">
        <f t="shared" ref="Z292:Z295" si="282">Y292*V292*U292*W$217</f>
        <v>5520</v>
      </c>
      <c r="AA292" s="931">
        <f t="shared" ref="AA292:AA295" si="283">iferror(Z292/T292,"")</f>
        <v>920</v>
      </c>
      <c r="AB292" s="925">
        <f t="shared" si="138"/>
        <v>650</v>
      </c>
      <c r="AC292" s="595"/>
      <c r="AD292" s="594"/>
      <c r="AE292" s="595"/>
      <c r="AF292" s="595"/>
      <c r="AG292" s="354"/>
      <c r="AH292" s="443"/>
      <c r="AI292" s="595"/>
      <c r="AJ292" s="595"/>
      <c r="AK292" s="595"/>
      <c r="AL292" s="595"/>
      <c r="AM292" s="595"/>
      <c r="AN292" s="584"/>
      <c r="AO292" s="595"/>
      <c r="AP292" s="595"/>
      <c r="AQ292" s="595"/>
      <c r="AR292" s="595"/>
      <c r="AS292" s="595"/>
      <c r="AT292" s="595"/>
      <c r="AU292" s="595"/>
      <c r="AV292" s="595"/>
      <c r="AW292" s="595"/>
      <c r="AX292" s="595"/>
      <c r="AY292" s="595"/>
      <c r="AZ292" s="595"/>
      <c r="BA292" s="595"/>
      <c r="BB292" s="595"/>
      <c r="BC292" s="595"/>
      <c r="BD292" s="595"/>
      <c r="BE292" s="595"/>
      <c r="BF292" s="595"/>
      <c r="BG292" s="595"/>
      <c r="BH292" s="595"/>
      <c r="BI292" s="595"/>
      <c r="BJ292" s="595"/>
      <c r="BK292" s="595"/>
      <c r="BL292" s="595"/>
      <c r="BM292" s="595"/>
      <c r="BN292" s="595"/>
      <c r="BO292" s="651"/>
      <c r="BP292" s="651"/>
      <c r="BQ292" s="651"/>
      <c r="BR292" s="651"/>
      <c r="BS292" s="651"/>
      <c r="BT292" s="651"/>
    </row>
    <row r="293" hidden="1">
      <c r="A293" s="1074"/>
      <c r="B293" s="584"/>
      <c r="C293" s="540" t="s">
        <v>185</v>
      </c>
      <c r="D293" s="700"/>
      <c r="E293" s="722"/>
      <c r="F293" s="1182"/>
      <c r="G293" s="225"/>
      <c r="H293" s="128"/>
      <c r="I293" s="542">
        <f>+W195</f>
        <v>29381.12268</v>
      </c>
      <c r="J293" s="924"/>
      <c r="K293" s="1020"/>
      <c r="L293" s="375">
        <f>I293/I294</f>
        <v>0.3690481918</v>
      </c>
      <c r="M293" s="588"/>
      <c r="N293" s="589"/>
      <c r="O293" s="590"/>
      <c r="P293" s="939" t="str">
        <f>IFERROR(__xludf.DUMMYFUNCTION("IF(Q293="""","""",
   IF(Q293=0,0,
      IF(ISNUMBER(MATCH(Q293,FILTER(R$222:R$342,T$222:T$342&lt;&gt;0),0)),1,0)
   )
)"),"")</f>
        <v/>
      </c>
      <c r="Q293" s="941"/>
      <c r="R293" s="929" t="s">
        <v>401</v>
      </c>
      <c r="S293" s="930" t="s">
        <v>52</v>
      </c>
      <c r="T293" s="488">
        <f t="shared" si="145"/>
        <v>0</v>
      </c>
      <c r="U293" s="489">
        <f t="shared" si="124"/>
        <v>4</v>
      </c>
      <c r="V293" s="490">
        <f t="shared" si="125"/>
        <v>46</v>
      </c>
      <c r="W293" s="491">
        <f t="shared" ref="W293:W295" si="284">(10/1)*$X$207</f>
        <v>40</v>
      </c>
      <c r="X293" s="489">
        <f t="shared" si="280"/>
        <v>320</v>
      </c>
      <c r="Y293" s="492">
        <f t="shared" si="281"/>
        <v>0</v>
      </c>
      <c r="Z293" s="493">
        <f t="shared" si="282"/>
        <v>0</v>
      </c>
      <c r="AA293" s="931" t="str">
        <f t="shared" si="283"/>
        <v/>
      </c>
      <c r="AB293" s="925" t="str">
        <f t="shared" si="138"/>
        <v/>
      </c>
      <c r="AC293" s="595"/>
      <c r="AD293" s="595"/>
      <c r="AE293" s="584"/>
      <c r="AF293" s="595"/>
      <c r="AG293" s="354"/>
      <c r="AH293" s="443"/>
      <c r="AI293" s="595"/>
      <c r="AJ293" s="595"/>
      <c r="AK293" s="595"/>
      <c r="AL293" s="595"/>
      <c r="AM293" s="595"/>
      <c r="AN293" s="584"/>
      <c r="AO293" s="595"/>
      <c r="AP293" s="595"/>
      <c r="AQ293" s="595"/>
      <c r="AR293" s="595"/>
      <c r="AS293" s="595"/>
      <c r="AT293" s="595"/>
      <c r="AU293" s="595"/>
      <c r="AV293" s="595"/>
      <c r="AW293" s="595"/>
      <c r="AX293" s="595"/>
      <c r="AY293" s="595"/>
      <c r="AZ293" s="595"/>
      <c r="BA293" s="595"/>
      <c r="BB293" s="595"/>
      <c r="BC293" s="595"/>
      <c r="BD293" s="595"/>
      <c r="BE293" s="595"/>
      <c r="BF293" s="595"/>
      <c r="BG293" s="595"/>
      <c r="BH293" s="595"/>
      <c r="BI293" s="595"/>
      <c r="BJ293" s="595"/>
      <c r="BK293" s="595"/>
      <c r="BL293" s="595"/>
      <c r="BM293" s="595"/>
      <c r="BN293" s="651"/>
      <c r="BO293" s="651"/>
      <c r="BP293" s="651"/>
      <c r="BQ293" s="651"/>
      <c r="BR293" s="651"/>
      <c r="BS293" s="651"/>
      <c r="BT293" s="651"/>
    </row>
    <row r="294" hidden="1">
      <c r="A294" s="1074"/>
      <c r="B294" s="584"/>
      <c r="C294" s="543" t="s">
        <v>291</v>
      </c>
      <c r="D294" s="1022"/>
      <c r="E294" s="1023"/>
      <c r="F294" s="1183"/>
      <c r="G294" s="1025"/>
      <c r="H294" s="1024"/>
      <c r="I294" s="546">
        <f>SUM(I292:I293)</f>
        <v>79613.24111</v>
      </c>
      <c r="J294" s="1026"/>
      <c r="K294" s="1027"/>
      <c r="L294" s="588"/>
      <c r="M294" s="588"/>
      <c r="N294" s="589"/>
      <c r="O294" s="590"/>
      <c r="P294" s="939" t="str">
        <f>IFERROR(__xludf.DUMMYFUNCTION("IF(Q294="""","""",
   IF(Q294=0,0,
      IF(ISNUMBER(MATCH(Q294,FILTER(R$222:R$342,T$222:T$342&lt;&gt;0),0)),1,0)
   )
)"),"")</f>
        <v/>
      </c>
      <c r="Q294" s="941"/>
      <c r="R294" s="929" t="s">
        <v>399</v>
      </c>
      <c r="S294" s="930" t="s">
        <v>52</v>
      </c>
      <c r="T294" s="488">
        <f t="shared" si="145"/>
        <v>0</v>
      </c>
      <c r="U294" s="489">
        <f t="shared" si="124"/>
        <v>4</v>
      </c>
      <c r="V294" s="490">
        <f t="shared" si="125"/>
        <v>46</v>
      </c>
      <c r="W294" s="491">
        <f t="shared" si="284"/>
        <v>40</v>
      </c>
      <c r="X294" s="489">
        <f t="shared" si="280"/>
        <v>320</v>
      </c>
      <c r="Y294" s="492">
        <f t="shared" si="281"/>
        <v>0</v>
      </c>
      <c r="Z294" s="493">
        <f t="shared" si="282"/>
        <v>0</v>
      </c>
      <c r="AA294" s="931" t="str">
        <f t="shared" si="283"/>
        <v/>
      </c>
      <c r="AB294" s="925" t="str">
        <f t="shared" si="138"/>
        <v/>
      </c>
      <c r="AC294" s="595"/>
      <c r="AD294" s="595"/>
      <c r="AE294" s="584"/>
      <c r="AF294" s="595"/>
      <c r="AG294" s="354"/>
      <c r="AH294" s="443"/>
      <c r="AI294" s="595"/>
      <c r="AJ294" s="595"/>
      <c r="AK294" s="595"/>
      <c r="AL294" s="595"/>
      <c r="AM294" s="595"/>
      <c r="AN294" s="584"/>
      <c r="AO294" s="595"/>
      <c r="AP294" s="595"/>
      <c r="AQ294" s="595"/>
      <c r="AR294" s="595"/>
      <c r="AS294" s="595"/>
      <c r="AT294" s="595"/>
      <c r="AU294" s="595"/>
      <c r="AV294" s="595"/>
      <c r="AW294" s="595"/>
      <c r="AX294" s="595"/>
      <c r="AY294" s="595"/>
      <c r="AZ294" s="595"/>
      <c r="BA294" s="595"/>
      <c r="BB294" s="595"/>
      <c r="BC294" s="595"/>
      <c r="BD294" s="595"/>
      <c r="BE294" s="595"/>
      <c r="BF294" s="595"/>
      <c r="BG294" s="595"/>
      <c r="BH294" s="595"/>
      <c r="BI294" s="595"/>
      <c r="BJ294" s="595"/>
      <c r="BK294" s="595"/>
      <c r="BL294" s="595"/>
      <c r="BM294" s="651"/>
      <c r="BN294" s="651"/>
      <c r="BO294" s="651"/>
      <c r="BP294" s="651"/>
      <c r="BQ294" s="651"/>
      <c r="BR294" s="651"/>
      <c r="BS294" s="651"/>
      <c r="BT294" s="651"/>
    </row>
    <row r="295" hidden="1">
      <c r="A295" s="1074"/>
      <c r="B295" s="584"/>
      <c r="C295" s="584"/>
      <c r="D295" s="584"/>
      <c r="E295" s="585"/>
      <c r="F295" s="1075"/>
      <c r="G295" s="587"/>
      <c r="H295" s="586"/>
      <c r="I295" s="584"/>
      <c r="J295" s="584"/>
      <c r="K295" s="586"/>
      <c r="L295" s="588"/>
      <c r="M295" s="588"/>
      <c r="N295" s="589"/>
      <c r="O295" s="590"/>
      <c r="P295" s="939" t="str">
        <f>IFERROR(__xludf.DUMMYFUNCTION("IF(Q295="""","""",
   IF(Q295=0,0,
      IF(ISNUMBER(MATCH(Q295,FILTER(R$222:R$342,T$222:T$342&lt;&gt;0),0)),1,0)
   )
)"),"")</f>
        <v/>
      </c>
      <c r="Q295" s="941"/>
      <c r="R295" s="929" t="s">
        <v>400</v>
      </c>
      <c r="S295" s="930" t="s">
        <v>52</v>
      </c>
      <c r="T295" s="488">
        <f t="shared" si="145"/>
        <v>0</v>
      </c>
      <c r="U295" s="489">
        <f t="shared" si="124"/>
        <v>4</v>
      </c>
      <c r="V295" s="490">
        <f t="shared" si="125"/>
        <v>46</v>
      </c>
      <c r="W295" s="491">
        <f t="shared" si="284"/>
        <v>40</v>
      </c>
      <c r="X295" s="489">
        <f t="shared" si="280"/>
        <v>320</v>
      </c>
      <c r="Y295" s="492">
        <f t="shared" si="281"/>
        <v>0</v>
      </c>
      <c r="Z295" s="493">
        <f t="shared" si="282"/>
        <v>0</v>
      </c>
      <c r="AA295" s="931" t="str">
        <f t="shared" si="283"/>
        <v/>
      </c>
      <c r="AB295" s="925" t="str">
        <f t="shared" si="138"/>
        <v/>
      </c>
      <c r="AC295" s="595"/>
      <c r="AD295" s="595"/>
      <c r="AE295" s="584"/>
      <c r="AF295" s="595"/>
      <c r="AG295" s="354"/>
      <c r="AH295" s="443"/>
      <c r="AI295" s="595"/>
      <c r="AJ295" s="595"/>
      <c r="AK295" s="595"/>
      <c r="AL295" s="595"/>
      <c r="AM295" s="595"/>
      <c r="AN295" s="584"/>
      <c r="AO295" s="595"/>
      <c r="AP295" s="595"/>
      <c r="AQ295" s="595"/>
      <c r="AR295" s="595"/>
      <c r="AS295" s="595"/>
      <c r="AT295" s="595"/>
      <c r="AU295" s="595"/>
      <c r="AV295" s="595"/>
      <c r="AW295" s="595"/>
      <c r="AX295" s="595"/>
      <c r="AY295" s="595"/>
      <c r="AZ295" s="595"/>
      <c r="BA295" s="595"/>
      <c r="BB295" s="595"/>
      <c r="BC295" s="595"/>
      <c r="BD295" s="595"/>
      <c r="BE295" s="595"/>
      <c r="BF295" s="595"/>
      <c r="BG295" s="595"/>
      <c r="BH295" s="595"/>
      <c r="BI295" s="595"/>
      <c r="BJ295" s="595"/>
      <c r="BK295" s="595"/>
      <c r="BL295" s="595"/>
      <c r="BM295" s="651"/>
      <c r="BN295" s="651"/>
      <c r="BO295" s="651"/>
      <c r="BP295" s="651"/>
      <c r="BQ295" s="651"/>
      <c r="BR295" s="651"/>
      <c r="BS295" s="651"/>
      <c r="BT295" s="651"/>
    </row>
    <row r="296" hidden="1">
      <c r="A296" s="1074"/>
      <c r="B296" s="584"/>
      <c r="C296" s="537" t="s">
        <v>292</v>
      </c>
      <c r="D296" s="700"/>
      <c r="E296" s="722"/>
      <c r="F296" s="1182"/>
      <c r="G296" s="225"/>
      <c r="H296" s="128"/>
      <c r="I296" s="1019"/>
      <c r="J296" s="924"/>
      <c r="K296" s="1020"/>
      <c r="L296" s="588"/>
      <c r="M296" s="588"/>
      <c r="N296" s="589"/>
      <c r="O296" s="590"/>
      <c r="P296" s="939" t="str">
        <f>IFERROR(__xludf.DUMMYFUNCTION("IF(Q296="""","""",
   IF(Q296=0,0,
      IF(ISNUMBER(MATCH(Q296,FILTER(R$222:R$342,T$222:T$342&lt;&gt;0),0)),1,0)
   )
)"),"")</f>
        <v/>
      </c>
      <c r="Q296" s="941"/>
      <c r="R296" s="942" t="s">
        <v>611</v>
      </c>
      <c r="S296" s="930" t="s">
        <v>55</v>
      </c>
      <c r="T296" s="488">
        <f t="shared" si="145"/>
        <v>0</v>
      </c>
      <c r="U296" s="489">
        <f t="shared" si="124"/>
        <v>4</v>
      </c>
      <c r="V296" s="490">
        <f t="shared" si="125"/>
        <v>46</v>
      </c>
      <c r="W296" s="491"/>
      <c r="X296" s="489"/>
      <c r="Y296" s="492"/>
      <c r="Z296" s="493"/>
      <c r="AA296" s="931"/>
      <c r="AB296" s="925" t="str">
        <f t="shared" si="138"/>
        <v/>
      </c>
      <c r="AC296" s="595"/>
      <c r="AD296" s="595"/>
      <c r="AE296" s="584"/>
      <c r="AF296" s="595"/>
      <c r="AG296" s="354"/>
      <c r="AH296" s="443"/>
      <c r="AI296" s="595"/>
      <c r="AJ296" s="595"/>
      <c r="AK296" s="595"/>
      <c r="AL296" s="595"/>
      <c r="AM296" s="595"/>
      <c r="AN296" s="584"/>
      <c r="AO296" s="595"/>
      <c r="AP296" s="595"/>
      <c r="AQ296" s="595"/>
      <c r="AR296" s="595"/>
      <c r="AS296" s="595"/>
      <c r="AT296" s="595"/>
      <c r="AU296" s="595"/>
      <c r="AV296" s="595"/>
      <c r="AW296" s="595"/>
      <c r="AX296" s="595"/>
      <c r="AY296" s="595"/>
      <c r="AZ296" s="595"/>
      <c r="BA296" s="595"/>
      <c r="BB296" s="595"/>
      <c r="BC296" s="595"/>
      <c r="BD296" s="595"/>
      <c r="BE296" s="595"/>
      <c r="BF296" s="595"/>
      <c r="BG296" s="595"/>
      <c r="BH296" s="595"/>
      <c r="BI296" s="595"/>
      <c r="BJ296" s="595"/>
      <c r="BK296" s="595"/>
      <c r="BL296" s="595"/>
      <c r="BM296" s="651"/>
      <c r="BN296" s="651"/>
      <c r="BO296" s="651"/>
      <c r="BP296" s="651"/>
      <c r="BQ296" s="651"/>
      <c r="BR296" s="651"/>
      <c r="BS296" s="651"/>
      <c r="BT296" s="651"/>
    </row>
    <row r="297" hidden="1">
      <c r="A297" s="1074"/>
      <c r="B297" s="584"/>
      <c r="C297" s="540" t="str">
        <f>C188</f>
        <v>Pre-mobilisation documents</v>
      </c>
      <c r="D297" s="700"/>
      <c r="E297" s="722"/>
      <c r="F297" s="1182"/>
      <c r="G297" s="225"/>
      <c r="H297" s="128"/>
      <c r="I297" s="541">
        <f>N188</f>
        <v>0</v>
      </c>
      <c r="J297" s="924"/>
      <c r="K297" s="1020"/>
      <c r="L297" s="588"/>
      <c r="M297" s="588"/>
      <c r="N297" s="589"/>
      <c r="O297" s="590"/>
      <c r="P297" s="939" t="str">
        <f>IFERROR(__xludf.DUMMYFUNCTION("IF(Q297="""","""",
   IF(Q297=0,0,
      IF(ISNUMBER(MATCH(Q297,FILTER(R$222:R$342,T$222:T$342&lt;&gt;0),0)),1,0)
   )
)"),"")</f>
        <v/>
      </c>
      <c r="Q297" s="941"/>
      <c r="R297" s="929" t="s">
        <v>404</v>
      </c>
      <c r="S297" s="930" t="s">
        <v>55</v>
      </c>
      <c r="T297" s="488">
        <f t="shared" si="145"/>
        <v>0</v>
      </c>
      <c r="U297" s="489">
        <f t="shared" si="124"/>
        <v>4</v>
      </c>
      <c r="V297" s="490">
        <f t="shared" si="125"/>
        <v>46</v>
      </c>
      <c r="W297" s="491">
        <f>(4/1)*$X$207</f>
        <v>16</v>
      </c>
      <c r="X297" s="489">
        <f t="shared" ref="X297:X298" si="285">W297*W$217</f>
        <v>128</v>
      </c>
      <c r="Y297" s="492">
        <f t="shared" ref="Y297:Y298" si="286">ROUNDUP(T297/X297,2)</f>
        <v>0</v>
      </c>
      <c r="Z297" s="493">
        <f t="shared" ref="Z297:Z298" si="287">Y297*V297*U297*W$217</f>
        <v>0</v>
      </c>
      <c r="AA297" s="931" t="str">
        <f t="shared" ref="AA297:AA298" si="288">iferror(Z297/T297,"")</f>
        <v/>
      </c>
      <c r="AB297" s="925" t="str">
        <f t="shared" si="138"/>
        <v/>
      </c>
      <c r="AC297" s="595"/>
      <c r="AD297" s="595"/>
      <c r="AE297" s="584"/>
      <c r="AF297" s="595"/>
      <c r="AG297" s="354"/>
      <c r="AH297" s="443"/>
      <c r="AI297" s="595"/>
      <c r="AJ297" s="595"/>
      <c r="AK297" s="595"/>
      <c r="AL297" s="595"/>
      <c r="AM297" s="595"/>
      <c r="AN297" s="584"/>
      <c r="AO297" s="595"/>
      <c r="AP297" s="595"/>
      <c r="AQ297" s="595"/>
      <c r="AR297" s="595"/>
      <c r="AS297" s="595"/>
      <c r="AT297" s="595"/>
      <c r="AU297" s="595"/>
      <c r="AV297" s="595"/>
      <c r="AW297" s="595"/>
      <c r="AX297" s="595"/>
      <c r="AY297" s="595"/>
      <c r="AZ297" s="595"/>
      <c r="BA297" s="595"/>
      <c r="BB297" s="595"/>
      <c r="BC297" s="595"/>
      <c r="BD297" s="595"/>
      <c r="BE297" s="595"/>
      <c r="BF297" s="595"/>
      <c r="BG297" s="595"/>
      <c r="BH297" s="595"/>
      <c r="BI297" s="595"/>
      <c r="BJ297" s="595"/>
      <c r="BK297" s="595"/>
      <c r="BL297" s="595"/>
      <c r="BM297" s="651"/>
      <c r="BN297" s="651"/>
      <c r="BO297" s="651"/>
      <c r="BP297" s="651"/>
      <c r="BQ297" s="651"/>
      <c r="BR297" s="651"/>
      <c r="BS297" s="651"/>
      <c r="BT297" s="651"/>
    </row>
    <row r="298" hidden="1">
      <c r="A298" s="1074"/>
      <c r="B298" s="584"/>
      <c r="C298" s="540" t="str">
        <f>C196</f>
        <v>Site Measure &amp; Order Materials</v>
      </c>
      <c r="D298" s="700"/>
      <c r="E298" s="722"/>
      <c r="F298" s="1182"/>
      <c r="G298" s="225"/>
      <c r="H298" s="128"/>
      <c r="I298" s="541">
        <f>N196</f>
        <v>1253.8</v>
      </c>
      <c r="J298" s="924"/>
      <c r="K298" s="1020"/>
      <c r="L298" s="588"/>
      <c r="M298" s="588"/>
      <c r="N298" s="589"/>
      <c r="O298" s="590"/>
      <c r="P298" s="939" t="str">
        <f>IFERROR(__xludf.DUMMYFUNCTION("IF(Q298="""","""",
   IF(Q298=0,0,
      IF(ISNUMBER(MATCH(Q298,FILTER(R$222:R$342,T$222:T$342&lt;&gt;0),0)),1,0)
   )
)"),"")</f>
        <v/>
      </c>
      <c r="Q298" s="941"/>
      <c r="R298" s="929" t="s">
        <v>405</v>
      </c>
      <c r="S298" s="930" t="s">
        <v>41</v>
      </c>
      <c r="T298" s="488">
        <f t="shared" si="145"/>
        <v>0</v>
      </c>
      <c r="U298" s="489">
        <f t="shared" si="124"/>
        <v>4</v>
      </c>
      <c r="V298" s="490">
        <f t="shared" si="125"/>
        <v>46</v>
      </c>
      <c r="W298" s="491">
        <f>(4/3)*$X$207</f>
        <v>5.333333333</v>
      </c>
      <c r="X298" s="489">
        <f t="shared" si="285"/>
        <v>42.66666667</v>
      </c>
      <c r="Y298" s="492">
        <f t="shared" si="286"/>
        <v>0</v>
      </c>
      <c r="Z298" s="493">
        <f t="shared" si="287"/>
        <v>0</v>
      </c>
      <c r="AA298" s="931" t="str">
        <f t="shared" si="288"/>
        <v/>
      </c>
      <c r="AB298" s="925" t="str">
        <f t="shared" si="138"/>
        <v/>
      </c>
      <c r="AC298" s="595"/>
      <c r="AD298" s="595"/>
      <c r="AE298" s="584"/>
      <c r="AF298" s="595"/>
      <c r="AG298" s="354"/>
      <c r="AH298" s="443"/>
      <c r="AI298" s="595"/>
      <c r="AJ298" s="595"/>
      <c r="AK298" s="595"/>
      <c r="AL298" s="595"/>
      <c r="AM298" s="595"/>
      <c r="AN298" s="584"/>
      <c r="AO298" s="595"/>
      <c r="AP298" s="595"/>
      <c r="AQ298" s="595"/>
      <c r="AR298" s="595"/>
      <c r="AS298" s="595"/>
      <c r="AT298" s="595"/>
      <c r="AU298" s="595"/>
      <c r="AV298" s="595"/>
      <c r="AW298" s="595"/>
      <c r="AX298" s="595"/>
      <c r="AY298" s="595"/>
      <c r="AZ298" s="595"/>
      <c r="BA298" s="595"/>
      <c r="BB298" s="595"/>
      <c r="BC298" s="595"/>
      <c r="BD298" s="595"/>
      <c r="BE298" s="595"/>
      <c r="BF298" s="595"/>
      <c r="BG298" s="595"/>
      <c r="BH298" s="595"/>
      <c r="BI298" s="595"/>
      <c r="BJ298" s="595"/>
      <c r="BK298" s="595"/>
      <c r="BL298" s="595"/>
      <c r="BM298" s="651"/>
      <c r="BN298" s="651"/>
      <c r="BO298" s="651"/>
      <c r="BP298" s="651"/>
      <c r="BQ298" s="651"/>
      <c r="BR298" s="651"/>
      <c r="BS298" s="651"/>
      <c r="BT298" s="651"/>
    </row>
    <row r="299" hidden="1">
      <c r="A299" s="1074"/>
      <c r="B299" s="584"/>
      <c r="C299" s="540" t="str">
        <f>C202</f>
        <v>Freight materials to site</v>
      </c>
      <c r="D299" s="700"/>
      <c r="E299" s="722"/>
      <c r="F299" s="1182"/>
      <c r="G299" s="225"/>
      <c r="H299" s="128"/>
      <c r="I299" s="541">
        <f>N202</f>
        <v>1500</v>
      </c>
      <c r="J299" s="924"/>
      <c r="K299" s="1020"/>
      <c r="L299" s="588"/>
      <c r="M299" s="588"/>
      <c r="N299" s="589"/>
      <c r="O299" s="590"/>
      <c r="P299" s="939" t="str">
        <f>IFERROR(__xludf.DUMMYFUNCTION("IF(Q299="""","""",
   IF(Q299=0,0,
      IF(ISNUMBER(MATCH(Q299,FILTER(R$222:R$342,T$222:T$342&lt;&gt;0),0)),1,0)
   )
)"),"")</f>
        <v/>
      </c>
      <c r="Q299" s="941"/>
      <c r="R299" s="929" t="s">
        <v>406</v>
      </c>
      <c r="S299" s="930" t="s">
        <v>52</v>
      </c>
      <c r="T299" s="488">
        <f t="shared" si="145"/>
        <v>0</v>
      </c>
      <c r="U299" s="489">
        <f t="shared" si="124"/>
        <v>4</v>
      </c>
      <c r="V299" s="490">
        <f t="shared" si="125"/>
        <v>46</v>
      </c>
      <c r="W299" s="491"/>
      <c r="X299" s="489"/>
      <c r="Y299" s="492"/>
      <c r="Z299" s="493"/>
      <c r="AA299" s="931"/>
      <c r="AB299" s="925" t="str">
        <f t="shared" si="138"/>
        <v/>
      </c>
      <c r="AC299" s="595"/>
      <c r="AD299" s="595"/>
      <c r="AE299" s="584"/>
      <c r="AF299" s="595"/>
      <c r="AG299" s="354"/>
      <c r="AH299" s="443"/>
      <c r="AI299" s="595"/>
      <c r="AJ299" s="595"/>
      <c r="AK299" s="595"/>
      <c r="AL299" s="595"/>
      <c r="AM299" s="595"/>
      <c r="AN299" s="584"/>
      <c r="AO299" s="595"/>
      <c r="AP299" s="595"/>
      <c r="AQ299" s="595"/>
      <c r="AR299" s="595"/>
      <c r="AS299" s="595"/>
      <c r="AT299" s="595"/>
      <c r="AU299" s="595"/>
      <c r="AV299" s="595"/>
      <c r="AW299" s="595"/>
      <c r="AX299" s="595"/>
      <c r="AY299" s="595"/>
      <c r="AZ299" s="595"/>
      <c r="BA299" s="595"/>
      <c r="BB299" s="595"/>
      <c r="BC299" s="595"/>
      <c r="BD299" s="595"/>
      <c r="BE299" s="595"/>
      <c r="BF299" s="595"/>
      <c r="BG299" s="595"/>
      <c r="BH299" s="595"/>
      <c r="BI299" s="595"/>
      <c r="BJ299" s="595"/>
      <c r="BK299" s="595"/>
      <c r="BL299" s="595"/>
      <c r="BM299" s="651"/>
      <c r="BN299" s="651"/>
      <c r="BO299" s="651"/>
      <c r="BP299" s="651"/>
      <c r="BQ299" s="651"/>
      <c r="BR299" s="651"/>
      <c r="BS299" s="651"/>
      <c r="BT299" s="651"/>
    </row>
    <row r="300" hidden="1">
      <c r="A300" s="1074"/>
      <c r="B300" s="584"/>
      <c r="C300" s="540" t="str">
        <f>C212</f>
        <v>Samples, warranties, maintenance manuals</v>
      </c>
      <c r="D300" s="700"/>
      <c r="E300" s="722"/>
      <c r="F300" s="1182"/>
      <c r="G300" s="225"/>
      <c r="H300" s="128"/>
      <c r="I300" s="541">
        <f>N212</f>
        <v>0</v>
      </c>
      <c r="J300" s="924"/>
      <c r="K300" s="1020"/>
      <c r="L300" s="588"/>
      <c r="M300" s="588"/>
      <c r="N300" s="589"/>
      <c r="O300" s="590"/>
      <c r="P300" s="939" t="str">
        <f>IFERROR(__xludf.DUMMYFUNCTION("IF(Q300="""","""",
   IF(Q300=0,0,
      IF(ISNUMBER(MATCH(Q300,FILTER(R$222:R$342,T$222:T$342&lt;&gt;0),0)),1,0)
   )
)"),"")</f>
        <v/>
      </c>
      <c r="Q300" s="941"/>
      <c r="R300" s="929" t="s">
        <v>407</v>
      </c>
      <c r="S300" s="930" t="s">
        <v>52</v>
      </c>
      <c r="T300" s="488">
        <f t="shared" si="145"/>
        <v>0</v>
      </c>
      <c r="U300" s="489">
        <f t="shared" si="124"/>
        <v>4</v>
      </c>
      <c r="V300" s="490">
        <f t="shared" si="125"/>
        <v>46</v>
      </c>
      <c r="W300" s="491"/>
      <c r="X300" s="489"/>
      <c r="Y300" s="492"/>
      <c r="Z300" s="493"/>
      <c r="AA300" s="931"/>
      <c r="AB300" s="925" t="str">
        <f t="shared" si="138"/>
        <v/>
      </c>
      <c r="AC300" s="595"/>
      <c r="AD300" s="595"/>
      <c r="AE300" s="584"/>
      <c r="AF300" s="595"/>
      <c r="AG300" s="354"/>
      <c r="AH300" s="443"/>
      <c r="AI300" s="595"/>
      <c r="AJ300" s="595"/>
      <c r="AK300" s="595"/>
      <c r="AL300" s="595"/>
      <c r="AM300" s="595"/>
      <c r="AN300" s="584"/>
      <c r="AO300" s="595"/>
      <c r="AP300" s="595"/>
      <c r="AQ300" s="595"/>
      <c r="AR300" s="595"/>
      <c r="AS300" s="595"/>
      <c r="AT300" s="595"/>
      <c r="AU300" s="595"/>
      <c r="AV300" s="595"/>
      <c r="AW300" s="595"/>
      <c r="AX300" s="595"/>
      <c r="AY300" s="595"/>
      <c r="AZ300" s="595"/>
      <c r="BA300" s="595"/>
      <c r="BB300" s="595"/>
      <c r="BC300" s="595"/>
      <c r="BD300" s="595"/>
      <c r="BE300" s="595"/>
      <c r="BF300" s="595"/>
      <c r="BG300" s="595"/>
      <c r="BH300" s="595"/>
      <c r="BI300" s="595"/>
      <c r="BJ300" s="595"/>
      <c r="BK300" s="595"/>
      <c r="BL300" s="595"/>
      <c r="BM300" s="651"/>
      <c r="BN300" s="651"/>
      <c r="BO300" s="651"/>
      <c r="BP300" s="651"/>
      <c r="BQ300" s="651"/>
      <c r="BR300" s="651"/>
      <c r="BS300" s="651"/>
      <c r="BT300" s="651"/>
    </row>
    <row r="301" hidden="1">
      <c r="A301" s="1074"/>
      <c r="B301" s="584"/>
      <c r="C301" s="540" t="str">
        <f>C217</f>
        <v>Site IndUCtions, PPE and safety meetings</v>
      </c>
      <c r="D301" s="700"/>
      <c r="E301" s="722"/>
      <c r="F301" s="1182"/>
      <c r="G301" s="225"/>
      <c r="H301" s="128"/>
      <c r="I301" s="541">
        <f>N217</f>
        <v>0</v>
      </c>
      <c r="J301" s="924"/>
      <c r="K301" s="1020"/>
      <c r="L301" s="588"/>
      <c r="M301" s="588"/>
      <c r="N301" s="589"/>
      <c r="O301" s="590"/>
      <c r="P301" s="939" t="str">
        <f>IFERROR(__xludf.DUMMYFUNCTION("IF(Q301="""","""",
   IF(Q301=0,0,
      IF(ISNUMBER(MATCH(Q301,FILTER(R$222:R$342,T$222:T$342&lt;&gt;0),0)),1,0)
   )
)"),"")</f>
        <v/>
      </c>
      <c r="Q301" s="941"/>
      <c r="R301" s="929" t="s">
        <v>408</v>
      </c>
      <c r="S301" s="930" t="s">
        <v>55</v>
      </c>
      <c r="T301" s="488">
        <f t="shared" si="145"/>
        <v>0</v>
      </c>
      <c r="U301" s="489">
        <f t="shared" si="124"/>
        <v>4</v>
      </c>
      <c r="V301" s="490">
        <f t="shared" si="125"/>
        <v>46</v>
      </c>
      <c r="W301" s="491">
        <f>(10/1)*$X$207</f>
        <v>40</v>
      </c>
      <c r="X301" s="489">
        <f t="shared" ref="X301:X316" si="289">W301*W$217</f>
        <v>320</v>
      </c>
      <c r="Y301" s="492">
        <f t="shared" ref="Y301:Y303" si="290">ROUNDUP(T301/X301,2)</f>
        <v>0</v>
      </c>
      <c r="Z301" s="493">
        <f t="shared" ref="Z301:Z316" si="291">Y301*V301*U301*W$217</f>
        <v>0</v>
      </c>
      <c r="AA301" s="931" t="str">
        <f t="shared" ref="AA301:AA310" si="292">iferror(Z301/T301,"")</f>
        <v/>
      </c>
      <c r="AB301" s="925" t="str">
        <f t="shared" si="138"/>
        <v/>
      </c>
      <c r="AC301" s="595"/>
      <c r="AD301" s="595"/>
      <c r="AE301" s="584"/>
      <c r="AF301" s="595"/>
      <c r="AG301" s="354"/>
      <c r="AH301" s="443"/>
      <c r="AI301" s="595"/>
      <c r="AJ301" s="595"/>
      <c r="AK301" s="595"/>
      <c r="AL301" s="595"/>
      <c r="AM301" s="595"/>
      <c r="AN301" s="584"/>
      <c r="AO301" s="595"/>
      <c r="AP301" s="595"/>
      <c r="AQ301" s="595"/>
      <c r="AR301" s="595"/>
      <c r="AS301" s="595"/>
      <c r="AT301" s="595"/>
      <c r="AU301" s="595"/>
      <c r="AV301" s="595"/>
      <c r="AW301" s="595"/>
      <c r="AX301" s="595"/>
      <c r="AY301" s="595"/>
      <c r="AZ301" s="595"/>
      <c r="BA301" s="595"/>
      <c r="BB301" s="595"/>
      <c r="BC301" s="595"/>
      <c r="BD301" s="595"/>
      <c r="BE301" s="595"/>
      <c r="BF301" s="595"/>
      <c r="BG301" s="595"/>
      <c r="BH301" s="595"/>
      <c r="BI301" s="595"/>
      <c r="BJ301" s="595"/>
      <c r="BK301" s="595"/>
      <c r="BL301" s="595"/>
      <c r="BM301" s="651"/>
      <c r="BN301" s="651"/>
      <c r="BO301" s="651"/>
      <c r="BP301" s="651"/>
      <c r="BQ301" s="651"/>
      <c r="BR301" s="651"/>
      <c r="BS301" s="651"/>
      <c r="BT301" s="651"/>
    </row>
    <row r="302" hidden="1">
      <c r="A302" s="1074"/>
      <c r="B302" s="584"/>
      <c r="C302" s="540" t="str">
        <f>C223</f>
        <v>Administration</v>
      </c>
      <c r="D302" s="700"/>
      <c r="E302" s="722"/>
      <c r="F302" s="1182"/>
      <c r="G302" s="225"/>
      <c r="H302" s="128"/>
      <c r="I302" s="541">
        <f>N223</f>
        <v>0</v>
      </c>
      <c r="J302" s="924"/>
      <c r="K302" s="1020"/>
      <c r="L302" s="588"/>
      <c r="M302" s="588"/>
      <c r="N302" s="589"/>
      <c r="O302" s="590"/>
      <c r="P302" s="939" t="str">
        <f>IFERROR(__xludf.DUMMYFUNCTION("IF(Q302="""","""",
   IF(Q302=0,0,
      IF(ISNUMBER(MATCH(Q302,FILTER(R$222:R$342,T$222:T$342&lt;&gt;0),0)),1,0)
   )
)"),"")</f>
        <v/>
      </c>
      <c r="Q302" s="941"/>
      <c r="R302" s="929" t="s">
        <v>409</v>
      </c>
      <c r="S302" s="930" t="s">
        <v>41</v>
      </c>
      <c r="T302" s="488">
        <f t="shared" si="145"/>
        <v>0</v>
      </c>
      <c r="U302" s="489">
        <f t="shared" si="124"/>
        <v>4</v>
      </c>
      <c r="V302" s="490">
        <f t="shared" si="125"/>
        <v>46</v>
      </c>
      <c r="W302" s="491">
        <f>(5/6)*$X$207</f>
        <v>3.333333333</v>
      </c>
      <c r="X302" s="489">
        <f t="shared" si="289"/>
        <v>26.66666667</v>
      </c>
      <c r="Y302" s="492">
        <f t="shared" si="290"/>
        <v>0</v>
      </c>
      <c r="Z302" s="493">
        <f t="shared" si="291"/>
        <v>0</v>
      </c>
      <c r="AA302" s="931" t="str">
        <f t="shared" si="292"/>
        <v/>
      </c>
      <c r="AB302" s="925" t="str">
        <f t="shared" si="138"/>
        <v/>
      </c>
      <c r="AC302" s="595"/>
      <c r="AD302" s="595"/>
      <c r="AE302" s="584"/>
      <c r="AF302" s="595"/>
      <c r="AG302" s="354"/>
      <c r="AH302" s="443"/>
      <c r="AI302" s="595"/>
      <c r="AJ302" s="595"/>
      <c r="AK302" s="595"/>
      <c r="AL302" s="595"/>
      <c r="AM302" s="595"/>
      <c r="AN302" s="584"/>
      <c r="AO302" s="595"/>
      <c r="AP302" s="595"/>
      <c r="AQ302" s="595"/>
      <c r="AR302" s="595"/>
      <c r="AS302" s="595"/>
      <c r="AT302" s="595"/>
      <c r="AU302" s="595"/>
      <c r="AV302" s="595"/>
      <c r="AW302" s="595"/>
      <c r="AX302" s="595"/>
      <c r="AY302" s="595"/>
      <c r="AZ302" s="595"/>
      <c r="BA302" s="595"/>
      <c r="BB302" s="595"/>
      <c r="BC302" s="595"/>
      <c r="BD302" s="595"/>
      <c r="BE302" s="595"/>
      <c r="BF302" s="595"/>
      <c r="BG302" s="595"/>
      <c r="BH302" s="595"/>
      <c r="BI302" s="595"/>
      <c r="BJ302" s="595"/>
      <c r="BK302" s="595"/>
      <c r="BL302" s="595"/>
      <c r="BM302" s="651"/>
      <c r="BN302" s="651"/>
      <c r="BO302" s="651"/>
      <c r="BP302" s="651"/>
      <c r="BQ302" s="651"/>
      <c r="BR302" s="651"/>
      <c r="BS302" s="651"/>
      <c r="BT302" s="651"/>
    </row>
    <row r="303" hidden="1">
      <c r="A303" s="1074"/>
      <c r="B303" s="584"/>
      <c r="C303" s="540" t="str">
        <f>C229</f>
        <v>Site Prelims</v>
      </c>
      <c r="D303" s="700"/>
      <c r="E303" s="722"/>
      <c r="F303" s="1182"/>
      <c r="G303" s="225"/>
      <c r="H303" s="128"/>
      <c r="I303" s="541">
        <f>N229</f>
        <v>12963.68095</v>
      </c>
      <c r="J303" s="924"/>
      <c r="K303" s="1020"/>
      <c r="L303" s="588"/>
      <c r="M303" s="588"/>
      <c r="N303" s="589"/>
      <c r="O303" s="590"/>
      <c r="P303" s="939" t="str">
        <f>IFERROR(__xludf.DUMMYFUNCTION("IF(Q303="""","""",
   IF(Q303=0,0,
      IF(ISNUMBER(MATCH(Q303,FILTER(R$222:R$342,T$222:T$342&lt;&gt;0),0)),1,0)
   )
)"),"")</f>
        <v/>
      </c>
      <c r="Q303" s="941"/>
      <c r="R303" s="929" t="s">
        <v>410</v>
      </c>
      <c r="S303" s="930" t="s">
        <v>41</v>
      </c>
      <c r="T303" s="488">
        <f t="shared" si="145"/>
        <v>0</v>
      </c>
      <c r="U303" s="489">
        <f t="shared" si="124"/>
        <v>4</v>
      </c>
      <c r="V303" s="490">
        <f t="shared" si="125"/>
        <v>46</v>
      </c>
      <c r="W303" s="491">
        <f>(4.5/5)*$X$207</f>
        <v>3.6</v>
      </c>
      <c r="X303" s="489">
        <f t="shared" si="289"/>
        <v>28.8</v>
      </c>
      <c r="Y303" s="492">
        <f t="shared" si="290"/>
        <v>0</v>
      </c>
      <c r="Z303" s="493">
        <f t="shared" si="291"/>
        <v>0</v>
      </c>
      <c r="AA303" s="931" t="str">
        <f t="shared" si="292"/>
        <v/>
      </c>
      <c r="AB303" s="925" t="str">
        <f t="shared" si="138"/>
        <v/>
      </c>
      <c r="AC303" s="595"/>
      <c r="AD303" s="595"/>
      <c r="AE303" s="584"/>
      <c r="AF303" s="595"/>
      <c r="AG303" s="354"/>
      <c r="AH303" s="443"/>
      <c r="AI303" s="595"/>
      <c r="AJ303" s="595"/>
      <c r="AK303" s="595"/>
      <c r="AL303" s="595"/>
      <c r="AM303" s="595"/>
      <c r="AN303" s="584"/>
      <c r="AO303" s="595"/>
      <c r="AP303" s="595"/>
      <c r="AQ303" s="595"/>
      <c r="AR303" s="595"/>
      <c r="AS303" s="595"/>
      <c r="AT303" s="595"/>
      <c r="AU303" s="595"/>
      <c r="AV303" s="595"/>
      <c r="AW303" s="595"/>
      <c r="AX303" s="595"/>
      <c r="AY303" s="595"/>
      <c r="AZ303" s="595"/>
      <c r="BA303" s="595"/>
      <c r="BB303" s="595"/>
      <c r="BC303" s="595"/>
      <c r="BD303" s="595"/>
      <c r="BE303" s="595"/>
      <c r="BF303" s="595"/>
      <c r="BG303" s="595"/>
      <c r="BH303" s="595"/>
      <c r="BI303" s="595"/>
      <c r="BJ303" s="595"/>
      <c r="BK303" s="595"/>
      <c r="BL303" s="595"/>
      <c r="BM303" s="651"/>
      <c r="BN303" s="651"/>
      <c r="BO303" s="651"/>
      <c r="BP303" s="651"/>
      <c r="BQ303" s="651"/>
      <c r="BR303" s="651"/>
      <c r="BS303" s="651"/>
      <c r="BT303" s="651"/>
    </row>
    <row r="304" hidden="1">
      <c r="A304" s="1074"/>
      <c r="B304" s="584"/>
      <c r="C304" s="540" t="str">
        <f>C241</f>
        <v>Crane/Dogman/Handlift </v>
      </c>
      <c r="D304" s="700"/>
      <c r="E304" s="722"/>
      <c r="F304" s="1182"/>
      <c r="G304" s="225"/>
      <c r="H304" s="128"/>
      <c r="I304" s="556">
        <f>N241</f>
        <v>3360</v>
      </c>
      <c r="J304" s="924"/>
      <c r="K304" s="1020"/>
      <c r="L304" s="588"/>
      <c r="M304" s="588"/>
      <c r="N304" s="589"/>
      <c r="O304" s="590"/>
      <c r="P304" s="939" t="str">
        <f>IFERROR(__xludf.DUMMYFUNCTION("IF(Q304="""","""",
   IF(Q304=0,0,
      IF(ISNUMBER(MATCH(Q304,FILTER(R$222:R$342,T$222:T$342&lt;&gt;0),0)),1,0)
   )
)"),"")</f>
        <v/>
      </c>
      <c r="Q304" s="941"/>
      <c r="R304" s="942" t="s">
        <v>612</v>
      </c>
      <c r="S304" s="932" t="s">
        <v>52</v>
      </c>
      <c r="T304" s="488">
        <f t="shared" si="145"/>
        <v>0</v>
      </c>
      <c r="U304" s="489">
        <f t="shared" si="124"/>
        <v>4</v>
      </c>
      <c r="V304" s="490">
        <f t="shared" si="125"/>
        <v>46</v>
      </c>
      <c r="W304" s="491">
        <f>(1/1)*$X$207</f>
        <v>4</v>
      </c>
      <c r="X304" s="489">
        <f t="shared" si="289"/>
        <v>32</v>
      </c>
      <c r="Y304" s="492">
        <f>ROUNDUP(T304/X304,2)</f>
        <v>0</v>
      </c>
      <c r="Z304" s="493">
        <f t="shared" si="291"/>
        <v>0</v>
      </c>
      <c r="AA304" s="931" t="str">
        <f t="shared" si="292"/>
        <v/>
      </c>
      <c r="AB304" s="925" t="str">
        <f t="shared" si="138"/>
        <v/>
      </c>
      <c r="AC304" s="595"/>
      <c r="AD304" s="595"/>
      <c r="AE304" s="584"/>
      <c r="AF304" s="595"/>
      <c r="AG304" s="354"/>
      <c r="AH304" s="443"/>
      <c r="AI304" s="595"/>
      <c r="AJ304" s="595"/>
      <c r="AK304" s="595"/>
      <c r="AL304" s="595"/>
      <c r="AM304" s="595"/>
      <c r="AN304" s="584"/>
      <c r="AO304" s="595"/>
      <c r="AP304" s="595"/>
      <c r="AQ304" s="595"/>
      <c r="AR304" s="595"/>
      <c r="AS304" s="595"/>
      <c r="AT304" s="595"/>
      <c r="AU304" s="595"/>
      <c r="AV304" s="595"/>
      <c r="AW304" s="595"/>
      <c r="AX304" s="595"/>
      <c r="AY304" s="595"/>
      <c r="AZ304" s="595"/>
      <c r="BA304" s="595"/>
      <c r="BB304" s="595"/>
      <c r="BC304" s="595"/>
      <c r="BD304" s="595"/>
      <c r="BE304" s="595"/>
      <c r="BF304" s="595"/>
      <c r="BG304" s="595"/>
      <c r="BH304" s="595"/>
      <c r="BI304" s="595"/>
      <c r="BJ304" s="595"/>
      <c r="BK304" s="595"/>
      <c r="BL304" s="595"/>
      <c r="BM304" s="651"/>
      <c r="BN304" s="651"/>
      <c r="BO304" s="651"/>
      <c r="BP304" s="651"/>
      <c r="BQ304" s="651"/>
      <c r="BR304" s="651"/>
      <c r="BS304" s="651"/>
      <c r="BT304" s="651"/>
    </row>
    <row r="305" hidden="1">
      <c r="A305" s="1074"/>
      <c r="B305" s="584"/>
      <c r="C305" s="540" t="str">
        <f>C257</f>
        <v>Access Machine</v>
      </c>
      <c r="D305" s="700"/>
      <c r="E305" s="722"/>
      <c r="F305" s="1182"/>
      <c r="G305" s="225"/>
      <c r="H305" s="128"/>
      <c r="I305" s="556">
        <f>N257</f>
        <v>0</v>
      </c>
      <c r="J305" s="936"/>
      <c r="K305" s="1020"/>
      <c r="L305" s="588"/>
      <c r="M305" s="588"/>
      <c r="N305" s="589"/>
      <c r="O305" s="950"/>
      <c r="P305" s="939" t="str">
        <f>IFERROR(__xludf.DUMMYFUNCTION("IF(Q305="""","""",
   IF(Q305=0,0,
      IF(ISNUMBER(MATCH(Q305,FILTER(R$222:R$342,T$222:T$342&lt;&gt;0),0)),1,0)
   )
)"),"")</f>
        <v/>
      </c>
      <c r="Q305" s="941"/>
      <c r="R305" s="929" t="s">
        <v>411</v>
      </c>
      <c r="S305" s="930" t="s">
        <v>55</v>
      </c>
      <c r="T305" s="488">
        <f t="shared" si="145"/>
        <v>0</v>
      </c>
      <c r="U305" s="489">
        <f t="shared" si="124"/>
        <v>4</v>
      </c>
      <c r="V305" s="490">
        <f t="shared" si="125"/>
        <v>46</v>
      </c>
      <c r="W305" s="491">
        <f>(10/1)*$X$207</f>
        <v>40</v>
      </c>
      <c r="X305" s="489">
        <f t="shared" si="289"/>
        <v>320</v>
      </c>
      <c r="Y305" s="492">
        <f t="shared" ref="Y305:Y316" si="293">ROUNDUP(T305/X305,2)</f>
        <v>0</v>
      </c>
      <c r="Z305" s="493">
        <f t="shared" si="291"/>
        <v>0</v>
      </c>
      <c r="AA305" s="931" t="str">
        <f t="shared" si="292"/>
        <v/>
      </c>
      <c r="AB305" s="925" t="str">
        <f t="shared" si="138"/>
        <v/>
      </c>
      <c r="AC305" s="595"/>
      <c r="AD305" s="595"/>
      <c r="AE305" s="584"/>
      <c r="AF305" s="595"/>
      <c r="AG305" s="354"/>
      <c r="AH305" s="443"/>
      <c r="AI305" s="595"/>
      <c r="AJ305" s="595"/>
      <c r="AK305" s="595"/>
      <c r="AL305" s="595"/>
      <c r="AM305" s="595"/>
      <c r="AN305" s="584"/>
      <c r="AO305" s="595"/>
      <c r="AP305" s="595"/>
      <c r="AQ305" s="595"/>
      <c r="AR305" s="595"/>
      <c r="AS305" s="595"/>
      <c r="AT305" s="595"/>
      <c r="AU305" s="595"/>
      <c r="AV305" s="595"/>
      <c r="AW305" s="595"/>
      <c r="AX305" s="595"/>
      <c r="AY305" s="595"/>
      <c r="AZ305" s="595"/>
      <c r="BA305" s="595"/>
      <c r="BB305" s="595"/>
      <c r="BC305" s="595"/>
      <c r="BD305" s="595"/>
      <c r="BE305" s="595"/>
      <c r="BF305" s="595"/>
      <c r="BG305" s="595"/>
      <c r="BH305" s="595"/>
      <c r="BI305" s="595"/>
      <c r="BJ305" s="595"/>
      <c r="BK305" s="595"/>
      <c r="BL305" s="595"/>
      <c r="BM305" s="651"/>
      <c r="BN305" s="651"/>
      <c r="BO305" s="651"/>
      <c r="BP305" s="651"/>
      <c r="BQ305" s="651"/>
      <c r="BR305" s="651"/>
      <c r="BS305" s="651"/>
      <c r="BT305" s="651"/>
    </row>
    <row r="306" hidden="1">
      <c r="A306" s="1074"/>
      <c r="B306" s="584"/>
      <c r="C306" s="700"/>
      <c r="D306" s="700"/>
      <c r="E306" s="722"/>
      <c r="F306" s="1182"/>
      <c r="G306" s="225"/>
      <c r="H306" s="128"/>
      <c r="I306" s="691"/>
      <c r="J306" s="924"/>
      <c r="K306" s="1020"/>
      <c r="L306" s="588"/>
      <c r="M306" s="588"/>
      <c r="N306" s="589"/>
      <c r="O306" s="950"/>
      <c r="P306" s="939" t="str">
        <f>IFERROR(__xludf.DUMMYFUNCTION("IF(Q306="""","""",
   IF(Q306=0,0,
      IF(ISNUMBER(MATCH(Q306,FILTER(R$222:R$342,T$222:T$342&lt;&gt;0),0)),1,0)
   )
)"),"")</f>
        <v/>
      </c>
      <c r="Q306" s="941"/>
      <c r="R306" s="929" t="s">
        <v>412</v>
      </c>
      <c r="S306" s="930" t="s">
        <v>41</v>
      </c>
      <c r="T306" s="488">
        <f t="shared" si="145"/>
        <v>0</v>
      </c>
      <c r="U306" s="489">
        <f t="shared" si="124"/>
        <v>4</v>
      </c>
      <c r="V306" s="490">
        <f t="shared" si="125"/>
        <v>46</v>
      </c>
      <c r="W306" s="491">
        <f>(4/3)*$X$207</f>
        <v>5.333333333</v>
      </c>
      <c r="X306" s="489">
        <f t="shared" si="289"/>
        <v>42.66666667</v>
      </c>
      <c r="Y306" s="492">
        <f t="shared" si="293"/>
        <v>0</v>
      </c>
      <c r="Z306" s="493">
        <f t="shared" si="291"/>
        <v>0</v>
      </c>
      <c r="AA306" s="931" t="str">
        <f t="shared" si="292"/>
        <v/>
      </c>
      <c r="AB306" s="925" t="str">
        <f t="shared" si="138"/>
        <v/>
      </c>
      <c r="AC306" s="595"/>
      <c r="AD306" s="595"/>
      <c r="AE306" s="584"/>
      <c r="AF306" s="595"/>
      <c r="AG306" s="354"/>
      <c r="AH306" s="443"/>
      <c r="AI306" s="595"/>
      <c r="AJ306" s="595"/>
      <c r="AK306" s="595"/>
      <c r="AL306" s="595"/>
      <c r="AM306" s="595"/>
      <c r="AN306" s="584"/>
      <c r="AO306" s="595"/>
      <c r="AP306" s="595"/>
      <c r="AQ306" s="595"/>
      <c r="AR306" s="595"/>
      <c r="AS306" s="595"/>
      <c r="AT306" s="595"/>
      <c r="AU306" s="595"/>
      <c r="AV306" s="595"/>
      <c r="AW306" s="595"/>
      <c r="AX306" s="595"/>
      <c r="AY306" s="595"/>
      <c r="AZ306" s="595"/>
      <c r="BA306" s="595"/>
      <c r="BB306" s="595"/>
      <c r="BC306" s="595"/>
      <c r="BD306" s="595"/>
      <c r="BE306" s="595"/>
      <c r="BF306" s="595"/>
      <c r="BG306" s="595"/>
      <c r="BH306" s="595"/>
      <c r="BI306" s="595"/>
      <c r="BJ306" s="595"/>
      <c r="BK306" s="595"/>
      <c r="BL306" s="595"/>
      <c r="BM306" s="651"/>
      <c r="BN306" s="651"/>
      <c r="BO306" s="651"/>
      <c r="BP306" s="651"/>
      <c r="BQ306" s="651"/>
      <c r="BR306" s="651"/>
      <c r="BS306" s="651"/>
      <c r="BT306" s="651"/>
    </row>
    <row r="307" hidden="1">
      <c r="A307" s="1074"/>
      <c r="B307" s="584"/>
      <c r="C307" s="540" t="s">
        <v>284</v>
      </c>
      <c r="D307" s="700"/>
      <c r="E307" s="722"/>
      <c r="F307" s="1182"/>
      <c r="G307" s="225"/>
      <c r="H307" s="128"/>
      <c r="I307" s="542">
        <f>N280</f>
        <v>0</v>
      </c>
      <c r="J307" s="936" t="str">
        <f>L280</f>
        <v/>
      </c>
      <c r="K307" s="1020"/>
      <c r="L307" s="588"/>
      <c r="M307" s="588"/>
      <c r="N307" s="589"/>
      <c r="O307" s="950"/>
      <c r="P307" s="939" t="str">
        <f>IFERROR(__xludf.DUMMYFUNCTION("IF(Q307="""","""",
   IF(Q307=0,0,
      IF(ISNUMBER(MATCH(Q307,FILTER(R$222:R$342,T$222:T$342&lt;&gt;0),0)),1,0)
   )
)"),"")</f>
        <v/>
      </c>
      <c r="Q307" s="941"/>
      <c r="R307" s="929" t="s">
        <v>413</v>
      </c>
      <c r="S307" s="930" t="s">
        <v>52</v>
      </c>
      <c r="T307" s="488">
        <f t="shared" si="145"/>
        <v>0</v>
      </c>
      <c r="U307" s="489">
        <f t="shared" si="124"/>
        <v>4</v>
      </c>
      <c r="V307" s="490">
        <f t="shared" si="125"/>
        <v>46</v>
      </c>
      <c r="W307" s="491">
        <f t="shared" ref="W307:W310" si="294">(10/1)*$X$207</f>
        <v>40</v>
      </c>
      <c r="X307" s="489">
        <f t="shared" si="289"/>
        <v>320</v>
      </c>
      <c r="Y307" s="492">
        <f t="shared" si="293"/>
        <v>0</v>
      </c>
      <c r="Z307" s="493">
        <f t="shared" si="291"/>
        <v>0</v>
      </c>
      <c r="AA307" s="931" t="str">
        <f t="shared" si="292"/>
        <v/>
      </c>
      <c r="AB307" s="925" t="str">
        <f t="shared" si="138"/>
        <v/>
      </c>
      <c r="AC307" s="595"/>
      <c r="AD307" s="595"/>
      <c r="AE307" s="584"/>
      <c r="AF307" s="595"/>
      <c r="AG307" s="354"/>
      <c r="AH307" s="443"/>
      <c r="AI307" s="595"/>
      <c r="AJ307" s="595"/>
      <c r="AK307" s="595"/>
      <c r="AL307" s="595"/>
      <c r="AM307" s="595"/>
      <c r="AN307" s="584"/>
      <c r="AO307" s="595"/>
      <c r="AP307" s="595"/>
      <c r="AQ307" s="595"/>
      <c r="AR307" s="595"/>
      <c r="AS307" s="595"/>
      <c r="AT307" s="595"/>
      <c r="AU307" s="595"/>
      <c r="AV307" s="595"/>
      <c r="AW307" s="595"/>
      <c r="AX307" s="595"/>
      <c r="AY307" s="595"/>
      <c r="AZ307" s="595"/>
      <c r="BA307" s="595"/>
      <c r="BB307" s="595"/>
      <c r="BC307" s="595"/>
      <c r="BD307" s="595"/>
      <c r="BE307" s="595"/>
      <c r="BF307" s="595"/>
      <c r="BG307" s="595"/>
      <c r="BH307" s="595"/>
      <c r="BI307" s="595"/>
      <c r="BJ307" s="595"/>
      <c r="BK307" s="595"/>
      <c r="BL307" s="595"/>
      <c r="BM307" s="651"/>
      <c r="BN307" s="651"/>
      <c r="BO307" s="651"/>
      <c r="BP307" s="651"/>
      <c r="BQ307" s="651"/>
      <c r="BR307" s="651"/>
      <c r="BS307" s="651"/>
      <c r="BT307" s="651"/>
    </row>
    <row r="308" hidden="1">
      <c r="A308" s="1074"/>
      <c r="B308" s="584"/>
      <c r="C308" s="543" t="s">
        <v>293</v>
      </c>
      <c r="D308" s="1022"/>
      <c r="E308" s="1023"/>
      <c r="F308" s="1183"/>
      <c r="G308" s="1025"/>
      <c r="H308" s="1024"/>
      <c r="I308" s="546">
        <f>SUM(I297:I307)</f>
        <v>19077.48095</v>
      </c>
      <c r="J308" s="1026"/>
      <c r="K308" s="1027"/>
      <c r="L308" s="375">
        <f>I308/I294</f>
        <v>0.2396269852</v>
      </c>
      <c r="M308" s="588"/>
      <c r="N308" s="589"/>
      <c r="O308" s="950"/>
      <c r="P308" s="939" t="str">
        <f>IFERROR(__xludf.DUMMYFUNCTION("IF(Q308="""","""",
   IF(Q308=0,0,
      IF(ISNUMBER(MATCH(Q308,FILTER(R$222:R$342,T$222:T$342&lt;&gt;0),0)),1,0)
   )
)"),"")</f>
        <v/>
      </c>
      <c r="Q308" s="941"/>
      <c r="R308" s="929" t="s">
        <v>414</v>
      </c>
      <c r="S308" s="930" t="s">
        <v>52</v>
      </c>
      <c r="T308" s="488">
        <f t="shared" si="145"/>
        <v>0</v>
      </c>
      <c r="U308" s="489">
        <f t="shared" si="124"/>
        <v>4</v>
      </c>
      <c r="V308" s="490">
        <f t="shared" si="125"/>
        <v>46</v>
      </c>
      <c r="W308" s="491">
        <f t="shared" si="294"/>
        <v>40</v>
      </c>
      <c r="X308" s="489">
        <f t="shared" si="289"/>
        <v>320</v>
      </c>
      <c r="Y308" s="492">
        <f t="shared" si="293"/>
        <v>0</v>
      </c>
      <c r="Z308" s="493">
        <f t="shared" si="291"/>
        <v>0</v>
      </c>
      <c r="AA308" s="931" t="str">
        <f t="shared" si="292"/>
        <v/>
      </c>
      <c r="AB308" s="925" t="str">
        <f t="shared" si="138"/>
        <v/>
      </c>
      <c r="AC308" s="595"/>
      <c r="AD308" s="595"/>
      <c r="AE308" s="584"/>
      <c r="AF308" s="595"/>
      <c r="AG308" s="354"/>
      <c r="AH308" s="443"/>
      <c r="AI308" s="595"/>
      <c r="AJ308" s="595"/>
      <c r="AK308" s="595"/>
      <c r="AL308" s="595"/>
      <c r="AM308" s="595"/>
      <c r="AN308" s="584"/>
      <c r="AO308" s="595"/>
      <c r="AP308" s="595"/>
      <c r="AQ308" s="595"/>
      <c r="AR308" s="595"/>
      <c r="AS308" s="595"/>
      <c r="AT308" s="595"/>
      <c r="AU308" s="595"/>
      <c r="AV308" s="595"/>
      <c r="AW308" s="595"/>
      <c r="AX308" s="595"/>
      <c r="AY308" s="595"/>
      <c r="AZ308" s="595"/>
      <c r="BA308" s="595"/>
      <c r="BB308" s="595"/>
      <c r="BC308" s="595"/>
      <c r="BD308" s="595"/>
      <c r="BE308" s="595"/>
      <c r="BF308" s="595"/>
      <c r="BG308" s="595"/>
      <c r="BH308" s="595"/>
      <c r="BI308" s="595"/>
      <c r="BJ308" s="595"/>
      <c r="BK308" s="595"/>
      <c r="BL308" s="595"/>
      <c r="BM308" s="651"/>
      <c r="BN308" s="651"/>
      <c r="BO308" s="651"/>
      <c r="BP308" s="651"/>
      <c r="BQ308" s="651"/>
      <c r="BR308" s="651"/>
      <c r="BS308" s="651"/>
      <c r="BT308" s="651"/>
    </row>
    <row r="309" hidden="1">
      <c r="A309" s="1074"/>
      <c r="B309" s="584"/>
      <c r="C309" s="584"/>
      <c r="D309" s="584"/>
      <c r="E309" s="585"/>
      <c r="F309" s="1075"/>
      <c r="G309" s="587"/>
      <c r="H309" s="586"/>
      <c r="I309" s="584"/>
      <c r="J309" s="584"/>
      <c r="K309" s="586"/>
      <c r="L309" s="588"/>
      <c r="M309" s="588"/>
      <c r="N309" s="589"/>
      <c r="O309" s="950"/>
      <c r="P309" s="939" t="str">
        <f>IFERROR(__xludf.DUMMYFUNCTION("IF(Q309="""","""",
   IF(Q309=0,0,
      IF(ISNUMBER(MATCH(Q309,FILTER(R$222:R$342,T$222:T$342&lt;&gt;0),0)),1,0)
   )
)"),"")</f>
        <v/>
      </c>
      <c r="Q309" s="941"/>
      <c r="R309" s="929" t="s">
        <v>415</v>
      </c>
      <c r="S309" s="930" t="s">
        <v>55</v>
      </c>
      <c r="T309" s="488">
        <f t="shared" si="145"/>
        <v>0</v>
      </c>
      <c r="U309" s="489">
        <f t="shared" si="124"/>
        <v>4</v>
      </c>
      <c r="V309" s="490">
        <f t="shared" si="125"/>
        <v>46</v>
      </c>
      <c r="W309" s="491">
        <f t="shared" si="294"/>
        <v>40</v>
      </c>
      <c r="X309" s="489">
        <f t="shared" si="289"/>
        <v>320</v>
      </c>
      <c r="Y309" s="492">
        <f t="shared" si="293"/>
        <v>0</v>
      </c>
      <c r="Z309" s="493">
        <f t="shared" si="291"/>
        <v>0</v>
      </c>
      <c r="AA309" s="931" t="str">
        <f t="shared" si="292"/>
        <v/>
      </c>
      <c r="AB309" s="925" t="str">
        <f t="shared" si="138"/>
        <v/>
      </c>
      <c r="AC309" s="595"/>
      <c r="AD309" s="595"/>
      <c r="AE309" s="584"/>
      <c r="AF309" s="595"/>
      <c r="AG309" s="354"/>
      <c r="AH309" s="443"/>
      <c r="AI309" s="595"/>
      <c r="AJ309" s="595"/>
      <c r="AK309" s="595"/>
      <c r="AL309" s="595"/>
      <c r="AM309" s="595"/>
      <c r="AN309" s="584"/>
      <c r="AO309" s="595"/>
      <c r="AP309" s="595"/>
      <c r="AQ309" s="595"/>
      <c r="AR309" s="595"/>
      <c r="AS309" s="595"/>
      <c r="AT309" s="595"/>
      <c r="AU309" s="595"/>
      <c r="AV309" s="595"/>
      <c r="AW309" s="595"/>
      <c r="AX309" s="595"/>
      <c r="AY309" s="595"/>
      <c r="AZ309" s="595"/>
      <c r="BA309" s="595"/>
      <c r="BB309" s="595"/>
      <c r="BC309" s="595"/>
      <c r="BD309" s="595"/>
      <c r="BE309" s="595"/>
      <c r="BF309" s="595"/>
      <c r="BG309" s="595"/>
      <c r="BH309" s="595"/>
      <c r="BI309" s="595"/>
      <c r="BJ309" s="595"/>
      <c r="BK309" s="595"/>
      <c r="BL309" s="595"/>
      <c r="BM309" s="651"/>
      <c r="BN309" s="651"/>
      <c r="BO309" s="651"/>
      <c r="BP309" s="651"/>
      <c r="BQ309" s="651"/>
      <c r="BR309" s="651"/>
      <c r="BS309" s="651"/>
      <c r="BT309" s="651"/>
    </row>
    <row r="310" hidden="1">
      <c r="A310" s="1074"/>
      <c r="B310" s="584"/>
      <c r="C310" s="537" t="s">
        <v>294</v>
      </c>
      <c r="D310" s="700"/>
      <c r="E310" s="722"/>
      <c r="F310" s="1182"/>
      <c r="G310" s="225"/>
      <c r="H310" s="128"/>
      <c r="I310" s="691"/>
      <c r="J310" s="924"/>
      <c r="K310" s="1020"/>
      <c r="L310" s="588"/>
      <c r="M310" s="588"/>
      <c r="N310" s="589"/>
      <c r="O310" s="950"/>
      <c r="P310" s="939" t="str">
        <f>IFERROR(__xludf.DUMMYFUNCTION("IF(Q310="""","""",
   IF(Q310=0,0,
      IF(ISNUMBER(MATCH(Q310,FILTER(R$222:R$342,T$222:T$342&lt;&gt;0),0)),1,0)
   )
)"),"")</f>
        <v/>
      </c>
      <c r="Q310" s="941"/>
      <c r="R310" s="929" t="s">
        <v>416</v>
      </c>
      <c r="S310" s="930" t="s">
        <v>52</v>
      </c>
      <c r="T310" s="488">
        <f t="shared" si="145"/>
        <v>0</v>
      </c>
      <c r="U310" s="489">
        <f t="shared" si="124"/>
        <v>4</v>
      </c>
      <c r="V310" s="490">
        <f t="shared" si="125"/>
        <v>46</v>
      </c>
      <c r="W310" s="491">
        <f t="shared" si="294"/>
        <v>40</v>
      </c>
      <c r="X310" s="489">
        <f t="shared" si="289"/>
        <v>320</v>
      </c>
      <c r="Y310" s="492">
        <f t="shared" si="293"/>
        <v>0</v>
      </c>
      <c r="Z310" s="493">
        <f t="shared" si="291"/>
        <v>0</v>
      </c>
      <c r="AA310" s="931" t="str">
        <f t="shared" si="292"/>
        <v/>
      </c>
      <c r="AB310" s="925" t="str">
        <f t="shared" si="138"/>
        <v/>
      </c>
      <c r="AC310" s="595"/>
      <c r="AD310" s="595"/>
      <c r="AE310" s="584"/>
      <c r="AF310" s="595"/>
      <c r="AG310" s="354"/>
      <c r="AH310" s="443"/>
      <c r="AI310" s="595"/>
      <c r="AJ310" s="595"/>
      <c r="AK310" s="595"/>
      <c r="AL310" s="595"/>
      <c r="AM310" s="595"/>
      <c r="AN310" s="584"/>
      <c r="AO310" s="595"/>
      <c r="AP310" s="595"/>
      <c r="AQ310" s="595"/>
      <c r="AR310" s="595"/>
      <c r="AS310" s="595"/>
      <c r="AT310" s="595"/>
      <c r="AU310" s="595"/>
      <c r="AV310" s="595"/>
      <c r="AW310" s="595"/>
      <c r="AX310" s="595"/>
      <c r="AY310" s="595"/>
      <c r="AZ310" s="595"/>
      <c r="BA310" s="595"/>
      <c r="BB310" s="595"/>
      <c r="BC310" s="595"/>
      <c r="BD310" s="595"/>
      <c r="BE310" s="595"/>
      <c r="BF310" s="595"/>
      <c r="BG310" s="595"/>
      <c r="BH310" s="595"/>
      <c r="BI310" s="595"/>
      <c r="BJ310" s="595"/>
      <c r="BK310" s="595"/>
      <c r="BL310" s="595"/>
      <c r="BM310" s="651"/>
      <c r="BN310" s="651"/>
      <c r="BO310" s="651"/>
      <c r="BP310" s="651"/>
      <c r="BQ310" s="651"/>
      <c r="BR310" s="651"/>
      <c r="BS310" s="651"/>
      <c r="BT310" s="651"/>
    </row>
    <row r="311" hidden="1">
      <c r="A311" s="1074"/>
      <c r="B311" s="584"/>
      <c r="C311" s="1028">
        <v>0.2</v>
      </c>
      <c r="D311" s="1029"/>
      <c r="E311" s="722"/>
      <c r="F311" s="1182"/>
      <c r="G311" s="1031"/>
      <c r="H311" s="1030"/>
      <c r="I311" s="559">
        <f>C311*I294</f>
        <v>15922.64822</v>
      </c>
      <c r="J311" s="924"/>
      <c r="K311" s="1020"/>
      <c r="L311" s="588"/>
      <c r="M311" s="588"/>
      <c r="N311" s="589"/>
      <c r="O311" s="950"/>
      <c r="P311" s="939" t="str">
        <f>IFERROR(__xludf.DUMMYFUNCTION("IF(Q311="""","""",
   IF(Q311=0,0,
      IF(ISNUMBER(MATCH(Q311,FILTER(R$222:R$342,T$222:T$342&lt;&gt;0),0)),1,0)
   )
)"),"")</f>
        <v/>
      </c>
      <c r="Q311" s="941"/>
      <c r="R311" s="942" t="s">
        <v>613</v>
      </c>
      <c r="S311" s="930" t="s">
        <v>52</v>
      </c>
      <c r="T311" s="488">
        <f t="shared" si="145"/>
        <v>0</v>
      </c>
      <c r="U311" s="489">
        <f t="shared" si="124"/>
        <v>4</v>
      </c>
      <c r="V311" s="490">
        <f t="shared" si="125"/>
        <v>46</v>
      </c>
      <c r="W311" s="491">
        <f>(5/1)*$X$207</f>
        <v>20</v>
      </c>
      <c r="X311" s="489">
        <f t="shared" si="289"/>
        <v>160</v>
      </c>
      <c r="Y311" s="492">
        <f t="shared" si="293"/>
        <v>0</v>
      </c>
      <c r="Z311" s="493">
        <f t="shared" si="291"/>
        <v>0</v>
      </c>
      <c r="AA311" s="931"/>
      <c r="AB311" s="925" t="str">
        <f t="shared" si="138"/>
        <v/>
      </c>
      <c r="AC311" s="595"/>
      <c r="AD311" s="595"/>
      <c r="AE311" s="584"/>
      <c r="AF311" s="595"/>
      <c r="AG311" s="354"/>
      <c r="AH311" s="443"/>
      <c r="AI311" s="595"/>
      <c r="AJ311" s="595"/>
      <c r="AK311" s="595"/>
      <c r="AL311" s="595"/>
      <c r="AM311" s="595"/>
      <c r="AN311" s="584"/>
      <c r="AO311" s="595"/>
      <c r="AP311" s="595"/>
      <c r="AQ311" s="595"/>
      <c r="AR311" s="595"/>
      <c r="AS311" s="595"/>
      <c r="AT311" s="595"/>
      <c r="AU311" s="595"/>
      <c r="AV311" s="595"/>
      <c r="AW311" s="595"/>
      <c r="AX311" s="595"/>
      <c r="AY311" s="595"/>
      <c r="AZ311" s="595"/>
      <c r="BA311" s="595"/>
      <c r="BB311" s="595"/>
      <c r="BC311" s="595"/>
      <c r="BD311" s="595"/>
      <c r="BE311" s="595"/>
      <c r="BF311" s="595"/>
      <c r="BG311" s="595"/>
      <c r="BH311" s="595"/>
      <c r="BI311" s="595"/>
      <c r="BJ311" s="595"/>
      <c r="BK311" s="595"/>
      <c r="BL311" s="595"/>
      <c r="BM311" s="651"/>
      <c r="BN311" s="651"/>
      <c r="BO311" s="651"/>
      <c r="BP311" s="651"/>
      <c r="BQ311" s="651"/>
      <c r="BR311" s="651"/>
      <c r="BS311" s="651"/>
      <c r="BT311" s="651"/>
    </row>
    <row r="312" hidden="1">
      <c r="A312" s="1074"/>
      <c r="B312" s="584"/>
      <c r="C312" s="584"/>
      <c r="D312" s="584"/>
      <c r="E312" s="585"/>
      <c r="F312" s="1075"/>
      <c r="G312" s="587"/>
      <c r="H312" s="586"/>
      <c r="I312" s="584"/>
      <c r="J312" s="584"/>
      <c r="K312" s="586"/>
      <c r="L312" s="588"/>
      <c r="M312" s="588"/>
      <c r="N312" s="589"/>
      <c r="O312" s="950"/>
      <c r="P312" s="939" t="str">
        <f>IFERROR(__xludf.DUMMYFUNCTION("IF(Q312="""","""",
   IF(Q312=0,0,
      IF(ISNUMBER(MATCH(Q312,FILTER(R$222:R$342,T$222:T$342&lt;&gt;0),0)),1,0)
   )
)"),"")</f>
        <v/>
      </c>
      <c r="Q312" s="941"/>
      <c r="R312" s="929" t="s">
        <v>107</v>
      </c>
      <c r="S312" s="930" t="s">
        <v>55</v>
      </c>
      <c r="T312" s="488">
        <f t="shared" si="145"/>
        <v>238.7</v>
      </c>
      <c r="U312" s="489">
        <f t="shared" si="124"/>
        <v>4</v>
      </c>
      <c r="V312" s="490">
        <f t="shared" si="125"/>
        <v>46</v>
      </c>
      <c r="W312" s="491">
        <f>(15/1)*$X$207</f>
        <v>60</v>
      </c>
      <c r="X312" s="489">
        <f t="shared" si="289"/>
        <v>480</v>
      </c>
      <c r="Y312" s="492">
        <f t="shared" si="293"/>
        <v>0.5</v>
      </c>
      <c r="Z312" s="493">
        <f t="shared" si="291"/>
        <v>736</v>
      </c>
      <c r="AA312" s="931">
        <f t="shared" ref="AA312:AA315" si="295">iferror(Z312/T312,"")</f>
        <v>3.083368245</v>
      </c>
      <c r="AB312" s="925">
        <f t="shared" si="138"/>
        <v>3</v>
      </c>
      <c r="AC312" s="595"/>
      <c r="AD312" s="595"/>
      <c r="AE312" s="584"/>
      <c r="AF312" s="595"/>
      <c r="AG312" s="354"/>
      <c r="AH312" s="443"/>
      <c r="AI312" s="595"/>
      <c r="AJ312" s="595"/>
      <c r="AK312" s="595"/>
      <c r="AL312" s="595"/>
      <c r="AM312" s="595"/>
      <c r="AN312" s="584"/>
      <c r="AO312" s="595"/>
      <c r="AP312" s="595"/>
      <c r="AQ312" s="595"/>
      <c r="AR312" s="595"/>
      <c r="AS312" s="595"/>
      <c r="AT312" s="595"/>
      <c r="AU312" s="595"/>
      <c r="AV312" s="595"/>
      <c r="AW312" s="595"/>
      <c r="AX312" s="595"/>
      <c r="AY312" s="595"/>
      <c r="AZ312" s="595"/>
      <c r="BA312" s="595"/>
      <c r="BB312" s="595"/>
      <c r="BC312" s="595"/>
      <c r="BD312" s="595"/>
      <c r="BE312" s="595"/>
      <c r="BF312" s="595"/>
      <c r="BG312" s="595"/>
      <c r="BH312" s="595"/>
      <c r="BI312" s="595"/>
      <c r="BJ312" s="595"/>
      <c r="BK312" s="595"/>
      <c r="BL312" s="595"/>
      <c r="BM312" s="651"/>
      <c r="BN312" s="651"/>
      <c r="BO312" s="651"/>
      <c r="BP312" s="651"/>
      <c r="BQ312" s="651"/>
      <c r="BR312" s="651"/>
      <c r="BS312" s="651"/>
      <c r="BT312" s="651"/>
    </row>
    <row r="313" hidden="1">
      <c r="A313" s="1074"/>
      <c r="B313" s="584"/>
      <c r="C313" s="560" t="s">
        <v>295</v>
      </c>
      <c r="D313" s="1032"/>
      <c r="E313" s="1033"/>
      <c r="F313" s="1184"/>
      <c r="G313" s="1035"/>
      <c r="H313" s="1034"/>
      <c r="I313" s="563">
        <f>+I311+I308+I294</f>
        <v>114613.3703</v>
      </c>
      <c r="J313" s="1032"/>
      <c r="K313" s="1034"/>
      <c r="L313" s="588"/>
      <c r="M313" s="588"/>
      <c r="N313" s="589"/>
      <c r="O313" s="950"/>
      <c r="P313" s="939" t="str">
        <f>IFERROR(__xludf.DUMMYFUNCTION("IF(Q313="""","""",
   IF(Q313=0,0,
      IF(ISNUMBER(MATCH(Q313,FILTER(R$222:R$342,T$222:T$342&lt;&gt;0),0)),1,0)
   )
)"),"")</f>
        <v/>
      </c>
      <c r="Q313" s="941"/>
      <c r="R313" s="929" t="s">
        <v>417</v>
      </c>
      <c r="S313" s="930" t="s">
        <v>52</v>
      </c>
      <c r="T313" s="488">
        <f t="shared" si="145"/>
        <v>0</v>
      </c>
      <c r="U313" s="489">
        <f t="shared" si="124"/>
        <v>4</v>
      </c>
      <c r="V313" s="490">
        <f t="shared" si="125"/>
        <v>46</v>
      </c>
      <c r="W313" s="491">
        <f t="shared" ref="W313:W314" si="296">(10/1)*$X$207</f>
        <v>40</v>
      </c>
      <c r="X313" s="489">
        <f t="shared" si="289"/>
        <v>320</v>
      </c>
      <c r="Y313" s="492">
        <f t="shared" si="293"/>
        <v>0</v>
      </c>
      <c r="Z313" s="493">
        <f t="shared" si="291"/>
        <v>0</v>
      </c>
      <c r="AA313" s="931" t="str">
        <f t="shared" si="295"/>
        <v/>
      </c>
      <c r="AB313" s="925" t="str">
        <f t="shared" si="138"/>
        <v/>
      </c>
      <c r="AC313" s="595"/>
      <c r="AD313" s="595"/>
      <c r="AE313" s="584"/>
      <c r="AF313" s="595"/>
      <c r="AG313" s="354"/>
      <c r="AH313" s="443"/>
      <c r="AI313" s="595"/>
      <c r="AJ313" s="595"/>
      <c r="AK313" s="595"/>
      <c r="AL313" s="595"/>
      <c r="AM313" s="595"/>
      <c r="AN313" s="584"/>
      <c r="AO313" s="595"/>
      <c r="AP313" s="595"/>
      <c r="AQ313" s="595"/>
      <c r="AR313" s="595"/>
      <c r="AS313" s="595"/>
      <c r="AT313" s="595"/>
      <c r="AU313" s="595"/>
      <c r="AV313" s="595"/>
      <c r="AW313" s="595"/>
      <c r="AX313" s="595"/>
      <c r="AY313" s="595"/>
      <c r="AZ313" s="595"/>
      <c r="BA313" s="595"/>
      <c r="BB313" s="595"/>
      <c r="BC313" s="595"/>
      <c r="BD313" s="595"/>
      <c r="BE313" s="595"/>
      <c r="BF313" s="595"/>
      <c r="BG313" s="595"/>
      <c r="BH313" s="595"/>
      <c r="BI313" s="595"/>
      <c r="BJ313" s="595"/>
      <c r="BK313" s="595"/>
      <c r="BL313" s="595"/>
      <c r="BM313" s="651"/>
      <c r="BN313" s="651"/>
      <c r="BO313" s="651"/>
      <c r="BP313" s="651"/>
      <c r="BQ313" s="651"/>
      <c r="BR313" s="651"/>
      <c r="BS313" s="651"/>
      <c r="BT313" s="651"/>
    </row>
    <row r="314" hidden="1">
      <c r="A314" s="1074"/>
      <c r="B314" s="584"/>
      <c r="C314" s="584"/>
      <c r="D314" s="584"/>
      <c r="E314" s="585"/>
      <c r="F314" s="1075"/>
      <c r="G314" s="587"/>
      <c r="H314" s="586"/>
      <c r="I314" s="584"/>
      <c r="J314" s="584"/>
      <c r="K314" s="586"/>
      <c r="L314" s="588"/>
      <c r="M314" s="588"/>
      <c r="N314" s="589"/>
      <c r="O314" s="950"/>
      <c r="P314" s="939" t="str">
        <f>IFERROR(__xludf.DUMMYFUNCTION("IF(Q314="""","""",
   IF(Q314=0,0,
      IF(ISNUMBER(MATCH(Q314,FILTER(R$222:R$342,T$222:T$342&lt;&gt;0),0)),1,0)
   )
)"),"")</f>
        <v/>
      </c>
      <c r="Q314" s="941"/>
      <c r="R314" s="929" t="s">
        <v>418</v>
      </c>
      <c r="S314" s="930" t="s">
        <v>52</v>
      </c>
      <c r="T314" s="488">
        <f t="shared" si="145"/>
        <v>0</v>
      </c>
      <c r="U314" s="489">
        <f t="shared" si="124"/>
        <v>4</v>
      </c>
      <c r="V314" s="490">
        <f t="shared" si="125"/>
        <v>46</v>
      </c>
      <c r="W314" s="491">
        <f t="shared" si="296"/>
        <v>40</v>
      </c>
      <c r="X314" s="489">
        <f t="shared" si="289"/>
        <v>320</v>
      </c>
      <c r="Y314" s="492">
        <f t="shared" si="293"/>
        <v>0</v>
      </c>
      <c r="Z314" s="493">
        <f t="shared" si="291"/>
        <v>0</v>
      </c>
      <c r="AA314" s="931" t="str">
        <f t="shared" si="295"/>
        <v/>
      </c>
      <c r="AB314" s="925" t="str">
        <f t="shared" si="138"/>
        <v/>
      </c>
      <c r="AC314" s="595"/>
      <c r="AD314" s="595"/>
      <c r="AE314" s="584"/>
      <c r="AF314" s="595"/>
      <c r="AG314" s="354"/>
      <c r="AH314" s="443"/>
      <c r="AI314" s="595"/>
      <c r="AJ314" s="595"/>
      <c r="AK314" s="595"/>
      <c r="AL314" s="595"/>
      <c r="AM314" s="595"/>
      <c r="AN314" s="584"/>
      <c r="AO314" s="595"/>
      <c r="AP314" s="595"/>
      <c r="AQ314" s="595"/>
      <c r="AR314" s="595"/>
      <c r="AS314" s="595"/>
      <c r="AT314" s="595"/>
      <c r="AU314" s="595"/>
      <c r="AV314" s="595"/>
      <c r="AW314" s="595"/>
      <c r="AX314" s="595"/>
      <c r="AY314" s="595"/>
      <c r="AZ314" s="595"/>
      <c r="BA314" s="595"/>
      <c r="BB314" s="595"/>
      <c r="BC314" s="595"/>
      <c r="BD314" s="595"/>
      <c r="BE314" s="595"/>
      <c r="BF314" s="595"/>
      <c r="BG314" s="595"/>
      <c r="BH314" s="595"/>
      <c r="BI314" s="595"/>
      <c r="BJ314" s="595"/>
      <c r="BK314" s="595"/>
      <c r="BL314" s="651"/>
      <c r="BM314" s="651"/>
      <c r="BN314" s="651"/>
      <c r="BO314" s="651"/>
      <c r="BP314" s="651"/>
      <c r="BQ314" s="651"/>
      <c r="BR314" s="651"/>
      <c r="BS314" s="651"/>
      <c r="BT314" s="651"/>
    </row>
    <row r="315" hidden="1">
      <c r="A315" s="1074"/>
      <c r="B315" s="584"/>
      <c r="C315" s="584"/>
      <c r="D315" s="584"/>
      <c r="E315" s="585"/>
      <c r="F315" s="1075"/>
      <c r="G315" s="587"/>
      <c r="H315" s="586"/>
      <c r="I315" s="443"/>
      <c r="J315" s="443"/>
      <c r="K315" s="354"/>
      <c r="L315" s="588"/>
      <c r="M315" s="588"/>
      <c r="N315" s="589"/>
      <c r="O315" s="950"/>
      <c r="P315" s="939" t="str">
        <f>IFERROR(__xludf.DUMMYFUNCTION("IF(Q315="""","""",
   IF(Q315=0,0,
      IF(ISNUMBER(MATCH(Q315,FILTER(R$222:R$342,T$222:T$342&lt;&gt;0),0)),1,0)
   )
)"),"")</f>
        <v/>
      </c>
      <c r="Q315" s="941"/>
      <c r="R315" s="929" t="s">
        <v>82</v>
      </c>
      <c r="S315" s="930" t="s">
        <v>41</v>
      </c>
      <c r="T315" s="488">
        <f t="shared" si="145"/>
        <v>965.0745562</v>
      </c>
      <c r="U315" s="489">
        <f t="shared" si="124"/>
        <v>4</v>
      </c>
      <c r="V315" s="490">
        <f t="shared" si="125"/>
        <v>46</v>
      </c>
      <c r="W315" s="491">
        <f>(50/4)*$X$207</f>
        <v>50</v>
      </c>
      <c r="X315" s="489">
        <f t="shared" si="289"/>
        <v>400</v>
      </c>
      <c r="Y315" s="492">
        <f t="shared" si="293"/>
        <v>2.42</v>
      </c>
      <c r="Z315" s="493">
        <f t="shared" si="291"/>
        <v>3562.24</v>
      </c>
      <c r="AA315" s="931">
        <f t="shared" si="295"/>
        <v>3.691155235</v>
      </c>
      <c r="AB315" s="925" t="str">
        <f t="shared" si="138"/>
        <v/>
      </c>
      <c r="AC315" s="947"/>
      <c r="AD315" s="595"/>
      <c r="AE315" s="584"/>
      <c r="AF315" s="595"/>
      <c r="AG315" s="354"/>
      <c r="AH315" s="443"/>
      <c r="AI315" s="595"/>
      <c r="AJ315" s="595"/>
      <c r="AK315" s="595"/>
      <c r="AL315" s="595"/>
      <c r="AM315" s="595"/>
      <c r="AN315" s="584"/>
      <c r="AO315" s="595"/>
      <c r="AP315" s="595"/>
      <c r="AQ315" s="595"/>
      <c r="AR315" s="595"/>
      <c r="AS315" s="595"/>
      <c r="AT315" s="595"/>
      <c r="AU315" s="595"/>
      <c r="AV315" s="595"/>
      <c r="AW315" s="595"/>
      <c r="AX315" s="595"/>
      <c r="AY315" s="595"/>
      <c r="AZ315" s="595"/>
      <c r="BA315" s="595"/>
      <c r="BB315" s="595"/>
      <c r="BC315" s="595"/>
      <c r="BD315" s="595"/>
      <c r="BE315" s="595"/>
      <c r="BF315" s="595"/>
      <c r="BG315" s="595"/>
      <c r="BH315" s="595"/>
      <c r="BI315" s="595"/>
      <c r="BJ315" s="595"/>
      <c r="BK315" s="595"/>
      <c r="BL315" s="651"/>
      <c r="BM315" s="651"/>
      <c r="BN315" s="651"/>
      <c r="BO315" s="651"/>
      <c r="BP315" s="651"/>
      <c r="BQ315" s="651"/>
      <c r="BR315" s="651"/>
      <c r="BS315" s="651"/>
      <c r="BT315" s="651"/>
    </row>
    <row r="316" hidden="1">
      <c r="A316" s="1074"/>
      <c r="B316" s="584"/>
      <c r="C316" s="564" t="s">
        <v>290</v>
      </c>
      <c r="D316" s="1019"/>
      <c r="E316" s="722"/>
      <c r="F316" s="1182"/>
      <c r="G316" s="1037"/>
      <c r="H316" s="1036"/>
      <c r="I316" s="152">
        <f>I292</f>
        <v>50232.11843</v>
      </c>
      <c r="J316" s="565">
        <f>I316/I321</f>
        <v>0.4382745077</v>
      </c>
      <c r="K316" s="466">
        <f t="shared" ref="K316:K320" si="297">I316/$I$323</f>
        <v>111.1977002</v>
      </c>
      <c r="L316" s="588"/>
      <c r="M316" s="588"/>
      <c r="N316" s="589"/>
      <c r="O316" s="950"/>
      <c r="P316" s="939" t="str">
        <f>IFERROR(__xludf.DUMMYFUNCTION("IF(Q316="""","""",
   IF(Q316=0,0,
      IF(ISNUMBER(MATCH(Q316,FILTER(R$222:R$342,T$222:T$342&lt;&gt;0),0)),1,0)
   )
)"),"")</f>
        <v/>
      </c>
      <c r="Q316" s="941"/>
      <c r="R316" s="942" t="s">
        <v>614</v>
      </c>
      <c r="S316" s="930" t="s">
        <v>55</v>
      </c>
      <c r="T316" s="488">
        <f t="shared" si="145"/>
        <v>0</v>
      </c>
      <c r="U316" s="489">
        <f t="shared" si="124"/>
        <v>4</v>
      </c>
      <c r="V316" s="490">
        <f t="shared" si="125"/>
        <v>46</v>
      </c>
      <c r="W316" s="491">
        <f>(5/1)*$X$207</f>
        <v>20</v>
      </c>
      <c r="X316" s="489">
        <f t="shared" si="289"/>
        <v>160</v>
      </c>
      <c r="Y316" s="492">
        <f t="shared" si="293"/>
        <v>0</v>
      </c>
      <c r="Z316" s="493">
        <f t="shared" si="291"/>
        <v>0</v>
      </c>
      <c r="AA316" s="931"/>
      <c r="AB316" s="925" t="str">
        <f t="shared" si="138"/>
        <v/>
      </c>
      <c r="AC316" s="595"/>
      <c r="AD316" s="595"/>
      <c r="AE316" s="584"/>
      <c r="AF316" s="595"/>
      <c r="AG316" s="354"/>
      <c r="AH316" s="443"/>
      <c r="AI316" s="595"/>
      <c r="AJ316" s="595"/>
      <c r="AK316" s="595"/>
      <c r="AL316" s="595"/>
      <c r="AM316" s="595"/>
      <c r="AN316" s="584"/>
      <c r="AO316" s="595"/>
      <c r="AP316" s="595"/>
      <c r="AQ316" s="595"/>
      <c r="AR316" s="595"/>
      <c r="AS316" s="595"/>
      <c r="AT316" s="595"/>
      <c r="AU316" s="595"/>
      <c r="AV316" s="595"/>
      <c r="AW316" s="595"/>
      <c r="AX316" s="595"/>
      <c r="AY316" s="595"/>
      <c r="AZ316" s="595"/>
      <c r="BA316" s="595"/>
      <c r="BB316" s="595"/>
      <c r="BC316" s="595"/>
      <c r="BD316" s="595"/>
      <c r="BE316" s="595"/>
      <c r="BF316" s="595"/>
      <c r="BG316" s="595"/>
      <c r="BH316" s="595"/>
      <c r="BI316" s="595"/>
      <c r="BJ316" s="595"/>
      <c r="BK316" s="595"/>
      <c r="BL316" s="651"/>
      <c r="BM316" s="651"/>
      <c r="BN316" s="651"/>
      <c r="BO316" s="651"/>
      <c r="BP316" s="651"/>
      <c r="BQ316" s="651"/>
      <c r="BR316" s="651"/>
      <c r="BS316" s="651"/>
      <c r="BT316" s="651"/>
    </row>
    <row r="317" hidden="1">
      <c r="A317" s="1074"/>
      <c r="B317" s="584"/>
      <c r="C317" s="564" t="s">
        <v>185</v>
      </c>
      <c r="D317" s="1019"/>
      <c r="E317" s="722"/>
      <c r="F317" s="1182"/>
      <c r="G317" s="1037"/>
      <c r="H317" s="1036"/>
      <c r="I317" s="152">
        <f>+I293</f>
        <v>29381.12268</v>
      </c>
      <c r="J317" s="565">
        <f>I317/I321</f>
        <v>0.2563498709</v>
      </c>
      <c r="K317" s="466">
        <f t="shared" si="297"/>
        <v>65.04032427</v>
      </c>
      <c r="L317" s="588"/>
      <c r="M317" s="588"/>
      <c r="N317" s="589"/>
      <c r="O317" s="950"/>
      <c r="P317" s="939" t="str">
        <f>IFERROR(__xludf.DUMMYFUNCTION("IF(Q317="""","""",
   IF(Q317=0,0,
      IF(ISNUMBER(MATCH(Q317,FILTER(R$222:R$342,T$222:T$342&lt;&gt;0),0)),1,0)
   )
)"),"")</f>
        <v/>
      </c>
      <c r="Q317" s="941"/>
      <c r="R317" s="929" t="s">
        <v>86</v>
      </c>
      <c r="S317" s="930" t="s">
        <v>52</v>
      </c>
      <c r="T317" s="488">
        <f t="shared" si="145"/>
        <v>6.222273089</v>
      </c>
      <c r="U317" s="489">
        <f t="shared" si="124"/>
        <v>4</v>
      </c>
      <c r="V317" s="490">
        <f t="shared" si="125"/>
        <v>46</v>
      </c>
      <c r="W317" s="491"/>
      <c r="X317" s="489"/>
      <c r="Y317" s="492"/>
      <c r="Z317" s="493"/>
      <c r="AA317" s="931"/>
      <c r="AB317" s="925" t="str">
        <f t="shared" si="138"/>
        <v/>
      </c>
      <c r="AC317" s="595"/>
      <c r="AD317" s="595"/>
      <c r="AE317" s="584"/>
      <c r="AF317" s="595"/>
      <c r="AG317" s="354"/>
      <c r="AH317" s="443"/>
      <c r="AI317" s="595"/>
      <c r="AJ317" s="595"/>
      <c r="AK317" s="595"/>
      <c r="AL317" s="595"/>
      <c r="AM317" s="595"/>
      <c r="AN317" s="584"/>
      <c r="AO317" s="595"/>
      <c r="AP317" s="595"/>
      <c r="AQ317" s="595"/>
      <c r="AR317" s="595"/>
      <c r="AS317" s="595"/>
      <c r="AT317" s="595"/>
      <c r="AU317" s="595"/>
      <c r="AV317" s="595"/>
      <c r="AW317" s="595"/>
      <c r="AX317" s="595"/>
      <c r="AY317" s="595"/>
      <c r="AZ317" s="595"/>
      <c r="BA317" s="595"/>
      <c r="BB317" s="595"/>
      <c r="BC317" s="595"/>
      <c r="BD317" s="595"/>
      <c r="BE317" s="595"/>
      <c r="BF317" s="595"/>
      <c r="BG317" s="595"/>
      <c r="BH317" s="595"/>
      <c r="BI317" s="595"/>
      <c r="BJ317" s="595"/>
      <c r="BK317" s="595"/>
      <c r="BL317" s="651"/>
      <c r="BM317" s="651"/>
      <c r="BN317" s="651"/>
      <c r="BO317" s="651"/>
      <c r="BP317" s="651"/>
      <c r="BQ317" s="651"/>
      <c r="BR317" s="651"/>
      <c r="BS317" s="651"/>
      <c r="BT317" s="651"/>
    </row>
    <row r="318" hidden="1">
      <c r="A318" s="1074"/>
      <c r="B318" s="584"/>
      <c r="C318" s="564" t="s">
        <v>296</v>
      </c>
      <c r="D318" s="1019"/>
      <c r="E318" s="722"/>
      <c r="F318" s="1182"/>
      <c r="G318" s="1039"/>
      <c r="H318" s="1038"/>
      <c r="I318" s="152">
        <f>+I307+I305+I304</f>
        <v>3360</v>
      </c>
      <c r="J318" s="565">
        <f>I318/I321</f>
        <v>0.02931595146</v>
      </c>
      <c r="K318" s="466">
        <f t="shared" si="297"/>
        <v>7.437955723</v>
      </c>
      <c r="L318" s="588"/>
      <c r="M318" s="588"/>
      <c r="N318" s="589"/>
      <c r="O318" s="950"/>
      <c r="P318" s="939" t="str">
        <f>IFERROR(__xludf.DUMMYFUNCTION("IF(Q318="""","""",
   IF(Q318=0,0,
      IF(ISNUMBER(MATCH(Q318,FILTER(R$222:R$342,T$222:T$342&lt;&gt;0),0)),1,0)
   )
)"),"")</f>
        <v/>
      </c>
      <c r="Q318" s="941"/>
      <c r="R318" s="929" t="s">
        <v>419</v>
      </c>
      <c r="S318" s="930" t="s">
        <v>55</v>
      </c>
      <c r="T318" s="488">
        <f t="shared" si="145"/>
        <v>0</v>
      </c>
      <c r="U318" s="489">
        <f t="shared" si="124"/>
        <v>4</v>
      </c>
      <c r="V318" s="490">
        <f t="shared" si="125"/>
        <v>46</v>
      </c>
      <c r="W318" s="491">
        <f>(10/1)*$X$207</f>
        <v>40</v>
      </c>
      <c r="X318" s="489">
        <f t="shared" ref="X318:X319" si="298">W318*W$217</f>
        <v>320</v>
      </c>
      <c r="Y318" s="492">
        <f t="shared" ref="Y318:Y319" si="299">ROUNDUP(T318/X318,2)</f>
        <v>0</v>
      </c>
      <c r="Z318" s="493">
        <f t="shared" ref="Z318:Z319" si="300">Y318*V318*U318*W$217</f>
        <v>0</v>
      </c>
      <c r="AA318" s="931" t="str">
        <f t="shared" ref="AA318:AA319" si="301">iferror(Z318/T318,"")</f>
        <v/>
      </c>
      <c r="AB318" s="925" t="str">
        <f t="shared" si="138"/>
        <v/>
      </c>
      <c r="AC318" s="595"/>
      <c r="AD318" s="595"/>
      <c r="AE318" s="584"/>
      <c r="AF318" s="595"/>
      <c r="AG318" s="354"/>
      <c r="AH318" s="443"/>
      <c r="AI318" s="595"/>
      <c r="AJ318" s="595"/>
      <c r="AK318" s="595"/>
      <c r="AL318" s="595"/>
      <c r="AM318" s="595"/>
      <c r="AN318" s="584"/>
      <c r="AO318" s="595"/>
      <c r="AP318" s="595"/>
      <c r="AQ318" s="595"/>
      <c r="AR318" s="595"/>
      <c r="AS318" s="595"/>
      <c r="AT318" s="595"/>
      <c r="AU318" s="595"/>
      <c r="AV318" s="595"/>
      <c r="AW318" s="595"/>
      <c r="AX318" s="595"/>
      <c r="AY318" s="595"/>
      <c r="AZ318" s="595"/>
      <c r="BA318" s="595"/>
      <c r="BB318" s="595"/>
      <c r="BC318" s="595"/>
      <c r="BD318" s="595"/>
      <c r="BE318" s="595"/>
      <c r="BF318" s="595"/>
      <c r="BG318" s="595"/>
      <c r="BH318" s="595"/>
      <c r="BI318" s="595"/>
      <c r="BJ318" s="595"/>
      <c r="BK318" s="595"/>
      <c r="BL318" s="651"/>
      <c r="BM318" s="651"/>
      <c r="BN318" s="651"/>
      <c r="BO318" s="651"/>
      <c r="BP318" s="651"/>
      <c r="BQ318" s="651"/>
      <c r="BR318" s="651"/>
      <c r="BS318" s="651"/>
      <c r="BT318" s="651"/>
    </row>
    <row r="319" hidden="1">
      <c r="A319" s="1074"/>
      <c r="B319" s="584"/>
      <c r="C319" s="564" t="s">
        <v>24</v>
      </c>
      <c r="D319" s="1019"/>
      <c r="E319" s="722"/>
      <c r="F319" s="1182"/>
      <c r="G319" s="1039"/>
      <c r="H319" s="1038"/>
      <c r="I319" s="152">
        <f>+I303+I302+I301+I300+I299+I298+I297</f>
        <v>15717.48095</v>
      </c>
      <c r="J319" s="565">
        <f>I319/I321</f>
        <v>0.1371347942</v>
      </c>
      <c r="K319" s="466">
        <f t="shared" si="297"/>
        <v>34.79343076</v>
      </c>
      <c r="L319" s="588"/>
      <c r="M319" s="588"/>
      <c r="N319" s="589"/>
      <c r="O319" s="950"/>
      <c r="P319" s="939" t="str">
        <f>IFERROR(__xludf.DUMMYFUNCTION("IF(Q319="""","""",
   IF(Q319=0,0,
      IF(ISNUMBER(MATCH(Q319,FILTER(R$222:R$342,T$222:T$342&lt;&gt;0),0)),1,0)
   )
)"),"")</f>
        <v/>
      </c>
      <c r="Q319" s="941"/>
      <c r="R319" s="929" t="s">
        <v>420</v>
      </c>
      <c r="S319" s="930" t="s">
        <v>55</v>
      </c>
      <c r="T319" s="488">
        <f t="shared" si="145"/>
        <v>0</v>
      </c>
      <c r="U319" s="489">
        <f t="shared" si="124"/>
        <v>4</v>
      </c>
      <c r="V319" s="490">
        <f t="shared" si="125"/>
        <v>46</v>
      </c>
      <c r="W319" s="491">
        <f>(5/1)*$X$207</f>
        <v>20</v>
      </c>
      <c r="X319" s="489">
        <f t="shared" si="298"/>
        <v>160</v>
      </c>
      <c r="Y319" s="492">
        <f t="shared" si="299"/>
        <v>0</v>
      </c>
      <c r="Z319" s="493">
        <f t="shared" si="300"/>
        <v>0</v>
      </c>
      <c r="AA319" s="931" t="str">
        <f t="shared" si="301"/>
        <v/>
      </c>
      <c r="AB319" s="925" t="str">
        <f t="shared" si="138"/>
        <v/>
      </c>
      <c r="AC319" s="595"/>
      <c r="AD319" s="595"/>
      <c r="AE319" s="584"/>
      <c r="AF319" s="595"/>
      <c r="AG319" s="354"/>
      <c r="AH319" s="443"/>
      <c r="AI319" s="595"/>
      <c r="AJ319" s="595"/>
      <c r="AK319" s="595"/>
      <c r="AL319" s="595"/>
      <c r="AM319" s="595"/>
      <c r="AN319" s="584"/>
      <c r="AO319" s="595"/>
      <c r="AP319" s="595"/>
      <c r="AQ319" s="595"/>
      <c r="AR319" s="595"/>
      <c r="AS319" s="595"/>
      <c r="AT319" s="595"/>
      <c r="AU319" s="595"/>
      <c r="AV319" s="595"/>
      <c r="AW319" s="595"/>
      <c r="AX319" s="595"/>
      <c r="AY319" s="595"/>
      <c r="AZ319" s="595"/>
      <c r="BA319" s="595"/>
      <c r="BB319" s="595"/>
      <c r="BC319" s="595"/>
      <c r="BD319" s="595"/>
      <c r="BE319" s="595"/>
      <c r="BF319" s="595"/>
      <c r="BG319" s="595"/>
      <c r="BH319" s="595"/>
      <c r="BI319" s="595"/>
      <c r="BJ319" s="595"/>
      <c r="BK319" s="595"/>
      <c r="BL319" s="651"/>
      <c r="BM319" s="651"/>
      <c r="BN319" s="651"/>
      <c r="BO319" s="651"/>
      <c r="BP319" s="651"/>
      <c r="BQ319" s="651"/>
      <c r="BR319" s="651"/>
      <c r="BS319" s="651"/>
      <c r="BT319" s="651"/>
    </row>
    <row r="320" hidden="1">
      <c r="A320" s="1074"/>
      <c r="B320" s="584"/>
      <c r="C320" s="564" t="s">
        <v>25</v>
      </c>
      <c r="D320" s="1019"/>
      <c r="E320" s="722"/>
      <c r="F320" s="1182"/>
      <c r="G320" s="1039"/>
      <c r="H320" s="1038"/>
      <c r="I320" s="566">
        <f>I311</f>
        <v>15922.64822</v>
      </c>
      <c r="J320" s="565">
        <f>I320/I321</f>
        <v>0.1389248757</v>
      </c>
      <c r="K320" s="466">
        <f t="shared" si="297"/>
        <v>35.2476049</v>
      </c>
      <c r="L320" s="588"/>
      <c r="M320" s="588"/>
      <c r="N320" s="589"/>
      <c r="O320" s="950"/>
      <c r="P320" s="939" t="str">
        <f>IFERROR(__xludf.DUMMYFUNCTION("IF(Q320="""","""",
   IF(Q320=0,0,
      IF(ISNUMBER(MATCH(Q320,FILTER(R$222:R$342,T$222:T$342&lt;&gt;0),0)),1,0)
   )
)"),"")</f>
        <v/>
      </c>
      <c r="Q320" s="941"/>
      <c r="R320" s="942" t="s">
        <v>615</v>
      </c>
      <c r="S320" s="930" t="s">
        <v>52</v>
      </c>
      <c r="T320" s="488">
        <f t="shared" si="145"/>
        <v>5427.06761</v>
      </c>
      <c r="U320" s="489">
        <f t="shared" si="124"/>
        <v>4</v>
      </c>
      <c r="V320" s="490">
        <f t="shared" si="125"/>
        <v>46</v>
      </c>
      <c r="W320" s="491"/>
      <c r="X320" s="489"/>
      <c r="Y320" s="492"/>
      <c r="Z320" s="493"/>
      <c r="AA320" s="931"/>
      <c r="AB320" s="925" t="str">
        <f t="shared" si="138"/>
        <v/>
      </c>
      <c r="AC320" s="595"/>
      <c r="AD320" s="595"/>
      <c r="AE320" s="584"/>
      <c r="AF320" s="595"/>
      <c r="AG320" s="354"/>
      <c r="AH320" s="443"/>
      <c r="AI320" s="595"/>
      <c r="AJ320" s="595"/>
      <c r="AK320" s="595"/>
      <c r="AL320" s="595"/>
      <c r="AM320" s="595"/>
      <c r="AN320" s="584"/>
      <c r="AO320" s="595"/>
      <c r="AP320" s="595"/>
      <c r="AQ320" s="595"/>
      <c r="AR320" s="595"/>
      <c r="AS320" s="595"/>
      <c r="AT320" s="595"/>
      <c r="AU320" s="595"/>
      <c r="AV320" s="595"/>
      <c r="AW320" s="595"/>
      <c r="AX320" s="595"/>
      <c r="AY320" s="595"/>
      <c r="AZ320" s="595"/>
      <c r="BA320" s="595"/>
      <c r="BB320" s="595"/>
      <c r="BC320" s="595"/>
      <c r="BD320" s="595"/>
      <c r="BE320" s="595"/>
      <c r="BF320" s="595"/>
      <c r="BG320" s="595"/>
      <c r="BH320" s="595"/>
      <c r="BI320" s="595"/>
      <c r="BJ320" s="595"/>
      <c r="BK320" s="595"/>
      <c r="BL320" s="651"/>
      <c r="BM320" s="651"/>
      <c r="BN320" s="651"/>
      <c r="BO320" s="651"/>
      <c r="BP320" s="651"/>
      <c r="BQ320" s="651"/>
      <c r="BR320" s="651"/>
      <c r="BS320" s="651"/>
      <c r="BT320" s="651"/>
    </row>
    <row r="321" hidden="1">
      <c r="A321" s="1074"/>
      <c r="B321" s="584"/>
      <c r="C321" s="567" t="s">
        <v>297</v>
      </c>
      <c r="D321" s="1040"/>
      <c r="E321" s="1041"/>
      <c r="F321" s="1185"/>
      <c r="G321" s="1043"/>
      <c r="H321" s="1042"/>
      <c r="I321" s="570">
        <f>SUM(I316:I320)</f>
        <v>114613.3703</v>
      </c>
      <c r="J321" s="571" t="b">
        <f>I321=T208</f>
        <v>1</v>
      </c>
      <c r="K321" s="354"/>
      <c r="L321" s="375">
        <f>I321-L318</f>
        <v>114613.3703</v>
      </c>
      <c r="M321" s="588"/>
      <c r="N321" s="589"/>
      <c r="O321" s="950"/>
      <c r="P321" s="939" t="str">
        <f>IFERROR(__xludf.DUMMYFUNCTION("IF(Q321="""","""",
   IF(Q321=0,0,
      IF(ISNUMBER(MATCH(Q321,FILTER(R$222:R$342,T$222:T$342&lt;&gt;0),0)),1,0)
   )
)"),"")</f>
        <v/>
      </c>
      <c r="Q321" s="941"/>
      <c r="R321" s="929" t="s">
        <v>421</v>
      </c>
      <c r="S321" s="930" t="s">
        <v>52</v>
      </c>
      <c r="T321" s="488">
        <f t="shared" si="145"/>
        <v>0</v>
      </c>
      <c r="U321" s="489">
        <f t="shared" si="124"/>
        <v>4</v>
      </c>
      <c r="V321" s="490">
        <f t="shared" si="125"/>
        <v>46</v>
      </c>
      <c r="W321" s="491">
        <f>(10/1)*$X$207</f>
        <v>40</v>
      </c>
      <c r="X321" s="489">
        <f t="shared" ref="X321:X324" si="302">W321*W$217</f>
        <v>320</v>
      </c>
      <c r="Y321" s="492">
        <f t="shared" ref="Y321:Y324" si="303">ROUNDUP(T321/X321,2)</f>
        <v>0</v>
      </c>
      <c r="Z321" s="493">
        <f t="shared" ref="Z321:Z324" si="304">Y321*V321*U321*W$217</f>
        <v>0</v>
      </c>
      <c r="AA321" s="931" t="str">
        <f t="shared" ref="AA321:AA324" si="305">iferror(Z321/T321,"")</f>
        <v/>
      </c>
      <c r="AB321" s="925" t="str">
        <f t="shared" si="138"/>
        <v/>
      </c>
      <c r="AC321" s="595"/>
      <c r="AD321" s="595"/>
      <c r="AE321" s="584"/>
      <c r="AF321" s="595"/>
      <c r="AG321" s="354"/>
      <c r="AH321" s="443"/>
      <c r="AI321" s="595"/>
      <c r="AJ321" s="595"/>
      <c r="AK321" s="595"/>
      <c r="AL321" s="595"/>
      <c r="AM321" s="595"/>
      <c r="AN321" s="584"/>
      <c r="AO321" s="595"/>
      <c r="AP321" s="595"/>
      <c r="AQ321" s="595"/>
      <c r="AR321" s="595"/>
      <c r="AS321" s="595"/>
      <c r="AT321" s="595"/>
      <c r="AU321" s="595"/>
      <c r="AV321" s="595"/>
      <c r="AW321" s="595"/>
      <c r="AX321" s="595"/>
      <c r="AY321" s="595"/>
      <c r="AZ321" s="595"/>
      <c r="BA321" s="595"/>
      <c r="BB321" s="595"/>
      <c r="BC321" s="595"/>
      <c r="BD321" s="595"/>
      <c r="BE321" s="595"/>
      <c r="BF321" s="595"/>
      <c r="BG321" s="595"/>
      <c r="BH321" s="595"/>
      <c r="BI321" s="595"/>
      <c r="BJ321" s="595"/>
      <c r="BK321" s="595"/>
      <c r="BL321" s="651"/>
      <c r="BM321" s="651"/>
      <c r="BN321" s="651"/>
      <c r="BO321" s="651"/>
      <c r="BP321" s="651"/>
      <c r="BQ321" s="651"/>
      <c r="BR321" s="651"/>
      <c r="BS321" s="651"/>
      <c r="BT321" s="651"/>
    </row>
    <row r="322" hidden="1">
      <c r="A322" s="1074"/>
      <c r="B322" s="584"/>
      <c r="C322" s="584"/>
      <c r="D322" s="584"/>
      <c r="E322" s="585"/>
      <c r="F322" s="1075"/>
      <c r="G322" s="587"/>
      <c r="H322" s="586"/>
      <c r="I322" s="443"/>
      <c r="J322" s="443"/>
      <c r="K322" s="354"/>
      <c r="L322" s="588"/>
      <c r="M322" s="588"/>
      <c r="N322" s="589"/>
      <c r="O322" s="950"/>
      <c r="P322" s="939" t="str">
        <f>IFERROR(__xludf.DUMMYFUNCTION("IF(Q322="""","""",
   IF(Q322=0,0,
      IF(ISNUMBER(MATCH(Q322,FILTER(R$222:R$342,T$222:T$342&lt;&gt;0),0)),1,0)
   )
)"),"")</f>
        <v/>
      </c>
      <c r="Q322" s="941"/>
      <c r="R322" s="942" t="s">
        <v>616</v>
      </c>
      <c r="S322" s="930" t="s">
        <v>52</v>
      </c>
      <c r="T322" s="488">
        <f t="shared" si="145"/>
        <v>0</v>
      </c>
      <c r="U322" s="489">
        <f t="shared" si="124"/>
        <v>4</v>
      </c>
      <c r="V322" s="490">
        <f t="shared" si="125"/>
        <v>46</v>
      </c>
      <c r="W322" s="491">
        <f>(20/1)*$X$207</f>
        <v>80</v>
      </c>
      <c r="X322" s="489">
        <f t="shared" si="302"/>
        <v>640</v>
      </c>
      <c r="Y322" s="492">
        <f t="shared" si="303"/>
        <v>0</v>
      </c>
      <c r="Z322" s="493">
        <f t="shared" si="304"/>
        <v>0</v>
      </c>
      <c r="AA322" s="931" t="str">
        <f t="shared" si="305"/>
        <v/>
      </c>
      <c r="AB322" s="925" t="str">
        <f t="shared" si="138"/>
        <v/>
      </c>
      <c r="AC322" s="595"/>
      <c r="AD322" s="595"/>
      <c r="AE322" s="584"/>
      <c r="AF322" s="595"/>
      <c r="AG322" s="354"/>
      <c r="AH322" s="443"/>
      <c r="AI322" s="595"/>
      <c r="AJ322" s="595"/>
      <c r="AK322" s="595"/>
      <c r="AL322" s="595"/>
      <c r="AM322" s="595"/>
      <c r="AN322" s="584"/>
      <c r="AO322" s="595"/>
      <c r="AP322" s="595"/>
      <c r="AQ322" s="595"/>
      <c r="AR322" s="595"/>
      <c r="AS322" s="595"/>
      <c r="AT322" s="595"/>
      <c r="AU322" s="595"/>
      <c r="AV322" s="595"/>
      <c r="AW322" s="595"/>
      <c r="AX322" s="595"/>
      <c r="AY322" s="595"/>
      <c r="AZ322" s="595"/>
      <c r="BA322" s="595"/>
      <c r="BB322" s="595"/>
      <c r="BC322" s="595"/>
      <c r="BD322" s="595"/>
      <c r="BE322" s="595"/>
      <c r="BF322" s="595"/>
      <c r="BG322" s="595"/>
      <c r="BH322" s="595"/>
      <c r="BI322" s="595"/>
      <c r="BJ322" s="595"/>
      <c r="BK322" s="595"/>
      <c r="BL322" s="651"/>
      <c r="BM322" s="651"/>
      <c r="BN322" s="651"/>
      <c r="BO322" s="651"/>
      <c r="BP322" s="651"/>
      <c r="BQ322" s="651"/>
      <c r="BR322" s="651"/>
      <c r="BS322" s="651"/>
      <c r="BT322" s="651"/>
    </row>
    <row r="323" hidden="1">
      <c r="A323" s="1074"/>
      <c r="B323" s="584"/>
      <c r="C323" s="540" t="s">
        <v>298</v>
      </c>
      <c r="D323" s="700"/>
      <c r="E323" s="722"/>
      <c r="F323" s="1182"/>
      <c r="G323" s="225"/>
      <c r="H323" s="128"/>
      <c r="I323" s="572">
        <f>S214</f>
        <v>451.7370263</v>
      </c>
      <c r="J323" s="443"/>
      <c r="K323" s="354"/>
      <c r="L323" s="588"/>
      <c r="M323" s="588"/>
      <c r="N323" s="589"/>
      <c r="O323" s="950"/>
      <c r="P323" s="939" t="str">
        <f>IFERROR(__xludf.DUMMYFUNCTION("IF(Q323="""","""",
   IF(Q323=0,0,
      IF(ISNUMBER(MATCH(Q323,FILTER(R$222:R$342,T$222:T$342&lt;&gt;0),0)),1,0)
   )
)"),"")</f>
        <v/>
      </c>
      <c r="Q323" s="941"/>
      <c r="R323" s="942" t="s">
        <v>438</v>
      </c>
      <c r="S323" s="930" t="s">
        <v>52</v>
      </c>
      <c r="T323" s="488">
        <f t="shared" si="145"/>
        <v>0</v>
      </c>
      <c r="U323" s="489">
        <f t="shared" si="124"/>
        <v>4</v>
      </c>
      <c r="V323" s="490">
        <f t="shared" si="125"/>
        <v>46</v>
      </c>
      <c r="W323" s="491">
        <f>(15/1)*$X$207</f>
        <v>60</v>
      </c>
      <c r="X323" s="489">
        <f t="shared" si="302"/>
        <v>480</v>
      </c>
      <c r="Y323" s="492">
        <f t="shared" si="303"/>
        <v>0</v>
      </c>
      <c r="Z323" s="493">
        <f t="shared" si="304"/>
        <v>0</v>
      </c>
      <c r="AA323" s="931" t="str">
        <f t="shared" si="305"/>
        <v/>
      </c>
      <c r="AB323" s="925" t="str">
        <f t="shared" si="138"/>
        <v/>
      </c>
      <c r="AC323" s="595"/>
      <c r="AD323" s="595"/>
      <c r="AE323" s="584"/>
      <c r="AF323" s="595"/>
      <c r="AG323" s="354"/>
      <c r="AH323" s="443"/>
      <c r="AI323" s="595"/>
      <c r="AJ323" s="595"/>
      <c r="AK323" s="595"/>
      <c r="AL323" s="595"/>
      <c r="AM323" s="595"/>
      <c r="AN323" s="584"/>
      <c r="AO323" s="595"/>
      <c r="AP323" s="595"/>
      <c r="AQ323" s="595"/>
      <c r="AR323" s="595"/>
      <c r="AS323" s="595"/>
      <c r="AT323" s="595"/>
      <c r="AU323" s="595"/>
      <c r="AV323" s="595"/>
      <c r="AW323" s="595"/>
      <c r="AX323" s="595"/>
      <c r="AY323" s="595"/>
      <c r="AZ323" s="595"/>
      <c r="BA323" s="595"/>
      <c r="BB323" s="595"/>
      <c r="BC323" s="595"/>
      <c r="BD323" s="595"/>
      <c r="BE323" s="595"/>
      <c r="BF323" s="595"/>
      <c r="BG323" s="595"/>
      <c r="BH323" s="595"/>
      <c r="BI323" s="595"/>
      <c r="BJ323" s="595"/>
      <c r="BK323" s="595"/>
      <c r="BL323" s="651"/>
      <c r="BM323" s="651"/>
      <c r="BN323" s="651"/>
      <c r="BO323" s="651"/>
      <c r="BP323" s="651"/>
      <c r="BQ323" s="651"/>
      <c r="BR323" s="651"/>
      <c r="BS323" s="651"/>
      <c r="BT323" s="651"/>
    </row>
    <row r="324" hidden="1">
      <c r="A324" s="1074"/>
      <c r="B324" s="584"/>
      <c r="C324" s="540" t="s">
        <v>299</v>
      </c>
      <c r="D324" s="700"/>
      <c r="E324" s="722"/>
      <c r="F324" s="1182"/>
      <c r="G324" s="225"/>
      <c r="H324" s="128"/>
      <c r="I324" s="573">
        <f>W211</f>
        <v>20.22</v>
      </c>
      <c r="J324" s="574">
        <f>X207</f>
        <v>4</v>
      </c>
      <c r="K324" s="354"/>
      <c r="L324" s="588"/>
      <c r="M324" s="588"/>
      <c r="N324" s="589"/>
      <c r="O324" s="950"/>
      <c r="P324" s="939" t="str">
        <f>IFERROR(__xludf.DUMMYFUNCTION("IF(Q324="""","""",
   IF(Q324=0,0,
      IF(ISNUMBER(MATCH(Q324,FILTER(R$222:R$342,T$222:T$342&lt;&gt;0),0)),1,0)
   )
)"),"")</f>
        <v/>
      </c>
      <c r="Q324" s="941"/>
      <c r="R324" s="942" t="s">
        <v>617</v>
      </c>
      <c r="S324" s="930" t="s">
        <v>52</v>
      </c>
      <c r="T324" s="488">
        <f t="shared" si="145"/>
        <v>0</v>
      </c>
      <c r="U324" s="489">
        <f t="shared" si="124"/>
        <v>4</v>
      </c>
      <c r="V324" s="490">
        <f t="shared" si="125"/>
        <v>46</v>
      </c>
      <c r="W324" s="491">
        <f>(40/4)*$X$207</f>
        <v>40</v>
      </c>
      <c r="X324" s="489">
        <f t="shared" si="302"/>
        <v>320</v>
      </c>
      <c r="Y324" s="492">
        <f t="shared" si="303"/>
        <v>0</v>
      </c>
      <c r="Z324" s="493">
        <f t="shared" si="304"/>
        <v>0</v>
      </c>
      <c r="AA324" s="931" t="str">
        <f t="shared" si="305"/>
        <v/>
      </c>
      <c r="AB324" s="925" t="str">
        <f t="shared" si="138"/>
        <v/>
      </c>
      <c r="AC324" s="595"/>
      <c r="AD324" s="595"/>
      <c r="AE324" s="584"/>
      <c r="AF324" s="595"/>
      <c r="AG324" s="354"/>
      <c r="AH324" s="443"/>
      <c r="AI324" s="595"/>
      <c r="AJ324" s="595"/>
      <c r="AK324" s="595"/>
      <c r="AL324" s="595"/>
      <c r="AM324" s="595"/>
      <c r="AN324" s="584"/>
      <c r="AO324" s="595"/>
      <c r="AP324" s="595"/>
      <c r="AQ324" s="595"/>
      <c r="AR324" s="595"/>
      <c r="AS324" s="595"/>
      <c r="AT324" s="595"/>
      <c r="AU324" s="595"/>
      <c r="AV324" s="595"/>
      <c r="AW324" s="595"/>
      <c r="AX324" s="595"/>
      <c r="AY324" s="595"/>
      <c r="AZ324" s="595"/>
      <c r="BA324" s="595"/>
      <c r="BB324" s="595"/>
      <c r="BC324" s="595"/>
      <c r="BD324" s="595"/>
      <c r="BE324" s="595"/>
      <c r="BF324" s="595"/>
      <c r="BG324" s="595"/>
      <c r="BH324" s="595"/>
      <c r="BI324" s="595"/>
      <c r="BJ324" s="595"/>
      <c r="BK324" s="595"/>
      <c r="BL324" s="651"/>
      <c r="BM324" s="651"/>
      <c r="BN324" s="651"/>
      <c r="BO324" s="651"/>
      <c r="BP324" s="651"/>
      <c r="BQ324" s="651"/>
      <c r="BR324" s="651"/>
      <c r="BS324" s="651"/>
      <c r="BT324" s="651"/>
    </row>
    <row r="325" hidden="1">
      <c r="A325" s="1074"/>
      <c r="B325" s="584"/>
      <c r="C325" s="537" t="s">
        <v>26</v>
      </c>
      <c r="D325" s="700"/>
      <c r="E325" s="722"/>
      <c r="F325" s="1182"/>
      <c r="G325" s="225"/>
      <c r="H325" s="128"/>
      <c r="I325" s="575">
        <f>I321/I323</f>
        <v>253.7170159</v>
      </c>
      <c r="J325" s="576">
        <f>W210</f>
        <v>3.992000364</v>
      </c>
      <c r="K325" s="354"/>
      <c r="L325" s="588"/>
      <c r="M325" s="588"/>
      <c r="N325" s="589"/>
      <c r="O325" s="950"/>
      <c r="P325" s="939" t="str">
        <f>IFERROR(__xludf.DUMMYFUNCTION("IF(Q325="""","""",
   IF(Q325=0,0,
      IF(ISNUMBER(MATCH(Q325,FILTER(R$222:R$342,T$222:T$342&lt;&gt;0),0)),1,0)
   )
)"),"")</f>
        <v/>
      </c>
      <c r="Q325" s="941"/>
      <c r="R325" s="942" t="s">
        <v>457</v>
      </c>
      <c r="S325" s="930" t="s">
        <v>52</v>
      </c>
      <c r="T325" s="488">
        <f t="shared" si="145"/>
        <v>0</v>
      </c>
      <c r="U325" s="489">
        <f t="shared" si="124"/>
        <v>4</v>
      </c>
      <c r="V325" s="490">
        <f t="shared" si="125"/>
        <v>46</v>
      </c>
      <c r="W325" s="491"/>
      <c r="X325" s="489"/>
      <c r="Y325" s="492"/>
      <c r="Z325" s="493"/>
      <c r="AA325" s="931"/>
      <c r="AB325" s="925" t="str">
        <f t="shared" si="138"/>
        <v/>
      </c>
      <c r="AC325" s="947"/>
      <c r="AD325" s="595"/>
      <c r="AE325" s="584"/>
      <c r="AF325" s="595"/>
      <c r="AG325" s="354"/>
      <c r="AH325" s="443"/>
      <c r="AI325" s="595"/>
      <c r="AJ325" s="595"/>
      <c r="AK325" s="595"/>
      <c r="AL325" s="595"/>
      <c r="AM325" s="595"/>
      <c r="AN325" s="584"/>
      <c r="AO325" s="595"/>
      <c r="AP325" s="595"/>
      <c r="AQ325" s="595"/>
      <c r="AR325" s="595"/>
      <c r="AS325" s="595"/>
      <c r="AT325" s="595"/>
      <c r="AU325" s="595"/>
      <c r="AV325" s="595"/>
      <c r="AW325" s="595"/>
      <c r="AX325" s="595"/>
      <c r="AY325" s="595"/>
      <c r="AZ325" s="595"/>
      <c r="BA325" s="595"/>
      <c r="BB325" s="595"/>
      <c r="BC325" s="595"/>
      <c r="BD325" s="595"/>
      <c r="BE325" s="595"/>
      <c r="BF325" s="595"/>
      <c r="BG325" s="595"/>
      <c r="BH325" s="595"/>
      <c r="BI325" s="595"/>
      <c r="BJ325" s="595"/>
      <c r="BK325" s="595"/>
      <c r="BL325" s="651"/>
      <c r="BM325" s="651"/>
      <c r="BN325" s="651"/>
      <c r="BO325" s="651"/>
      <c r="BP325" s="651"/>
      <c r="BQ325" s="651"/>
      <c r="BR325" s="651"/>
      <c r="BS325" s="651"/>
      <c r="BT325" s="651"/>
    </row>
    <row r="326" hidden="1">
      <c r="A326" s="1074"/>
      <c r="B326" s="584"/>
      <c r="C326" s="584"/>
      <c r="D326" s="584"/>
      <c r="E326" s="585"/>
      <c r="F326" s="1075"/>
      <c r="G326" s="587"/>
      <c r="H326" s="586"/>
      <c r="I326" s="443"/>
      <c r="J326" s="443"/>
      <c r="K326" s="354"/>
      <c r="L326" s="588"/>
      <c r="M326" s="588"/>
      <c r="N326" s="589"/>
      <c r="O326" s="950"/>
      <c r="P326" s="939" t="str">
        <f>IFERROR(__xludf.DUMMYFUNCTION("IF(Q326="""","""",
   IF(Q326=0,0,
      IF(ISNUMBER(MATCH(Q326,FILTER(R$222:R$342,T$222:T$342&lt;&gt;0),0)),1,0)
   )
)"),"")</f>
        <v/>
      </c>
      <c r="Q326" s="941"/>
      <c r="R326" s="942" t="s">
        <v>690</v>
      </c>
      <c r="S326" s="930" t="s">
        <v>41</v>
      </c>
      <c r="T326" s="488">
        <f t="shared" si="145"/>
        <v>0</v>
      </c>
      <c r="U326" s="489">
        <f t="shared" si="124"/>
        <v>4</v>
      </c>
      <c r="V326" s="490">
        <f t="shared" si="125"/>
        <v>46</v>
      </c>
      <c r="W326" s="491">
        <f>(90/3)*$X$207</f>
        <v>120</v>
      </c>
      <c r="X326" s="489">
        <f>W326*W$217</f>
        <v>960</v>
      </c>
      <c r="Y326" s="492">
        <f>ROUNDUP(T326/X326,2)</f>
        <v>0</v>
      </c>
      <c r="Z326" s="493">
        <f>Y326*V326*U326*W$217</f>
        <v>0</v>
      </c>
      <c r="AA326" s="931" t="str">
        <f>iferror(Z326/T326,"")</f>
        <v/>
      </c>
      <c r="AB326" s="925" t="str">
        <f t="shared" si="138"/>
        <v/>
      </c>
      <c r="AC326" s="595"/>
      <c r="AD326" s="595"/>
      <c r="AE326" s="584"/>
      <c r="AF326" s="595"/>
      <c r="AG326" s="354"/>
      <c r="AH326" s="443"/>
      <c r="AI326" s="595"/>
      <c r="AJ326" s="595"/>
      <c r="AK326" s="595"/>
      <c r="AL326" s="595"/>
      <c r="AM326" s="595"/>
      <c r="AN326" s="584"/>
      <c r="AO326" s="595"/>
      <c r="AP326" s="595"/>
      <c r="AQ326" s="595"/>
      <c r="AR326" s="595"/>
      <c r="AS326" s="595"/>
      <c r="AT326" s="595"/>
      <c r="AU326" s="595"/>
      <c r="AV326" s="595"/>
      <c r="AW326" s="595"/>
      <c r="AX326" s="595"/>
      <c r="AY326" s="595"/>
      <c r="AZ326" s="595"/>
      <c r="BA326" s="595"/>
      <c r="BB326" s="595"/>
      <c r="BC326" s="595"/>
      <c r="BD326" s="595"/>
      <c r="BE326" s="595"/>
      <c r="BF326" s="595"/>
      <c r="BG326" s="595"/>
      <c r="BH326" s="595"/>
      <c r="BI326" s="595"/>
      <c r="BJ326" s="595"/>
      <c r="BK326" s="595"/>
      <c r="BL326" s="651"/>
      <c r="BM326" s="651"/>
      <c r="BN326" s="651"/>
      <c r="BO326" s="651"/>
      <c r="BP326" s="651"/>
      <c r="BQ326" s="651"/>
      <c r="BR326" s="651"/>
      <c r="BS326" s="651"/>
      <c r="BT326" s="651"/>
    </row>
    <row r="327" hidden="1">
      <c r="A327" s="1074"/>
      <c r="B327" s="584"/>
      <c r="C327" s="584"/>
      <c r="D327" s="584"/>
      <c r="E327" s="585"/>
      <c r="F327" s="1075"/>
      <c r="G327" s="587"/>
      <c r="H327" s="586"/>
      <c r="I327" s="443"/>
      <c r="J327" s="443"/>
      <c r="K327" s="354"/>
      <c r="L327" s="588"/>
      <c r="M327" s="588"/>
      <c r="N327" s="589"/>
      <c r="O327" s="950"/>
      <c r="P327" s="939" t="str">
        <f>IFERROR(__xludf.DUMMYFUNCTION("IF(Q327="""","""",
   IF(Q327=0,0,
      IF(ISNUMBER(MATCH(Q327,FILTER(R$222:R$342,T$222:T$342&lt;&gt;0),0)),1,0)
   )
)"),"")</f>
        <v/>
      </c>
      <c r="Q327" s="941"/>
      <c r="R327" s="942" t="s">
        <v>657</v>
      </c>
      <c r="S327" s="930" t="s">
        <v>41</v>
      </c>
      <c r="T327" s="488">
        <f t="shared" si="145"/>
        <v>4.21</v>
      </c>
      <c r="U327" s="489">
        <f t="shared" si="124"/>
        <v>4</v>
      </c>
      <c r="V327" s="490">
        <f t="shared" si="125"/>
        <v>46</v>
      </c>
      <c r="W327" s="491"/>
      <c r="X327" s="489"/>
      <c r="Y327" s="492"/>
      <c r="Z327" s="493"/>
      <c r="AA327" s="931"/>
      <c r="AB327" s="925" t="str">
        <f t="shared" si="138"/>
        <v/>
      </c>
      <c r="AC327" s="595"/>
      <c r="AD327" s="595"/>
      <c r="AE327" s="584"/>
      <c r="AF327" s="595"/>
      <c r="AG327" s="354"/>
      <c r="AH327" s="443"/>
      <c r="AI327" s="595"/>
      <c r="AJ327" s="595"/>
      <c r="AK327" s="595"/>
      <c r="AL327" s="595"/>
      <c r="AM327" s="595"/>
      <c r="AN327" s="584"/>
      <c r="AO327" s="595"/>
      <c r="AP327" s="595"/>
      <c r="AQ327" s="595"/>
      <c r="AR327" s="595"/>
      <c r="AS327" s="595"/>
      <c r="AT327" s="595"/>
      <c r="AU327" s="595"/>
      <c r="AV327" s="595"/>
      <c r="AW327" s="595"/>
      <c r="AX327" s="595"/>
      <c r="AY327" s="595"/>
      <c r="AZ327" s="595"/>
      <c r="BA327" s="595"/>
      <c r="BB327" s="595"/>
      <c r="BC327" s="595"/>
      <c r="BD327" s="595"/>
      <c r="BE327" s="595"/>
      <c r="BF327" s="595"/>
      <c r="BG327" s="595"/>
      <c r="BH327" s="595"/>
      <c r="BI327" s="595"/>
      <c r="BJ327" s="595"/>
      <c r="BK327" s="595"/>
      <c r="BL327" s="651"/>
      <c r="BM327" s="651"/>
      <c r="BN327" s="651"/>
      <c r="BO327" s="651"/>
      <c r="BP327" s="651"/>
      <c r="BQ327" s="651"/>
      <c r="BR327" s="651"/>
      <c r="BS327" s="651"/>
      <c r="BT327" s="651"/>
    </row>
    <row r="328" hidden="1">
      <c r="A328" s="1074"/>
      <c r="B328" s="584"/>
      <c r="C328" s="584"/>
      <c r="D328" s="584"/>
      <c r="E328" s="585"/>
      <c r="F328" s="1075"/>
      <c r="G328" s="587"/>
      <c r="H328" s="586"/>
      <c r="I328" s="443"/>
      <c r="J328" s="443"/>
      <c r="K328" s="354"/>
      <c r="L328" s="588"/>
      <c r="M328" s="588"/>
      <c r="N328" s="589"/>
      <c r="O328" s="950"/>
      <c r="P328" s="939" t="str">
        <f>IFERROR(__xludf.DUMMYFUNCTION("IF(Q328="""","""",
   IF(Q328=0,0,
      IF(ISNUMBER(MATCH(Q328,FILTER(R$222:R$342,T$222:T$342&lt;&gt;0),0)),1,0)
   )
)"),"")</f>
        <v/>
      </c>
      <c r="Q328" s="941"/>
      <c r="R328" s="942"/>
      <c r="S328" s="930"/>
      <c r="T328" s="488">
        <f t="shared" si="145"/>
        <v>0</v>
      </c>
      <c r="U328" s="489">
        <f t="shared" si="124"/>
        <v>4</v>
      </c>
      <c r="V328" s="490">
        <f t="shared" si="125"/>
        <v>46</v>
      </c>
      <c r="W328" s="491"/>
      <c r="X328" s="489"/>
      <c r="Y328" s="492"/>
      <c r="Z328" s="493"/>
      <c r="AA328" s="931"/>
      <c r="AB328" s="925" t="str">
        <f t="shared" si="138"/>
        <v/>
      </c>
      <c r="AC328" s="595"/>
      <c r="AD328" s="595"/>
      <c r="AE328" s="584"/>
      <c r="AF328" s="595"/>
      <c r="AG328" s="354"/>
      <c r="AH328" s="443"/>
      <c r="AI328" s="595"/>
      <c r="AJ328" s="595"/>
      <c r="AK328" s="595"/>
      <c r="AL328" s="595"/>
      <c r="AM328" s="595"/>
      <c r="AN328" s="584"/>
      <c r="AO328" s="595"/>
      <c r="AP328" s="595"/>
      <c r="AQ328" s="595"/>
      <c r="AR328" s="595"/>
      <c r="AS328" s="595"/>
      <c r="AT328" s="595"/>
      <c r="AU328" s="595"/>
      <c r="AV328" s="595"/>
      <c r="AW328" s="595"/>
      <c r="AX328" s="595"/>
      <c r="AY328" s="595"/>
      <c r="AZ328" s="595"/>
      <c r="BA328" s="595"/>
      <c r="BB328" s="595"/>
      <c r="BC328" s="595"/>
      <c r="BD328" s="595"/>
      <c r="BE328" s="595"/>
      <c r="BF328" s="595"/>
      <c r="BG328" s="595"/>
      <c r="BH328" s="595"/>
      <c r="BI328" s="595"/>
      <c r="BJ328" s="595"/>
      <c r="BK328" s="595"/>
      <c r="BL328" s="651"/>
      <c r="BM328" s="651"/>
      <c r="BN328" s="651"/>
      <c r="BO328" s="651"/>
      <c r="BP328" s="651"/>
      <c r="BQ328" s="651"/>
      <c r="BR328" s="651"/>
      <c r="BS328" s="651"/>
      <c r="BT328" s="651"/>
    </row>
    <row r="329" hidden="1">
      <c r="A329" s="1074"/>
      <c r="B329" s="584"/>
      <c r="C329" s="584"/>
      <c r="D329" s="584"/>
      <c r="E329" s="585"/>
      <c r="F329" s="1075"/>
      <c r="G329" s="587"/>
      <c r="H329" s="586"/>
      <c r="I329" s="443"/>
      <c r="J329" s="443"/>
      <c r="K329" s="354"/>
      <c r="L329" s="588"/>
      <c r="M329" s="588"/>
      <c r="N329" s="589"/>
      <c r="O329" s="590"/>
      <c r="P329" s="939" t="str">
        <f>IFERROR(__xludf.DUMMYFUNCTION("IF(Q329="""","""",
   IF(Q329=0,0,
      IF(ISNUMBER(MATCH(Q329,FILTER(R$222:R$342,T$222:T$342&lt;&gt;0),0)),1,0)
   )
)"),"")</f>
        <v/>
      </c>
      <c r="Q329" s="941"/>
      <c r="R329" s="942"/>
      <c r="S329" s="930"/>
      <c r="T329" s="488">
        <f t="shared" si="145"/>
        <v>0</v>
      </c>
      <c r="U329" s="489">
        <f t="shared" si="124"/>
        <v>4</v>
      </c>
      <c r="V329" s="490">
        <f t="shared" si="125"/>
        <v>46</v>
      </c>
      <c r="W329" s="491"/>
      <c r="X329" s="489"/>
      <c r="Y329" s="492"/>
      <c r="Z329" s="493"/>
      <c r="AA329" s="931"/>
      <c r="AB329" s="925" t="str">
        <f t="shared" si="138"/>
        <v/>
      </c>
      <c r="AC329" s="595"/>
      <c r="AD329" s="595"/>
      <c r="AE329" s="584"/>
      <c r="AF329" s="595"/>
      <c r="AG329" s="354"/>
      <c r="AH329" s="443"/>
      <c r="AI329" s="595"/>
      <c r="AJ329" s="595"/>
      <c r="AK329" s="595"/>
      <c r="AL329" s="595"/>
      <c r="AM329" s="595"/>
      <c r="AN329" s="584"/>
      <c r="AO329" s="595"/>
      <c r="AP329" s="595"/>
      <c r="AQ329" s="595"/>
      <c r="AR329" s="595"/>
      <c r="AS329" s="595"/>
      <c r="AT329" s="595"/>
      <c r="AU329" s="595"/>
      <c r="AV329" s="595"/>
      <c r="AW329" s="595"/>
      <c r="AX329" s="595"/>
      <c r="AY329" s="595"/>
      <c r="AZ329" s="595"/>
      <c r="BA329" s="595"/>
      <c r="BB329" s="595"/>
      <c r="BC329" s="595"/>
      <c r="BD329" s="595"/>
      <c r="BE329" s="595"/>
      <c r="BF329" s="595"/>
      <c r="BG329" s="595"/>
      <c r="BH329" s="595"/>
      <c r="BI329" s="595"/>
      <c r="BJ329" s="595"/>
      <c r="BK329" s="595"/>
      <c r="BL329" s="651"/>
      <c r="BM329" s="651"/>
      <c r="BN329" s="651"/>
      <c r="BO329" s="651"/>
      <c r="BP329" s="651"/>
      <c r="BQ329" s="651"/>
      <c r="BR329" s="651"/>
      <c r="BS329" s="651"/>
      <c r="BT329" s="651"/>
    </row>
    <row r="330" hidden="1">
      <c r="A330" s="1074"/>
      <c r="B330" s="584"/>
      <c r="C330" s="584"/>
      <c r="D330" s="584"/>
      <c r="E330" s="585"/>
      <c r="F330" s="1075"/>
      <c r="G330" s="587"/>
      <c r="H330" s="586"/>
      <c r="I330" s="584"/>
      <c r="J330" s="584"/>
      <c r="K330" s="586"/>
      <c r="L330" s="588"/>
      <c r="M330" s="588"/>
      <c r="N330" s="589"/>
      <c r="O330" s="590"/>
      <c r="P330" s="939" t="str">
        <f>IFERROR(__xludf.DUMMYFUNCTION("IF(Q330="""","""",
   IF(Q330=0,0,
      IF(ISNUMBER(MATCH(Q330,FILTER(R$222:R$342,T$222:T$342&lt;&gt;0),0)),1,0)
   )
)"),"")</f>
        <v/>
      </c>
      <c r="Q330" s="941"/>
      <c r="R330" s="942"/>
      <c r="S330" s="930"/>
      <c r="T330" s="488">
        <f t="shared" si="145"/>
        <v>0</v>
      </c>
      <c r="U330" s="489">
        <f t="shared" si="124"/>
        <v>4</v>
      </c>
      <c r="V330" s="490">
        <f t="shared" si="125"/>
        <v>46</v>
      </c>
      <c r="W330" s="491">
        <f>(90/3)*$X$207</f>
        <v>120</v>
      </c>
      <c r="X330" s="489">
        <f>W330*W$217</f>
        <v>960</v>
      </c>
      <c r="Y330" s="492">
        <f>ROUNDUP(T330/X330,2)</f>
        <v>0</v>
      </c>
      <c r="Z330" s="493">
        <f>Y330*V330*U330*W$217</f>
        <v>0</v>
      </c>
      <c r="AA330" s="931" t="str">
        <f t="shared" ref="AA330:AA331" si="306">iferror(Z330/T330,"")</f>
        <v/>
      </c>
      <c r="AB330" s="925" t="str">
        <f t="shared" si="138"/>
        <v/>
      </c>
      <c r="AC330" s="595"/>
      <c r="AD330" s="595"/>
      <c r="AE330" s="584"/>
      <c r="AF330" s="595"/>
      <c r="AG330" s="354"/>
      <c r="AH330" s="443"/>
      <c r="AI330" s="595"/>
      <c r="AJ330" s="595"/>
      <c r="AK330" s="595"/>
      <c r="AL330" s="595"/>
      <c r="AM330" s="595"/>
      <c r="AN330" s="584"/>
      <c r="AO330" s="595"/>
      <c r="AP330" s="595"/>
      <c r="AQ330" s="595"/>
      <c r="AR330" s="595"/>
      <c r="AS330" s="595"/>
      <c r="AT330" s="595"/>
      <c r="AU330" s="595"/>
      <c r="AV330" s="595"/>
      <c r="AW330" s="595"/>
      <c r="AX330" s="595"/>
      <c r="AY330" s="595"/>
      <c r="AZ330" s="595"/>
      <c r="BA330" s="595"/>
      <c r="BB330" s="595"/>
      <c r="BC330" s="595"/>
      <c r="BD330" s="595"/>
      <c r="BE330" s="595"/>
      <c r="BF330" s="595"/>
      <c r="BG330" s="595"/>
      <c r="BH330" s="595"/>
      <c r="BI330" s="595"/>
      <c r="BJ330" s="595"/>
      <c r="BK330" s="595"/>
      <c r="BL330" s="651"/>
      <c r="BM330" s="651"/>
      <c r="BN330" s="651"/>
      <c r="BO330" s="651"/>
      <c r="BP330" s="651"/>
      <c r="BQ330" s="651"/>
      <c r="BR330" s="651"/>
      <c r="BS330" s="651"/>
      <c r="BT330" s="651"/>
    </row>
    <row r="331" hidden="1">
      <c r="A331" s="1074"/>
      <c r="B331" s="584"/>
      <c r="C331" s="584"/>
      <c r="D331" s="584"/>
      <c r="E331" s="585"/>
      <c r="F331" s="1075"/>
      <c r="G331" s="587"/>
      <c r="H331" s="586"/>
      <c r="I331" s="443"/>
      <c r="J331" s="584"/>
      <c r="K331" s="354"/>
      <c r="L331" s="588"/>
      <c r="M331" s="588"/>
      <c r="N331" s="589"/>
      <c r="O331" s="950"/>
      <c r="P331" s="939" t="str">
        <f>IFERROR(__xludf.DUMMYFUNCTION("IF(Q331="""","""",
   IF(Q331=0,0,
      IF(ISNUMBER(MATCH(Q331,FILTER(R$222:R$342,T$222:T$342&lt;&gt;0),0)),1,0)
   )
)"),"")</f>
        <v/>
      </c>
      <c r="Q331" s="941"/>
      <c r="R331" s="942"/>
      <c r="S331" s="930"/>
      <c r="T331" s="488">
        <f t="shared" si="145"/>
        <v>0</v>
      </c>
      <c r="U331" s="489">
        <f t="shared" si="124"/>
        <v>4</v>
      </c>
      <c r="V331" s="490">
        <f t="shared" si="125"/>
        <v>46</v>
      </c>
      <c r="W331" s="491"/>
      <c r="X331" s="489"/>
      <c r="Y331" s="492"/>
      <c r="Z331" s="493"/>
      <c r="AA331" s="1044" t="str">
        <f t="shared" si="306"/>
        <v/>
      </c>
      <c r="AB331" s="925" t="str">
        <f t="shared" si="138"/>
        <v/>
      </c>
      <c r="AC331" s="595"/>
      <c r="AD331" s="595"/>
      <c r="AE331" s="584"/>
      <c r="AF331" s="595"/>
      <c r="AG331" s="354"/>
      <c r="AH331" s="443"/>
      <c r="AI331" s="595"/>
      <c r="AJ331" s="595"/>
      <c r="AK331" s="595"/>
      <c r="AL331" s="595"/>
      <c r="AM331" s="595"/>
      <c r="AN331" s="584"/>
      <c r="AO331" s="595"/>
      <c r="AP331" s="595"/>
      <c r="AQ331" s="595"/>
      <c r="AR331" s="595"/>
      <c r="AS331" s="595"/>
      <c r="AT331" s="595"/>
      <c r="AU331" s="595"/>
      <c r="AV331" s="595"/>
      <c r="AW331" s="595"/>
      <c r="AX331" s="595"/>
      <c r="AY331" s="595"/>
      <c r="AZ331" s="595"/>
      <c r="BA331" s="595"/>
      <c r="BB331" s="595"/>
      <c r="BC331" s="595"/>
      <c r="BD331" s="595"/>
      <c r="BE331" s="595"/>
      <c r="BF331" s="595"/>
      <c r="BG331" s="595"/>
      <c r="BH331" s="595"/>
      <c r="BI331" s="595"/>
      <c r="BJ331" s="595"/>
      <c r="BK331" s="595"/>
      <c r="BL331" s="651"/>
      <c r="BM331" s="651"/>
      <c r="BN331" s="651"/>
      <c r="BO331" s="651"/>
      <c r="BP331" s="651"/>
      <c r="BQ331" s="651"/>
      <c r="BR331" s="651"/>
      <c r="BS331" s="651"/>
      <c r="BT331" s="651"/>
    </row>
    <row r="332" hidden="1">
      <c r="A332" s="1074"/>
      <c r="B332" s="584"/>
      <c r="C332" s="584"/>
      <c r="D332" s="584"/>
      <c r="E332" s="585"/>
      <c r="F332" s="1075"/>
      <c r="G332" s="587"/>
      <c r="H332" s="586"/>
      <c r="I332" s="443"/>
      <c r="J332" s="584"/>
      <c r="K332" s="354"/>
      <c r="L332" s="588"/>
      <c r="M332" s="588"/>
      <c r="N332" s="589"/>
      <c r="O332" s="590"/>
      <c r="P332" s="939" t="str">
        <f>IFERROR(__xludf.DUMMYFUNCTION("IF(Q332="""","""",
   IF(Q332=0,0,
      IF(ISNUMBER(MATCH(Q332,FILTER(R$222:R$342,T$222:T$342&lt;&gt;0),0)),1,0)
   )
)"),"")</f>
        <v/>
      </c>
      <c r="Q332" s="941"/>
      <c r="R332" s="942"/>
      <c r="S332" s="930"/>
      <c r="T332" s="488">
        <f t="shared" si="145"/>
        <v>0</v>
      </c>
      <c r="U332" s="489">
        <f t="shared" si="124"/>
        <v>4</v>
      </c>
      <c r="V332" s="490">
        <f t="shared" si="125"/>
        <v>46</v>
      </c>
      <c r="W332" s="491"/>
      <c r="X332" s="489"/>
      <c r="Y332" s="492"/>
      <c r="Z332" s="493"/>
      <c r="AA332" s="1044"/>
      <c r="AB332" s="925" t="str">
        <f t="shared" si="138"/>
        <v/>
      </c>
      <c r="AC332" s="595"/>
      <c r="AD332" s="595"/>
      <c r="AE332" s="584"/>
      <c r="AF332" s="595"/>
      <c r="AG332" s="354"/>
      <c r="AH332" s="443"/>
      <c r="AI332" s="595"/>
      <c r="AJ332" s="595"/>
      <c r="AK332" s="595"/>
      <c r="AL332" s="595"/>
      <c r="AM332" s="595"/>
      <c r="AN332" s="584"/>
      <c r="AO332" s="595"/>
      <c r="AP332" s="595"/>
      <c r="AQ332" s="595"/>
      <c r="AR332" s="595"/>
      <c r="AS332" s="595"/>
      <c r="AT332" s="595"/>
      <c r="AU332" s="595"/>
      <c r="AV332" s="595"/>
      <c r="AW332" s="595"/>
      <c r="AX332" s="595"/>
      <c r="AY332" s="595"/>
      <c r="AZ332" s="595"/>
      <c r="BA332" s="595"/>
      <c r="BB332" s="595"/>
      <c r="BC332" s="595"/>
      <c r="BD332" s="595"/>
      <c r="BE332" s="595"/>
      <c r="BF332" s="595"/>
      <c r="BG332" s="595"/>
      <c r="BH332" s="595"/>
      <c r="BI332" s="595"/>
      <c r="BJ332" s="595"/>
      <c r="BK332" s="595"/>
      <c r="BL332" s="651"/>
      <c r="BM332" s="651"/>
      <c r="BN332" s="651"/>
      <c r="BO332" s="651"/>
      <c r="BP332" s="651"/>
      <c r="BQ332" s="651"/>
      <c r="BR332" s="651"/>
      <c r="BS332" s="651"/>
      <c r="BT332" s="651"/>
    </row>
    <row r="333" hidden="1">
      <c r="A333" s="1074"/>
      <c r="B333" s="584"/>
      <c r="C333" s="584"/>
      <c r="D333" s="584"/>
      <c r="E333" s="585"/>
      <c r="F333" s="1075"/>
      <c r="G333" s="587"/>
      <c r="H333" s="586"/>
      <c r="I333" s="584"/>
      <c r="J333" s="584"/>
      <c r="K333" s="586"/>
      <c r="L333" s="588"/>
      <c r="M333" s="588"/>
      <c r="N333" s="589"/>
      <c r="O333" s="590"/>
      <c r="P333" s="939" t="str">
        <f>IFERROR(__xludf.DUMMYFUNCTION("IF(Q333="""","""",
   IF(Q333=0,0,
      IF(ISNUMBER(MATCH(Q333,FILTER(R$222:R$342,T$222:T$342&lt;&gt;0),0)),1,0)
   )
)"),"")</f>
        <v/>
      </c>
      <c r="Q333" s="941"/>
      <c r="R333" s="942"/>
      <c r="S333" s="932" t="s">
        <v>52</v>
      </c>
      <c r="T333" s="488">
        <f t="shared" si="145"/>
        <v>0</v>
      </c>
      <c r="U333" s="489">
        <f t="shared" si="124"/>
        <v>4</v>
      </c>
      <c r="V333" s="490">
        <f t="shared" si="125"/>
        <v>46</v>
      </c>
      <c r="W333" s="491"/>
      <c r="X333" s="489"/>
      <c r="Y333" s="492"/>
      <c r="Z333" s="493"/>
      <c r="AA333" s="1044"/>
      <c r="AB333" s="925" t="str">
        <f t="shared" si="138"/>
        <v/>
      </c>
      <c r="AC333" s="595"/>
      <c r="AD333" s="595"/>
      <c r="AE333" s="584"/>
      <c r="AF333" s="595"/>
      <c r="AG333" s="354"/>
      <c r="AH333" s="443"/>
      <c r="AI333" s="595"/>
      <c r="AJ333" s="595"/>
      <c r="AK333" s="595"/>
      <c r="AL333" s="595"/>
      <c r="AM333" s="595"/>
      <c r="AN333" s="584"/>
      <c r="AO333" s="595"/>
      <c r="AP333" s="595"/>
      <c r="AQ333" s="595"/>
      <c r="AR333" s="595"/>
      <c r="AS333" s="595"/>
      <c r="AT333" s="595"/>
      <c r="AU333" s="595"/>
      <c r="AV333" s="595"/>
      <c r="AW333" s="595"/>
      <c r="AX333" s="595"/>
      <c r="AY333" s="595"/>
      <c r="AZ333" s="595"/>
      <c r="BA333" s="595"/>
      <c r="BB333" s="595"/>
      <c r="BC333" s="595"/>
      <c r="BD333" s="595"/>
      <c r="BE333" s="595"/>
      <c r="BF333" s="595"/>
      <c r="BG333" s="595"/>
      <c r="BH333" s="595"/>
      <c r="BI333" s="595"/>
      <c r="BJ333" s="595"/>
      <c r="BK333" s="595"/>
      <c r="BL333" s="651"/>
      <c r="BM333" s="651"/>
      <c r="BN333" s="651"/>
      <c r="BO333" s="651"/>
      <c r="BP333" s="651"/>
      <c r="BQ333" s="651"/>
      <c r="BR333" s="651"/>
      <c r="BS333" s="651"/>
      <c r="BT333" s="651"/>
    </row>
    <row r="334" hidden="1">
      <c r="A334" s="1074"/>
      <c r="B334" s="584"/>
      <c r="C334" s="584"/>
      <c r="D334" s="584"/>
      <c r="E334" s="585"/>
      <c r="F334" s="1075"/>
      <c r="G334" s="587"/>
      <c r="H334" s="586"/>
      <c r="I334" s="584"/>
      <c r="J334" s="584"/>
      <c r="K334" s="586"/>
      <c r="L334" s="588"/>
      <c r="M334" s="588"/>
      <c r="N334" s="589"/>
      <c r="O334" s="950"/>
      <c r="P334" s="939" t="str">
        <f>IFERROR(__xludf.DUMMYFUNCTION("IF(Q334="""","""",
   IF(Q334=0,0,
      IF(ISNUMBER(MATCH(Q334,FILTER(R$222:R$342,T$222:T$342&lt;&gt;0),0)),1,0)
   )
)"),"")</f>
        <v/>
      </c>
      <c r="Q334" s="941"/>
      <c r="R334" s="942"/>
      <c r="S334" s="930"/>
      <c r="T334" s="488">
        <f t="shared" si="145"/>
        <v>0</v>
      </c>
      <c r="U334" s="489">
        <f t="shared" si="124"/>
        <v>4</v>
      </c>
      <c r="V334" s="490">
        <f t="shared" si="125"/>
        <v>46</v>
      </c>
      <c r="W334" s="491"/>
      <c r="X334" s="489"/>
      <c r="Y334" s="492"/>
      <c r="Z334" s="493"/>
      <c r="AA334" s="931"/>
      <c r="AB334" s="925" t="str">
        <f t="shared" si="138"/>
        <v/>
      </c>
      <c r="AC334" s="595"/>
      <c r="AD334" s="595"/>
      <c r="AE334" s="584"/>
      <c r="AF334" s="595"/>
      <c r="AG334" s="354"/>
      <c r="AH334" s="443"/>
      <c r="AI334" s="595"/>
      <c r="AJ334" s="595"/>
      <c r="AK334" s="595"/>
      <c r="AL334" s="595"/>
      <c r="AM334" s="595"/>
      <c r="AN334" s="584"/>
      <c r="AO334" s="595"/>
      <c r="AP334" s="595"/>
      <c r="AQ334" s="595"/>
      <c r="AR334" s="595"/>
      <c r="AS334" s="595"/>
      <c r="AT334" s="595"/>
      <c r="AU334" s="595"/>
      <c r="AV334" s="595"/>
      <c r="AW334" s="595"/>
      <c r="AX334" s="595"/>
      <c r="AY334" s="595"/>
      <c r="AZ334" s="595"/>
      <c r="BA334" s="595"/>
      <c r="BB334" s="595"/>
      <c r="BC334" s="595"/>
      <c r="BD334" s="595"/>
      <c r="BE334" s="595"/>
      <c r="BF334" s="595"/>
      <c r="BG334" s="595"/>
      <c r="BH334" s="595"/>
      <c r="BI334" s="595"/>
      <c r="BJ334" s="595"/>
      <c r="BK334" s="595"/>
      <c r="BL334" s="651"/>
      <c r="BM334" s="651"/>
      <c r="BN334" s="651"/>
      <c r="BO334" s="651"/>
      <c r="BP334" s="651"/>
      <c r="BQ334" s="651"/>
      <c r="BR334" s="651"/>
      <c r="BS334" s="651"/>
      <c r="BT334" s="651"/>
    </row>
    <row r="335" hidden="1">
      <c r="A335" s="1074"/>
      <c r="B335" s="584"/>
      <c r="C335" s="584"/>
      <c r="D335" s="584"/>
      <c r="E335" s="585"/>
      <c r="F335" s="1075"/>
      <c r="G335" s="587"/>
      <c r="H335" s="586"/>
      <c r="I335" s="443"/>
      <c r="J335" s="443"/>
      <c r="K335" s="354"/>
      <c r="L335" s="588"/>
      <c r="M335" s="588"/>
      <c r="N335" s="589"/>
      <c r="O335" s="950"/>
      <c r="P335" s="939"/>
      <c r="Q335" s="941"/>
      <c r="R335" s="942"/>
      <c r="S335" s="930"/>
      <c r="T335" s="488">
        <f t="shared" si="145"/>
        <v>0</v>
      </c>
      <c r="U335" s="489">
        <f t="shared" si="124"/>
        <v>4</v>
      </c>
      <c r="V335" s="490">
        <f t="shared" si="125"/>
        <v>46</v>
      </c>
      <c r="W335" s="491"/>
      <c r="X335" s="489"/>
      <c r="Y335" s="492"/>
      <c r="Z335" s="493"/>
      <c r="AA335" s="1044"/>
      <c r="AB335" s="925" t="str">
        <f t="shared" si="138"/>
        <v/>
      </c>
      <c r="AC335" s="595"/>
      <c r="AD335" s="595"/>
      <c r="AE335" s="584"/>
      <c r="AF335" s="595"/>
      <c r="AG335" s="354"/>
      <c r="AH335" s="443"/>
      <c r="AI335" s="595"/>
      <c r="AJ335" s="595"/>
      <c r="AK335" s="595"/>
      <c r="AL335" s="595"/>
      <c r="AM335" s="595"/>
      <c r="AN335" s="584"/>
      <c r="AO335" s="595"/>
      <c r="AP335" s="595"/>
      <c r="AQ335" s="595"/>
      <c r="AR335" s="595"/>
      <c r="AS335" s="595"/>
      <c r="AT335" s="595"/>
      <c r="AU335" s="595"/>
      <c r="AV335" s="595"/>
      <c r="AW335" s="595"/>
      <c r="AX335" s="595"/>
      <c r="AY335" s="595"/>
      <c r="AZ335" s="595"/>
      <c r="BA335" s="595"/>
      <c r="BB335" s="595"/>
      <c r="BC335" s="595"/>
      <c r="BD335" s="595"/>
      <c r="BE335" s="595"/>
      <c r="BF335" s="595"/>
      <c r="BG335" s="595"/>
      <c r="BH335" s="595"/>
      <c r="BI335" s="595"/>
      <c r="BJ335" s="595"/>
      <c r="BK335" s="595"/>
      <c r="BL335" s="651"/>
      <c r="BM335" s="651"/>
      <c r="BN335" s="651"/>
      <c r="BO335" s="651"/>
      <c r="BP335" s="651"/>
      <c r="BQ335" s="651"/>
      <c r="BR335" s="651"/>
      <c r="BS335" s="651"/>
      <c r="BT335" s="651"/>
    </row>
    <row r="336" hidden="1">
      <c r="A336" s="1074"/>
      <c r="B336" s="584"/>
      <c r="C336" s="584"/>
      <c r="D336" s="584"/>
      <c r="E336" s="585"/>
      <c r="F336" s="1075"/>
      <c r="G336" s="587"/>
      <c r="H336" s="586"/>
      <c r="I336" s="443"/>
      <c r="J336" s="443"/>
      <c r="K336" s="354"/>
      <c r="L336" s="588"/>
      <c r="M336" s="588"/>
      <c r="N336" s="589"/>
      <c r="O336" s="595"/>
      <c r="P336" s="939"/>
      <c r="Q336" s="941"/>
      <c r="R336" s="942"/>
      <c r="S336" s="930"/>
      <c r="T336" s="488">
        <f t="shared" si="145"/>
        <v>0</v>
      </c>
      <c r="U336" s="489">
        <f t="shared" si="124"/>
        <v>4</v>
      </c>
      <c r="V336" s="490">
        <f t="shared" si="125"/>
        <v>46</v>
      </c>
      <c r="W336" s="491"/>
      <c r="X336" s="489"/>
      <c r="Y336" s="492"/>
      <c r="Z336" s="493"/>
      <c r="AA336" s="931"/>
      <c r="AB336" s="925" t="str">
        <f t="shared" si="138"/>
        <v/>
      </c>
      <c r="AC336" s="595"/>
      <c r="AD336" s="595"/>
      <c r="AE336" s="584"/>
      <c r="AF336" s="595"/>
      <c r="AG336" s="354"/>
      <c r="AH336" s="443"/>
      <c r="AI336" s="595"/>
      <c r="AJ336" s="595"/>
      <c r="AK336" s="595"/>
      <c r="AL336" s="595"/>
      <c r="AM336" s="595"/>
      <c r="AN336" s="584"/>
      <c r="AO336" s="595"/>
      <c r="AP336" s="595"/>
      <c r="AQ336" s="595"/>
      <c r="AR336" s="595"/>
      <c r="AS336" s="595"/>
      <c r="AT336" s="595"/>
      <c r="AU336" s="595"/>
      <c r="AV336" s="595"/>
      <c r="AW336" s="595"/>
      <c r="AX336" s="595"/>
      <c r="AY336" s="595"/>
      <c r="AZ336" s="595"/>
      <c r="BA336" s="595"/>
      <c r="BB336" s="595"/>
      <c r="BC336" s="595"/>
      <c r="BD336" s="595"/>
      <c r="BE336" s="595"/>
      <c r="BF336" s="595"/>
      <c r="BG336" s="595"/>
      <c r="BH336" s="595"/>
      <c r="BI336" s="595"/>
      <c r="BJ336" s="595"/>
      <c r="BK336" s="595"/>
      <c r="BL336" s="651"/>
      <c r="BM336" s="651"/>
      <c r="BN336" s="651"/>
      <c r="BO336" s="651"/>
      <c r="BP336" s="651"/>
      <c r="BQ336" s="651"/>
      <c r="BR336" s="651"/>
      <c r="BS336" s="651"/>
      <c r="BT336" s="651"/>
    </row>
    <row r="337" hidden="1">
      <c r="A337" s="1074"/>
      <c r="B337" s="584"/>
      <c r="C337" s="584"/>
      <c r="D337" s="584"/>
      <c r="E337" s="585"/>
      <c r="F337" s="1075"/>
      <c r="G337" s="587"/>
      <c r="H337" s="586"/>
      <c r="I337" s="443"/>
      <c r="J337" s="443"/>
      <c r="K337" s="354"/>
      <c r="L337" s="588"/>
      <c r="M337" s="588"/>
      <c r="N337" s="589"/>
      <c r="O337" s="595"/>
      <c r="P337" s="939"/>
      <c r="Q337" s="941"/>
      <c r="R337" s="942"/>
      <c r="S337" s="932" t="s">
        <v>52</v>
      </c>
      <c r="T337" s="488">
        <f t="shared" si="145"/>
        <v>0</v>
      </c>
      <c r="U337" s="489">
        <f t="shared" si="124"/>
        <v>4</v>
      </c>
      <c r="V337" s="490">
        <f t="shared" si="125"/>
        <v>46</v>
      </c>
      <c r="W337" s="491">
        <f>(40/4)*$X$207</f>
        <v>40</v>
      </c>
      <c r="X337" s="489">
        <f t="shared" ref="X337:X338" si="307">W337*W$217</f>
        <v>320</v>
      </c>
      <c r="Y337" s="492">
        <f t="shared" ref="Y337:Y338" si="308">ROUNDUP(T337/X337,2)</f>
        <v>0</v>
      </c>
      <c r="Z337" s="493">
        <f t="shared" ref="Z337:Z338" si="309">Y337*V337*U337*W$217</f>
        <v>0</v>
      </c>
      <c r="AA337" s="931" t="str">
        <f t="shared" ref="AA337:AA338" si="310">iferror(Z337/T337,"")</f>
        <v/>
      </c>
      <c r="AB337" s="925" t="str">
        <f t="shared" si="138"/>
        <v/>
      </c>
      <c r="AC337" s="595"/>
      <c r="AD337" s="595"/>
      <c r="AE337" s="584"/>
      <c r="AF337" s="595"/>
      <c r="AG337" s="354"/>
      <c r="AH337" s="443"/>
      <c r="AI337" s="595"/>
      <c r="AJ337" s="595"/>
      <c r="AK337" s="595"/>
      <c r="AL337" s="595"/>
      <c r="AM337" s="595"/>
      <c r="AN337" s="584"/>
      <c r="AO337" s="595"/>
      <c r="AP337" s="595"/>
      <c r="AQ337" s="595"/>
      <c r="AR337" s="595"/>
      <c r="AS337" s="595"/>
      <c r="AT337" s="595"/>
      <c r="AU337" s="595"/>
      <c r="AV337" s="595"/>
      <c r="AW337" s="595"/>
      <c r="AX337" s="595"/>
      <c r="AY337" s="595"/>
      <c r="AZ337" s="595"/>
      <c r="BA337" s="595"/>
      <c r="BB337" s="595"/>
      <c r="BC337" s="595"/>
      <c r="BD337" s="595"/>
      <c r="BE337" s="595"/>
      <c r="BF337" s="595"/>
      <c r="BG337" s="595"/>
      <c r="BH337" s="595"/>
      <c r="BI337" s="595"/>
      <c r="BJ337" s="595"/>
      <c r="BK337" s="595"/>
      <c r="BL337" s="651"/>
      <c r="BM337" s="651"/>
      <c r="BN337" s="651"/>
      <c r="BO337" s="651"/>
      <c r="BP337" s="651"/>
      <c r="BQ337" s="651"/>
      <c r="BR337" s="651"/>
      <c r="BS337" s="651"/>
      <c r="BT337" s="651"/>
    </row>
    <row r="338" hidden="1">
      <c r="A338" s="1074"/>
      <c r="B338" s="584"/>
      <c r="C338" s="584"/>
      <c r="D338" s="584"/>
      <c r="E338" s="585"/>
      <c r="F338" s="1075"/>
      <c r="G338" s="587"/>
      <c r="H338" s="586"/>
      <c r="I338" s="443"/>
      <c r="J338" s="443"/>
      <c r="K338" s="354"/>
      <c r="L338" s="588"/>
      <c r="M338" s="588"/>
      <c r="N338" s="589"/>
      <c r="O338" s="595"/>
      <c r="P338" s="939"/>
      <c r="Q338" s="941"/>
      <c r="R338" s="942"/>
      <c r="S338" s="930"/>
      <c r="T338" s="488">
        <f t="shared" si="145"/>
        <v>0</v>
      </c>
      <c r="U338" s="489">
        <f t="shared" si="124"/>
        <v>4</v>
      </c>
      <c r="V338" s="490">
        <f t="shared" si="125"/>
        <v>46</v>
      </c>
      <c r="W338" s="491">
        <f>(90/3)*$X$207</f>
        <v>120</v>
      </c>
      <c r="X338" s="489">
        <f t="shared" si="307"/>
        <v>960</v>
      </c>
      <c r="Y338" s="492">
        <f t="shared" si="308"/>
        <v>0</v>
      </c>
      <c r="Z338" s="493">
        <f t="shared" si="309"/>
        <v>0</v>
      </c>
      <c r="AA338" s="1044" t="str">
        <f t="shared" si="310"/>
        <v/>
      </c>
      <c r="AB338" s="925" t="str">
        <f t="shared" si="138"/>
        <v/>
      </c>
      <c r="AC338" s="595"/>
      <c r="AD338" s="595"/>
      <c r="AE338" s="584"/>
      <c r="AF338" s="595"/>
      <c r="AG338" s="354"/>
      <c r="AH338" s="443"/>
      <c r="AI338" s="595"/>
      <c r="AJ338" s="595"/>
      <c r="AK338" s="595"/>
      <c r="AL338" s="595"/>
      <c r="AM338" s="595"/>
      <c r="AN338" s="584"/>
      <c r="AO338" s="595"/>
      <c r="AP338" s="595"/>
      <c r="AQ338" s="584"/>
      <c r="AR338" s="584"/>
      <c r="AS338" s="584"/>
      <c r="AT338" s="584"/>
      <c r="AU338" s="584"/>
      <c r="AV338" s="584"/>
      <c r="AW338" s="584"/>
      <c r="AX338" s="584"/>
      <c r="AY338" s="584"/>
      <c r="AZ338" s="584"/>
      <c r="BA338" s="584"/>
      <c r="BB338" s="595"/>
      <c r="BC338" s="595"/>
      <c r="BD338" s="595"/>
      <c r="BE338" s="595"/>
      <c r="BF338" s="595"/>
      <c r="BG338" s="595"/>
      <c r="BH338" s="595"/>
      <c r="BI338" s="595"/>
      <c r="BJ338" s="595"/>
      <c r="BK338" s="595"/>
      <c r="BL338" s="651"/>
      <c r="BM338" s="651"/>
      <c r="BN338" s="651"/>
      <c r="BO338" s="651"/>
      <c r="BP338" s="651"/>
      <c r="BQ338" s="651"/>
      <c r="BR338" s="651"/>
      <c r="BS338" s="651"/>
      <c r="BT338" s="651"/>
    </row>
    <row r="339" hidden="1">
      <c r="A339" s="1074"/>
      <c r="B339" s="584"/>
      <c r="C339" s="584"/>
      <c r="D339" s="584"/>
      <c r="E339" s="585"/>
      <c r="F339" s="1075"/>
      <c r="G339" s="587"/>
      <c r="H339" s="586"/>
      <c r="I339" s="443"/>
      <c r="J339" s="443"/>
      <c r="K339" s="354"/>
      <c r="L339" s="588"/>
      <c r="M339" s="588"/>
      <c r="N339" s="589"/>
      <c r="O339" s="595"/>
      <c r="P339" s="939"/>
      <c r="Q339" s="941"/>
      <c r="R339" s="929"/>
      <c r="S339" s="930"/>
      <c r="T339" s="488">
        <f t="shared" si="145"/>
        <v>0</v>
      </c>
      <c r="U339" s="489"/>
      <c r="V339" s="490"/>
      <c r="W339" s="491"/>
      <c r="X339" s="489"/>
      <c r="Y339" s="492"/>
      <c r="Z339" s="493"/>
      <c r="AA339" s="1044"/>
      <c r="AB339" s="925" t="str">
        <f t="shared" si="138"/>
        <v/>
      </c>
      <c r="AC339" s="595"/>
      <c r="AD339" s="595"/>
      <c r="AE339" s="584"/>
      <c r="AF339" s="595"/>
      <c r="AG339" s="354"/>
      <c r="AH339" s="443"/>
      <c r="AI339" s="595"/>
      <c r="AJ339" s="595"/>
      <c r="AK339" s="595"/>
      <c r="AL339" s="595"/>
      <c r="AM339" s="595"/>
      <c r="AN339" s="584"/>
      <c r="AO339" s="595"/>
      <c r="AP339" s="595"/>
      <c r="AQ339" s="584"/>
      <c r="AR339" s="584"/>
      <c r="AS339" s="584"/>
      <c r="AT339" s="584"/>
      <c r="AU339" s="584"/>
      <c r="AV339" s="584"/>
      <c r="AW339" s="584"/>
      <c r="AX339" s="584"/>
      <c r="AY339" s="584"/>
      <c r="AZ339" s="584"/>
      <c r="BA339" s="584"/>
      <c r="BB339" s="595"/>
      <c r="BC339" s="595"/>
      <c r="BD339" s="595"/>
      <c r="BE339" s="595"/>
      <c r="BF339" s="595"/>
      <c r="BG339" s="595"/>
      <c r="BH339" s="595"/>
      <c r="BI339" s="595"/>
      <c r="BJ339" s="595"/>
      <c r="BK339" s="595"/>
      <c r="BL339" s="651"/>
      <c r="BM339" s="651"/>
      <c r="BN339" s="651"/>
      <c r="BO339" s="651"/>
      <c r="BP339" s="651"/>
      <c r="BQ339" s="651"/>
      <c r="BR339" s="651"/>
      <c r="BS339" s="651"/>
      <c r="BT339" s="651"/>
    </row>
    <row r="340" hidden="1">
      <c r="A340" s="1074"/>
      <c r="B340" s="584"/>
      <c r="C340" s="584"/>
      <c r="D340" s="584"/>
      <c r="E340" s="585"/>
      <c r="F340" s="1075"/>
      <c r="G340" s="587"/>
      <c r="H340" s="586"/>
      <c r="I340" s="443"/>
      <c r="J340" s="443"/>
      <c r="K340" s="354"/>
      <c r="L340" s="588"/>
      <c r="M340" s="588"/>
      <c r="N340" s="589"/>
      <c r="O340" s="595"/>
      <c r="P340" s="939"/>
      <c r="Q340" s="941"/>
      <c r="R340" s="929"/>
      <c r="S340" s="930"/>
      <c r="T340" s="488">
        <f t="shared" si="145"/>
        <v>0</v>
      </c>
      <c r="U340" s="489"/>
      <c r="V340" s="490"/>
      <c r="W340" s="491"/>
      <c r="X340" s="489"/>
      <c r="Y340" s="492"/>
      <c r="Z340" s="493"/>
      <c r="AA340" s="1044"/>
      <c r="AB340" s="925" t="str">
        <f t="shared" si="138"/>
        <v/>
      </c>
      <c r="AC340" s="595"/>
      <c r="AD340" s="595"/>
      <c r="AE340" s="584"/>
      <c r="AF340" s="595"/>
      <c r="AG340" s="354"/>
      <c r="AH340" s="443"/>
      <c r="AI340" s="595"/>
      <c r="AJ340" s="595"/>
      <c r="AK340" s="595"/>
      <c r="AL340" s="595"/>
      <c r="AM340" s="595"/>
      <c r="AN340" s="584"/>
      <c r="AO340" s="595"/>
      <c r="AP340" s="595"/>
      <c r="AQ340" s="584"/>
      <c r="AR340" s="584"/>
      <c r="AS340" s="584"/>
      <c r="AT340" s="584"/>
      <c r="AU340" s="584"/>
      <c r="AV340" s="584"/>
      <c r="AW340" s="584"/>
      <c r="AX340" s="584"/>
      <c r="AY340" s="584"/>
      <c r="AZ340" s="584"/>
      <c r="BA340" s="584"/>
      <c r="BB340" s="595"/>
      <c r="BC340" s="595"/>
      <c r="BD340" s="595"/>
      <c r="BE340" s="595"/>
      <c r="BF340" s="595"/>
      <c r="BG340" s="595"/>
      <c r="BH340" s="595"/>
      <c r="BI340" s="595"/>
      <c r="BJ340" s="595"/>
      <c r="BK340" s="595"/>
      <c r="BL340" s="651"/>
      <c r="BM340" s="651"/>
      <c r="BN340" s="651"/>
      <c r="BO340" s="651"/>
      <c r="BP340" s="651"/>
      <c r="BQ340" s="651"/>
      <c r="BR340" s="651"/>
      <c r="BS340" s="651"/>
      <c r="BT340" s="651"/>
    </row>
    <row r="341" hidden="1">
      <c r="A341" s="1074"/>
      <c r="B341" s="584"/>
      <c r="C341" s="584"/>
      <c r="D341" s="584"/>
      <c r="E341" s="585"/>
      <c r="F341" s="1075"/>
      <c r="G341" s="587"/>
      <c r="H341" s="586"/>
      <c r="I341" s="443"/>
      <c r="J341" s="443"/>
      <c r="K341" s="354"/>
      <c r="L341" s="588"/>
      <c r="M341" s="588"/>
      <c r="N341" s="589"/>
      <c r="O341" s="595"/>
      <c r="P341" s="939"/>
      <c r="Q341" s="941"/>
      <c r="R341" s="1045" t="s">
        <v>618</v>
      </c>
      <c r="S341" s="918" t="s">
        <v>251</v>
      </c>
      <c r="T341" s="919"/>
      <c r="U341" s="480">
        <f t="shared" ref="U341:U342" si="311">$X$207</f>
        <v>4</v>
      </c>
      <c r="V341" s="481">
        <f t="shared" ref="V341:V342" si="312">AC$210</f>
        <v>46</v>
      </c>
      <c r="W341" s="919"/>
      <c r="X341" s="919"/>
      <c r="Y341" s="1046"/>
      <c r="Z341" s="483">
        <f t="shared" ref="Z341:Z342" si="313">Y341*V341*U341*W$217</f>
        <v>0</v>
      </c>
      <c r="AA341" s="921"/>
      <c r="AB341" s="921"/>
      <c r="AC341" s="595"/>
      <c r="AD341" s="595"/>
      <c r="AE341" s="584"/>
      <c r="AF341" s="595"/>
      <c r="AG341" s="354"/>
      <c r="AH341" s="443"/>
      <c r="AI341" s="595"/>
      <c r="AJ341" s="595"/>
      <c r="AK341" s="595"/>
      <c r="AL341" s="595"/>
      <c r="AM341" s="595"/>
      <c r="AN341" s="584"/>
      <c r="AO341" s="595"/>
      <c r="AP341" s="595"/>
      <c r="AQ341" s="584"/>
      <c r="AR341" s="584"/>
      <c r="AS341" s="584"/>
      <c r="AT341" s="584"/>
      <c r="AU341" s="584"/>
      <c r="AV341" s="584"/>
      <c r="AW341" s="584"/>
      <c r="AX341" s="584"/>
      <c r="AY341" s="584"/>
      <c r="AZ341" s="584"/>
      <c r="BA341" s="584"/>
      <c r="BB341" s="595"/>
      <c r="BC341" s="595"/>
      <c r="BD341" s="595"/>
      <c r="BE341" s="595"/>
      <c r="BF341" s="595"/>
      <c r="BG341" s="595"/>
      <c r="BH341" s="595"/>
      <c r="BI341" s="595"/>
      <c r="BJ341" s="595"/>
      <c r="BK341" s="595"/>
      <c r="BL341" s="651"/>
      <c r="BM341" s="651"/>
      <c r="BN341" s="651"/>
      <c r="BO341" s="651"/>
      <c r="BP341" s="651"/>
      <c r="BQ341" s="651"/>
      <c r="BR341" s="651"/>
      <c r="BS341" s="651"/>
      <c r="BT341" s="651"/>
    </row>
    <row r="342" hidden="1">
      <c r="A342" s="1074"/>
      <c r="B342" s="584"/>
      <c r="C342" s="584"/>
      <c r="D342" s="584"/>
      <c r="E342" s="585"/>
      <c r="F342" s="1075"/>
      <c r="G342" s="587"/>
      <c r="H342" s="586"/>
      <c r="I342" s="443"/>
      <c r="J342" s="443"/>
      <c r="K342" s="354"/>
      <c r="L342" s="588"/>
      <c r="M342" s="588"/>
      <c r="N342" s="589"/>
      <c r="O342" s="595"/>
      <c r="P342" s="939"/>
      <c r="Q342" s="941"/>
      <c r="R342" s="917" t="s">
        <v>250</v>
      </c>
      <c r="S342" s="918" t="s">
        <v>251</v>
      </c>
      <c r="T342" s="919"/>
      <c r="U342" s="480">
        <f t="shared" si="311"/>
        <v>4</v>
      </c>
      <c r="V342" s="481">
        <f t="shared" si="312"/>
        <v>46</v>
      </c>
      <c r="W342" s="919"/>
      <c r="X342" s="919"/>
      <c r="Y342" s="1046">
        <v>0.5</v>
      </c>
      <c r="Z342" s="483">
        <f t="shared" si="313"/>
        <v>736</v>
      </c>
      <c r="AA342" s="921"/>
      <c r="AB342" s="921"/>
      <c r="AC342" s="595"/>
      <c r="AD342" s="595"/>
      <c r="AE342" s="584"/>
      <c r="AF342" s="595"/>
      <c r="AG342" s="354"/>
      <c r="AH342" s="443"/>
      <c r="AI342" s="595"/>
      <c r="AJ342" s="595"/>
      <c r="AK342" s="595"/>
      <c r="AL342" s="595"/>
      <c r="AM342" s="595"/>
      <c r="AN342" s="584"/>
      <c r="AO342" s="595"/>
      <c r="AP342" s="595"/>
      <c r="AQ342" s="584"/>
      <c r="AR342" s="584"/>
      <c r="AS342" s="584"/>
      <c r="AT342" s="584"/>
      <c r="AU342" s="584"/>
      <c r="AV342" s="584"/>
      <c r="AW342" s="584"/>
      <c r="AX342" s="584"/>
      <c r="AY342" s="584"/>
      <c r="AZ342" s="584"/>
      <c r="BA342" s="584"/>
      <c r="BB342" s="595"/>
      <c r="BC342" s="595"/>
      <c r="BD342" s="595"/>
      <c r="BE342" s="595"/>
      <c r="BF342" s="595"/>
      <c r="BG342" s="595"/>
      <c r="BH342" s="595"/>
      <c r="BI342" s="595"/>
      <c r="BJ342" s="595"/>
      <c r="BK342" s="595"/>
      <c r="BL342" s="651"/>
      <c r="BM342" s="651"/>
      <c r="BN342" s="651"/>
      <c r="BO342" s="651"/>
      <c r="BP342" s="651"/>
      <c r="BQ342" s="651"/>
      <c r="BR342" s="651"/>
      <c r="BS342" s="651"/>
      <c r="BT342" s="651"/>
    </row>
    <row r="343" hidden="1">
      <c r="A343" s="1074"/>
      <c r="B343" s="584"/>
      <c r="C343" s="584"/>
      <c r="D343" s="584"/>
      <c r="E343" s="585"/>
      <c r="F343" s="1075"/>
      <c r="G343" s="587"/>
      <c r="H343" s="586"/>
      <c r="I343" s="443"/>
      <c r="J343" s="443"/>
      <c r="K343" s="354"/>
      <c r="L343" s="588"/>
      <c r="M343" s="588"/>
      <c r="N343" s="589"/>
      <c r="O343" s="950"/>
      <c r="P343" s="1047"/>
      <c r="Q343" s="1048"/>
      <c r="R343" s="1049"/>
      <c r="S343" s="1050"/>
      <c r="T343" s="1051"/>
      <c r="U343" s="1052">
        <f>AVERAGE(U219:U243)</f>
        <v>4</v>
      </c>
      <c r="V343" s="1053"/>
      <c r="W343" s="1054"/>
      <c r="X343" s="1055">
        <f>X207</f>
        <v>4</v>
      </c>
      <c r="Y343" s="1056">
        <f t="shared" ref="Y343:Z343" si="314">SUM(Y219:Y342)</f>
        <v>20.22</v>
      </c>
      <c r="Z343" s="1057">
        <f t="shared" si="314"/>
        <v>29763.84</v>
      </c>
      <c r="AA343" s="1058">
        <f>Z343/Y343/X343</f>
        <v>368</v>
      </c>
      <c r="AB343" s="1058"/>
      <c r="AC343" s="595"/>
      <c r="AD343" s="595"/>
      <c r="AE343" s="584"/>
      <c r="AF343" s="595"/>
      <c r="AG343" s="354"/>
      <c r="AH343" s="443"/>
      <c r="AI343" s="595"/>
      <c r="AJ343" s="595"/>
      <c r="AK343" s="595"/>
      <c r="AL343" s="595"/>
      <c r="AM343" s="595"/>
      <c r="AN343" s="584"/>
      <c r="AO343" s="595"/>
      <c r="AP343" s="595"/>
      <c r="AQ343" s="584"/>
      <c r="AR343" s="584"/>
      <c r="AS343" s="584"/>
      <c r="AT343" s="584"/>
      <c r="AU343" s="584"/>
      <c r="AV343" s="584"/>
      <c r="AW343" s="584"/>
      <c r="AX343" s="584"/>
      <c r="AY343" s="584"/>
      <c r="AZ343" s="584"/>
      <c r="BA343" s="584"/>
      <c r="BB343" s="595"/>
      <c r="BC343" s="595"/>
      <c r="BD343" s="595"/>
      <c r="BE343" s="595"/>
      <c r="BF343" s="595"/>
      <c r="BG343" s="595"/>
      <c r="BH343" s="595"/>
      <c r="BI343" s="595"/>
      <c r="BJ343" s="595"/>
      <c r="BK343" s="595"/>
      <c r="BL343" s="651"/>
      <c r="BM343" s="651"/>
      <c r="BN343" s="651"/>
      <c r="BO343" s="651"/>
      <c r="BP343" s="651"/>
      <c r="BQ343" s="651"/>
      <c r="BR343" s="651"/>
      <c r="BS343" s="651"/>
      <c r="BT343" s="651"/>
    </row>
    <row r="344" ht="12.75" hidden="1" customHeight="1">
      <c r="A344" s="1074"/>
      <c r="B344" s="584"/>
      <c r="C344" s="584"/>
      <c r="D344" s="584"/>
      <c r="E344" s="585"/>
      <c r="F344" s="1075"/>
      <c r="G344" s="587"/>
      <c r="H344" s="586"/>
      <c r="I344" s="443"/>
      <c r="J344" s="443"/>
      <c r="K344" s="354"/>
      <c r="L344" s="588"/>
      <c r="M344" s="588"/>
      <c r="N344" s="589"/>
      <c r="O344" s="595"/>
      <c r="P344" s="1059"/>
      <c r="Q344" s="1060"/>
      <c r="R344" s="984"/>
      <c r="S344" s="1061"/>
      <c r="T344" s="1062"/>
      <c r="U344" s="963"/>
      <c r="V344" s="963"/>
      <c r="W344" s="1062"/>
      <c r="X344" s="1063">
        <v>8.0</v>
      </c>
      <c r="Y344" s="1064">
        <f>X343/X344*Y343</f>
        <v>10.11</v>
      </c>
      <c r="Z344" s="1065">
        <f>AA343*Y344*X344</f>
        <v>29763.84</v>
      </c>
      <c r="AA344" s="963"/>
      <c r="AB344" s="1061"/>
      <c r="AC344" s="595"/>
      <c r="AD344" s="595"/>
      <c r="AE344" s="584"/>
      <c r="AF344" s="595"/>
      <c r="AG344" s="354"/>
      <c r="AH344" s="443"/>
      <c r="AI344" s="595"/>
      <c r="AJ344" s="595"/>
      <c r="AK344" s="595"/>
      <c r="AL344" s="595"/>
      <c r="AM344" s="595"/>
      <c r="AN344" s="584"/>
      <c r="AO344" s="595"/>
      <c r="AP344" s="595"/>
      <c r="AQ344" s="584"/>
      <c r="AR344" s="584"/>
      <c r="AS344" s="584"/>
      <c r="AT344" s="584"/>
      <c r="AU344" s="584"/>
      <c r="AV344" s="584"/>
      <c r="AW344" s="584"/>
      <c r="AX344" s="584"/>
      <c r="AY344" s="584"/>
      <c r="AZ344" s="584"/>
      <c r="BA344" s="584"/>
      <c r="BB344" s="595"/>
      <c r="BC344" s="595"/>
      <c r="BD344" s="595"/>
      <c r="BE344" s="595"/>
      <c r="BF344" s="595"/>
      <c r="BG344" s="595"/>
      <c r="BH344" s="595"/>
      <c r="BI344" s="595"/>
      <c r="BJ344" s="595"/>
      <c r="BK344" s="595"/>
      <c r="BL344" s="651"/>
      <c r="BM344" s="651"/>
      <c r="BN344" s="651"/>
      <c r="BO344" s="651"/>
      <c r="BP344" s="651"/>
      <c r="BQ344" s="651"/>
      <c r="BR344" s="651"/>
      <c r="BS344" s="651"/>
      <c r="BT344" s="651"/>
    </row>
    <row r="345" ht="12.75" hidden="1" customHeight="1">
      <c r="A345" s="1074"/>
      <c r="B345" s="584"/>
      <c r="C345" s="584"/>
      <c r="D345" s="584"/>
      <c r="E345" s="585"/>
      <c r="F345" s="1075"/>
      <c r="G345" s="587"/>
      <c r="H345" s="586"/>
      <c r="I345" s="443"/>
      <c r="J345" s="443"/>
      <c r="K345" s="354"/>
      <c r="L345" s="588"/>
      <c r="M345" s="588"/>
      <c r="N345" s="589"/>
      <c r="O345" s="595"/>
      <c r="P345" s="392"/>
      <c r="Q345" s="807"/>
      <c r="R345" s="603"/>
      <c r="S345" s="354"/>
      <c r="T345" s="584"/>
      <c r="U345" s="595"/>
      <c r="V345" s="595"/>
      <c r="W345" s="595"/>
      <c r="X345" s="443"/>
      <c r="Y345" s="595"/>
      <c r="Z345" s="595"/>
      <c r="AA345" s="595"/>
      <c r="AB345" s="354"/>
      <c r="AC345" s="595"/>
      <c r="AD345" s="595"/>
      <c r="AE345" s="584"/>
      <c r="AF345" s="595"/>
      <c r="AG345" s="354"/>
      <c r="AH345" s="443"/>
      <c r="AI345" s="595"/>
      <c r="AJ345" s="595"/>
      <c r="AK345" s="595"/>
      <c r="AL345" s="595"/>
      <c r="AM345" s="595"/>
      <c r="AN345" s="584"/>
      <c r="AO345" s="595"/>
      <c r="AP345" s="595"/>
      <c r="AQ345" s="584"/>
      <c r="AR345" s="584"/>
      <c r="AS345" s="584"/>
      <c r="AT345" s="584"/>
      <c r="AU345" s="584"/>
      <c r="AV345" s="584"/>
      <c r="AW345" s="584"/>
      <c r="AX345" s="584"/>
      <c r="AY345" s="584"/>
      <c r="AZ345" s="584"/>
      <c r="BA345" s="584"/>
      <c r="BB345" s="595"/>
      <c r="BC345" s="595"/>
      <c r="BD345" s="595"/>
      <c r="BE345" s="595"/>
      <c r="BF345" s="595"/>
      <c r="BG345" s="595"/>
      <c r="BH345" s="595"/>
      <c r="BI345" s="595"/>
      <c r="BJ345" s="595"/>
      <c r="BK345" s="595"/>
      <c r="BL345" s="651"/>
      <c r="BM345" s="651"/>
      <c r="BN345" s="651"/>
      <c r="BO345" s="651"/>
      <c r="BP345" s="651"/>
      <c r="BQ345" s="651"/>
      <c r="BR345" s="651"/>
      <c r="BS345" s="651"/>
      <c r="BT345" s="651"/>
    </row>
    <row r="346" ht="12.75" hidden="1" customHeight="1">
      <c r="A346" s="1074"/>
      <c r="B346" s="584"/>
      <c r="C346" s="584"/>
      <c r="D346" s="584"/>
      <c r="E346" s="585"/>
      <c r="F346" s="1075"/>
      <c r="G346" s="587"/>
      <c r="H346" s="586"/>
      <c r="I346" s="443"/>
      <c r="J346" s="443"/>
      <c r="K346" s="354"/>
      <c r="L346" s="588"/>
      <c r="M346" s="588"/>
      <c r="N346" s="589"/>
      <c r="O346" s="595"/>
      <c r="P346" s="392"/>
      <c r="Q346" s="807"/>
      <c r="R346" s="603"/>
      <c r="S346" s="354"/>
      <c r="T346" s="584"/>
      <c r="U346" s="595"/>
      <c r="V346" s="595"/>
      <c r="W346" s="595"/>
      <c r="X346" s="443"/>
      <c r="Y346" s="595"/>
      <c r="Z346" s="595"/>
      <c r="AA346" s="595"/>
      <c r="AB346" s="354"/>
      <c r="AC346" s="595"/>
      <c r="AD346" s="595"/>
      <c r="AE346" s="584"/>
      <c r="AF346" s="595"/>
      <c r="AG346" s="354"/>
      <c r="AH346" s="443"/>
      <c r="AI346" s="595"/>
      <c r="AJ346" s="595"/>
      <c r="AK346" s="595"/>
      <c r="AL346" s="595"/>
      <c r="AM346" s="595"/>
      <c r="AN346" s="584"/>
      <c r="AO346" s="595"/>
      <c r="AP346" s="595"/>
      <c r="AQ346" s="584"/>
      <c r="AR346" s="584"/>
      <c r="AS346" s="584"/>
      <c r="AT346" s="584"/>
      <c r="AU346" s="584"/>
      <c r="AV346" s="584"/>
      <c r="AW346" s="584"/>
      <c r="AX346" s="584"/>
      <c r="AY346" s="584"/>
      <c r="AZ346" s="584"/>
      <c r="BA346" s="584"/>
      <c r="BB346" s="595"/>
      <c r="BC346" s="595"/>
      <c r="BD346" s="595"/>
      <c r="BE346" s="595"/>
      <c r="BF346" s="595"/>
      <c r="BG346" s="595"/>
      <c r="BH346" s="595"/>
      <c r="BI346" s="595"/>
      <c r="BJ346" s="595"/>
      <c r="BK346" s="595"/>
      <c r="BL346" s="651"/>
      <c r="BM346" s="651"/>
      <c r="BN346" s="651"/>
      <c r="BO346" s="651"/>
      <c r="BP346" s="651"/>
      <c r="BQ346" s="651"/>
      <c r="BR346" s="651"/>
      <c r="BS346" s="651"/>
      <c r="BT346" s="651"/>
    </row>
    <row r="347" ht="12.75" hidden="1" customHeight="1">
      <c r="A347" s="1074"/>
      <c r="B347" s="584"/>
      <c r="C347" s="584"/>
      <c r="D347" s="584"/>
      <c r="E347" s="585"/>
      <c r="F347" s="1075"/>
      <c r="G347" s="587"/>
      <c r="H347" s="586"/>
      <c r="I347" s="443"/>
      <c r="J347" s="443"/>
      <c r="K347" s="354"/>
      <c r="L347" s="588"/>
      <c r="M347" s="588"/>
      <c r="N347" s="589"/>
      <c r="O347" s="595"/>
      <c r="P347" s="392"/>
      <c r="Q347" s="807"/>
      <c r="R347" s="603"/>
      <c r="S347" s="354"/>
      <c r="T347" s="584"/>
      <c r="U347" s="595"/>
      <c r="V347" s="595"/>
      <c r="W347" s="595"/>
      <c r="X347" s="443"/>
      <c r="Y347" s="595"/>
      <c r="Z347" s="595"/>
      <c r="AA347" s="595"/>
      <c r="AB347" s="354"/>
      <c r="AC347" s="595"/>
      <c r="AD347" s="595"/>
      <c r="AE347" s="584"/>
      <c r="AF347" s="595"/>
      <c r="AG347" s="354"/>
      <c r="AH347" s="443"/>
      <c r="AI347" s="595"/>
      <c r="AJ347" s="595"/>
      <c r="AK347" s="595"/>
      <c r="AL347" s="595"/>
      <c r="AM347" s="595"/>
      <c r="AN347" s="584"/>
      <c r="AO347" s="595"/>
      <c r="AP347" s="595"/>
      <c r="AQ347" s="584"/>
      <c r="AR347" s="584"/>
      <c r="AS347" s="584"/>
      <c r="AT347" s="584"/>
      <c r="AU347" s="584"/>
      <c r="AV347" s="584"/>
      <c r="AW347" s="584"/>
      <c r="AX347" s="584"/>
      <c r="AY347" s="584"/>
      <c r="AZ347" s="584"/>
      <c r="BA347" s="584"/>
      <c r="BB347" s="595"/>
      <c r="BC347" s="595"/>
      <c r="BD347" s="595"/>
      <c r="BE347" s="595"/>
      <c r="BF347" s="595"/>
      <c r="BG347" s="595"/>
      <c r="BH347" s="595"/>
      <c r="BI347" s="595"/>
      <c r="BJ347" s="595"/>
      <c r="BK347" s="595"/>
      <c r="BL347" s="651"/>
      <c r="BM347" s="651"/>
      <c r="BN347" s="651"/>
      <c r="BO347" s="651"/>
      <c r="BP347" s="651"/>
      <c r="BQ347" s="651"/>
      <c r="BR347" s="651"/>
      <c r="BS347" s="651"/>
      <c r="BT347" s="651"/>
    </row>
    <row r="348" ht="12.75" hidden="1" customHeight="1">
      <c r="A348" s="1074"/>
      <c r="B348" s="584"/>
      <c r="C348" s="584"/>
      <c r="D348" s="584"/>
      <c r="E348" s="585"/>
      <c r="F348" s="1075"/>
      <c r="G348" s="587"/>
      <c r="H348" s="586"/>
      <c r="I348" s="443"/>
      <c r="J348" s="443"/>
      <c r="K348" s="354"/>
      <c r="L348" s="588"/>
      <c r="M348" s="588"/>
      <c r="N348" s="589"/>
      <c r="O348" s="595"/>
      <c r="P348" s="392"/>
      <c r="Q348" s="807"/>
      <c r="R348" s="603"/>
      <c r="S348" s="354"/>
      <c r="T348" s="584"/>
      <c r="U348" s="595"/>
      <c r="V348" s="595"/>
      <c r="W348" s="595"/>
      <c r="X348" s="443"/>
      <c r="Y348" s="595"/>
      <c r="Z348" s="595"/>
      <c r="AA348" s="595"/>
      <c r="AB348" s="354"/>
      <c r="AC348" s="595"/>
      <c r="AD348" s="595"/>
      <c r="AE348" s="584"/>
      <c r="AF348" s="595"/>
      <c r="AG348" s="354"/>
      <c r="AH348" s="443"/>
      <c r="AI348" s="595"/>
      <c r="AJ348" s="595"/>
      <c r="AK348" s="595"/>
      <c r="AL348" s="595"/>
      <c r="AM348" s="595"/>
      <c r="AN348" s="584"/>
      <c r="AO348" s="595"/>
      <c r="AP348" s="595"/>
      <c r="AQ348" s="584"/>
      <c r="AR348" s="584"/>
      <c r="AS348" s="584"/>
      <c r="AT348" s="584"/>
      <c r="AU348" s="584"/>
      <c r="AV348" s="584"/>
      <c r="AW348" s="584"/>
      <c r="AX348" s="584"/>
      <c r="AY348" s="584"/>
      <c r="AZ348" s="584"/>
      <c r="BA348" s="584"/>
      <c r="BB348" s="595"/>
      <c r="BC348" s="595"/>
      <c r="BD348" s="595"/>
      <c r="BE348" s="595"/>
      <c r="BF348" s="595"/>
      <c r="BG348" s="595"/>
      <c r="BH348" s="595"/>
      <c r="BI348" s="595"/>
      <c r="BJ348" s="595"/>
      <c r="BK348" s="651"/>
      <c r="BL348" s="651"/>
      <c r="BM348" s="651"/>
      <c r="BN348" s="651"/>
      <c r="BO348" s="651"/>
      <c r="BP348" s="651"/>
      <c r="BQ348" s="651"/>
      <c r="BR348" s="651"/>
      <c r="BS348" s="651"/>
      <c r="BT348" s="651"/>
    </row>
    <row r="349" ht="12.75" hidden="1" customHeight="1">
      <c r="A349" s="1074"/>
      <c r="B349" s="584"/>
      <c r="C349" s="584"/>
      <c r="D349" s="584"/>
      <c r="E349" s="585"/>
      <c r="F349" s="1075"/>
      <c r="G349" s="587"/>
      <c r="H349" s="586"/>
      <c r="I349" s="443"/>
      <c r="J349" s="443"/>
      <c r="K349" s="354"/>
      <c r="L349" s="588"/>
      <c r="M349" s="588"/>
      <c r="N349" s="589"/>
      <c r="O349" s="595"/>
      <c r="P349" s="392"/>
      <c r="Q349" s="807"/>
      <c r="R349" s="603"/>
      <c r="S349" s="354"/>
      <c r="T349" s="584"/>
      <c r="U349" s="595"/>
      <c r="V349" s="595"/>
      <c r="W349" s="595"/>
      <c r="X349" s="443"/>
      <c r="Y349" s="595"/>
      <c r="Z349" s="595"/>
      <c r="AA349" s="595"/>
      <c r="AB349" s="354"/>
      <c r="AC349" s="595"/>
      <c r="AD349" s="595"/>
      <c r="AE349" s="584"/>
      <c r="AF349" s="595"/>
      <c r="AG349" s="354"/>
      <c r="AH349" s="443"/>
      <c r="AI349" s="595"/>
      <c r="AJ349" s="595"/>
      <c r="AK349" s="595"/>
      <c r="AL349" s="595"/>
      <c r="AM349" s="595"/>
      <c r="AN349" s="584"/>
      <c r="AO349" s="595"/>
      <c r="AP349" s="595"/>
      <c r="AQ349" s="584"/>
      <c r="AR349" s="584"/>
      <c r="AS349" s="584"/>
      <c r="AT349" s="584"/>
      <c r="AU349" s="584"/>
      <c r="AV349" s="584"/>
      <c r="AW349" s="584"/>
      <c r="AX349" s="584"/>
      <c r="AY349" s="584"/>
      <c r="AZ349" s="584"/>
      <c r="BA349" s="584"/>
      <c r="BB349" s="595"/>
      <c r="BC349" s="595"/>
      <c r="BD349" s="595"/>
      <c r="BE349" s="595"/>
      <c r="BF349" s="595"/>
      <c r="BG349" s="595"/>
      <c r="BH349" s="595"/>
      <c r="BI349" s="595"/>
      <c r="BJ349" s="595"/>
      <c r="BK349" s="651"/>
      <c r="BL349" s="651"/>
      <c r="BM349" s="651"/>
      <c r="BN349" s="651"/>
      <c r="BO349" s="651"/>
      <c r="BP349" s="651"/>
      <c r="BQ349" s="651"/>
      <c r="BR349" s="651"/>
      <c r="BS349" s="651"/>
      <c r="BT349" s="651"/>
    </row>
    <row r="350" ht="12.75" customHeight="1">
      <c r="A350" s="1074"/>
      <c r="B350" s="584"/>
      <c r="C350" s="584"/>
      <c r="D350" s="584"/>
      <c r="E350" s="585"/>
      <c r="F350" s="1075"/>
      <c r="G350" s="587"/>
      <c r="H350" s="586"/>
      <c r="I350" s="443"/>
      <c r="J350" s="443"/>
      <c r="K350" s="354"/>
      <c r="L350" s="588"/>
      <c r="M350" s="588"/>
      <c r="N350" s="589"/>
      <c r="O350" s="595"/>
      <c r="P350" s="392"/>
      <c r="Q350" s="807"/>
      <c r="R350" s="603"/>
      <c r="S350" s="354"/>
      <c r="T350" s="584"/>
      <c r="U350" s="595"/>
      <c r="V350" s="595"/>
      <c r="W350" s="595"/>
      <c r="X350" s="443"/>
      <c r="Y350" s="595"/>
      <c r="Z350" s="595"/>
      <c r="AA350" s="595"/>
      <c r="AB350" s="354"/>
      <c r="AC350" s="595"/>
      <c r="AD350" s="595"/>
      <c r="AE350" s="584"/>
      <c r="AF350" s="595"/>
      <c r="AG350" s="354"/>
      <c r="AH350" s="443"/>
      <c r="AI350" s="595"/>
      <c r="AJ350" s="595"/>
      <c r="AK350" s="595"/>
      <c r="AL350" s="595"/>
      <c r="AM350" s="595"/>
      <c r="AN350" s="584"/>
      <c r="AO350" s="595"/>
      <c r="AP350" s="595"/>
      <c r="AQ350" s="584"/>
      <c r="AR350" s="584"/>
      <c r="AS350" s="584"/>
      <c r="AT350" s="584"/>
      <c r="AU350" s="584"/>
      <c r="AV350" s="584"/>
      <c r="AW350" s="584"/>
      <c r="AX350" s="584"/>
      <c r="AY350" s="584"/>
      <c r="AZ350" s="584"/>
      <c r="BA350" s="584"/>
      <c r="BB350" s="595"/>
      <c r="BC350" s="595"/>
      <c r="BD350" s="595"/>
      <c r="BE350" s="595"/>
      <c r="BF350" s="595"/>
      <c r="BG350" s="595"/>
      <c r="BH350" s="595"/>
      <c r="BI350" s="595"/>
      <c r="BJ350" s="595"/>
      <c r="BK350" s="651"/>
      <c r="BL350" s="651"/>
      <c r="BM350" s="651"/>
      <c r="BN350" s="651"/>
      <c r="BO350" s="651"/>
      <c r="BP350" s="651"/>
      <c r="BQ350" s="651"/>
      <c r="BR350" s="651"/>
      <c r="BS350" s="651"/>
      <c r="BT350" s="651"/>
    </row>
    <row r="351" ht="12.75" customHeight="1">
      <c r="A351" s="1074"/>
      <c r="B351" s="584"/>
      <c r="C351" s="584"/>
      <c r="D351" s="584"/>
      <c r="E351" s="585"/>
      <c r="F351" s="1075"/>
      <c r="G351" s="587"/>
      <c r="H351" s="586"/>
      <c r="I351" s="443"/>
      <c r="J351" s="443"/>
      <c r="K351" s="354"/>
      <c r="L351" s="588"/>
      <c r="M351" s="588"/>
      <c r="N351" s="589"/>
      <c r="O351" s="595"/>
      <c r="P351" s="392"/>
      <c r="Q351" s="807"/>
      <c r="R351" s="603"/>
      <c r="S351" s="354"/>
      <c r="T351" s="584"/>
      <c r="U351" s="595"/>
      <c r="V351" s="595"/>
      <c r="W351" s="595"/>
      <c r="X351" s="443"/>
      <c r="Y351" s="595"/>
      <c r="Z351" s="595"/>
      <c r="AA351" s="595"/>
      <c r="AB351" s="354"/>
      <c r="AC351" s="595"/>
      <c r="AD351" s="595"/>
      <c r="AE351" s="584"/>
      <c r="AF351" s="595"/>
      <c r="AG351" s="354"/>
      <c r="AH351" s="443"/>
      <c r="AI351" s="595"/>
      <c r="AJ351" s="595"/>
      <c r="AK351" s="595"/>
      <c r="AL351" s="595"/>
      <c r="AM351" s="595"/>
      <c r="AN351" s="584"/>
      <c r="AO351" s="595"/>
      <c r="AP351" s="595"/>
      <c r="AQ351" s="584"/>
      <c r="AR351" s="584"/>
      <c r="AS351" s="584"/>
      <c r="AT351" s="584"/>
      <c r="AU351" s="584"/>
      <c r="AV351" s="584"/>
      <c r="AW351" s="584"/>
      <c r="AX351" s="584"/>
      <c r="AY351" s="584"/>
      <c r="AZ351" s="584"/>
      <c r="BA351" s="584"/>
      <c r="BB351" s="595"/>
      <c r="BC351" s="595"/>
      <c r="BD351" s="595"/>
      <c r="BE351" s="595"/>
      <c r="BF351" s="595"/>
      <c r="BG351" s="595"/>
      <c r="BH351" s="595"/>
      <c r="BI351" s="595"/>
      <c r="BJ351" s="595"/>
      <c r="BK351" s="651"/>
      <c r="BL351" s="651"/>
      <c r="BM351" s="651"/>
      <c r="BN351" s="651"/>
      <c r="BO351" s="651"/>
      <c r="BP351" s="651"/>
      <c r="BQ351" s="651"/>
      <c r="BR351" s="651"/>
      <c r="BS351" s="651"/>
      <c r="BT351" s="651"/>
    </row>
    <row r="352" ht="12.75" customHeight="1">
      <c r="A352" s="1074"/>
      <c r="B352" s="584"/>
      <c r="C352" s="584"/>
      <c r="D352" s="584"/>
      <c r="E352" s="585"/>
      <c r="F352" s="1075"/>
      <c r="G352" s="587"/>
      <c r="H352" s="586"/>
      <c r="I352" s="443"/>
      <c r="J352" s="443"/>
      <c r="K352" s="354"/>
      <c r="L352" s="588"/>
      <c r="M352" s="588"/>
      <c r="N352" s="589"/>
      <c r="O352" s="595"/>
      <c r="P352" s="392"/>
      <c r="Q352" s="807"/>
      <c r="R352" s="603"/>
      <c r="S352" s="354"/>
      <c r="T352" s="584"/>
      <c r="U352" s="595"/>
      <c r="V352" s="595"/>
      <c r="W352" s="595"/>
      <c r="X352" s="443"/>
      <c r="Y352" s="595"/>
      <c r="Z352" s="595"/>
      <c r="AA352" s="595"/>
      <c r="AB352" s="354"/>
      <c r="AC352" s="595"/>
      <c r="AD352" s="595"/>
      <c r="AE352" s="584"/>
      <c r="AF352" s="595"/>
      <c r="AG352" s="354"/>
      <c r="AH352" s="443"/>
      <c r="AI352" s="595"/>
      <c r="AJ352" s="595"/>
      <c r="AK352" s="595"/>
      <c r="AL352" s="595"/>
      <c r="AM352" s="595"/>
      <c r="AN352" s="584"/>
      <c r="AO352" s="595"/>
      <c r="AP352" s="595"/>
      <c r="AQ352" s="584"/>
      <c r="AR352" s="584"/>
      <c r="AS352" s="584"/>
      <c r="AT352" s="584"/>
      <c r="AU352" s="584"/>
      <c r="AV352" s="584"/>
      <c r="AW352" s="584"/>
      <c r="AX352" s="584"/>
      <c r="AY352" s="584"/>
      <c r="AZ352" s="584"/>
      <c r="BA352" s="584"/>
      <c r="BB352" s="595"/>
      <c r="BC352" s="595"/>
      <c r="BD352" s="595"/>
      <c r="BE352" s="595"/>
      <c r="BF352" s="595"/>
      <c r="BG352" s="595"/>
      <c r="BH352" s="595"/>
      <c r="BI352" s="595"/>
      <c r="BJ352" s="595"/>
      <c r="BK352" s="651"/>
      <c r="BL352" s="651"/>
      <c r="BM352" s="651"/>
      <c r="BN352" s="651"/>
      <c r="BO352" s="651"/>
      <c r="BP352" s="651"/>
      <c r="BQ352" s="651"/>
      <c r="BR352" s="651"/>
      <c r="BS352" s="651"/>
      <c r="BT352" s="651"/>
    </row>
    <row r="353" ht="12.75" customHeight="1">
      <c r="A353" s="1074"/>
      <c r="B353" s="584"/>
      <c r="C353" s="584"/>
      <c r="D353" s="584"/>
      <c r="E353" s="585"/>
      <c r="F353" s="1075"/>
      <c r="G353" s="587"/>
      <c r="H353" s="586"/>
      <c r="I353" s="443"/>
      <c r="J353" s="443"/>
      <c r="K353" s="354"/>
      <c r="L353" s="588"/>
      <c r="M353" s="588"/>
      <c r="N353" s="589"/>
      <c r="O353" s="595"/>
      <c r="P353" s="392"/>
      <c r="Q353" s="807"/>
      <c r="R353" s="603"/>
      <c r="S353" s="354"/>
      <c r="T353" s="584"/>
      <c r="U353" s="595"/>
      <c r="V353" s="595"/>
      <c r="W353" s="595"/>
      <c r="X353" s="443"/>
      <c r="Y353" s="595"/>
      <c r="Z353" s="595"/>
      <c r="AA353" s="595"/>
      <c r="AB353" s="354"/>
      <c r="AC353" s="595"/>
      <c r="AD353" s="595"/>
      <c r="AE353" s="584"/>
      <c r="AF353" s="595"/>
      <c r="AG353" s="354"/>
      <c r="AH353" s="443"/>
      <c r="AI353" s="595"/>
      <c r="AJ353" s="595"/>
      <c r="AK353" s="595"/>
      <c r="AL353" s="595"/>
      <c r="AM353" s="595"/>
      <c r="AN353" s="584"/>
      <c r="AO353" s="595"/>
      <c r="AP353" s="595"/>
      <c r="AQ353" s="595"/>
      <c r="AR353" s="595"/>
      <c r="AS353" s="595"/>
      <c r="AT353" s="595"/>
      <c r="AU353" s="595"/>
      <c r="AV353" s="595"/>
      <c r="AW353" s="595"/>
      <c r="AX353" s="595"/>
      <c r="AY353" s="595"/>
      <c r="AZ353" s="595"/>
      <c r="BA353" s="595"/>
      <c r="BB353" s="595"/>
      <c r="BC353" s="595"/>
      <c r="BD353" s="595"/>
      <c r="BE353" s="595"/>
      <c r="BF353" s="595"/>
      <c r="BG353" s="595"/>
      <c r="BH353" s="595"/>
      <c r="BI353" s="595"/>
      <c r="BJ353" s="595"/>
      <c r="BK353" s="651"/>
      <c r="BL353" s="651"/>
      <c r="BM353" s="651"/>
      <c r="BN353" s="651"/>
      <c r="BO353" s="651"/>
      <c r="BP353" s="651"/>
      <c r="BQ353" s="651"/>
      <c r="BR353" s="651"/>
      <c r="BS353" s="651"/>
      <c r="BT353" s="651"/>
    </row>
    <row r="354" ht="12.75" customHeight="1">
      <c r="A354" s="1074"/>
      <c r="B354" s="584"/>
      <c r="C354" s="584"/>
      <c r="D354" s="584"/>
      <c r="E354" s="585"/>
      <c r="F354" s="1075"/>
      <c r="G354" s="587"/>
      <c r="H354" s="586"/>
      <c r="I354" s="443"/>
      <c r="J354" s="443"/>
      <c r="K354" s="354"/>
      <c r="L354" s="588"/>
      <c r="M354" s="588"/>
      <c r="N354" s="589"/>
      <c r="O354" s="595"/>
      <c r="P354" s="392"/>
      <c r="Q354" s="807"/>
      <c r="R354" s="603"/>
      <c r="S354" s="354"/>
      <c r="T354" s="584"/>
      <c r="U354" s="595"/>
      <c r="V354" s="595"/>
      <c r="W354" s="595"/>
      <c r="X354" s="443"/>
      <c r="Y354" s="595"/>
      <c r="Z354" s="595"/>
      <c r="AA354" s="595"/>
      <c r="AB354" s="354"/>
      <c r="AC354" s="595"/>
      <c r="AD354" s="595"/>
      <c r="AE354" s="584"/>
      <c r="AF354" s="595"/>
      <c r="AG354" s="354"/>
      <c r="AH354" s="443"/>
      <c r="AI354" s="595"/>
      <c r="AJ354" s="595"/>
      <c r="AK354" s="595"/>
      <c r="AL354" s="595"/>
      <c r="AM354" s="595"/>
      <c r="AN354" s="584"/>
      <c r="AO354" s="595"/>
      <c r="AP354" s="595"/>
      <c r="AQ354" s="595"/>
      <c r="AR354" s="595"/>
      <c r="AS354" s="595"/>
      <c r="AT354" s="595"/>
      <c r="AU354" s="595"/>
      <c r="AV354" s="595"/>
      <c r="AW354" s="595"/>
      <c r="AX354" s="595"/>
      <c r="AY354" s="595"/>
      <c r="AZ354" s="595"/>
      <c r="BA354" s="595"/>
      <c r="BB354" s="595"/>
      <c r="BC354" s="595"/>
      <c r="BD354" s="595"/>
      <c r="BE354" s="595"/>
      <c r="BF354" s="595"/>
      <c r="BG354" s="595"/>
      <c r="BH354" s="595"/>
      <c r="BI354" s="595"/>
      <c r="BJ354" s="595"/>
      <c r="BK354" s="651"/>
      <c r="BL354" s="651"/>
      <c r="BM354" s="651"/>
      <c r="BN354" s="651"/>
      <c r="BO354" s="651"/>
      <c r="BP354" s="651"/>
      <c r="BQ354" s="651"/>
      <c r="BR354" s="651"/>
      <c r="BS354" s="651"/>
      <c r="BT354" s="651"/>
    </row>
    <row r="355" ht="12.75" customHeight="1">
      <c r="A355" s="1074"/>
      <c r="B355" s="584"/>
      <c r="C355" s="584"/>
      <c r="D355" s="584"/>
      <c r="E355" s="585"/>
      <c r="F355" s="1075"/>
      <c r="G355" s="587"/>
      <c r="H355" s="586"/>
      <c r="I355" s="443"/>
      <c r="J355" s="443"/>
      <c r="K355" s="354"/>
      <c r="L355" s="588"/>
      <c r="M355" s="588"/>
      <c r="N355" s="589"/>
      <c r="O355" s="595"/>
      <c r="P355" s="392"/>
      <c r="Q355" s="807"/>
      <c r="R355" s="603"/>
      <c r="S355" s="354"/>
      <c r="T355" s="584"/>
      <c r="U355" s="595"/>
      <c r="V355" s="595"/>
      <c r="W355" s="595"/>
      <c r="X355" s="443"/>
      <c r="Y355" s="595"/>
      <c r="Z355" s="595"/>
      <c r="AA355" s="595"/>
      <c r="AB355" s="354"/>
      <c r="AC355" s="595"/>
      <c r="AD355" s="595"/>
      <c r="AE355" s="584"/>
      <c r="AF355" s="595"/>
      <c r="AG355" s="354"/>
      <c r="AH355" s="443"/>
      <c r="AI355" s="595"/>
      <c r="AJ355" s="595"/>
      <c r="AK355" s="595"/>
      <c r="AL355" s="595"/>
      <c r="AM355" s="595"/>
      <c r="AN355" s="584"/>
      <c r="AO355" s="595"/>
      <c r="AP355" s="595"/>
      <c r="AQ355" s="595"/>
      <c r="AR355" s="595"/>
      <c r="AS355" s="595"/>
      <c r="AT355" s="595"/>
      <c r="AU355" s="595"/>
      <c r="AV355" s="595"/>
      <c r="AW355" s="595"/>
      <c r="AX355" s="595"/>
      <c r="AY355" s="595"/>
      <c r="AZ355" s="595"/>
      <c r="BA355" s="595"/>
      <c r="BB355" s="595"/>
      <c r="BC355" s="595"/>
      <c r="BD355" s="595"/>
      <c r="BE355" s="595"/>
      <c r="BF355" s="595"/>
      <c r="BG355" s="595"/>
      <c r="BH355" s="595"/>
      <c r="BI355" s="595"/>
      <c r="BJ355" s="595"/>
      <c r="BK355" s="651"/>
      <c r="BL355" s="651"/>
      <c r="BM355" s="651"/>
      <c r="BN355" s="651"/>
      <c r="BO355" s="651"/>
      <c r="BP355" s="651"/>
      <c r="BQ355" s="651"/>
      <c r="BR355" s="651"/>
      <c r="BS355" s="651"/>
      <c r="BT355" s="651"/>
    </row>
    <row r="356" ht="12.75" customHeight="1">
      <c r="A356" s="1074"/>
      <c r="B356" s="584"/>
      <c r="C356" s="584"/>
      <c r="D356" s="584"/>
      <c r="E356" s="585"/>
      <c r="F356" s="1075"/>
      <c r="G356" s="587"/>
      <c r="H356" s="586"/>
      <c r="I356" s="443"/>
      <c r="J356" s="443"/>
      <c r="K356" s="354"/>
      <c r="L356" s="588"/>
      <c r="M356" s="588"/>
      <c r="N356" s="589"/>
      <c r="O356" s="595"/>
      <c r="P356" s="392"/>
      <c r="Q356" s="807"/>
      <c r="R356" s="603"/>
      <c r="S356" s="354"/>
      <c r="T356" s="584"/>
      <c r="U356" s="595"/>
      <c r="V356" s="595"/>
      <c r="W356" s="595"/>
      <c r="X356" s="443"/>
      <c r="Y356" s="595"/>
      <c r="Z356" s="595"/>
      <c r="AA356" s="595"/>
      <c r="AB356" s="354"/>
      <c r="AC356" s="595"/>
      <c r="AD356" s="595"/>
      <c r="AE356" s="584"/>
      <c r="AF356" s="595"/>
      <c r="AG356" s="354"/>
      <c r="AH356" s="443"/>
      <c r="AI356" s="595"/>
      <c r="AJ356" s="595"/>
      <c r="AK356" s="595"/>
      <c r="AL356" s="595"/>
      <c r="AM356" s="595"/>
      <c r="AN356" s="584"/>
      <c r="AO356" s="595"/>
      <c r="AP356" s="595"/>
      <c r="AQ356" s="595"/>
      <c r="AR356" s="595"/>
      <c r="AS356" s="595"/>
      <c r="AT356" s="595"/>
      <c r="AU356" s="595"/>
      <c r="AV356" s="595"/>
      <c r="AW356" s="595"/>
      <c r="AX356" s="595"/>
      <c r="AY356" s="595"/>
      <c r="AZ356" s="595"/>
      <c r="BA356" s="595"/>
      <c r="BB356" s="595"/>
      <c r="BC356" s="595"/>
      <c r="BD356" s="595"/>
      <c r="BE356" s="595"/>
      <c r="BF356" s="595"/>
      <c r="BG356" s="595"/>
      <c r="BH356" s="595"/>
      <c r="BI356" s="595"/>
      <c r="BJ356" s="595"/>
      <c r="BK356" s="651"/>
      <c r="BL356" s="651"/>
      <c r="BM356" s="651"/>
      <c r="BN356" s="651"/>
      <c r="BO356" s="651"/>
      <c r="BP356" s="651"/>
      <c r="BQ356" s="651"/>
      <c r="BR356" s="651"/>
      <c r="BS356" s="651"/>
      <c r="BT356" s="651"/>
    </row>
    <row r="357" ht="12.75" customHeight="1">
      <c r="A357" s="1074"/>
      <c r="B357" s="584"/>
      <c r="C357" s="584"/>
      <c r="D357" s="584"/>
      <c r="E357" s="585"/>
      <c r="F357" s="1075"/>
      <c r="G357" s="587"/>
      <c r="H357" s="586"/>
      <c r="I357" s="443"/>
      <c r="J357" s="443"/>
      <c r="K357" s="354"/>
      <c r="L357" s="588"/>
      <c r="M357" s="588"/>
      <c r="N357" s="589"/>
      <c r="O357" s="595"/>
      <c r="P357" s="392"/>
      <c r="Q357" s="807"/>
      <c r="R357" s="603"/>
      <c r="S357" s="354"/>
      <c r="T357" s="584"/>
      <c r="U357" s="595"/>
      <c r="V357" s="595"/>
      <c r="W357" s="595"/>
      <c r="X357" s="443"/>
      <c r="Y357" s="595"/>
      <c r="Z357" s="595"/>
      <c r="AA357" s="595"/>
      <c r="AB357" s="354"/>
      <c r="AC357" s="595"/>
      <c r="AD357" s="595"/>
      <c r="AE357" s="584"/>
      <c r="AF357" s="595"/>
      <c r="AG357" s="354"/>
      <c r="AH357" s="443"/>
      <c r="AI357" s="595"/>
      <c r="AJ357" s="595"/>
      <c r="AK357" s="595"/>
      <c r="AL357" s="595"/>
      <c r="AM357" s="595"/>
      <c r="AN357" s="584"/>
      <c r="AO357" s="595"/>
      <c r="AP357" s="595"/>
      <c r="AQ357" s="595"/>
      <c r="AR357" s="595"/>
      <c r="AS357" s="595"/>
      <c r="AT357" s="595"/>
      <c r="AU357" s="595"/>
      <c r="AV357" s="595"/>
      <c r="AW357" s="595"/>
      <c r="AX357" s="595"/>
      <c r="AY357" s="595"/>
      <c r="AZ357" s="595"/>
      <c r="BA357" s="595"/>
      <c r="BB357" s="595"/>
      <c r="BC357" s="595"/>
      <c r="BD357" s="595"/>
      <c r="BE357" s="595"/>
      <c r="BF357" s="595"/>
      <c r="BG357" s="595"/>
      <c r="BH357" s="595"/>
      <c r="BI357" s="595"/>
      <c r="BJ357" s="595"/>
      <c r="BK357" s="651"/>
      <c r="BL357" s="651"/>
      <c r="BM357" s="651"/>
      <c r="BN357" s="651"/>
      <c r="BO357" s="651"/>
      <c r="BP357" s="651"/>
      <c r="BQ357" s="651"/>
      <c r="BR357" s="651"/>
      <c r="BS357" s="651"/>
      <c r="BT357" s="651"/>
    </row>
    <row r="358" ht="12.75" customHeight="1">
      <c r="A358" s="1074"/>
      <c r="B358" s="584"/>
      <c r="C358" s="584"/>
      <c r="D358" s="584"/>
      <c r="E358" s="585"/>
      <c r="F358" s="1075"/>
      <c r="G358" s="587"/>
      <c r="H358" s="586"/>
      <c r="I358" s="443"/>
      <c r="J358" s="443"/>
      <c r="K358" s="354"/>
      <c r="L358" s="588"/>
      <c r="M358" s="588"/>
      <c r="N358" s="589"/>
      <c r="O358" s="595"/>
      <c r="P358" s="392"/>
      <c r="Q358" s="807"/>
      <c r="R358" s="603"/>
      <c r="S358" s="354"/>
      <c r="T358" s="584"/>
      <c r="U358" s="595"/>
      <c r="V358" s="595"/>
      <c r="W358" s="595"/>
      <c r="X358" s="443"/>
      <c r="Y358" s="595"/>
      <c r="Z358" s="595"/>
      <c r="AA358" s="595"/>
      <c r="AB358" s="354"/>
      <c r="AC358" s="595"/>
      <c r="AD358" s="595"/>
      <c r="AE358" s="584"/>
      <c r="AF358" s="595"/>
      <c r="AG358" s="354"/>
      <c r="AH358" s="443"/>
      <c r="AI358" s="595"/>
      <c r="AJ358" s="595"/>
      <c r="AK358" s="595"/>
      <c r="AL358" s="595"/>
      <c r="AM358" s="595"/>
      <c r="AN358" s="584"/>
      <c r="AO358" s="595"/>
      <c r="AP358" s="595"/>
      <c r="AQ358" s="595"/>
      <c r="AR358" s="595"/>
      <c r="AS358" s="595"/>
      <c r="AT358" s="595"/>
      <c r="AU358" s="595"/>
      <c r="AV358" s="595"/>
      <c r="AW358" s="595"/>
      <c r="AX358" s="595"/>
      <c r="AY358" s="595"/>
      <c r="AZ358" s="595"/>
      <c r="BA358" s="595"/>
      <c r="BB358" s="595"/>
      <c r="BC358" s="595"/>
      <c r="BD358" s="595"/>
      <c r="BE358" s="595"/>
      <c r="BF358" s="595"/>
      <c r="BG358" s="595"/>
      <c r="BH358" s="595"/>
      <c r="BI358" s="595"/>
      <c r="BJ358" s="595"/>
      <c r="BK358" s="651"/>
      <c r="BL358" s="651"/>
      <c r="BM358" s="651"/>
      <c r="BN358" s="651"/>
      <c r="BO358" s="651"/>
      <c r="BP358" s="651"/>
      <c r="BQ358" s="651"/>
      <c r="BR358" s="651"/>
      <c r="BS358" s="651"/>
      <c r="BT358" s="651"/>
    </row>
    <row r="359" ht="12.75" customHeight="1">
      <c r="A359" s="1074"/>
      <c r="B359" s="584"/>
      <c r="C359" s="584"/>
      <c r="D359" s="584"/>
      <c r="E359" s="585"/>
      <c r="F359" s="1075"/>
      <c r="G359" s="587"/>
      <c r="H359" s="586"/>
      <c r="I359" s="443"/>
      <c r="J359" s="443"/>
      <c r="K359" s="354"/>
      <c r="L359" s="588"/>
      <c r="M359" s="588"/>
      <c r="N359" s="589"/>
      <c r="O359" s="595"/>
      <c r="P359" s="392"/>
      <c r="Q359" s="807"/>
      <c r="R359" s="603"/>
      <c r="S359" s="354"/>
      <c r="T359" s="584"/>
      <c r="U359" s="595"/>
      <c r="V359" s="595"/>
      <c r="W359" s="595"/>
      <c r="X359" s="443"/>
      <c r="Y359" s="595"/>
      <c r="Z359" s="595"/>
      <c r="AA359" s="595"/>
      <c r="AB359" s="354"/>
      <c r="AC359" s="595"/>
      <c r="AD359" s="595"/>
      <c r="AE359" s="584"/>
      <c r="AF359" s="595"/>
      <c r="AG359" s="354"/>
      <c r="AH359" s="443"/>
      <c r="AI359" s="595"/>
      <c r="AJ359" s="595"/>
      <c r="AK359" s="595"/>
      <c r="AL359" s="595"/>
      <c r="AM359" s="595"/>
      <c r="AN359" s="584"/>
      <c r="AO359" s="595"/>
      <c r="AP359" s="595"/>
      <c r="AQ359" s="595"/>
      <c r="AR359" s="595"/>
      <c r="AS359" s="595"/>
      <c r="AT359" s="595"/>
      <c r="AU359" s="595"/>
      <c r="AV359" s="595"/>
      <c r="AW359" s="595"/>
      <c r="AX359" s="595"/>
      <c r="AY359" s="595"/>
      <c r="AZ359" s="595"/>
      <c r="BA359" s="595"/>
      <c r="BB359" s="595"/>
      <c r="BC359" s="595"/>
      <c r="BD359" s="595"/>
      <c r="BE359" s="595"/>
      <c r="BF359" s="595"/>
      <c r="BG359" s="595"/>
      <c r="BH359" s="595"/>
      <c r="BI359" s="595"/>
      <c r="BJ359" s="595"/>
      <c r="BK359" s="651"/>
      <c r="BL359" s="651"/>
      <c r="BM359" s="651"/>
      <c r="BN359" s="651"/>
      <c r="BO359" s="651"/>
      <c r="BP359" s="651"/>
      <c r="BQ359" s="651"/>
      <c r="BR359" s="651"/>
      <c r="BS359" s="651"/>
      <c r="BT359" s="651"/>
    </row>
    <row r="360" ht="12.75" customHeight="1">
      <c r="A360" s="1074"/>
      <c r="B360" s="584"/>
      <c r="C360" s="584"/>
      <c r="D360" s="584"/>
      <c r="E360" s="585"/>
      <c r="F360" s="1075"/>
      <c r="G360" s="587"/>
      <c r="H360" s="586"/>
      <c r="I360" s="443"/>
      <c r="J360" s="443"/>
      <c r="K360" s="354"/>
      <c r="L360" s="588"/>
      <c r="M360" s="588"/>
      <c r="N360" s="589"/>
      <c r="O360" s="595"/>
      <c r="P360" s="392"/>
      <c r="Q360" s="807"/>
      <c r="R360" s="603"/>
      <c r="S360" s="354"/>
      <c r="T360" s="584"/>
      <c r="U360" s="595"/>
      <c r="V360" s="595"/>
      <c r="W360" s="595"/>
      <c r="X360" s="443"/>
      <c r="Y360" s="595"/>
      <c r="Z360" s="595"/>
      <c r="AA360" s="595"/>
      <c r="AB360" s="354"/>
      <c r="AC360" s="595"/>
      <c r="AD360" s="595"/>
      <c r="AE360" s="584"/>
      <c r="AF360" s="595"/>
      <c r="AG360" s="354"/>
      <c r="AH360" s="443"/>
      <c r="AI360" s="595"/>
      <c r="AJ360" s="595"/>
      <c r="AK360" s="595"/>
      <c r="AL360" s="595"/>
      <c r="AM360" s="595"/>
      <c r="AN360" s="584"/>
      <c r="AO360" s="595"/>
      <c r="AP360" s="595"/>
      <c r="AQ360" s="595"/>
      <c r="AR360" s="595"/>
      <c r="AS360" s="595"/>
      <c r="AT360" s="595"/>
      <c r="AU360" s="595"/>
      <c r="AV360" s="595"/>
      <c r="AW360" s="595"/>
      <c r="AX360" s="595"/>
      <c r="AY360" s="595"/>
      <c r="AZ360" s="595"/>
      <c r="BA360" s="595"/>
      <c r="BB360" s="595"/>
      <c r="BC360" s="595"/>
      <c r="BD360" s="595"/>
      <c r="BE360" s="595"/>
      <c r="BF360" s="595"/>
      <c r="BG360" s="595"/>
      <c r="BH360" s="595"/>
      <c r="BI360" s="595"/>
      <c r="BJ360" s="651"/>
      <c r="BK360" s="651"/>
      <c r="BL360" s="651"/>
      <c r="BM360" s="651"/>
      <c r="BN360" s="651"/>
      <c r="BO360" s="651"/>
      <c r="BP360" s="651"/>
      <c r="BQ360" s="651"/>
      <c r="BR360" s="651"/>
      <c r="BS360" s="651"/>
      <c r="BT360" s="651"/>
    </row>
    <row r="361" ht="12.75" customHeight="1">
      <c r="A361" s="1074"/>
      <c r="B361" s="584"/>
      <c r="C361" s="584"/>
      <c r="D361" s="584"/>
      <c r="E361" s="585"/>
      <c r="F361" s="1075"/>
      <c r="G361" s="587"/>
      <c r="H361" s="586"/>
      <c r="I361" s="443"/>
      <c r="J361" s="443"/>
      <c r="K361" s="354"/>
      <c r="L361" s="588"/>
      <c r="M361" s="588"/>
      <c r="N361" s="589"/>
      <c r="O361" s="595"/>
      <c r="P361" s="392"/>
      <c r="Q361" s="807"/>
      <c r="R361" s="603"/>
      <c r="S361" s="354"/>
      <c r="T361" s="584"/>
      <c r="U361" s="595"/>
      <c r="V361" s="595"/>
      <c r="W361" s="595"/>
      <c r="X361" s="443"/>
      <c r="Y361" s="595"/>
      <c r="Z361" s="595"/>
      <c r="AA361" s="595"/>
      <c r="AB361" s="354"/>
      <c r="AC361" s="595"/>
      <c r="AD361" s="595"/>
      <c r="AE361" s="584"/>
      <c r="AF361" s="595"/>
      <c r="AG361" s="354"/>
      <c r="AH361" s="443"/>
      <c r="AI361" s="595"/>
      <c r="AJ361" s="595"/>
      <c r="AK361" s="595"/>
      <c r="AL361" s="595"/>
      <c r="AM361" s="595"/>
      <c r="AN361" s="584"/>
      <c r="AO361" s="595"/>
      <c r="AP361" s="595"/>
      <c r="AQ361" s="595"/>
      <c r="AR361" s="595"/>
      <c r="AS361" s="595"/>
      <c r="AT361" s="595"/>
      <c r="AU361" s="595"/>
      <c r="AV361" s="595"/>
      <c r="AW361" s="595"/>
      <c r="AX361" s="595"/>
      <c r="AY361" s="595"/>
      <c r="AZ361" s="595"/>
      <c r="BA361" s="595"/>
      <c r="BB361" s="595"/>
      <c r="BC361" s="595"/>
      <c r="BD361" s="595"/>
      <c r="BE361" s="595"/>
      <c r="BF361" s="595"/>
      <c r="BG361" s="595"/>
      <c r="BH361" s="595"/>
      <c r="BI361" s="595"/>
      <c r="BJ361" s="651"/>
      <c r="BK361" s="651"/>
      <c r="BL361" s="651"/>
      <c r="BM361" s="651"/>
      <c r="BN361" s="651"/>
      <c r="BO361" s="651"/>
      <c r="BP361" s="651"/>
      <c r="BQ361" s="651"/>
      <c r="BR361" s="651"/>
      <c r="BS361" s="651"/>
      <c r="BT361" s="651"/>
    </row>
    <row r="362" ht="12.75" customHeight="1">
      <c r="A362" s="1074"/>
      <c r="B362" s="584"/>
      <c r="C362" s="584"/>
      <c r="D362" s="584"/>
      <c r="E362" s="585"/>
      <c r="F362" s="1075"/>
      <c r="G362" s="587"/>
      <c r="H362" s="586"/>
      <c r="I362" s="443"/>
      <c r="J362" s="443"/>
      <c r="K362" s="354"/>
      <c r="L362" s="588"/>
      <c r="M362" s="588"/>
      <c r="N362" s="589"/>
      <c r="O362" s="595"/>
      <c r="P362" s="392"/>
      <c r="Q362" s="807"/>
      <c r="R362" s="603"/>
      <c r="S362" s="354"/>
      <c r="T362" s="584"/>
      <c r="U362" s="595"/>
      <c r="V362" s="595"/>
      <c r="W362" s="595"/>
      <c r="X362" s="443"/>
      <c r="Y362" s="595"/>
      <c r="Z362" s="595"/>
      <c r="AA362" s="595"/>
      <c r="AB362" s="354"/>
      <c r="AC362" s="595"/>
      <c r="AD362" s="595"/>
      <c r="AE362" s="584"/>
      <c r="AF362" s="595"/>
      <c r="AG362" s="354"/>
      <c r="AH362" s="443"/>
      <c r="AI362" s="595"/>
      <c r="AJ362" s="595"/>
      <c r="AK362" s="595"/>
      <c r="AL362" s="595"/>
      <c r="AM362" s="595"/>
      <c r="AN362" s="584"/>
      <c r="AO362" s="595"/>
      <c r="AP362" s="595"/>
      <c r="AQ362" s="595"/>
      <c r="AR362" s="595"/>
      <c r="AS362" s="595"/>
      <c r="AT362" s="595"/>
      <c r="AU362" s="595"/>
      <c r="AV362" s="595"/>
      <c r="AW362" s="595"/>
      <c r="AX362" s="595"/>
      <c r="AY362" s="595"/>
      <c r="AZ362" s="595"/>
      <c r="BA362" s="595"/>
      <c r="BB362" s="595"/>
      <c r="BC362" s="595"/>
      <c r="BD362" s="595"/>
      <c r="BE362" s="595"/>
      <c r="BF362" s="595"/>
      <c r="BG362" s="595"/>
      <c r="BH362" s="595"/>
      <c r="BI362" s="595"/>
      <c r="BJ362" s="651"/>
      <c r="BK362" s="651"/>
      <c r="BL362" s="651"/>
      <c r="BM362" s="651"/>
      <c r="BN362" s="651"/>
      <c r="BO362" s="651"/>
      <c r="BP362" s="651"/>
      <c r="BQ362" s="651"/>
      <c r="BR362" s="651"/>
      <c r="BS362" s="651"/>
      <c r="BT362" s="651"/>
    </row>
    <row r="363" ht="12.75" customHeight="1">
      <c r="A363" s="1074"/>
      <c r="B363" s="584"/>
      <c r="C363" s="584"/>
      <c r="D363" s="584"/>
      <c r="E363" s="585"/>
      <c r="F363" s="1075"/>
      <c r="G363" s="587"/>
      <c r="H363" s="586"/>
      <c r="I363" s="443"/>
      <c r="J363" s="443"/>
      <c r="K363" s="354"/>
      <c r="L363" s="588"/>
      <c r="M363" s="588"/>
      <c r="N363" s="589"/>
      <c r="O363" s="595"/>
      <c r="P363" s="392"/>
      <c r="Q363" s="807"/>
      <c r="R363" s="603"/>
      <c r="S363" s="354"/>
      <c r="T363" s="584"/>
      <c r="U363" s="595"/>
      <c r="V363" s="595"/>
      <c r="W363" s="595"/>
      <c r="X363" s="443"/>
      <c r="Y363" s="595"/>
      <c r="Z363" s="595"/>
      <c r="AA363" s="595"/>
      <c r="AB363" s="354"/>
      <c r="AC363" s="595"/>
      <c r="AD363" s="595"/>
      <c r="AE363" s="584"/>
      <c r="AF363" s="595"/>
      <c r="AG363" s="354"/>
      <c r="AH363" s="443"/>
      <c r="AI363" s="595"/>
      <c r="AJ363" s="595"/>
      <c r="AK363" s="595"/>
      <c r="AL363" s="595"/>
      <c r="AM363" s="595"/>
      <c r="AN363" s="584"/>
      <c r="AO363" s="595"/>
      <c r="AP363" s="595"/>
      <c r="AQ363" s="595"/>
      <c r="AR363" s="595"/>
      <c r="AS363" s="595"/>
      <c r="AT363" s="595"/>
      <c r="AU363" s="595"/>
      <c r="AV363" s="595"/>
      <c r="AW363" s="595"/>
      <c r="AX363" s="595"/>
      <c r="AY363" s="595"/>
      <c r="AZ363" s="595"/>
      <c r="BA363" s="595"/>
      <c r="BB363" s="595"/>
      <c r="BC363" s="595"/>
      <c r="BD363" s="595"/>
      <c r="BE363" s="595"/>
      <c r="BF363" s="595"/>
      <c r="BG363" s="595"/>
      <c r="BH363" s="595"/>
      <c r="BI363" s="595"/>
      <c r="BJ363" s="651"/>
      <c r="BK363" s="651"/>
      <c r="BL363" s="651"/>
      <c r="BM363" s="651"/>
      <c r="BN363" s="651"/>
      <c r="BO363" s="651"/>
      <c r="BP363" s="651"/>
      <c r="BQ363" s="651"/>
      <c r="BR363" s="651"/>
      <c r="BS363" s="651"/>
      <c r="BT363" s="651"/>
    </row>
    <row r="364" ht="12.75" customHeight="1">
      <c r="A364" s="1074"/>
      <c r="B364" s="584"/>
      <c r="C364" s="584"/>
      <c r="D364" s="584"/>
      <c r="E364" s="585"/>
      <c r="F364" s="1075"/>
      <c r="G364" s="587"/>
      <c r="H364" s="586"/>
      <c r="I364" s="443"/>
      <c r="J364" s="443"/>
      <c r="K364" s="354"/>
      <c r="L364" s="588"/>
      <c r="M364" s="588"/>
      <c r="N364" s="589"/>
      <c r="O364" s="595"/>
      <c r="P364" s="392"/>
      <c r="Q364" s="807"/>
      <c r="R364" s="603"/>
      <c r="S364" s="354"/>
      <c r="T364" s="584"/>
      <c r="U364" s="595"/>
      <c r="V364" s="595"/>
      <c r="W364" s="595"/>
      <c r="X364" s="443"/>
      <c r="Y364" s="595"/>
      <c r="Z364" s="595"/>
      <c r="AA364" s="595"/>
      <c r="AB364" s="354"/>
      <c r="AC364" s="595"/>
      <c r="AD364" s="595"/>
      <c r="AE364" s="584"/>
      <c r="AF364" s="595"/>
      <c r="AG364" s="354"/>
      <c r="AH364" s="443"/>
      <c r="AI364" s="595"/>
      <c r="AJ364" s="595"/>
      <c r="AK364" s="595"/>
      <c r="AL364" s="595"/>
      <c r="AM364" s="595"/>
      <c r="AN364" s="584"/>
      <c r="AO364" s="595"/>
      <c r="AP364" s="595"/>
      <c r="AQ364" s="595"/>
      <c r="AR364" s="595"/>
      <c r="AS364" s="595"/>
      <c r="AT364" s="595"/>
      <c r="AU364" s="595"/>
      <c r="AV364" s="595"/>
      <c r="AW364" s="595"/>
      <c r="AX364" s="595"/>
      <c r="AY364" s="595"/>
      <c r="AZ364" s="595"/>
      <c r="BA364" s="595"/>
      <c r="BB364" s="595"/>
      <c r="BC364" s="595"/>
      <c r="BD364" s="595"/>
      <c r="BE364" s="595"/>
      <c r="BF364" s="595"/>
      <c r="BG364" s="595"/>
      <c r="BH364" s="595"/>
      <c r="BI364" s="595"/>
      <c r="BJ364" s="651"/>
      <c r="BK364" s="651"/>
      <c r="BL364" s="651"/>
      <c r="BM364" s="651"/>
      <c r="BN364" s="651"/>
      <c r="BO364" s="651"/>
      <c r="BP364" s="651"/>
      <c r="BQ364" s="651"/>
      <c r="BR364" s="651"/>
      <c r="BS364" s="651"/>
      <c r="BT364" s="651"/>
    </row>
    <row r="365" ht="12.75" customHeight="1">
      <c r="A365" s="1074"/>
      <c r="B365" s="584"/>
      <c r="C365" s="584"/>
      <c r="D365" s="584"/>
      <c r="E365" s="585"/>
      <c r="F365" s="1075"/>
      <c r="G365" s="587"/>
      <c r="H365" s="586"/>
      <c r="I365" s="443"/>
      <c r="J365" s="443"/>
      <c r="K365" s="354"/>
      <c r="L365" s="588"/>
      <c r="M365" s="588"/>
      <c r="N365" s="589"/>
      <c r="O365" s="595"/>
      <c r="P365" s="392"/>
      <c r="Q365" s="807"/>
      <c r="R365" s="603"/>
      <c r="S365" s="354"/>
      <c r="T365" s="584"/>
      <c r="U365" s="595"/>
      <c r="V365" s="595"/>
      <c r="W365" s="595"/>
      <c r="X365" s="443"/>
      <c r="Y365" s="595"/>
      <c r="Z365" s="595"/>
      <c r="AA365" s="595"/>
      <c r="AB365" s="354"/>
      <c r="AC365" s="595"/>
      <c r="AD365" s="595"/>
      <c r="AE365" s="584"/>
      <c r="AF365" s="595"/>
      <c r="AG365" s="354"/>
      <c r="AH365" s="443"/>
      <c r="AI365" s="595"/>
      <c r="AJ365" s="595"/>
      <c r="AK365" s="595"/>
      <c r="AL365" s="595"/>
      <c r="AM365" s="595"/>
      <c r="AN365" s="584"/>
      <c r="AO365" s="595"/>
      <c r="AP365" s="595"/>
      <c r="AQ365" s="595"/>
      <c r="AR365" s="595"/>
      <c r="AS365" s="595"/>
      <c r="AT365" s="595"/>
      <c r="AU365" s="595"/>
      <c r="AV365" s="595"/>
      <c r="AW365" s="595"/>
      <c r="AX365" s="595"/>
      <c r="AY365" s="595"/>
      <c r="AZ365" s="595"/>
      <c r="BA365" s="595"/>
      <c r="BB365" s="595"/>
      <c r="BC365" s="595"/>
      <c r="BD365" s="595"/>
      <c r="BE365" s="595"/>
      <c r="BF365" s="595"/>
      <c r="BG365" s="595"/>
      <c r="BH365" s="595"/>
      <c r="BI365" s="595"/>
      <c r="BJ365" s="651"/>
      <c r="BK365" s="651"/>
      <c r="BL365" s="651"/>
      <c r="BM365" s="651"/>
      <c r="BN365" s="651"/>
      <c r="BO365" s="651"/>
      <c r="BP365" s="651"/>
      <c r="BQ365" s="651"/>
      <c r="BR365" s="651"/>
      <c r="BS365" s="651"/>
      <c r="BT365" s="651"/>
    </row>
    <row r="366" ht="12.75" customHeight="1">
      <c r="A366" s="1074"/>
      <c r="B366" s="584"/>
      <c r="C366" s="584"/>
      <c r="D366" s="584"/>
      <c r="E366" s="585"/>
      <c r="F366" s="1075"/>
      <c r="G366" s="587"/>
      <c r="H366" s="586"/>
      <c r="I366" s="443"/>
      <c r="J366" s="443"/>
      <c r="K366" s="354"/>
      <c r="L366" s="588"/>
      <c r="M366" s="588"/>
      <c r="N366" s="589"/>
      <c r="O366" s="595"/>
      <c r="P366" s="392"/>
      <c r="Q366" s="807"/>
      <c r="R366" s="603"/>
      <c r="S366" s="354"/>
      <c r="T366" s="584"/>
      <c r="U366" s="595"/>
      <c r="V366" s="595"/>
      <c r="W366" s="595"/>
      <c r="X366" s="443"/>
      <c r="Y366" s="595"/>
      <c r="Z366" s="595"/>
      <c r="AA366" s="595"/>
      <c r="AB366" s="354"/>
      <c r="AC366" s="595"/>
      <c r="AD366" s="595"/>
      <c r="AE366" s="584"/>
      <c r="AF366" s="595"/>
      <c r="AG366" s="354"/>
      <c r="AH366" s="443"/>
      <c r="AI366" s="595"/>
      <c r="AJ366" s="595"/>
      <c r="AK366" s="595"/>
      <c r="AL366" s="595"/>
      <c r="AM366" s="595"/>
      <c r="AN366" s="584"/>
      <c r="AO366" s="595"/>
      <c r="AP366" s="595"/>
      <c r="AQ366" s="595"/>
      <c r="AR366" s="595"/>
      <c r="AS366" s="595"/>
      <c r="AT366" s="595"/>
      <c r="AU366" s="595"/>
      <c r="AV366" s="595"/>
      <c r="AW366" s="595"/>
      <c r="AX366" s="595"/>
      <c r="AY366" s="595"/>
      <c r="AZ366" s="595"/>
      <c r="BA366" s="595"/>
      <c r="BB366" s="595"/>
      <c r="BC366" s="595"/>
      <c r="BD366" s="595"/>
      <c r="BE366" s="595"/>
      <c r="BF366" s="595"/>
      <c r="BG366" s="595"/>
      <c r="BH366" s="595"/>
      <c r="BI366" s="595"/>
      <c r="BJ366" s="651"/>
      <c r="BK366" s="651"/>
      <c r="BL366" s="651"/>
      <c r="BM366" s="651"/>
      <c r="BN366" s="651"/>
      <c r="BO366" s="651"/>
      <c r="BP366" s="651"/>
      <c r="BQ366" s="651"/>
      <c r="BR366" s="651"/>
      <c r="BS366" s="651"/>
      <c r="BT366" s="651"/>
    </row>
    <row r="367" ht="12.75" customHeight="1">
      <c r="A367" s="1074"/>
      <c r="B367" s="584"/>
      <c r="C367" s="584"/>
      <c r="D367" s="584"/>
      <c r="E367" s="585"/>
      <c r="F367" s="1075"/>
      <c r="G367" s="587"/>
      <c r="H367" s="586"/>
      <c r="I367" s="443"/>
      <c r="J367" s="443"/>
      <c r="K367" s="354"/>
      <c r="L367" s="588"/>
      <c r="M367" s="588"/>
      <c r="N367" s="589"/>
      <c r="O367" s="595"/>
      <c r="P367" s="392"/>
      <c r="Q367" s="807"/>
      <c r="R367" s="603"/>
      <c r="S367" s="354"/>
      <c r="T367" s="584"/>
      <c r="U367" s="595"/>
      <c r="V367" s="595"/>
      <c r="W367" s="595"/>
      <c r="X367" s="443"/>
      <c r="Y367" s="595"/>
      <c r="Z367" s="595"/>
      <c r="AA367" s="595"/>
      <c r="AB367" s="354"/>
      <c r="AC367" s="595"/>
      <c r="AD367" s="595"/>
      <c r="AE367" s="584"/>
      <c r="AF367" s="595"/>
      <c r="AG367" s="354"/>
      <c r="AH367" s="443"/>
      <c r="AI367" s="595"/>
      <c r="AJ367" s="595"/>
      <c r="AK367" s="595"/>
      <c r="AL367" s="595"/>
      <c r="AM367" s="595"/>
      <c r="AN367" s="584"/>
      <c r="AO367" s="595"/>
      <c r="AP367" s="595"/>
      <c r="AQ367" s="595"/>
      <c r="AR367" s="595"/>
      <c r="AS367" s="595"/>
      <c r="AT367" s="595"/>
      <c r="AU367" s="595"/>
      <c r="AV367" s="595"/>
      <c r="AW367" s="595"/>
      <c r="AX367" s="595"/>
      <c r="AY367" s="595"/>
      <c r="AZ367" s="595"/>
      <c r="BA367" s="595"/>
      <c r="BB367" s="595"/>
      <c r="BC367" s="595"/>
      <c r="BD367" s="595"/>
      <c r="BE367" s="595"/>
      <c r="BF367" s="595"/>
      <c r="BG367" s="595"/>
      <c r="BH367" s="595"/>
      <c r="BI367" s="595"/>
      <c r="BJ367" s="651"/>
      <c r="BK367" s="651"/>
      <c r="BL367" s="651"/>
      <c r="BM367" s="651"/>
      <c r="BN367" s="651"/>
      <c r="BO367" s="651"/>
      <c r="BP367" s="651"/>
      <c r="BQ367" s="651"/>
      <c r="BR367" s="651"/>
      <c r="BS367" s="651"/>
      <c r="BT367" s="651"/>
    </row>
    <row r="368" ht="12.75" customHeight="1">
      <c r="A368" s="1074"/>
      <c r="B368" s="584"/>
      <c r="C368" s="584"/>
      <c r="D368" s="584"/>
      <c r="E368" s="585"/>
      <c r="F368" s="1075"/>
      <c r="G368" s="587"/>
      <c r="H368" s="586"/>
      <c r="I368" s="443"/>
      <c r="J368" s="443"/>
      <c r="K368" s="354"/>
      <c r="L368" s="588"/>
      <c r="M368" s="588"/>
      <c r="N368" s="589"/>
      <c r="O368" s="595"/>
      <c r="P368" s="392"/>
      <c r="Q368" s="807"/>
      <c r="R368" s="603"/>
      <c r="S368" s="354"/>
      <c r="T368" s="584"/>
      <c r="U368" s="595"/>
      <c r="V368" s="595"/>
      <c r="W368" s="595"/>
      <c r="X368" s="443"/>
      <c r="Y368" s="595"/>
      <c r="Z368" s="595"/>
      <c r="AA368" s="595"/>
      <c r="AB368" s="354"/>
      <c r="AC368" s="595"/>
      <c r="AD368" s="595"/>
      <c r="AE368" s="584"/>
      <c r="AF368" s="595"/>
      <c r="AG368" s="354"/>
      <c r="AH368" s="443"/>
      <c r="AI368" s="595"/>
      <c r="AJ368" s="595"/>
      <c r="AK368" s="595"/>
      <c r="AL368" s="595"/>
      <c r="AM368" s="595"/>
      <c r="AN368" s="584"/>
      <c r="AO368" s="595"/>
      <c r="AP368" s="595"/>
      <c r="AQ368" s="595"/>
      <c r="AR368" s="595"/>
      <c r="AS368" s="595"/>
      <c r="AT368" s="595"/>
      <c r="AU368" s="595"/>
      <c r="AV368" s="595"/>
      <c r="AW368" s="595"/>
      <c r="AX368" s="595"/>
      <c r="AY368" s="595"/>
      <c r="AZ368" s="595"/>
      <c r="BA368" s="595"/>
      <c r="BB368" s="595"/>
      <c r="BC368" s="595"/>
      <c r="BD368" s="595"/>
      <c r="BE368" s="595"/>
      <c r="BF368" s="595"/>
      <c r="BG368" s="595"/>
      <c r="BH368" s="595"/>
      <c r="BI368" s="595"/>
      <c r="BJ368" s="651"/>
      <c r="BK368" s="651"/>
      <c r="BL368" s="651"/>
      <c r="BM368" s="651"/>
      <c r="BN368" s="651"/>
      <c r="BO368" s="651"/>
      <c r="BP368" s="651"/>
      <c r="BQ368" s="651"/>
      <c r="BR368" s="651"/>
      <c r="BS368" s="651"/>
      <c r="BT368" s="651"/>
    </row>
    <row r="369" ht="12.75" customHeight="1">
      <c r="A369" s="1074"/>
      <c r="B369" s="584"/>
      <c r="C369" s="584"/>
      <c r="D369" s="584"/>
      <c r="E369" s="585"/>
      <c r="F369" s="1075"/>
      <c r="G369" s="587"/>
      <c r="H369" s="586"/>
      <c r="I369" s="443"/>
      <c r="J369" s="443"/>
      <c r="K369" s="354"/>
      <c r="L369" s="588"/>
      <c r="M369" s="588"/>
      <c r="N369" s="589"/>
      <c r="O369" s="595"/>
      <c r="P369" s="392"/>
      <c r="Q369" s="807"/>
      <c r="R369" s="603"/>
      <c r="S369" s="354"/>
      <c r="T369" s="584"/>
      <c r="U369" s="595"/>
      <c r="V369" s="595"/>
      <c r="W369" s="595"/>
      <c r="X369" s="443"/>
      <c r="Y369" s="595"/>
      <c r="Z369" s="595"/>
      <c r="AA369" s="595"/>
      <c r="AB369" s="354"/>
      <c r="AC369" s="595"/>
      <c r="AD369" s="595"/>
      <c r="AE369" s="584"/>
      <c r="AF369" s="595"/>
      <c r="AG369" s="349"/>
      <c r="AH369" s="595"/>
      <c r="AI369" s="595"/>
      <c r="AJ369" s="595"/>
      <c r="AK369" s="595"/>
      <c r="AL369" s="595"/>
      <c r="AM369" s="584"/>
      <c r="AN369" s="595"/>
      <c r="AO369" s="595"/>
      <c r="AP369" s="595"/>
      <c r="AQ369" s="595"/>
      <c r="AR369" s="595"/>
      <c r="AS369" s="595"/>
      <c r="AT369" s="595"/>
      <c r="AU369" s="595"/>
      <c r="AV369" s="595"/>
      <c r="AW369" s="595"/>
      <c r="AX369" s="595"/>
      <c r="AY369" s="595"/>
      <c r="AZ369" s="595"/>
      <c r="BA369" s="595"/>
      <c r="BB369" s="595"/>
      <c r="BC369" s="595"/>
      <c r="BD369" s="595"/>
      <c r="BE369" s="595"/>
      <c r="BF369" s="595"/>
      <c r="BG369" s="595"/>
      <c r="BH369" s="595"/>
      <c r="BI369" s="595"/>
      <c r="BJ369" s="651"/>
      <c r="BK369" s="651"/>
      <c r="BL369" s="651"/>
      <c r="BM369" s="651"/>
      <c r="BN369" s="651"/>
      <c r="BO369" s="651"/>
      <c r="BP369" s="651"/>
      <c r="BQ369" s="651"/>
      <c r="BR369" s="651"/>
      <c r="BS369" s="651"/>
      <c r="BT369" s="651"/>
    </row>
    <row r="370" ht="12.75" customHeight="1">
      <c r="A370" s="1074"/>
      <c r="B370" s="584"/>
      <c r="C370" s="584"/>
      <c r="D370" s="584"/>
      <c r="E370" s="585"/>
      <c r="F370" s="1075"/>
      <c r="G370" s="587"/>
      <c r="H370" s="586"/>
      <c r="I370" s="443"/>
      <c r="J370" s="443"/>
      <c r="K370" s="354"/>
      <c r="L370" s="588"/>
      <c r="M370" s="588"/>
      <c r="N370" s="589"/>
      <c r="O370" s="595"/>
      <c r="P370" s="392"/>
      <c r="Q370" s="807"/>
      <c r="R370" s="603"/>
      <c r="S370" s="354"/>
      <c r="T370" s="584"/>
      <c r="U370" s="595"/>
      <c r="V370" s="595"/>
      <c r="W370" s="595"/>
      <c r="X370" s="443"/>
      <c r="Y370" s="595"/>
      <c r="Z370" s="595"/>
      <c r="AA370" s="595"/>
      <c r="AB370" s="354"/>
      <c r="AC370" s="595"/>
      <c r="AD370" s="595"/>
      <c r="AE370" s="584"/>
      <c r="AF370" s="595"/>
      <c r="AG370" s="349"/>
      <c r="AH370" s="595"/>
      <c r="AI370" s="595"/>
      <c r="AJ370" s="595"/>
      <c r="AK370" s="595"/>
      <c r="AL370" s="595"/>
      <c r="AM370" s="584"/>
      <c r="AN370" s="595"/>
      <c r="AO370" s="595"/>
      <c r="AP370" s="595"/>
      <c r="AQ370" s="584"/>
      <c r="AR370" s="584"/>
      <c r="AS370" s="584"/>
      <c r="AT370" s="584"/>
      <c r="AU370" s="584"/>
      <c r="AV370" s="584"/>
      <c r="AW370" s="584"/>
      <c r="AX370" s="584"/>
      <c r="AY370" s="584"/>
      <c r="AZ370" s="584"/>
      <c r="BA370" s="584"/>
      <c r="BB370" s="595"/>
      <c r="BC370" s="595"/>
      <c r="BD370" s="595"/>
      <c r="BE370" s="595"/>
      <c r="BF370" s="595"/>
      <c r="BG370" s="595"/>
      <c r="BH370" s="595"/>
      <c r="BI370" s="595"/>
      <c r="BJ370" s="651"/>
      <c r="BK370" s="651"/>
      <c r="BL370" s="651"/>
      <c r="BM370" s="651"/>
      <c r="BN370" s="651"/>
      <c r="BO370" s="651"/>
      <c r="BP370" s="651"/>
      <c r="BQ370" s="651"/>
      <c r="BR370" s="651"/>
      <c r="BS370" s="651"/>
      <c r="BT370" s="651"/>
    </row>
    <row r="371" ht="12.75" customHeight="1">
      <c r="A371" s="1074"/>
      <c r="B371" s="584"/>
      <c r="C371" s="584"/>
      <c r="D371" s="584"/>
      <c r="E371" s="585"/>
      <c r="F371" s="1075"/>
      <c r="G371" s="587"/>
      <c r="H371" s="586"/>
      <c r="I371" s="443"/>
      <c r="J371" s="443"/>
      <c r="K371" s="354"/>
      <c r="L371" s="588"/>
      <c r="M371" s="588"/>
      <c r="N371" s="589"/>
      <c r="O371" s="595"/>
      <c r="P371" s="392"/>
      <c r="Q371" s="807"/>
      <c r="R371" s="603"/>
      <c r="S371" s="354"/>
      <c r="T371" s="584"/>
      <c r="U371" s="595"/>
      <c r="V371" s="595"/>
      <c r="W371" s="595"/>
      <c r="X371" s="443"/>
      <c r="Y371" s="595"/>
      <c r="Z371" s="595"/>
      <c r="AA371" s="595"/>
      <c r="AB371" s="354"/>
      <c r="AC371" s="595"/>
      <c r="AD371" s="595"/>
      <c r="AE371" s="584"/>
      <c r="AF371" s="595"/>
      <c r="AG371" s="349"/>
      <c r="AH371" s="595"/>
      <c r="AI371" s="595"/>
      <c r="AJ371" s="595"/>
      <c r="AK371" s="595"/>
      <c r="AL371" s="595"/>
      <c r="AM371" s="584"/>
      <c r="AN371" s="595"/>
      <c r="AO371" s="595"/>
      <c r="AP371" s="595"/>
      <c r="AQ371" s="584"/>
      <c r="AR371" s="584"/>
      <c r="AS371" s="584"/>
      <c r="AT371" s="584"/>
      <c r="AU371" s="584"/>
      <c r="AV371" s="584"/>
      <c r="AW371" s="584"/>
      <c r="AX371" s="584"/>
      <c r="AY371" s="584"/>
      <c r="AZ371" s="584"/>
      <c r="BA371" s="584"/>
      <c r="BB371" s="595"/>
      <c r="BC371" s="595"/>
      <c r="BD371" s="595"/>
      <c r="BE371" s="595"/>
      <c r="BF371" s="595"/>
      <c r="BG371" s="595"/>
      <c r="BH371" s="595"/>
      <c r="BI371" s="595"/>
      <c r="BJ371" s="651"/>
      <c r="BK371" s="651"/>
      <c r="BL371" s="651"/>
      <c r="BM371" s="651"/>
      <c r="BN371" s="651"/>
      <c r="BO371" s="651"/>
      <c r="BP371" s="651"/>
      <c r="BQ371" s="651"/>
      <c r="BR371" s="651"/>
      <c r="BS371" s="651"/>
      <c r="BT371" s="651"/>
    </row>
    <row r="372" ht="12.75" customHeight="1">
      <c r="A372" s="1074"/>
      <c r="B372" s="584"/>
      <c r="C372" s="584"/>
      <c r="D372" s="584"/>
      <c r="E372" s="585"/>
      <c r="F372" s="1075"/>
      <c r="G372" s="587"/>
      <c r="H372" s="586"/>
      <c r="I372" s="443"/>
      <c r="J372" s="443"/>
      <c r="K372" s="354"/>
      <c r="L372" s="588"/>
      <c r="M372" s="588"/>
      <c r="N372" s="589"/>
      <c r="O372" s="595"/>
      <c r="P372" s="392"/>
      <c r="Q372" s="807"/>
      <c r="R372" s="603"/>
      <c r="S372" s="354"/>
      <c r="T372" s="584"/>
      <c r="U372" s="595"/>
      <c r="V372" s="595"/>
      <c r="W372" s="595"/>
      <c r="X372" s="443"/>
      <c r="Y372" s="595"/>
      <c r="Z372" s="595"/>
      <c r="AA372" s="595"/>
      <c r="AB372" s="354"/>
      <c r="AC372" s="595"/>
      <c r="AD372" s="584"/>
      <c r="AE372" s="595"/>
      <c r="AF372" s="595"/>
      <c r="AG372" s="349"/>
      <c r="AH372" s="595"/>
      <c r="AI372" s="595"/>
      <c r="AJ372" s="595"/>
      <c r="AK372" s="595"/>
      <c r="AL372" s="595"/>
      <c r="AM372" s="584"/>
      <c r="AN372" s="595"/>
      <c r="AO372" s="595"/>
      <c r="AP372" s="595"/>
      <c r="AQ372" s="597"/>
      <c r="AR372" s="597"/>
      <c r="AS372" s="597"/>
      <c r="AT372" s="597"/>
      <c r="AU372" s="597"/>
      <c r="AV372" s="597"/>
      <c r="AW372" s="597"/>
      <c r="AX372" s="597"/>
      <c r="AY372" s="597"/>
      <c r="AZ372" s="597"/>
      <c r="BA372" s="597"/>
      <c r="BB372" s="595"/>
      <c r="BC372" s="595"/>
      <c r="BD372" s="595"/>
      <c r="BE372" s="595"/>
      <c r="BF372" s="595"/>
      <c r="BG372" s="595"/>
      <c r="BH372" s="595"/>
      <c r="BI372" s="595"/>
      <c r="BJ372" s="651"/>
      <c r="BK372" s="651"/>
      <c r="BL372" s="651"/>
      <c r="BM372" s="651"/>
      <c r="BN372" s="651"/>
      <c r="BO372" s="651"/>
      <c r="BP372" s="651"/>
      <c r="BQ372" s="651"/>
      <c r="BR372" s="651"/>
      <c r="BS372" s="651"/>
      <c r="BT372" s="651"/>
    </row>
    <row r="373" ht="12.75" customHeight="1">
      <c r="A373" s="1074"/>
      <c r="B373" s="584"/>
      <c r="C373" s="584"/>
      <c r="D373" s="584"/>
      <c r="E373" s="585"/>
      <c r="F373" s="1075"/>
      <c r="G373" s="587"/>
      <c r="H373" s="586"/>
      <c r="I373" s="443"/>
      <c r="J373" s="443"/>
      <c r="K373" s="354"/>
      <c r="L373" s="588"/>
      <c r="M373" s="588"/>
      <c r="N373" s="589"/>
      <c r="O373" s="595"/>
      <c r="P373" s="392"/>
      <c r="Q373" s="807"/>
      <c r="R373" s="603"/>
      <c r="S373" s="354"/>
      <c r="T373" s="584"/>
      <c r="U373" s="595"/>
      <c r="V373" s="595"/>
      <c r="W373" s="595"/>
      <c r="X373" s="443"/>
      <c r="Y373" s="595"/>
      <c r="Z373" s="595"/>
      <c r="AA373" s="595"/>
      <c r="AB373" s="354"/>
      <c r="AC373" s="595"/>
      <c r="AD373" s="584"/>
      <c r="AE373" s="595"/>
      <c r="AF373" s="595"/>
      <c r="AG373" s="349"/>
      <c r="AH373" s="595"/>
      <c r="AI373" s="595"/>
      <c r="AJ373" s="595"/>
      <c r="AK373" s="595"/>
      <c r="AL373" s="595"/>
      <c r="AM373" s="584"/>
      <c r="AN373" s="595"/>
      <c r="AO373" s="595"/>
      <c r="AP373" s="595"/>
      <c r="AQ373" s="597"/>
      <c r="AR373" s="597"/>
      <c r="AS373" s="597"/>
      <c r="AT373" s="597"/>
      <c r="AU373" s="597"/>
      <c r="AV373" s="597"/>
      <c r="AW373" s="597"/>
      <c r="AX373" s="597"/>
      <c r="AY373" s="597"/>
      <c r="AZ373" s="597"/>
      <c r="BA373" s="597"/>
      <c r="BB373" s="595"/>
      <c r="BC373" s="595"/>
      <c r="BD373" s="595"/>
      <c r="BE373" s="595"/>
      <c r="BF373" s="595"/>
      <c r="BG373" s="595"/>
      <c r="BH373" s="595"/>
      <c r="BI373" s="595"/>
      <c r="BJ373" s="651"/>
      <c r="BK373" s="651"/>
      <c r="BL373" s="651"/>
      <c r="BM373" s="651"/>
      <c r="BN373" s="651"/>
      <c r="BO373" s="651"/>
      <c r="BP373" s="651"/>
      <c r="BQ373" s="651"/>
      <c r="BR373" s="651"/>
      <c r="BS373" s="651"/>
      <c r="BT373" s="651"/>
    </row>
    <row r="374" ht="12.75" customHeight="1">
      <c r="A374" s="1074"/>
      <c r="B374" s="584"/>
      <c r="C374" s="584"/>
      <c r="D374" s="584"/>
      <c r="E374" s="585"/>
      <c r="F374" s="1075"/>
      <c r="G374" s="587"/>
      <c r="H374" s="586"/>
      <c r="I374" s="443"/>
      <c r="J374" s="443"/>
      <c r="K374" s="354"/>
      <c r="L374" s="588"/>
      <c r="M374" s="588"/>
      <c r="N374" s="589"/>
      <c r="O374" s="595"/>
      <c r="P374" s="392"/>
      <c r="Q374" s="807"/>
      <c r="R374" s="603"/>
      <c r="S374" s="354"/>
      <c r="T374" s="584"/>
      <c r="U374" s="595"/>
      <c r="V374" s="595"/>
      <c r="W374" s="595"/>
      <c r="X374" s="443"/>
      <c r="Y374" s="595"/>
      <c r="Z374" s="595"/>
      <c r="AA374" s="595"/>
      <c r="AB374" s="354"/>
      <c r="AC374" s="595"/>
      <c r="AD374" s="584"/>
      <c r="AE374" s="595"/>
      <c r="AF374" s="595"/>
      <c r="AG374" s="349"/>
      <c r="AH374" s="595"/>
      <c r="AI374" s="595"/>
      <c r="AJ374" s="595"/>
      <c r="AK374" s="595"/>
      <c r="AL374" s="595"/>
      <c r="AM374" s="584"/>
      <c r="AN374" s="595"/>
      <c r="AO374" s="595"/>
      <c r="AP374" s="595"/>
      <c r="AQ374" s="597"/>
      <c r="AR374" s="597"/>
      <c r="AS374" s="597"/>
      <c r="AT374" s="597"/>
      <c r="AU374" s="597"/>
      <c r="AV374" s="597"/>
      <c r="AW374" s="597"/>
      <c r="AX374" s="597"/>
      <c r="AY374" s="597"/>
      <c r="AZ374" s="597"/>
      <c r="BA374" s="597"/>
      <c r="BB374" s="595"/>
      <c r="BC374" s="595"/>
      <c r="BD374" s="595"/>
      <c r="BE374" s="595"/>
      <c r="BF374" s="595"/>
      <c r="BG374" s="595"/>
      <c r="BH374" s="595"/>
      <c r="BI374" s="595"/>
      <c r="BJ374" s="651"/>
      <c r="BK374" s="651"/>
      <c r="BL374" s="651"/>
      <c r="BM374" s="651"/>
      <c r="BN374" s="651"/>
      <c r="BO374" s="651"/>
      <c r="BP374" s="651"/>
      <c r="BQ374" s="651"/>
      <c r="BR374" s="651"/>
      <c r="BS374" s="651"/>
      <c r="BT374" s="651"/>
    </row>
    <row r="375" ht="12.75" customHeight="1">
      <c r="A375" s="1074"/>
      <c r="B375" s="584"/>
      <c r="C375" s="584"/>
      <c r="D375" s="584"/>
      <c r="E375" s="585"/>
      <c r="F375" s="1075"/>
      <c r="G375" s="587"/>
      <c r="H375" s="586"/>
      <c r="I375" s="443"/>
      <c r="J375" s="443"/>
      <c r="K375" s="354"/>
      <c r="L375" s="588"/>
      <c r="M375" s="588"/>
      <c r="N375" s="589"/>
      <c r="O375" s="595"/>
      <c r="P375" s="392"/>
      <c r="Q375" s="807"/>
      <c r="R375" s="603"/>
      <c r="S375" s="354"/>
      <c r="T375" s="584"/>
      <c r="U375" s="595"/>
      <c r="V375" s="595"/>
      <c r="W375" s="595"/>
      <c r="X375" s="443"/>
      <c r="Y375" s="595"/>
      <c r="Z375" s="595"/>
      <c r="AA375" s="595"/>
      <c r="AB375" s="354"/>
      <c r="AC375" s="595"/>
      <c r="AD375" s="584"/>
      <c r="AE375" s="595"/>
      <c r="AF375" s="595"/>
      <c r="AG375" s="349"/>
      <c r="AH375" s="595"/>
      <c r="AI375" s="595"/>
      <c r="AJ375" s="595"/>
      <c r="AK375" s="595"/>
      <c r="AL375" s="595"/>
      <c r="AM375" s="584"/>
      <c r="AN375" s="595"/>
      <c r="AO375" s="595"/>
      <c r="AP375" s="595"/>
      <c r="AQ375" s="597"/>
      <c r="AR375" s="597"/>
      <c r="AS375" s="597"/>
      <c r="AT375" s="597"/>
      <c r="AU375" s="597"/>
      <c r="AV375" s="597"/>
      <c r="AW375" s="597"/>
      <c r="AX375" s="597"/>
      <c r="AY375" s="597"/>
      <c r="AZ375" s="597"/>
      <c r="BA375" s="597"/>
      <c r="BB375" s="595"/>
      <c r="BC375" s="595"/>
      <c r="BD375" s="595"/>
      <c r="BE375" s="595"/>
      <c r="BF375" s="595"/>
      <c r="BG375" s="595"/>
      <c r="BH375" s="595"/>
      <c r="BI375" s="595"/>
      <c r="BJ375" s="651"/>
      <c r="BK375" s="651"/>
      <c r="BL375" s="651"/>
      <c r="BM375" s="651"/>
      <c r="BN375" s="651"/>
      <c r="BO375" s="651"/>
      <c r="BP375" s="651"/>
      <c r="BQ375" s="651"/>
      <c r="BR375" s="651"/>
      <c r="BS375" s="651"/>
      <c r="BT375" s="651"/>
    </row>
    <row r="376" ht="12.75" customHeight="1">
      <c r="A376" s="1074"/>
      <c r="B376" s="584"/>
      <c r="C376" s="584"/>
      <c r="D376" s="584"/>
      <c r="E376" s="585"/>
      <c r="F376" s="1075"/>
      <c r="G376" s="587"/>
      <c r="H376" s="586"/>
      <c r="I376" s="443"/>
      <c r="J376" s="443"/>
      <c r="K376" s="354"/>
      <c r="L376" s="588"/>
      <c r="M376" s="588"/>
      <c r="N376" s="589"/>
      <c r="O376" s="595"/>
      <c r="P376" s="392"/>
      <c r="Q376" s="807"/>
      <c r="R376" s="603"/>
      <c r="S376" s="354"/>
      <c r="T376" s="584"/>
      <c r="U376" s="595"/>
      <c r="V376" s="595"/>
      <c r="W376" s="595"/>
      <c r="X376" s="443"/>
      <c r="Y376" s="595"/>
      <c r="Z376" s="595"/>
      <c r="AA376" s="595"/>
      <c r="AB376" s="354"/>
      <c r="AC376" s="595"/>
      <c r="AD376" s="584"/>
      <c r="AE376" s="595"/>
      <c r="AF376" s="595"/>
      <c r="AG376" s="349"/>
      <c r="AH376" s="595"/>
      <c r="AI376" s="595"/>
      <c r="AJ376" s="595"/>
      <c r="AK376" s="595"/>
      <c r="AL376" s="595"/>
      <c r="AM376" s="584"/>
      <c r="AN376" s="595"/>
      <c r="AO376" s="595"/>
      <c r="AP376" s="595"/>
      <c r="AQ376" s="597"/>
      <c r="AR376" s="597"/>
      <c r="AS376" s="597"/>
      <c r="AT376" s="597"/>
      <c r="AU376" s="597"/>
      <c r="AV376" s="597"/>
      <c r="AW376" s="597"/>
      <c r="AX376" s="597"/>
      <c r="AY376" s="597"/>
      <c r="AZ376" s="597"/>
      <c r="BA376" s="597"/>
      <c r="BB376" s="595"/>
      <c r="BC376" s="595"/>
      <c r="BD376" s="595"/>
      <c r="BE376" s="595"/>
      <c r="BF376" s="595"/>
      <c r="BG376" s="595"/>
      <c r="BH376" s="595"/>
      <c r="BI376" s="595"/>
      <c r="BJ376" s="651"/>
      <c r="BK376" s="651"/>
      <c r="BL376" s="651"/>
      <c r="BM376" s="651"/>
      <c r="BN376" s="651"/>
      <c r="BO376" s="651"/>
      <c r="BP376" s="651"/>
      <c r="BQ376" s="651"/>
      <c r="BR376" s="651"/>
      <c r="BS376" s="651"/>
      <c r="BT376" s="651"/>
    </row>
    <row r="377" ht="12.75" customHeight="1">
      <c r="A377" s="1074"/>
      <c r="B377" s="584"/>
      <c r="C377" s="584"/>
      <c r="D377" s="584"/>
      <c r="E377" s="585"/>
      <c r="F377" s="1075"/>
      <c r="G377" s="587"/>
      <c r="H377" s="586"/>
      <c r="I377" s="443"/>
      <c r="J377" s="443"/>
      <c r="K377" s="354"/>
      <c r="L377" s="588"/>
      <c r="M377" s="588"/>
      <c r="N377" s="589"/>
      <c r="O377" s="595"/>
      <c r="P377" s="392"/>
      <c r="Q377" s="807"/>
      <c r="R377" s="603"/>
      <c r="S377" s="354"/>
      <c r="T377" s="584"/>
      <c r="U377" s="595"/>
      <c r="V377" s="595"/>
      <c r="W377" s="595"/>
      <c r="X377" s="443"/>
      <c r="Y377" s="595"/>
      <c r="Z377" s="595"/>
      <c r="AA377" s="595"/>
      <c r="AB377" s="354"/>
      <c r="AC377" s="595"/>
      <c r="AD377" s="584"/>
      <c r="AE377" s="595"/>
      <c r="AF377" s="595"/>
      <c r="AG377" s="349"/>
      <c r="AH377" s="595"/>
      <c r="AI377" s="595"/>
      <c r="AJ377" s="595"/>
      <c r="AK377" s="595"/>
      <c r="AL377" s="595"/>
      <c r="AM377" s="584"/>
      <c r="AN377" s="595"/>
      <c r="AO377" s="595"/>
      <c r="AP377" s="584"/>
      <c r="AQ377" s="597"/>
      <c r="AR377" s="597"/>
      <c r="AS377" s="597"/>
      <c r="AT377" s="597"/>
      <c r="AU377" s="597"/>
      <c r="AV377" s="597"/>
      <c r="AW377" s="597"/>
      <c r="AX377" s="597"/>
      <c r="AY377" s="597"/>
      <c r="AZ377" s="597"/>
      <c r="BA377" s="597"/>
      <c r="BB377" s="595"/>
      <c r="BC377" s="595"/>
      <c r="BD377" s="595"/>
      <c r="BE377" s="595"/>
      <c r="BF377" s="595"/>
      <c r="BG377" s="595"/>
      <c r="BH377" s="595"/>
      <c r="BI377" s="595"/>
      <c r="BJ377" s="651"/>
      <c r="BK377" s="651"/>
      <c r="BL377" s="651"/>
      <c r="BM377" s="651"/>
      <c r="BN377" s="651"/>
      <c r="BO377" s="651"/>
      <c r="BP377" s="651"/>
      <c r="BQ377" s="651"/>
      <c r="BR377" s="651"/>
      <c r="BS377" s="651"/>
      <c r="BT377" s="651"/>
    </row>
    <row r="378" ht="12.75" customHeight="1">
      <c r="A378" s="1074"/>
      <c r="B378" s="584"/>
      <c r="C378" s="584"/>
      <c r="D378" s="584"/>
      <c r="E378" s="585"/>
      <c r="F378" s="1075"/>
      <c r="G378" s="587"/>
      <c r="H378" s="586"/>
      <c r="I378" s="443"/>
      <c r="J378" s="443"/>
      <c r="K378" s="354"/>
      <c r="L378" s="588"/>
      <c r="M378" s="588"/>
      <c r="N378" s="589"/>
      <c r="O378" s="595"/>
      <c r="P378" s="392"/>
      <c r="Q378" s="807"/>
      <c r="R378" s="603"/>
      <c r="S378" s="354"/>
      <c r="T378" s="584"/>
      <c r="U378" s="595"/>
      <c r="V378" s="595"/>
      <c r="W378" s="595"/>
      <c r="X378" s="443"/>
      <c r="Y378" s="595"/>
      <c r="Z378" s="595"/>
      <c r="AA378" s="595"/>
      <c r="AB378" s="354"/>
      <c r="AC378" s="595"/>
      <c r="AD378" s="584"/>
      <c r="AE378" s="595"/>
      <c r="AF378" s="595"/>
      <c r="AG378" s="349"/>
      <c r="AH378" s="595"/>
      <c r="AI378" s="595"/>
      <c r="AJ378" s="595"/>
      <c r="AK378" s="595"/>
      <c r="AL378" s="595"/>
      <c r="AM378" s="584"/>
      <c r="AN378" s="595"/>
      <c r="AO378" s="595"/>
      <c r="AP378" s="584"/>
      <c r="AQ378" s="597"/>
      <c r="AR378" s="597"/>
      <c r="AS378" s="597"/>
      <c r="AT378" s="597"/>
      <c r="AU378" s="597"/>
      <c r="AV378" s="597"/>
      <c r="AW378" s="597"/>
      <c r="AX378" s="597"/>
      <c r="AY378" s="597"/>
      <c r="AZ378" s="597"/>
      <c r="BA378" s="597"/>
      <c r="BB378" s="595"/>
      <c r="BC378" s="595"/>
      <c r="BD378" s="595"/>
      <c r="BE378" s="595"/>
      <c r="BF378" s="595"/>
      <c r="BG378" s="595"/>
      <c r="BH378" s="595"/>
      <c r="BI378" s="595"/>
      <c r="BJ378" s="651"/>
      <c r="BK378" s="651"/>
      <c r="BL378" s="651"/>
      <c r="BM378" s="651"/>
      <c r="BN378" s="651"/>
      <c r="BO378" s="651"/>
      <c r="BP378" s="651"/>
      <c r="BQ378" s="651"/>
      <c r="BR378" s="651"/>
      <c r="BS378" s="651"/>
      <c r="BT378" s="651"/>
    </row>
    <row r="379" ht="12.75" customHeight="1">
      <c r="A379" s="1074"/>
      <c r="B379" s="584"/>
      <c r="C379" s="584"/>
      <c r="D379" s="584"/>
      <c r="E379" s="585"/>
      <c r="F379" s="1075"/>
      <c r="G379" s="587"/>
      <c r="H379" s="586"/>
      <c r="I379" s="443"/>
      <c r="J379" s="443"/>
      <c r="K379" s="354"/>
      <c r="L379" s="588"/>
      <c r="M379" s="588"/>
      <c r="N379" s="589"/>
      <c r="O379" s="595"/>
      <c r="P379" s="392"/>
      <c r="Q379" s="807"/>
      <c r="R379" s="603"/>
      <c r="S379" s="354"/>
      <c r="T379" s="584"/>
      <c r="U379" s="595"/>
      <c r="V379" s="595"/>
      <c r="W379" s="595"/>
      <c r="X379" s="443"/>
      <c r="Y379" s="595"/>
      <c r="Z379" s="595"/>
      <c r="AA379" s="595"/>
      <c r="AB379" s="354"/>
      <c r="AC379" s="595"/>
      <c r="AD379" s="584"/>
      <c r="AE379" s="595"/>
      <c r="AF379" s="595"/>
      <c r="AG379" s="349"/>
      <c r="AH379" s="595"/>
      <c r="AI379" s="595"/>
      <c r="AJ379" s="595"/>
      <c r="AK379" s="595"/>
      <c r="AL379" s="595"/>
      <c r="AM379" s="584"/>
      <c r="AN379" s="595"/>
      <c r="AO379" s="595"/>
      <c r="AP379" s="584"/>
      <c r="AQ379" s="597"/>
      <c r="AR379" s="597"/>
      <c r="AS379" s="597"/>
      <c r="AT379" s="597"/>
      <c r="AU379" s="597"/>
      <c r="AV379" s="597"/>
      <c r="AW379" s="597"/>
      <c r="AX379" s="597"/>
      <c r="AY379" s="597"/>
      <c r="AZ379" s="597"/>
      <c r="BA379" s="597"/>
      <c r="BB379" s="595"/>
      <c r="BC379" s="595"/>
      <c r="BD379" s="595"/>
      <c r="BE379" s="595"/>
      <c r="BF379" s="595"/>
      <c r="BG379" s="595"/>
      <c r="BH379" s="595"/>
      <c r="BI379" s="595"/>
      <c r="BJ379" s="651"/>
      <c r="BK379" s="651"/>
      <c r="BL379" s="651"/>
      <c r="BM379" s="651"/>
      <c r="BN379" s="651"/>
      <c r="BO379" s="651"/>
      <c r="BP379" s="651"/>
      <c r="BQ379" s="651"/>
      <c r="BR379" s="651"/>
      <c r="BS379" s="651"/>
      <c r="BT379" s="651"/>
    </row>
    <row r="380" ht="12.75" customHeight="1">
      <c r="A380" s="1074"/>
      <c r="B380" s="584"/>
      <c r="C380" s="584"/>
      <c r="D380" s="584"/>
      <c r="E380" s="585"/>
      <c r="F380" s="1075"/>
      <c r="G380" s="587"/>
      <c r="H380" s="586"/>
      <c r="I380" s="443"/>
      <c r="J380" s="443"/>
      <c r="K380" s="354"/>
      <c r="L380" s="588"/>
      <c r="M380" s="588"/>
      <c r="N380" s="589"/>
      <c r="O380" s="595"/>
      <c r="P380" s="392"/>
      <c r="Q380" s="807"/>
      <c r="R380" s="603"/>
      <c r="S380" s="354"/>
      <c r="T380" s="584"/>
      <c r="U380" s="595"/>
      <c r="V380" s="595"/>
      <c r="W380" s="595"/>
      <c r="X380" s="443"/>
      <c r="Y380" s="595"/>
      <c r="Z380" s="595"/>
      <c r="AA380" s="595"/>
      <c r="AB380" s="354"/>
      <c r="AC380" s="595"/>
      <c r="AD380" s="584"/>
      <c r="AE380" s="595"/>
      <c r="AF380" s="595"/>
      <c r="AG380" s="349"/>
      <c r="AH380" s="595"/>
      <c r="AI380" s="595"/>
      <c r="AJ380" s="595"/>
      <c r="AK380" s="595"/>
      <c r="AL380" s="595"/>
      <c r="AM380" s="584"/>
      <c r="AN380" s="595"/>
      <c r="AO380" s="595"/>
      <c r="AP380" s="584"/>
      <c r="AQ380" s="597"/>
      <c r="AR380" s="597"/>
      <c r="AS380" s="597"/>
      <c r="AT380" s="597"/>
      <c r="AU380" s="597"/>
      <c r="AV380" s="597"/>
      <c r="AW380" s="597"/>
      <c r="AX380" s="597"/>
      <c r="AY380" s="597"/>
      <c r="AZ380" s="597"/>
      <c r="BA380" s="597"/>
      <c r="BB380" s="584"/>
      <c r="BC380" s="584"/>
      <c r="BD380" s="584"/>
      <c r="BE380" s="584"/>
      <c r="BF380" s="584"/>
      <c r="BG380" s="584"/>
      <c r="BH380" s="584"/>
      <c r="BI380" s="584"/>
      <c r="BJ380" s="597"/>
      <c r="BK380" s="597"/>
      <c r="BL380" s="597"/>
      <c r="BM380" s="597"/>
      <c r="BN380" s="597"/>
      <c r="BO380" s="597"/>
      <c r="BP380" s="597"/>
      <c r="BQ380" s="597"/>
      <c r="BR380" s="597"/>
      <c r="BS380" s="597"/>
      <c r="BT380" s="597"/>
    </row>
    <row r="381" ht="12.75" customHeight="1">
      <c r="A381" s="1074"/>
      <c r="B381" s="584"/>
      <c r="C381" s="584"/>
      <c r="D381" s="584"/>
      <c r="E381" s="585"/>
      <c r="F381" s="1075"/>
      <c r="G381" s="587"/>
      <c r="H381" s="586"/>
      <c r="I381" s="443"/>
      <c r="J381" s="443"/>
      <c r="K381" s="354"/>
      <c r="L381" s="588"/>
      <c r="M381" s="588"/>
      <c r="N381" s="589"/>
      <c r="O381" s="595"/>
      <c r="P381" s="392"/>
      <c r="Q381" s="807"/>
      <c r="R381" s="603"/>
      <c r="S381" s="354"/>
      <c r="T381" s="584"/>
      <c r="U381" s="595"/>
      <c r="V381" s="595"/>
      <c r="W381" s="595"/>
      <c r="X381" s="443"/>
      <c r="Y381" s="595"/>
      <c r="Z381" s="595"/>
      <c r="AA381" s="595"/>
      <c r="AB381" s="354"/>
      <c r="AC381" s="595"/>
      <c r="AD381" s="584"/>
      <c r="AE381" s="595"/>
      <c r="AF381" s="595"/>
      <c r="AG381" s="349"/>
      <c r="AH381" s="595"/>
      <c r="AI381" s="595"/>
      <c r="AJ381" s="595"/>
      <c r="AK381" s="595"/>
      <c r="AL381" s="595"/>
      <c r="AM381" s="584"/>
      <c r="AN381" s="595"/>
      <c r="AO381" s="595"/>
      <c r="AP381" s="584"/>
      <c r="AQ381" s="597"/>
      <c r="AR381" s="597"/>
      <c r="AS381" s="597"/>
      <c r="AT381" s="597"/>
      <c r="AU381" s="597"/>
      <c r="AV381" s="597"/>
      <c r="AW381" s="597"/>
      <c r="AX381" s="597"/>
      <c r="AY381" s="597"/>
      <c r="AZ381" s="597"/>
      <c r="BA381" s="597"/>
      <c r="BB381" s="584"/>
      <c r="BC381" s="584"/>
      <c r="BD381" s="584"/>
      <c r="BE381" s="584"/>
      <c r="BF381" s="584"/>
      <c r="BG381" s="584"/>
      <c r="BH381" s="584"/>
      <c r="BI381" s="584"/>
      <c r="BJ381" s="597"/>
      <c r="BK381" s="597"/>
      <c r="BL381" s="597"/>
      <c r="BM381" s="597"/>
      <c r="BN381" s="597"/>
      <c r="BO381" s="597"/>
      <c r="BP381" s="597"/>
      <c r="BQ381" s="597"/>
      <c r="BR381" s="597"/>
      <c r="BS381" s="597"/>
      <c r="BT381" s="597"/>
    </row>
    <row r="382" ht="12.75" customHeight="1">
      <c r="A382" s="1074"/>
      <c r="B382" s="584"/>
      <c r="C382" s="584"/>
      <c r="D382" s="584"/>
      <c r="E382" s="585"/>
      <c r="F382" s="1075"/>
      <c r="G382" s="587"/>
      <c r="H382" s="586"/>
      <c r="I382" s="443"/>
      <c r="J382" s="443"/>
      <c r="K382" s="354"/>
      <c r="L382" s="588"/>
      <c r="M382" s="588"/>
      <c r="N382" s="589"/>
      <c r="O382" s="595"/>
      <c r="P382" s="392"/>
      <c r="Q382" s="807"/>
      <c r="R382" s="603"/>
      <c r="S382" s="354"/>
      <c r="T382" s="584"/>
      <c r="U382" s="595"/>
      <c r="V382" s="595"/>
      <c r="W382" s="595"/>
      <c r="X382" s="443"/>
      <c r="Y382" s="595"/>
      <c r="Z382" s="595"/>
      <c r="AA382" s="595"/>
      <c r="AB382" s="354"/>
      <c r="AC382" s="595"/>
      <c r="AD382" s="584"/>
      <c r="AE382" s="595"/>
      <c r="AF382" s="595"/>
      <c r="AG382" s="349"/>
      <c r="AH382" s="595"/>
      <c r="AI382" s="595"/>
      <c r="AJ382" s="595"/>
      <c r="AK382" s="595"/>
      <c r="AL382" s="595"/>
      <c r="AM382" s="584"/>
      <c r="AN382" s="595"/>
      <c r="AO382" s="595"/>
      <c r="AP382" s="584"/>
      <c r="AQ382" s="597"/>
      <c r="AR382" s="597"/>
      <c r="AS382" s="597"/>
      <c r="AT382" s="597"/>
      <c r="AU382" s="597"/>
      <c r="AV382" s="597"/>
      <c r="AW382" s="597"/>
      <c r="AX382" s="597"/>
      <c r="AY382" s="597"/>
      <c r="AZ382" s="597"/>
      <c r="BA382" s="597"/>
      <c r="BB382" s="584"/>
      <c r="BC382" s="584"/>
      <c r="BD382" s="584"/>
      <c r="BE382" s="584"/>
      <c r="BF382" s="584"/>
      <c r="BG382" s="584"/>
      <c r="BH382" s="584"/>
      <c r="BI382" s="584"/>
      <c r="BJ382" s="597"/>
      <c r="BK382" s="597"/>
      <c r="BL382" s="597"/>
      <c r="BM382" s="597"/>
      <c r="BN382" s="597"/>
      <c r="BO382" s="597"/>
      <c r="BP382" s="597"/>
      <c r="BQ382" s="597"/>
      <c r="BR382" s="597"/>
      <c r="BS382" s="597"/>
      <c r="BT382" s="597"/>
    </row>
    <row r="383" ht="12.75" customHeight="1">
      <c r="A383" s="1074"/>
      <c r="B383" s="584"/>
      <c r="C383" s="584"/>
      <c r="D383" s="584"/>
      <c r="E383" s="585"/>
      <c r="F383" s="1075"/>
      <c r="G383" s="587"/>
      <c r="H383" s="586"/>
      <c r="I383" s="443"/>
      <c r="J383" s="443"/>
      <c r="K383" s="354"/>
      <c r="L383" s="588"/>
      <c r="M383" s="588"/>
      <c r="N383" s="589"/>
      <c r="O383" s="595"/>
      <c r="P383" s="392"/>
      <c r="Q383" s="807"/>
      <c r="R383" s="603"/>
      <c r="S383" s="354"/>
      <c r="T383" s="584"/>
      <c r="U383" s="595"/>
      <c r="V383" s="595"/>
      <c r="W383" s="595"/>
      <c r="X383" s="443"/>
      <c r="Y383" s="595"/>
      <c r="Z383" s="595"/>
      <c r="AA383" s="595"/>
      <c r="AB383" s="354"/>
      <c r="AC383" s="595"/>
      <c r="AD383" s="584"/>
      <c r="AE383" s="595"/>
      <c r="AF383" s="595"/>
      <c r="AG383" s="349"/>
      <c r="AH383" s="595"/>
      <c r="AI383" s="595"/>
      <c r="AJ383" s="595"/>
      <c r="AK383" s="595"/>
      <c r="AL383" s="595"/>
      <c r="AM383" s="584"/>
      <c r="AN383" s="595"/>
      <c r="AO383" s="595"/>
      <c r="AP383" s="584"/>
      <c r="AQ383" s="597"/>
      <c r="AR383" s="597"/>
      <c r="AS383" s="597"/>
      <c r="AT383" s="597"/>
      <c r="AU383" s="597"/>
      <c r="AV383" s="597"/>
      <c r="AW383" s="597"/>
      <c r="AX383" s="597"/>
      <c r="AY383" s="597"/>
      <c r="AZ383" s="597"/>
      <c r="BA383" s="597"/>
      <c r="BB383" s="584"/>
      <c r="BC383" s="584"/>
      <c r="BD383" s="584"/>
      <c r="BE383" s="584"/>
      <c r="BF383" s="584"/>
      <c r="BG383" s="584"/>
      <c r="BH383" s="584"/>
      <c r="BI383" s="584"/>
      <c r="BJ383" s="597"/>
      <c r="BK383" s="597"/>
      <c r="BL383" s="597"/>
      <c r="BM383" s="597"/>
      <c r="BN383" s="597"/>
      <c r="BO383" s="597"/>
      <c r="BP383" s="597"/>
      <c r="BQ383" s="597"/>
      <c r="BR383" s="597"/>
      <c r="BS383" s="597"/>
      <c r="BT383" s="597"/>
    </row>
    <row r="384" ht="12.75" customHeight="1">
      <c r="A384" s="1074"/>
      <c r="B384" s="584"/>
      <c r="C384" s="584"/>
      <c r="D384" s="584"/>
      <c r="E384" s="585"/>
      <c r="F384" s="1075"/>
      <c r="G384" s="587"/>
      <c r="H384" s="586"/>
      <c r="I384" s="443"/>
      <c r="J384" s="443"/>
      <c r="K384" s="354"/>
      <c r="L384" s="588"/>
      <c r="M384" s="588"/>
      <c r="N384" s="589"/>
      <c r="O384" s="595"/>
      <c r="P384" s="392"/>
      <c r="Q384" s="807"/>
      <c r="R384" s="603"/>
      <c r="S384" s="354"/>
      <c r="T384" s="584"/>
      <c r="U384" s="595"/>
      <c r="V384" s="595"/>
      <c r="W384" s="595"/>
      <c r="X384" s="443"/>
      <c r="Y384" s="595"/>
      <c r="Z384" s="595"/>
      <c r="AA384" s="595"/>
      <c r="AB384" s="354"/>
      <c r="AC384" s="595"/>
      <c r="AD384" s="584"/>
      <c r="AE384" s="595"/>
      <c r="AF384" s="595"/>
      <c r="AG384" s="349"/>
      <c r="AH384" s="595"/>
      <c r="AI384" s="595"/>
      <c r="AJ384" s="595"/>
      <c r="AK384" s="595"/>
      <c r="AL384" s="595"/>
      <c r="AM384" s="584"/>
      <c r="AN384" s="595"/>
      <c r="AO384" s="595"/>
      <c r="AP384" s="584"/>
      <c r="AQ384" s="597"/>
      <c r="AR384" s="597"/>
      <c r="AS384" s="597"/>
      <c r="AT384" s="597"/>
      <c r="AU384" s="597"/>
      <c r="AV384" s="597"/>
      <c r="AW384" s="597"/>
      <c r="AX384" s="597"/>
      <c r="AY384" s="597"/>
      <c r="AZ384" s="597"/>
      <c r="BA384" s="597"/>
      <c r="BB384" s="584"/>
      <c r="BC384" s="584"/>
      <c r="BD384" s="584"/>
      <c r="BE384" s="584"/>
      <c r="BF384" s="584"/>
      <c r="BG384" s="584"/>
      <c r="BH384" s="584"/>
      <c r="BI384" s="584"/>
      <c r="BJ384" s="597"/>
      <c r="BK384" s="597"/>
      <c r="BL384" s="597"/>
      <c r="BM384" s="597"/>
      <c r="BN384" s="597"/>
      <c r="BO384" s="597"/>
      <c r="BP384" s="597"/>
      <c r="BQ384" s="597"/>
      <c r="BR384" s="597"/>
      <c r="BS384" s="597"/>
      <c r="BT384" s="597"/>
    </row>
    <row r="385" ht="12.75" customHeight="1">
      <c r="A385" s="1074"/>
      <c r="B385" s="584"/>
      <c r="C385" s="584"/>
      <c r="D385" s="584"/>
      <c r="E385" s="585"/>
      <c r="F385" s="1075"/>
      <c r="G385" s="587"/>
      <c r="H385" s="586"/>
      <c r="I385" s="443"/>
      <c r="J385" s="443"/>
      <c r="K385" s="354"/>
      <c r="L385" s="588"/>
      <c r="M385" s="588"/>
      <c r="N385" s="589"/>
      <c r="O385" s="595"/>
      <c r="P385" s="392"/>
      <c r="Q385" s="807"/>
      <c r="R385" s="603"/>
      <c r="S385" s="354"/>
      <c r="T385" s="584"/>
      <c r="U385" s="595"/>
      <c r="V385" s="595"/>
      <c r="W385" s="595"/>
      <c r="X385" s="443"/>
      <c r="Y385" s="595"/>
      <c r="Z385" s="595"/>
      <c r="AA385" s="595"/>
      <c r="AB385" s="354"/>
      <c r="AC385" s="595"/>
      <c r="AD385" s="584"/>
      <c r="AE385" s="595"/>
      <c r="AF385" s="595"/>
      <c r="AG385" s="349"/>
      <c r="AH385" s="595"/>
      <c r="AI385" s="595"/>
      <c r="AJ385" s="595"/>
      <c r="AK385" s="595"/>
      <c r="AL385" s="595"/>
      <c r="AM385" s="584"/>
      <c r="AN385" s="595"/>
      <c r="AO385" s="595"/>
      <c r="AP385" s="584"/>
      <c r="AQ385" s="597"/>
      <c r="AR385" s="597"/>
      <c r="AS385" s="597"/>
      <c r="AT385" s="597"/>
      <c r="AU385" s="597"/>
      <c r="AV385" s="597"/>
      <c r="AW385" s="597"/>
      <c r="AX385" s="597"/>
      <c r="AY385" s="597"/>
      <c r="AZ385" s="597"/>
      <c r="BA385" s="597"/>
      <c r="BB385" s="584"/>
      <c r="BC385" s="584"/>
      <c r="BD385" s="584"/>
      <c r="BE385" s="584"/>
      <c r="BF385" s="584"/>
      <c r="BG385" s="584"/>
      <c r="BH385" s="584"/>
      <c r="BI385" s="584"/>
      <c r="BJ385" s="597"/>
      <c r="BK385" s="597"/>
      <c r="BL385" s="597"/>
      <c r="BM385" s="597"/>
      <c r="BN385" s="597"/>
      <c r="BO385" s="597"/>
      <c r="BP385" s="597"/>
      <c r="BQ385" s="597"/>
      <c r="BR385" s="597"/>
      <c r="BS385" s="597"/>
      <c r="BT385" s="597"/>
    </row>
    <row r="386" ht="12.75" customHeight="1">
      <c r="A386" s="1074"/>
      <c r="B386" s="584"/>
      <c r="C386" s="584"/>
      <c r="D386" s="584"/>
      <c r="E386" s="585"/>
      <c r="F386" s="1075"/>
      <c r="G386" s="587"/>
      <c r="H386" s="586"/>
      <c r="I386" s="443"/>
      <c r="J386" s="443"/>
      <c r="K386" s="354"/>
      <c r="L386" s="588"/>
      <c r="M386" s="588"/>
      <c r="N386" s="589"/>
      <c r="O386" s="595"/>
      <c r="P386" s="392"/>
      <c r="Q386" s="807"/>
      <c r="R386" s="603"/>
      <c r="S386" s="354"/>
      <c r="T386" s="584"/>
      <c r="U386" s="595"/>
      <c r="V386" s="595"/>
      <c r="W386" s="595"/>
      <c r="X386" s="443"/>
      <c r="Y386" s="595"/>
      <c r="Z386" s="595"/>
      <c r="AA386" s="595"/>
      <c r="AB386" s="354"/>
      <c r="AC386" s="595"/>
      <c r="AD386" s="584"/>
      <c r="AE386" s="595"/>
      <c r="AF386" s="595"/>
      <c r="AG386" s="349"/>
      <c r="AH386" s="595"/>
      <c r="AI386" s="595"/>
      <c r="AJ386" s="595"/>
      <c r="AK386" s="595"/>
      <c r="AL386" s="595"/>
      <c r="AM386" s="584"/>
      <c r="AN386" s="595"/>
      <c r="AO386" s="595"/>
      <c r="AP386" s="584"/>
      <c r="AQ386" s="597"/>
      <c r="AR386" s="597"/>
      <c r="AS386" s="597"/>
      <c r="AT386" s="597"/>
      <c r="AU386" s="597"/>
      <c r="AV386" s="597"/>
      <c r="AW386" s="597"/>
      <c r="AX386" s="597"/>
      <c r="AY386" s="597"/>
      <c r="AZ386" s="597"/>
      <c r="BA386" s="597"/>
      <c r="BB386" s="584"/>
      <c r="BC386" s="584"/>
      <c r="BD386" s="584"/>
      <c r="BE386" s="584"/>
      <c r="BF386" s="584"/>
      <c r="BG386" s="584"/>
      <c r="BH386" s="584"/>
      <c r="BI386" s="584"/>
      <c r="BJ386" s="597"/>
      <c r="BK386" s="597"/>
      <c r="BL386" s="597"/>
      <c r="BM386" s="597"/>
      <c r="BN386" s="597"/>
      <c r="BO386" s="597"/>
      <c r="BP386" s="597"/>
      <c r="BQ386" s="597"/>
      <c r="BR386" s="597"/>
      <c r="BS386" s="597"/>
      <c r="BT386" s="597"/>
    </row>
    <row r="387" ht="12.75" customHeight="1">
      <c r="A387" s="1074"/>
      <c r="B387" s="584"/>
      <c r="C387" s="584"/>
      <c r="D387" s="584"/>
      <c r="E387" s="585"/>
      <c r="F387" s="1075"/>
      <c r="G387" s="587"/>
      <c r="H387" s="586"/>
      <c r="I387" s="443"/>
      <c r="J387" s="443"/>
      <c r="K387" s="354"/>
      <c r="L387" s="588"/>
      <c r="M387" s="588"/>
      <c r="N387" s="589"/>
      <c r="O387" s="595"/>
      <c r="P387" s="392"/>
      <c r="Q387" s="807"/>
      <c r="R387" s="603"/>
      <c r="S387" s="354"/>
      <c r="T387" s="584"/>
      <c r="U387" s="595"/>
      <c r="V387" s="595"/>
      <c r="W387" s="595"/>
      <c r="X387" s="443"/>
      <c r="Y387" s="595"/>
      <c r="Z387" s="595"/>
      <c r="AA387" s="595"/>
      <c r="AB387" s="354"/>
      <c r="AC387" s="595"/>
      <c r="AD387" s="584"/>
      <c r="AE387" s="595"/>
      <c r="AF387" s="595"/>
      <c r="AG387" s="349"/>
      <c r="AH387" s="595"/>
      <c r="AI387" s="595"/>
      <c r="AJ387" s="595"/>
      <c r="AK387" s="595"/>
      <c r="AL387" s="595"/>
      <c r="AM387" s="584"/>
      <c r="AN387" s="595"/>
      <c r="AO387" s="595"/>
      <c r="AP387" s="584"/>
      <c r="AQ387" s="597"/>
      <c r="AR387" s="597"/>
      <c r="AS387" s="597"/>
      <c r="AT387" s="597"/>
      <c r="AU387" s="597"/>
      <c r="AV387" s="597"/>
      <c r="AW387" s="597"/>
      <c r="AX387" s="597"/>
      <c r="AY387" s="597"/>
      <c r="AZ387" s="597"/>
      <c r="BA387" s="597"/>
      <c r="BB387" s="584"/>
      <c r="BC387" s="584"/>
      <c r="BD387" s="584"/>
      <c r="BE387" s="584"/>
      <c r="BF387" s="584"/>
      <c r="BG387" s="584"/>
      <c r="BH387" s="584"/>
      <c r="BI387" s="584"/>
      <c r="BJ387" s="597"/>
      <c r="BK387" s="597"/>
      <c r="BL387" s="597"/>
      <c r="BM387" s="597"/>
      <c r="BN387" s="597"/>
      <c r="BO387" s="597"/>
      <c r="BP387" s="597"/>
      <c r="BQ387" s="597"/>
      <c r="BR387" s="597"/>
      <c r="BS387" s="597"/>
      <c r="BT387" s="597"/>
    </row>
    <row r="388" ht="12.75" customHeight="1">
      <c r="A388" s="1074"/>
      <c r="B388" s="584"/>
      <c r="C388" s="584"/>
      <c r="D388" s="584"/>
      <c r="E388" s="585"/>
      <c r="F388" s="1075"/>
      <c r="G388" s="587"/>
      <c r="H388" s="586"/>
      <c r="I388" s="443"/>
      <c r="J388" s="443"/>
      <c r="K388" s="354"/>
      <c r="L388" s="588"/>
      <c r="M388" s="588"/>
      <c r="N388" s="589"/>
      <c r="O388" s="595"/>
      <c r="P388" s="392"/>
      <c r="Q388" s="807"/>
      <c r="R388" s="603"/>
      <c r="S388" s="354"/>
      <c r="T388" s="584"/>
      <c r="U388" s="595"/>
      <c r="V388" s="595"/>
      <c r="W388" s="595"/>
      <c r="X388" s="443"/>
      <c r="Y388" s="595"/>
      <c r="Z388" s="595"/>
      <c r="AA388" s="595"/>
      <c r="AB388" s="354"/>
      <c r="AC388" s="595"/>
      <c r="AD388" s="584"/>
      <c r="AE388" s="595"/>
      <c r="AF388" s="595"/>
      <c r="AG388" s="349"/>
      <c r="AH388" s="595"/>
      <c r="AI388" s="595"/>
      <c r="AJ388" s="595"/>
      <c r="AK388" s="595"/>
      <c r="AL388" s="595"/>
      <c r="AM388" s="584"/>
      <c r="AN388" s="595"/>
      <c r="AO388" s="595"/>
      <c r="AP388" s="584"/>
      <c r="AQ388" s="597"/>
      <c r="AR388" s="597"/>
      <c r="AS388" s="597"/>
      <c r="AT388" s="597"/>
      <c r="AU388" s="597"/>
      <c r="AV388" s="597"/>
      <c r="AW388" s="597"/>
      <c r="AX388" s="597"/>
      <c r="AY388" s="597"/>
      <c r="AZ388" s="597"/>
      <c r="BA388" s="597"/>
      <c r="BB388" s="584"/>
      <c r="BC388" s="584"/>
      <c r="BD388" s="584"/>
      <c r="BE388" s="584"/>
      <c r="BF388" s="584"/>
      <c r="BG388" s="584"/>
      <c r="BH388" s="584"/>
      <c r="BI388" s="584"/>
      <c r="BJ388" s="597"/>
      <c r="BK388" s="597"/>
      <c r="BL388" s="597"/>
      <c r="BM388" s="597"/>
      <c r="BN388" s="597"/>
      <c r="BO388" s="597"/>
      <c r="BP388" s="597"/>
      <c r="BQ388" s="597"/>
      <c r="BR388" s="597"/>
      <c r="BS388" s="597"/>
      <c r="BT388" s="597"/>
    </row>
    <row r="389" ht="12.75" customHeight="1">
      <c r="A389" s="1074"/>
      <c r="B389" s="584"/>
      <c r="C389" s="584"/>
      <c r="D389" s="584"/>
      <c r="E389" s="585"/>
      <c r="F389" s="1075"/>
      <c r="G389" s="587"/>
      <c r="H389" s="586"/>
      <c r="I389" s="443"/>
      <c r="J389" s="443"/>
      <c r="K389" s="354"/>
      <c r="L389" s="588"/>
      <c r="M389" s="588"/>
      <c r="N389" s="589"/>
      <c r="O389" s="595"/>
      <c r="P389" s="392"/>
      <c r="Q389" s="807"/>
      <c r="R389" s="603"/>
      <c r="S389" s="354"/>
      <c r="T389" s="584"/>
      <c r="U389" s="595"/>
      <c r="V389" s="595"/>
      <c r="W389" s="595"/>
      <c r="X389" s="443"/>
      <c r="Y389" s="595"/>
      <c r="Z389" s="595"/>
      <c r="AA389" s="595"/>
      <c r="AB389" s="354"/>
      <c r="AC389" s="595"/>
      <c r="AD389" s="584"/>
      <c r="AE389" s="595"/>
      <c r="AF389" s="595"/>
      <c r="AG389" s="349"/>
      <c r="AH389" s="595"/>
      <c r="AI389" s="595"/>
      <c r="AJ389" s="595"/>
      <c r="AK389" s="595"/>
      <c r="AL389" s="595"/>
      <c r="AM389" s="584"/>
      <c r="AN389" s="595"/>
      <c r="AO389" s="595"/>
      <c r="AP389" s="584"/>
      <c r="AQ389" s="597"/>
      <c r="AR389" s="597"/>
      <c r="AS389" s="597"/>
      <c r="AT389" s="597"/>
      <c r="AU389" s="597"/>
      <c r="AV389" s="597"/>
      <c r="AW389" s="597"/>
      <c r="AX389" s="597"/>
      <c r="AY389" s="597"/>
      <c r="AZ389" s="597"/>
      <c r="BA389" s="597"/>
      <c r="BB389" s="584"/>
      <c r="BC389" s="584"/>
      <c r="BD389" s="584"/>
      <c r="BE389" s="584"/>
      <c r="BF389" s="584"/>
      <c r="BG389" s="584"/>
      <c r="BH389" s="584"/>
      <c r="BI389" s="584"/>
      <c r="BJ389" s="597"/>
      <c r="BK389" s="597"/>
      <c r="BL389" s="597"/>
      <c r="BM389" s="597"/>
      <c r="BN389" s="597"/>
      <c r="BO389" s="597"/>
      <c r="BP389" s="597"/>
      <c r="BQ389" s="597"/>
      <c r="BR389" s="597"/>
      <c r="BS389" s="597"/>
      <c r="BT389" s="597"/>
    </row>
    <row r="390" ht="12.75" customHeight="1">
      <c r="A390" s="1074"/>
      <c r="B390" s="584"/>
      <c r="C390" s="584"/>
      <c r="D390" s="584"/>
      <c r="E390" s="585"/>
      <c r="F390" s="1075"/>
      <c r="G390" s="587"/>
      <c r="H390" s="586"/>
      <c r="I390" s="443"/>
      <c r="J390" s="443"/>
      <c r="K390" s="354"/>
      <c r="L390" s="588"/>
      <c r="M390" s="588"/>
      <c r="N390" s="589"/>
      <c r="O390" s="595"/>
      <c r="P390" s="392"/>
      <c r="Q390" s="807"/>
      <c r="R390" s="603"/>
      <c r="S390" s="354"/>
      <c r="T390" s="584"/>
      <c r="U390" s="595"/>
      <c r="V390" s="595"/>
      <c r="W390" s="595"/>
      <c r="X390" s="443"/>
      <c r="Y390" s="595"/>
      <c r="Z390" s="595"/>
      <c r="AA390" s="595"/>
      <c r="AB390" s="354"/>
      <c r="AC390" s="595"/>
      <c r="AD390" s="584"/>
      <c r="AE390" s="595"/>
      <c r="AF390" s="595"/>
      <c r="AG390" s="349"/>
      <c r="AH390" s="595"/>
      <c r="AI390" s="595"/>
      <c r="AJ390" s="595"/>
      <c r="AK390" s="595"/>
      <c r="AL390" s="595"/>
      <c r="AM390" s="584"/>
      <c r="AN390" s="595"/>
      <c r="AO390" s="595"/>
      <c r="AP390" s="584"/>
      <c r="AQ390" s="597"/>
      <c r="AR390" s="597"/>
      <c r="AS390" s="597"/>
      <c r="AT390" s="597"/>
      <c r="AU390" s="597"/>
      <c r="AV390" s="597"/>
      <c r="AW390" s="597"/>
      <c r="AX390" s="597"/>
      <c r="AY390" s="597"/>
      <c r="AZ390" s="597"/>
      <c r="BA390" s="597"/>
      <c r="BB390" s="584"/>
      <c r="BC390" s="584"/>
      <c r="BD390" s="584"/>
      <c r="BE390" s="584"/>
      <c r="BF390" s="584"/>
      <c r="BG390" s="584"/>
      <c r="BH390" s="584"/>
      <c r="BI390" s="584"/>
      <c r="BJ390" s="597"/>
      <c r="BK390" s="597"/>
      <c r="BL390" s="597"/>
      <c r="BM390" s="597"/>
      <c r="BN390" s="597"/>
      <c r="BO390" s="597"/>
      <c r="BP390" s="597"/>
      <c r="BQ390" s="597"/>
      <c r="BR390" s="597"/>
      <c r="BS390" s="597"/>
      <c r="BT390" s="597"/>
    </row>
    <row r="391" ht="12.75" customHeight="1">
      <c r="A391" s="1074"/>
      <c r="B391" s="584"/>
      <c r="C391" s="584"/>
      <c r="D391" s="584"/>
      <c r="E391" s="585"/>
      <c r="F391" s="1075"/>
      <c r="G391" s="587"/>
      <c r="H391" s="586"/>
      <c r="I391" s="443"/>
      <c r="J391" s="443"/>
      <c r="K391" s="354"/>
      <c r="L391" s="588"/>
      <c r="M391" s="588"/>
      <c r="N391" s="589"/>
      <c r="O391" s="595"/>
      <c r="P391" s="392"/>
      <c r="Q391" s="807"/>
      <c r="R391" s="603"/>
      <c r="S391" s="354"/>
      <c r="T391" s="584"/>
      <c r="U391" s="595"/>
      <c r="V391" s="595"/>
      <c r="W391" s="595"/>
      <c r="X391" s="443"/>
      <c r="Y391" s="595"/>
      <c r="Z391" s="595"/>
      <c r="AA391" s="595"/>
      <c r="AB391" s="354"/>
      <c r="AC391" s="595"/>
      <c r="AD391" s="584"/>
      <c r="AE391" s="595"/>
      <c r="AF391" s="595"/>
      <c r="AG391" s="349"/>
      <c r="AH391" s="595"/>
      <c r="AI391" s="595"/>
      <c r="AJ391" s="595"/>
      <c r="AK391" s="595"/>
      <c r="AL391" s="595"/>
      <c r="AM391" s="584"/>
      <c r="AN391" s="595"/>
      <c r="AO391" s="595"/>
      <c r="AP391" s="584"/>
      <c r="AQ391" s="597"/>
      <c r="AR391" s="597"/>
      <c r="AS391" s="597"/>
      <c r="AT391" s="597"/>
      <c r="AU391" s="597"/>
      <c r="AV391" s="597"/>
      <c r="AW391" s="597"/>
      <c r="AX391" s="597"/>
      <c r="AY391" s="597"/>
      <c r="AZ391" s="597"/>
      <c r="BA391" s="597"/>
      <c r="BB391" s="584"/>
      <c r="BC391" s="584"/>
      <c r="BD391" s="584"/>
      <c r="BE391" s="584"/>
      <c r="BF391" s="584"/>
      <c r="BG391" s="584"/>
      <c r="BH391" s="584"/>
      <c r="BI391" s="584"/>
      <c r="BJ391" s="597"/>
      <c r="BK391" s="597"/>
      <c r="BL391" s="597"/>
      <c r="BM391" s="597"/>
      <c r="BN391" s="597"/>
      <c r="BO391" s="597"/>
      <c r="BP391" s="597"/>
      <c r="BQ391" s="597"/>
      <c r="BR391" s="597"/>
      <c r="BS391" s="597"/>
      <c r="BT391" s="597"/>
    </row>
    <row r="392" ht="12.75" customHeight="1">
      <c r="A392" s="1074"/>
      <c r="B392" s="584"/>
      <c r="C392" s="584"/>
      <c r="D392" s="584"/>
      <c r="E392" s="585"/>
      <c r="F392" s="1075"/>
      <c r="G392" s="587"/>
      <c r="H392" s="586"/>
      <c r="I392" s="443"/>
      <c r="J392" s="443"/>
      <c r="K392" s="354"/>
      <c r="L392" s="588"/>
      <c r="M392" s="588"/>
      <c r="N392" s="589"/>
      <c r="O392" s="595"/>
      <c r="P392" s="392"/>
      <c r="Q392" s="807"/>
      <c r="R392" s="603"/>
      <c r="S392" s="354"/>
      <c r="T392" s="584"/>
      <c r="U392" s="595"/>
      <c r="V392" s="595"/>
      <c r="W392" s="595"/>
      <c r="X392" s="443"/>
      <c r="Y392" s="595"/>
      <c r="Z392" s="595"/>
      <c r="AA392" s="595"/>
      <c r="AB392" s="354"/>
      <c r="AC392" s="595"/>
      <c r="AD392" s="584"/>
      <c r="AE392" s="595"/>
      <c r="AF392" s="1066"/>
      <c r="AG392" s="1067"/>
      <c r="AH392" s="1066"/>
      <c r="AI392" s="1066"/>
      <c r="AJ392" s="1066"/>
      <c r="AK392" s="1066"/>
      <c r="AL392" s="1066"/>
      <c r="AM392" s="1066"/>
      <c r="AN392" s="595"/>
      <c r="AO392" s="595"/>
      <c r="AP392" s="595"/>
      <c r="AQ392" s="597"/>
      <c r="AR392" s="597"/>
      <c r="AS392" s="597"/>
      <c r="AT392" s="597"/>
      <c r="AU392" s="597"/>
      <c r="AV392" s="597"/>
      <c r="AW392" s="597"/>
      <c r="AX392" s="597"/>
      <c r="AY392" s="597"/>
      <c r="AZ392" s="597"/>
      <c r="BA392" s="597"/>
      <c r="BB392" s="584"/>
      <c r="BC392" s="584"/>
      <c r="BD392" s="584"/>
      <c r="BE392" s="584"/>
      <c r="BF392" s="584"/>
      <c r="BG392" s="584"/>
      <c r="BH392" s="584"/>
      <c r="BI392" s="584"/>
      <c r="BJ392" s="597"/>
      <c r="BK392" s="597"/>
      <c r="BL392" s="597"/>
      <c r="BM392" s="597"/>
      <c r="BN392" s="597"/>
      <c r="BO392" s="597"/>
      <c r="BP392" s="597"/>
      <c r="BQ392" s="597"/>
      <c r="BR392" s="597"/>
      <c r="BS392" s="597"/>
      <c r="BT392" s="597"/>
    </row>
    <row r="393" ht="12.75" customHeight="1">
      <c r="A393" s="1074"/>
      <c r="B393" s="584"/>
      <c r="C393" s="584"/>
      <c r="D393" s="584"/>
      <c r="E393" s="585"/>
      <c r="F393" s="1075"/>
      <c r="G393" s="587"/>
      <c r="H393" s="586"/>
      <c r="I393" s="443"/>
      <c r="J393" s="443"/>
      <c r="K393" s="354"/>
      <c r="L393" s="588"/>
      <c r="M393" s="588"/>
      <c r="N393" s="589"/>
      <c r="O393" s="595"/>
      <c r="P393" s="392"/>
      <c r="Q393" s="807"/>
      <c r="R393" s="603"/>
      <c r="S393" s="354"/>
      <c r="T393" s="584"/>
      <c r="U393" s="595"/>
      <c r="V393" s="595"/>
      <c r="W393" s="595"/>
      <c r="X393" s="443"/>
      <c r="Y393" s="595"/>
      <c r="Z393" s="595"/>
      <c r="AA393" s="595"/>
      <c r="AB393" s="354"/>
      <c r="AC393" s="595"/>
      <c r="AD393" s="584"/>
      <c r="AE393" s="595"/>
      <c r="AF393" s="1066"/>
      <c r="AG393" s="1067"/>
      <c r="AH393" s="1066"/>
      <c r="AI393" s="1066"/>
      <c r="AJ393" s="1066"/>
      <c r="AK393" s="1066"/>
      <c r="AL393" s="1066"/>
      <c r="AM393" s="1066"/>
      <c r="AN393" s="595"/>
      <c r="AO393" s="595"/>
      <c r="AP393" s="595"/>
      <c r="AQ393" s="597"/>
      <c r="AR393" s="597"/>
      <c r="AS393" s="597"/>
      <c r="AT393" s="597"/>
      <c r="AU393" s="597"/>
      <c r="AV393" s="597"/>
      <c r="AW393" s="597"/>
      <c r="AX393" s="597"/>
      <c r="AY393" s="597"/>
      <c r="AZ393" s="597"/>
      <c r="BA393" s="597"/>
      <c r="BB393" s="584"/>
      <c r="BC393" s="584"/>
      <c r="BD393" s="584"/>
      <c r="BE393" s="584"/>
      <c r="BF393" s="584"/>
      <c r="BG393" s="584"/>
      <c r="BH393" s="584"/>
      <c r="BI393" s="584"/>
      <c r="BJ393" s="597"/>
      <c r="BK393" s="597"/>
      <c r="BL393" s="597"/>
      <c r="BM393" s="597"/>
      <c r="BN393" s="597"/>
      <c r="BO393" s="597"/>
      <c r="BP393" s="597"/>
      <c r="BQ393" s="597"/>
      <c r="BR393" s="597"/>
      <c r="BS393" s="597"/>
      <c r="BT393" s="597"/>
    </row>
    <row r="394" ht="12.75" customHeight="1">
      <c r="A394" s="1074"/>
      <c r="B394" s="584"/>
      <c r="C394" s="584"/>
      <c r="D394" s="584"/>
      <c r="E394" s="585"/>
      <c r="F394" s="1075"/>
      <c r="G394" s="587"/>
      <c r="H394" s="586"/>
      <c r="I394" s="443"/>
      <c r="J394" s="443"/>
      <c r="K394" s="354"/>
      <c r="L394" s="588"/>
      <c r="M394" s="588"/>
      <c r="N394" s="589"/>
      <c r="O394" s="595"/>
      <c r="P394" s="392"/>
      <c r="Q394" s="807"/>
      <c r="R394" s="603"/>
      <c r="S394" s="354"/>
      <c r="T394" s="584"/>
      <c r="U394" s="595"/>
      <c r="V394" s="595"/>
      <c r="W394" s="595"/>
      <c r="X394" s="443"/>
      <c r="Y394" s="595"/>
      <c r="Z394" s="595"/>
      <c r="AA394" s="595"/>
      <c r="AB394" s="354"/>
      <c r="AC394" s="595"/>
      <c r="AD394" s="584"/>
      <c r="AE394" s="595"/>
      <c r="AF394" s="1066"/>
      <c r="AG394" s="1067"/>
      <c r="AH394" s="1066"/>
      <c r="AI394" s="1066"/>
      <c r="AJ394" s="1066"/>
      <c r="AK394" s="1066"/>
      <c r="AL394" s="1066"/>
      <c r="AM394" s="1066"/>
      <c r="AN394" s="595"/>
      <c r="AO394" s="595"/>
      <c r="AP394" s="595"/>
      <c r="AQ394" s="597"/>
      <c r="AR394" s="597"/>
      <c r="AS394" s="597"/>
      <c r="AT394" s="597"/>
      <c r="AU394" s="597"/>
      <c r="AV394" s="597"/>
      <c r="AW394" s="597"/>
      <c r="AX394" s="597"/>
      <c r="AY394" s="597"/>
      <c r="AZ394" s="597"/>
      <c r="BA394" s="597"/>
      <c r="BB394" s="584"/>
      <c r="BC394" s="584"/>
      <c r="BD394" s="584"/>
      <c r="BE394" s="584"/>
      <c r="BF394" s="584"/>
      <c r="BG394" s="584"/>
      <c r="BH394" s="584"/>
      <c r="BI394" s="584"/>
      <c r="BJ394" s="597"/>
      <c r="BK394" s="597"/>
      <c r="BL394" s="597"/>
      <c r="BM394" s="597"/>
      <c r="BN394" s="597"/>
      <c r="BO394" s="597"/>
      <c r="BP394" s="597"/>
      <c r="BQ394" s="597"/>
      <c r="BR394" s="597"/>
      <c r="BS394" s="597"/>
      <c r="BT394" s="597"/>
    </row>
    <row r="395" ht="12.75" customHeight="1">
      <c r="A395" s="1074"/>
      <c r="B395" s="584"/>
      <c r="C395" s="584"/>
      <c r="D395" s="584"/>
      <c r="E395" s="585"/>
      <c r="F395" s="1075"/>
      <c r="G395" s="587"/>
      <c r="H395" s="586"/>
      <c r="I395" s="443"/>
      <c r="J395" s="443"/>
      <c r="K395" s="354"/>
      <c r="L395" s="588"/>
      <c r="M395" s="588"/>
      <c r="N395" s="589"/>
      <c r="O395" s="595"/>
      <c r="P395" s="392"/>
      <c r="Q395" s="807"/>
      <c r="R395" s="603"/>
      <c r="S395" s="354"/>
      <c r="T395" s="584"/>
      <c r="U395" s="595"/>
      <c r="V395" s="595"/>
      <c r="W395" s="595"/>
      <c r="X395" s="443"/>
      <c r="Y395" s="595"/>
      <c r="Z395" s="595"/>
      <c r="AA395" s="595"/>
      <c r="AB395" s="354"/>
      <c r="AC395" s="595"/>
      <c r="AD395" s="1066"/>
      <c r="AE395" s="1066"/>
      <c r="AF395" s="1066"/>
      <c r="AG395" s="1067"/>
      <c r="AH395" s="1066"/>
      <c r="AI395" s="1066"/>
      <c r="AJ395" s="1066"/>
      <c r="AK395" s="1066"/>
      <c r="AL395" s="1066"/>
      <c r="AM395" s="1066"/>
      <c r="AN395" s="595"/>
      <c r="AO395" s="595"/>
      <c r="AP395" s="595"/>
      <c r="AQ395" s="597"/>
      <c r="AR395" s="597"/>
      <c r="AS395" s="597"/>
      <c r="AT395" s="597"/>
      <c r="AU395" s="597"/>
      <c r="AV395" s="597"/>
      <c r="AW395" s="597"/>
      <c r="AX395" s="597"/>
      <c r="AY395" s="597"/>
      <c r="AZ395" s="597"/>
      <c r="BA395" s="597"/>
      <c r="BB395" s="595"/>
      <c r="BC395" s="595"/>
      <c r="BD395" s="595"/>
      <c r="BE395" s="595"/>
      <c r="BF395" s="595"/>
      <c r="BG395" s="595"/>
      <c r="BH395" s="595"/>
      <c r="BI395" s="595"/>
      <c r="BJ395" s="651"/>
      <c r="BK395" s="651"/>
      <c r="BL395" s="651"/>
      <c r="BM395" s="651"/>
      <c r="BN395" s="651"/>
      <c r="BO395" s="651"/>
      <c r="BP395" s="651"/>
      <c r="BQ395" s="651"/>
      <c r="BR395" s="651"/>
      <c r="BS395" s="651"/>
      <c r="BT395" s="651"/>
    </row>
    <row r="396" ht="12.75" customHeight="1">
      <c r="A396" s="1074"/>
      <c r="B396" s="584"/>
      <c r="C396" s="584"/>
      <c r="D396" s="584"/>
      <c r="E396" s="585"/>
      <c r="F396" s="1075"/>
      <c r="G396" s="587"/>
      <c r="H396" s="586"/>
      <c r="I396" s="443"/>
      <c r="J396" s="443"/>
      <c r="K396" s="354"/>
      <c r="L396" s="588"/>
      <c r="M396" s="588"/>
      <c r="N396" s="589"/>
      <c r="O396" s="595"/>
      <c r="P396" s="392"/>
      <c r="Q396" s="807"/>
      <c r="R396" s="603"/>
      <c r="S396" s="354"/>
      <c r="T396" s="584"/>
      <c r="U396" s="595"/>
      <c r="V396" s="595"/>
      <c r="W396" s="595"/>
      <c r="X396" s="443"/>
      <c r="Y396" s="595"/>
      <c r="Z396" s="595"/>
      <c r="AA396" s="595"/>
      <c r="AB396" s="354"/>
      <c r="AC396" s="595"/>
      <c r="AD396" s="1066"/>
      <c r="AE396" s="1066"/>
      <c r="AF396" s="1066"/>
      <c r="AG396" s="1067"/>
      <c r="AH396" s="1066"/>
      <c r="AI396" s="1066"/>
      <c r="AJ396" s="1066"/>
      <c r="AK396" s="1066"/>
      <c r="AL396" s="1066"/>
      <c r="AM396" s="1066"/>
      <c r="AN396" s="595"/>
      <c r="AO396" s="595"/>
      <c r="AP396" s="595"/>
      <c r="AQ396" s="597"/>
      <c r="AR396" s="597"/>
      <c r="AS396" s="597"/>
      <c r="AT396" s="597"/>
      <c r="AU396" s="597"/>
      <c r="AV396" s="597"/>
      <c r="AW396" s="597"/>
      <c r="AX396" s="597"/>
      <c r="AY396" s="597"/>
      <c r="AZ396" s="597"/>
      <c r="BA396" s="597"/>
      <c r="BB396" s="595"/>
      <c r="BC396" s="595"/>
      <c r="BD396" s="595"/>
      <c r="BE396" s="595"/>
      <c r="BF396" s="595"/>
      <c r="BG396" s="595"/>
      <c r="BH396" s="595"/>
      <c r="BI396" s="595"/>
      <c r="BJ396" s="651"/>
      <c r="BK396" s="651"/>
      <c r="BL396" s="651"/>
      <c r="BM396" s="651"/>
      <c r="BN396" s="651"/>
      <c r="BO396" s="651"/>
      <c r="BP396" s="651"/>
      <c r="BQ396" s="651"/>
      <c r="BR396" s="651"/>
      <c r="BS396" s="651"/>
      <c r="BT396" s="651"/>
    </row>
    <row r="397" ht="12.75" customHeight="1">
      <c r="A397" s="1074"/>
      <c r="B397" s="584"/>
      <c r="C397" s="584"/>
      <c r="D397" s="584"/>
      <c r="E397" s="585"/>
      <c r="F397" s="1075"/>
      <c r="G397" s="587"/>
      <c r="H397" s="586"/>
      <c r="I397" s="443"/>
      <c r="J397" s="443"/>
      <c r="K397" s="354"/>
      <c r="L397" s="588"/>
      <c r="M397" s="588"/>
      <c r="N397" s="589"/>
      <c r="O397" s="595"/>
      <c r="P397" s="392"/>
      <c r="Q397" s="807"/>
      <c r="R397" s="603"/>
      <c r="S397" s="354"/>
      <c r="T397" s="584"/>
      <c r="U397" s="595"/>
      <c r="V397" s="595"/>
      <c r="W397" s="595"/>
      <c r="X397" s="443"/>
      <c r="Y397" s="595"/>
      <c r="Z397" s="595"/>
      <c r="AA397" s="595"/>
      <c r="AB397" s="354"/>
      <c r="AC397" s="595"/>
      <c r="AD397" s="1066"/>
      <c r="AE397" s="1066"/>
      <c r="AF397" s="1066"/>
      <c r="AG397" s="1067"/>
      <c r="AH397" s="1066"/>
      <c r="AI397" s="1066"/>
      <c r="AJ397" s="1066"/>
      <c r="AK397" s="1066"/>
      <c r="AL397" s="1066"/>
      <c r="AM397" s="1066"/>
      <c r="AN397" s="595"/>
      <c r="AO397" s="595"/>
      <c r="AP397" s="595"/>
      <c r="AQ397" s="597"/>
      <c r="AR397" s="597"/>
      <c r="AS397" s="597"/>
      <c r="AT397" s="597"/>
      <c r="AU397" s="597"/>
      <c r="AV397" s="597"/>
      <c r="AW397" s="597"/>
      <c r="AX397" s="597"/>
      <c r="AY397" s="597"/>
      <c r="AZ397" s="597"/>
      <c r="BA397" s="597"/>
      <c r="BB397" s="595"/>
      <c r="BC397" s="595"/>
      <c r="BD397" s="595"/>
      <c r="BE397" s="595"/>
      <c r="BF397" s="595"/>
      <c r="BG397" s="595"/>
      <c r="BH397" s="595"/>
      <c r="BI397" s="595"/>
      <c r="BJ397" s="651"/>
      <c r="BK397" s="651"/>
      <c r="BL397" s="651"/>
      <c r="BM397" s="651"/>
      <c r="BN397" s="651"/>
      <c r="BO397" s="651"/>
      <c r="BP397" s="651"/>
      <c r="BQ397" s="651"/>
      <c r="BR397" s="651"/>
      <c r="BS397" s="651"/>
      <c r="BT397" s="651"/>
    </row>
    <row r="398" ht="12.75" customHeight="1">
      <c r="A398" s="1074"/>
      <c r="B398" s="584"/>
      <c r="C398" s="584"/>
      <c r="D398" s="584"/>
      <c r="E398" s="585"/>
      <c r="F398" s="1075"/>
      <c r="G398" s="587"/>
      <c r="H398" s="586"/>
      <c r="I398" s="443"/>
      <c r="J398" s="443"/>
      <c r="K398" s="354"/>
      <c r="L398" s="588"/>
      <c r="M398" s="588"/>
      <c r="N398" s="589"/>
      <c r="O398" s="595"/>
      <c r="P398" s="392"/>
      <c r="Q398" s="807"/>
      <c r="R398" s="603"/>
      <c r="S398" s="354"/>
      <c r="T398" s="584"/>
      <c r="U398" s="595"/>
      <c r="V398" s="595"/>
      <c r="W398" s="595"/>
      <c r="X398" s="443"/>
      <c r="Y398" s="595"/>
      <c r="Z398" s="595"/>
      <c r="AA398" s="595"/>
      <c r="AB398" s="354"/>
      <c r="AC398" s="595"/>
      <c r="AD398" s="1066"/>
      <c r="AE398" s="1066"/>
      <c r="AF398" s="1066"/>
      <c r="AG398" s="1067"/>
      <c r="AH398" s="1066"/>
      <c r="AI398" s="1066"/>
      <c r="AJ398" s="1066"/>
      <c r="AK398" s="1066"/>
      <c r="AL398" s="1066"/>
      <c r="AM398" s="1066"/>
      <c r="AN398" s="595"/>
      <c r="AO398" s="595"/>
      <c r="AP398" s="595"/>
      <c r="AQ398" s="597"/>
      <c r="AR398" s="597"/>
      <c r="AS398" s="597"/>
      <c r="AT398" s="597"/>
      <c r="AU398" s="597"/>
      <c r="AV398" s="597"/>
      <c r="AW398" s="597"/>
      <c r="AX398" s="597"/>
      <c r="AY398" s="597"/>
      <c r="AZ398" s="597"/>
      <c r="BA398" s="597"/>
      <c r="BB398" s="595"/>
      <c r="BC398" s="595"/>
      <c r="BD398" s="595"/>
      <c r="BE398" s="595"/>
      <c r="BF398" s="595"/>
      <c r="BG398" s="595"/>
      <c r="BH398" s="595"/>
      <c r="BI398" s="595"/>
      <c r="BJ398" s="651"/>
      <c r="BK398" s="651"/>
      <c r="BL398" s="651"/>
      <c r="BM398" s="651"/>
      <c r="BN398" s="651"/>
      <c r="BO398" s="651"/>
      <c r="BP398" s="651"/>
      <c r="BQ398" s="651"/>
      <c r="BR398" s="651"/>
      <c r="BS398" s="651"/>
      <c r="BT398" s="651"/>
    </row>
    <row r="399" ht="12.75" customHeight="1">
      <c r="A399" s="1074"/>
      <c r="B399" s="584"/>
      <c r="C399" s="584"/>
      <c r="D399" s="584"/>
      <c r="E399" s="585"/>
      <c r="F399" s="1075"/>
      <c r="G399" s="587"/>
      <c r="H399" s="586"/>
      <c r="I399" s="443"/>
      <c r="J399" s="443"/>
      <c r="K399" s="354"/>
      <c r="L399" s="588"/>
      <c r="M399" s="588"/>
      <c r="N399" s="589"/>
      <c r="O399" s="595"/>
      <c r="P399" s="392"/>
      <c r="Q399" s="807"/>
      <c r="R399" s="603"/>
      <c r="S399" s="354"/>
      <c r="T399" s="584"/>
      <c r="U399" s="595"/>
      <c r="V399" s="595"/>
      <c r="W399" s="595"/>
      <c r="X399" s="443"/>
      <c r="Y399" s="595"/>
      <c r="Z399" s="595"/>
      <c r="AA399" s="595"/>
      <c r="AB399" s="354"/>
      <c r="AC399" s="595"/>
      <c r="AD399" s="1066"/>
      <c r="AE399" s="1066"/>
      <c r="AF399" s="1066"/>
      <c r="AG399" s="1067"/>
      <c r="AH399" s="1066"/>
      <c r="AI399" s="1066"/>
      <c r="AJ399" s="1066"/>
      <c r="AK399" s="1066"/>
      <c r="AL399" s="1066"/>
      <c r="AM399" s="1066"/>
      <c r="AN399" s="595"/>
      <c r="AO399" s="595"/>
      <c r="AP399" s="595"/>
      <c r="AQ399" s="597"/>
      <c r="AR399" s="597"/>
      <c r="AS399" s="597"/>
      <c r="AT399" s="597"/>
      <c r="AU399" s="597"/>
      <c r="AV399" s="597"/>
      <c r="AW399" s="597"/>
      <c r="AX399" s="597"/>
      <c r="AY399" s="597"/>
      <c r="AZ399" s="597"/>
      <c r="BA399" s="597"/>
      <c r="BB399" s="595"/>
      <c r="BC399" s="595"/>
      <c r="BD399" s="595"/>
      <c r="BE399" s="595"/>
      <c r="BF399" s="595"/>
      <c r="BG399" s="595"/>
      <c r="BH399" s="595"/>
      <c r="BI399" s="595"/>
      <c r="BJ399" s="651"/>
      <c r="BK399" s="651"/>
      <c r="BL399" s="651"/>
      <c r="BM399" s="651"/>
      <c r="BN399" s="651"/>
      <c r="BO399" s="651"/>
      <c r="BP399" s="651"/>
      <c r="BQ399" s="651"/>
      <c r="BR399" s="651"/>
      <c r="BS399" s="651"/>
      <c r="BT399" s="651"/>
    </row>
    <row r="400" ht="12.75" customHeight="1">
      <c r="A400" s="1074"/>
      <c r="B400" s="584"/>
      <c r="C400" s="584"/>
      <c r="D400" s="584"/>
      <c r="E400" s="585"/>
      <c r="F400" s="1075"/>
      <c r="G400" s="587"/>
      <c r="H400" s="586"/>
      <c r="I400" s="443"/>
      <c r="J400" s="443"/>
      <c r="K400" s="354"/>
      <c r="L400" s="588"/>
      <c r="M400" s="588"/>
      <c r="N400" s="589"/>
      <c r="O400" s="595"/>
      <c r="P400" s="392"/>
      <c r="Q400" s="807"/>
      <c r="R400" s="603"/>
      <c r="S400" s="354"/>
      <c r="T400" s="584"/>
      <c r="U400" s="595"/>
      <c r="V400" s="595"/>
      <c r="W400" s="595"/>
      <c r="X400" s="443"/>
      <c r="Y400" s="595"/>
      <c r="Z400" s="595"/>
      <c r="AA400" s="595"/>
      <c r="AB400" s="354"/>
      <c r="AC400" s="595"/>
      <c r="AD400" s="1066"/>
      <c r="AE400" s="1066"/>
      <c r="AF400" s="1066"/>
      <c r="AG400" s="1067"/>
      <c r="AH400" s="1066"/>
      <c r="AI400" s="1066"/>
      <c r="AJ400" s="1066"/>
      <c r="AK400" s="1066"/>
      <c r="AL400" s="1066"/>
      <c r="AM400" s="1066"/>
      <c r="AN400" s="595"/>
      <c r="AO400" s="595"/>
      <c r="AP400" s="595"/>
      <c r="AQ400" s="597"/>
      <c r="AR400" s="597"/>
      <c r="AS400" s="597"/>
      <c r="AT400" s="597"/>
      <c r="AU400" s="597"/>
      <c r="AV400" s="597"/>
      <c r="AW400" s="597"/>
      <c r="AX400" s="597"/>
      <c r="AY400" s="597"/>
      <c r="AZ400" s="597"/>
      <c r="BA400" s="597"/>
      <c r="BB400" s="595"/>
      <c r="BC400" s="595"/>
      <c r="BD400" s="595"/>
      <c r="BE400" s="595"/>
      <c r="BF400" s="595"/>
      <c r="BG400" s="595"/>
      <c r="BH400" s="595"/>
      <c r="BI400" s="595"/>
      <c r="BJ400" s="651"/>
      <c r="BK400" s="651"/>
      <c r="BL400" s="651"/>
      <c r="BM400" s="651"/>
      <c r="BN400" s="651"/>
      <c r="BO400" s="651"/>
      <c r="BP400" s="651"/>
      <c r="BQ400" s="651"/>
      <c r="BR400" s="651"/>
      <c r="BS400" s="651"/>
      <c r="BT400" s="651"/>
    </row>
    <row r="401" ht="12.75" customHeight="1">
      <c r="A401" s="1074"/>
      <c r="B401" s="584"/>
      <c r="C401" s="584"/>
      <c r="D401" s="584"/>
      <c r="E401" s="585"/>
      <c r="F401" s="1075"/>
      <c r="G401" s="587"/>
      <c r="H401" s="586"/>
      <c r="I401" s="443"/>
      <c r="J401" s="443"/>
      <c r="K401" s="354"/>
      <c r="L401" s="588"/>
      <c r="M401" s="588"/>
      <c r="N401" s="589"/>
      <c r="O401" s="595"/>
      <c r="P401" s="392"/>
      <c r="Q401" s="807"/>
      <c r="R401" s="603"/>
      <c r="S401" s="354"/>
      <c r="T401" s="584"/>
      <c r="U401" s="595"/>
      <c r="V401" s="595"/>
      <c r="W401" s="595"/>
      <c r="X401" s="443"/>
      <c r="Y401" s="595"/>
      <c r="Z401" s="595"/>
      <c r="AA401" s="595"/>
      <c r="AB401" s="354"/>
      <c r="AC401" s="595"/>
      <c r="AD401" s="1066"/>
      <c r="AE401" s="1066"/>
      <c r="AF401" s="1066"/>
      <c r="AG401" s="1067"/>
      <c r="AH401" s="1066"/>
      <c r="AI401" s="1066"/>
      <c r="AJ401" s="1066"/>
      <c r="AK401" s="1066"/>
      <c r="AL401" s="1066"/>
      <c r="AM401" s="1066"/>
      <c r="AN401" s="595"/>
      <c r="AO401" s="595"/>
      <c r="AP401" s="595"/>
      <c r="AQ401" s="597"/>
      <c r="AR401" s="597"/>
      <c r="AS401" s="597"/>
      <c r="AT401" s="597"/>
      <c r="AU401" s="597"/>
      <c r="AV401" s="597"/>
      <c r="AW401" s="597"/>
      <c r="AX401" s="597"/>
      <c r="AY401" s="597"/>
      <c r="AZ401" s="597"/>
      <c r="BA401" s="597"/>
      <c r="BB401" s="595"/>
      <c r="BC401" s="595"/>
      <c r="BD401" s="595"/>
      <c r="BE401" s="595"/>
      <c r="BF401" s="595"/>
      <c r="BG401" s="595"/>
      <c r="BH401" s="595"/>
      <c r="BI401" s="595"/>
      <c r="BJ401" s="651"/>
      <c r="BK401" s="651"/>
      <c r="BL401" s="651"/>
      <c r="BM401" s="651"/>
      <c r="BN401" s="651"/>
      <c r="BO401" s="651"/>
      <c r="BP401" s="651"/>
      <c r="BQ401" s="651"/>
      <c r="BR401" s="651"/>
      <c r="BS401" s="651"/>
      <c r="BT401" s="651"/>
    </row>
    <row r="402" ht="12.75" customHeight="1">
      <c r="A402" s="1074"/>
      <c r="B402" s="584"/>
      <c r="C402" s="584"/>
      <c r="D402" s="584"/>
      <c r="E402" s="585"/>
      <c r="F402" s="1075"/>
      <c r="G402" s="587"/>
      <c r="H402" s="586"/>
      <c r="I402" s="443"/>
      <c r="J402" s="443"/>
      <c r="K402" s="354"/>
      <c r="L402" s="588"/>
      <c r="M402" s="588"/>
      <c r="N402" s="589"/>
      <c r="O402" s="595"/>
      <c r="P402" s="392"/>
      <c r="Q402" s="807"/>
      <c r="R402" s="603"/>
      <c r="S402" s="354"/>
      <c r="T402" s="584"/>
      <c r="U402" s="595"/>
      <c r="V402" s="595"/>
      <c r="W402" s="595"/>
      <c r="X402" s="443"/>
      <c r="Y402" s="595"/>
      <c r="Z402" s="595"/>
      <c r="AA402" s="595"/>
      <c r="AB402" s="354"/>
      <c r="AC402" s="595"/>
      <c r="AD402" s="1066"/>
      <c r="AE402" s="1066"/>
      <c r="AF402" s="1066"/>
      <c r="AG402" s="1067"/>
      <c r="AH402" s="1066"/>
      <c r="AI402" s="1066"/>
      <c r="AJ402" s="1066"/>
      <c r="AK402" s="1066"/>
      <c r="AL402" s="1066"/>
      <c r="AM402" s="1066"/>
      <c r="AN402" s="595"/>
      <c r="AO402" s="595"/>
      <c r="AP402" s="595"/>
      <c r="AQ402" s="597"/>
      <c r="AR402" s="597"/>
      <c r="AS402" s="597"/>
      <c r="AT402" s="597"/>
      <c r="AU402" s="597"/>
      <c r="AV402" s="597"/>
      <c r="AW402" s="597"/>
      <c r="AX402" s="597"/>
      <c r="AY402" s="597"/>
      <c r="AZ402" s="597"/>
      <c r="BA402" s="597"/>
      <c r="BB402" s="595"/>
      <c r="BC402" s="595"/>
      <c r="BD402" s="595"/>
      <c r="BE402" s="595"/>
      <c r="BF402" s="595"/>
      <c r="BG402" s="595"/>
      <c r="BH402" s="595"/>
      <c r="BI402" s="595"/>
      <c r="BJ402" s="651"/>
      <c r="BK402" s="651"/>
      <c r="BL402" s="651"/>
      <c r="BM402" s="651"/>
      <c r="BN402" s="651"/>
      <c r="BO402" s="651"/>
      <c r="BP402" s="651"/>
      <c r="BQ402" s="651"/>
      <c r="BR402" s="651"/>
      <c r="BS402" s="651"/>
      <c r="BT402" s="651"/>
    </row>
    <row r="403" ht="12.75" customHeight="1">
      <c r="A403" s="1074"/>
      <c r="B403" s="584"/>
      <c r="C403" s="584"/>
      <c r="D403" s="584"/>
      <c r="E403" s="585"/>
      <c r="F403" s="1075"/>
      <c r="G403" s="587"/>
      <c r="H403" s="586"/>
      <c r="I403" s="443"/>
      <c r="J403" s="443"/>
      <c r="K403" s="354"/>
      <c r="L403" s="588"/>
      <c r="M403" s="588"/>
      <c r="N403" s="589"/>
      <c r="O403" s="595"/>
      <c r="P403" s="392"/>
      <c r="Q403" s="807"/>
      <c r="R403" s="603"/>
      <c r="S403" s="354"/>
      <c r="T403" s="584"/>
      <c r="U403" s="595"/>
      <c r="V403" s="595"/>
      <c r="W403" s="595"/>
      <c r="X403" s="443"/>
      <c r="Y403" s="595"/>
      <c r="Z403" s="595"/>
      <c r="AA403" s="595"/>
      <c r="AB403" s="354"/>
      <c r="AC403" s="595"/>
      <c r="AD403" s="1066"/>
      <c r="AE403" s="1066"/>
      <c r="AF403" s="1066"/>
      <c r="AG403" s="1067"/>
      <c r="AH403" s="1066"/>
      <c r="AI403" s="1066"/>
      <c r="AJ403" s="1066"/>
      <c r="AK403" s="1066"/>
      <c r="AL403" s="1066"/>
      <c r="AM403" s="1066"/>
      <c r="AN403" s="595"/>
      <c r="AO403" s="595"/>
      <c r="AP403" s="595"/>
      <c r="AQ403" s="597"/>
      <c r="AR403" s="597"/>
      <c r="AS403" s="597"/>
      <c r="AT403" s="597"/>
      <c r="AU403" s="597"/>
      <c r="AV403" s="597"/>
      <c r="AW403" s="597"/>
      <c r="AX403" s="597"/>
      <c r="AY403" s="597"/>
      <c r="AZ403" s="597"/>
      <c r="BA403" s="597"/>
      <c r="BB403" s="595"/>
      <c r="BC403" s="595"/>
      <c r="BD403" s="595"/>
      <c r="BE403" s="595"/>
      <c r="BF403" s="595"/>
      <c r="BG403" s="595"/>
      <c r="BH403" s="595"/>
      <c r="BI403" s="595"/>
      <c r="BJ403" s="651"/>
      <c r="BK403" s="651"/>
      <c r="BL403" s="651"/>
      <c r="BM403" s="651"/>
      <c r="BN403" s="651"/>
      <c r="BO403" s="651"/>
      <c r="BP403" s="651"/>
      <c r="BQ403" s="651"/>
      <c r="BR403" s="651"/>
      <c r="BS403" s="651"/>
      <c r="BT403" s="651"/>
    </row>
    <row r="404" ht="12.75" customHeight="1">
      <c r="A404" s="1074"/>
      <c r="B404" s="584"/>
      <c r="C404" s="584"/>
      <c r="D404" s="584"/>
      <c r="E404" s="585"/>
      <c r="F404" s="1075"/>
      <c r="G404" s="587"/>
      <c r="H404" s="586"/>
      <c r="I404" s="443"/>
      <c r="J404" s="443"/>
      <c r="K404" s="354"/>
      <c r="L404" s="588"/>
      <c r="M404" s="588"/>
      <c r="N404" s="589"/>
      <c r="O404" s="595"/>
      <c r="P404" s="392"/>
      <c r="Q404" s="807"/>
      <c r="R404" s="603"/>
      <c r="S404" s="354"/>
      <c r="T404" s="584"/>
      <c r="U404" s="595"/>
      <c r="V404" s="595"/>
      <c r="W404" s="595"/>
      <c r="X404" s="443"/>
      <c r="Y404" s="595"/>
      <c r="Z404" s="595"/>
      <c r="AA404" s="595"/>
      <c r="AB404" s="354"/>
      <c r="AC404" s="595"/>
      <c r="AD404" s="1066"/>
      <c r="AE404" s="1066"/>
      <c r="AF404" s="1066"/>
      <c r="AG404" s="1067"/>
      <c r="AH404" s="1066"/>
      <c r="AI404" s="1066"/>
      <c r="AJ404" s="1066"/>
      <c r="AK404" s="1066"/>
      <c r="AL404" s="1066"/>
      <c r="AM404" s="1066"/>
      <c r="AN404" s="595"/>
      <c r="AO404" s="595"/>
      <c r="AP404" s="595"/>
      <c r="AQ404" s="597"/>
      <c r="AR404" s="597"/>
      <c r="AS404" s="597"/>
      <c r="AT404" s="597"/>
      <c r="AU404" s="597"/>
      <c r="AV404" s="597"/>
      <c r="AW404" s="597"/>
      <c r="AX404" s="597"/>
      <c r="AY404" s="597"/>
      <c r="AZ404" s="597"/>
      <c r="BA404" s="597"/>
      <c r="BB404" s="595"/>
      <c r="BC404" s="595"/>
      <c r="BD404" s="595"/>
      <c r="BE404" s="595"/>
      <c r="BF404" s="595"/>
      <c r="BG404" s="595"/>
      <c r="BH404" s="595"/>
      <c r="BI404" s="595"/>
      <c r="BJ404" s="651"/>
      <c r="BK404" s="651"/>
      <c r="BL404" s="651"/>
      <c r="BM404" s="651"/>
      <c r="BN404" s="651"/>
      <c r="BO404" s="651"/>
      <c r="BP404" s="651"/>
      <c r="BQ404" s="651"/>
      <c r="BR404" s="651"/>
      <c r="BS404" s="651"/>
      <c r="BT404" s="651"/>
    </row>
    <row r="405" ht="12.75" customHeight="1">
      <c r="A405" s="1074"/>
      <c r="B405" s="584"/>
      <c r="C405" s="584"/>
      <c r="D405" s="584"/>
      <c r="E405" s="585"/>
      <c r="F405" s="1075"/>
      <c r="G405" s="587"/>
      <c r="H405" s="586"/>
      <c r="I405" s="443"/>
      <c r="J405" s="443"/>
      <c r="K405" s="354"/>
      <c r="L405" s="588"/>
      <c r="M405" s="588"/>
      <c r="N405" s="589"/>
      <c r="O405" s="595"/>
      <c r="P405" s="392"/>
      <c r="Q405" s="807"/>
      <c r="R405" s="603"/>
      <c r="S405" s="354"/>
      <c r="T405" s="584"/>
      <c r="U405" s="595"/>
      <c r="V405" s="595"/>
      <c r="W405" s="595"/>
      <c r="X405" s="443"/>
      <c r="Y405" s="595"/>
      <c r="Z405" s="595"/>
      <c r="AA405" s="595"/>
      <c r="AB405" s="354"/>
      <c r="AC405" s="595"/>
      <c r="AD405" s="1066"/>
      <c r="AE405" s="1066"/>
      <c r="AF405" s="1066"/>
      <c r="AG405" s="1067"/>
      <c r="AH405" s="1066"/>
      <c r="AI405" s="1066"/>
      <c r="AJ405" s="1066"/>
      <c r="AK405" s="1066"/>
      <c r="AL405" s="1066"/>
      <c r="AM405" s="1066"/>
      <c r="AN405" s="595"/>
      <c r="AO405" s="595"/>
      <c r="AP405" s="595"/>
      <c r="AQ405" s="597"/>
      <c r="AR405" s="597"/>
      <c r="AS405" s="597"/>
      <c r="AT405" s="597"/>
      <c r="AU405" s="597"/>
      <c r="AV405" s="597"/>
      <c r="AW405" s="597"/>
      <c r="AX405" s="597"/>
      <c r="AY405" s="597"/>
      <c r="AZ405" s="597"/>
      <c r="BA405" s="597"/>
      <c r="BB405" s="595"/>
      <c r="BC405" s="595"/>
      <c r="BD405" s="595"/>
      <c r="BE405" s="595"/>
      <c r="BF405" s="595"/>
      <c r="BG405" s="595"/>
      <c r="BH405" s="595"/>
      <c r="BI405" s="595"/>
      <c r="BJ405" s="651"/>
      <c r="BK405" s="651"/>
      <c r="BL405" s="651"/>
      <c r="BM405" s="651"/>
      <c r="BN405" s="651"/>
      <c r="BO405" s="651"/>
      <c r="BP405" s="651"/>
      <c r="BQ405" s="651"/>
      <c r="BR405" s="651"/>
      <c r="BS405" s="651"/>
      <c r="BT405" s="651"/>
    </row>
    <row r="406" ht="12.75" customHeight="1">
      <c r="A406" s="1074"/>
      <c r="B406" s="584"/>
      <c r="C406" s="584"/>
      <c r="D406" s="584"/>
      <c r="E406" s="585"/>
      <c r="F406" s="1075"/>
      <c r="G406" s="587"/>
      <c r="H406" s="586"/>
      <c r="I406" s="443"/>
      <c r="J406" s="443"/>
      <c r="K406" s="354"/>
      <c r="L406" s="588"/>
      <c r="M406" s="588"/>
      <c r="N406" s="589"/>
      <c r="O406" s="595"/>
      <c r="P406" s="392"/>
      <c r="Q406" s="807"/>
      <c r="R406" s="603"/>
      <c r="S406" s="354"/>
      <c r="T406" s="584"/>
      <c r="U406" s="595"/>
      <c r="V406" s="595"/>
      <c r="W406" s="595"/>
      <c r="X406" s="443"/>
      <c r="Y406" s="595"/>
      <c r="Z406" s="595"/>
      <c r="AA406" s="595"/>
      <c r="AB406" s="354"/>
      <c r="AC406" s="595"/>
      <c r="AD406" s="1066"/>
      <c r="AE406" s="1066"/>
      <c r="AF406" s="1066"/>
      <c r="AG406" s="1067"/>
      <c r="AH406" s="1066"/>
      <c r="AI406" s="1066"/>
      <c r="AJ406" s="1066"/>
      <c r="AK406" s="1066"/>
      <c r="AL406" s="1066"/>
      <c r="AM406" s="1066"/>
      <c r="AN406" s="595"/>
      <c r="AO406" s="595"/>
      <c r="AP406" s="595"/>
      <c r="AQ406" s="597"/>
      <c r="AR406" s="597"/>
      <c r="AS406" s="597"/>
      <c r="AT406" s="597"/>
      <c r="AU406" s="597"/>
      <c r="AV406" s="597"/>
      <c r="AW406" s="597"/>
      <c r="AX406" s="597"/>
      <c r="AY406" s="597"/>
      <c r="AZ406" s="597"/>
      <c r="BA406" s="597"/>
      <c r="BB406" s="595"/>
      <c r="BC406" s="595"/>
      <c r="BD406" s="595"/>
      <c r="BE406" s="595"/>
      <c r="BF406" s="595"/>
      <c r="BG406" s="595"/>
      <c r="BH406" s="595"/>
      <c r="BI406" s="595"/>
      <c r="BJ406" s="651"/>
      <c r="BK406" s="651"/>
      <c r="BL406" s="651"/>
      <c r="BM406" s="651"/>
      <c r="BN406" s="651"/>
      <c r="BO406" s="651"/>
      <c r="BP406" s="651"/>
      <c r="BQ406" s="651"/>
      <c r="BR406" s="651"/>
      <c r="BS406" s="651"/>
      <c r="BT406" s="651"/>
    </row>
    <row r="407" ht="12.75" customHeight="1">
      <c r="A407" s="1074"/>
      <c r="B407" s="584"/>
      <c r="C407" s="584"/>
      <c r="D407" s="584"/>
      <c r="E407" s="585"/>
      <c r="F407" s="1075"/>
      <c r="G407" s="587"/>
      <c r="H407" s="586"/>
      <c r="I407" s="443"/>
      <c r="J407" s="443"/>
      <c r="K407" s="354"/>
      <c r="L407" s="588"/>
      <c r="M407" s="588"/>
      <c r="N407" s="589"/>
      <c r="O407" s="595"/>
      <c r="P407" s="392"/>
      <c r="Q407" s="807"/>
      <c r="R407" s="603"/>
      <c r="S407" s="354"/>
      <c r="T407" s="584"/>
      <c r="U407" s="595"/>
      <c r="V407" s="595"/>
      <c r="W407" s="595"/>
      <c r="X407" s="443"/>
      <c r="Y407" s="595"/>
      <c r="Z407" s="595"/>
      <c r="AA407" s="595"/>
      <c r="AB407" s="354"/>
      <c r="AC407" s="595"/>
      <c r="AD407" s="1066"/>
      <c r="AE407" s="1066"/>
      <c r="AF407" s="1066"/>
      <c r="AG407" s="1067"/>
      <c r="AH407" s="1066"/>
      <c r="AI407" s="1066"/>
      <c r="AJ407" s="1066"/>
      <c r="AK407" s="1066"/>
      <c r="AL407" s="1066"/>
      <c r="AM407" s="1066"/>
      <c r="AN407" s="595"/>
      <c r="AO407" s="595"/>
      <c r="AP407" s="595"/>
      <c r="AQ407" s="597"/>
      <c r="AR407" s="597"/>
      <c r="AS407" s="597"/>
      <c r="AT407" s="597"/>
      <c r="AU407" s="597"/>
      <c r="AV407" s="597"/>
      <c r="AW407" s="597"/>
      <c r="AX407" s="597"/>
      <c r="AY407" s="597"/>
      <c r="AZ407" s="597"/>
      <c r="BA407" s="597"/>
      <c r="BB407" s="595"/>
      <c r="BC407" s="595"/>
      <c r="BD407" s="595"/>
      <c r="BE407" s="595"/>
      <c r="BF407" s="595"/>
      <c r="BG407" s="595"/>
      <c r="BH407" s="595"/>
      <c r="BI407" s="595"/>
      <c r="BJ407" s="651"/>
      <c r="BK407" s="651"/>
      <c r="BL407" s="651"/>
      <c r="BM407" s="651"/>
      <c r="BN407" s="651"/>
      <c r="BO407" s="651"/>
      <c r="BP407" s="651"/>
      <c r="BQ407" s="651"/>
      <c r="BR407" s="651"/>
      <c r="BS407" s="651"/>
      <c r="BT407" s="651"/>
    </row>
    <row r="408" ht="12.75" customHeight="1">
      <c r="A408" s="1074"/>
      <c r="B408" s="584"/>
      <c r="C408" s="584"/>
      <c r="D408" s="584"/>
      <c r="E408" s="585"/>
      <c r="F408" s="1075"/>
      <c r="G408" s="587"/>
      <c r="H408" s="586"/>
      <c r="I408" s="443"/>
      <c r="J408" s="443"/>
      <c r="K408" s="354"/>
      <c r="L408" s="588"/>
      <c r="M408" s="588"/>
      <c r="N408" s="589"/>
      <c r="O408" s="595"/>
      <c r="P408" s="354"/>
      <c r="Q408" s="584"/>
      <c r="R408" s="603"/>
      <c r="S408" s="354"/>
      <c r="T408" s="584"/>
      <c r="U408" s="595"/>
      <c r="V408" s="595"/>
      <c r="W408" s="595"/>
      <c r="X408" s="443"/>
      <c r="Y408" s="595"/>
      <c r="Z408" s="595"/>
      <c r="AA408" s="595"/>
      <c r="AB408" s="354"/>
      <c r="AC408" s="595"/>
      <c r="AD408" s="1066"/>
      <c r="AE408" s="1066"/>
      <c r="AF408" s="1066"/>
      <c r="AG408" s="1067"/>
      <c r="AH408" s="1066"/>
      <c r="AI408" s="1066"/>
      <c r="AJ408" s="1066"/>
      <c r="AK408" s="1066"/>
      <c r="AL408" s="1066"/>
      <c r="AM408" s="1066"/>
      <c r="AN408" s="595"/>
      <c r="AO408" s="595"/>
      <c r="AP408" s="595"/>
      <c r="AQ408" s="597"/>
      <c r="AR408" s="597"/>
      <c r="AS408" s="597"/>
      <c r="AT408" s="597"/>
      <c r="AU408" s="597"/>
      <c r="AV408" s="597"/>
      <c r="AW408" s="597"/>
      <c r="AX408" s="597"/>
      <c r="AY408" s="597"/>
      <c r="AZ408" s="597"/>
      <c r="BA408" s="597"/>
      <c r="BB408" s="595"/>
      <c r="BC408" s="595"/>
      <c r="BD408" s="595"/>
      <c r="BE408" s="595"/>
      <c r="BF408" s="595"/>
      <c r="BG408" s="595"/>
      <c r="BH408" s="595"/>
      <c r="BI408" s="595"/>
      <c r="BJ408" s="651"/>
      <c r="BK408" s="651"/>
      <c r="BL408" s="651"/>
      <c r="BM408" s="651"/>
      <c r="BN408" s="651"/>
      <c r="BO408" s="651"/>
      <c r="BP408" s="651"/>
      <c r="BQ408" s="651"/>
      <c r="BR408" s="651"/>
      <c r="BS408" s="651"/>
      <c r="BT408" s="651"/>
    </row>
    <row r="409" ht="12.75" customHeight="1">
      <c r="A409" s="1074"/>
      <c r="B409" s="584"/>
      <c r="C409" s="584"/>
      <c r="D409" s="584"/>
      <c r="E409" s="585"/>
      <c r="F409" s="1075"/>
      <c r="G409" s="587"/>
      <c r="H409" s="586"/>
      <c r="I409" s="443"/>
      <c r="J409" s="443"/>
      <c r="K409" s="354"/>
      <c r="L409" s="588"/>
      <c r="M409" s="588"/>
      <c r="N409" s="589"/>
      <c r="O409" s="595"/>
      <c r="P409" s="354"/>
      <c r="Q409" s="584"/>
      <c r="R409" s="603"/>
      <c r="S409" s="354"/>
      <c r="T409" s="584"/>
      <c r="U409" s="595"/>
      <c r="V409" s="595"/>
      <c r="W409" s="595"/>
      <c r="X409" s="443"/>
      <c r="Y409" s="595"/>
      <c r="Z409" s="595"/>
      <c r="AA409" s="595"/>
      <c r="AB409" s="354"/>
      <c r="AC409" s="595"/>
      <c r="AD409" s="1066"/>
      <c r="AE409" s="1066"/>
      <c r="AF409" s="1066"/>
      <c r="AG409" s="1067"/>
      <c r="AH409" s="1066"/>
      <c r="AI409" s="1066"/>
      <c r="AJ409" s="1066"/>
      <c r="AK409" s="1066"/>
      <c r="AL409" s="1066"/>
      <c r="AM409" s="1066"/>
      <c r="AN409" s="595"/>
      <c r="AO409" s="595"/>
      <c r="AP409" s="584"/>
      <c r="AQ409" s="597"/>
      <c r="AR409" s="597"/>
      <c r="AS409" s="597"/>
      <c r="AT409" s="597"/>
      <c r="AU409" s="597"/>
      <c r="AV409" s="597"/>
      <c r="AW409" s="597"/>
      <c r="AX409" s="597"/>
      <c r="AY409" s="597"/>
      <c r="AZ409" s="597"/>
      <c r="BA409" s="597"/>
      <c r="BB409" s="595"/>
      <c r="BC409" s="595"/>
      <c r="BD409" s="595"/>
      <c r="BE409" s="595"/>
      <c r="BF409" s="595"/>
      <c r="BG409" s="595"/>
      <c r="BH409" s="595"/>
      <c r="BI409" s="595"/>
      <c r="BJ409" s="651"/>
      <c r="BK409" s="651"/>
      <c r="BL409" s="651"/>
      <c r="BM409" s="651"/>
      <c r="BN409" s="651"/>
      <c r="BO409" s="651"/>
      <c r="BP409" s="651"/>
      <c r="BQ409" s="651"/>
      <c r="BR409" s="651"/>
      <c r="BS409" s="651"/>
      <c r="BT409" s="651"/>
    </row>
    <row r="410" ht="12.75" customHeight="1">
      <c r="A410" s="1074"/>
      <c r="B410" s="584"/>
      <c r="C410" s="584"/>
      <c r="D410" s="584"/>
      <c r="E410" s="585"/>
      <c r="F410" s="1075"/>
      <c r="G410" s="587"/>
      <c r="H410" s="586"/>
      <c r="I410" s="443"/>
      <c r="J410" s="443"/>
      <c r="K410" s="354"/>
      <c r="L410" s="588"/>
      <c r="M410" s="588"/>
      <c r="N410" s="589"/>
      <c r="O410" s="595"/>
      <c r="P410" s="354"/>
      <c r="Q410" s="584"/>
      <c r="R410" s="603"/>
      <c r="S410" s="354"/>
      <c r="T410" s="584"/>
      <c r="U410" s="595"/>
      <c r="V410" s="595"/>
      <c r="W410" s="595"/>
      <c r="X410" s="443"/>
      <c r="Y410" s="595"/>
      <c r="Z410" s="595"/>
      <c r="AA410" s="595"/>
      <c r="AB410" s="354"/>
      <c r="AC410" s="595"/>
      <c r="AD410" s="1066"/>
      <c r="AE410" s="1066"/>
      <c r="AF410" s="1066"/>
      <c r="AG410" s="1067"/>
      <c r="AH410" s="1066"/>
      <c r="AI410" s="1066"/>
      <c r="AJ410" s="1066"/>
      <c r="AK410" s="1066"/>
      <c r="AL410" s="1066"/>
      <c r="AM410" s="1066"/>
      <c r="AN410" s="595"/>
      <c r="AO410" s="595"/>
      <c r="AP410" s="584"/>
      <c r="AQ410" s="597"/>
      <c r="AR410" s="597"/>
      <c r="AS410" s="597"/>
      <c r="AT410" s="597"/>
      <c r="AU410" s="597"/>
      <c r="AV410" s="597"/>
      <c r="AW410" s="597"/>
      <c r="AX410" s="597"/>
      <c r="AY410" s="597"/>
      <c r="AZ410" s="597"/>
      <c r="BA410" s="597"/>
      <c r="BB410" s="595"/>
      <c r="BC410" s="595"/>
      <c r="BD410" s="595"/>
      <c r="BE410" s="595"/>
      <c r="BF410" s="595"/>
      <c r="BG410" s="595"/>
      <c r="BH410" s="595"/>
      <c r="BI410" s="595"/>
      <c r="BJ410" s="651"/>
      <c r="BK410" s="651"/>
      <c r="BL410" s="651"/>
      <c r="BM410" s="651"/>
      <c r="BN410" s="651"/>
      <c r="BO410" s="651"/>
      <c r="BP410" s="651"/>
      <c r="BQ410" s="651"/>
      <c r="BR410" s="651"/>
      <c r="BS410" s="651"/>
      <c r="BT410" s="651"/>
    </row>
    <row r="411" ht="12.75" customHeight="1">
      <c r="A411" s="1074"/>
      <c r="B411" s="584"/>
      <c r="C411" s="584"/>
      <c r="D411" s="584"/>
      <c r="E411" s="585"/>
      <c r="F411" s="1075"/>
      <c r="G411" s="587"/>
      <c r="H411" s="586"/>
      <c r="I411" s="443"/>
      <c r="J411" s="443"/>
      <c r="K411" s="354"/>
      <c r="L411" s="588"/>
      <c r="M411" s="588"/>
      <c r="N411" s="589"/>
      <c r="O411" s="595"/>
      <c r="P411" s="354"/>
      <c r="Q411" s="584"/>
      <c r="R411" s="603"/>
      <c r="S411" s="354"/>
      <c r="T411" s="584"/>
      <c r="U411" s="595"/>
      <c r="V411" s="595"/>
      <c r="W411" s="595"/>
      <c r="X411" s="443"/>
      <c r="Y411" s="595"/>
      <c r="Z411" s="595"/>
      <c r="AA411" s="595"/>
      <c r="AB411" s="354"/>
      <c r="AC411" s="595"/>
      <c r="AD411" s="1066"/>
      <c r="AE411" s="1066"/>
      <c r="AF411" s="1066"/>
      <c r="AG411" s="1067"/>
      <c r="AH411" s="1066"/>
      <c r="AI411" s="1066"/>
      <c r="AJ411" s="1066"/>
      <c r="AK411" s="1066"/>
      <c r="AL411" s="1066"/>
      <c r="AM411" s="1066"/>
      <c r="AN411" s="595"/>
      <c r="AO411" s="651"/>
      <c r="AP411" s="597"/>
      <c r="AQ411" s="597"/>
      <c r="AR411" s="597"/>
      <c r="AS411" s="597"/>
      <c r="AT411" s="597"/>
      <c r="AU411" s="597"/>
      <c r="AV411" s="597"/>
      <c r="AW411" s="597"/>
      <c r="AX411" s="597"/>
      <c r="AY411" s="597"/>
      <c r="AZ411" s="597"/>
      <c r="BA411" s="597"/>
      <c r="BB411" s="595"/>
      <c r="BC411" s="595"/>
      <c r="BD411" s="595"/>
      <c r="BE411" s="595"/>
      <c r="BF411" s="595"/>
      <c r="BG411" s="595"/>
      <c r="BH411" s="595"/>
      <c r="BI411" s="595"/>
      <c r="BJ411" s="651"/>
      <c r="BK411" s="651"/>
      <c r="BL411" s="651"/>
      <c r="BM411" s="651"/>
      <c r="BN411" s="651"/>
      <c r="BO411" s="651"/>
      <c r="BP411" s="651"/>
      <c r="BQ411" s="651"/>
      <c r="BR411" s="651"/>
      <c r="BS411" s="651"/>
      <c r="BT411" s="651"/>
    </row>
    <row r="412" ht="12.75" customHeight="1">
      <c r="A412" s="1074"/>
      <c r="B412" s="584"/>
      <c r="C412" s="584"/>
      <c r="D412" s="584"/>
      <c r="E412" s="585"/>
      <c r="F412" s="1075"/>
      <c r="G412" s="587"/>
      <c r="H412" s="586"/>
      <c r="I412" s="443"/>
      <c r="J412" s="443"/>
      <c r="K412" s="354"/>
      <c r="L412" s="588"/>
      <c r="M412" s="588"/>
      <c r="N412" s="589"/>
      <c r="O412" s="595"/>
      <c r="P412" s="586"/>
      <c r="Q412" s="584"/>
      <c r="R412" s="603"/>
      <c r="S412" s="354"/>
      <c r="T412" s="584"/>
      <c r="U412" s="595"/>
      <c r="V412" s="595"/>
      <c r="W412" s="595"/>
      <c r="X412" s="443"/>
      <c r="Y412" s="595"/>
      <c r="Z412" s="595"/>
      <c r="AA412" s="595"/>
      <c r="AB412" s="354"/>
      <c r="AC412" s="651"/>
      <c r="AD412" s="1066"/>
      <c r="AE412" s="1066"/>
      <c r="AF412" s="1066"/>
      <c r="AG412" s="1067"/>
      <c r="AH412" s="1066"/>
      <c r="AI412" s="1066"/>
      <c r="AJ412" s="1066"/>
      <c r="AK412" s="1066"/>
      <c r="AL412" s="1066"/>
      <c r="AM412" s="1066"/>
      <c r="AN412" s="595"/>
      <c r="AO412" s="651"/>
      <c r="AP412" s="597"/>
      <c r="AQ412" s="1066"/>
      <c r="AR412" s="1066"/>
      <c r="AS412" s="1066"/>
      <c r="AT412" s="1066"/>
      <c r="AU412" s="1066"/>
      <c r="AV412" s="1066"/>
      <c r="AW412" s="1066"/>
      <c r="AX412" s="1066"/>
      <c r="AY412" s="1066"/>
      <c r="AZ412" s="1066"/>
      <c r="BA412" s="1066"/>
      <c r="BB412" s="584"/>
      <c r="BC412" s="584"/>
      <c r="BD412" s="584"/>
      <c r="BE412" s="584"/>
      <c r="BF412" s="584"/>
      <c r="BG412" s="584"/>
      <c r="BH412" s="584"/>
      <c r="BI412" s="584"/>
      <c r="BJ412" s="597"/>
      <c r="BK412" s="597"/>
      <c r="BL412" s="597"/>
      <c r="BM412" s="597"/>
      <c r="BN412" s="597"/>
      <c r="BO412" s="597"/>
      <c r="BP412" s="597"/>
      <c r="BQ412" s="597"/>
      <c r="BR412" s="597"/>
      <c r="BS412" s="597"/>
      <c r="BT412" s="597"/>
    </row>
    <row r="413" ht="12.75" customHeight="1">
      <c r="A413" s="1074"/>
      <c r="B413" s="584"/>
      <c r="C413" s="584"/>
      <c r="D413" s="584"/>
      <c r="E413" s="585"/>
      <c r="F413" s="1075"/>
      <c r="G413" s="587"/>
      <c r="H413" s="586"/>
      <c r="I413" s="584"/>
      <c r="J413" s="584"/>
      <c r="K413" s="586"/>
      <c r="L413" s="588"/>
      <c r="M413" s="588"/>
      <c r="N413" s="589"/>
      <c r="O413" s="584"/>
      <c r="P413" s="586"/>
      <c r="Q413" s="584"/>
      <c r="R413" s="603"/>
      <c r="S413" s="354"/>
      <c r="T413" s="584"/>
      <c r="U413" s="595"/>
      <c r="V413" s="595"/>
      <c r="W413" s="595"/>
      <c r="X413" s="443"/>
      <c r="Y413" s="595"/>
      <c r="Z413" s="595"/>
      <c r="AA413" s="595"/>
      <c r="AB413" s="354"/>
      <c r="AC413" s="651"/>
      <c r="AD413" s="1066"/>
      <c r="AE413" s="1066"/>
      <c r="AF413" s="1066"/>
      <c r="AG413" s="1067"/>
      <c r="AH413" s="1066"/>
      <c r="AI413" s="1066"/>
      <c r="AJ413" s="1066"/>
      <c r="AK413" s="1066"/>
      <c r="AL413" s="1066"/>
      <c r="AM413" s="1066"/>
      <c r="AN413" s="595"/>
      <c r="AO413" s="651"/>
      <c r="AP413" s="597"/>
      <c r="AQ413" s="1066"/>
      <c r="AR413" s="1066"/>
      <c r="AS413" s="1066"/>
      <c r="AT413" s="1066"/>
      <c r="AU413" s="1066"/>
      <c r="AV413" s="1066"/>
      <c r="AW413" s="1066"/>
      <c r="AX413" s="1066"/>
      <c r="AY413" s="1066"/>
      <c r="AZ413" s="1066"/>
      <c r="BA413" s="1066"/>
      <c r="BB413" s="584"/>
      <c r="BC413" s="584"/>
      <c r="BD413" s="584"/>
      <c r="BE413" s="584"/>
      <c r="BF413" s="584"/>
      <c r="BG413" s="584"/>
      <c r="BH413" s="584"/>
      <c r="BI413" s="584"/>
      <c r="BJ413" s="597"/>
      <c r="BK413" s="597"/>
      <c r="BL413" s="597"/>
      <c r="BM413" s="597"/>
      <c r="BN413" s="597"/>
      <c r="BO413" s="597"/>
      <c r="BP413" s="597"/>
      <c r="BQ413" s="597"/>
      <c r="BR413" s="597"/>
      <c r="BS413" s="597"/>
      <c r="BT413" s="597"/>
    </row>
    <row r="414" ht="12.75" customHeight="1">
      <c r="A414" s="1074"/>
      <c r="B414" s="597"/>
      <c r="C414" s="584"/>
      <c r="D414" s="584"/>
      <c r="E414" s="585"/>
      <c r="F414" s="1075"/>
      <c r="G414" s="587"/>
      <c r="H414" s="586"/>
      <c r="I414" s="584"/>
      <c r="J414" s="584"/>
      <c r="K414" s="586"/>
      <c r="L414" s="588"/>
      <c r="M414" s="588"/>
      <c r="N414" s="589"/>
      <c r="O414" s="597"/>
      <c r="P414" s="1068"/>
      <c r="Q414" s="597"/>
      <c r="R414" s="603"/>
      <c r="S414" s="354"/>
      <c r="T414" s="584"/>
      <c r="U414" s="595"/>
      <c r="V414" s="595"/>
      <c r="W414" s="595"/>
      <c r="X414" s="443"/>
      <c r="Y414" s="595"/>
      <c r="Z414" s="595"/>
      <c r="AA414" s="595"/>
      <c r="AB414" s="354"/>
      <c r="AC414" s="651"/>
      <c r="AD414" s="1066"/>
      <c r="AE414" s="1066"/>
      <c r="AF414" s="1066"/>
      <c r="AG414" s="1067"/>
      <c r="AH414" s="1066"/>
      <c r="AI414" s="1066"/>
      <c r="AJ414" s="1066"/>
      <c r="AK414" s="1066"/>
      <c r="AL414" s="1066"/>
      <c r="AM414" s="1066"/>
      <c r="AN414" s="595"/>
      <c r="AO414" s="651"/>
      <c r="AP414" s="597"/>
      <c r="AQ414" s="1066"/>
      <c r="AR414" s="1066"/>
      <c r="AS414" s="1066"/>
      <c r="AT414" s="1066"/>
      <c r="AU414" s="1066"/>
      <c r="AV414" s="1066"/>
      <c r="AW414" s="1066"/>
      <c r="AX414" s="1066"/>
      <c r="AY414" s="1066"/>
      <c r="AZ414" s="1066"/>
      <c r="BA414" s="1066"/>
      <c r="BB414" s="597"/>
      <c r="BC414" s="597"/>
      <c r="BD414" s="597"/>
      <c r="BE414" s="597"/>
      <c r="BF414" s="597"/>
      <c r="BG414" s="597"/>
      <c r="BH414" s="597"/>
      <c r="BI414" s="597"/>
      <c r="BJ414" s="597"/>
      <c r="BK414" s="597"/>
      <c r="BL414" s="597"/>
      <c r="BM414" s="597"/>
      <c r="BN414" s="597"/>
      <c r="BO414" s="597"/>
      <c r="BP414" s="597"/>
      <c r="BQ414" s="597"/>
      <c r="BR414" s="597"/>
      <c r="BS414" s="597"/>
      <c r="BT414" s="597"/>
    </row>
    <row r="415" ht="12.75" customHeight="1">
      <c r="A415" s="1074"/>
      <c r="B415" s="597"/>
      <c r="C415" s="597"/>
      <c r="D415" s="597"/>
      <c r="E415" s="1069"/>
      <c r="F415" s="1186"/>
      <c r="G415" s="1070"/>
      <c r="H415" s="1068"/>
      <c r="I415" s="597"/>
      <c r="J415" s="597"/>
      <c r="K415" s="1068"/>
      <c r="L415" s="1071"/>
      <c r="M415" s="1071"/>
      <c r="N415" s="1072"/>
      <c r="O415" s="597"/>
      <c r="P415" s="1068"/>
      <c r="Q415" s="597"/>
      <c r="R415" s="603"/>
      <c r="S415" s="354"/>
      <c r="T415" s="584"/>
      <c r="U415" s="595"/>
      <c r="V415" s="595"/>
      <c r="W415" s="595"/>
      <c r="X415" s="443"/>
      <c r="Y415" s="595"/>
      <c r="Z415" s="595"/>
      <c r="AA415" s="595"/>
      <c r="AB415" s="354"/>
      <c r="AC415" s="651"/>
      <c r="AD415" s="1066"/>
      <c r="AE415" s="1066"/>
      <c r="AF415" s="1066"/>
      <c r="AG415" s="1067"/>
      <c r="AH415" s="1066"/>
      <c r="AI415" s="1066"/>
      <c r="AJ415" s="1066"/>
      <c r="AK415" s="1066"/>
      <c r="AL415" s="1066"/>
      <c r="AM415" s="1066"/>
      <c r="AN415" s="595"/>
      <c r="AO415" s="651"/>
      <c r="AP415" s="597"/>
      <c r="AQ415" s="1066"/>
      <c r="AR415" s="1066"/>
      <c r="AS415" s="1066"/>
      <c r="AT415" s="1066"/>
      <c r="AU415" s="1066"/>
      <c r="AV415" s="1066"/>
      <c r="AW415" s="1066"/>
      <c r="AX415" s="1066"/>
      <c r="AY415" s="1066"/>
      <c r="AZ415" s="1066"/>
      <c r="BA415" s="1066"/>
      <c r="BB415" s="597"/>
      <c r="BC415" s="597"/>
      <c r="BD415" s="597"/>
      <c r="BE415" s="597"/>
      <c r="BF415" s="597"/>
      <c r="BG415" s="597"/>
      <c r="BH415" s="597"/>
      <c r="BI415" s="597"/>
      <c r="BJ415" s="597"/>
      <c r="BK415" s="597"/>
      <c r="BL415" s="597"/>
      <c r="BM415" s="597"/>
      <c r="BN415" s="597"/>
      <c r="BO415" s="597"/>
      <c r="BP415" s="597"/>
      <c r="BQ415" s="597"/>
      <c r="BR415" s="597"/>
      <c r="BS415" s="597"/>
      <c r="BT415" s="597"/>
    </row>
    <row r="416" ht="12.75" customHeight="1">
      <c r="A416" s="1074"/>
      <c r="B416" s="597"/>
      <c r="C416" s="597"/>
      <c r="D416" s="597"/>
      <c r="E416" s="1069"/>
      <c r="F416" s="1186"/>
      <c r="G416" s="1070"/>
      <c r="H416" s="1068"/>
      <c r="I416" s="597"/>
      <c r="J416" s="597"/>
      <c r="K416" s="1068"/>
      <c r="L416" s="1071"/>
      <c r="M416" s="1071"/>
      <c r="N416" s="1072"/>
      <c r="O416" s="597"/>
      <c r="P416" s="1068"/>
      <c r="Q416" s="597"/>
      <c r="R416" s="603"/>
      <c r="S416" s="354"/>
      <c r="T416" s="584"/>
      <c r="U416" s="595"/>
      <c r="V416" s="595"/>
      <c r="W416" s="595"/>
      <c r="X416" s="443"/>
      <c r="Y416" s="595"/>
      <c r="Z416" s="595"/>
      <c r="AA416" s="595"/>
      <c r="AB416" s="354"/>
      <c r="AC416" s="651"/>
      <c r="AD416" s="1066"/>
      <c r="AE416" s="1066"/>
      <c r="AF416" s="1066"/>
      <c r="AG416" s="1067"/>
      <c r="AH416" s="1066"/>
      <c r="AI416" s="1066"/>
      <c r="AJ416" s="1066"/>
      <c r="AK416" s="1066"/>
      <c r="AL416" s="1066"/>
      <c r="AM416" s="1066"/>
      <c r="AN416" s="595"/>
      <c r="AO416" s="651"/>
      <c r="AP416" s="597"/>
      <c r="AQ416" s="1066"/>
      <c r="AR416" s="1066"/>
      <c r="AS416" s="1066"/>
      <c r="AT416" s="1066"/>
      <c r="AU416" s="1066"/>
      <c r="AV416" s="1066"/>
      <c r="AW416" s="1066"/>
      <c r="AX416" s="1066"/>
      <c r="AY416" s="1066"/>
      <c r="AZ416" s="1066"/>
      <c r="BA416" s="1066"/>
      <c r="BB416" s="597"/>
      <c r="BC416" s="597"/>
      <c r="BD416" s="597"/>
      <c r="BE416" s="597"/>
      <c r="BF416" s="597"/>
      <c r="BG416" s="597"/>
      <c r="BH416" s="597"/>
      <c r="BI416" s="597"/>
      <c r="BJ416" s="597"/>
      <c r="BK416" s="597"/>
      <c r="BL416" s="597"/>
      <c r="BM416" s="597"/>
      <c r="BN416" s="597"/>
      <c r="BO416" s="597"/>
      <c r="BP416" s="597"/>
      <c r="BQ416" s="597"/>
      <c r="BR416" s="597"/>
      <c r="BS416" s="597"/>
      <c r="BT416" s="597"/>
    </row>
    <row r="417" ht="12.75" customHeight="1">
      <c r="A417" s="1074"/>
      <c r="B417" s="597"/>
      <c r="C417" s="597"/>
      <c r="D417" s="597"/>
      <c r="E417" s="1069"/>
      <c r="F417" s="1186"/>
      <c r="G417" s="1070"/>
      <c r="H417" s="1068"/>
      <c r="I417" s="597"/>
      <c r="J417" s="597"/>
      <c r="K417" s="1068"/>
      <c r="L417" s="1071"/>
      <c r="M417" s="1071"/>
      <c r="N417" s="1072"/>
      <c r="O417" s="597"/>
      <c r="P417" s="1068"/>
      <c r="Q417" s="597"/>
      <c r="R417" s="603"/>
      <c r="S417" s="354"/>
      <c r="T417" s="584"/>
      <c r="U417" s="595"/>
      <c r="V417" s="595"/>
      <c r="W417" s="595"/>
      <c r="X417" s="443"/>
      <c r="Y417" s="595"/>
      <c r="Z417" s="595"/>
      <c r="AA417" s="595"/>
      <c r="AB417" s="354"/>
      <c r="AC417" s="651"/>
      <c r="AD417" s="1066"/>
      <c r="AE417" s="1066"/>
      <c r="AF417" s="1066"/>
      <c r="AG417" s="1067"/>
      <c r="AH417" s="1066"/>
      <c r="AI417" s="1066"/>
      <c r="AJ417" s="1066"/>
      <c r="AK417" s="1066"/>
      <c r="AL417" s="1066"/>
      <c r="AM417" s="1066"/>
      <c r="AN417" s="595"/>
      <c r="AO417" s="651"/>
      <c r="AP417" s="597"/>
      <c r="AQ417" s="1066"/>
      <c r="AR417" s="1066"/>
      <c r="AS417" s="1066"/>
      <c r="AT417" s="1066"/>
      <c r="AU417" s="1066"/>
      <c r="AV417" s="1066"/>
      <c r="AW417" s="1066"/>
      <c r="AX417" s="1066"/>
      <c r="AY417" s="1066"/>
      <c r="AZ417" s="1066"/>
      <c r="BA417" s="1066"/>
      <c r="BB417" s="597"/>
      <c r="BC417" s="597"/>
      <c r="BD417" s="597"/>
      <c r="BE417" s="597"/>
      <c r="BF417" s="597"/>
      <c r="BG417" s="597"/>
      <c r="BH417" s="597"/>
      <c r="BI417" s="597"/>
      <c r="BJ417" s="597"/>
      <c r="BK417" s="597"/>
      <c r="BL417" s="597"/>
      <c r="BM417" s="597"/>
      <c r="BN417" s="597"/>
      <c r="BO417" s="597"/>
      <c r="BP417" s="597"/>
      <c r="BQ417" s="597"/>
      <c r="BR417" s="597"/>
      <c r="BS417" s="597"/>
      <c r="BT417" s="597"/>
    </row>
    <row r="418" ht="12.75" customHeight="1">
      <c r="A418" s="1074"/>
      <c r="B418" s="597"/>
      <c r="C418" s="597"/>
      <c r="D418" s="597"/>
      <c r="E418" s="1069"/>
      <c r="F418" s="1186"/>
      <c r="G418" s="1070"/>
      <c r="H418" s="1068"/>
      <c r="I418" s="597"/>
      <c r="J418" s="597"/>
      <c r="K418" s="1068"/>
      <c r="L418" s="1071"/>
      <c r="M418" s="1071"/>
      <c r="N418" s="1072"/>
      <c r="O418" s="597"/>
      <c r="P418" s="1068"/>
      <c r="Q418" s="597"/>
      <c r="R418" s="603"/>
      <c r="S418" s="354"/>
      <c r="T418" s="584"/>
      <c r="U418" s="595"/>
      <c r="V418" s="595"/>
      <c r="W418" s="595"/>
      <c r="X418" s="443"/>
      <c r="Y418" s="595"/>
      <c r="Z418" s="595"/>
      <c r="AA418" s="595"/>
      <c r="AB418" s="354"/>
      <c r="AC418" s="651"/>
      <c r="AD418" s="1066"/>
      <c r="AE418" s="1066"/>
      <c r="AF418" s="1066"/>
      <c r="AG418" s="1067"/>
      <c r="AH418" s="1066"/>
      <c r="AI418" s="1066"/>
      <c r="AJ418" s="1066"/>
      <c r="AK418" s="1066"/>
      <c r="AL418" s="1066"/>
      <c r="AM418" s="595"/>
      <c r="AN418" s="651"/>
      <c r="AO418" s="651"/>
      <c r="AP418" s="597"/>
      <c r="AQ418" s="1066"/>
      <c r="AR418" s="1066"/>
      <c r="AS418" s="1066"/>
      <c r="AT418" s="1066"/>
      <c r="AU418" s="1066"/>
      <c r="AV418" s="1066"/>
      <c r="AW418" s="1066"/>
      <c r="AX418" s="1066"/>
      <c r="AY418" s="1066"/>
      <c r="AZ418" s="1066"/>
      <c r="BA418" s="1066"/>
      <c r="BB418" s="597"/>
      <c r="BC418" s="597"/>
      <c r="BD418" s="597"/>
      <c r="BE418" s="597"/>
      <c r="BF418" s="597"/>
      <c r="BG418" s="597"/>
      <c r="BH418" s="597"/>
      <c r="BI418" s="597"/>
      <c r="BJ418" s="597"/>
      <c r="BK418" s="597"/>
      <c r="BL418" s="597"/>
      <c r="BM418" s="597"/>
      <c r="BN418" s="597"/>
      <c r="BO418" s="597"/>
      <c r="BP418" s="597"/>
      <c r="BQ418" s="597"/>
      <c r="BR418" s="597"/>
      <c r="BS418" s="597"/>
      <c r="BT418" s="597"/>
    </row>
    <row r="419" ht="12.75" customHeight="1">
      <c r="A419" s="1074"/>
      <c r="B419" s="597"/>
      <c r="C419" s="597"/>
      <c r="D419" s="597"/>
      <c r="E419" s="1069"/>
      <c r="F419" s="1186"/>
      <c r="G419" s="1070"/>
      <c r="H419" s="1068"/>
      <c r="I419" s="597"/>
      <c r="J419" s="597"/>
      <c r="K419" s="1068"/>
      <c r="L419" s="1071"/>
      <c r="M419" s="1071"/>
      <c r="N419" s="1072"/>
      <c r="O419" s="597"/>
      <c r="P419" s="1068"/>
      <c r="Q419" s="597"/>
      <c r="R419" s="603"/>
      <c r="S419" s="354"/>
      <c r="T419" s="584"/>
      <c r="U419" s="595"/>
      <c r="V419" s="595"/>
      <c r="W419" s="595"/>
      <c r="X419" s="443"/>
      <c r="Y419" s="595"/>
      <c r="Z419" s="595"/>
      <c r="AA419" s="595"/>
      <c r="AB419" s="354"/>
      <c r="AC419" s="651"/>
      <c r="AD419" s="1066"/>
      <c r="AE419" s="1066"/>
      <c r="AF419" s="1066"/>
      <c r="AG419" s="1067"/>
      <c r="AH419" s="1066"/>
      <c r="AI419" s="1066"/>
      <c r="AJ419" s="1066"/>
      <c r="AK419" s="1066"/>
      <c r="AL419" s="1066"/>
      <c r="AM419" s="595"/>
      <c r="AN419" s="651"/>
      <c r="AO419" s="651"/>
      <c r="AP419" s="597"/>
      <c r="AQ419" s="1066"/>
      <c r="AR419" s="1066"/>
      <c r="AS419" s="1066"/>
      <c r="AT419" s="1066"/>
      <c r="AU419" s="1066"/>
      <c r="AV419" s="1066"/>
      <c r="AW419" s="1066"/>
      <c r="AX419" s="1066"/>
      <c r="AY419" s="1066"/>
      <c r="AZ419" s="1066"/>
      <c r="BA419" s="1066"/>
      <c r="BB419" s="597"/>
      <c r="BC419" s="597"/>
      <c r="BD419" s="597"/>
      <c r="BE419" s="597"/>
      <c r="BF419" s="597"/>
      <c r="BG419" s="597"/>
      <c r="BH419" s="597"/>
      <c r="BI419" s="597"/>
      <c r="BJ419" s="597"/>
      <c r="BK419" s="597"/>
      <c r="BL419" s="597"/>
      <c r="BM419" s="597"/>
      <c r="BN419" s="597"/>
      <c r="BO419" s="597"/>
      <c r="BP419" s="597"/>
      <c r="BQ419" s="597"/>
      <c r="BR419" s="597"/>
      <c r="BS419" s="597"/>
      <c r="BT419" s="597"/>
    </row>
    <row r="420" ht="12.75" customHeight="1">
      <c r="A420" s="1074"/>
      <c r="B420" s="597"/>
      <c r="C420" s="597"/>
      <c r="D420" s="597"/>
      <c r="E420" s="1069"/>
      <c r="F420" s="1186"/>
      <c r="G420" s="1070"/>
      <c r="H420" s="1068"/>
      <c r="I420" s="597"/>
      <c r="J420" s="597"/>
      <c r="K420" s="1068"/>
      <c r="L420" s="1071"/>
      <c r="M420" s="1071"/>
      <c r="N420" s="1072"/>
      <c r="O420" s="597"/>
      <c r="P420" s="1068"/>
      <c r="Q420" s="597"/>
      <c r="R420" s="603"/>
      <c r="S420" s="354"/>
      <c r="T420" s="584"/>
      <c r="U420" s="595"/>
      <c r="V420" s="595"/>
      <c r="W420" s="595"/>
      <c r="X420" s="443"/>
      <c r="Y420" s="595"/>
      <c r="Z420" s="595"/>
      <c r="AA420" s="595"/>
      <c r="AB420" s="354"/>
      <c r="AC420" s="651"/>
      <c r="AD420" s="1066"/>
      <c r="AE420" s="1066"/>
      <c r="AF420" s="1066"/>
      <c r="AG420" s="1067"/>
      <c r="AH420" s="1066"/>
      <c r="AI420" s="1066"/>
      <c r="AJ420" s="1066"/>
      <c r="AK420" s="1066"/>
      <c r="AL420" s="1066"/>
      <c r="AM420" s="595"/>
      <c r="AN420" s="651"/>
      <c r="AO420" s="597"/>
      <c r="AP420" s="597"/>
      <c r="AQ420" s="1066"/>
      <c r="AR420" s="1066"/>
      <c r="AS420" s="1066"/>
      <c r="AT420" s="1066"/>
      <c r="AU420" s="1066"/>
      <c r="AV420" s="1066"/>
      <c r="AW420" s="1066"/>
      <c r="AX420" s="1066"/>
      <c r="AY420" s="1066"/>
      <c r="AZ420" s="1066"/>
      <c r="BA420" s="1066"/>
      <c r="BB420" s="597"/>
      <c r="BC420" s="597"/>
      <c r="BD420" s="597"/>
      <c r="BE420" s="597"/>
      <c r="BF420" s="597"/>
      <c r="BG420" s="597"/>
      <c r="BH420" s="597"/>
      <c r="BI420" s="597"/>
      <c r="BJ420" s="597"/>
      <c r="BK420" s="597"/>
      <c r="BL420" s="597"/>
      <c r="BM420" s="597"/>
      <c r="BN420" s="597"/>
      <c r="BO420" s="597"/>
      <c r="BP420" s="597"/>
      <c r="BQ420" s="597"/>
      <c r="BR420" s="597"/>
      <c r="BS420" s="597"/>
      <c r="BT420" s="597"/>
    </row>
    <row r="421" ht="12.75" customHeight="1">
      <c r="A421" s="1074"/>
      <c r="B421" s="597"/>
      <c r="C421" s="597"/>
      <c r="D421" s="597"/>
      <c r="E421" s="1069"/>
      <c r="F421" s="1186"/>
      <c r="G421" s="1070"/>
      <c r="H421" s="1068"/>
      <c r="I421" s="597"/>
      <c r="J421" s="597"/>
      <c r="K421" s="1068"/>
      <c r="L421" s="1071"/>
      <c r="M421" s="1071"/>
      <c r="N421" s="1072"/>
      <c r="O421" s="597"/>
      <c r="P421" s="1068"/>
      <c r="Q421" s="597"/>
      <c r="R421" s="603"/>
      <c r="S421" s="354"/>
      <c r="T421" s="584"/>
      <c r="U421" s="595"/>
      <c r="V421" s="595"/>
      <c r="W421" s="595"/>
      <c r="X421" s="443"/>
      <c r="Y421" s="595"/>
      <c r="Z421" s="595"/>
      <c r="AA421" s="595"/>
      <c r="AB421" s="354"/>
      <c r="AC421" s="1066"/>
      <c r="AD421" s="1066"/>
      <c r="AE421" s="1066"/>
      <c r="AF421" s="1066"/>
      <c r="AG421" s="1067"/>
      <c r="AH421" s="1066"/>
      <c r="AI421" s="1066"/>
      <c r="AJ421" s="1066"/>
      <c r="AK421" s="1066"/>
      <c r="AL421" s="1066"/>
      <c r="AM421" s="595"/>
      <c r="AN421" s="651"/>
      <c r="AO421" s="597"/>
      <c r="AP421" s="597"/>
      <c r="AQ421" s="1066"/>
      <c r="AR421" s="1066"/>
      <c r="AS421" s="1066"/>
      <c r="AT421" s="1066"/>
      <c r="AU421" s="1066"/>
      <c r="AV421" s="1066"/>
      <c r="AW421" s="1066"/>
      <c r="AX421" s="1066"/>
      <c r="AY421" s="1066"/>
      <c r="AZ421" s="1066"/>
      <c r="BA421" s="1066"/>
      <c r="BB421" s="597"/>
      <c r="BC421" s="597"/>
      <c r="BD421" s="597"/>
      <c r="BE421" s="597"/>
      <c r="BF421" s="597"/>
      <c r="BG421" s="597"/>
      <c r="BH421" s="597"/>
      <c r="BI421" s="597"/>
      <c r="BJ421" s="597"/>
      <c r="BK421" s="597"/>
      <c r="BL421" s="597"/>
      <c r="BM421" s="597"/>
      <c r="BN421" s="597"/>
      <c r="BO421" s="597"/>
      <c r="BP421" s="597"/>
      <c r="BQ421" s="597"/>
      <c r="BR421" s="597"/>
      <c r="BS421" s="597"/>
      <c r="BT421" s="597"/>
    </row>
    <row r="422" ht="12.75" customHeight="1">
      <c r="A422" s="1074"/>
      <c r="B422" s="597"/>
      <c r="C422" s="597"/>
      <c r="D422" s="597"/>
      <c r="E422" s="1069"/>
      <c r="F422" s="1186"/>
      <c r="G422" s="1070"/>
      <c r="H422" s="1068"/>
      <c r="I422" s="597"/>
      <c r="J422" s="597"/>
      <c r="K422" s="1068"/>
      <c r="L422" s="1071"/>
      <c r="M422" s="1071"/>
      <c r="N422" s="1072"/>
      <c r="O422" s="597"/>
      <c r="P422" s="1068"/>
      <c r="Q422" s="597"/>
      <c r="R422" s="603"/>
      <c r="S422" s="354"/>
      <c r="T422" s="584"/>
      <c r="U422" s="595"/>
      <c r="V422" s="595"/>
      <c r="W422" s="595"/>
      <c r="X422" s="443"/>
      <c r="Y422" s="595"/>
      <c r="Z422" s="595"/>
      <c r="AA422" s="595"/>
      <c r="AB422" s="1073"/>
      <c r="AC422" s="1066"/>
      <c r="AD422" s="1066"/>
      <c r="AE422" s="1066"/>
      <c r="AF422" s="1066"/>
      <c r="AG422" s="1067"/>
      <c r="AH422" s="1066"/>
      <c r="AI422" s="1066"/>
      <c r="AJ422" s="1066"/>
      <c r="AK422" s="1066"/>
      <c r="AL422" s="1066"/>
      <c r="AM422" s="595"/>
      <c r="AN422" s="651"/>
      <c r="AO422" s="597"/>
      <c r="AP422" s="597"/>
      <c r="AQ422" s="1066"/>
      <c r="AR422" s="1066"/>
      <c r="AS422" s="1066"/>
      <c r="AT422" s="1066"/>
      <c r="AU422" s="1066"/>
      <c r="AV422" s="1066"/>
      <c r="AW422" s="1066"/>
      <c r="AX422" s="1066"/>
      <c r="AY422" s="1066"/>
      <c r="AZ422" s="1066"/>
      <c r="BA422" s="1066"/>
      <c r="BB422" s="597"/>
      <c r="BC422" s="597"/>
      <c r="BD422" s="597"/>
      <c r="BE422" s="597"/>
      <c r="BF422" s="597"/>
      <c r="BG422" s="597"/>
      <c r="BH422" s="597"/>
      <c r="BI422" s="597"/>
      <c r="BJ422" s="597"/>
      <c r="BK422" s="597"/>
      <c r="BL422" s="597"/>
      <c r="BM422" s="597"/>
      <c r="BN422" s="597"/>
      <c r="BO422" s="597"/>
      <c r="BP422" s="597"/>
      <c r="BQ422" s="597"/>
      <c r="BR422" s="597"/>
      <c r="BS422" s="597"/>
      <c r="BT422" s="597"/>
    </row>
    <row r="423" ht="12.75" customHeight="1">
      <c r="A423" s="1074"/>
      <c r="B423" s="597"/>
      <c r="C423" s="597"/>
      <c r="D423" s="597"/>
      <c r="E423" s="1069"/>
      <c r="F423" s="1186"/>
      <c r="G423" s="1070"/>
      <c r="H423" s="1068"/>
      <c r="I423" s="597"/>
      <c r="J423" s="597"/>
      <c r="K423" s="1068"/>
      <c r="L423" s="1071"/>
      <c r="M423" s="1071"/>
      <c r="N423" s="1072"/>
      <c r="O423" s="597"/>
      <c r="P423" s="1068"/>
      <c r="Q423" s="597"/>
      <c r="R423" s="603"/>
      <c r="S423" s="354"/>
      <c r="T423" s="584"/>
      <c r="U423" s="595"/>
      <c r="V423" s="595"/>
      <c r="W423" s="595"/>
      <c r="X423" s="443"/>
      <c r="Y423" s="595"/>
      <c r="Z423" s="595"/>
      <c r="AA423" s="595"/>
      <c r="AB423" s="1073"/>
      <c r="AC423" s="1066"/>
      <c r="AD423" s="1066"/>
      <c r="AE423" s="1066"/>
      <c r="AF423" s="1066"/>
      <c r="AG423" s="1067"/>
      <c r="AH423" s="1066"/>
      <c r="AI423" s="1066"/>
      <c r="AJ423" s="1066"/>
      <c r="AK423" s="1066"/>
      <c r="AL423" s="1066"/>
      <c r="AM423" s="651"/>
      <c r="AN423" s="651"/>
      <c r="AO423" s="597"/>
      <c r="AP423" s="597"/>
      <c r="AQ423" s="1066"/>
      <c r="AR423" s="1066"/>
      <c r="AS423" s="1066"/>
      <c r="AT423" s="1066"/>
      <c r="AU423" s="1066"/>
      <c r="AV423" s="1066"/>
      <c r="AW423" s="1066"/>
      <c r="AX423" s="1066"/>
      <c r="AY423" s="1066"/>
      <c r="AZ423" s="1066"/>
      <c r="BA423" s="1066"/>
      <c r="BB423" s="597"/>
      <c r="BC423" s="597"/>
      <c r="BD423" s="597"/>
      <c r="BE423" s="597"/>
      <c r="BF423" s="597"/>
      <c r="BG423" s="597"/>
      <c r="BH423" s="597"/>
      <c r="BI423" s="597"/>
      <c r="BJ423" s="597"/>
      <c r="BK423" s="597"/>
      <c r="BL423" s="597"/>
      <c r="BM423" s="597"/>
      <c r="BN423" s="597"/>
      <c r="BO423" s="597"/>
      <c r="BP423" s="597"/>
      <c r="BQ423" s="597"/>
      <c r="BR423" s="597"/>
      <c r="BS423" s="597"/>
      <c r="BT423" s="597"/>
    </row>
    <row r="424" ht="12.75" customHeight="1">
      <c r="A424" s="1074"/>
      <c r="B424" s="597"/>
      <c r="C424" s="597"/>
      <c r="D424" s="597"/>
      <c r="E424" s="1069"/>
      <c r="F424" s="1186"/>
      <c r="G424" s="1070"/>
      <c r="H424" s="1068"/>
      <c r="I424" s="597"/>
      <c r="J424" s="597"/>
      <c r="K424" s="1068"/>
      <c r="L424" s="1071"/>
      <c r="M424" s="1071"/>
      <c r="N424" s="1072"/>
      <c r="O424" s="597"/>
      <c r="P424" s="1068"/>
      <c r="Q424" s="597"/>
      <c r="R424" s="603"/>
      <c r="S424" s="354"/>
      <c r="T424" s="584"/>
      <c r="U424" s="595"/>
      <c r="V424" s="595"/>
      <c r="W424" s="595"/>
      <c r="X424" s="443"/>
      <c r="Y424" s="595"/>
      <c r="Z424" s="595"/>
      <c r="AA424" s="595"/>
      <c r="AB424" s="1073"/>
      <c r="AC424" s="1066"/>
      <c r="AD424" s="1066"/>
      <c r="AE424" s="1066"/>
      <c r="AF424" s="1066"/>
      <c r="AG424" s="1067"/>
      <c r="AH424" s="1066"/>
      <c r="AI424" s="1066"/>
      <c r="AJ424" s="1066"/>
      <c r="AK424" s="1066"/>
      <c r="AL424" s="1066"/>
      <c r="AM424" s="651"/>
      <c r="AN424" s="651"/>
      <c r="AO424" s="597"/>
      <c r="AP424" s="597"/>
      <c r="AQ424" s="1066"/>
      <c r="AR424" s="1066"/>
      <c r="AS424" s="1066"/>
      <c r="AT424" s="1066"/>
      <c r="AU424" s="1066"/>
      <c r="AV424" s="1066"/>
      <c r="AW424" s="1066"/>
      <c r="AX424" s="1066"/>
      <c r="AY424" s="1066"/>
      <c r="AZ424" s="1066"/>
      <c r="BA424" s="1066"/>
      <c r="BB424" s="597"/>
      <c r="BC424" s="597"/>
      <c r="BD424" s="597"/>
      <c r="BE424" s="597"/>
      <c r="BF424" s="597"/>
      <c r="BG424" s="597"/>
      <c r="BH424" s="597"/>
      <c r="BI424" s="597"/>
      <c r="BJ424" s="597"/>
      <c r="BK424" s="597"/>
      <c r="BL424" s="597"/>
      <c r="BM424" s="597"/>
      <c r="BN424" s="597"/>
      <c r="BO424" s="597"/>
      <c r="BP424" s="597"/>
      <c r="BQ424" s="597"/>
      <c r="BR424" s="597"/>
      <c r="BS424" s="597"/>
      <c r="BT424" s="597"/>
    </row>
    <row r="425" ht="12.75" customHeight="1">
      <c r="A425" s="1074"/>
      <c r="B425" s="597"/>
      <c r="C425" s="597"/>
      <c r="D425" s="597"/>
      <c r="E425" s="1069"/>
      <c r="F425" s="1186"/>
      <c r="G425" s="1070"/>
      <c r="H425" s="1068"/>
      <c r="I425" s="597"/>
      <c r="J425" s="597"/>
      <c r="K425" s="1068"/>
      <c r="L425" s="1071"/>
      <c r="M425" s="1071"/>
      <c r="N425" s="1072"/>
      <c r="O425" s="597"/>
      <c r="P425" s="1068"/>
      <c r="Q425" s="597"/>
      <c r="R425" s="603"/>
      <c r="S425" s="354"/>
      <c r="T425" s="584"/>
      <c r="U425" s="595"/>
      <c r="V425" s="595"/>
      <c r="W425" s="595"/>
      <c r="X425" s="443"/>
      <c r="Y425" s="595"/>
      <c r="Z425" s="595"/>
      <c r="AA425" s="595"/>
      <c r="AB425" s="1073"/>
      <c r="AC425" s="1066"/>
      <c r="AD425" s="1066"/>
      <c r="AE425" s="1066"/>
      <c r="AF425" s="1066"/>
      <c r="AG425" s="1067"/>
      <c r="AH425" s="1066"/>
      <c r="AI425" s="1066"/>
      <c r="AJ425" s="1066"/>
      <c r="AK425" s="1066"/>
      <c r="AL425" s="1066"/>
      <c r="AM425" s="651"/>
      <c r="AN425" s="651"/>
      <c r="AO425" s="597"/>
      <c r="AP425" s="597"/>
      <c r="AQ425" s="1066"/>
      <c r="AR425" s="1066"/>
      <c r="AS425" s="1066"/>
      <c r="AT425" s="1066"/>
      <c r="AU425" s="1066"/>
      <c r="AV425" s="1066"/>
      <c r="AW425" s="1066"/>
      <c r="AX425" s="1066"/>
      <c r="AY425" s="1066"/>
      <c r="AZ425" s="1066"/>
      <c r="BA425" s="1066"/>
      <c r="BB425" s="597"/>
      <c r="BC425" s="597"/>
      <c r="BD425" s="597"/>
      <c r="BE425" s="597"/>
      <c r="BF425" s="597"/>
      <c r="BG425" s="597"/>
      <c r="BH425" s="597"/>
      <c r="BI425" s="597"/>
      <c r="BJ425" s="597"/>
      <c r="BK425" s="597"/>
      <c r="BL425" s="597"/>
      <c r="BM425" s="597"/>
      <c r="BN425" s="597"/>
      <c r="BO425" s="597"/>
      <c r="BP425" s="597"/>
      <c r="BQ425" s="597"/>
      <c r="BR425" s="597"/>
      <c r="BS425" s="597"/>
      <c r="BT425" s="597"/>
    </row>
    <row r="426" ht="12.75" customHeight="1">
      <c r="A426" s="1074"/>
      <c r="B426" s="597"/>
      <c r="C426" s="597"/>
      <c r="D426" s="597"/>
      <c r="E426" s="1069"/>
      <c r="F426" s="1186"/>
      <c r="G426" s="1070"/>
      <c r="H426" s="1068"/>
      <c r="I426" s="597"/>
      <c r="J426" s="597"/>
      <c r="K426" s="1068"/>
      <c r="L426" s="1071"/>
      <c r="M426" s="1071"/>
      <c r="N426" s="1072"/>
      <c r="O426" s="597"/>
      <c r="P426" s="1068"/>
      <c r="Q426" s="597"/>
      <c r="R426" s="603"/>
      <c r="S426" s="354"/>
      <c r="T426" s="584"/>
      <c r="U426" s="595"/>
      <c r="V426" s="595"/>
      <c r="W426" s="595"/>
      <c r="X426" s="443"/>
      <c r="Y426" s="595"/>
      <c r="Z426" s="595"/>
      <c r="AA426" s="595"/>
      <c r="AB426" s="1073"/>
      <c r="AC426" s="1066"/>
      <c r="AD426" s="1066"/>
      <c r="AE426" s="1066"/>
      <c r="AF426" s="1066"/>
      <c r="AG426" s="1067"/>
      <c r="AH426" s="1066"/>
      <c r="AI426" s="1066"/>
      <c r="AJ426" s="1066"/>
      <c r="AK426" s="1066"/>
      <c r="AL426" s="1066"/>
      <c r="AM426" s="651"/>
      <c r="AN426" s="651"/>
      <c r="AO426" s="597"/>
      <c r="AP426" s="597"/>
      <c r="AQ426" s="1066"/>
      <c r="AR426" s="1066"/>
      <c r="AS426" s="1066"/>
      <c r="AT426" s="1066"/>
      <c r="AU426" s="1066"/>
      <c r="AV426" s="1066"/>
      <c r="AW426" s="1066"/>
      <c r="AX426" s="1066"/>
      <c r="AY426" s="1066"/>
      <c r="AZ426" s="1066"/>
      <c r="BA426" s="1066"/>
      <c r="BB426" s="597"/>
      <c r="BC426" s="597"/>
      <c r="BD426" s="597"/>
      <c r="BE426" s="597"/>
      <c r="BF426" s="597"/>
      <c r="BG426" s="597"/>
      <c r="BH426" s="597"/>
      <c r="BI426" s="597"/>
      <c r="BJ426" s="597"/>
      <c r="BK426" s="597"/>
      <c r="BL426" s="597"/>
      <c r="BM426" s="597"/>
      <c r="BN426" s="597"/>
      <c r="BO426" s="597"/>
      <c r="BP426" s="597"/>
      <c r="BQ426" s="597"/>
      <c r="BR426" s="597"/>
      <c r="BS426" s="597"/>
      <c r="BT426" s="597"/>
    </row>
    <row r="427" ht="12.75" customHeight="1">
      <c r="A427" s="1074"/>
      <c r="B427" s="597"/>
      <c r="C427" s="597"/>
      <c r="D427" s="597"/>
      <c r="E427" s="1069"/>
      <c r="F427" s="1186"/>
      <c r="G427" s="1070"/>
      <c r="H427" s="1068"/>
      <c r="I427" s="597"/>
      <c r="J427" s="597"/>
      <c r="K427" s="1068"/>
      <c r="L427" s="1071"/>
      <c r="M427" s="1071"/>
      <c r="N427" s="1072"/>
      <c r="O427" s="597"/>
      <c r="P427" s="1068"/>
      <c r="Q427" s="597"/>
      <c r="R427" s="603"/>
      <c r="S427" s="354"/>
      <c r="T427" s="584"/>
      <c r="U427" s="595"/>
      <c r="V427" s="595"/>
      <c r="W427" s="595"/>
      <c r="X427" s="443"/>
      <c r="Y427" s="595"/>
      <c r="Z427" s="595"/>
      <c r="AA427" s="595"/>
      <c r="AB427" s="1073"/>
      <c r="AC427" s="1066"/>
      <c r="AD427" s="1066"/>
      <c r="AE427" s="1066"/>
      <c r="AF427" s="1066"/>
      <c r="AG427" s="1067"/>
      <c r="AH427" s="1066"/>
      <c r="AI427" s="1066"/>
      <c r="AJ427" s="1066"/>
      <c r="AK427" s="1066"/>
      <c r="AL427" s="1066"/>
      <c r="AM427" s="651"/>
      <c r="AN427" s="651"/>
      <c r="AO427" s="597"/>
      <c r="AP427" s="597"/>
      <c r="AQ427" s="1066"/>
      <c r="AR427" s="1066"/>
      <c r="AS427" s="1066"/>
      <c r="AT427" s="1066"/>
      <c r="AU427" s="1066"/>
      <c r="AV427" s="1066"/>
      <c r="AW427" s="1066"/>
      <c r="AX427" s="1066"/>
      <c r="AY427" s="1066"/>
      <c r="AZ427" s="1066"/>
      <c r="BA427" s="1066"/>
      <c r="BB427" s="597"/>
      <c r="BC427" s="597"/>
      <c r="BD427" s="597"/>
      <c r="BE427" s="597"/>
      <c r="BF427" s="597"/>
      <c r="BG427" s="597"/>
      <c r="BH427" s="597"/>
      <c r="BI427" s="597"/>
      <c r="BJ427" s="597"/>
      <c r="BK427" s="597"/>
      <c r="BL427" s="597"/>
      <c r="BM427" s="597"/>
      <c r="BN427" s="597"/>
      <c r="BO427" s="597"/>
      <c r="BP427" s="597"/>
      <c r="BQ427" s="597"/>
      <c r="BR427" s="597"/>
      <c r="BS427" s="597"/>
      <c r="BT427" s="597"/>
    </row>
    <row r="428" ht="12.75" customHeight="1">
      <c r="A428" s="1074"/>
      <c r="B428" s="597"/>
      <c r="C428" s="597"/>
      <c r="D428" s="597"/>
      <c r="E428" s="1069"/>
      <c r="F428" s="1186"/>
      <c r="G428" s="1070"/>
      <c r="H428" s="1068"/>
      <c r="I428" s="597"/>
      <c r="J428" s="597"/>
      <c r="K428" s="1068"/>
      <c r="L428" s="1071"/>
      <c r="M428" s="1071"/>
      <c r="N428" s="1072"/>
      <c r="O428" s="597"/>
      <c r="P428" s="1068"/>
      <c r="Q428" s="597"/>
      <c r="R428" s="603"/>
      <c r="S428" s="354"/>
      <c r="T428" s="584"/>
      <c r="U428" s="595"/>
      <c r="V428" s="595"/>
      <c r="W428" s="595"/>
      <c r="X428" s="443"/>
      <c r="Y428" s="595"/>
      <c r="Z428" s="595"/>
      <c r="AA428" s="595"/>
      <c r="AB428" s="1073"/>
      <c r="AC428" s="1066"/>
      <c r="AD428" s="1066"/>
      <c r="AE428" s="1066"/>
      <c r="AF428" s="1066"/>
      <c r="AG428" s="1067"/>
      <c r="AH428" s="1066"/>
      <c r="AI428" s="1066"/>
      <c r="AJ428" s="1066"/>
      <c r="AK428" s="1066"/>
      <c r="AL428" s="1066"/>
      <c r="AM428" s="651"/>
      <c r="AN428" s="651"/>
      <c r="AO428" s="597"/>
      <c r="AP428" s="597"/>
      <c r="AQ428" s="1066"/>
      <c r="AR428" s="1066"/>
      <c r="AS428" s="1066"/>
      <c r="AT428" s="1066"/>
      <c r="AU428" s="1066"/>
      <c r="AV428" s="1066"/>
      <c r="AW428" s="1066"/>
      <c r="AX428" s="1066"/>
      <c r="AY428" s="1066"/>
      <c r="AZ428" s="1066"/>
      <c r="BA428" s="1066"/>
      <c r="BB428" s="597"/>
      <c r="BC428" s="597"/>
      <c r="BD428" s="597"/>
      <c r="BE428" s="597"/>
      <c r="BF428" s="597"/>
      <c r="BG428" s="597"/>
      <c r="BH428" s="597"/>
      <c r="BI428" s="597"/>
      <c r="BJ428" s="597"/>
      <c r="BK428" s="597"/>
      <c r="BL428" s="597"/>
      <c r="BM428" s="597"/>
      <c r="BN428" s="597"/>
      <c r="BO428" s="597"/>
      <c r="BP428" s="597"/>
      <c r="BQ428" s="597"/>
      <c r="BR428" s="597"/>
      <c r="BS428" s="597"/>
      <c r="BT428" s="597"/>
    </row>
    <row r="429" ht="12.75" customHeight="1">
      <c r="A429" s="1074"/>
      <c r="B429" s="597"/>
      <c r="C429" s="597"/>
      <c r="D429" s="597"/>
      <c r="E429" s="1069"/>
      <c r="F429" s="1186"/>
      <c r="G429" s="1070"/>
      <c r="H429" s="1068"/>
      <c r="I429" s="597"/>
      <c r="J429" s="597"/>
      <c r="K429" s="1068"/>
      <c r="L429" s="1071"/>
      <c r="M429" s="1071"/>
      <c r="N429" s="1072"/>
      <c r="O429" s="597"/>
      <c r="P429" s="1068"/>
      <c r="Q429" s="597"/>
      <c r="R429" s="603"/>
      <c r="S429" s="354"/>
      <c r="T429" s="584"/>
      <c r="U429" s="595"/>
      <c r="V429" s="595"/>
      <c r="W429" s="595"/>
      <c r="X429" s="443"/>
      <c r="Y429" s="595"/>
      <c r="Z429" s="595"/>
      <c r="AA429" s="595"/>
      <c r="AB429" s="1073"/>
      <c r="AC429" s="1066"/>
      <c r="AD429" s="1066"/>
      <c r="AE429" s="1066"/>
      <c r="AF429" s="1066"/>
      <c r="AG429" s="1067"/>
      <c r="AH429" s="1066"/>
      <c r="AI429" s="1066"/>
      <c r="AJ429" s="1066"/>
      <c r="AK429" s="1066"/>
      <c r="AL429" s="1066"/>
      <c r="AM429" s="651"/>
      <c r="AN429" s="651"/>
      <c r="AO429" s="597"/>
      <c r="AP429" s="597"/>
      <c r="AQ429" s="1066"/>
      <c r="AR429" s="1066"/>
      <c r="AS429" s="1066"/>
      <c r="AT429" s="1066"/>
      <c r="AU429" s="1066"/>
      <c r="AV429" s="1066"/>
      <c r="AW429" s="1066"/>
      <c r="AX429" s="1066"/>
      <c r="AY429" s="1066"/>
      <c r="AZ429" s="1066"/>
      <c r="BA429" s="1066"/>
      <c r="BB429" s="597"/>
      <c r="BC429" s="597"/>
      <c r="BD429" s="597"/>
      <c r="BE429" s="597"/>
      <c r="BF429" s="597"/>
      <c r="BG429" s="597"/>
      <c r="BH429" s="597"/>
      <c r="BI429" s="597"/>
      <c r="BJ429" s="597"/>
      <c r="BK429" s="597"/>
      <c r="BL429" s="597"/>
      <c r="BM429" s="597"/>
      <c r="BN429" s="597"/>
      <c r="BO429" s="597"/>
      <c r="BP429" s="597"/>
      <c r="BQ429" s="597"/>
      <c r="BR429" s="597"/>
      <c r="BS429" s="597"/>
      <c r="BT429" s="597"/>
    </row>
    <row r="430" ht="12.75" customHeight="1">
      <c r="A430" s="1074"/>
      <c r="B430" s="597"/>
      <c r="C430" s="597"/>
      <c r="D430" s="597"/>
      <c r="E430" s="1069"/>
      <c r="F430" s="1186"/>
      <c r="G430" s="1070"/>
      <c r="H430" s="1068"/>
      <c r="I430" s="597"/>
      <c r="J430" s="597"/>
      <c r="K430" s="1068"/>
      <c r="L430" s="1071"/>
      <c r="M430" s="1071"/>
      <c r="N430" s="1072"/>
      <c r="O430" s="597"/>
      <c r="P430" s="1068"/>
      <c r="Q430" s="597"/>
      <c r="R430" s="603"/>
      <c r="S430" s="354"/>
      <c r="T430" s="584"/>
      <c r="U430" s="595"/>
      <c r="V430" s="595"/>
      <c r="W430" s="595"/>
      <c r="X430" s="443"/>
      <c r="Y430" s="595"/>
      <c r="Z430" s="595"/>
      <c r="AA430" s="595"/>
      <c r="AB430" s="1073"/>
      <c r="AC430" s="1066"/>
      <c r="AD430" s="1066"/>
      <c r="AE430" s="1066"/>
      <c r="AF430" s="1066"/>
      <c r="AG430" s="1067"/>
      <c r="AH430" s="1066"/>
      <c r="AI430" s="1066"/>
      <c r="AJ430" s="1066"/>
      <c r="AK430" s="1066"/>
      <c r="AL430" s="1066"/>
      <c r="AM430" s="651"/>
      <c r="AN430" s="651"/>
      <c r="AO430" s="597"/>
      <c r="AP430" s="597"/>
      <c r="AQ430" s="1066"/>
      <c r="AR430" s="1066"/>
      <c r="AS430" s="1066"/>
      <c r="AT430" s="1066"/>
      <c r="AU430" s="1066"/>
      <c r="AV430" s="1066"/>
      <c r="AW430" s="1066"/>
      <c r="AX430" s="1066"/>
      <c r="AY430" s="1066"/>
      <c r="AZ430" s="1066"/>
      <c r="BA430" s="1066"/>
      <c r="BB430" s="597"/>
      <c r="BC430" s="597"/>
      <c r="BD430" s="597"/>
      <c r="BE430" s="597"/>
      <c r="BF430" s="597"/>
      <c r="BG430" s="597"/>
      <c r="BH430" s="597"/>
      <c r="BI430" s="597"/>
      <c r="BJ430" s="597"/>
      <c r="BK430" s="597"/>
      <c r="BL430" s="597"/>
      <c r="BM430" s="597"/>
      <c r="BN430" s="597"/>
      <c r="BO430" s="597"/>
      <c r="BP430" s="597"/>
      <c r="BQ430" s="597"/>
      <c r="BR430" s="597"/>
      <c r="BS430" s="597"/>
      <c r="BT430" s="597"/>
    </row>
    <row r="431" ht="12.75" customHeight="1">
      <c r="A431" s="1074"/>
      <c r="B431" s="597"/>
      <c r="C431" s="597"/>
      <c r="D431" s="597"/>
      <c r="E431" s="1069"/>
      <c r="F431" s="1186"/>
      <c r="G431" s="1070"/>
      <c r="H431" s="1068"/>
      <c r="I431" s="597"/>
      <c r="J431" s="597"/>
      <c r="K431" s="1068"/>
      <c r="L431" s="1071"/>
      <c r="M431" s="1071"/>
      <c r="N431" s="1072"/>
      <c r="O431" s="597"/>
      <c r="P431" s="1068"/>
      <c r="Q431" s="597"/>
      <c r="R431" s="603"/>
      <c r="S431" s="354"/>
      <c r="T431" s="584"/>
      <c r="U431" s="595"/>
      <c r="V431" s="595"/>
      <c r="W431" s="595"/>
      <c r="X431" s="443"/>
      <c r="Y431" s="595"/>
      <c r="Z431" s="595"/>
      <c r="AA431" s="595"/>
      <c r="AB431" s="1073"/>
      <c r="AC431" s="1066"/>
      <c r="AD431" s="1066"/>
      <c r="AE431" s="1066"/>
      <c r="AF431" s="1066"/>
      <c r="AG431" s="1067"/>
      <c r="AH431" s="1066"/>
      <c r="AI431" s="1066"/>
      <c r="AJ431" s="1066"/>
      <c r="AK431" s="1066"/>
      <c r="AL431" s="1066"/>
      <c r="AM431" s="651"/>
      <c r="AN431" s="651"/>
      <c r="AO431" s="597"/>
      <c r="AP431" s="597"/>
      <c r="AQ431" s="1066"/>
      <c r="AR431" s="1066"/>
      <c r="AS431" s="1066"/>
      <c r="AT431" s="1066"/>
      <c r="AU431" s="1066"/>
      <c r="AV431" s="1066"/>
      <c r="AW431" s="1066"/>
      <c r="AX431" s="1066"/>
      <c r="AY431" s="1066"/>
      <c r="AZ431" s="1066"/>
      <c r="BA431" s="1066"/>
      <c r="BB431" s="597"/>
      <c r="BC431" s="597"/>
      <c r="BD431" s="597"/>
      <c r="BE431" s="597"/>
      <c r="BF431" s="597"/>
      <c r="BG431" s="597"/>
      <c r="BH431" s="597"/>
      <c r="BI431" s="597"/>
      <c r="BJ431" s="597"/>
      <c r="BK431" s="597"/>
      <c r="BL431" s="597"/>
      <c r="BM431" s="597"/>
      <c r="BN431" s="597"/>
      <c r="BO431" s="597"/>
      <c r="BP431" s="597"/>
      <c r="BQ431" s="597"/>
      <c r="BR431" s="597"/>
      <c r="BS431" s="597"/>
      <c r="BT431" s="597"/>
    </row>
    <row r="432" ht="12.75" customHeight="1">
      <c r="A432" s="1074"/>
      <c r="B432" s="597"/>
      <c r="C432" s="597"/>
      <c r="D432" s="597"/>
      <c r="E432" s="1069"/>
      <c r="F432" s="1186"/>
      <c r="G432" s="1070"/>
      <c r="H432" s="1068"/>
      <c r="I432" s="597"/>
      <c r="J432" s="597"/>
      <c r="K432" s="1068"/>
      <c r="L432" s="1071"/>
      <c r="M432" s="1071"/>
      <c r="N432" s="1072"/>
      <c r="O432" s="597"/>
      <c r="P432" s="1068"/>
      <c r="Q432" s="597"/>
      <c r="R432" s="603"/>
      <c r="S432" s="354"/>
      <c r="T432" s="584"/>
      <c r="U432" s="595"/>
      <c r="V432" s="595"/>
      <c r="W432" s="595"/>
      <c r="X432" s="443"/>
      <c r="Y432" s="595"/>
      <c r="Z432" s="595"/>
      <c r="AA432" s="595"/>
      <c r="AB432" s="1073"/>
      <c r="AC432" s="1066"/>
      <c r="AD432" s="1066"/>
      <c r="AE432" s="1066"/>
      <c r="AF432" s="1066"/>
      <c r="AG432" s="1067"/>
      <c r="AH432" s="1066"/>
      <c r="AI432" s="1066"/>
      <c r="AJ432" s="1066"/>
      <c r="AK432" s="1066"/>
      <c r="AL432" s="1066"/>
      <c r="AM432" s="651"/>
      <c r="AN432" s="651"/>
      <c r="AO432" s="597"/>
      <c r="AP432" s="597"/>
      <c r="AQ432" s="1066"/>
      <c r="AR432" s="1066"/>
      <c r="AS432" s="1066"/>
      <c r="AT432" s="1066"/>
      <c r="AU432" s="1066"/>
      <c r="AV432" s="1066"/>
      <c r="AW432" s="1066"/>
      <c r="AX432" s="1066"/>
      <c r="AY432" s="1066"/>
      <c r="AZ432" s="1066"/>
      <c r="BA432" s="1066"/>
      <c r="BB432" s="597"/>
      <c r="BC432" s="597"/>
      <c r="BD432" s="597"/>
      <c r="BE432" s="597"/>
      <c r="BF432" s="597"/>
      <c r="BG432" s="597"/>
      <c r="BH432" s="597"/>
      <c r="BI432" s="597"/>
      <c r="BJ432" s="597"/>
      <c r="BK432" s="597"/>
      <c r="BL432" s="597"/>
      <c r="BM432" s="597"/>
      <c r="BN432" s="597"/>
      <c r="BO432" s="597"/>
      <c r="BP432" s="597"/>
      <c r="BQ432" s="597"/>
      <c r="BR432" s="597"/>
      <c r="BS432" s="597"/>
      <c r="BT432" s="597"/>
    </row>
    <row r="433" ht="12.75" customHeight="1">
      <c r="A433" s="1074"/>
      <c r="B433" s="597"/>
      <c r="C433" s="597"/>
      <c r="D433" s="597"/>
      <c r="E433" s="1069"/>
      <c r="F433" s="1186"/>
      <c r="G433" s="1070"/>
      <c r="H433" s="1068"/>
      <c r="I433" s="597"/>
      <c r="J433" s="597"/>
      <c r="K433" s="1068"/>
      <c r="L433" s="1071"/>
      <c r="M433" s="1071"/>
      <c r="N433" s="1072"/>
      <c r="O433" s="597"/>
      <c r="P433" s="1068"/>
      <c r="Q433" s="597"/>
      <c r="R433" s="603"/>
      <c r="S433" s="354"/>
      <c r="T433" s="584"/>
      <c r="U433" s="595"/>
      <c r="V433" s="595"/>
      <c r="W433" s="595"/>
      <c r="X433" s="443"/>
      <c r="Y433" s="595"/>
      <c r="Z433" s="595"/>
      <c r="AA433" s="595"/>
      <c r="AB433" s="1073"/>
      <c r="AC433" s="1066"/>
      <c r="AD433" s="1066"/>
      <c r="AE433" s="1066"/>
      <c r="AF433" s="1066"/>
      <c r="AG433" s="1067"/>
      <c r="AH433" s="1066"/>
      <c r="AI433" s="1066"/>
      <c r="AJ433" s="1066"/>
      <c r="AK433" s="1066"/>
      <c r="AL433" s="1066"/>
      <c r="AM433" s="651"/>
      <c r="AN433" s="651"/>
      <c r="AO433" s="597"/>
      <c r="AP433" s="597"/>
      <c r="AQ433" s="1066"/>
      <c r="AR433" s="1066"/>
      <c r="AS433" s="1066"/>
      <c r="AT433" s="1066"/>
      <c r="AU433" s="1066"/>
      <c r="AV433" s="1066"/>
      <c r="AW433" s="1066"/>
      <c r="AX433" s="1066"/>
      <c r="AY433" s="1066"/>
      <c r="AZ433" s="1066"/>
      <c r="BA433" s="1066"/>
      <c r="BB433" s="597"/>
      <c r="BC433" s="597"/>
      <c r="BD433" s="597"/>
      <c r="BE433" s="597"/>
      <c r="BF433" s="597"/>
      <c r="BG433" s="597"/>
      <c r="BH433" s="597"/>
      <c r="BI433" s="597"/>
      <c r="BJ433" s="597"/>
      <c r="BK433" s="597"/>
      <c r="BL433" s="597"/>
      <c r="BM433" s="597"/>
      <c r="BN433" s="597"/>
      <c r="BO433" s="597"/>
      <c r="BP433" s="597"/>
      <c r="BQ433" s="597"/>
      <c r="BR433" s="597"/>
      <c r="BS433" s="597"/>
      <c r="BT433" s="597"/>
    </row>
    <row r="434" ht="12.75" customHeight="1">
      <c r="A434" s="1074"/>
      <c r="B434" s="597"/>
      <c r="C434" s="597"/>
      <c r="D434" s="597"/>
      <c r="E434" s="1069"/>
      <c r="F434" s="1186"/>
      <c r="G434" s="1070"/>
      <c r="H434" s="1068"/>
      <c r="I434" s="597"/>
      <c r="J434" s="597"/>
      <c r="K434" s="1068"/>
      <c r="L434" s="1071"/>
      <c r="M434" s="1071"/>
      <c r="N434" s="1072"/>
      <c r="O434" s="597"/>
      <c r="P434" s="1068"/>
      <c r="Q434" s="597"/>
      <c r="R434" s="603"/>
      <c r="S434" s="354"/>
      <c r="T434" s="584"/>
      <c r="U434" s="595"/>
      <c r="V434" s="595"/>
      <c r="W434" s="595"/>
      <c r="X434" s="443"/>
      <c r="Y434" s="595"/>
      <c r="Z434" s="595"/>
      <c r="AA434" s="595"/>
      <c r="AB434" s="1073"/>
      <c r="AC434" s="1066"/>
      <c r="AD434" s="1066"/>
      <c r="AE434" s="1066"/>
      <c r="AF434" s="1066"/>
      <c r="AG434" s="1067"/>
      <c r="AH434" s="1066"/>
      <c r="AI434" s="1066"/>
      <c r="AJ434" s="1066"/>
      <c r="AK434" s="1066"/>
      <c r="AL434" s="1066"/>
      <c r="AM434" s="651"/>
      <c r="AN434" s="651"/>
      <c r="AO434" s="597"/>
      <c r="AP434" s="597"/>
      <c r="AQ434" s="1066"/>
      <c r="AR434" s="1066"/>
      <c r="AS434" s="1066"/>
      <c r="AT434" s="1066"/>
      <c r="AU434" s="1066"/>
      <c r="AV434" s="1066"/>
      <c r="AW434" s="1066"/>
      <c r="AX434" s="1066"/>
      <c r="AY434" s="1066"/>
      <c r="AZ434" s="1066"/>
      <c r="BA434" s="1066"/>
      <c r="BB434" s="597"/>
      <c r="BC434" s="597"/>
      <c r="BD434" s="597"/>
      <c r="BE434" s="597"/>
      <c r="BF434" s="597"/>
      <c r="BG434" s="597"/>
      <c r="BH434" s="597"/>
      <c r="BI434" s="597"/>
      <c r="BJ434" s="597"/>
      <c r="BK434" s="597"/>
      <c r="BL434" s="597"/>
      <c r="BM434" s="597"/>
      <c r="BN434" s="597"/>
      <c r="BO434" s="597"/>
      <c r="BP434" s="597"/>
      <c r="BQ434" s="597"/>
      <c r="BR434" s="597"/>
      <c r="BS434" s="597"/>
      <c r="BT434" s="597"/>
    </row>
    <row r="435" ht="12.75" customHeight="1">
      <c r="A435" s="1074"/>
      <c r="B435" s="597"/>
      <c r="C435" s="597"/>
      <c r="D435" s="597"/>
      <c r="E435" s="1069"/>
      <c r="F435" s="1186"/>
      <c r="G435" s="1070"/>
      <c r="H435" s="1068"/>
      <c r="I435" s="597"/>
      <c r="J435" s="597"/>
      <c r="K435" s="1068"/>
      <c r="L435" s="1071"/>
      <c r="M435" s="1071"/>
      <c r="N435" s="1072"/>
      <c r="O435" s="597"/>
      <c r="P435" s="1068"/>
      <c r="Q435" s="597"/>
      <c r="R435" s="603"/>
      <c r="S435" s="354"/>
      <c r="T435" s="584"/>
      <c r="U435" s="595"/>
      <c r="V435" s="595"/>
      <c r="W435" s="595"/>
      <c r="X435" s="443"/>
      <c r="Y435" s="595"/>
      <c r="Z435" s="595"/>
      <c r="AA435" s="595"/>
      <c r="AB435" s="1073"/>
      <c r="AC435" s="1066"/>
      <c r="AD435" s="1066"/>
      <c r="AE435" s="1066"/>
      <c r="AF435" s="1066"/>
      <c r="AG435" s="1067"/>
      <c r="AH435" s="1066"/>
      <c r="AI435" s="1066"/>
      <c r="AJ435" s="1066"/>
      <c r="AK435" s="1066"/>
      <c r="AL435" s="1066"/>
      <c r="AM435" s="651"/>
      <c r="AN435" s="651"/>
      <c r="AO435" s="597"/>
      <c r="AP435" s="597"/>
      <c r="AQ435" s="1066"/>
      <c r="AR435" s="1066"/>
      <c r="AS435" s="1066"/>
      <c r="AT435" s="1066"/>
      <c r="AU435" s="1066"/>
      <c r="AV435" s="1066"/>
      <c r="AW435" s="1066"/>
      <c r="AX435" s="1066"/>
      <c r="AY435" s="1066"/>
      <c r="AZ435" s="1066"/>
      <c r="BA435" s="1066"/>
      <c r="BB435" s="597"/>
      <c r="BC435" s="597"/>
      <c r="BD435" s="597"/>
      <c r="BE435" s="597"/>
      <c r="BF435" s="597"/>
      <c r="BG435" s="597"/>
      <c r="BH435" s="597"/>
      <c r="BI435" s="597"/>
      <c r="BJ435" s="597"/>
      <c r="BK435" s="597"/>
      <c r="BL435" s="597"/>
      <c r="BM435" s="597"/>
      <c r="BN435" s="597"/>
      <c r="BO435" s="597"/>
      <c r="BP435" s="597"/>
      <c r="BQ435" s="597"/>
      <c r="BR435" s="597"/>
      <c r="BS435" s="597"/>
      <c r="BT435" s="597"/>
    </row>
    <row r="436" ht="12.75" customHeight="1">
      <c r="A436" s="1074"/>
      <c r="B436" s="597"/>
      <c r="C436" s="597"/>
      <c r="D436" s="597"/>
      <c r="E436" s="1069"/>
      <c r="F436" s="1186"/>
      <c r="G436" s="1070"/>
      <c r="H436" s="1068"/>
      <c r="I436" s="597"/>
      <c r="J436" s="597"/>
      <c r="K436" s="1068"/>
      <c r="L436" s="1071"/>
      <c r="M436" s="1071"/>
      <c r="N436" s="1072"/>
      <c r="O436" s="597"/>
      <c r="P436" s="1068"/>
      <c r="Q436" s="597"/>
      <c r="R436" s="603"/>
      <c r="S436" s="354"/>
      <c r="T436" s="584"/>
      <c r="U436" s="595"/>
      <c r="V436" s="595"/>
      <c r="W436" s="595"/>
      <c r="X436" s="443"/>
      <c r="Y436" s="595"/>
      <c r="Z436" s="595"/>
      <c r="AA436" s="595"/>
      <c r="AB436" s="1073"/>
      <c r="AC436" s="1066"/>
      <c r="AD436" s="1066"/>
      <c r="AE436" s="1066"/>
      <c r="AF436" s="1066"/>
      <c r="AG436" s="1067"/>
      <c r="AH436" s="1066"/>
      <c r="AI436" s="1066"/>
      <c r="AJ436" s="1066"/>
      <c r="AK436" s="1066"/>
      <c r="AL436" s="1066"/>
      <c r="AM436" s="651"/>
      <c r="AN436" s="651"/>
      <c r="AO436" s="597"/>
      <c r="AP436" s="597"/>
      <c r="AQ436" s="1066"/>
      <c r="AR436" s="1066"/>
      <c r="AS436" s="1066"/>
      <c r="AT436" s="1066"/>
      <c r="AU436" s="1066"/>
      <c r="AV436" s="1066"/>
      <c r="AW436" s="1066"/>
      <c r="AX436" s="1066"/>
      <c r="AY436" s="1066"/>
      <c r="AZ436" s="1066"/>
      <c r="BA436" s="1066"/>
      <c r="BB436" s="597"/>
      <c r="BC436" s="597"/>
      <c r="BD436" s="597"/>
      <c r="BE436" s="597"/>
      <c r="BF436" s="597"/>
      <c r="BG436" s="597"/>
      <c r="BH436" s="597"/>
      <c r="BI436" s="597"/>
      <c r="BJ436" s="597"/>
      <c r="BK436" s="597"/>
      <c r="BL436" s="597"/>
      <c r="BM436" s="597"/>
      <c r="BN436" s="597"/>
      <c r="BO436" s="597"/>
      <c r="BP436" s="597"/>
      <c r="BQ436" s="597"/>
      <c r="BR436" s="597"/>
      <c r="BS436" s="597"/>
      <c r="BT436" s="597"/>
    </row>
    <row r="437" ht="12.75" customHeight="1">
      <c r="A437" s="1074"/>
      <c r="B437" s="597"/>
      <c r="C437" s="597"/>
      <c r="D437" s="597"/>
      <c r="E437" s="1069"/>
      <c r="F437" s="1186"/>
      <c r="G437" s="1070"/>
      <c r="H437" s="1068"/>
      <c r="I437" s="597"/>
      <c r="J437" s="597"/>
      <c r="K437" s="1068"/>
      <c r="L437" s="1071"/>
      <c r="M437" s="1071"/>
      <c r="N437" s="1072"/>
      <c r="O437" s="597"/>
      <c r="P437" s="1068"/>
      <c r="Q437" s="597"/>
      <c r="R437" s="603"/>
      <c r="S437" s="354"/>
      <c r="T437" s="584"/>
      <c r="U437" s="595"/>
      <c r="V437" s="595"/>
      <c r="W437" s="595"/>
      <c r="X437" s="443"/>
      <c r="Y437" s="595"/>
      <c r="Z437" s="595"/>
      <c r="AA437" s="595"/>
      <c r="AB437" s="1073"/>
      <c r="AC437" s="1066"/>
      <c r="AD437" s="1066"/>
      <c r="AE437" s="1066"/>
      <c r="AF437" s="1066"/>
      <c r="AG437" s="1067"/>
      <c r="AH437" s="1066"/>
      <c r="AI437" s="1066"/>
      <c r="AJ437" s="1066"/>
      <c r="AK437" s="1066"/>
      <c r="AL437" s="1066"/>
      <c r="AM437" s="651"/>
      <c r="AN437" s="651"/>
      <c r="AO437" s="597"/>
      <c r="AP437" s="597"/>
      <c r="AQ437" s="1066"/>
      <c r="AR437" s="1066"/>
      <c r="AS437" s="1066"/>
      <c r="AT437" s="1066"/>
      <c r="AU437" s="1066"/>
      <c r="AV437" s="1066"/>
      <c r="AW437" s="1066"/>
      <c r="AX437" s="1066"/>
      <c r="AY437" s="1066"/>
      <c r="AZ437" s="1066"/>
      <c r="BA437" s="1066"/>
      <c r="BB437" s="597"/>
      <c r="BC437" s="597"/>
      <c r="BD437" s="597"/>
      <c r="BE437" s="597"/>
      <c r="BF437" s="597"/>
      <c r="BG437" s="597"/>
      <c r="BH437" s="597"/>
      <c r="BI437" s="597"/>
      <c r="BJ437" s="597"/>
      <c r="BK437" s="597"/>
      <c r="BL437" s="597"/>
      <c r="BM437" s="597"/>
      <c r="BN437" s="597"/>
      <c r="BO437" s="597"/>
      <c r="BP437" s="597"/>
      <c r="BQ437" s="597"/>
      <c r="BR437" s="597"/>
      <c r="BS437" s="597"/>
      <c r="BT437" s="597"/>
    </row>
    <row r="438" ht="12.75" customHeight="1">
      <c r="A438" s="1074"/>
      <c r="B438" s="597"/>
      <c r="C438" s="597"/>
      <c r="D438" s="597"/>
      <c r="E438" s="1069"/>
      <c r="F438" s="1186"/>
      <c r="G438" s="1070"/>
      <c r="H438" s="1068"/>
      <c r="I438" s="597"/>
      <c r="J438" s="597"/>
      <c r="K438" s="1068"/>
      <c r="L438" s="1071"/>
      <c r="M438" s="1071"/>
      <c r="N438" s="1072"/>
      <c r="O438" s="597"/>
      <c r="P438" s="1068"/>
      <c r="Q438" s="597"/>
      <c r="R438" s="603"/>
      <c r="S438" s="354"/>
      <c r="T438" s="584"/>
      <c r="U438" s="595"/>
      <c r="V438" s="595"/>
      <c r="W438" s="595"/>
      <c r="X438" s="443"/>
      <c r="Y438" s="595"/>
      <c r="Z438" s="595"/>
      <c r="AA438" s="595"/>
      <c r="AB438" s="1073"/>
      <c r="AC438" s="1066"/>
      <c r="AD438" s="1066"/>
      <c r="AE438" s="1066"/>
      <c r="AF438" s="1066"/>
      <c r="AG438" s="1067"/>
      <c r="AH438" s="1066"/>
      <c r="AI438" s="1066"/>
      <c r="AJ438" s="1066"/>
      <c r="AK438" s="1066"/>
      <c r="AL438" s="1066"/>
      <c r="AM438" s="651"/>
      <c r="AN438" s="651"/>
      <c r="AO438" s="597"/>
      <c r="AP438" s="597"/>
      <c r="AQ438" s="1066"/>
      <c r="AR438" s="1066"/>
      <c r="AS438" s="1066"/>
      <c r="AT438" s="1066"/>
      <c r="AU438" s="1066"/>
      <c r="AV438" s="1066"/>
      <c r="AW438" s="1066"/>
      <c r="AX438" s="1066"/>
      <c r="AY438" s="1066"/>
      <c r="AZ438" s="1066"/>
      <c r="BA438" s="1066"/>
      <c r="BB438" s="597"/>
      <c r="BC438" s="597"/>
      <c r="BD438" s="597"/>
      <c r="BE438" s="597"/>
      <c r="BF438" s="597"/>
      <c r="BG438" s="597"/>
      <c r="BH438" s="597"/>
      <c r="BI438" s="597"/>
      <c r="BJ438" s="597"/>
      <c r="BK438" s="597"/>
      <c r="BL438" s="597"/>
      <c r="BM438" s="597"/>
      <c r="BN438" s="597"/>
      <c r="BO438" s="597"/>
      <c r="BP438" s="597"/>
      <c r="BQ438" s="597"/>
      <c r="BR438" s="597"/>
      <c r="BS438" s="597"/>
      <c r="BT438" s="597"/>
    </row>
    <row r="439" ht="12.75" customHeight="1">
      <c r="A439" s="1074"/>
      <c r="B439" s="597"/>
      <c r="C439" s="597"/>
      <c r="D439" s="597"/>
      <c r="E439" s="1069"/>
      <c r="F439" s="1186"/>
      <c r="G439" s="1070"/>
      <c r="H439" s="1068"/>
      <c r="I439" s="597"/>
      <c r="J439" s="597"/>
      <c r="K439" s="1068"/>
      <c r="L439" s="1071"/>
      <c r="M439" s="1071"/>
      <c r="N439" s="1072"/>
      <c r="O439" s="597"/>
      <c r="P439" s="1068"/>
      <c r="Q439" s="597"/>
      <c r="R439" s="603"/>
      <c r="S439" s="354"/>
      <c r="T439" s="584"/>
      <c r="U439" s="595"/>
      <c r="V439" s="595"/>
      <c r="W439" s="595"/>
      <c r="X439" s="443"/>
      <c r="Y439" s="595"/>
      <c r="Z439" s="595"/>
      <c r="AA439" s="595"/>
      <c r="AB439" s="1073"/>
      <c r="AC439" s="1066"/>
      <c r="AD439" s="1066"/>
      <c r="AE439" s="1066"/>
      <c r="AF439" s="1066"/>
      <c r="AG439" s="1067"/>
      <c r="AH439" s="1066"/>
      <c r="AI439" s="1066"/>
      <c r="AJ439" s="1066"/>
      <c r="AK439" s="1066"/>
      <c r="AL439" s="1066"/>
      <c r="AM439" s="651"/>
      <c r="AN439" s="651"/>
      <c r="AO439" s="597"/>
      <c r="AP439" s="597"/>
      <c r="AQ439" s="1066"/>
      <c r="AR439" s="1066"/>
      <c r="AS439" s="1066"/>
      <c r="AT439" s="1066"/>
      <c r="AU439" s="1066"/>
      <c r="AV439" s="1066"/>
      <c r="AW439" s="1066"/>
      <c r="AX439" s="1066"/>
      <c r="AY439" s="1066"/>
      <c r="AZ439" s="1066"/>
      <c r="BA439" s="1066"/>
      <c r="BB439" s="597"/>
      <c r="BC439" s="597"/>
      <c r="BD439" s="597"/>
      <c r="BE439" s="597"/>
      <c r="BF439" s="597"/>
      <c r="BG439" s="597"/>
      <c r="BH439" s="597"/>
      <c r="BI439" s="597"/>
      <c r="BJ439" s="597"/>
      <c r="BK439" s="597"/>
      <c r="BL439" s="597"/>
      <c r="BM439" s="597"/>
      <c r="BN439" s="597"/>
      <c r="BO439" s="597"/>
      <c r="BP439" s="597"/>
      <c r="BQ439" s="597"/>
      <c r="BR439" s="597"/>
      <c r="BS439" s="597"/>
      <c r="BT439" s="597"/>
    </row>
    <row r="440" ht="12.75" customHeight="1">
      <c r="A440" s="1074"/>
      <c r="B440" s="597"/>
      <c r="C440" s="597"/>
      <c r="D440" s="597"/>
      <c r="E440" s="1069"/>
      <c r="F440" s="1186"/>
      <c r="G440" s="1070"/>
      <c r="H440" s="1068"/>
      <c r="I440" s="597"/>
      <c r="J440" s="597"/>
      <c r="K440" s="1068"/>
      <c r="L440" s="1071"/>
      <c r="M440" s="1071"/>
      <c r="N440" s="1072"/>
      <c r="O440" s="597"/>
      <c r="P440" s="1068"/>
      <c r="Q440" s="597"/>
      <c r="R440" s="603"/>
      <c r="S440" s="354"/>
      <c r="T440" s="584"/>
      <c r="U440" s="595"/>
      <c r="V440" s="595"/>
      <c r="W440" s="595"/>
      <c r="X440" s="443"/>
      <c r="Y440" s="595"/>
      <c r="Z440" s="595"/>
      <c r="AA440" s="595"/>
      <c r="AB440" s="1073"/>
      <c r="AC440" s="1066"/>
      <c r="AD440" s="1066"/>
      <c r="AE440" s="1066"/>
      <c r="AF440" s="1066"/>
      <c r="AG440" s="1067"/>
      <c r="AH440" s="1066"/>
      <c r="AI440" s="1066"/>
      <c r="AJ440" s="1066"/>
      <c r="AK440" s="1066"/>
      <c r="AL440" s="1066"/>
      <c r="AM440" s="651"/>
      <c r="AN440" s="651"/>
      <c r="AO440" s="597"/>
      <c r="AP440" s="597"/>
      <c r="AQ440" s="1066"/>
      <c r="AR440" s="1066"/>
      <c r="AS440" s="1066"/>
      <c r="AT440" s="1066"/>
      <c r="AU440" s="1066"/>
      <c r="AV440" s="1066"/>
      <c r="AW440" s="1066"/>
      <c r="AX440" s="1066"/>
      <c r="AY440" s="1066"/>
      <c r="AZ440" s="1066"/>
      <c r="BA440" s="1066"/>
      <c r="BB440" s="597"/>
      <c r="BC440" s="597"/>
      <c r="BD440" s="597"/>
      <c r="BE440" s="597"/>
      <c r="BF440" s="597"/>
      <c r="BG440" s="597"/>
      <c r="BH440" s="597"/>
      <c r="BI440" s="597"/>
      <c r="BJ440" s="597"/>
      <c r="BK440" s="597"/>
      <c r="BL440" s="597"/>
      <c r="BM440" s="597"/>
      <c r="BN440" s="597"/>
      <c r="BO440" s="597"/>
      <c r="BP440" s="597"/>
      <c r="BQ440" s="597"/>
      <c r="BR440" s="597"/>
      <c r="BS440" s="597"/>
      <c r="BT440" s="597"/>
    </row>
    <row r="441" ht="12.75" customHeight="1">
      <c r="A441" s="1074"/>
      <c r="B441" s="597"/>
      <c r="C441" s="597"/>
      <c r="D441" s="597"/>
      <c r="E441" s="1069"/>
      <c r="F441" s="1186"/>
      <c r="G441" s="1070"/>
      <c r="H441" s="1068"/>
      <c r="I441" s="597"/>
      <c r="J441" s="597"/>
      <c r="K441" s="1068"/>
      <c r="L441" s="1071"/>
      <c r="M441" s="1071"/>
      <c r="N441" s="1072"/>
      <c r="O441" s="597"/>
      <c r="P441" s="1068"/>
      <c r="Q441" s="597"/>
      <c r="R441" s="603"/>
      <c r="S441" s="354"/>
      <c r="T441" s="584"/>
      <c r="U441" s="595"/>
      <c r="V441" s="595"/>
      <c r="W441" s="595"/>
      <c r="X441" s="584"/>
      <c r="Y441" s="595"/>
      <c r="Z441" s="595"/>
      <c r="AA441" s="595"/>
      <c r="AB441" s="1073"/>
      <c r="AC441" s="1066"/>
      <c r="AD441" s="1066"/>
      <c r="AE441" s="1066"/>
      <c r="AF441" s="1066"/>
      <c r="AG441" s="1067"/>
      <c r="AH441" s="1066"/>
      <c r="AI441" s="1066"/>
      <c r="AJ441" s="1066"/>
      <c r="AK441" s="1066"/>
      <c r="AL441" s="1066"/>
      <c r="AM441" s="651"/>
      <c r="AN441" s="651"/>
      <c r="AO441" s="597"/>
      <c r="AP441" s="597"/>
      <c r="AQ441" s="1066"/>
      <c r="AR441" s="1066"/>
      <c r="AS441" s="1066"/>
      <c r="AT441" s="1066"/>
      <c r="AU441" s="1066"/>
      <c r="AV441" s="1066"/>
      <c r="AW441" s="1066"/>
      <c r="AX441" s="1066"/>
      <c r="AY441" s="1066"/>
      <c r="AZ441" s="1066"/>
      <c r="BA441" s="1066"/>
      <c r="BB441" s="597"/>
      <c r="BC441" s="597"/>
      <c r="BD441" s="597"/>
      <c r="BE441" s="597"/>
      <c r="BF441" s="597"/>
      <c r="BG441" s="597"/>
      <c r="BH441" s="597"/>
      <c r="BI441" s="597"/>
      <c r="BJ441" s="597"/>
      <c r="BK441" s="597"/>
      <c r="BL441" s="597"/>
      <c r="BM441" s="597"/>
      <c r="BN441" s="597"/>
      <c r="BO441" s="597"/>
      <c r="BP441" s="597"/>
      <c r="BQ441" s="597"/>
      <c r="BR441" s="597"/>
      <c r="BS441" s="597"/>
      <c r="BT441" s="597"/>
    </row>
    <row r="442" ht="12.75" customHeight="1">
      <c r="A442" s="1074"/>
      <c r="B442" s="597"/>
      <c r="C442" s="597"/>
      <c r="D442" s="597"/>
      <c r="E442" s="1069"/>
      <c r="F442" s="1186"/>
      <c r="G442" s="1070"/>
      <c r="H442" s="1068"/>
      <c r="I442" s="597"/>
      <c r="J442" s="597"/>
      <c r="K442" s="1068"/>
      <c r="L442" s="1071"/>
      <c r="M442" s="1071"/>
      <c r="N442" s="1072"/>
      <c r="O442" s="597"/>
      <c r="P442" s="1068"/>
      <c r="Q442" s="597"/>
      <c r="R442" s="603"/>
      <c r="S442" s="354"/>
      <c r="T442" s="584"/>
      <c r="U442" s="595"/>
      <c r="V442" s="595"/>
      <c r="W442" s="595"/>
      <c r="X442" s="584"/>
      <c r="Y442" s="595"/>
      <c r="Z442" s="595"/>
      <c r="AA442" s="595"/>
      <c r="AB442" s="1073"/>
      <c r="AC442" s="1066"/>
      <c r="AD442" s="1066"/>
      <c r="AE442" s="1066"/>
      <c r="AF442" s="1066"/>
      <c r="AG442" s="1067"/>
      <c r="AH442" s="1066"/>
      <c r="AI442" s="1066"/>
      <c r="AJ442" s="1066"/>
      <c r="AK442" s="1066"/>
      <c r="AL442" s="1066"/>
      <c r="AM442" s="651"/>
      <c r="AN442" s="651"/>
      <c r="AO442" s="597"/>
      <c r="AP442" s="597"/>
      <c r="AQ442" s="1066"/>
      <c r="AR442" s="1066"/>
      <c r="AS442" s="1066"/>
      <c r="AT442" s="1066"/>
      <c r="AU442" s="1066"/>
      <c r="AV442" s="1066"/>
      <c r="AW442" s="1066"/>
      <c r="AX442" s="1066"/>
      <c r="AY442" s="1066"/>
      <c r="AZ442" s="1066"/>
      <c r="BA442" s="1066"/>
      <c r="BB442" s="597"/>
      <c r="BC442" s="597"/>
      <c r="BD442" s="597"/>
      <c r="BE442" s="597"/>
      <c r="BF442" s="597"/>
      <c r="BG442" s="597"/>
      <c r="BH442" s="597"/>
      <c r="BI442" s="597"/>
      <c r="BJ442" s="597"/>
      <c r="BK442" s="597"/>
      <c r="BL442" s="597"/>
      <c r="BM442" s="597"/>
      <c r="BN442" s="597"/>
      <c r="BO442" s="597"/>
      <c r="BP442" s="597"/>
      <c r="BQ442" s="597"/>
      <c r="BR442" s="597"/>
      <c r="BS442" s="597"/>
      <c r="BT442" s="597"/>
    </row>
    <row r="443" ht="12.75" customHeight="1">
      <c r="A443" s="1074"/>
      <c r="B443" s="597"/>
      <c r="C443" s="597"/>
      <c r="D443" s="597"/>
      <c r="E443" s="1069"/>
      <c r="F443" s="1186"/>
      <c r="G443" s="1070"/>
      <c r="H443" s="1068"/>
      <c r="I443" s="597"/>
      <c r="J443" s="597"/>
      <c r="K443" s="1068"/>
      <c r="L443" s="1071"/>
      <c r="M443" s="1071"/>
      <c r="N443" s="1072"/>
      <c r="O443" s="597"/>
      <c r="P443" s="1068"/>
      <c r="Q443" s="597"/>
      <c r="R443" s="603"/>
      <c r="S443" s="354"/>
      <c r="T443" s="584"/>
      <c r="U443" s="595"/>
      <c r="V443" s="595"/>
      <c r="W443" s="595"/>
      <c r="X443" s="584"/>
      <c r="Y443" s="595"/>
      <c r="Z443" s="595"/>
      <c r="AA443" s="595"/>
      <c r="AB443" s="1073"/>
      <c r="AC443" s="1066"/>
      <c r="AD443" s="1066"/>
      <c r="AE443" s="1066"/>
      <c r="AF443" s="1066"/>
      <c r="AG443" s="1067"/>
      <c r="AH443" s="1066"/>
      <c r="AI443" s="1066"/>
      <c r="AJ443" s="1066"/>
      <c r="AK443" s="1066"/>
      <c r="AL443" s="1066"/>
      <c r="AM443" s="651"/>
      <c r="AN443" s="651"/>
      <c r="AO443" s="597"/>
      <c r="AP443" s="597"/>
      <c r="AQ443" s="1066"/>
      <c r="AR443" s="1066"/>
      <c r="AS443" s="1066"/>
      <c r="AT443" s="1066"/>
      <c r="AU443" s="1066"/>
      <c r="AV443" s="1066"/>
      <c r="AW443" s="1066"/>
      <c r="AX443" s="1066"/>
      <c r="AY443" s="1066"/>
      <c r="AZ443" s="1066"/>
      <c r="BA443" s="1066"/>
      <c r="BB443" s="597"/>
      <c r="BC443" s="597"/>
      <c r="BD443" s="597"/>
      <c r="BE443" s="597"/>
      <c r="BF443" s="597"/>
      <c r="BG443" s="597"/>
      <c r="BH443" s="597"/>
      <c r="BI443" s="597"/>
      <c r="BJ443" s="597"/>
      <c r="BK443" s="597"/>
      <c r="BL443" s="597"/>
      <c r="BM443" s="597"/>
      <c r="BN443" s="597"/>
      <c r="BO443" s="597"/>
      <c r="BP443" s="597"/>
      <c r="BQ443" s="597"/>
      <c r="BR443" s="597"/>
      <c r="BS443" s="597"/>
      <c r="BT443" s="597"/>
    </row>
    <row r="444" ht="12.75" customHeight="1">
      <c r="A444" s="1074"/>
      <c r="B444" s="597"/>
      <c r="C444" s="597"/>
      <c r="D444" s="597"/>
      <c r="E444" s="1069"/>
      <c r="F444" s="1186"/>
      <c r="G444" s="1070"/>
      <c r="H444" s="1068"/>
      <c r="I444" s="597"/>
      <c r="J444" s="597"/>
      <c r="K444" s="1068"/>
      <c r="L444" s="1071"/>
      <c r="M444" s="1071"/>
      <c r="N444" s="1072"/>
      <c r="O444" s="597"/>
      <c r="P444" s="1068"/>
      <c r="Q444" s="597"/>
      <c r="R444" s="603"/>
      <c r="S444" s="354"/>
      <c r="T444" s="584"/>
      <c r="U444" s="595"/>
      <c r="V444" s="595"/>
      <c r="W444" s="595"/>
      <c r="X444" s="584"/>
      <c r="Y444" s="595"/>
      <c r="Z444" s="595"/>
      <c r="AA444" s="595"/>
      <c r="AB444" s="1073"/>
      <c r="AC444" s="1066"/>
      <c r="AD444" s="1066"/>
      <c r="AE444" s="1066"/>
      <c r="AF444" s="1066"/>
      <c r="AG444" s="1067"/>
      <c r="AH444" s="1066"/>
      <c r="AI444" s="1066"/>
      <c r="AJ444" s="1066"/>
      <c r="AK444" s="1066"/>
      <c r="AL444" s="1066"/>
      <c r="AM444" s="651"/>
      <c r="AN444" s="651"/>
      <c r="AO444" s="597"/>
      <c r="AP444" s="597"/>
      <c r="AQ444" s="1066"/>
      <c r="AR444" s="1066"/>
      <c r="AS444" s="1066"/>
      <c r="AT444" s="1066"/>
      <c r="AU444" s="1066"/>
      <c r="AV444" s="1066"/>
      <c r="AW444" s="1066"/>
      <c r="AX444" s="1066"/>
      <c r="AY444" s="1066"/>
      <c r="AZ444" s="1066"/>
      <c r="BA444" s="1066"/>
      <c r="BB444" s="597"/>
      <c r="BC444" s="597"/>
      <c r="BD444" s="597"/>
      <c r="BE444" s="597"/>
      <c r="BF444" s="597"/>
      <c r="BG444" s="597"/>
      <c r="BH444" s="597"/>
      <c r="BI444" s="597"/>
      <c r="BJ444" s="597"/>
      <c r="BK444" s="597"/>
      <c r="BL444" s="597"/>
      <c r="BM444" s="597"/>
      <c r="BN444" s="597"/>
      <c r="BO444" s="597"/>
      <c r="BP444" s="597"/>
      <c r="BQ444" s="597"/>
      <c r="BR444" s="597"/>
      <c r="BS444" s="597"/>
      <c r="BT444" s="597"/>
    </row>
    <row r="445" ht="12.75" customHeight="1">
      <c r="A445" s="1074"/>
      <c r="B445" s="597"/>
      <c r="C445" s="597"/>
      <c r="D445" s="597"/>
      <c r="E445" s="1069"/>
      <c r="F445" s="1186"/>
      <c r="G445" s="1070"/>
      <c r="H445" s="1068"/>
      <c r="I445" s="597"/>
      <c r="J445" s="597"/>
      <c r="K445" s="1068"/>
      <c r="L445" s="1071"/>
      <c r="M445" s="1071"/>
      <c r="N445" s="1072"/>
      <c r="O445" s="597"/>
      <c r="P445" s="1068"/>
      <c r="Q445" s="597"/>
      <c r="R445" s="603"/>
      <c r="S445" s="354"/>
      <c r="T445" s="584"/>
      <c r="U445" s="595"/>
      <c r="V445" s="595"/>
      <c r="W445" s="595"/>
      <c r="X445" s="584"/>
      <c r="Y445" s="595"/>
      <c r="Z445" s="595"/>
      <c r="AA445" s="595"/>
      <c r="AB445" s="1073"/>
      <c r="AC445" s="1066"/>
      <c r="AD445" s="1066"/>
      <c r="AE445" s="1066"/>
      <c r="AF445" s="1066"/>
      <c r="AG445" s="1067"/>
      <c r="AH445" s="1066"/>
      <c r="AI445" s="1066"/>
      <c r="AJ445" s="1066"/>
      <c r="AK445" s="1066"/>
      <c r="AL445" s="1066"/>
      <c r="AM445" s="651"/>
      <c r="AN445" s="651"/>
      <c r="AO445" s="597"/>
      <c r="AP445" s="597"/>
      <c r="AQ445" s="1066"/>
      <c r="AR445" s="1066"/>
      <c r="AS445" s="1066"/>
      <c r="AT445" s="1066"/>
      <c r="AU445" s="1066"/>
      <c r="AV445" s="1066"/>
      <c r="AW445" s="1066"/>
      <c r="AX445" s="1066"/>
      <c r="AY445" s="1066"/>
      <c r="AZ445" s="1066"/>
      <c r="BA445" s="1066"/>
      <c r="BB445" s="597"/>
      <c r="BC445" s="597"/>
      <c r="BD445" s="597"/>
      <c r="BE445" s="597"/>
      <c r="BF445" s="597"/>
      <c r="BG445" s="597"/>
      <c r="BH445" s="597"/>
      <c r="BI445" s="597"/>
      <c r="BJ445" s="597"/>
      <c r="BK445" s="597"/>
      <c r="BL445" s="597"/>
      <c r="BM445" s="597"/>
      <c r="BN445" s="597"/>
      <c r="BO445" s="597"/>
      <c r="BP445" s="597"/>
      <c r="BQ445" s="597"/>
      <c r="BR445" s="597"/>
      <c r="BS445" s="597"/>
      <c r="BT445" s="597"/>
    </row>
    <row r="446" ht="12.75" customHeight="1">
      <c r="A446" s="1074"/>
      <c r="B446" s="597"/>
      <c r="C446" s="597"/>
      <c r="D446" s="597"/>
      <c r="E446" s="1069"/>
      <c r="F446" s="1186"/>
      <c r="G446" s="1070"/>
      <c r="H446" s="1068"/>
      <c r="I446" s="597"/>
      <c r="J446" s="597"/>
      <c r="K446" s="1068"/>
      <c r="L446" s="1071"/>
      <c r="M446" s="1071"/>
      <c r="N446" s="1072"/>
      <c r="O446" s="597"/>
      <c r="P446" s="1068"/>
      <c r="Q446" s="597"/>
      <c r="R446" s="603"/>
      <c r="S446" s="354"/>
      <c r="T446" s="584"/>
      <c r="U446" s="595"/>
      <c r="V446" s="595"/>
      <c r="W446" s="595"/>
      <c r="X446" s="584"/>
      <c r="Y446" s="595"/>
      <c r="Z446" s="595"/>
      <c r="AA446" s="595"/>
      <c r="AB446" s="1073"/>
      <c r="AC446" s="1066"/>
      <c r="AD446" s="1066"/>
      <c r="AE446" s="1066"/>
      <c r="AF446" s="1066"/>
      <c r="AG446" s="1067"/>
      <c r="AH446" s="1066"/>
      <c r="AI446" s="1066"/>
      <c r="AJ446" s="1066"/>
      <c r="AK446" s="1066"/>
      <c r="AL446" s="1066"/>
      <c r="AM446" s="651"/>
      <c r="AN446" s="651"/>
      <c r="AO446" s="597"/>
      <c r="AP446" s="597"/>
      <c r="AQ446" s="1066"/>
      <c r="AR446" s="1066"/>
      <c r="AS446" s="1066"/>
      <c r="AT446" s="1066"/>
      <c r="AU446" s="1066"/>
      <c r="AV446" s="1066"/>
      <c r="AW446" s="1066"/>
      <c r="AX446" s="1066"/>
      <c r="AY446" s="1066"/>
      <c r="AZ446" s="1066"/>
      <c r="BA446" s="1066"/>
      <c r="BB446" s="597"/>
      <c r="BC446" s="597"/>
      <c r="BD446" s="597"/>
      <c r="BE446" s="597"/>
      <c r="BF446" s="597"/>
      <c r="BG446" s="597"/>
      <c r="BH446" s="597"/>
      <c r="BI446" s="597"/>
      <c r="BJ446" s="597"/>
      <c r="BK446" s="597"/>
      <c r="BL446" s="597"/>
      <c r="BM446" s="597"/>
      <c r="BN446" s="597"/>
      <c r="BO446" s="597"/>
      <c r="BP446" s="597"/>
      <c r="BQ446" s="597"/>
      <c r="BR446" s="597"/>
      <c r="BS446" s="597"/>
      <c r="BT446" s="597"/>
    </row>
    <row r="447" ht="12.75" customHeight="1">
      <c r="A447" s="1074"/>
      <c r="B447" s="597"/>
      <c r="C447" s="597"/>
      <c r="D447" s="597"/>
      <c r="E447" s="1069"/>
      <c r="F447" s="1186"/>
      <c r="G447" s="1070"/>
      <c r="H447" s="1068"/>
      <c r="I447" s="597"/>
      <c r="J447" s="597"/>
      <c r="K447" s="1068"/>
      <c r="L447" s="1071"/>
      <c r="M447" s="1071"/>
      <c r="N447" s="1072"/>
      <c r="O447" s="597"/>
      <c r="P447" s="1068"/>
      <c r="Q447" s="597"/>
      <c r="R447" s="1066"/>
      <c r="S447" s="1067"/>
      <c r="T447" s="1066"/>
      <c r="U447" s="1066"/>
      <c r="V447" s="1066"/>
      <c r="W447" s="1066"/>
      <c r="X447" s="1066"/>
      <c r="Y447" s="1066"/>
      <c r="Z447" s="1066"/>
      <c r="AA447" s="1066"/>
      <c r="AB447" s="1073"/>
      <c r="AC447" s="1066"/>
      <c r="AD447" s="1066"/>
      <c r="AE447" s="1066"/>
      <c r="AF447" s="1066"/>
      <c r="AG447" s="1067"/>
      <c r="AH447" s="1066"/>
      <c r="AI447" s="1066"/>
      <c r="AJ447" s="1066"/>
      <c r="AK447" s="1066"/>
      <c r="AL447" s="1066"/>
      <c r="AM447" s="651"/>
      <c r="AN447" s="651"/>
      <c r="AO447" s="597"/>
      <c r="AP447" s="597"/>
      <c r="AQ447" s="1066"/>
      <c r="AR447" s="1066"/>
      <c r="AS447" s="1066"/>
      <c r="AT447" s="1066"/>
      <c r="AU447" s="1066"/>
      <c r="AV447" s="1066"/>
      <c r="AW447" s="1066"/>
      <c r="AX447" s="1066"/>
      <c r="AY447" s="1066"/>
      <c r="AZ447" s="1066"/>
      <c r="BA447" s="1066"/>
      <c r="BB447" s="597"/>
      <c r="BC447" s="597"/>
      <c r="BD447" s="597"/>
      <c r="BE447" s="597"/>
      <c r="BF447" s="597"/>
      <c r="BG447" s="597"/>
      <c r="BH447" s="597"/>
      <c r="BI447" s="597"/>
      <c r="BJ447" s="597"/>
      <c r="BK447" s="597"/>
      <c r="BL447" s="597"/>
      <c r="BM447" s="597"/>
      <c r="BN447" s="597"/>
      <c r="BO447" s="597"/>
      <c r="BP447" s="597"/>
      <c r="BQ447" s="597"/>
      <c r="BR447" s="597"/>
      <c r="BS447" s="597"/>
      <c r="BT447" s="597"/>
    </row>
    <row r="448" ht="12.75" customHeight="1">
      <c r="A448" s="1074"/>
      <c r="B448" s="597"/>
      <c r="C448" s="597"/>
      <c r="D448" s="597"/>
      <c r="E448" s="1069"/>
      <c r="F448" s="1186"/>
      <c r="G448" s="1070"/>
      <c r="H448" s="1068"/>
      <c r="I448" s="597"/>
      <c r="J448" s="597"/>
      <c r="K448" s="1068"/>
      <c r="L448" s="1071"/>
      <c r="M448" s="1071"/>
      <c r="N448" s="1072"/>
      <c r="O448" s="597"/>
      <c r="P448" s="1068"/>
      <c r="Q448" s="597"/>
      <c r="R448" s="1066"/>
      <c r="S448" s="1067"/>
      <c r="T448" s="1066"/>
      <c r="U448" s="1066"/>
      <c r="V448" s="1066"/>
      <c r="W448" s="1066"/>
      <c r="X448" s="1066"/>
      <c r="Y448" s="1066"/>
      <c r="Z448" s="1066"/>
      <c r="AA448" s="1066"/>
      <c r="AB448" s="1073"/>
      <c r="AC448" s="1066"/>
      <c r="AD448" s="1066"/>
      <c r="AE448" s="1066"/>
      <c r="AF448" s="1066"/>
      <c r="AG448" s="1067"/>
      <c r="AH448" s="1066"/>
      <c r="AI448" s="1066"/>
      <c r="AJ448" s="1066"/>
      <c r="AK448" s="1066"/>
      <c r="AL448" s="1066"/>
      <c r="AM448" s="651"/>
      <c r="AN448" s="651"/>
      <c r="AO448" s="597"/>
      <c r="AP448" s="597"/>
      <c r="AQ448" s="1066"/>
      <c r="AR448" s="1066"/>
      <c r="AS448" s="1066"/>
      <c r="AT448" s="1066"/>
      <c r="AU448" s="1066"/>
      <c r="AV448" s="1066"/>
      <c r="AW448" s="1066"/>
      <c r="AX448" s="1066"/>
      <c r="AY448" s="1066"/>
      <c r="AZ448" s="1066"/>
      <c r="BA448" s="1066"/>
      <c r="BB448" s="597"/>
      <c r="BC448" s="597"/>
      <c r="BD448" s="597"/>
      <c r="BE448" s="597"/>
      <c r="BF448" s="597"/>
      <c r="BG448" s="597"/>
      <c r="BH448" s="597"/>
      <c r="BI448" s="597"/>
      <c r="BJ448" s="597"/>
      <c r="BK448" s="597"/>
      <c r="BL448" s="597"/>
      <c r="BM448" s="597"/>
      <c r="BN448" s="597"/>
      <c r="BO448" s="597"/>
      <c r="BP448" s="597"/>
      <c r="BQ448" s="597"/>
      <c r="BR448" s="597"/>
      <c r="BS448" s="597"/>
      <c r="BT448" s="597"/>
    </row>
    <row r="449" ht="12.75" customHeight="1">
      <c r="A449" s="1074"/>
      <c r="B449" s="597"/>
      <c r="C449" s="597"/>
      <c r="D449" s="597"/>
      <c r="E449" s="1069"/>
      <c r="F449" s="1186"/>
      <c r="G449" s="1070"/>
      <c r="H449" s="1068"/>
      <c r="I449" s="597"/>
      <c r="J449" s="597"/>
      <c r="K449" s="1068"/>
      <c r="L449" s="1071"/>
      <c r="M449" s="1071"/>
      <c r="N449" s="1072"/>
      <c r="O449" s="597"/>
      <c r="P449" s="1068"/>
      <c r="Q449" s="597"/>
      <c r="R449" s="1066"/>
      <c r="S449" s="1067"/>
      <c r="T449" s="1066"/>
      <c r="U449" s="1066"/>
      <c r="V449" s="1066"/>
      <c r="W449" s="1066"/>
      <c r="X449" s="1066"/>
      <c r="Y449" s="1066"/>
      <c r="Z449" s="1066"/>
      <c r="AA449" s="1066"/>
      <c r="AB449" s="1073"/>
      <c r="AC449" s="1066"/>
      <c r="AD449" s="1066"/>
      <c r="AE449" s="1066"/>
      <c r="AF449" s="1066"/>
      <c r="AG449" s="1067"/>
      <c r="AH449" s="1066"/>
      <c r="AI449" s="1066"/>
      <c r="AJ449" s="1066"/>
      <c r="AK449" s="1066"/>
      <c r="AL449" s="1066"/>
      <c r="AM449" s="1066"/>
      <c r="AN449" s="1066"/>
      <c r="AO449" s="597"/>
      <c r="AP449" s="597"/>
      <c r="AQ449" s="1066"/>
      <c r="AR449" s="1066"/>
      <c r="AS449" s="1066"/>
      <c r="AT449" s="1066"/>
      <c r="AU449" s="1066"/>
      <c r="AV449" s="1066"/>
      <c r="AW449" s="1066"/>
      <c r="AX449" s="1066"/>
      <c r="AY449" s="1066"/>
      <c r="AZ449" s="1066"/>
      <c r="BA449" s="1066"/>
      <c r="BB449" s="597"/>
      <c r="BC449" s="597"/>
      <c r="BD449" s="597"/>
      <c r="BE449" s="597"/>
      <c r="BF449" s="597"/>
      <c r="BG449" s="597"/>
      <c r="BH449" s="597"/>
      <c r="BI449" s="597"/>
      <c r="BJ449" s="597"/>
      <c r="BK449" s="597"/>
      <c r="BL449" s="597"/>
      <c r="BM449" s="597"/>
      <c r="BN449" s="597"/>
      <c r="BO449" s="597"/>
      <c r="BP449" s="597"/>
      <c r="BQ449" s="597"/>
      <c r="BR449" s="597"/>
      <c r="BS449" s="597"/>
      <c r="BT449" s="597"/>
    </row>
    <row r="450" ht="12.75" customHeight="1">
      <c r="A450" s="1074"/>
      <c r="B450" s="597"/>
      <c r="C450" s="597"/>
      <c r="D450" s="597"/>
      <c r="E450" s="1069"/>
      <c r="F450" s="1186"/>
      <c r="G450" s="1070"/>
      <c r="H450" s="1068"/>
      <c r="I450" s="597"/>
      <c r="J450" s="597"/>
      <c r="K450" s="1068"/>
      <c r="L450" s="1071"/>
      <c r="M450" s="1071"/>
      <c r="N450" s="1072"/>
      <c r="O450" s="597"/>
      <c r="P450" s="1068"/>
      <c r="Q450" s="597"/>
      <c r="R450" s="1066"/>
      <c r="S450" s="1067"/>
      <c r="T450" s="1066"/>
      <c r="U450" s="1066"/>
      <c r="V450" s="1066"/>
      <c r="W450" s="1066"/>
      <c r="X450" s="1066"/>
      <c r="Y450" s="1066"/>
      <c r="Z450" s="1066"/>
      <c r="AA450" s="1066"/>
      <c r="AB450" s="1073"/>
      <c r="AC450" s="1066"/>
      <c r="AD450" s="1066"/>
      <c r="AE450" s="1066"/>
      <c r="AF450" s="1066"/>
      <c r="AG450" s="1067"/>
      <c r="AH450" s="1066"/>
      <c r="AI450" s="1066"/>
      <c r="AJ450" s="1066"/>
      <c r="AK450" s="1066"/>
      <c r="AL450" s="1066"/>
      <c r="AM450" s="1066"/>
      <c r="AN450" s="1066"/>
      <c r="AO450" s="597"/>
      <c r="AP450" s="597"/>
      <c r="AQ450" s="1066"/>
      <c r="AR450" s="1066"/>
      <c r="AS450" s="1066"/>
      <c r="AT450" s="1066"/>
      <c r="AU450" s="1066"/>
      <c r="AV450" s="1066"/>
      <c r="AW450" s="1066"/>
      <c r="AX450" s="1066"/>
      <c r="AY450" s="1066"/>
      <c r="AZ450" s="1066"/>
      <c r="BA450" s="1066"/>
      <c r="BB450" s="597"/>
      <c r="BC450" s="597"/>
      <c r="BD450" s="597"/>
      <c r="BE450" s="597"/>
      <c r="BF450" s="597"/>
      <c r="BG450" s="597"/>
      <c r="BH450" s="597"/>
      <c r="BI450" s="597"/>
      <c r="BJ450" s="597"/>
      <c r="BK450" s="597"/>
      <c r="BL450" s="597"/>
      <c r="BM450" s="597"/>
      <c r="BN450" s="597"/>
      <c r="BO450" s="597"/>
      <c r="BP450" s="597"/>
      <c r="BQ450" s="597"/>
      <c r="BR450" s="597"/>
      <c r="BS450" s="597"/>
      <c r="BT450" s="597"/>
    </row>
    <row r="451" ht="12.75" customHeight="1">
      <c r="A451" s="1074"/>
      <c r="B451" s="597"/>
      <c r="C451" s="597"/>
      <c r="D451" s="597"/>
      <c r="E451" s="1069"/>
      <c r="F451" s="1186"/>
      <c r="G451" s="1070"/>
      <c r="H451" s="1068"/>
      <c r="I451" s="597"/>
      <c r="J451" s="597"/>
      <c r="K451" s="1068"/>
      <c r="L451" s="1071"/>
      <c r="M451" s="1071"/>
      <c r="N451" s="1072"/>
      <c r="O451" s="597"/>
      <c r="P451" s="1068"/>
      <c r="Q451" s="597"/>
      <c r="R451" s="1066"/>
      <c r="S451" s="1067"/>
      <c r="T451" s="1066"/>
      <c r="U451" s="1066"/>
      <c r="V451" s="1066"/>
      <c r="W451" s="1066"/>
      <c r="X451" s="1066"/>
      <c r="Y451" s="1066"/>
      <c r="Z451" s="1066"/>
      <c r="AA451" s="1066"/>
      <c r="AB451" s="1073"/>
      <c r="AC451" s="1066"/>
      <c r="AD451" s="1066"/>
      <c r="AE451" s="1066"/>
      <c r="AF451" s="1066"/>
      <c r="AG451" s="1066"/>
      <c r="AH451" s="1066"/>
      <c r="AI451" s="1066"/>
      <c r="AJ451" s="1066"/>
      <c r="AK451" s="1066"/>
      <c r="AL451" s="1066"/>
      <c r="AM451" s="1066"/>
      <c r="AN451" s="1066"/>
      <c r="AO451" s="1066"/>
      <c r="AP451" s="1066"/>
      <c r="AQ451" s="1066"/>
      <c r="AR451" s="1066"/>
      <c r="AS451" s="1066"/>
      <c r="AT451" s="1066"/>
      <c r="AU451" s="1066"/>
      <c r="AV451" s="1066"/>
      <c r="AW451" s="1066"/>
      <c r="AX451" s="1066"/>
      <c r="AY451" s="1066"/>
      <c r="AZ451" s="1066"/>
      <c r="BA451" s="1066"/>
      <c r="BB451" s="597"/>
      <c r="BC451" s="597"/>
      <c r="BD451" s="597"/>
      <c r="BE451" s="597"/>
      <c r="BF451" s="597"/>
      <c r="BG451" s="597"/>
      <c r="BH451" s="597"/>
      <c r="BI451" s="597"/>
      <c r="BJ451" s="597"/>
      <c r="BK451" s="597"/>
      <c r="BL451" s="597"/>
      <c r="BM451" s="597"/>
      <c r="BN451" s="597"/>
      <c r="BO451" s="597"/>
      <c r="BP451" s="597"/>
      <c r="BQ451" s="597"/>
      <c r="BR451" s="597"/>
      <c r="BS451" s="597"/>
      <c r="BT451" s="597"/>
    </row>
    <row r="452" ht="12.75" customHeight="1">
      <c r="A452" s="1074"/>
      <c r="B452" s="597"/>
      <c r="C452" s="597"/>
      <c r="D452" s="597"/>
      <c r="E452" s="1069"/>
      <c r="F452" s="1186"/>
      <c r="G452" s="1070"/>
      <c r="H452" s="1068"/>
      <c r="I452" s="597"/>
      <c r="J452" s="597"/>
      <c r="K452" s="1068"/>
      <c r="L452" s="1071"/>
      <c r="M452" s="1071"/>
      <c r="N452" s="1072"/>
      <c r="O452" s="597"/>
      <c r="P452" s="1068"/>
      <c r="Q452" s="597"/>
      <c r="R452" s="1066"/>
      <c r="S452" s="1067"/>
      <c r="T452" s="1066"/>
      <c r="U452" s="1066"/>
      <c r="V452" s="1066"/>
      <c r="W452" s="1066"/>
      <c r="X452" s="1066"/>
      <c r="Y452" s="1066"/>
      <c r="Z452" s="1066"/>
      <c r="AA452" s="1066"/>
      <c r="AB452" s="1073"/>
      <c r="AC452" s="1066"/>
      <c r="AD452" s="1066"/>
      <c r="AE452" s="1066"/>
      <c r="AF452" s="1066"/>
      <c r="AG452" s="1066"/>
      <c r="AH452" s="1066"/>
      <c r="AI452" s="1066"/>
      <c r="AJ452" s="1066"/>
      <c r="AK452" s="1066"/>
      <c r="AL452" s="1066"/>
      <c r="AM452" s="1066"/>
      <c r="AN452" s="1066"/>
      <c r="AO452" s="1066"/>
      <c r="AP452" s="1066"/>
      <c r="AQ452" s="1066"/>
      <c r="AR452" s="1066"/>
      <c r="AS452" s="1066"/>
      <c r="AT452" s="1066"/>
      <c r="AU452" s="1066"/>
      <c r="AV452" s="1066"/>
      <c r="AW452" s="1066"/>
      <c r="AX452" s="1066"/>
      <c r="AY452" s="1066"/>
      <c r="AZ452" s="1066"/>
      <c r="BA452" s="1066"/>
      <c r="BB452" s="597"/>
      <c r="BC452" s="597"/>
      <c r="BD452" s="597"/>
      <c r="BE452" s="597"/>
      <c r="BF452" s="597"/>
      <c r="BG452" s="597"/>
      <c r="BH452" s="597"/>
      <c r="BI452" s="597"/>
      <c r="BJ452" s="597"/>
      <c r="BK452" s="597"/>
      <c r="BL452" s="597"/>
      <c r="BM452" s="597"/>
      <c r="BN452" s="597"/>
      <c r="BO452" s="597"/>
      <c r="BP452" s="597"/>
      <c r="BQ452" s="597"/>
      <c r="BR452" s="597"/>
      <c r="BS452" s="597"/>
      <c r="BT452" s="597"/>
    </row>
    <row r="453" ht="12.75" customHeight="1">
      <c r="A453" s="1074"/>
      <c r="B453" s="597"/>
      <c r="C453" s="597"/>
      <c r="D453" s="597"/>
      <c r="E453" s="1069"/>
      <c r="F453" s="1186"/>
      <c r="G453" s="1070"/>
      <c r="H453" s="1068"/>
      <c r="I453" s="597"/>
      <c r="J453" s="597"/>
      <c r="K453" s="1068"/>
      <c r="L453" s="1071"/>
      <c r="M453" s="1071"/>
      <c r="N453" s="1072"/>
      <c r="O453" s="597"/>
      <c r="P453" s="1068"/>
      <c r="Q453" s="597"/>
      <c r="R453" s="1066"/>
      <c r="S453" s="1067"/>
      <c r="T453" s="1066"/>
      <c r="U453" s="1066"/>
      <c r="V453" s="1066"/>
      <c r="W453" s="1066"/>
      <c r="X453" s="1066"/>
      <c r="Y453" s="1066"/>
      <c r="Z453" s="1066"/>
      <c r="AA453" s="1066"/>
      <c r="AB453" s="1073"/>
      <c r="AC453" s="1066"/>
      <c r="AD453" s="1066"/>
      <c r="AE453" s="1066"/>
      <c r="AF453" s="1066"/>
      <c r="AG453" s="1066"/>
      <c r="AH453" s="1066"/>
      <c r="AI453" s="1066"/>
      <c r="AJ453" s="1066"/>
      <c r="AK453" s="1066"/>
      <c r="AL453" s="1066"/>
      <c r="AM453" s="1066"/>
      <c r="AN453" s="1066"/>
      <c r="AO453" s="1066"/>
      <c r="AP453" s="1066"/>
      <c r="AQ453" s="1066"/>
      <c r="AR453" s="1066"/>
      <c r="AS453" s="1066"/>
      <c r="AT453" s="1066"/>
      <c r="AU453" s="1066"/>
      <c r="AV453" s="1066"/>
      <c r="AW453" s="1066"/>
      <c r="AX453" s="1066"/>
      <c r="AY453" s="1066"/>
      <c r="AZ453" s="1066"/>
      <c r="BA453" s="1066"/>
      <c r="BB453" s="597"/>
      <c r="BC453" s="597"/>
      <c r="BD453" s="597"/>
      <c r="BE453" s="597"/>
      <c r="BF453" s="597"/>
      <c r="BG453" s="597"/>
      <c r="BH453" s="597"/>
      <c r="BI453" s="597"/>
      <c r="BJ453" s="597"/>
      <c r="BK453" s="597"/>
      <c r="BL453" s="597"/>
      <c r="BM453" s="597"/>
      <c r="BN453" s="597"/>
      <c r="BO453" s="597"/>
      <c r="BP453" s="597"/>
      <c r="BQ453" s="597"/>
      <c r="BR453" s="597"/>
      <c r="BS453" s="597"/>
      <c r="BT453" s="597"/>
    </row>
    <row r="454" ht="12.75" customHeight="1">
      <c r="A454" s="1074"/>
      <c r="B454" s="597"/>
      <c r="C454" s="597"/>
      <c r="D454" s="597"/>
      <c r="E454" s="1069"/>
      <c r="F454" s="1186"/>
      <c r="G454" s="1070"/>
      <c r="H454" s="1068"/>
      <c r="I454" s="597"/>
      <c r="J454" s="597"/>
      <c r="K454" s="1068"/>
      <c r="L454" s="1071"/>
      <c r="M454" s="1071"/>
      <c r="N454" s="1072"/>
      <c r="O454" s="597"/>
      <c r="P454" s="1068"/>
      <c r="Q454" s="597"/>
      <c r="R454" s="1066"/>
      <c r="S454" s="1067"/>
      <c r="T454" s="1066"/>
      <c r="U454" s="1066"/>
      <c r="V454" s="1066"/>
      <c r="W454" s="1066"/>
      <c r="X454" s="1066"/>
      <c r="Y454" s="1066"/>
      <c r="Z454" s="1066"/>
      <c r="AA454" s="1066"/>
      <c r="AB454" s="1073"/>
      <c r="AC454" s="1066"/>
      <c r="AD454" s="1066"/>
      <c r="AE454" s="1066"/>
      <c r="AF454" s="1066"/>
      <c r="AG454" s="1066"/>
      <c r="AH454" s="1066"/>
      <c r="AI454" s="1066"/>
      <c r="AJ454" s="1066"/>
      <c r="AK454" s="1066"/>
      <c r="AL454" s="1066"/>
      <c r="AM454" s="1066"/>
      <c r="AN454" s="1066"/>
      <c r="AO454" s="1066"/>
      <c r="AP454" s="1066"/>
      <c r="AQ454" s="1066"/>
      <c r="AR454" s="1066"/>
      <c r="AS454" s="1066"/>
      <c r="AT454" s="1066"/>
      <c r="AU454" s="1066"/>
      <c r="AV454" s="1066"/>
      <c r="AW454" s="1066"/>
      <c r="AX454" s="1066"/>
      <c r="AY454" s="1066"/>
      <c r="AZ454" s="1066"/>
      <c r="BA454" s="1066"/>
      <c r="BB454" s="597"/>
      <c r="BC454" s="597"/>
      <c r="BD454" s="597"/>
      <c r="BE454" s="597"/>
      <c r="BF454" s="597"/>
      <c r="BG454" s="597"/>
      <c r="BH454" s="597"/>
      <c r="BI454" s="597"/>
      <c r="BJ454" s="597"/>
      <c r="BK454" s="597"/>
      <c r="BL454" s="597"/>
      <c r="BM454" s="597"/>
      <c r="BN454" s="597"/>
      <c r="BO454" s="597"/>
      <c r="BP454" s="597"/>
      <c r="BQ454" s="597"/>
      <c r="BR454" s="597"/>
      <c r="BS454" s="597"/>
      <c r="BT454" s="597"/>
    </row>
    <row r="455" ht="12.75" customHeight="1">
      <c r="A455" s="1074"/>
      <c r="B455" s="597"/>
      <c r="C455" s="597"/>
      <c r="D455" s="597"/>
      <c r="E455" s="1069"/>
      <c r="F455" s="1186"/>
      <c r="G455" s="1070"/>
      <c r="H455" s="1068"/>
      <c r="I455" s="597"/>
      <c r="J455" s="597"/>
      <c r="K455" s="1068"/>
      <c r="L455" s="1071"/>
      <c r="M455" s="1071"/>
      <c r="N455" s="1072"/>
      <c r="O455" s="597"/>
      <c r="P455" s="1068"/>
      <c r="Q455" s="597"/>
      <c r="R455" s="1066"/>
      <c r="S455" s="1067"/>
      <c r="T455" s="1066"/>
      <c r="U455" s="1066"/>
      <c r="V455" s="1066"/>
      <c r="W455" s="1066"/>
      <c r="X455" s="1066"/>
      <c r="Y455" s="1066"/>
      <c r="Z455" s="1066"/>
      <c r="AA455" s="1066"/>
      <c r="AB455" s="1073"/>
      <c r="AC455" s="1066"/>
      <c r="AD455" s="1066"/>
      <c r="AE455" s="1066"/>
      <c r="AF455" s="1066"/>
      <c r="AG455" s="1066"/>
      <c r="AH455" s="1066"/>
      <c r="AI455" s="1066"/>
      <c r="AJ455" s="1066"/>
      <c r="AK455" s="1066"/>
      <c r="AL455" s="1066"/>
      <c r="AM455" s="1066"/>
      <c r="AN455" s="1066"/>
      <c r="AO455" s="1066"/>
      <c r="AP455" s="1066"/>
      <c r="AQ455" s="1066"/>
      <c r="AR455" s="1066"/>
      <c r="AS455" s="1066"/>
      <c r="AT455" s="1066"/>
      <c r="AU455" s="1066"/>
      <c r="AV455" s="1066"/>
      <c r="AW455" s="1066"/>
      <c r="AX455" s="1066"/>
      <c r="AY455" s="1066"/>
      <c r="AZ455" s="1066"/>
      <c r="BA455" s="1066"/>
      <c r="BB455" s="597"/>
      <c r="BC455" s="597"/>
      <c r="BD455" s="597"/>
      <c r="BE455" s="597"/>
      <c r="BF455" s="597"/>
      <c r="BG455" s="597"/>
      <c r="BH455" s="597"/>
      <c r="BI455" s="597"/>
      <c r="BJ455" s="597"/>
      <c r="BK455" s="597"/>
      <c r="BL455" s="597"/>
      <c r="BM455" s="597"/>
      <c r="BN455" s="597"/>
      <c r="BO455" s="597"/>
      <c r="BP455" s="597"/>
      <c r="BQ455" s="597"/>
      <c r="BR455" s="597"/>
      <c r="BS455" s="597"/>
      <c r="BT455" s="597"/>
    </row>
    <row r="456" ht="12.75" customHeight="1">
      <c r="A456" s="1074"/>
      <c r="B456" s="597"/>
      <c r="C456" s="597"/>
      <c r="D456" s="597"/>
      <c r="E456" s="1069"/>
      <c r="F456" s="1186"/>
      <c r="G456" s="1070"/>
      <c r="H456" s="1068"/>
      <c r="I456" s="597"/>
      <c r="J456" s="597"/>
      <c r="K456" s="1068"/>
      <c r="L456" s="1071"/>
      <c r="M456" s="1071"/>
      <c r="N456" s="1072"/>
      <c r="O456" s="597"/>
      <c r="P456" s="1068"/>
      <c r="Q456" s="597"/>
      <c r="R456" s="1066"/>
      <c r="S456" s="1067"/>
      <c r="T456" s="1066"/>
      <c r="U456" s="1066"/>
      <c r="V456" s="1066"/>
      <c r="W456" s="1066"/>
      <c r="X456" s="1066"/>
      <c r="Y456" s="1066"/>
      <c r="Z456" s="1066"/>
      <c r="AA456" s="1066"/>
      <c r="AB456" s="1073"/>
      <c r="AC456" s="1066"/>
      <c r="AD456" s="1066"/>
      <c r="AE456" s="1066"/>
      <c r="AF456" s="1066"/>
      <c r="AG456" s="1066"/>
      <c r="AH456" s="1066"/>
      <c r="AI456" s="1066"/>
      <c r="AJ456" s="1066"/>
      <c r="AK456" s="1066"/>
      <c r="AL456" s="1066"/>
      <c r="AM456" s="1066"/>
      <c r="AN456" s="1066"/>
      <c r="AO456" s="1066"/>
      <c r="AP456" s="1066"/>
      <c r="AQ456" s="1066"/>
      <c r="AR456" s="1066"/>
      <c r="AS456" s="1066"/>
      <c r="AT456" s="1066"/>
      <c r="AU456" s="1066"/>
      <c r="AV456" s="1066"/>
      <c r="AW456" s="1066"/>
      <c r="AX456" s="1066"/>
      <c r="AY456" s="1066"/>
      <c r="AZ456" s="1066"/>
      <c r="BA456" s="1066"/>
      <c r="BB456" s="597"/>
      <c r="BC456" s="597"/>
      <c r="BD456" s="597"/>
      <c r="BE456" s="597"/>
      <c r="BF456" s="597"/>
      <c r="BG456" s="597"/>
      <c r="BH456" s="597"/>
      <c r="BI456" s="597"/>
      <c r="BJ456" s="597"/>
      <c r="BK456" s="597"/>
      <c r="BL456" s="597"/>
      <c r="BM456" s="597"/>
      <c r="BN456" s="597"/>
      <c r="BO456" s="597"/>
      <c r="BP456" s="597"/>
      <c r="BQ456" s="597"/>
      <c r="BR456" s="597"/>
      <c r="BS456" s="597"/>
      <c r="BT456" s="597"/>
    </row>
    <row r="457" ht="12.75" customHeight="1">
      <c r="A457" s="1074"/>
      <c r="B457" s="597"/>
      <c r="C457" s="597"/>
      <c r="D457" s="597"/>
      <c r="E457" s="1069"/>
      <c r="F457" s="1186"/>
      <c r="G457" s="1070"/>
      <c r="H457" s="1068"/>
      <c r="I457" s="597"/>
      <c r="J457" s="597"/>
      <c r="K457" s="1068"/>
      <c r="L457" s="1071"/>
      <c r="M457" s="1071"/>
      <c r="N457" s="1072"/>
      <c r="O457" s="597"/>
      <c r="P457" s="1068"/>
      <c r="Q457" s="597"/>
      <c r="R457" s="1066"/>
      <c r="S457" s="1067"/>
      <c r="T457" s="1066"/>
      <c r="U457" s="1066"/>
      <c r="V457" s="1066"/>
      <c r="W457" s="1066"/>
      <c r="X457" s="1066"/>
      <c r="Y457" s="1066"/>
      <c r="Z457" s="1066"/>
      <c r="AA457" s="1066"/>
      <c r="AB457" s="1073"/>
      <c r="AC457" s="1066"/>
      <c r="AD457" s="1066"/>
      <c r="AE457" s="1066"/>
      <c r="AF457" s="1066"/>
      <c r="AG457" s="1066"/>
      <c r="AH457" s="1066"/>
      <c r="AI457" s="1066"/>
      <c r="AJ457" s="1066"/>
      <c r="AK457" s="1066"/>
      <c r="AL457" s="1066"/>
      <c r="AM457" s="1066"/>
      <c r="AN457" s="1066"/>
      <c r="AO457" s="1066"/>
      <c r="AP457" s="1066"/>
      <c r="AQ457" s="1066"/>
      <c r="AR457" s="1066"/>
      <c r="AS457" s="1066"/>
      <c r="AT457" s="1066"/>
      <c r="AU457" s="1066"/>
      <c r="AV457" s="1066"/>
      <c r="AW457" s="1066"/>
      <c r="AX457" s="1066"/>
      <c r="AY457" s="1066"/>
      <c r="AZ457" s="1066"/>
      <c r="BA457" s="1066"/>
      <c r="BB457" s="597"/>
      <c r="BC457" s="597"/>
      <c r="BD457" s="597"/>
      <c r="BE457" s="597"/>
      <c r="BF457" s="597"/>
      <c r="BG457" s="597"/>
      <c r="BH457" s="597"/>
      <c r="BI457" s="597"/>
      <c r="BJ457" s="597"/>
      <c r="BK457" s="597"/>
      <c r="BL457" s="597"/>
      <c r="BM457" s="597"/>
      <c r="BN457" s="597"/>
      <c r="BO457" s="597"/>
      <c r="BP457" s="597"/>
      <c r="BQ457" s="597"/>
      <c r="BR457" s="597"/>
      <c r="BS457" s="597"/>
      <c r="BT457" s="597"/>
    </row>
    <row r="458" ht="12.75" customHeight="1">
      <c r="A458" s="1074"/>
      <c r="B458" s="597"/>
      <c r="C458" s="597"/>
      <c r="D458" s="597"/>
      <c r="E458" s="1069"/>
      <c r="F458" s="1186"/>
      <c r="G458" s="1070"/>
      <c r="H458" s="1068"/>
      <c r="I458" s="597"/>
      <c r="J458" s="597"/>
      <c r="K458" s="1068"/>
      <c r="L458" s="1071"/>
      <c r="M458" s="1071"/>
      <c r="N458" s="1072"/>
      <c r="O458" s="597"/>
      <c r="P458" s="1068"/>
      <c r="Q458" s="597"/>
      <c r="R458" s="1066"/>
      <c r="S458" s="1067"/>
      <c r="T458" s="1066"/>
      <c r="U458" s="1066"/>
      <c r="V458" s="1066"/>
      <c r="W458" s="1066"/>
      <c r="X458" s="1066"/>
      <c r="Y458" s="1066"/>
      <c r="Z458" s="1066"/>
      <c r="AA458" s="1066"/>
      <c r="AB458" s="1073"/>
      <c r="AC458" s="1066"/>
      <c r="AD458" s="1066"/>
      <c r="AE458" s="1066"/>
      <c r="AF458" s="1066"/>
      <c r="AG458" s="1066"/>
      <c r="AH458" s="1066"/>
      <c r="AI458" s="1066"/>
      <c r="AJ458" s="1066"/>
      <c r="AK458" s="1066"/>
      <c r="AL458" s="1066"/>
      <c r="AM458" s="1066"/>
      <c r="AN458" s="1066"/>
      <c r="AO458" s="1066"/>
      <c r="AP458" s="1066"/>
      <c r="AQ458" s="1066"/>
      <c r="AR458" s="1066"/>
      <c r="AS458" s="1066"/>
      <c r="AT458" s="1066"/>
      <c r="AU458" s="1066"/>
      <c r="AV458" s="1066"/>
      <c r="AW458" s="1066"/>
      <c r="AX458" s="1066"/>
      <c r="AY458" s="1066"/>
      <c r="AZ458" s="1066"/>
      <c r="BA458" s="1066"/>
      <c r="BB458" s="597"/>
      <c r="BC458" s="597"/>
      <c r="BD458" s="597"/>
      <c r="BE458" s="597"/>
      <c r="BF458" s="597"/>
      <c r="BG458" s="597"/>
      <c r="BH458" s="597"/>
      <c r="BI458" s="597"/>
      <c r="BJ458" s="597"/>
      <c r="BK458" s="597"/>
      <c r="BL458" s="597"/>
      <c r="BM458" s="597"/>
      <c r="BN458" s="597"/>
      <c r="BO458" s="597"/>
      <c r="BP458" s="597"/>
      <c r="BQ458" s="597"/>
      <c r="BR458" s="597"/>
      <c r="BS458" s="597"/>
      <c r="BT458" s="597"/>
    </row>
    <row r="459" ht="12.75" customHeight="1">
      <c r="A459" s="1074"/>
      <c r="B459" s="597"/>
      <c r="C459" s="597"/>
      <c r="D459" s="597"/>
      <c r="E459" s="1069"/>
      <c r="F459" s="1186"/>
      <c r="G459" s="1070"/>
      <c r="H459" s="1068"/>
      <c r="I459" s="597"/>
      <c r="J459" s="597"/>
      <c r="K459" s="1068"/>
      <c r="L459" s="1071"/>
      <c r="M459" s="1071"/>
      <c r="N459" s="1072"/>
      <c r="O459" s="597"/>
      <c r="P459" s="1068"/>
      <c r="Q459" s="597"/>
      <c r="R459" s="1066"/>
      <c r="S459" s="1067"/>
      <c r="T459" s="1066"/>
      <c r="U459" s="1066"/>
      <c r="V459" s="1066"/>
      <c r="W459" s="1066"/>
      <c r="X459" s="1066"/>
      <c r="Y459" s="1066"/>
      <c r="Z459" s="1066"/>
      <c r="AA459" s="1066"/>
      <c r="AB459" s="1073"/>
      <c r="AC459" s="1066"/>
      <c r="AD459" s="1066"/>
      <c r="AE459" s="1066"/>
      <c r="AF459" s="1066"/>
      <c r="AG459" s="1066"/>
      <c r="AH459" s="1066"/>
      <c r="AI459" s="1066"/>
      <c r="AJ459" s="1066"/>
      <c r="AK459" s="1066"/>
      <c r="AL459" s="1066"/>
      <c r="AM459" s="1066"/>
      <c r="AN459" s="1066"/>
      <c r="AO459" s="1066"/>
      <c r="AP459" s="1066"/>
      <c r="AQ459" s="1066"/>
      <c r="AR459" s="1066"/>
      <c r="AS459" s="1066"/>
      <c r="AT459" s="1066"/>
      <c r="AU459" s="1066"/>
      <c r="AV459" s="1066"/>
      <c r="AW459" s="1066"/>
      <c r="AX459" s="1066"/>
      <c r="AY459" s="1066"/>
      <c r="AZ459" s="1066"/>
      <c r="BA459" s="1066"/>
      <c r="BB459" s="597"/>
      <c r="BC459" s="597"/>
      <c r="BD459" s="597"/>
      <c r="BE459" s="597"/>
      <c r="BF459" s="597"/>
      <c r="BG459" s="597"/>
      <c r="BH459" s="597"/>
      <c r="BI459" s="597"/>
      <c r="BJ459" s="597"/>
      <c r="BK459" s="597"/>
      <c r="BL459" s="597"/>
      <c r="BM459" s="597"/>
      <c r="BN459" s="597"/>
      <c r="BO459" s="597"/>
      <c r="BP459" s="597"/>
      <c r="BQ459" s="597"/>
      <c r="BR459" s="597"/>
      <c r="BS459" s="597"/>
      <c r="BT459" s="597"/>
    </row>
    <row r="460" ht="12.75" customHeight="1">
      <c r="A460" s="1074"/>
      <c r="B460" s="597"/>
      <c r="C460" s="597"/>
      <c r="D460" s="597"/>
      <c r="E460" s="1069"/>
      <c r="F460" s="1186"/>
      <c r="G460" s="1070"/>
      <c r="H460" s="1068"/>
      <c r="I460" s="597"/>
      <c r="J460" s="597"/>
      <c r="K460" s="1068"/>
      <c r="L460" s="1071"/>
      <c r="M460" s="1071"/>
      <c r="N460" s="1072"/>
      <c r="O460" s="597"/>
      <c r="P460" s="1068"/>
      <c r="Q460" s="597"/>
      <c r="R460" s="1066"/>
      <c r="S460" s="1067"/>
      <c r="T460" s="1066"/>
      <c r="U460" s="1066"/>
      <c r="V460" s="1066"/>
      <c r="W460" s="1066"/>
      <c r="X460" s="1066"/>
      <c r="Y460" s="1066"/>
      <c r="Z460" s="1066"/>
      <c r="AA460" s="1066"/>
      <c r="AB460" s="1073"/>
      <c r="AC460" s="1066"/>
      <c r="AD460" s="1066"/>
      <c r="AE460" s="1066"/>
      <c r="AF460" s="1066"/>
      <c r="AG460" s="1066"/>
      <c r="AH460" s="1066"/>
      <c r="AI460" s="1066"/>
      <c r="AJ460" s="1066"/>
      <c r="AK460" s="1066"/>
      <c r="AL460" s="1066"/>
      <c r="AM460" s="1066"/>
      <c r="AN460" s="1066"/>
      <c r="AO460" s="1066"/>
      <c r="AP460" s="1066"/>
      <c r="AQ460" s="1066"/>
      <c r="AR460" s="1066"/>
      <c r="AS460" s="1066"/>
      <c r="AT460" s="1066"/>
      <c r="AU460" s="1066"/>
      <c r="AV460" s="1066"/>
      <c r="AW460" s="1066"/>
      <c r="AX460" s="1066"/>
      <c r="AY460" s="1066"/>
      <c r="AZ460" s="1066"/>
      <c r="BA460" s="1066"/>
      <c r="BB460" s="597"/>
      <c r="BC460" s="597"/>
      <c r="BD460" s="597"/>
      <c r="BE460" s="597"/>
      <c r="BF460" s="597"/>
      <c r="BG460" s="597"/>
      <c r="BH460" s="597"/>
      <c r="BI460" s="597"/>
      <c r="BJ460" s="597"/>
      <c r="BK460" s="597"/>
      <c r="BL460" s="597"/>
      <c r="BM460" s="597"/>
      <c r="BN460" s="597"/>
      <c r="BO460" s="597"/>
      <c r="BP460" s="597"/>
      <c r="BQ460" s="597"/>
      <c r="BR460" s="597"/>
      <c r="BS460" s="597"/>
      <c r="BT460" s="597"/>
    </row>
    <row r="461" ht="12.75" customHeight="1">
      <c r="A461" s="1074"/>
      <c r="B461" s="597"/>
      <c r="C461" s="597"/>
      <c r="D461" s="597"/>
      <c r="E461" s="1069"/>
      <c r="F461" s="1186"/>
      <c r="G461" s="1070"/>
      <c r="H461" s="1068"/>
      <c r="I461" s="597"/>
      <c r="J461" s="597"/>
      <c r="K461" s="1068"/>
      <c r="L461" s="1071"/>
      <c r="M461" s="1071"/>
      <c r="N461" s="1072"/>
      <c r="O461" s="597"/>
      <c r="P461" s="1068"/>
      <c r="Q461" s="597"/>
      <c r="R461" s="1066"/>
      <c r="S461" s="1067"/>
      <c r="T461" s="1066"/>
      <c r="U461" s="1066"/>
      <c r="V461" s="1066"/>
      <c r="W461" s="1066"/>
      <c r="X461" s="1066"/>
      <c r="Y461" s="1066"/>
      <c r="Z461" s="1066"/>
      <c r="AA461" s="1066"/>
      <c r="AB461" s="1073"/>
      <c r="AC461" s="1066"/>
      <c r="AD461" s="1066"/>
      <c r="AE461" s="1066"/>
      <c r="AF461" s="1066"/>
      <c r="AG461" s="1066"/>
      <c r="AH461" s="1066"/>
      <c r="AI461" s="1066"/>
      <c r="AJ461" s="1066"/>
      <c r="AK461" s="1066"/>
      <c r="AL461" s="1066"/>
      <c r="AM461" s="1066"/>
      <c r="AN461" s="1066"/>
      <c r="AO461" s="1066"/>
      <c r="AP461" s="1066"/>
      <c r="AQ461" s="1066"/>
      <c r="AR461" s="1066"/>
      <c r="AS461" s="1066"/>
      <c r="AT461" s="1066"/>
      <c r="AU461" s="1066"/>
      <c r="AV461" s="1066"/>
      <c r="AW461" s="1066"/>
      <c r="AX461" s="1066"/>
      <c r="AY461" s="1066"/>
      <c r="AZ461" s="1066"/>
      <c r="BA461" s="1066"/>
      <c r="BB461" s="597"/>
      <c r="BC461" s="597"/>
      <c r="BD461" s="597"/>
      <c r="BE461" s="597"/>
      <c r="BF461" s="597"/>
      <c r="BG461" s="597"/>
      <c r="BH461" s="597"/>
      <c r="BI461" s="597"/>
      <c r="BJ461" s="597"/>
      <c r="BK461" s="597"/>
      <c r="BL461" s="597"/>
      <c r="BM461" s="597"/>
      <c r="BN461" s="597"/>
      <c r="BO461" s="597"/>
      <c r="BP461" s="597"/>
      <c r="BQ461" s="597"/>
      <c r="BR461" s="597"/>
      <c r="BS461" s="597"/>
      <c r="BT461" s="597"/>
    </row>
    <row r="462" ht="12.75" customHeight="1">
      <c r="A462" s="1074"/>
      <c r="B462" s="597"/>
      <c r="C462" s="597"/>
      <c r="D462" s="597"/>
      <c r="E462" s="1069"/>
      <c r="F462" s="1186"/>
      <c r="G462" s="1070"/>
      <c r="H462" s="1068"/>
      <c r="I462" s="597"/>
      <c r="J462" s="597"/>
      <c r="K462" s="1068"/>
      <c r="L462" s="1071"/>
      <c r="M462" s="1071"/>
      <c r="N462" s="1072"/>
      <c r="O462" s="597"/>
      <c r="P462" s="1068"/>
      <c r="Q462" s="597"/>
      <c r="R462" s="1066"/>
      <c r="S462" s="1067"/>
      <c r="T462" s="1066"/>
      <c r="U462" s="1066"/>
      <c r="V462" s="1066"/>
      <c r="W462" s="1066"/>
      <c r="X462" s="1066"/>
      <c r="Y462" s="1066"/>
      <c r="Z462" s="1066"/>
      <c r="AA462" s="1066"/>
      <c r="AB462" s="1073"/>
      <c r="AC462" s="1066"/>
      <c r="AD462" s="1066"/>
      <c r="AE462" s="1066"/>
      <c r="AF462" s="1066"/>
      <c r="AG462" s="1066"/>
      <c r="AH462" s="1066"/>
      <c r="AI462" s="1066"/>
      <c r="AJ462" s="1066"/>
      <c r="AK462" s="1066"/>
      <c r="AL462" s="1066"/>
      <c r="AM462" s="1066"/>
      <c r="AN462" s="1066"/>
      <c r="AO462" s="1066"/>
      <c r="AP462" s="1066"/>
      <c r="AQ462" s="1066"/>
      <c r="AR462" s="1066"/>
      <c r="AS462" s="1066"/>
      <c r="AT462" s="1066"/>
      <c r="AU462" s="1066"/>
      <c r="AV462" s="1066"/>
      <c r="AW462" s="1066"/>
      <c r="AX462" s="1066"/>
      <c r="AY462" s="1066"/>
      <c r="AZ462" s="1066"/>
      <c r="BA462" s="1066"/>
      <c r="BB462" s="597"/>
      <c r="BC462" s="597"/>
      <c r="BD462" s="597"/>
      <c r="BE462" s="597"/>
      <c r="BF462" s="597"/>
      <c r="BG462" s="597"/>
      <c r="BH462" s="597"/>
      <c r="BI462" s="597"/>
      <c r="BJ462" s="597"/>
      <c r="BK462" s="597"/>
      <c r="BL462" s="597"/>
      <c r="BM462" s="597"/>
      <c r="BN462" s="597"/>
      <c r="BO462" s="597"/>
      <c r="BP462" s="597"/>
      <c r="BQ462" s="597"/>
      <c r="BR462" s="597"/>
      <c r="BS462" s="597"/>
      <c r="BT462" s="597"/>
    </row>
  </sheetData>
  <autoFilter ref="$A$1:$BH$381"/>
  <mergeCells count="18">
    <mergeCell ref="G11:G12"/>
    <mergeCell ref="H11:H12"/>
    <mergeCell ref="I11:I12"/>
    <mergeCell ref="J11:J12"/>
    <mergeCell ref="K11:K12"/>
    <mergeCell ref="M11:P11"/>
    <mergeCell ref="Q11:Q12"/>
    <mergeCell ref="R11:T11"/>
    <mergeCell ref="V11:W11"/>
    <mergeCell ref="AJ11:AJ12"/>
    <mergeCell ref="B2:AK7"/>
    <mergeCell ref="K8:AK9"/>
    <mergeCell ref="B11:B12"/>
    <mergeCell ref="C11:C12"/>
    <mergeCell ref="D11:D12"/>
    <mergeCell ref="E11:E12"/>
    <mergeCell ref="F11:F12"/>
    <mergeCell ref="AK11:AK12"/>
  </mergeCells>
  <conditionalFormatting sqref="D15:D181">
    <cfRule type="cellIs" dxfId="0" priority="1" operator="equal">
      <formula>"Takeoff"</formula>
    </cfRule>
  </conditionalFormatting>
  <conditionalFormatting sqref="AR222:AR258">
    <cfRule type="expression" dxfId="1" priority="2">
      <formula>$AR222=0</formula>
    </cfRule>
  </conditionalFormatting>
  <conditionalFormatting sqref="Q219">
    <cfRule type="expression" dxfId="2" priority="3">
      <formula>$Q219=TRUE</formula>
    </cfRule>
  </conditionalFormatting>
  <conditionalFormatting sqref="Q219">
    <cfRule type="expression" dxfId="3" priority="4">
      <formula>$Q219=False</formula>
    </cfRule>
  </conditionalFormatting>
  <conditionalFormatting sqref="AD222:AD282">
    <cfRule type="expression" dxfId="1" priority="5">
      <formula>$AD222=0</formula>
    </cfRule>
  </conditionalFormatting>
  <conditionalFormatting sqref="AE219">
    <cfRule type="expression" dxfId="2" priority="6">
      <formula>$AE219=TRUE</formula>
    </cfRule>
  </conditionalFormatting>
  <conditionalFormatting sqref="AE219">
    <cfRule type="expression" dxfId="3" priority="7">
      <formula>$AE219=False</formula>
    </cfRule>
  </conditionalFormatting>
  <conditionalFormatting sqref="P222:P342">
    <cfRule type="expression" dxfId="1" priority="8">
      <formula>$P222=0</formula>
    </cfRule>
  </conditionalFormatting>
  <conditionalFormatting sqref="P220">
    <cfRule type="expression" dxfId="0" priority="9">
      <formula>$P220&gt;0</formula>
    </cfRule>
  </conditionalFormatting>
  <conditionalFormatting sqref="AD220">
    <cfRule type="expression" dxfId="0" priority="10">
      <formula>$AD220&gt;0</formula>
    </cfRule>
  </conditionalFormatting>
  <conditionalFormatting sqref="AR220">
    <cfRule type="expression" dxfId="0" priority="11">
      <formula>$AR220&gt;0</formula>
    </cfRule>
  </conditionalFormatting>
  <conditionalFormatting sqref="AS219">
    <cfRule type="expression" dxfId="2" priority="12">
      <formula>$AS219=TRUE</formula>
    </cfRule>
  </conditionalFormatting>
  <conditionalFormatting sqref="AS219">
    <cfRule type="expression" dxfId="3" priority="13">
      <formula>$AS219=False</formula>
    </cfRule>
  </conditionalFormatting>
  <conditionalFormatting sqref="P16:P181">
    <cfRule type="expression" dxfId="4" priority="14">
      <formula>AND($P16=0,$P16&lt;&gt;"")</formula>
    </cfRule>
  </conditionalFormatting>
  <conditionalFormatting sqref="R14:R181 U14:U181 A16:A26 B16:Q181 S16:T181 V16:W181 A181:A182">
    <cfRule type="expression" dxfId="5" priority="15">
      <formula>AND($P14=0,$P14&lt;&gt;"")</formula>
    </cfRule>
  </conditionalFormatting>
  <dataValidations>
    <dataValidation type="list" allowBlank="1" showDropDown="1" showErrorMessage="1" sqref="D16:D52 D83:D130 D152:D162 D164:D181">
      <formula1>Pricing!$R$215:$R$333</formula1>
    </dataValidation>
    <dataValidation type="list" allowBlank="1" showDropDown="1" showErrorMessage="1" sqref="A14:A184">
      <formula1>"1,Fl,Ma,Gu,Dp"</formula1>
    </dataValidation>
    <dataValidation type="list" allowBlank="1" showDropDown="1" showErrorMessage="1" sqref="D163">
      <formula1>Pricing!$R$214:$R$332</formula1>
    </dataValidation>
    <dataValidation type="list" allowBlank="1" showDropDown="1" showErrorMessage="1" sqref="D53:D58">
      <formula1>Pricing!$R$192:$R$310</formula1>
    </dataValidation>
    <dataValidation type="list" allowBlank="1" showDropDown="1" showErrorMessage="1" sqref="D59:D64">
      <formula1>Pricing!$R$198:$R$316</formula1>
    </dataValidation>
    <dataValidation type="list" allowBlank="1" showDropDown="1" showErrorMessage="1" sqref="D145:D150">
      <formula1>Pricing!$R$203:$R$321</formula1>
    </dataValidation>
    <dataValidation type="list" allowBlank="1" showDropDown="1" showErrorMessage="1" sqref="D135:D140">
      <formula1>Pricing!$R$208:$R$326</formula1>
    </dataValidation>
    <dataValidation type="list" allowBlank="1" showDropDown="1" showErrorMessage="1" sqref="D131:D134 D151">
      <formula1>Pricing!$R$211:$R$329</formula1>
    </dataValidation>
    <dataValidation type="list" allowBlank="1" showDropDown="1" showErrorMessage="1" sqref="D141:D144">
      <formula1>Pricing!$R$199:$R$317</formula1>
    </dataValidation>
    <dataValidation type="list" allowBlank="1" showDropDown="1" showErrorMessage="1" sqref="J15:J182">
      <formula1>'Audit Check'!$O$2:$O$3</formula1>
    </dataValidation>
    <dataValidation type="list" allowBlank="1" showDropDown="1" showErrorMessage="1" sqref="D65:D82">
      <formula1>Pricing!$R$209:$R$327</formula1>
    </dataValidation>
    <dataValidation type="list" allowBlank="1" showDropDown="1" showErrorMessage="1" sqref="D182">
      <formula1>Pricing!$AF$220:$AF$278</formula1>
    </dataValidation>
    <dataValidation type="list" allowBlank="1" showDropDown="1" showErrorMessage="1" sqref="D15">
      <formula1>Pricing!$R$222:$R$341</formula1>
    </dataValidation>
  </dataValidations>
  <printOptions/>
  <pageMargins bottom="0.75" footer="0.0" header="0.0" left="0.7" right="0.7" top="0.75"/>
  <pageSetup paperSize="9"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0.29"/>
    <col customWidth="1" min="2" max="2" width="15.71"/>
    <col customWidth="1" min="3" max="3" width="8.71"/>
    <col customWidth="1" min="4" max="4" width="15.86"/>
    <col customWidth="1" min="5" max="5" width="9.29"/>
    <col customWidth="1" min="6" max="6" width="19.57"/>
    <col customWidth="1" min="7" max="8" width="4.57"/>
  </cols>
  <sheetData>
    <row r="1">
      <c r="A1" s="1187" t="s">
        <v>691</v>
      </c>
      <c r="B1" s="1188" t="s">
        <v>692</v>
      </c>
      <c r="C1" s="1189" t="s">
        <v>15</v>
      </c>
      <c r="D1" s="1190" t="s">
        <v>693</v>
      </c>
      <c r="E1" s="1190" t="s">
        <v>185</v>
      </c>
      <c r="F1" s="1191" t="s">
        <v>694</v>
      </c>
      <c r="G1" s="1192"/>
      <c r="H1" s="1193"/>
      <c r="I1" s="1194" t="s">
        <v>695</v>
      </c>
      <c r="J1" s="1195">
        <v>0.55</v>
      </c>
      <c r="K1" s="1196"/>
      <c r="L1" s="1196"/>
      <c r="M1" s="1196"/>
      <c r="N1" s="1196"/>
      <c r="O1" s="1196"/>
      <c r="P1" s="1196"/>
      <c r="Q1" s="1196"/>
      <c r="R1" s="1196"/>
      <c r="S1" s="1196"/>
      <c r="T1" s="1196"/>
      <c r="U1" s="1196"/>
      <c r="V1" s="1196"/>
      <c r="W1" s="1196"/>
      <c r="X1" s="1194"/>
      <c r="Y1" s="1196"/>
    </row>
    <row r="2">
      <c r="A2" s="1197" t="s">
        <v>696</v>
      </c>
      <c r="B2" s="1198">
        <v>22.78</v>
      </c>
      <c r="C2" s="1198" t="s">
        <v>41</v>
      </c>
      <c r="D2" s="1199">
        <f t="shared" ref="D2:D4" si="1">B2/F2</f>
        <v>29.89501312</v>
      </c>
      <c r="E2" s="1199">
        <v>10.0</v>
      </c>
      <c r="F2" s="1200">
        <v>0.762</v>
      </c>
      <c r="G2" s="1192"/>
      <c r="H2" s="1193"/>
      <c r="I2" s="1194" t="s">
        <v>9</v>
      </c>
      <c r="J2" s="1196">
        <v>0.0</v>
      </c>
      <c r="K2" s="1196">
        <v>1.0</v>
      </c>
      <c r="L2" s="1196">
        <v>2.0</v>
      </c>
      <c r="M2" s="1196">
        <v>3.0</v>
      </c>
      <c r="N2" s="1196">
        <v>4.0</v>
      </c>
      <c r="O2" s="1196">
        <v>5.0</v>
      </c>
      <c r="P2" s="1196">
        <v>6.0</v>
      </c>
      <c r="Q2" s="1196">
        <v>7.0</v>
      </c>
      <c r="R2" s="1196">
        <v>8.0</v>
      </c>
      <c r="S2" s="1196">
        <v>9.0</v>
      </c>
      <c r="T2" s="1196">
        <v>10.0</v>
      </c>
      <c r="U2" s="1196">
        <v>11.0</v>
      </c>
      <c r="V2" s="1196">
        <v>12.0</v>
      </c>
      <c r="W2" s="1196"/>
      <c r="X2" s="1194" t="s">
        <v>185</v>
      </c>
      <c r="Y2" s="1196"/>
    </row>
    <row r="3">
      <c r="A3" s="1197" t="s">
        <v>697</v>
      </c>
      <c r="B3" s="1198">
        <v>22.78</v>
      </c>
      <c r="C3" s="1198" t="s">
        <v>41</v>
      </c>
      <c r="D3" s="1201">
        <f t="shared" si="1"/>
        <v>29.89501312</v>
      </c>
      <c r="E3" s="1201">
        <v>10.0</v>
      </c>
      <c r="F3" s="1200">
        <v>0.762</v>
      </c>
      <c r="G3" s="1192"/>
      <c r="H3" s="1193"/>
      <c r="I3" s="1202">
        <v>50.0</v>
      </c>
      <c r="J3" s="1203">
        <v>2.54</v>
      </c>
      <c r="K3" s="1203">
        <v>4.46</v>
      </c>
      <c r="L3" s="1203">
        <v>6.38</v>
      </c>
      <c r="M3" s="1203">
        <v>8.3</v>
      </c>
      <c r="N3" s="1203">
        <v>10.22</v>
      </c>
      <c r="O3" s="1203">
        <v>12.14</v>
      </c>
      <c r="P3" s="1203">
        <v>14.06</v>
      </c>
      <c r="Q3" s="1203">
        <v>15.98</v>
      </c>
      <c r="R3" s="1203">
        <v>17.9</v>
      </c>
      <c r="S3" s="1203">
        <v>19.82</v>
      </c>
      <c r="T3" s="1203">
        <v>21.74</v>
      </c>
      <c r="U3" s="1203">
        <v>23.66</v>
      </c>
      <c r="V3" s="1203">
        <v>25.58</v>
      </c>
      <c r="W3" s="1204"/>
      <c r="X3" s="1203">
        <v>10.0</v>
      </c>
      <c r="Y3" s="1204"/>
    </row>
    <row r="4">
      <c r="A4" s="1197" t="s">
        <v>698</v>
      </c>
      <c r="B4" s="1205">
        <v>18.6</v>
      </c>
      <c r="C4" s="1198" t="s">
        <v>41</v>
      </c>
      <c r="D4" s="1201">
        <f t="shared" si="1"/>
        <v>24.47368421</v>
      </c>
      <c r="E4" s="1201">
        <v>10.0</v>
      </c>
      <c r="F4" s="1206">
        <v>0.76</v>
      </c>
      <c r="G4" s="1192"/>
      <c r="H4" s="1193"/>
      <c r="I4" s="1202">
        <v>100.0</v>
      </c>
      <c r="J4" s="1203">
        <v>5.08</v>
      </c>
      <c r="K4" s="1203">
        <v>7.0</v>
      </c>
      <c r="L4" s="1203">
        <v>8.92</v>
      </c>
      <c r="M4" s="1203">
        <v>10.84</v>
      </c>
      <c r="N4" s="1203">
        <v>12.76</v>
      </c>
      <c r="O4" s="1203">
        <v>14.68</v>
      </c>
      <c r="P4" s="1203">
        <v>16.6</v>
      </c>
      <c r="Q4" s="1203">
        <v>18.52</v>
      </c>
      <c r="R4" s="1203">
        <v>20.44</v>
      </c>
      <c r="S4" s="1203">
        <v>22.36</v>
      </c>
      <c r="T4" s="1203">
        <v>24.28</v>
      </c>
      <c r="U4" s="1203">
        <v>26.2</v>
      </c>
      <c r="V4" s="1203">
        <v>28.12</v>
      </c>
      <c r="W4" s="1204"/>
      <c r="X4" s="1203">
        <v>10.0</v>
      </c>
      <c r="Y4" s="1204"/>
    </row>
    <row r="5">
      <c r="A5" s="1197"/>
      <c r="B5" s="1205"/>
      <c r="C5" s="1205"/>
      <c r="D5" s="1201"/>
      <c r="E5" s="1201"/>
      <c r="F5" s="1206"/>
      <c r="G5" s="1192"/>
      <c r="H5" s="1193"/>
      <c r="I5" s="1202">
        <v>150.0</v>
      </c>
      <c r="J5" s="1203">
        <v>7.62</v>
      </c>
      <c r="K5" s="1203">
        <v>9.54</v>
      </c>
      <c r="L5" s="1203">
        <v>11.46</v>
      </c>
      <c r="M5" s="1203">
        <v>13.38</v>
      </c>
      <c r="N5" s="1203">
        <v>15.3</v>
      </c>
      <c r="O5" s="1203">
        <v>17.22</v>
      </c>
      <c r="P5" s="1203">
        <v>19.14</v>
      </c>
      <c r="Q5" s="1203">
        <v>21.06</v>
      </c>
      <c r="R5" s="1203">
        <v>22.98</v>
      </c>
      <c r="S5" s="1203">
        <v>24.9</v>
      </c>
      <c r="T5" s="1203">
        <v>26.82</v>
      </c>
      <c r="U5" s="1203">
        <v>28.74</v>
      </c>
      <c r="V5" s="1203">
        <v>30.66</v>
      </c>
      <c r="W5" s="1204"/>
      <c r="X5" s="1203">
        <v>10.0</v>
      </c>
      <c r="Y5" s="1204"/>
    </row>
    <row r="6">
      <c r="A6" s="1197"/>
      <c r="B6" s="1205"/>
      <c r="C6" s="1205"/>
      <c r="D6" s="1201"/>
      <c r="E6" s="1201"/>
      <c r="F6" s="1206"/>
      <c r="G6" s="1192"/>
      <c r="H6" s="1193"/>
      <c r="I6" s="1202">
        <v>200.0</v>
      </c>
      <c r="J6" s="1203">
        <v>10.16</v>
      </c>
      <c r="K6" s="1203">
        <v>12.08</v>
      </c>
      <c r="L6" s="1203">
        <v>14.0</v>
      </c>
      <c r="M6" s="1203">
        <v>15.92</v>
      </c>
      <c r="N6" s="1203">
        <v>17.84</v>
      </c>
      <c r="O6" s="1203">
        <v>19.76</v>
      </c>
      <c r="P6" s="1203">
        <v>21.68</v>
      </c>
      <c r="Q6" s="1203">
        <v>23.6</v>
      </c>
      <c r="R6" s="1203">
        <v>25.52</v>
      </c>
      <c r="S6" s="1203">
        <v>27.44</v>
      </c>
      <c r="T6" s="1203">
        <v>29.36</v>
      </c>
      <c r="U6" s="1203">
        <v>31.28</v>
      </c>
      <c r="V6" s="1203">
        <v>33.2</v>
      </c>
      <c r="W6" s="1204"/>
      <c r="X6" s="1203">
        <v>10.0</v>
      </c>
      <c r="Y6" s="1204"/>
    </row>
    <row r="7">
      <c r="A7" s="1197"/>
      <c r="B7" s="1205"/>
      <c r="C7" s="1205"/>
      <c r="D7" s="1201"/>
      <c r="E7" s="1201"/>
      <c r="F7" s="1206"/>
      <c r="G7" s="1192"/>
      <c r="H7" s="1193"/>
      <c r="I7" s="1202">
        <v>250.0</v>
      </c>
      <c r="J7" s="1203">
        <v>12.7</v>
      </c>
      <c r="K7" s="1203">
        <v>14.62</v>
      </c>
      <c r="L7" s="1203">
        <v>16.54</v>
      </c>
      <c r="M7" s="1203">
        <v>18.46</v>
      </c>
      <c r="N7" s="1203">
        <v>20.38</v>
      </c>
      <c r="O7" s="1203">
        <v>22.3</v>
      </c>
      <c r="P7" s="1203">
        <v>24.22</v>
      </c>
      <c r="Q7" s="1203">
        <v>26.14</v>
      </c>
      <c r="R7" s="1203">
        <v>28.06</v>
      </c>
      <c r="S7" s="1203">
        <v>29.98</v>
      </c>
      <c r="T7" s="1203">
        <v>31.9</v>
      </c>
      <c r="U7" s="1203">
        <v>33.82</v>
      </c>
      <c r="V7" s="1203">
        <v>35.74</v>
      </c>
      <c r="W7" s="1204"/>
      <c r="X7" s="1203">
        <v>10.0</v>
      </c>
      <c r="Y7" s="1204"/>
    </row>
    <row r="8">
      <c r="A8" s="1197" t="s">
        <v>621</v>
      </c>
      <c r="B8" s="1205">
        <v>35.87</v>
      </c>
      <c r="C8" s="1205" t="s">
        <v>41</v>
      </c>
      <c r="D8" s="1201">
        <f t="shared" ref="D8:D9" si="2">B8/F8</f>
        <v>40.34870641</v>
      </c>
      <c r="E8" s="1201">
        <v>10.0</v>
      </c>
      <c r="F8" s="1206">
        <v>0.889</v>
      </c>
      <c r="G8" s="1192"/>
      <c r="H8" s="1193"/>
      <c r="I8" s="1202">
        <v>300.0</v>
      </c>
      <c r="J8" s="1203">
        <v>15.24</v>
      </c>
      <c r="K8" s="1203">
        <v>17.16</v>
      </c>
      <c r="L8" s="1203">
        <v>19.08</v>
      </c>
      <c r="M8" s="1203">
        <v>21.0</v>
      </c>
      <c r="N8" s="1203">
        <v>22.92</v>
      </c>
      <c r="O8" s="1203">
        <v>24.84</v>
      </c>
      <c r="P8" s="1203">
        <v>26.76</v>
      </c>
      <c r="Q8" s="1203">
        <v>28.68</v>
      </c>
      <c r="R8" s="1203">
        <v>30.6</v>
      </c>
      <c r="S8" s="1203">
        <v>32.52</v>
      </c>
      <c r="T8" s="1203">
        <v>34.44</v>
      </c>
      <c r="U8" s="1203">
        <v>36.36</v>
      </c>
      <c r="V8" s="1203">
        <v>38.28</v>
      </c>
      <c r="W8" s="1204"/>
      <c r="X8" s="1203">
        <v>10.0</v>
      </c>
      <c r="Y8" s="1204"/>
    </row>
    <row r="9">
      <c r="A9" s="1197" t="s">
        <v>699</v>
      </c>
      <c r="B9" s="1205">
        <v>35.87</v>
      </c>
      <c r="C9" s="1205" t="s">
        <v>41</v>
      </c>
      <c r="D9" s="1201">
        <f t="shared" si="2"/>
        <v>40.34870641</v>
      </c>
      <c r="E9" s="1207">
        <v>20.0</v>
      </c>
      <c r="F9" s="1206">
        <v>0.889</v>
      </c>
      <c r="G9" s="1192"/>
      <c r="H9" s="1193"/>
      <c r="I9" s="1202">
        <v>350.0</v>
      </c>
      <c r="J9" s="1203">
        <v>17.78</v>
      </c>
      <c r="K9" s="1203">
        <v>19.7</v>
      </c>
      <c r="L9" s="1203">
        <v>21.62</v>
      </c>
      <c r="M9" s="1203">
        <v>23.54</v>
      </c>
      <c r="N9" s="1203">
        <v>25.46</v>
      </c>
      <c r="O9" s="1203">
        <v>27.38</v>
      </c>
      <c r="P9" s="1203">
        <v>29.3</v>
      </c>
      <c r="Q9" s="1203">
        <v>31.22</v>
      </c>
      <c r="R9" s="1203">
        <v>33.14</v>
      </c>
      <c r="S9" s="1203">
        <v>35.06</v>
      </c>
      <c r="T9" s="1203">
        <v>36.98</v>
      </c>
      <c r="U9" s="1203">
        <v>38.9</v>
      </c>
      <c r="V9" s="1203">
        <v>40.82</v>
      </c>
      <c r="W9" s="1204"/>
      <c r="X9" s="1203">
        <v>10.0</v>
      </c>
      <c r="Y9" s="1204"/>
    </row>
    <row r="10">
      <c r="A10" s="1197" t="s">
        <v>700</v>
      </c>
      <c r="B10" s="1198"/>
      <c r="C10" s="1205" t="s">
        <v>52</v>
      </c>
      <c r="D10" s="1208">
        <v>0.31</v>
      </c>
      <c r="E10" s="1209"/>
      <c r="F10" s="1200"/>
      <c r="G10" s="1192"/>
      <c r="H10" s="1193"/>
      <c r="I10" s="1202">
        <v>400.0</v>
      </c>
      <c r="J10" s="1203">
        <v>20.32</v>
      </c>
      <c r="K10" s="1203">
        <v>22.24</v>
      </c>
      <c r="L10" s="1203">
        <v>24.16</v>
      </c>
      <c r="M10" s="1203">
        <v>26.08</v>
      </c>
      <c r="N10" s="1203">
        <v>28.0</v>
      </c>
      <c r="O10" s="1203">
        <v>29.92</v>
      </c>
      <c r="P10" s="1203">
        <v>31.84</v>
      </c>
      <c r="Q10" s="1203">
        <v>33.76</v>
      </c>
      <c r="R10" s="1203">
        <v>35.68</v>
      </c>
      <c r="S10" s="1203">
        <v>37.6</v>
      </c>
      <c r="T10" s="1203">
        <v>39.52</v>
      </c>
      <c r="U10" s="1203">
        <v>41.44</v>
      </c>
      <c r="V10" s="1203">
        <v>43.36</v>
      </c>
      <c r="W10" s="1204"/>
      <c r="X10" s="1203">
        <v>10.0</v>
      </c>
      <c r="Y10" s="1204"/>
    </row>
    <row r="11">
      <c r="A11" s="1197" t="s">
        <v>701</v>
      </c>
      <c r="B11" s="1198"/>
      <c r="C11" s="1205" t="s">
        <v>52</v>
      </c>
      <c r="D11" s="1208">
        <v>0.35</v>
      </c>
      <c r="E11" s="1209"/>
      <c r="F11" s="1200"/>
      <c r="G11" s="1192"/>
      <c r="H11" s="1193"/>
      <c r="I11" s="1202">
        <v>450.0</v>
      </c>
      <c r="J11" s="1203">
        <v>22.86</v>
      </c>
      <c r="K11" s="1203">
        <v>24.78</v>
      </c>
      <c r="L11" s="1203">
        <v>26.7</v>
      </c>
      <c r="M11" s="1203">
        <v>28.62</v>
      </c>
      <c r="N11" s="1203">
        <v>30.54</v>
      </c>
      <c r="O11" s="1203">
        <v>32.46</v>
      </c>
      <c r="P11" s="1203">
        <v>34.38</v>
      </c>
      <c r="Q11" s="1203">
        <v>36.3</v>
      </c>
      <c r="R11" s="1203">
        <v>38.22</v>
      </c>
      <c r="S11" s="1203">
        <v>40.14</v>
      </c>
      <c r="T11" s="1203">
        <v>42.06</v>
      </c>
      <c r="U11" s="1203">
        <v>43.98</v>
      </c>
      <c r="V11" s="1203">
        <v>45.9</v>
      </c>
      <c r="W11" s="1204"/>
      <c r="X11" s="1203">
        <v>10.0</v>
      </c>
      <c r="Y11" s="1204"/>
    </row>
    <row r="12">
      <c r="A12" s="1197" t="s">
        <v>702</v>
      </c>
      <c r="B12" s="1198"/>
      <c r="C12" s="1205" t="s">
        <v>52</v>
      </c>
      <c r="D12" s="1208">
        <v>0.29</v>
      </c>
      <c r="E12" s="1209"/>
      <c r="F12" s="1200"/>
      <c r="G12" s="1192"/>
      <c r="H12" s="1193"/>
      <c r="I12" s="1202">
        <v>500.0</v>
      </c>
      <c r="J12" s="1203">
        <v>25.4</v>
      </c>
      <c r="K12" s="1203">
        <v>27.32</v>
      </c>
      <c r="L12" s="1203">
        <v>29.24</v>
      </c>
      <c r="M12" s="1203">
        <v>31.16</v>
      </c>
      <c r="N12" s="1203">
        <v>33.08</v>
      </c>
      <c r="O12" s="1203">
        <v>35.0</v>
      </c>
      <c r="P12" s="1203">
        <v>36.92</v>
      </c>
      <c r="Q12" s="1203">
        <v>38.84</v>
      </c>
      <c r="R12" s="1203">
        <v>40.76</v>
      </c>
      <c r="S12" s="1203">
        <v>42.68</v>
      </c>
      <c r="T12" s="1203">
        <v>44.6</v>
      </c>
      <c r="U12" s="1203">
        <v>46.52</v>
      </c>
      <c r="V12" s="1203">
        <v>48.44</v>
      </c>
      <c r="W12" s="1204"/>
      <c r="X12" s="1203">
        <v>10.0</v>
      </c>
      <c r="Y12" s="1204"/>
    </row>
    <row r="13">
      <c r="A13" s="1197" t="s">
        <v>622</v>
      </c>
      <c r="B13" s="1198"/>
      <c r="C13" s="1205" t="s">
        <v>52</v>
      </c>
      <c r="D13" s="1208">
        <v>0.34</v>
      </c>
      <c r="E13" s="1209"/>
      <c r="F13" s="1200"/>
      <c r="G13" s="1192"/>
      <c r="H13" s="1193"/>
      <c r="I13" s="1202">
        <v>550.0</v>
      </c>
      <c r="J13" s="1203">
        <v>27.94</v>
      </c>
      <c r="K13" s="1203">
        <v>29.86</v>
      </c>
      <c r="L13" s="1203">
        <v>31.78</v>
      </c>
      <c r="M13" s="1203">
        <v>33.7</v>
      </c>
      <c r="N13" s="1203">
        <v>35.62</v>
      </c>
      <c r="O13" s="1203">
        <v>37.54</v>
      </c>
      <c r="P13" s="1203">
        <v>39.46</v>
      </c>
      <c r="Q13" s="1203">
        <v>41.38</v>
      </c>
      <c r="R13" s="1203">
        <v>43.3</v>
      </c>
      <c r="S13" s="1203">
        <v>45.22</v>
      </c>
      <c r="T13" s="1203">
        <v>47.14</v>
      </c>
      <c r="U13" s="1203">
        <v>49.06</v>
      </c>
      <c r="V13" s="1203">
        <v>50.98</v>
      </c>
      <c r="W13" s="1204"/>
      <c r="X13" s="1203">
        <v>10.0</v>
      </c>
      <c r="Y13" s="1204"/>
    </row>
    <row r="14">
      <c r="A14" s="1197" t="s">
        <v>703</v>
      </c>
      <c r="B14" s="1198"/>
      <c r="C14" s="1205" t="s">
        <v>52</v>
      </c>
      <c r="D14" s="1208">
        <v>0.25</v>
      </c>
      <c r="E14" s="1209"/>
      <c r="F14" s="1200"/>
      <c r="G14" s="1192"/>
      <c r="H14" s="1193"/>
      <c r="I14" s="1202">
        <v>600.0</v>
      </c>
      <c r="J14" s="1203">
        <v>30.48</v>
      </c>
      <c r="K14" s="1203">
        <v>32.4</v>
      </c>
      <c r="L14" s="1203">
        <v>34.32</v>
      </c>
      <c r="M14" s="1203">
        <v>36.24</v>
      </c>
      <c r="N14" s="1203">
        <v>38.16</v>
      </c>
      <c r="O14" s="1203">
        <v>40.08</v>
      </c>
      <c r="P14" s="1203">
        <v>42.0</v>
      </c>
      <c r="Q14" s="1203">
        <v>43.92</v>
      </c>
      <c r="R14" s="1203">
        <v>45.84</v>
      </c>
      <c r="S14" s="1203">
        <v>47.76</v>
      </c>
      <c r="T14" s="1203">
        <v>49.68</v>
      </c>
      <c r="U14" s="1203">
        <v>51.6</v>
      </c>
      <c r="V14" s="1203">
        <v>53.52</v>
      </c>
      <c r="W14" s="1204"/>
      <c r="X14" s="1203">
        <v>10.0</v>
      </c>
      <c r="Y14" s="1204"/>
    </row>
    <row r="15">
      <c r="A15" s="1197" t="s">
        <v>623</v>
      </c>
      <c r="B15" s="1198"/>
      <c r="C15" s="1205" t="s">
        <v>52</v>
      </c>
      <c r="D15" s="1208">
        <v>0.3</v>
      </c>
      <c r="E15" s="1209"/>
      <c r="F15" s="1200"/>
      <c r="G15" s="1192"/>
      <c r="H15" s="1193"/>
      <c r="I15" s="1202">
        <v>650.0</v>
      </c>
      <c r="J15" s="1203">
        <v>33.02</v>
      </c>
      <c r="K15" s="1203">
        <v>34.94</v>
      </c>
      <c r="L15" s="1203">
        <v>36.86</v>
      </c>
      <c r="M15" s="1203">
        <v>38.78</v>
      </c>
      <c r="N15" s="1203">
        <v>40.7</v>
      </c>
      <c r="O15" s="1203">
        <v>42.62</v>
      </c>
      <c r="P15" s="1203">
        <v>44.54</v>
      </c>
      <c r="Q15" s="1203">
        <v>46.4599999999999</v>
      </c>
      <c r="R15" s="1203">
        <v>48.3799999999999</v>
      </c>
      <c r="S15" s="1203">
        <v>50.2999999999999</v>
      </c>
      <c r="T15" s="1203">
        <v>52.2199999999999</v>
      </c>
      <c r="U15" s="1203">
        <v>54.1399999999999</v>
      </c>
      <c r="V15" s="1203">
        <v>56.0599999999999</v>
      </c>
      <c r="W15" s="1204"/>
      <c r="X15" s="1203">
        <v>15.0</v>
      </c>
      <c r="Y15" s="1204"/>
    </row>
    <row r="16">
      <c r="A16" s="1197" t="s">
        <v>624</v>
      </c>
      <c r="B16" s="1198"/>
      <c r="C16" s="1205" t="s">
        <v>52</v>
      </c>
      <c r="D16" s="1208">
        <v>0.2</v>
      </c>
      <c r="E16" s="1209"/>
      <c r="F16" s="1200"/>
      <c r="G16" s="1192"/>
      <c r="H16" s="1193"/>
      <c r="I16" s="1202">
        <v>700.0</v>
      </c>
      <c r="J16" s="1203">
        <v>35.56</v>
      </c>
      <c r="K16" s="1203">
        <v>37.48</v>
      </c>
      <c r="L16" s="1203">
        <v>39.4</v>
      </c>
      <c r="M16" s="1203">
        <v>41.32</v>
      </c>
      <c r="N16" s="1203">
        <v>43.24</v>
      </c>
      <c r="O16" s="1203">
        <v>45.16</v>
      </c>
      <c r="P16" s="1203">
        <v>47.08</v>
      </c>
      <c r="Q16" s="1203">
        <v>49.0</v>
      </c>
      <c r="R16" s="1203">
        <v>50.92</v>
      </c>
      <c r="S16" s="1203">
        <v>52.84</v>
      </c>
      <c r="T16" s="1203">
        <v>54.76</v>
      </c>
      <c r="U16" s="1203">
        <v>56.68</v>
      </c>
      <c r="V16" s="1203">
        <v>58.6</v>
      </c>
      <c r="W16" s="1204"/>
      <c r="X16" s="1203">
        <v>15.0</v>
      </c>
      <c r="Y16" s="1204"/>
    </row>
    <row r="17">
      <c r="A17" s="1197"/>
      <c r="B17" s="1198"/>
      <c r="C17" s="1205"/>
      <c r="D17" s="1209"/>
      <c r="E17" s="1209"/>
      <c r="F17" s="1200"/>
      <c r="G17" s="1192"/>
      <c r="H17" s="1193"/>
      <c r="I17" s="1202">
        <v>750.0</v>
      </c>
      <c r="J17" s="1203">
        <v>38.1</v>
      </c>
      <c r="K17" s="1203">
        <v>40.02</v>
      </c>
      <c r="L17" s="1203">
        <v>41.94</v>
      </c>
      <c r="M17" s="1203">
        <v>43.86</v>
      </c>
      <c r="N17" s="1203">
        <v>45.78</v>
      </c>
      <c r="O17" s="1203">
        <v>47.7</v>
      </c>
      <c r="P17" s="1203">
        <v>49.62</v>
      </c>
      <c r="Q17" s="1203">
        <v>51.5399999999999</v>
      </c>
      <c r="R17" s="1203">
        <v>53.4599999999999</v>
      </c>
      <c r="S17" s="1203">
        <v>55.3799999999999</v>
      </c>
      <c r="T17" s="1203">
        <v>57.2999999999999</v>
      </c>
      <c r="U17" s="1203">
        <v>59.2199999999999</v>
      </c>
      <c r="V17" s="1203">
        <v>61.1399999999999</v>
      </c>
      <c r="W17" s="1204"/>
      <c r="X17" s="1203">
        <v>15.0</v>
      </c>
      <c r="Y17" s="1204"/>
    </row>
    <row r="18">
      <c r="A18" s="1197" t="s">
        <v>704</v>
      </c>
      <c r="B18" s="1210">
        <v>30.59</v>
      </c>
      <c r="C18" s="1205" t="s">
        <v>41</v>
      </c>
      <c r="D18" s="1201">
        <f>B18/F18</f>
        <v>30.59</v>
      </c>
      <c r="E18" s="1209"/>
      <c r="F18" s="1206">
        <v>1.0</v>
      </c>
      <c r="G18" s="1192"/>
      <c r="H18" s="1193"/>
      <c r="I18" s="1202">
        <v>800.0</v>
      </c>
      <c r="J18" s="1203">
        <v>40.64</v>
      </c>
      <c r="K18" s="1203">
        <v>42.56</v>
      </c>
      <c r="L18" s="1203">
        <v>44.48</v>
      </c>
      <c r="M18" s="1203">
        <v>46.4</v>
      </c>
      <c r="N18" s="1203">
        <v>48.32</v>
      </c>
      <c r="O18" s="1203">
        <v>50.24</v>
      </c>
      <c r="P18" s="1203">
        <v>52.16</v>
      </c>
      <c r="Q18" s="1203">
        <v>54.0800000000001</v>
      </c>
      <c r="R18" s="1203">
        <v>56.0000000000001</v>
      </c>
      <c r="S18" s="1203">
        <v>57.9200000000001</v>
      </c>
      <c r="T18" s="1203">
        <v>59.8400000000001</v>
      </c>
      <c r="U18" s="1203">
        <v>61.7600000000001</v>
      </c>
      <c r="V18" s="1203">
        <v>63.6800000000001</v>
      </c>
      <c r="W18" s="1204"/>
      <c r="X18" s="1203">
        <v>15.0</v>
      </c>
      <c r="Y18" s="1204"/>
    </row>
    <row r="19">
      <c r="A19" s="1197" t="s">
        <v>705</v>
      </c>
      <c r="B19" s="1198"/>
      <c r="C19" s="1205" t="s">
        <v>52</v>
      </c>
      <c r="D19" s="1208">
        <v>0.65</v>
      </c>
      <c r="E19" s="1209"/>
      <c r="F19" s="1200"/>
      <c r="G19" s="1192"/>
      <c r="H19" s="1193"/>
      <c r="I19" s="1202">
        <v>850.0</v>
      </c>
      <c r="J19" s="1203">
        <v>43.18</v>
      </c>
      <c r="K19" s="1203">
        <v>45.1</v>
      </c>
      <c r="L19" s="1203">
        <v>47.02</v>
      </c>
      <c r="M19" s="1203">
        <v>48.94</v>
      </c>
      <c r="N19" s="1203">
        <v>50.86</v>
      </c>
      <c r="O19" s="1203">
        <v>52.78</v>
      </c>
      <c r="P19" s="1203">
        <v>54.7</v>
      </c>
      <c r="Q19" s="1203">
        <v>56.62</v>
      </c>
      <c r="R19" s="1203">
        <v>58.54</v>
      </c>
      <c r="S19" s="1203">
        <v>60.46</v>
      </c>
      <c r="T19" s="1203">
        <v>62.38</v>
      </c>
      <c r="U19" s="1203">
        <v>64.3</v>
      </c>
      <c r="V19" s="1203">
        <v>66.22</v>
      </c>
      <c r="W19" s="1204"/>
      <c r="X19" s="1203">
        <v>15.0</v>
      </c>
      <c r="Y19" s="1204"/>
    </row>
    <row r="20">
      <c r="A20" s="1197" t="s">
        <v>706</v>
      </c>
      <c r="B20" s="1198"/>
      <c r="C20" s="1205" t="s">
        <v>52</v>
      </c>
      <c r="D20" s="1208">
        <v>0.92</v>
      </c>
      <c r="E20" s="1209"/>
      <c r="F20" s="1200"/>
      <c r="G20" s="1192"/>
      <c r="H20" s="1193"/>
      <c r="I20" s="1202">
        <v>900.0</v>
      </c>
      <c r="J20" s="1203">
        <v>45.72</v>
      </c>
      <c r="K20" s="1203">
        <v>47.64</v>
      </c>
      <c r="L20" s="1203">
        <v>49.56</v>
      </c>
      <c r="M20" s="1203">
        <v>51.48</v>
      </c>
      <c r="N20" s="1203">
        <v>53.4</v>
      </c>
      <c r="O20" s="1203">
        <v>55.32</v>
      </c>
      <c r="P20" s="1203">
        <v>57.24</v>
      </c>
      <c r="Q20" s="1203">
        <v>59.1599999999999</v>
      </c>
      <c r="R20" s="1203">
        <v>61.0799999999999</v>
      </c>
      <c r="S20" s="1203">
        <v>62.9999999999999</v>
      </c>
      <c r="T20" s="1203">
        <v>64.9199999999999</v>
      </c>
      <c r="U20" s="1203">
        <v>66.8399999999999</v>
      </c>
      <c r="V20" s="1203">
        <v>68.7599999999999</v>
      </c>
      <c r="W20" s="1204"/>
      <c r="X20" s="1203">
        <v>15.0</v>
      </c>
      <c r="Y20" s="1204"/>
    </row>
    <row r="21">
      <c r="A21" s="1197" t="s">
        <v>707</v>
      </c>
      <c r="B21" s="1198"/>
      <c r="C21" s="1205" t="s">
        <v>52</v>
      </c>
      <c r="D21" s="1208">
        <v>0.93</v>
      </c>
      <c r="E21" s="1209"/>
      <c r="F21" s="1200"/>
      <c r="G21" s="1192"/>
      <c r="H21" s="1193"/>
      <c r="I21" s="1202">
        <v>950.0</v>
      </c>
      <c r="J21" s="1203">
        <v>48.26</v>
      </c>
      <c r="K21" s="1203">
        <v>50.18</v>
      </c>
      <c r="L21" s="1203">
        <v>52.1</v>
      </c>
      <c r="M21" s="1203">
        <v>54.02</v>
      </c>
      <c r="N21" s="1203">
        <v>55.94</v>
      </c>
      <c r="O21" s="1203">
        <v>57.86</v>
      </c>
      <c r="P21" s="1203">
        <v>59.78</v>
      </c>
      <c r="Q21" s="1203">
        <v>61.7</v>
      </c>
      <c r="R21" s="1203">
        <v>63.62</v>
      </c>
      <c r="S21" s="1203">
        <v>65.54</v>
      </c>
      <c r="T21" s="1203">
        <v>67.46</v>
      </c>
      <c r="U21" s="1203">
        <v>69.38</v>
      </c>
      <c r="V21" s="1203">
        <v>71.3</v>
      </c>
      <c r="W21" s="1204"/>
      <c r="X21" s="1203">
        <v>15.0</v>
      </c>
      <c r="Y21" s="1204"/>
    </row>
    <row r="22">
      <c r="A22" s="1197" t="s">
        <v>708</v>
      </c>
      <c r="B22" s="1198"/>
      <c r="C22" s="1205" t="s">
        <v>52</v>
      </c>
      <c r="D22" s="1208">
        <v>1.2</v>
      </c>
      <c r="E22" s="1209"/>
      <c r="F22" s="1200"/>
      <c r="G22" s="1192"/>
      <c r="H22" s="1193"/>
      <c r="I22" s="1202">
        <v>1000.0</v>
      </c>
      <c r="J22" s="1203">
        <v>50.8</v>
      </c>
      <c r="K22" s="1203">
        <v>52.72</v>
      </c>
      <c r="L22" s="1203">
        <v>54.64</v>
      </c>
      <c r="M22" s="1203">
        <v>56.56</v>
      </c>
      <c r="N22" s="1203">
        <v>58.48</v>
      </c>
      <c r="O22" s="1203">
        <v>60.4</v>
      </c>
      <c r="P22" s="1203">
        <v>62.32</v>
      </c>
      <c r="Q22" s="1203">
        <v>64.24</v>
      </c>
      <c r="R22" s="1203">
        <v>66.16</v>
      </c>
      <c r="S22" s="1203">
        <v>68.08</v>
      </c>
      <c r="T22" s="1203">
        <v>70.0</v>
      </c>
      <c r="U22" s="1203">
        <v>71.92</v>
      </c>
      <c r="V22" s="1203">
        <v>73.84</v>
      </c>
      <c r="W22" s="1204"/>
      <c r="X22" s="1203">
        <v>15.0</v>
      </c>
      <c r="Y22" s="1204"/>
    </row>
    <row r="23">
      <c r="A23" s="1197" t="s">
        <v>709</v>
      </c>
      <c r="B23" s="1198"/>
      <c r="C23" s="1205" t="s">
        <v>52</v>
      </c>
      <c r="D23" s="1208">
        <v>1.03</v>
      </c>
      <c r="E23" s="1209"/>
      <c r="F23" s="1200"/>
      <c r="G23" s="1192"/>
      <c r="H23" s="1193"/>
      <c r="I23" s="1202">
        <v>1050.0</v>
      </c>
      <c r="J23" s="1203">
        <v>53.34</v>
      </c>
      <c r="K23" s="1203">
        <v>55.26</v>
      </c>
      <c r="L23" s="1203">
        <v>57.18</v>
      </c>
      <c r="M23" s="1203">
        <v>59.1</v>
      </c>
      <c r="N23" s="1203">
        <v>61.02</v>
      </c>
      <c r="O23" s="1203">
        <v>62.94</v>
      </c>
      <c r="P23" s="1203">
        <v>64.86</v>
      </c>
      <c r="Q23" s="1203">
        <v>66.7800000000001</v>
      </c>
      <c r="R23" s="1203">
        <v>68.7000000000001</v>
      </c>
      <c r="S23" s="1203">
        <v>70.6200000000001</v>
      </c>
      <c r="T23" s="1203">
        <v>72.5400000000001</v>
      </c>
      <c r="U23" s="1203">
        <v>74.4600000000001</v>
      </c>
      <c r="V23" s="1203">
        <v>76.3800000000001</v>
      </c>
      <c r="W23" s="1204"/>
      <c r="X23" s="1203">
        <v>20.0</v>
      </c>
      <c r="Y23" s="1204"/>
    </row>
    <row r="24">
      <c r="A24" s="1197" t="s">
        <v>710</v>
      </c>
      <c r="B24" s="1198"/>
      <c r="C24" s="1205" t="s">
        <v>52</v>
      </c>
      <c r="D24" s="1208">
        <v>1.27</v>
      </c>
      <c r="E24" s="1209"/>
      <c r="F24" s="1200"/>
      <c r="G24" s="1192"/>
      <c r="H24" s="1193"/>
      <c r="I24" s="1202">
        <v>1100.0</v>
      </c>
      <c r="J24" s="1203">
        <v>55.88</v>
      </c>
      <c r="K24" s="1203">
        <v>57.8</v>
      </c>
      <c r="L24" s="1203">
        <v>59.72</v>
      </c>
      <c r="M24" s="1203">
        <v>61.64</v>
      </c>
      <c r="N24" s="1203">
        <v>63.56</v>
      </c>
      <c r="O24" s="1203">
        <v>65.48</v>
      </c>
      <c r="P24" s="1203">
        <v>67.4</v>
      </c>
      <c r="Q24" s="1203">
        <v>69.3200000000001</v>
      </c>
      <c r="R24" s="1203">
        <v>71.2400000000001</v>
      </c>
      <c r="S24" s="1203">
        <v>73.1600000000001</v>
      </c>
      <c r="T24" s="1203">
        <v>75.0800000000001</v>
      </c>
      <c r="U24" s="1203">
        <v>77.0000000000001</v>
      </c>
      <c r="V24" s="1203">
        <v>78.9200000000001</v>
      </c>
      <c r="W24" s="1204"/>
      <c r="X24" s="1203">
        <v>20.0</v>
      </c>
      <c r="Y24" s="1204"/>
    </row>
    <row r="25">
      <c r="A25" s="1197"/>
      <c r="B25" s="1198"/>
      <c r="C25" s="1205"/>
      <c r="D25" s="1209"/>
      <c r="E25" s="1209"/>
      <c r="F25" s="1200"/>
      <c r="G25" s="1192"/>
      <c r="H25" s="1193"/>
      <c r="I25" s="1202">
        <v>1150.0</v>
      </c>
      <c r="J25" s="1203">
        <v>58.42</v>
      </c>
      <c r="K25" s="1203">
        <v>60.34</v>
      </c>
      <c r="L25" s="1203">
        <v>62.26</v>
      </c>
      <c r="M25" s="1203">
        <v>64.18</v>
      </c>
      <c r="N25" s="1203">
        <v>66.1</v>
      </c>
      <c r="O25" s="1203">
        <v>68.02</v>
      </c>
      <c r="P25" s="1203">
        <v>69.94</v>
      </c>
      <c r="Q25" s="1203">
        <v>71.86</v>
      </c>
      <c r="R25" s="1203">
        <v>73.78</v>
      </c>
      <c r="S25" s="1203">
        <v>75.7</v>
      </c>
      <c r="T25" s="1203">
        <v>77.62</v>
      </c>
      <c r="U25" s="1203">
        <v>79.54</v>
      </c>
      <c r="V25" s="1203">
        <v>81.46</v>
      </c>
      <c r="W25" s="1204"/>
      <c r="X25" s="1203">
        <v>20.0</v>
      </c>
      <c r="Y25" s="1204"/>
    </row>
    <row r="26">
      <c r="A26" s="1197"/>
      <c r="B26" s="1198"/>
      <c r="C26" s="1205"/>
      <c r="D26" s="1209"/>
      <c r="E26" s="1209"/>
      <c r="F26" s="1200"/>
      <c r="G26" s="1192"/>
      <c r="H26" s="1193"/>
      <c r="I26" s="1202">
        <v>1200.0</v>
      </c>
      <c r="J26" s="1203">
        <v>60.96</v>
      </c>
      <c r="K26" s="1203">
        <v>62.88</v>
      </c>
      <c r="L26" s="1203">
        <v>64.8</v>
      </c>
      <c r="M26" s="1203">
        <v>66.72</v>
      </c>
      <c r="N26" s="1203">
        <v>68.64</v>
      </c>
      <c r="O26" s="1203">
        <v>70.56</v>
      </c>
      <c r="P26" s="1203">
        <v>72.48</v>
      </c>
      <c r="Q26" s="1203">
        <v>74.4</v>
      </c>
      <c r="R26" s="1203">
        <v>76.32</v>
      </c>
      <c r="S26" s="1203">
        <v>78.24</v>
      </c>
      <c r="T26" s="1203">
        <v>80.16</v>
      </c>
      <c r="U26" s="1203">
        <v>82.08</v>
      </c>
      <c r="V26" s="1203">
        <v>84.0</v>
      </c>
      <c r="W26" s="1204"/>
      <c r="X26" s="1203">
        <v>20.0</v>
      </c>
      <c r="Y26" s="1204"/>
    </row>
    <row r="27">
      <c r="A27" s="1197"/>
      <c r="B27" s="1198"/>
      <c r="C27" s="1205"/>
      <c r="D27" s="1209"/>
      <c r="E27" s="1209"/>
      <c r="F27" s="1200"/>
      <c r="G27" s="1192"/>
      <c r="H27" s="1193"/>
      <c r="I27" s="1211"/>
      <c r="J27" s="1193"/>
      <c r="K27" s="1193"/>
      <c r="L27" s="1193"/>
      <c r="M27" s="1193"/>
      <c r="N27" s="1193"/>
      <c r="O27" s="1212"/>
      <c r="P27" s="1193"/>
      <c r="Q27" s="1193"/>
      <c r="R27" s="1193"/>
      <c r="S27" s="1193"/>
      <c r="T27" s="1193"/>
      <c r="U27" s="1193"/>
      <c r="V27" s="1193"/>
      <c r="W27" s="1193"/>
      <c r="X27" s="1211"/>
      <c r="Y27" s="1193"/>
    </row>
    <row r="28">
      <c r="A28" s="1197"/>
      <c r="B28" s="1198"/>
      <c r="C28" s="1205"/>
      <c r="D28" s="1209"/>
      <c r="E28" s="1209"/>
      <c r="F28" s="1200"/>
      <c r="G28" s="1192"/>
      <c r="H28" s="1193"/>
      <c r="I28" s="1211"/>
      <c r="J28" s="1193"/>
      <c r="K28" s="1193"/>
      <c r="L28" s="1193"/>
      <c r="M28" s="1193"/>
      <c r="N28" s="1193"/>
      <c r="O28" s="1212"/>
      <c r="P28" s="1193"/>
      <c r="Q28" s="1193"/>
      <c r="R28" s="1193"/>
      <c r="S28" s="1193"/>
      <c r="T28" s="1193"/>
      <c r="U28" s="1193"/>
      <c r="V28" s="1193"/>
      <c r="W28" s="1193"/>
      <c r="X28" s="1211"/>
      <c r="Y28" s="1193"/>
    </row>
    <row r="29">
      <c r="A29" s="1197"/>
      <c r="B29" s="1198"/>
      <c r="C29" s="1205"/>
      <c r="D29" s="1209"/>
      <c r="E29" s="1209"/>
      <c r="F29" s="1200"/>
      <c r="G29" s="1192"/>
      <c r="H29" s="1193"/>
      <c r="I29" s="1194" t="s">
        <v>97</v>
      </c>
      <c r="J29" s="1195">
        <v>0.55</v>
      </c>
      <c r="K29" s="1193"/>
      <c r="L29" s="1193"/>
      <c r="M29" s="1193"/>
      <c r="N29" s="1193"/>
      <c r="O29" s="1193"/>
      <c r="P29" s="1193"/>
      <c r="Q29" s="1193"/>
      <c r="R29" s="1193"/>
      <c r="S29" s="1193"/>
      <c r="T29" s="1193"/>
      <c r="U29" s="1193"/>
      <c r="V29" s="1193"/>
      <c r="W29" s="1193"/>
      <c r="X29" s="1194"/>
      <c r="Y29" s="1193"/>
    </row>
    <row r="30">
      <c r="A30" s="1197"/>
      <c r="B30" s="1198"/>
      <c r="C30" s="1205"/>
      <c r="D30" s="1209"/>
      <c r="E30" s="1209"/>
      <c r="F30" s="1200"/>
      <c r="G30" s="1192"/>
      <c r="H30" s="1193"/>
      <c r="I30" s="1194" t="s">
        <v>9</v>
      </c>
      <c r="J30" s="1196">
        <v>0.0</v>
      </c>
      <c r="K30" s="1196">
        <v>1.0</v>
      </c>
      <c r="L30" s="1196">
        <v>2.0</v>
      </c>
      <c r="M30" s="1196">
        <v>3.0</v>
      </c>
      <c r="N30" s="1196">
        <v>4.0</v>
      </c>
      <c r="O30" s="1196">
        <v>5.0</v>
      </c>
      <c r="P30" s="1196">
        <v>6.0</v>
      </c>
      <c r="Q30" s="1196">
        <v>7.0</v>
      </c>
      <c r="R30" s="1196">
        <v>8.0</v>
      </c>
      <c r="S30" s="1196">
        <v>9.0</v>
      </c>
      <c r="T30" s="1196">
        <v>10.0</v>
      </c>
      <c r="U30" s="1196">
        <v>11.0</v>
      </c>
      <c r="V30" s="1196">
        <v>12.0</v>
      </c>
      <c r="W30" s="1196"/>
      <c r="X30" s="1194"/>
      <c r="Y30" s="1196"/>
    </row>
    <row r="31">
      <c r="A31" s="1197" t="s">
        <v>711</v>
      </c>
      <c r="B31" s="1198"/>
      <c r="C31" s="1205" t="s">
        <v>55</v>
      </c>
      <c r="D31" s="1209">
        <v>5.0</v>
      </c>
      <c r="E31" s="1209"/>
      <c r="F31" s="1200"/>
      <c r="G31" s="1192"/>
      <c r="H31" s="1193"/>
      <c r="I31" s="1202">
        <v>50.0</v>
      </c>
      <c r="J31" s="1203">
        <v>1.97348484848486</v>
      </c>
      <c r="K31" s="1203">
        <v>3.02</v>
      </c>
      <c r="L31" s="1203">
        <v>4.07</v>
      </c>
      <c r="M31" s="1203">
        <v>5.11</v>
      </c>
      <c r="N31" s="1203">
        <v>6.16</v>
      </c>
      <c r="O31" s="1203">
        <v>7.2</v>
      </c>
      <c r="P31" s="1203">
        <v>8.25</v>
      </c>
      <c r="Q31" s="1203">
        <v>9.3</v>
      </c>
      <c r="R31" s="1203">
        <v>10.34</v>
      </c>
      <c r="S31" s="1203">
        <v>11.39</v>
      </c>
      <c r="T31" s="1203">
        <v>12.44</v>
      </c>
      <c r="U31" s="1203">
        <v>13.48</v>
      </c>
      <c r="V31" s="1203">
        <v>14.53</v>
      </c>
      <c r="W31" s="1213"/>
      <c r="X31" s="1203">
        <v>10.0</v>
      </c>
      <c r="Y31" s="1213"/>
    </row>
    <row r="32">
      <c r="A32" s="1197" t="s">
        <v>632</v>
      </c>
      <c r="B32" s="1198"/>
      <c r="C32" s="1205" t="s">
        <v>55</v>
      </c>
      <c r="D32" s="1209">
        <v>5.0</v>
      </c>
      <c r="E32" s="1209"/>
      <c r="F32" s="1200"/>
      <c r="G32" s="1192"/>
      <c r="H32" s="1193"/>
      <c r="I32" s="1202">
        <v>100.0</v>
      </c>
      <c r="J32" s="1203">
        <v>3.95075757575755</v>
      </c>
      <c r="K32" s="1203">
        <v>5.0</v>
      </c>
      <c r="L32" s="1203">
        <v>6.04</v>
      </c>
      <c r="M32" s="1203">
        <v>7.09</v>
      </c>
      <c r="N32" s="1203">
        <v>8.14</v>
      </c>
      <c r="O32" s="1203">
        <v>9.18</v>
      </c>
      <c r="P32" s="1203">
        <v>10.23</v>
      </c>
      <c r="Q32" s="1203">
        <v>11.27</v>
      </c>
      <c r="R32" s="1203">
        <v>12.32</v>
      </c>
      <c r="S32" s="1203">
        <v>13.37</v>
      </c>
      <c r="T32" s="1203">
        <v>14.41</v>
      </c>
      <c r="U32" s="1203">
        <v>15.46</v>
      </c>
      <c r="V32" s="1203">
        <v>16.51</v>
      </c>
      <c r="W32" s="1213"/>
      <c r="X32" s="1203">
        <v>10.0</v>
      </c>
      <c r="Y32" s="1213"/>
    </row>
    <row r="33">
      <c r="A33" s="1197"/>
      <c r="B33" s="1198"/>
      <c r="C33" s="1205"/>
      <c r="D33" s="1201"/>
      <c r="E33" s="1201"/>
      <c r="F33" s="1200"/>
      <c r="G33" s="1192"/>
      <c r="H33" s="1193"/>
      <c r="I33" s="1202">
        <v>150.0</v>
      </c>
      <c r="J33" s="1203">
        <v>5.92136363636365</v>
      </c>
      <c r="K33" s="1203">
        <v>6.97</v>
      </c>
      <c r="L33" s="1203">
        <v>8.01</v>
      </c>
      <c r="M33" s="1203">
        <v>9.06</v>
      </c>
      <c r="N33" s="1203">
        <v>10.11</v>
      </c>
      <c r="O33" s="1203">
        <v>11.15</v>
      </c>
      <c r="P33" s="1203">
        <v>12.2</v>
      </c>
      <c r="Q33" s="1203">
        <v>13.25</v>
      </c>
      <c r="R33" s="1203">
        <v>14.29</v>
      </c>
      <c r="S33" s="1203">
        <v>15.34</v>
      </c>
      <c r="T33" s="1203">
        <v>16.38</v>
      </c>
      <c r="U33" s="1203">
        <v>17.43</v>
      </c>
      <c r="V33" s="1203">
        <v>18.48</v>
      </c>
      <c r="W33" s="1213"/>
      <c r="X33" s="1203">
        <v>10.0</v>
      </c>
      <c r="Y33" s="1213"/>
    </row>
    <row r="34">
      <c r="A34" s="1197"/>
      <c r="B34" s="1198"/>
      <c r="C34" s="1205"/>
      <c r="D34" s="1207"/>
      <c r="E34" s="1207"/>
      <c r="F34" s="1200"/>
      <c r="G34" s="1192"/>
      <c r="H34" s="1193"/>
      <c r="I34" s="1202">
        <v>200.0</v>
      </c>
      <c r="J34" s="1203">
        <v>7.90045454545452</v>
      </c>
      <c r="K34" s="1203">
        <v>8.95</v>
      </c>
      <c r="L34" s="1203">
        <v>9.99</v>
      </c>
      <c r="M34" s="1203">
        <v>11.04</v>
      </c>
      <c r="N34" s="1203">
        <v>12.08</v>
      </c>
      <c r="O34" s="1203">
        <v>13.13</v>
      </c>
      <c r="P34" s="1203">
        <v>14.18</v>
      </c>
      <c r="Q34" s="1203">
        <v>15.22</v>
      </c>
      <c r="R34" s="1203">
        <v>16.27</v>
      </c>
      <c r="S34" s="1203">
        <v>17.32</v>
      </c>
      <c r="T34" s="1203">
        <v>18.36</v>
      </c>
      <c r="U34" s="1203">
        <v>19.41</v>
      </c>
      <c r="V34" s="1203">
        <v>20.45</v>
      </c>
      <c r="W34" s="1213"/>
      <c r="X34" s="1203">
        <v>10.0</v>
      </c>
      <c r="Y34" s="1213"/>
    </row>
    <row r="35">
      <c r="A35" s="1187" t="s">
        <v>712</v>
      </c>
      <c r="B35" s="1188"/>
      <c r="C35" s="1189" t="s">
        <v>15</v>
      </c>
      <c r="D35" s="1190" t="s">
        <v>26</v>
      </c>
      <c r="E35" s="1190"/>
      <c r="F35" s="1191"/>
      <c r="G35" s="1192"/>
      <c r="H35" s="1193"/>
      <c r="I35" s="1202">
        <v>250.0</v>
      </c>
      <c r="J35" s="1203">
        <v>9.87636363636363</v>
      </c>
      <c r="K35" s="1203">
        <v>10.92</v>
      </c>
      <c r="L35" s="1203">
        <v>11.97</v>
      </c>
      <c r="M35" s="1203">
        <v>13.02</v>
      </c>
      <c r="N35" s="1203">
        <v>14.06</v>
      </c>
      <c r="O35" s="1203">
        <v>15.11</v>
      </c>
      <c r="P35" s="1203">
        <v>16.15</v>
      </c>
      <c r="Q35" s="1203">
        <v>17.2</v>
      </c>
      <c r="R35" s="1203">
        <v>18.25</v>
      </c>
      <c r="S35" s="1203">
        <v>19.29</v>
      </c>
      <c r="T35" s="1203">
        <v>20.34</v>
      </c>
      <c r="U35" s="1203">
        <v>21.39</v>
      </c>
      <c r="V35" s="1203">
        <v>22.43</v>
      </c>
      <c r="W35" s="1213"/>
      <c r="X35" s="1203">
        <v>10.0</v>
      </c>
      <c r="Y35" s="1213"/>
    </row>
    <row r="36">
      <c r="A36" s="1197" t="s">
        <v>713</v>
      </c>
      <c r="B36" s="1198"/>
      <c r="C36" s="1198" t="s">
        <v>41</v>
      </c>
      <c r="D36" s="1199"/>
      <c r="E36" s="1199"/>
      <c r="F36" s="1200"/>
      <c r="G36" s="1192"/>
      <c r="H36" s="1193"/>
      <c r="I36" s="1202">
        <v>300.0</v>
      </c>
      <c r="J36" s="1203">
        <v>11.855</v>
      </c>
      <c r="K36" s="1203">
        <v>12.9</v>
      </c>
      <c r="L36" s="1203">
        <v>13.95</v>
      </c>
      <c r="M36" s="1203">
        <v>14.99</v>
      </c>
      <c r="N36" s="1203">
        <v>16.04</v>
      </c>
      <c r="O36" s="1203">
        <v>17.09</v>
      </c>
      <c r="P36" s="1203">
        <v>18.13</v>
      </c>
      <c r="Q36" s="1203">
        <v>19.18</v>
      </c>
      <c r="R36" s="1203">
        <v>20.22</v>
      </c>
      <c r="S36" s="1203">
        <v>21.27</v>
      </c>
      <c r="T36" s="1203">
        <v>22.32</v>
      </c>
      <c r="U36" s="1203">
        <v>23.36</v>
      </c>
      <c r="V36" s="1203">
        <v>24.41</v>
      </c>
      <c r="W36" s="1213"/>
      <c r="X36" s="1203">
        <v>10.0</v>
      </c>
      <c r="Y36" s="1213"/>
    </row>
    <row r="37">
      <c r="A37" s="1197" t="s">
        <v>714</v>
      </c>
      <c r="B37" s="1198"/>
      <c r="C37" s="1205" t="s">
        <v>52</v>
      </c>
      <c r="D37" s="1214">
        <v>1.5</v>
      </c>
      <c r="E37" s="1199"/>
      <c r="F37" s="1200"/>
      <c r="G37" s="1192"/>
      <c r="H37" s="1193"/>
      <c r="I37" s="1202">
        <v>350.0</v>
      </c>
      <c r="J37" s="1203">
        <v>13.8251515151516</v>
      </c>
      <c r="K37" s="1203">
        <v>14.87</v>
      </c>
      <c r="L37" s="1203">
        <v>15.92</v>
      </c>
      <c r="M37" s="1203">
        <v>16.96</v>
      </c>
      <c r="N37" s="1203">
        <v>18.01</v>
      </c>
      <c r="O37" s="1203">
        <v>19.06</v>
      </c>
      <c r="P37" s="1203">
        <v>20.1</v>
      </c>
      <c r="Q37" s="1203">
        <v>21.15</v>
      </c>
      <c r="R37" s="1203">
        <v>22.2</v>
      </c>
      <c r="S37" s="1203">
        <v>23.24</v>
      </c>
      <c r="T37" s="1203">
        <v>24.29</v>
      </c>
      <c r="U37" s="1203">
        <v>25.33</v>
      </c>
      <c r="V37" s="1203">
        <v>26.38</v>
      </c>
      <c r="W37" s="1213"/>
      <c r="X37" s="1203">
        <v>10.0</v>
      </c>
      <c r="Y37" s="1213"/>
    </row>
    <row r="38">
      <c r="A38" s="1197" t="s">
        <v>715</v>
      </c>
      <c r="B38" s="1198"/>
      <c r="C38" s="1205" t="s">
        <v>55</v>
      </c>
      <c r="D38" s="1214">
        <v>1.2</v>
      </c>
      <c r="E38" s="1214">
        <v>0.5</v>
      </c>
      <c r="F38" s="1200"/>
      <c r="G38" s="1192"/>
      <c r="H38" s="1193"/>
      <c r="I38" s="1202">
        <v>400.0</v>
      </c>
      <c r="J38" s="1203">
        <v>15.8034848484849</v>
      </c>
      <c r="K38" s="1203">
        <v>16.85</v>
      </c>
      <c r="L38" s="1203">
        <v>17.9</v>
      </c>
      <c r="M38" s="1203">
        <v>18.94</v>
      </c>
      <c r="N38" s="1203">
        <v>19.99</v>
      </c>
      <c r="O38" s="1203">
        <v>21.03</v>
      </c>
      <c r="P38" s="1203">
        <v>22.08</v>
      </c>
      <c r="Q38" s="1203">
        <v>23.13</v>
      </c>
      <c r="R38" s="1203">
        <v>24.17</v>
      </c>
      <c r="S38" s="1203">
        <v>25.22</v>
      </c>
      <c r="T38" s="1203">
        <v>26.27</v>
      </c>
      <c r="U38" s="1203">
        <v>27.31</v>
      </c>
      <c r="V38" s="1203">
        <v>28.36</v>
      </c>
      <c r="W38" s="1213"/>
      <c r="X38" s="1203">
        <v>10.0</v>
      </c>
      <c r="Y38" s="1213"/>
    </row>
    <row r="39">
      <c r="A39" s="1197" t="s">
        <v>716</v>
      </c>
      <c r="B39" s="1198"/>
      <c r="C39" s="1205" t="s">
        <v>52</v>
      </c>
      <c r="D39" s="1214">
        <v>0.2</v>
      </c>
      <c r="E39" s="1199"/>
      <c r="F39" s="1200"/>
      <c r="G39" s="1192"/>
      <c r="H39" s="1193"/>
      <c r="I39" s="1202">
        <v>450.0</v>
      </c>
      <c r="J39" s="1203">
        <v>17.7813636363636</v>
      </c>
      <c r="K39" s="1203">
        <v>18.83</v>
      </c>
      <c r="L39" s="1203">
        <v>19.87</v>
      </c>
      <c r="M39" s="1203">
        <v>20.92</v>
      </c>
      <c r="N39" s="1203">
        <v>21.97</v>
      </c>
      <c r="O39" s="1203">
        <v>23.01</v>
      </c>
      <c r="P39" s="1203">
        <v>24.06</v>
      </c>
      <c r="Q39" s="1203">
        <v>25.11</v>
      </c>
      <c r="R39" s="1203">
        <v>26.15</v>
      </c>
      <c r="S39" s="1203">
        <v>27.2</v>
      </c>
      <c r="T39" s="1203">
        <v>28.24</v>
      </c>
      <c r="U39" s="1203">
        <v>29.29</v>
      </c>
      <c r="V39" s="1203">
        <v>30.34</v>
      </c>
      <c r="W39" s="1213"/>
      <c r="X39" s="1203">
        <v>10.0</v>
      </c>
      <c r="Y39" s="1213"/>
    </row>
    <row r="40">
      <c r="A40" s="1197" t="s">
        <v>717</v>
      </c>
      <c r="B40" s="1198"/>
      <c r="C40" s="1205" t="s">
        <v>55</v>
      </c>
      <c r="D40" s="1214">
        <v>2.8</v>
      </c>
      <c r="E40" s="1199"/>
      <c r="F40" s="1200"/>
      <c r="G40" s="1192"/>
      <c r="H40" s="1193"/>
      <c r="I40" s="1202">
        <v>500.0</v>
      </c>
      <c r="J40" s="1203">
        <v>19.7604545454545</v>
      </c>
      <c r="K40" s="1203">
        <v>20.81</v>
      </c>
      <c r="L40" s="1203">
        <v>21.85</v>
      </c>
      <c r="M40" s="1203">
        <v>22.9</v>
      </c>
      <c r="N40" s="1203">
        <v>23.94</v>
      </c>
      <c r="O40" s="1203">
        <v>24.99</v>
      </c>
      <c r="P40" s="1203">
        <v>26.04</v>
      </c>
      <c r="Q40" s="1203">
        <v>27.08</v>
      </c>
      <c r="R40" s="1203">
        <v>28.13</v>
      </c>
      <c r="S40" s="1203">
        <v>29.18</v>
      </c>
      <c r="T40" s="1203">
        <v>30.22</v>
      </c>
      <c r="U40" s="1203">
        <v>31.27</v>
      </c>
      <c r="V40" s="1203">
        <v>32.31</v>
      </c>
      <c r="W40" s="1213"/>
      <c r="X40" s="1203">
        <v>10.0</v>
      </c>
      <c r="Y40" s="1213"/>
    </row>
    <row r="41">
      <c r="A41" s="1197"/>
      <c r="B41" s="1198"/>
      <c r="C41" s="1198"/>
      <c r="D41" s="1199"/>
      <c r="E41" s="1199"/>
      <c r="F41" s="1200"/>
      <c r="G41" s="1192"/>
      <c r="H41" s="1193"/>
      <c r="I41" s="1202">
        <v>550.0</v>
      </c>
      <c r="J41" s="1203">
        <v>21.7307575757576</v>
      </c>
      <c r="K41" s="1203">
        <v>22.78</v>
      </c>
      <c r="L41" s="1203">
        <v>23.82</v>
      </c>
      <c r="M41" s="1203">
        <v>24.87</v>
      </c>
      <c r="N41" s="1203">
        <v>25.92</v>
      </c>
      <c r="O41" s="1203">
        <v>26.96</v>
      </c>
      <c r="P41" s="1203">
        <v>28.01</v>
      </c>
      <c r="Q41" s="1203">
        <v>29.05</v>
      </c>
      <c r="R41" s="1203">
        <v>30.1</v>
      </c>
      <c r="S41" s="1203">
        <v>31.15</v>
      </c>
      <c r="T41" s="1203">
        <v>32.19</v>
      </c>
      <c r="U41" s="1203">
        <v>33.24</v>
      </c>
      <c r="V41" s="1203">
        <v>34.29</v>
      </c>
      <c r="W41" s="1213"/>
      <c r="X41" s="1203">
        <v>10.0</v>
      </c>
      <c r="Y41" s="1213"/>
    </row>
    <row r="42">
      <c r="A42" s="1187" t="s">
        <v>718</v>
      </c>
      <c r="B42" s="1188"/>
      <c r="C42" s="1189" t="s">
        <v>15</v>
      </c>
      <c r="D42" s="1190" t="s">
        <v>26</v>
      </c>
      <c r="E42" s="1190"/>
      <c r="F42" s="1191"/>
      <c r="G42" s="1192"/>
      <c r="H42" s="1193"/>
      <c r="I42" s="1202">
        <v>600.0</v>
      </c>
      <c r="J42" s="1203">
        <v>23.7074242424242</v>
      </c>
      <c r="K42" s="1203">
        <v>24.75</v>
      </c>
      <c r="L42" s="1203">
        <v>25.8</v>
      </c>
      <c r="M42" s="1203">
        <v>26.85</v>
      </c>
      <c r="N42" s="1203">
        <v>27.89</v>
      </c>
      <c r="O42" s="1203">
        <v>28.94</v>
      </c>
      <c r="P42" s="1203">
        <v>29.99</v>
      </c>
      <c r="Q42" s="1203">
        <v>31.03</v>
      </c>
      <c r="R42" s="1203">
        <v>32.08</v>
      </c>
      <c r="S42" s="1203">
        <v>33.12</v>
      </c>
      <c r="T42" s="1203">
        <v>34.17</v>
      </c>
      <c r="U42" s="1203">
        <v>35.22</v>
      </c>
      <c r="V42" s="1203">
        <v>36.26</v>
      </c>
      <c r="W42" s="1213"/>
      <c r="X42" s="1203">
        <v>10.0</v>
      </c>
      <c r="Y42" s="1213"/>
    </row>
    <row r="43">
      <c r="A43" s="1197" t="s">
        <v>719</v>
      </c>
      <c r="B43" s="1198"/>
      <c r="C43" s="1215" t="s">
        <v>41</v>
      </c>
      <c r="D43" s="1208">
        <v>1.6</v>
      </c>
      <c r="E43" s="1208">
        <v>3.0</v>
      </c>
      <c r="F43" s="1200"/>
      <c r="G43" s="1192"/>
      <c r="H43" s="1193"/>
      <c r="I43" s="1202">
        <v>650.0</v>
      </c>
      <c r="J43" s="1203">
        <v>25.6851515151516</v>
      </c>
      <c r="K43" s="1203">
        <v>26.73</v>
      </c>
      <c r="L43" s="1203">
        <v>27.78</v>
      </c>
      <c r="M43" s="1203">
        <v>28.82</v>
      </c>
      <c r="N43" s="1203">
        <v>29.87</v>
      </c>
      <c r="O43" s="1203">
        <v>30.92</v>
      </c>
      <c r="P43" s="1203">
        <v>31.96</v>
      </c>
      <c r="Q43" s="1203">
        <v>33.01</v>
      </c>
      <c r="R43" s="1203">
        <v>34.06</v>
      </c>
      <c r="S43" s="1203">
        <v>35.1</v>
      </c>
      <c r="T43" s="1203">
        <v>36.15</v>
      </c>
      <c r="U43" s="1203">
        <v>37.19</v>
      </c>
      <c r="V43" s="1203">
        <v>38.24</v>
      </c>
      <c r="W43" s="1213"/>
      <c r="X43" s="1203">
        <v>15.0</v>
      </c>
      <c r="Y43" s="1213"/>
    </row>
    <row r="44">
      <c r="A44" s="1197" t="s">
        <v>627</v>
      </c>
      <c r="B44" s="1198"/>
      <c r="C44" s="1215" t="s">
        <v>41</v>
      </c>
      <c r="D44" s="1208">
        <v>1.6</v>
      </c>
      <c r="E44" s="1208">
        <v>3.0</v>
      </c>
      <c r="F44" s="1200"/>
      <c r="G44" s="1192"/>
      <c r="H44" s="1193"/>
      <c r="I44" s="1202">
        <v>700.0</v>
      </c>
      <c r="J44" s="1203">
        <v>27.6634848484849</v>
      </c>
      <c r="K44" s="1203">
        <v>28.71</v>
      </c>
      <c r="L44" s="1203">
        <v>29.76</v>
      </c>
      <c r="M44" s="1203">
        <v>30.8</v>
      </c>
      <c r="N44" s="1203">
        <v>31.85</v>
      </c>
      <c r="O44" s="1203">
        <v>32.89</v>
      </c>
      <c r="P44" s="1203">
        <v>33.94</v>
      </c>
      <c r="Q44" s="1203">
        <v>34.99</v>
      </c>
      <c r="R44" s="1203">
        <v>36.03</v>
      </c>
      <c r="S44" s="1203">
        <v>37.08</v>
      </c>
      <c r="T44" s="1203">
        <v>38.13</v>
      </c>
      <c r="U44" s="1203">
        <v>39.17</v>
      </c>
      <c r="V44" s="1203">
        <v>40.22</v>
      </c>
      <c r="W44" s="1213"/>
      <c r="X44" s="1203">
        <v>15.0</v>
      </c>
      <c r="Y44" s="1213"/>
    </row>
    <row r="45">
      <c r="A45" s="1197"/>
      <c r="B45" s="1198"/>
      <c r="C45" s="1215"/>
      <c r="D45" s="1209"/>
      <c r="E45" s="1209"/>
      <c r="F45" s="1200"/>
      <c r="G45" s="1192"/>
      <c r="H45" s="1193"/>
      <c r="I45" s="1202">
        <v>750.0</v>
      </c>
      <c r="J45" s="1203">
        <v>29.635</v>
      </c>
      <c r="K45" s="1203">
        <v>30.68</v>
      </c>
      <c r="L45" s="1203">
        <v>31.73</v>
      </c>
      <c r="M45" s="1203">
        <v>32.77</v>
      </c>
      <c r="N45" s="1203">
        <v>33.82</v>
      </c>
      <c r="O45" s="1203">
        <v>34.87</v>
      </c>
      <c r="P45" s="1203">
        <v>35.91</v>
      </c>
      <c r="Q45" s="1203">
        <v>36.96</v>
      </c>
      <c r="R45" s="1203">
        <v>38.0</v>
      </c>
      <c r="S45" s="1203">
        <v>39.05</v>
      </c>
      <c r="T45" s="1203">
        <v>40.1</v>
      </c>
      <c r="U45" s="1203">
        <v>41.14</v>
      </c>
      <c r="V45" s="1203">
        <v>42.19</v>
      </c>
      <c r="W45" s="1213"/>
      <c r="X45" s="1203">
        <v>15.0</v>
      </c>
      <c r="Y45" s="1213"/>
    </row>
    <row r="46">
      <c r="A46" s="1197"/>
      <c r="B46" s="1198"/>
      <c r="C46" s="1215"/>
      <c r="D46" s="1209"/>
      <c r="E46" s="1209"/>
      <c r="F46" s="1200"/>
      <c r="G46" s="1192"/>
      <c r="H46" s="1193"/>
      <c r="I46" s="1202">
        <v>800.0</v>
      </c>
      <c r="J46" s="1203">
        <v>31.6113636363636</v>
      </c>
      <c r="K46" s="1203">
        <v>32.66</v>
      </c>
      <c r="L46" s="1203">
        <v>33.7</v>
      </c>
      <c r="M46" s="1203">
        <v>34.75</v>
      </c>
      <c r="N46" s="1203">
        <v>35.8</v>
      </c>
      <c r="O46" s="1203">
        <v>36.84</v>
      </c>
      <c r="P46" s="1203">
        <v>37.89</v>
      </c>
      <c r="Q46" s="1203">
        <v>38.94</v>
      </c>
      <c r="R46" s="1203">
        <v>39.98</v>
      </c>
      <c r="S46" s="1203">
        <v>41.03</v>
      </c>
      <c r="T46" s="1203">
        <v>42.07</v>
      </c>
      <c r="U46" s="1203">
        <v>43.12</v>
      </c>
      <c r="V46" s="1203">
        <v>44.17</v>
      </c>
      <c r="W46" s="1213"/>
      <c r="X46" s="1203">
        <v>15.0</v>
      </c>
      <c r="Y46" s="1213"/>
    </row>
    <row r="47">
      <c r="A47" s="1187" t="s">
        <v>720</v>
      </c>
      <c r="B47" s="1188"/>
      <c r="C47" s="1189" t="s">
        <v>15</v>
      </c>
      <c r="D47" s="1190" t="s">
        <v>26</v>
      </c>
      <c r="E47" s="1190"/>
      <c r="F47" s="1191"/>
      <c r="G47" s="1192"/>
      <c r="H47" s="1193"/>
      <c r="I47" s="1202">
        <v>850.0</v>
      </c>
      <c r="J47" s="1203">
        <v>33.5904545454545</v>
      </c>
      <c r="K47" s="1203">
        <v>34.64</v>
      </c>
      <c r="L47" s="1203">
        <v>35.68</v>
      </c>
      <c r="M47" s="1203">
        <v>36.73</v>
      </c>
      <c r="N47" s="1203">
        <v>37.77</v>
      </c>
      <c r="O47" s="1203">
        <v>38.82</v>
      </c>
      <c r="P47" s="1203">
        <v>39.87</v>
      </c>
      <c r="Q47" s="1203">
        <v>40.91</v>
      </c>
      <c r="R47" s="1203">
        <v>41.96</v>
      </c>
      <c r="S47" s="1203">
        <v>43.01</v>
      </c>
      <c r="T47" s="1203">
        <v>44.05</v>
      </c>
      <c r="U47" s="1203">
        <v>45.1</v>
      </c>
      <c r="V47" s="1203">
        <v>46.14</v>
      </c>
      <c r="W47" s="1213"/>
      <c r="X47" s="1203">
        <v>15.0</v>
      </c>
      <c r="Y47" s="1213"/>
    </row>
    <row r="48">
      <c r="A48" s="1197" t="s">
        <v>625</v>
      </c>
      <c r="B48" s="1198"/>
      <c r="C48" s="1215" t="s">
        <v>41</v>
      </c>
      <c r="D48" s="1209">
        <v>7.82</v>
      </c>
      <c r="E48" s="1209"/>
      <c r="F48" s="1200">
        <v>1.25</v>
      </c>
      <c r="G48" s="1192"/>
      <c r="H48" s="1193"/>
      <c r="I48" s="1202">
        <v>900.0</v>
      </c>
      <c r="J48" s="1203">
        <v>35.5674242424243</v>
      </c>
      <c r="K48" s="1203">
        <v>36.61</v>
      </c>
      <c r="L48" s="1203">
        <v>37.66</v>
      </c>
      <c r="M48" s="1203">
        <v>38.71</v>
      </c>
      <c r="N48" s="1203">
        <v>39.75</v>
      </c>
      <c r="O48" s="1203">
        <v>40.8</v>
      </c>
      <c r="P48" s="1203">
        <v>41.85</v>
      </c>
      <c r="Q48" s="1203">
        <v>42.89</v>
      </c>
      <c r="R48" s="1203">
        <v>43.94</v>
      </c>
      <c r="S48" s="1203">
        <v>44.98</v>
      </c>
      <c r="T48" s="1203">
        <v>46.03</v>
      </c>
      <c r="U48" s="1203">
        <v>47.08</v>
      </c>
      <c r="V48" s="1203">
        <v>48.12</v>
      </c>
      <c r="W48" s="1213"/>
      <c r="X48" s="1203">
        <v>15.0</v>
      </c>
      <c r="Y48" s="1213"/>
    </row>
    <row r="49">
      <c r="A49" s="1197" t="s">
        <v>626</v>
      </c>
      <c r="B49" s="1198"/>
      <c r="C49" s="1215" t="s">
        <v>52</v>
      </c>
      <c r="D49" s="1209">
        <v>40.83</v>
      </c>
      <c r="E49" s="1209"/>
      <c r="F49" s="1200">
        <v>66.0</v>
      </c>
      <c r="G49" s="1192"/>
      <c r="H49" s="1193"/>
      <c r="I49" s="1202">
        <v>950.0</v>
      </c>
      <c r="J49" s="1203">
        <v>37.5374242424243</v>
      </c>
      <c r="K49" s="1203">
        <v>38.58</v>
      </c>
      <c r="L49" s="1203">
        <v>39.63</v>
      </c>
      <c r="M49" s="1203">
        <v>40.68</v>
      </c>
      <c r="N49" s="1203">
        <v>41.72</v>
      </c>
      <c r="O49" s="1203">
        <v>42.77</v>
      </c>
      <c r="P49" s="1203">
        <v>43.82</v>
      </c>
      <c r="Q49" s="1203">
        <v>44.86</v>
      </c>
      <c r="R49" s="1203">
        <v>45.91</v>
      </c>
      <c r="S49" s="1203">
        <v>46.95</v>
      </c>
      <c r="T49" s="1203">
        <v>48.0</v>
      </c>
      <c r="U49" s="1203">
        <v>49.05</v>
      </c>
      <c r="V49" s="1203">
        <v>50.09</v>
      </c>
      <c r="W49" s="1213"/>
      <c r="X49" s="1203">
        <v>15.0</v>
      </c>
      <c r="Y49" s="1213"/>
    </row>
    <row r="50">
      <c r="A50" s="1197"/>
      <c r="B50" s="1198"/>
      <c r="C50" s="1215"/>
      <c r="D50" s="1209"/>
      <c r="E50" s="1209"/>
      <c r="F50" s="1200"/>
      <c r="G50" s="1192"/>
      <c r="H50" s="1193"/>
      <c r="I50" s="1202">
        <v>1000.0</v>
      </c>
      <c r="J50" s="1203">
        <v>39.5163636363636</v>
      </c>
      <c r="K50" s="1203">
        <v>40.56</v>
      </c>
      <c r="L50" s="1203">
        <v>41.61</v>
      </c>
      <c r="M50" s="1203">
        <v>42.66</v>
      </c>
      <c r="N50" s="1203">
        <v>43.7</v>
      </c>
      <c r="O50" s="1203">
        <v>44.75</v>
      </c>
      <c r="P50" s="1203">
        <v>45.79</v>
      </c>
      <c r="Q50" s="1203">
        <v>46.84</v>
      </c>
      <c r="R50" s="1203">
        <v>47.89</v>
      </c>
      <c r="S50" s="1203">
        <v>48.93</v>
      </c>
      <c r="T50" s="1203">
        <v>49.98</v>
      </c>
      <c r="U50" s="1203">
        <v>51.03</v>
      </c>
      <c r="V50" s="1203">
        <v>52.07</v>
      </c>
      <c r="W50" s="1213"/>
      <c r="X50" s="1203">
        <v>15.0</v>
      </c>
      <c r="Y50" s="1213"/>
    </row>
    <row r="51">
      <c r="A51" s="1197"/>
      <c r="B51" s="1198"/>
      <c r="C51" s="1215"/>
      <c r="D51" s="1209"/>
      <c r="E51" s="1209"/>
      <c r="F51" s="1200"/>
      <c r="G51" s="1192"/>
      <c r="H51" s="1193"/>
      <c r="I51" s="1202">
        <v>1050.0</v>
      </c>
      <c r="J51" s="1203">
        <v>41.4950000000001</v>
      </c>
      <c r="K51" s="1203">
        <v>42.54</v>
      </c>
      <c r="L51" s="1203">
        <v>43.59</v>
      </c>
      <c r="M51" s="1203">
        <v>44.63</v>
      </c>
      <c r="N51" s="1203">
        <v>45.68</v>
      </c>
      <c r="O51" s="1203">
        <v>46.73</v>
      </c>
      <c r="P51" s="1203">
        <v>47.77</v>
      </c>
      <c r="Q51" s="1203">
        <v>48.82</v>
      </c>
      <c r="R51" s="1203">
        <v>49.86</v>
      </c>
      <c r="S51" s="1203">
        <v>50.91</v>
      </c>
      <c r="T51" s="1203">
        <v>51.96</v>
      </c>
      <c r="U51" s="1203">
        <v>53.0</v>
      </c>
      <c r="V51" s="1203">
        <v>54.05</v>
      </c>
      <c r="W51" s="1213"/>
      <c r="X51" s="1203">
        <v>20.0</v>
      </c>
      <c r="Y51" s="1213"/>
    </row>
    <row r="52">
      <c r="A52" s="1187" t="s">
        <v>721</v>
      </c>
      <c r="B52" s="1188"/>
      <c r="C52" s="1189" t="s">
        <v>15</v>
      </c>
      <c r="D52" s="1190" t="s">
        <v>26</v>
      </c>
      <c r="E52" s="1190"/>
      <c r="F52" s="1191"/>
      <c r="G52" s="1192"/>
      <c r="H52" s="1193"/>
      <c r="I52" s="1202">
        <v>1100.0</v>
      </c>
      <c r="J52" s="1203">
        <v>43.4713636363636</v>
      </c>
      <c r="K52" s="1203">
        <v>44.52</v>
      </c>
      <c r="L52" s="1203">
        <v>45.56</v>
      </c>
      <c r="M52" s="1203">
        <v>46.61</v>
      </c>
      <c r="N52" s="1203">
        <v>47.66</v>
      </c>
      <c r="O52" s="1203">
        <v>48.7</v>
      </c>
      <c r="P52" s="1203">
        <v>49.75</v>
      </c>
      <c r="Q52" s="1203">
        <v>50.8</v>
      </c>
      <c r="R52" s="1203">
        <v>51.84</v>
      </c>
      <c r="S52" s="1203">
        <v>52.89</v>
      </c>
      <c r="T52" s="1203">
        <v>53.93</v>
      </c>
      <c r="U52" s="1203">
        <v>54.98</v>
      </c>
      <c r="V52" s="1203">
        <v>56.03</v>
      </c>
      <c r="W52" s="1213"/>
      <c r="X52" s="1203">
        <v>20.0</v>
      </c>
      <c r="Y52" s="1213"/>
    </row>
    <row r="53">
      <c r="A53" s="1197" t="s">
        <v>722</v>
      </c>
      <c r="B53" s="1198"/>
      <c r="C53" s="1205" t="s">
        <v>41</v>
      </c>
      <c r="D53" s="1207">
        <v>57.63</v>
      </c>
      <c r="E53" s="1207"/>
      <c r="F53" s="1200"/>
      <c r="G53" s="1192"/>
      <c r="H53" s="1193"/>
      <c r="I53" s="1202">
        <v>1150.0</v>
      </c>
      <c r="J53" s="1203">
        <v>45.4434848484849</v>
      </c>
      <c r="K53" s="1203">
        <v>46.49</v>
      </c>
      <c r="L53" s="1203">
        <v>47.54</v>
      </c>
      <c r="M53" s="1203">
        <v>48.58</v>
      </c>
      <c r="N53" s="1203">
        <v>49.63</v>
      </c>
      <c r="O53" s="1203">
        <v>50.67</v>
      </c>
      <c r="P53" s="1203">
        <v>51.72</v>
      </c>
      <c r="Q53" s="1203">
        <v>52.77</v>
      </c>
      <c r="R53" s="1203">
        <v>53.81</v>
      </c>
      <c r="S53" s="1203">
        <v>54.86</v>
      </c>
      <c r="T53" s="1203">
        <v>55.91</v>
      </c>
      <c r="U53" s="1203">
        <v>56.95</v>
      </c>
      <c r="V53" s="1203">
        <v>58.0</v>
      </c>
      <c r="W53" s="1213"/>
      <c r="X53" s="1203">
        <v>20.0</v>
      </c>
      <c r="Y53" s="1213"/>
    </row>
    <row r="54">
      <c r="A54" s="1197" t="s">
        <v>723</v>
      </c>
      <c r="B54" s="1198"/>
      <c r="C54" s="1205" t="s">
        <v>724</v>
      </c>
      <c r="D54" s="1207">
        <v>18.0</v>
      </c>
      <c r="E54" s="1207"/>
      <c r="F54" s="1200"/>
      <c r="G54" s="1192"/>
      <c r="H54" s="1193"/>
      <c r="I54" s="1202">
        <v>1200.0</v>
      </c>
      <c r="J54" s="1203">
        <v>47.4207575757576</v>
      </c>
      <c r="K54" s="1203">
        <v>48.47</v>
      </c>
      <c r="L54" s="1203">
        <v>49.51</v>
      </c>
      <c r="M54" s="1203">
        <v>50.56</v>
      </c>
      <c r="N54" s="1203">
        <v>51.61</v>
      </c>
      <c r="O54" s="1203">
        <v>52.65</v>
      </c>
      <c r="P54" s="1203">
        <v>53.7</v>
      </c>
      <c r="Q54" s="1203">
        <v>54.74</v>
      </c>
      <c r="R54" s="1203">
        <v>55.79</v>
      </c>
      <c r="S54" s="1203">
        <v>56.84</v>
      </c>
      <c r="T54" s="1203">
        <v>57.88</v>
      </c>
      <c r="U54" s="1203">
        <v>58.93</v>
      </c>
      <c r="V54" s="1203">
        <v>59.98</v>
      </c>
      <c r="W54" s="1213"/>
      <c r="X54" s="1203">
        <v>20.0</v>
      </c>
      <c r="Y54" s="1213"/>
    </row>
    <row r="55">
      <c r="A55" s="1197" t="s">
        <v>725</v>
      </c>
      <c r="B55" s="1198"/>
      <c r="C55" s="1205" t="s">
        <v>724</v>
      </c>
      <c r="D55" s="1207">
        <v>24.07</v>
      </c>
      <c r="E55" s="1207"/>
      <c r="F55" s="1200"/>
      <c r="G55" s="1192"/>
      <c r="H55" s="1193"/>
      <c r="I55" s="1211"/>
      <c r="J55" s="1193"/>
      <c r="K55" s="1193"/>
      <c r="L55" s="1193"/>
      <c r="M55" s="1193"/>
      <c r="N55" s="1193"/>
      <c r="O55" s="1212"/>
      <c r="P55" s="1193"/>
      <c r="Q55" s="1193"/>
      <c r="R55" s="1193"/>
      <c r="S55" s="1193"/>
      <c r="T55" s="1193"/>
      <c r="U55" s="1193"/>
      <c r="V55" s="1193"/>
      <c r="W55" s="1193"/>
      <c r="X55" s="1211"/>
      <c r="Y55" s="1193"/>
    </row>
    <row r="56">
      <c r="A56" s="1197" t="s">
        <v>726</v>
      </c>
      <c r="B56" s="1198"/>
      <c r="C56" s="1205" t="s">
        <v>55</v>
      </c>
      <c r="D56" s="1207">
        <v>66.78</v>
      </c>
      <c r="E56" s="1207"/>
      <c r="F56" s="1200"/>
      <c r="G56" s="1192"/>
      <c r="H56" s="1193"/>
      <c r="I56" s="1211"/>
      <c r="J56" s="1193"/>
      <c r="K56" s="1193"/>
      <c r="L56" s="1193"/>
      <c r="M56" s="1193"/>
      <c r="N56" s="1193"/>
      <c r="O56" s="1212"/>
      <c r="P56" s="1193"/>
      <c r="Q56" s="1193"/>
      <c r="R56" s="1193"/>
      <c r="S56" s="1193"/>
      <c r="T56" s="1193"/>
      <c r="U56" s="1193"/>
      <c r="V56" s="1193"/>
      <c r="W56" s="1193"/>
      <c r="X56" s="1211"/>
      <c r="Y56" s="1193"/>
    </row>
    <row r="57">
      <c r="A57" s="1197" t="s">
        <v>727</v>
      </c>
      <c r="B57" s="1198"/>
      <c r="C57" s="1205" t="s">
        <v>52</v>
      </c>
      <c r="D57" s="1207">
        <v>47.09</v>
      </c>
      <c r="E57" s="1207"/>
      <c r="F57" s="1200"/>
      <c r="G57" s="1192"/>
      <c r="H57" s="1193"/>
      <c r="I57" s="1216" t="s">
        <v>728</v>
      </c>
      <c r="J57" s="1195">
        <v>0.55</v>
      </c>
      <c r="K57" s="1217"/>
      <c r="L57" s="1217"/>
      <c r="M57" s="1217"/>
      <c r="N57" s="1217"/>
      <c r="O57" s="1217"/>
      <c r="P57" s="1217"/>
      <c r="Q57" s="1217"/>
      <c r="R57" s="1217"/>
      <c r="S57" s="1217"/>
      <c r="T57" s="1217"/>
      <c r="U57" s="1217"/>
      <c r="V57" s="1217"/>
      <c r="W57" s="1217"/>
      <c r="X57" s="1216"/>
      <c r="Y57" s="1217"/>
    </row>
    <row r="58">
      <c r="A58" s="1197" t="s">
        <v>729</v>
      </c>
      <c r="B58" s="1198"/>
      <c r="C58" s="1205" t="s">
        <v>52</v>
      </c>
      <c r="D58" s="1207">
        <v>20.0</v>
      </c>
      <c r="E58" s="1207"/>
      <c r="F58" s="1200"/>
      <c r="G58" s="1192"/>
      <c r="H58" s="1193"/>
      <c r="I58" s="1218" t="s">
        <v>9</v>
      </c>
      <c r="J58" s="1195">
        <v>0.0</v>
      </c>
      <c r="K58" s="1195">
        <v>1.0</v>
      </c>
      <c r="L58" s="1195">
        <v>2.0</v>
      </c>
      <c r="M58" s="1195">
        <v>3.0</v>
      </c>
      <c r="N58" s="1195">
        <v>4.0</v>
      </c>
      <c r="O58" s="1195">
        <v>5.0</v>
      </c>
      <c r="P58" s="1195">
        <v>6.0</v>
      </c>
      <c r="Q58" s="1195">
        <v>7.0</v>
      </c>
      <c r="R58" s="1195">
        <v>8.0</v>
      </c>
      <c r="S58" s="1195">
        <v>9.0</v>
      </c>
      <c r="T58" s="1195">
        <v>10.0</v>
      </c>
      <c r="U58" s="1195">
        <v>11.0</v>
      </c>
      <c r="V58" s="1195">
        <v>12.0</v>
      </c>
      <c r="W58" s="1195"/>
      <c r="X58" s="1218"/>
      <c r="Y58" s="1195"/>
    </row>
    <row r="59">
      <c r="A59" s="1197" t="s">
        <v>730</v>
      </c>
      <c r="B59" s="1198"/>
      <c r="C59" s="1205" t="s">
        <v>52</v>
      </c>
      <c r="D59" s="1207">
        <v>215.01</v>
      </c>
      <c r="E59" s="1207"/>
      <c r="F59" s="1200"/>
      <c r="G59" s="1192"/>
      <c r="H59" s="1193"/>
      <c r="I59" s="1219">
        <v>50.0</v>
      </c>
      <c r="J59" s="1203">
        <v>1.29</v>
      </c>
      <c r="K59" s="1203">
        <v>3.21</v>
      </c>
      <c r="L59" s="1203">
        <v>5.13</v>
      </c>
      <c r="M59" s="1203">
        <v>7.05</v>
      </c>
      <c r="N59" s="1203">
        <v>8.97</v>
      </c>
      <c r="O59" s="1203">
        <v>10.89</v>
      </c>
      <c r="P59" s="1203">
        <v>12.81</v>
      </c>
      <c r="Q59" s="1203">
        <v>14.73</v>
      </c>
      <c r="R59" s="1203">
        <v>16.65</v>
      </c>
      <c r="S59" s="1203">
        <v>18.57</v>
      </c>
      <c r="T59" s="1203">
        <v>20.49</v>
      </c>
      <c r="U59" s="1203">
        <v>22.41</v>
      </c>
      <c r="V59" s="1203">
        <v>24.33</v>
      </c>
      <c r="W59" s="1220"/>
      <c r="X59" s="1203">
        <v>10.0</v>
      </c>
      <c r="Y59" s="1220"/>
    </row>
    <row r="60">
      <c r="A60" s="1197" t="s">
        <v>731</v>
      </c>
      <c r="B60" s="1198"/>
      <c r="C60" s="1205" t="s">
        <v>52</v>
      </c>
      <c r="D60" s="1207">
        <v>0.21</v>
      </c>
      <c r="E60" s="1207"/>
      <c r="F60" s="1200"/>
      <c r="G60" s="1192"/>
      <c r="H60" s="1193"/>
      <c r="I60" s="1219">
        <v>100.0</v>
      </c>
      <c r="J60" s="1203">
        <v>2.57</v>
      </c>
      <c r="K60" s="1203">
        <v>4.49</v>
      </c>
      <c r="L60" s="1203">
        <v>6.41</v>
      </c>
      <c r="M60" s="1203">
        <v>8.33</v>
      </c>
      <c r="N60" s="1203">
        <v>10.25</v>
      </c>
      <c r="O60" s="1203">
        <v>12.17</v>
      </c>
      <c r="P60" s="1203">
        <v>14.09</v>
      </c>
      <c r="Q60" s="1203">
        <v>16.01</v>
      </c>
      <c r="R60" s="1203">
        <v>17.93</v>
      </c>
      <c r="S60" s="1203">
        <v>19.85</v>
      </c>
      <c r="T60" s="1203">
        <v>21.77</v>
      </c>
      <c r="U60" s="1203">
        <v>23.69</v>
      </c>
      <c r="V60" s="1203">
        <v>25.61</v>
      </c>
      <c r="W60" s="1220"/>
      <c r="X60" s="1203">
        <v>10.0</v>
      </c>
      <c r="Y60" s="1220"/>
    </row>
    <row r="61">
      <c r="A61" s="1197"/>
      <c r="B61" s="1198"/>
      <c r="C61" s="1205"/>
      <c r="D61" s="1207"/>
      <c r="E61" s="1207"/>
      <c r="F61" s="1200"/>
      <c r="G61" s="1192"/>
      <c r="H61" s="1193"/>
      <c r="I61" s="1219">
        <v>150.0</v>
      </c>
      <c r="J61" s="1203">
        <v>3.86</v>
      </c>
      <c r="K61" s="1203">
        <v>5.78</v>
      </c>
      <c r="L61" s="1203">
        <v>7.7</v>
      </c>
      <c r="M61" s="1203">
        <v>9.62</v>
      </c>
      <c r="N61" s="1203">
        <v>11.54</v>
      </c>
      <c r="O61" s="1203">
        <v>13.46</v>
      </c>
      <c r="P61" s="1203">
        <v>15.38</v>
      </c>
      <c r="Q61" s="1203">
        <v>17.3</v>
      </c>
      <c r="R61" s="1203">
        <v>19.22</v>
      </c>
      <c r="S61" s="1203">
        <v>21.14</v>
      </c>
      <c r="T61" s="1203">
        <v>23.06</v>
      </c>
      <c r="U61" s="1203">
        <v>24.98</v>
      </c>
      <c r="V61" s="1203">
        <v>26.9</v>
      </c>
      <c r="W61" s="1220"/>
      <c r="X61" s="1203">
        <v>10.0</v>
      </c>
      <c r="Y61" s="1220"/>
    </row>
    <row r="62">
      <c r="A62" s="1187" t="s">
        <v>732</v>
      </c>
      <c r="B62" s="1188"/>
      <c r="C62" s="1189" t="s">
        <v>15</v>
      </c>
      <c r="D62" s="1190" t="s">
        <v>26</v>
      </c>
      <c r="E62" s="1190"/>
      <c r="F62" s="1191"/>
      <c r="G62" s="1192"/>
      <c r="H62" s="1193"/>
      <c r="I62" s="1219">
        <v>200.0</v>
      </c>
      <c r="J62" s="1203">
        <v>5.15</v>
      </c>
      <c r="K62" s="1203">
        <v>7.07</v>
      </c>
      <c r="L62" s="1203">
        <v>8.99</v>
      </c>
      <c r="M62" s="1203">
        <v>10.91</v>
      </c>
      <c r="N62" s="1203">
        <v>12.83</v>
      </c>
      <c r="O62" s="1203">
        <v>14.75</v>
      </c>
      <c r="P62" s="1203">
        <v>16.67</v>
      </c>
      <c r="Q62" s="1203">
        <v>18.59</v>
      </c>
      <c r="R62" s="1203">
        <v>20.51</v>
      </c>
      <c r="S62" s="1203">
        <v>22.43</v>
      </c>
      <c r="T62" s="1203">
        <v>24.35</v>
      </c>
      <c r="U62" s="1203">
        <v>26.27</v>
      </c>
      <c r="V62" s="1203">
        <v>28.19</v>
      </c>
      <c r="W62" s="1220"/>
      <c r="X62" s="1203">
        <v>10.0</v>
      </c>
      <c r="Y62" s="1220"/>
    </row>
    <row r="63">
      <c r="A63" s="1197" t="s">
        <v>733</v>
      </c>
      <c r="B63" s="1198"/>
      <c r="C63" s="1205" t="s">
        <v>55</v>
      </c>
      <c r="D63" s="1221"/>
      <c r="E63" s="1221"/>
      <c r="F63" s="1222"/>
      <c r="G63" s="1192"/>
      <c r="H63" s="1193"/>
      <c r="I63" s="1219">
        <v>250.0</v>
      </c>
      <c r="J63" s="1203">
        <v>6.44</v>
      </c>
      <c r="K63" s="1203">
        <v>8.36</v>
      </c>
      <c r="L63" s="1203">
        <v>10.28</v>
      </c>
      <c r="M63" s="1203">
        <v>12.2</v>
      </c>
      <c r="N63" s="1203">
        <v>14.12</v>
      </c>
      <c r="O63" s="1203">
        <v>16.04</v>
      </c>
      <c r="P63" s="1203">
        <v>17.96</v>
      </c>
      <c r="Q63" s="1203">
        <v>19.88</v>
      </c>
      <c r="R63" s="1203">
        <v>21.8</v>
      </c>
      <c r="S63" s="1203">
        <v>23.72</v>
      </c>
      <c r="T63" s="1203">
        <v>25.64</v>
      </c>
      <c r="U63" s="1203">
        <v>27.56</v>
      </c>
      <c r="V63" s="1203">
        <v>29.48</v>
      </c>
      <c r="W63" s="1220"/>
      <c r="X63" s="1203">
        <v>10.0</v>
      </c>
      <c r="Y63" s="1220"/>
    </row>
    <row r="64">
      <c r="A64" s="1197" t="s">
        <v>734</v>
      </c>
      <c r="B64" s="1198"/>
      <c r="C64" s="1205" t="s">
        <v>52</v>
      </c>
      <c r="D64" s="1221"/>
      <c r="E64" s="1221"/>
      <c r="F64" s="1222"/>
      <c r="G64" s="1192"/>
      <c r="H64" s="1193"/>
      <c r="I64" s="1219">
        <v>300.0</v>
      </c>
      <c r="J64" s="1203">
        <v>7.72</v>
      </c>
      <c r="K64" s="1203">
        <v>9.64</v>
      </c>
      <c r="L64" s="1203">
        <v>11.56</v>
      </c>
      <c r="M64" s="1203">
        <v>13.48</v>
      </c>
      <c r="N64" s="1203">
        <v>15.4</v>
      </c>
      <c r="O64" s="1203">
        <v>17.32</v>
      </c>
      <c r="P64" s="1203">
        <v>19.24</v>
      </c>
      <c r="Q64" s="1203">
        <v>21.16</v>
      </c>
      <c r="R64" s="1203">
        <v>23.08</v>
      </c>
      <c r="S64" s="1203">
        <v>25.0</v>
      </c>
      <c r="T64" s="1203">
        <v>26.92</v>
      </c>
      <c r="U64" s="1203">
        <v>28.84</v>
      </c>
      <c r="V64" s="1203">
        <v>30.76</v>
      </c>
      <c r="W64" s="1220"/>
      <c r="X64" s="1203">
        <v>10.0</v>
      </c>
      <c r="Y64" s="1220"/>
    </row>
    <row r="65">
      <c r="A65" s="1197" t="s">
        <v>735</v>
      </c>
      <c r="B65" s="1198"/>
      <c r="C65" s="1205" t="s">
        <v>52</v>
      </c>
      <c r="D65" s="1221">
        <v>21.09</v>
      </c>
      <c r="E65" s="1221"/>
      <c r="F65" s="1223">
        <v>600.0</v>
      </c>
      <c r="G65" s="1192"/>
      <c r="H65" s="1193"/>
      <c r="I65" s="1219">
        <v>350.0</v>
      </c>
      <c r="J65" s="1203">
        <v>9.01</v>
      </c>
      <c r="K65" s="1203">
        <v>10.93</v>
      </c>
      <c r="L65" s="1203">
        <v>12.85</v>
      </c>
      <c r="M65" s="1203">
        <v>14.77</v>
      </c>
      <c r="N65" s="1203">
        <v>16.69</v>
      </c>
      <c r="O65" s="1203">
        <v>18.61</v>
      </c>
      <c r="P65" s="1203">
        <v>20.53</v>
      </c>
      <c r="Q65" s="1203">
        <v>22.45</v>
      </c>
      <c r="R65" s="1203">
        <v>24.37</v>
      </c>
      <c r="S65" s="1203">
        <v>26.29</v>
      </c>
      <c r="T65" s="1203">
        <v>28.21</v>
      </c>
      <c r="U65" s="1203">
        <v>30.13</v>
      </c>
      <c r="V65" s="1203">
        <v>32.05</v>
      </c>
      <c r="W65" s="1220"/>
      <c r="X65" s="1203">
        <v>10.0</v>
      </c>
      <c r="Y65" s="1220"/>
    </row>
    <row r="66">
      <c r="A66" s="1197" t="s">
        <v>736</v>
      </c>
      <c r="B66" s="1198"/>
      <c r="C66" s="1205" t="s">
        <v>52</v>
      </c>
      <c r="D66" s="1221">
        <v>23.87</v>
      </c>
      <c r="E66" s="1221"/>
      <c r="F66" s="1223">
        <v>600.0</v>
      </c>
      <c r="G66" s="1192"/>
      <c r="H66" s="1193"/>
      <c r="I66" s="1219">
        <v>400.0</v>
      </c>
      <c r="J66" s="1203">
        <v>10.3</v>
      </c>
      <c r="K66" s="1203">
        <v>12.22</v>
      </c>
      <c r="L66" s="1203">
        <v>14.14</v>
      </c>
      <c r="M66" s="1203">
        <v>16.06</v>
      </c>
      <c r="N66" s="1203">
        <v>17.98</v>
      </c>
      <c r="O66" s="1203">
        <v>19.9</v>
      </c>
      <c r="P66" s="1203">
        <v>21.82</v>
      </c>
      <c r="Q66" s="1203">
        <v>23.74</v>
      </c>
      <c r="R66" s="1203">
        <v>25.66</v>
      </c>
      <c r="S66" s="1203">
        <v>27.58</v>
      </c>
      <c r="T66" s="1203">
        <v>29.5</v>
      </c>
      <c r="U66" s="1203">
        <v>31.42</v>
      </c>
      <c r="V66" s="1203">
        <v>33.34</v>
      </c>
      <c r="W66" s="1220"/>
      <c r="X66" s="1203">
        <v>10.0</v>
      </c>
      <c r="Y66" s="1220"/>
    </row>
    <row r="67">
      <c r="A67" s="1197" t="s">
        <v>737</v>
      </c>
      <c r="B67" s="1198"/>
      <c r="C67" s="1205" t="s">
        <v>52</v>
      </c>
      <c r="D67" s="1221">
        <v>20.79</v>
      </c>
      <c r="E67" s="1221"/>
      <c r="F67" s="1222"/>
      <c r="G67" s="1192"/>
      <c r="H67" s="1193"/>
      <c r="I67" s="1219">
        <v>450.0</v>
      </c>
      <c r="J67" s="1203">
        <v>11.58</v>
      </c>
      <c r="K67" s="1203">
        <v>13.5</v>
      </c>
      <c r="L67" s="1203">
        <v>15.42</v>
      </c>
      <c r="M67" s="1203">
        <v>17.34</v>
      </c>
      <c r="N67" s="1203">
        <v>19.26</v>
      </c>
      <c r="O67" s="1203">
        <v>21.18</v>
      </c>
      <c r="P67" s="1203">
        <v>23.1</v>
      </c>
      <c r="Q67" s="1203">
        <v>25.02</v>
      </c>
      <c r="R67" s="1203">
        <v>26.94</v>
      </c>
      <c r="S67" s="1203">
        <v>28.86</v>
      </c>
      <c r="T67" s="1203">
        <v>30.78</v>
      </c>
      <c r="U67" s="1203">
        <v>32.7</v>
      </c>
      <c r="V67" s="1203">
        <v>34.62</v>
      </c>
      <c r="W67" s="1220"/>
      <c r="X67" s="1203">
        <v>10.0</v>
      </c>
      <c r="Y67" s="1220"/>
    </row>
    <row r="68">
      <c r="A68" s="1197" t="s">
        <v>738</v>
      </c>
      <c r="B68" s="1198"/>
      <c r="C68" s="1205" t="s">
        <v>52</v>
      </c>
      <c r="D68" s="1221">
        <v>12.51</v>
      </c>
      <c r="E68" s="1221"/>
      <c r="F68" s="1222"/>
      <c r="G68" s="1192"/>
      <c r="H68" s="1193"/>
      <c r="I68" s="1219">
        <v>500.0</v>
      </c>
      <c r="J68" s="1203">
        <v>12.87</v>
      </c>
      <c r="K68" s="1203">
        <v>14.79</v>
      </c>
      <c r="L68" s="1203">
        <v>16.71</v>
      </c>
      <c r="M68" s="1203">
        <v>18.63</v>
      </c>
      <c r="N68" s="1203">
        <v>20.55</v>
      </c>
      <c r="O68" s="1203">
        <v>22.47</v>
      </c>
      <c r="P68" s="1203">
        <v>24.39</v>
      </c>
      <c r="Q68" s="1203">
        <v>26.31</v>
      </c>
      <c r="R68" s="1203">
        <v>28.23</v>
      </c>
      <c r="S68" s="1203">
        <v>30.15</v>
      </c>
      <c r="T68" s="1203">
        <v>32.07</v>
      </c>
      <c r="U68" s="1203">
        <v>33.99</v>
      </c>
      <c r="V68" s="1203">
        <v>35.91</v>
      </c>
      <c r="W68" s="1220"/>
      <c r="X68" s="1203">
        <v>10.0</v>
      </c>
      <c r="Y68" s="1220"/>
    </row>
    <row r="69">
      <c r="A69" s="1197" t="s">
        <v>739</v>
      </c>
      <c r="B69" s="1198"/>
      <c r="C69" s="1205" t="s">
        <v>52</v>
      </c>
      <c r="D69" s="1221">
        <v>21.75</v>
      </c>
      <c r="E69" s="1221"/>
      <c r="F69" s="1222"/>
      <c r="G69" s="1192"/>
      <c r="H69" s="1193"/>
      <c r="I69" s="1219">
        <v>550.0</v>
      </c>
      <c r="J69" s="1203">
        <v>14.16</v>
      </c>
      <c r="K69" s="1203">
        <v>16.08</v>
      </c>
      <c r="L69" s="1203">
        <v>18.0</v>
      </c>
      <c r="M69" s="1203">
        <v>19.92</v>
      </c>
      <c r="N69" s="1203">
        <v>21.84</v>
      </c>
      <c r="O69" s="1203">
        <v>23.76</v>
      </c>
      <c r="P69" s="1203">
        <v>25.68</v>
      </c>
      <c r="Q69" s="1203">
        <v>27.6</v>
      </c>
      <c r="R69" s="1203">
        <v>29.52</v>
      </c>
      <c r="S69" s="1203">
        <v>31.44</v>
      </c>
      <c r="T69" s="1203">
        <v>33.36</v>
      </c>
      <c r="U69" s="1203">
        <v>35.28</v>
      </c>
      <c r="V69" s="1203">
        <v>37.2</v>
      </c>
      <c r="W69" s="1220"/>
      <c r="X69" s="1203">
        <v>10.0</v>
      </c>
      <c r="Y69" s="1220"/>
    </row>
    <row r="70">
      <c r="A70" s="1197" t="s">
        <v>740</v>
      </c>
      <c r="B70" s="1198"/>
      <c r="C70" s="1205" t="s">
        <v>52</v>
      </c>
      <c r="D70" s="1221">
        <v>13.9</v>
      </c>
      <c r="E70" s="1221"/>
      <c r="F70" s="1222"/>
      <c r="G70" s="1192"/>
      <c r="H70" s="1193"/>
      <c r="I70" s="1219">
        <v>600.0</v>
      </c>
      <c r="J70" s="1203">
        <v>15.44</v>
      </c>
      <c r="K70" s="1203">
        <v>17.36</v>
      </c>
      <c r="L70" s="1203">
        <v>19.28</v>
      </c>
      <c r="M70" s="1203">
        <v>21.2</v>
      </c>
      <c r="N70" s="1203">
        <v>23.12</v>
      </c>
      <c r="O70" s="1203">
        <v>25.04</v>
      </c>
      <c r="P70" s="1203">
        <v>26.96</v>
      </c>
      <c r="Q70" s="1203">
        <v>28.88</v>
      </c>
      <c r="R70" s="1203">
        <v>30.8</v>
      </c>
      <c r="S70" s="1203">
        <v>32.72</v>
      </c>
      <c r="T70" s="1203">
        <v>34.64</v>
      </c>
      <c r="U70" s="1203">
        <v>36.56</v>
      </c>
      <c r="V70" s="1203">
        <v>38.48</v>
      </c>
      <c r="W70" s="1220"/>
      <c r="X70" s="1203">
        <v>10.0</v>
      </c>
      <c r="Y70" s="1220"/>
    </row>
    <row r="71">
      <c r="A71" s="1197" t="s">
        <v>741</v>
      </c>
      <c r="B71" s="1198"/>
      <c r="C71" s="1205" t="s">
        <v>52</v>
      </c>
      <c r="D71" s="1221">
        <v>21.96</v>
      </c>
      <c r="E71" s="1221"/>
      <c r="F71" s="1222"/>
      <c r="G71" s="1192"/>
      <c r="H71" s="1193"/>
      <c r="I71" s="1219">
        <v>650.0</v>
      </c>
      <c r="J71" s="1203">
        <v>16.73</v>
      </c>
      <c r="K71" s="1203">
        <v>18.65</v>
      </c>
      <c r="L71" s="1203">
        <v>20.57</v>
      </c>
      <c r="M71" s="1203">
        <v>22.49</v>
      </c>
      <c r="N71" s="1203">
        <v>24.41</v>
      </c>
      <c r="O71" s="1203">
        <v>26.33</v>
      </c>
      <c r="P71" s="1203">
        <v>28.25</v>
      </c>
      <c r="Q71" s="1203">
        <v>30.17</v>
      </c>
      <c r="R71" s="1203">
        <v>32.09</v>
      </c>
      <c r="S71" s="1203">
        <v>34.01</v>
      </c>
      <c r="T71" s="1203">
        <v>35.93</v>
      </c>
      <c r="U71" s="1203">
        <v>37.85</v>
      </c>
      <c r="V71" s="1203">
        <v>39.77</v>
      </c>
      <c r="W71" s="1220"/>
      <c r="X71" s="1203">
        <v>15.0</v>
      </c>
      <c r="Y71" s="1220"/>
    </row>
    <row r="72">
      <c r="A72" s="1197" t="s">
        <v>742</v>
      </c>
      <c r="B72" s="1198"/>
      <c r="C72" s="1205" t="s">
        <v>52</v>
      </c>
      <c r="D72" s="1221">
        <v>23.1</v>
      </c>
      <c r="E72" s="1221"/>
      <c r="F72" s="1222"/>
      <c r="G72" s="1192"/>
      <c r="H72" s="1193"/>
      <c r="I72" s="1219">
        <v>700.0</v>
      </c>
      <c r="J72" s="1203">
        <v>18.02</v>
      </c>
      <c r="K72" s="1203">
        <v>19.94</v>
      </c>
      <c r="L72" s="1203">
        <v>21.86</v>
      </c>
      <c r="M72" s="1203">
        <v>23.78</v>
      </c>
      <c r="N72" s="1203">
        <v>25.7</v>
      </c>
      <c r="O72" s="1203">
        <v>27.62</v>
      </c>
      <c r="P72" s="1203">
        <v>29.54</v>
      </c>
      <c r="Q72" s="1203">
        <v>31.46</v>
      </c>
      <c r="R72" s="1203">
        <v>33.38</v>
      </c>
      <c r="S72" s="1203">
        <v>35.3</v>
      </c>
      <c r="T72" s="1203">
        <v>37.22</v>
      </c>
      <c r="U72" s="1203">
        <v>39.14</v>
      </c>
      <c r="V72" s="1203">
        <v>41.06</v>
      </c>
      <c r="W72" s="1220"/>
      <c r="X72" s="1203">
        <v>15.0</v>
      </c>
      <c r="Y72" s="1220"/>
    </row>
    <row r="73">
      <c r="A73" s="1197" t="s">
        <v>743</v>
      </c>
      <c r="B73" s="1198"/>
      <c r="C73" s="1205" t="s">
        <v>52</v>
      </c>
      <c r="D73" s="1221">
        <v>33.21</v>
      </c>
      <c r="E73" s="1221"/>
      <c r="F73" s="1222"/>
      <c r="G73" s="1192"/>
      <c r="H73" s="1193"/>
      <c r="I73" s="1219">
        <v>750.0</v>
      </c>
      <c r="J73" s="1203">
        <v>19.31</v>
      </c>
      <c r="K73" s="1203">
        <v>21.23</v>
      </c>
      <c r="L73" s="1203">
        <v>23.15</v>
      </c>
      <c r="M73" s="1203">
        <v>25.07</v>
      </c>
      <c r="N73" s="1203">
        <v>26.99</v>
      </c>
      <c r="O73" s="1203">
        <v>28.91</v>
      </c>
      <c r="P73" s="1203">
        <v>30.83</v>
      </c>
      <c r="Q73" s="1203">
        <v>32.75</v>
      </c>
      <c r="R73" s="1203">
        <v>34.67</v>
      </c>
      <c r="S73" s="1203">
        <v>36.59</v>
      </c>
      <c r="T73" s="1203">
        <v>38.51</v>
      </c>
      <c r="U73" s="1203">
        <v>40.43</v>
      </c>
      <c r="V73" s="1203">
        <v>42.35</v>
      </c>
      <c r="W73" s="1220"/>
      <c r="X73" s="1203">
        <v>15.0</v>
      </c>
      <c r="Y73" s="1220"/>
    </row>
    <row r="74">
      <c r="A74" s="1197"/>
      <c r="B74" s="1198"/>
      <c r="C74" s="1205"/>
      <c r="D74" s="1221"/>
      <c r="E74" s="1221"/>
      <c r="F74" s="1222"/>
      <c r="G74" s="1192"/>
      <c r="H74" s="1193"/>
      <c r="I74" s="1219">
        <v>800.0</v>
      </c>
      <c r="J74" s="1203">
        <v>20.59</v>
      </c>
      <c r="K74" s="1203">
        <v>22.51</v>
      </c>
      <c r="L74" s="1203">
        <v>24.43</v>
      </c>
      <c r="M74" s="1203">
        <v>26.35</v>
      </c>
      <c r="N74" s="1203">
        <v>28.27</v>
      </c>
      <c r="O74" s="1203">
        <v>30.19</v>
      </c>
      <c r="P74" s="1203">
        <v>32.11</v>
      </c>
      <c r="Q74" s="1203">
        <v>34.03</v>
      </c>
      <c r="R74" s="1203">
        <v>35.95</v>
      </c>
      <c r="S74" s="1203">
        <v>37.87</v>
      </c>
      <c r="T74" s="1203">
        <v>39.79</v>
      </c>
      <c r="U74" s="1203">
        <v>41.71</v>
      </c>
      <c r="V74" s="1203">
        <v>43.63</v>
      </c>
      <c r="W74" s="1220"/>
      <c r="X74" s="1203">
        <v>15.0</v>
      </c>
      <c r="Y74" s="1220"/>
    </row>
    <row r="75">
      <c r="A75" s="1197" t="s">
        <v>678</v>
      </c>
      <c r="B75" s="1198"/>
      <c r="C75" s="1205" t="s">
        <v>52</v>
      </c>
      <c r="D75" s="1221">
        <v>10.0</v>
      </c>
      <c r="E75" s="1221">
        <v>10.0</v>
      </c>
      <c r="F75" s="1222"/>
      <c r="G75" s="1192"/>
      <c r="H75" s="1193"/>
      <c r="I75" s="1219">
        <v>850.0</v>
      </c>
      <c r="J75" s="1203">
        <v>21.88</v>
      </c>
      <c r="K75" s="1203">
        <v>23.8</v>
      </c>
      <c r="L75" s="1203">
        <v>25.72</v>
      </c>
      <c r="M75" s="1203">
        <v>27.64</v>
      </c>
      <c r="N75" s="1203">
        <v>29.56</v>
      </c>
      <c r="O75" s="1203">
        <v>31.48</v>
      </c>
      <c r="P75" s="1203">
        <v>33.4</v>
      </c>
      <c r="Q75" s="1203">
        <v>35.32</v>
      </c>
      <c r="R75" s="1203">
        <v>37.24</v>
      </c>
      <c r="S75" s="1203">
        <v>39.16</v>
      </c>
      <c r="T75" s="1203">
        <v>41.08</v>
      </c>
      <c r="U75" s="1203">
        <v>43.0</v>
      </c>
      <c r="V75" s="1203">
        <v>44.92</v>
      </c>
      <c r="W75" s="1220"/>
      <c r="X75" s="1203">
        <v>15.0</v>
      </c>
      <c r="Y75" s="1220"/>
    </row>
    <row r="76">
      <c r="A76" s="1197" t="s">
        <v>679</v>
      </c>
      <c r="B76" s="1198"/>
      <c r="C76" s="1205" t="s">
        <v>52</v>
      </c>
      <c r="D76" s="1221">
        <v>10.0</v>
      </c>
      <c r="E76" s="1221">
        <v>10.0</v>
      </c>
      <c r="F76" s="1222"/>
      <c r="G76" s="1192"/>
      <c r="H76" s="1193"/>
      <c r="I76" s="1219">
        <v>900.0</v>
      </c>
      <c r="J76" s="1203">
        <v>23.17</v>
      </c>
      <c r="K76" s="1203">
        <v>25.09</v>
      </c>
      <c r="L76" s="1203">
        <v>27.01</v>
      </c>
      <c r="M76" s="1203">
        <v>28.93</v>
      </c>
      <c r="N76" s="1203">
        <v>30.85</v>
      </c>
      <c r="O76" s="1203">
        <v>32.77</v>
      </c>
      <c r="P76" s="1203">
        <v>34.69</v>
      </c>
      <c r="Q76" s="1203">
        <v>36.61</v>
      </c>
      <c r="R76" s="1203">
        <v>38.53</v>
      </c>
      <c r="S76" s="1203">
        <v>40.45</v>
      </c>
      <c r="T76" s="1203">
        <v>42.37</v>
      </c>
      <c r="U76" s="1203">
        <v>44.29</v>
      </c>
      <c r="V76" s="1203">
        <v>46.21</v>
      </c>
      <c r="W76" s="1220"/>
      <c r="X76" s="1203">
        <v>15.0</v>
      </c>
      <c r="Y76" s="1220"/>
    </row>
    <row r="77">
      <c r="A77" s="1197" t="s">
        <v>680</v>
      </c>
      <c r="B77" s="1198"/>
      <c r="C77" s="1205" t="s">
        <v>52</v>
      </c>
      <c r="D77" s="1221">
        <v>10.0</v>
      </c>
      <c r="E77" s="1221">
        <v>10.0</v>
      </c>
      <c r="F77" s="1222"/>
      <c r="G77" s="1192"/>
      <c r="H77" s="1193"/>
      <c r="I77" s="1219">
        <v>950.0</v>
      </c>
      <c r="J77" s="1203">
        <v>24.45</v>
      </c>
      <c r="K77" s="1203">
        <v>26.37</v>
      </c>
      <c r="L77" s="1203">
        <v>28.29</v>
      </c>
      <c r="M77" s="1203">
        <v>30.21</v>
      </c>
      <c r="N77" s="1203">
        <v>32.13</v>
      </c>
      <c r="O77" s="1203">
        <v>34.05</v>
      </c>
      <c r="P77" s="1203">
        <v>35.97</v>
      </c>
      <c r="Q77" s="1203">
        <v>37.89</v>
      </c>
      <c r="R77" s="1203">
        <v>39.81</v>
      </c>
      <c r="S77" s="1203">
        <v>41.73</v>
      </c>
      <c r="T77" s="1203">
        <v>43.65</v>
      </c>
      <c r="U77" s="1203">
        <v>45.57</v>
      </c>
      <c r="V77" s="1203">
        <v>47.49</v>
      </c>
      <c r="W77" s="1220"/>
      <c r="X77" s="1203">
        <v>15.0</v>
      </c>
      <c r="Y77" s="1220"/>
    </row>
    <row r="78">
      <c r="A78" s="1197" t="s">
        <v>681</v>
      </c>
      <c r="B78" s="1198"/>
      <c r="C78" s="1205" t="s">
        <v>52</v>
      </c>
      <c r="D78" s="1221">
        <v>10.0</v>
      </c>
      <c r="E78" s="1221">
        <v>10.0</v>
      </c>
      <c r="F78" s="1222"/>
      <c r="G78" s="1192"/>
      <c r="H78" s="1193"/>
      <c r="I78" s="1219">
        <v>1000.0</v>
      </c>
      <c r="J78" s="1203">
        <v>25.74</v>
      </c>
      <c r="K78" s="1203">
        <v>27.66</v>
      </c>
      <c r="L78" s="1203">
        <v>29.58</v>
      </c>
      <c r="M78" s="1203">
        <v>31.5</v>
      </c>
      <c r="N78" s="1203">
        <v>33.42</v>
      </c>
      <c r="O78" s="1203">
        <v>35.34</v>
      </c>
      <c r="P78" s="1203">
        <v>37.26</v>
      </c>
      <c r="Q78" s="1203">
        <v>39.18</v>
      </c>
      <c r="R78" s="1203">
        <v>41.1</v>
      </c>
      <c r="S78" s="1203">
        <v>43.02</v>
      </c>
      <c r="T78" s="1203">
        <v>44.94</v>
      </c>
      <c r="U78" s="1203">
        <v>46.86</v>
      </c>
      <c r="V78" s="1203">
        <v>48.78</v>
      </c>
      <c r="W78" s="1220"/>
      <c r="X78" s="1203">
        <v>15.0</v>
      </c>
      <c r="Y78" s="1220"/>
    </row>
    <row r="79">
      <c r="A79" s="1197"/>
      <c r="B79" s="1198"/>
      <c r="C79" s="1205"/>
      <c r="D79" s="1221"/>
      <c r="E79" s="1221"/>
      <c r="F79" s="1222"/>
      <c r="G79" s="1192"/>
      <c r="H79" s="1193"/>
      <c r="I79" s="1219">
        <v>1050.0</v>
      </c>
      <c r="J79" s="1203">
        <v>27.03</v>
      </c>
      <c r="K79" s="1203">
        <v>28.95</v>
      </c>
      <c r="L79" s="1203">
        <v>30.87</v>
      </c>
      <c r="M79" s="1203">
        <v>32.79</v>
      </c>
      <c r="N79" s="1203">
        <v>34.71</v>
      </c>
      <c r="O79" s="1203">
        <v>36.63</v>
      </c>
      <c r="P79" s="1203">
        <v>38.55</v>
      </c>
      <c r="Q79" s="1203">
        <v>40.4699999999999</v>
      </c>
      <c r="R79" s="1203">
        <v>42.3899999999999</v>
      </c>
      <c r="S79" s="1203">
        <v>44.3099999999999</v>
      </c>
      <c r="T79" s="1203">
        <v>46.2299999999999</v>
      </c>
      <c r="U79" s="1203">
        <v>48.1499999999999</v>
      </c>
      <c r="V79" s="1203">
        <v>50.0699999999999</v>
      </c>
      <c r="W79" s="1220"/>
      <c r="X79" s="1203">
        <v>20.0</v>
      </c>
      <c r="Y79" s="1220"/>
    </row>
    <row r="80">
      <c r="A80" s="1197" t="s">
        <v>675</v>
      </c>
      <c r="B80" s="1198"/>
      <c r="C80" s="1205" t="s">
        <v>55</v>
      </c>
      <c r="D80" s="1221">
        <v>16.5</v>
      </c>
      <c r="E80" s="1221">
        <v>20.0</v>
      </c>
      <c r="F80" s="1222"/>
      <c r="G80" s="1192"/>
      <c r="H80" s="1193"/>
      <c r="I80" s="1219">
        <v>1100.0</v>
      </c>
      <c r="J80" s="1203">
        <v>28.31</v>
      </c>
      <c r="K80" s="1203">
        <v>30.23</v>
      </c>
      <c r="L80" s="1203">
        <v>32.15</v>
      </c>
      <c r="M80" s="1203">
        <v>34.07</v>
      </c>
      <c r="N80" s="1203">
        <v>35.99</v>
      </c>
      <c r="O80" s="1203">
        <v>37.91</v>
      </c>
      <c r="P80" s="1203">
        <v>39.83</v>
      </c>
      <c r="Q80" s="1203">
        <v>41.75</v>
      </c>
      <c r="R80" s="1203">
        <v>43.67</v>
      </c>
      <c r="S80" s="1203">
        <v>45.59</v>
      </c>
      <c r="T80" s="1203">
        <v>47.51</v>
      </c>
      <c r="U80" s="1203">
        <v>49.43</v>
      </c>
      <c r="V80" s="1203">
        <v>51.35</v>
      </c>
      <c r="W80" s="1220"/>
      <c r="X80" s="1203">
        <v>20.0</v>
      </c>
      <c r="Y80" s="1220"/>
    </row>
    <row r="81">
      <c r="A81" s="1197" t="s">
        <v>676</v>
      </c>
      <c r="B81" s="1198"/>
      <c r="C81" s="1205" t="s">
        <v>52</v>
      </c>
      <c r="D81" s="1221">
        <v>16.88</v>
      </c>
      <c r="E81" s="1221">
        <v>5.0</v>
      </c>
      <c r="F81" s="1222"/>
      <c r="G81" s="1192"/>
      <c r="H81" s="1193"/>
      <c r="I81" s="1219">
        <v>1150.0</v>
      </c>
      <c r="J81" s="1203">
        <v>29.6</v>
      </c>
      <c r="K81" s="1203">
        <v>31.52</v>
      </c>
      <c r="L81" s="1203">
        <v>33.44</v>
      </c>
      <c r="M81" s="1203">
        <v>35.36</v>
      </c>
      <c r="N81" s="1203">
        <v>37.28</v>
      </c>
      <c r="O81" s="1203">
        <v>39.2</v>
      </c>
      <c r="P81" s="1203">
        <v>41.12</v>
      </c>
      <c r="Q81" s="1203">
        <v>43.0399999999999</v>
      </c>
      <c r="R81" s="1203">
        <v>44.9599999999999</v>
      </c>
      <c r="S81" s="1203">
        <v>46.8799999999999</v>
      </c>
      <c r="T81" s="1203">
        <v>48.7999999999999</v>
      </c>
      <c r="U81" s="1203">
        <v>50.7199999999999</v>
      </c>
      <c r="V81" s="1203">
        <v>52.6399999999999</v>
      </c>
      <c r="W81" s="1220"/>
      <c r="X81" s="1203">
        <v>20.0</v>
      </c>
      <c r="Y81" s="1220"/>
    </row>
    <row r="82">
      <c r="A82" s="1197" t="s">
        <v>744</v>
      </c>
      <c r="B82" s="1198"/>
      <c r="C82" s="1205" t="s">
        <v>52</v>
      </c>
      <c r="D82" s="1221">
        <v>13.81</v>
      </c>
      <c r="E82" s="1221">
        <v>10.0</v>
      </c>
      <c r="F82" s="1222"/>
      <c r="G82" s="1192"/>
      <c r="H82" s="1193"/>
      <c r="I82" s="1219">
        <v>1200.0</v>
      </c>
      <c r="J82" s="1203">
        <v>30.89</v>
      </c>
      <c r="K82" s="1203">
        <v>32.81</v>
      </c>
      <c r="L82" s="1203">
        <v>34.73</v>
      </c>
      <c r="M82" s="1203">
        <v>36.65</v>
      </c>
      <c r="N82" s="1203">
        <v>38.57</v>
      </c>
      <c r="O82" s="1203">
        <v>40.49</v>
      </c>
      <c r="P82" s="1203">
        <v>42.41</v>
      </c>
      <c r="Q82" s="1203">
        <v>44.33</v>
      </c>
      <c r="R82" s="1203">
        <v>46.25</v>
      </c>
      <c r="S82" s="1203">
        <v>48.17</v>
      </c>
      <c r="T82" s="1203">
        <v>50.09</v>
      </c>
      <c r="U82" s="1203">
        <v>52.01</v>
      </c>
      <c r="V82" s="1203">
        <v>53.93</v>
      </c>
      <c r="W82" s="1220"/>
      <c r="X82" s="1203">
        <v>20.0</v>
      </c>
      <c r="Y82" s="1220"/>
    </row>
    <row r="83">
      <c r="A83" s="1197" t="s">
        <v>745</v>
      </c>
      <c r="B83" s="1198"/>
      <c r="C83" s="1205" t="s">
        <v>52</v>
      </c>
      <c r="D83" s="1221">
        <v>13.81</v>
      </c>
      <c r="E83" s="1221">
        <v>10.0</v>
      </c>
      <c r="F83" s="1222"/>
      <c r="G83" s="1192"/>
      <c r="H83" s="1193"/>
      <c r="I83" s="1211"/>
      <c r="J83" s="1193"/>
      <c r="K83" s="1193"/>
      <c r="L83" s="1193"/>
      <c r="M83" s="1193"/>
      <c r="N83" s="1193"/>
      <c r="O83" s="1212"/>
      <c r="P83" s="1193"/>
      <c r="Q83" s="1193"/>
      <c r="R83" s="1193"/>
      <c r="S83" s="1193"/>
      <c r="T83" s="1193"/>
      <c r="U83" s="1193"/>
      <c r="V83" s="1193"/>
      <c r="W83" s="1193"/>
      <c r="X83" s="1211"/>
      <c r="Y83" s="1193"/>
    </row>
    <row r="84">
      <c r="A84" s="1197"/>
      <c r="B84" s="1198"/>
      <c r="C84" s="1205"/>
      <c r="D84" s="1221"/>
      <c r="E84" s="1221"/>
      <c r="F84" s="1222"/>
      <c r="G84" s="1192"/>
      <c r="H84" s="1193"/>
      <c r="I84" s="1211"/>
      <c r="J84" s="1193"/>
      <c r="K84" s="1193"/>
      <c r="L84" s="1193"/>
      <c r="M84" s="1193"/>
      <c r="N84" s="1193"/>
      <c r="O84" s="1212"/>
      <c r="P84" s="1193"/>
      <c r="Q84" s="1193"/>
      <c r="R84" s="1193"/>
      <c r="S84" s="1193"/>
      <c r="T84" s="1193"/>
      <c r="U84" s="1193"/>
      <c r="V84" s="1193"/>
      <c r="W84" s="1193"/>
      <c r="X84" s="1211"/>
      <c r="Y84" s="1193"/>
    </row>
    <row r="85">
      <c r="A85" s="1197"/>
      <c r="B85" s="1198"/>
      <c r="C85" s="1205"/>
      <c r="D85" s="1221"/>
      <c r="E85" s="1221"/>
      <c r="F85" s="1222"/>
      <c r="G85" s="1192"/>
      <c r="H85" s="1193"/>
      <c r="I85" s="1216" t="s">
        <v>746</v>
      </c>
      <c r="J85" s="1195">
        <v>0.55</v>
      </c>
      <c r="K85" s="1217"/>
      <c r="L85" s="1217"/>
      <c r="M85" s="1217"/>
      <c r="N85" s="1217"/>
      <c r="O85" s="1217"/>
      <c r="P85" s="1217"/>
      <c r="Q85" s="1217"/>
      <c r="R85" s="1217"/>
      <c r="S85" s="1217"/>
      <c r="T85" s="1217"/>
      <c r="U85" s="1217"/>
      <c r="V85" s="1217"/>
      <c r="W85" s="1217"/>
      <c r="X85" s="1216"/>
      <c r="Y85" s="1217"/>
    </row>
    <row r="86">
      <c r="A86" s="1197"/>
      <c r="B86" s="1198"/>
      <c r="C86" s="1205"/>
      <c r="D86" s="1221"/>
      <c r="E86" s="1221"/>
      <c r="F86" s="1222"/>
      <c r="G86" s="1192"/>
      <c r="H86" s="1193"/>
      <c r="I86" s="1218" t="s">
        <v>9</v>
      </c>
      <c r="J86" s="1195">
        <v>0.0</v>
      </c>
      <c r="K86" s="1224">
        <v>1.0</v>
      </c>
      <c r="L86" s="1224">
        <v>2.0</v>
      </c>
      <c r="M86" s="1224">
        <v>3.0</v>
      </c>
      <c r="N86" s="1224">
        <v>4.0</v>
      </c>
      <c r="O86" s="1224">
        <v>5.0</v>
      </c>
      <c r="P86" s="1224">
        <v>6.0</v>
      </c>
      <c r="Q86" s="1224">
        <v>7.0</v>
      </c>
      <c r="R86" s="1224">
        <v>8.0</v>
      </c>
      <c r="S86" s="1224">
        <v>9.0</v>
      </c>
      <c r="T86" s="1224">
        <v>10.0</v>
      </c>
      <c r="U86" s="1224">
        <v>11.0</v>
      </c>
      <c r="V86" s="1224">
        <v>12.0</v>
      </c>
      <c r="W86" s="1225"/>
      <c r="X86" s="1218"/>
      <c r="Y86" s="1225"/>
    </row>
    <row r="87">
      <c r="A87" s="1197"/>
      <c r="B87" s="1198"/>
      <c r="C87" s="1205"/>
      <c r="D87" s="1207"/>
      <c r="E87" s="1207"/>
      <c r="F87" s="1200"/>
      <c r="G87" s="1192"/>
      <c r="H87" s="1193"/>
      <c r="I87" s="1219">
        <v>50.0</v>
      </c>
      <c r="J87" s="1203">
        <v>3.05</v>
      </c>
      <c r="K87" s="1203">
        <v>4.97</v>
      </c>
      <c r="L87" s="1203">
        <v>6.89</v>
      </c>
      <c r="M87" s="1203">
        <v>8.81</v>
      </c>
      <c r="N87" s="1203">
        <v>10.73</v>
      </c>
      <c r="O87" s="1203">
        <v>12.65</v>
      </c>
      <c r="P87" s="1203">
        <v>14.57</v>
      </c>
      <c r="Q87" s="1203">
        <v>16.49</v>
      </c>
      <c r="R87" s="1203">
        <v>18.41</v>
      </c>
      <c r="S87" s="1203">
        <v>20.33</v>
      </c>
      <c r="T87" s="1203">
        <v>22.25</v>
      </c>
      <c r="U87" s="1203">
        <v>24.17</v>
      </c>
      <c r="V87" s="1203">
        <v>26.09</v>
      </c>
      <c r="W87" s="1220"/>
      <c r="X87" s="1203">
        <v>10.0</v>
      </c>
      <c r="Y87" s="1220"/>
    </row>
    <row r="88">
      <c r="A88" s="1187" t="s">
        <v>747</v>
      </c>
      <c r="B88" s="1188"/>
      <c r="C88" s="1189" t="s">
        <v>15</v>
      </c>
      <c r="D88" s="1190" t="s">
        <v>26</v>
      </c>
      <c r="E88" s="1190"/>
      <c r="F88" s="1191"/>
      <c r="G88" s="1192"/>
      <c r="H88" s="1193"/>
      <c r="I88" s="1219">
        <v>100.0</v>
      </c>
      <c r="J88" s="1203">
        <v>6.1</v>
      </c>
      <c r="K88" s="1203">
        <v>8.02</v>
      </c>
      <c r="L88" s="1203">
        <v>9.94</v>
      </c>
      <c r="M88" s="1203">
        <v>11.86</v>
      </c>
      <c r="N88" s="1203">
        <v>13.78</v>
      </c>
      <c r="O88" s="1203">
        <v>15.7</v>
      </c>
      <c r="P88" s="1203">
        <v>17.62</v>
      </c>
      <c r="Q88" s="1203">
        <v>19.54</v>
      </c>
      <c r="R88" s="1203">
        <v>21.46</v>
      </c>
      <c r="S88" s="1203">
        <v>23.38</v>
      </c>
      <c r="T88" s="1203">
        <v>25.3</v>
      </c>
      <c r="U88" s="1203">
        <v>27.22</v>
      </c>
      <c r="V88" s="1203">
        <v>29.14</v>
      </c>
      <c r="W88" s="1220"/>
      <c r="X88" s="1203">
        <v>10.0</v>
      </c>
      <c r="Y88" s="1220"/>
    </row>
    <row r="89">
      <c r="A89" s="1197" t="s">
        <v>748</v>
      </c>
      <c r="B89" s="1198"/>
      <c r="C89" s="1205" t="s">
        <v>55</v>
      </c>
      <c r="D89" s="1207">
        <v>25.0</v>
      </c>
      <c r="E89" s="1207">
        <v>20.0</v>
      </c>
      <c r="F89" s="1200"/>
      <c r="G89" s="1192"/>
      <c r="H89" s="1193"/>
      <c r="I89" s="1219">
        <v>150.0</v>
      </c>
      <c r="J89" s="1203">
        <v>9.15</v>
      </c>
      <c r="K89" s="1203">
        <v>11.07</v>
      </c>
      <c r="L89" s="1203">
        <v>12.99</v>
      </c>
      <c r="M89" s="1203">
        <v>14.91</v>
      </c>
      <c r="N89" s="1203">
        <v>16.83</v>
      </c>
      <c r="O89" s="1203">
        <v>18.75</v>
      </c>
      <c r="P89" s="1203">
        <v>20.67</v>
      </c>
      <c r="Q89" s="1203">
        <v>22.59</v>
      </c>
      <c r="R89" s="1203">
        <v>24.51</v>
      </c>
      <c r="S89" s="1203">
        <v>26.43</v>
      </c>
      <c r="T89" s="1203">
        <v>28.35</v>
      </c>
      <c r="U89" s="1203">
        <v>30.27</v>
      </c>
      <c r="V89" s="1203">
        <v>32.19</v>
      </c>
      <c r="W89" s="1220"/>
      <c r="X89" s="1203">
        <v>10.0</v>
      </c>
      <c r="Y89" s="1220"/>
    </row>
    <row r="90">
      <c r="A90" s="1197" t="s">
        <v>749</v>
      </c>
      <c r="B90" s="1198"/>
      <c r="C90" s="1205" t="s">
        <v>52</v>
      </c>
      <c r="D90" s="1207">
        <v>10.0</v>
      </c>
      <c r="E90" s="1207"/>
      <c r="F90" s="1200"/>
      <c r="G90" s="1192"/>
      <c r="H90" s="1193"/>
      <c r="I90" s="1219">
        <v>200.0</v>
      </c>
      <c r="J90" s="1203">
        <v>12.2</v>
      </c>
      <c r="K90" s="1203">
        <v>14.12</v>
      </c>
      <c r="L90" s="1203">
        <v>16.04</v>
      </c>
      <c r="M90" s="1203">
        <v>17.96</v>
      </c>
      <c r="N90" s="1203">
        <v>19.88</v>
      </c>
      <c r="O90" s="1203">
        <v>21.8</v>
      </c>
      <c r="P90" s="1203">
        <v>23.72</v>
      </c>
      <c r="Q90" s="1203">
        <v>25.64</v>
      </c>
      <c r="R90" s="1203">
        <v>27.56</v>
      </c>
      <c r="S90" s="1203">
        <v>29.48</v>
      </c>
      <c r="T90" s="1203">
        <v>31.4</v>
      </c>
      <c r="U90" s="1203">
        <v>33.32</v>
      </c>
      <c r="V90" s="1203">
        <v>35.24</v>
      </c>
      <c r="W90" s="1220"/>
      <c r="X90" s="1203">
        <v>10.0</v>
      </c>
      <c r="Y90" s="1220"/>
    </row>
    <row r="91">
      <c r="A91" s="1197" t="s">
        <v>750</v>
      </c>
      <c r="B91" s="1198"/>
      <c r="C91" s="1205" t="s">
        <v>52</v>
      </c>
      <c r="D91" s="1207">
        <v>5.0</v>
      </c>
      <c r="E91" s="1207"/>
      <c r="F91" s="1200"/>
      <c r="G91" s="1192"/>
      <c r="H91" s="1193"/>
      <c r="I91" s="1219">
        <v>250.0</v>
      </c>
      <c r="J91" s="1203">
        <v>15.26</v>
      </c>
      <c r="K91" s="1203">
        <v>17.18</v>
      </c>
      <c r="L91" s="1203">
        <v>19.1</v>
      </c>
      <c r="M91" s="1203">
        <v>21.02</v>
      </c>
      <c r="N91" s="1203">
        <v>22.94</v>
      </c>
      <c r="O91" s="1203">
        <v>24.86</v>
      </c>
      <c r="P91" s="1203">
        <v>26.78</v>
      </c>
      <c r="Q91" s="1203">
        <v>28.7</v>
      </c>
      <c r="R91" s="1203">
        <v>30.62</v>
      </c>
      <c r="S91" s="1203">
        <v>32.54</v>
      </c>
      <c r="T91" s="1203">
        <v>34.46</v>
      </c>
      <c r="U91" s="1203">
        <v>36.38</v>
      </c>
      <c r="V91" s="1203">
        <v>38.3</v>
      </c>
      <c r="W91" s="1220"/>
      <c r="X91" s="1203">
        <v>10.0</v>
      </c>
      <c r="Y91" s="1220"/>
    </row>
    <row r="92">
      <c r="A92" s="1197" t="s">
        <v>751</v>
      </c>
      <c r="B92" s="1198"/>
      <c r="C92" s="1205" t="s">
        <v>52</v>
      </c>
      <c r="D92" s="1207">
        <v>5.0</v>
      </c>
      <c r="E92" s="1207"/>
      <c r="F92" s="1200"/>
      <c r="G92" s="1192"/>
      <c r="H92" s="1193"/>
      <c r="I92" s="1219">
        <v>300.0</v>
      </c>
      <c r="J92" s="1203">
        <v>18.31</v>
      </c>
      <c r="K92" s="1203">
        <v>20.23</v>
      </c>
      <c r="L92" s="1203">
        <v>22.15</v>
      </c>
      <c r="M92" s="1203">
        <v>24.07</v>
      </c>
      <c r="N92" s="1203">
        <v>25.99</v>
      </c>
      <c r="O92" s="1203">
        <v>27.91</v>
      </c>
      <c r="P92" s="1203">
        <v>29.83</v>
      </c>
      <c r="Q92" s="1203">
        <v>31.75</v>
      </c>
      <c r="R92" s="1203">
        <v>33.67</v>
      </c>
      <c r="S92" s="1203">
        <v>35.59</v>
      </c>
      <c r="T92" s="1203">
        <v>37.51</v>
      </c>
      <c r="U92" s="1203">
        <v>39.43</v>
      </c>
      <c r="V92" s="1203">
        <v>41.35</v>
      </c>
      <c r="W92" s="1220"/>
      <c r="X92" s="1203">
        <v>10.0</v>
      </c>
      <c r="Y92" s="1220"/>
    </row>
    <row r="93">
      <c r="A93" s="1197" t="s">
        <v>752</v>
      </c>
      <c r="B93" s="1198"/>
      <c r="C93" s="1205" t="s">
        <v>52</v>
      </c>
      <c r="D93" s="1207">
        <v>10.0</v>
      </c>
      <c r="E93" s="1207"/>
      <c r="F93" s="1200"/>
      <c r="G93" s="1192"/>
      <c r="H93" s="1193"/>
      <c r="I93" s="1219">
        <v>350.0</v>
      </c>
      <c r="J93" s="1203">
        <v>21.36</v>
      </c>
      <c r="K93" s="1203">
        <v>23.28</v>
      </c>
      <c r="L93" s="1203">
        <v>25.2</v>
      </c>
      <c r="M93" s="1203">
        <v>27.12</v>
      </c>
      <c r="N93" s="1203">
        <v>29.04</v>
      </c>
      <c r="O93" s="1203">
        <v>30.96</v>
      </c>
      <c r="P93" s="1203">
        <v>32.88</v>
      </c>
      <c r="Q93" s="1203">
        <v>34.8000000000001</v>
      </c>
      <c r="R93" s="1203">
        <v>36.7200000000001</v>
      </c>
      <c r="S93" s="1203">
        <v>38.6400000000001</v>
      </c>
      <c r="T93" s="1203">
        <v>40.5600000000001</v>
      </c>
      <c r="U93" s="1203">
        <v>42.4800000000001</v>
      </c>
      <c r="V93" s="1203">
        <v>44.4000000000001</v>
      </c>
      <c r="W93" s="1220"/>
      <c r="X93" s="1203">
        <v>10.0</v>
      </c>
      <c r="Y93" s="1220"/>
    </row>
    <row r="94">
      <c r="A94" s="1197" t="s">
        <v>683</v>
      </c>
      <c r="B94" s="1198"/>
      <c r="C94" s="1205" t="s">
        <v>55</v>
      </c>
      <c r="D94" s="1207">
        <v>20.0</v>
      </c>
      <c r="E94" s="1207">
        <v>20.0</v>
      </c>
      <c r="F94" s="1200"/>
      <c r="G94" s="1192"/>
      <c r="H94" s="1193"/>
      <c r="I94" s="1219">
        <v>400.0</v>
      </c>
      <c r="J94" s="1203">
        <v>24.41</v>
      </c>
      <c r="K94" s="1203">
        <v>26.33</v>
      </c>
      <c r="L94" s="1203">
        <v>28.25</v>
      </c>
      <c r="M94" s="1203">
        <v>30.17</v>
      </c>
      <c r="N94" s="1203">
        <v>32.09</v>
      </c>
      <c r="O94" s="1203">
        <v>34.01</v>
      </c>
      <c r="P94" s="1203">
        <v>35.93</v>
      </c>
      <c r="Q94" s="1203">
        <v>37.85</v>
      </c>
      <c r="R94" s="1203">
        <v>39.77</v>
      </c>
      <c r="S94" s="1203">
        <v>41.69</v>
      </c>
      <c r="T94" s="1203">
        <v>43.61</v>
      </c>
      <c r="U94" s="1203">
        <v>45.53</v>
      </c>
      <c r="V94" s="1203">
        <v>47.45</v>
      </c>
      <c r="W94" s="1220"/>
      <c r="X94" s="1203">
        <v>10.0</v>
      </c>
      <c r="Y94" s="1220"/>
    </row>
    <row r="95">
      <c r="A95" s="1197" t="s">
        <v>684</v>
      </c>
      <c r="B95" s="1198"/>
      <c r="C95" s="1205" t="s">
        <v>52</v>
      </c>
      <c r="D95" s="1207">
        <v>8.0</v>
      </c>
      <c r="E95" s="1207"/>
      <c r="F95" s="1200"/>
      <c r="G95" s="1192"/>
      <c r="H95" s="1193"/>
      <c r="I95" s="1219">
        <v>450.0</v>
      </c>
      <c r="J95" s="1203">
        <v>27.46</v>
      </c>
      <c r="K95" s="1203">
        <v>29.38</v>
      </c>
      <c r="L95" s="1203">
        <v>31.3</v>
      </c>
      <c r="M95" s="1203">
        <v>33.22</v>
      </c>
      <c r="N95" s="1203">
        <v>35.14</v>
      </c>
      <c r="O95" s="1203">
        <v>37.06</v>
      </c>
      <c r="P95" s="1203">
        <v>38.98</v>
      </c>
      <c r="Q95" s="1203">
        <v>40.9</v>
      </c>
      <c r="R95" s="1203">
        <v>42.82</v>
      </c>
      <c r="S95" s="1203">
        <v>44.74</v>
      </c>
      <c r="T95" s="1203">
        <v>46.66</v>
      </c>
      <c r="U95" s="1203">
        <v>48.58</v>
      </c>
      <c r="V95" s="1203">
        <v>50.5</v>
      </c>
      <c r="W95" s="1220"/>
      <c r="X95" s="1203">
        <v>10.0</v>
      </c>
      <c r="Y95" s="1220"/>
    </row>
    <row r="96">
      <c r="A96" s="1197" t="s">
        <v>686</v>
      </c>
      <c r="B96" s="1198"/>
      <c r="C96" s="1205" t="s">
        <v>52</v>
      </c>
      <c r="D96" s="1207">
        <v>5.0</v>
      </c>
      <c r="E96" s="1207"/>
      <c r="F96" s="1200"/>
      <c r="G96" s="1192"/>
      <c r="H96" s="1193"/>
      <c r="I96" s="1219">
        <v>500.0</v>
      </c>
      <c r="J96" s="1203">
        <v>30.51</v>
      </c>
      <c r="K96" s="1203">
        <v>32.43</v>
      </c>
      <c r="L96" s="1203">
        <v>34.35</v>
      </c>
      <c r="M96" s="1203">
        <v>36.27</v>
      </c>
      <c r="N96" s="1203">
        <v>38.19</v>
      </c>
      <c r="O96" s="1203">
        <v>40.11</v>
      </c>
      <c r="P96" s="1203">
        <v>42.03</v>
      </c>
      <c r="Q96" s="1203">
        <v>43.95</v>
      </c>
      <c r="R96" s="1203">
        <v>45.87</v>
      </c>
      <c r="S96" s="1203">
        <v>47.79</v>
      </c>
      <c r="T96" s="1203">
        <v>49.71</v>
      </c>
      <c r="U96" s="1203">
        <v>51.63</v>
      </c>
      <c r="V96" s="1203">
        <v>53.55</v>
      </c>
      <c r="W96" s="1220"/>
      <c r="X96" s="1203">
        <v>10.0</v>
      </c>
      <c r="Y96" s="1220"/>
    </row>
    <row r="97">
      <c r="A97" s="1197" t="s">
        <v>751</v>
      </c>
      <c r="B97" s="1198"/>
      <c r="C97" s="1205" t="s">
        <v>52</v>
      </c>
      <c r="D97" s="1207">
        <v>5.0</v>
      </c>
      <c r="E97" s="1207"/>
      <c r="F97" s="1200"/>
      <c r="G97" s="1192"/>
      <c r="H97" s="1193"/>
      <c r="I97" s="1219">
        <v>550.0</v>
      </c>
      <c r="J97" s="1203">
        <v>33.56</v>
      </c>
      <c r="K97" s="1203">
        <v>35.48</v>
      </c>
      <c r="L97" s="1203">
        <v>37.4</v>
      </c>
      <c r="M97" s="1203">
        <v>39.32</v>
      </c>
      <c r="N97" s="1203">
        <v>41.24</v>
      </c>
      <c r="O97" s="1203">
        <v>43.16</v>
      </c>
      <c r="P97" s="1203">
        <v>45.08</v>
      </c>
      <c r="Q97" s="1203">
        <v>47.0</v>
      </c>
      <c r="R97" s="1203">
        <v>48.92</v>
      </c>
      <c r="S97" s="1203">
        <v>50.84</v>
      </c>
      <c r="T97" s="1203">
        <v>52.76</v>
      </c>
      <c r="U97" s="1203">
        <v>54.68</v>
      </c>
      <c r="V97" s="1203">
        <v>56.6</v>
      </c>
      <c r="W97" s="1220"/>
      <c r="X97" s="1203">
        <v>10.0</v>
      </c>
      <c r="Y97" s="1220"/>
    </row>
    <row r="98">
      <c r="A98" s="1197" t="s">
        <v>685</v>
      </c>
      <c r="B98" s="1198"/>
      <c r="C98" s="1205" t="s">
        <v>52</v>
      </c>
      <c r="D98" s="1207">
        <v>10.0</v>
      </c>
      <c r="E98" s="1207"/>
      <c r="F98" s="1200"/>
      <c r="G98" s="1192"/>
      <c r="H98" s="1193"/>
      <c r="I98" s="1219">
        <v>600.0</v>
      </c>
      <c r="J98" s="1203">
        <v>36.61</v>
      </c>
      <c r="K98" s="1203">
        <v>38.53</v>
      </c>
      <c r="L98" s="1203">
        <v>40.45</v>
      </c>
      <c r="M98" s="1203">
        <v>42.37</v>
      </c>
      <c r="N98" s="1203">
        <v>44.29</v>
      </c>
      <c r="O98" s="1203">
        <v>46.21</v>
      </c>
      <c r="P98" s="1203">
        <v>48.13</v>
      </c>
      <c r="Q98" s="1203">
        <v>50.05</v>
      </c>
      <c r="R98" s="1203">
        <v>51.97</v>
      </c>
      <c r="S98" s="1203">
        <v>53.89</v>
      </c>
      <c r="T98" s="1203">
        <v>55.81</v>
      </c>
      <c r="U98" s="1203">
        <v>57.73</v>
      </c>
      <c r="V98" s="1203">
        <v>59.65</v>
      </c>
      <c r="W98" s="1220"/>
      <c r="X98" s="1203">
        <v>10.0</v>
      </c>
      <c r="Y98" s="1220"/>
    </row>
    <row r="99">
      <c r="A99" s="1197" t="s">
        <v>753</v>
      </c>
      <c r="B99" s="1198"/>
      <c r="C99" s="1205" t="s">
        <v>52</v>
      </c>
      <c r="D99" s="1201"/>
      <c r="E99" s="1201"/>
      <c r="F99" s="1200"/>
      <c r="G99" s="1192"/>
      <c r="H99" s="1193"/>
      <c r="I99" s="1219">
        <v>650.0</v>
      </c>
      <c r="J99" s="1203">
        <v>39.66</v>
      </c>
      <c r="K99" s="1203">
        <v>41.58</v>
      </c>
      <c r="L99" s="1203">
        <v>43.5</v>
      </c>
      <c r="M99" s="1203">
        <v>45.42</v>
      </c>
      <c r="N99" s="1203">
        <v>47.34</v>
      </c>
      <c r="O99" s="1203">
        <v>49.26</v>
      </c>
      <c r="P99" s="1203">
        <v>51.18</v>
      </c>
      <c r="Q99" s="1203">
        <v>53.1</v>
      </c>
      <c r="R99" s="1203">
        <v>55.02</v>
      </c>
      <c r="S99" s="1203">
        <v>56.94</v>
      </c>
      <c r="T99" s="1203">
        <v>58.86</v>
      </c>
      <c r="U99" s="1203">
        <v>60.78</v>
      </c>
      <c r="V99" s="1203">
        <v>62.7</v>
      </c>
      <c r="W99" s="1220"/>
      <c r="X99" s="1203">
        <v>15.0</v>
      </c>
      <c r="Y99" s="1220"/>
    </row>
    <row r="100">
      <c r="A100" s="1197" t="s">
        <v>754</v>
      </c>
      <c r="B100" s="1198"/>
      <c r="C100" s="1205" t="s">
        <v>52</v>
      </c>
      <c r="D100" s="1207">
        <v>1250.0</v>
      </c>
      <c r="E100" s="1207"/>
      <c r="F100" s="1200"/>
      <c r="G100" s="1192"/>
      <c r="H100" s="1193"/>
      <c r="I100" s="1219">
        <v>700.0</v>
      </c>
      <c r="J100" s="1203">
        <v>42.71</v>
      </c>
      <c r="K100" s="1203">
        <v>44.63</v>
      </c>
      <c r="L100" s="1203">
        <v>46.55</v>
      </c>
      <c r="M100" s="1203">
        <v>48.47</v>
      </c>
      <c r="N100" s="1203">
        <v>50.39</v>
      </c>
      <c r="O100" s="1203">
        <v>52.31</v>
      </c>
      <c r="P100" s="1203">
        <v>54.23</v>
      </c>
      <c r="Q100" s="1203">
        <v>56.15</v>
      </c>
      <c r="R100" s="1203">
        <v>58.07</v>
      </c>
      <c r="S100" s="1203">
        <v>59.99</v>
      </c>
      <c r="T100" s="1203">
        <v>61.91</v>
      </c>
      <c r="U100" s="1203">
        <v>63.83</v>
      </c>
      <c r="V100" s="1203">
        <v>65.75</v>
      </c>
      <c r="W100" s="1220"/>
      <c r="X100" s="1203">
        <v>15.0</v>
      </c>
      <c r="Y100" s="1220"/>
    </row>
    <row r="101">
      <c r="A101" s="1197" t="s">
        <v>755</v>
      </c>
      <c r="B101" s="1198"/>
      <c r="C101" s="1205" t="s">
        <v>52</v>
      </c>
      <c r="D101" s="1207">
        <v>1250.0</v>
      </c>
      <c r="E101" s="1207"/>
      <c r="F101" s="1200"/>
      <c r="G101" s="1192"/>
      <c r="H101" s="1193"/>
      <c r="I101" s="1219">
        <v>750.0</v>
      </c>
      <c r="J101" s="1203">
        <v>45.77</v>
      </c>
      <c r="K101" s="1203">
        <v>47.69</v>
      </c>
      <c r="L101" s="1203">
        <v>49.61</v>
      </c>
      <c r="M101" s="1203">
        <v>51.53</v>
      </c>
      <c r="N101" s="1203">
        <v>53.45</v>
      </c>
      <c r="O101" s="1203">
        <v>55.37</v>
      </c>
      <c r="P101" s="1203">
        <v>57.29</v>
      </c>
      <c r="Q101" s="1203">
        <v>59.2099999999999</v>
      </c>
      <c r="R101" s="1203">
        <v>61.1299999999999</v>
      </c>
      <c r="S101" s="1203">
        <v>63.0499999999999</v>
      </c>
      <c r="T101" s="1203">
        <v>64.9699999999999</v>
      </c>
      <c r="U101" s="1203">
        <v>66.8899999999999</v>
      </c>
      <c r="V101" s="1203">
        <v>68.8099999999999</v>
      </c>
      <c r="W101" s="1220"/>
      <c r="X101" s="1203">
        <v>15.0</v>
      </c>
      <c r="Y101" s="1220"/>
    </row>
    <row r="102">
      <c r="A102" s="1197" t="s">
        <v>756</v>
      </c>
      <c r="B102" s="1198"/>
      <c r="C102" s="1205" t="s">
        <v>52</v>
      </c>
      <c r="D102" s="1207">
        <v>1250.0</v>
      </c>
      <c r="E102" s="1207"/>
      <c r="F102" s="1200"/>
      <c r="G102" s="1192"/>
      <c r="H102" s="1193"/>
      <c r="I102" s="1219">
        <v>800.0</v>
      </c>
      <c r="J102" s="1203">
        <v>48.82</v>
      </c>
      <c r="K102" s="1203">
        <v>50.74</v>
      </c>
      <c r="L102" s="1203">
        <v>52.66</v>
      </c>
      <c r="M102" s="1203">
        <v>54.58</v>
      </c>
      <c r="N102" s="1203">
        <v>56.5</v>
      </c>
      <c r="O102" s="1203">
        <v>58.42</v>
      </c>
      <c r="P102" s="1203">
        <v>60.34</v>
      </c>
      <c r="Q102" s="1203">
        <v>62.2599999999999</v>
      </c>
      <c r="R102" s="1203">
        <v>64.1799999999999</v>
      </c>
      <c r="S102" s="1203">
        <v>66.0999999999999</v>
      </c>
      <c r="T102" s="1203">
        <v>68.0199999999999</v>
      </c>
      <c r="U102" s="1203">
        <v>69.9399999999999</v>
      </c>
      <c r="V102" s="1203">
        <v>71.8599999999999</v>
      </c>
      <c r="W102" s="1220"/>
      <c r="X102" s="1203">
        <v>15.0</v>
      </c>
      <c r="Y102" s="1220"/>
    </row>
    <row r="103">
      <c r="A103" s="1197" t="s">
        <v>757</v>
      </c>
      <c r="B103" s="1198"/>
      <c r="C103" s="1205" t="s">
        <v>52</v>
      </c>
      <c r="D103" s="1207">
        <v>1250.0</v>
      </c>
      <c r="E103" s="1207"/>
      <c r="F103" s="1200"/>
      <c r="G103" s="1192"/>
      <c r="H103" s="1193"/>
      <c r="I103" s="1219">
        <v>850.0</v>
      </c>
      <c r="J103" s="1203">
        <v>51.87</v>
      </c>
      <c r="K103" s="1203">
        <v>53.79</v>
      </c>
      <c r="L103" s="1203">
        <v>55.71</v>
      </c>
      <c r="M103" s="1203">
        <v>57.63</v>
      </c>
      <c r="N103" s="1203">
        <v>59.55</v>
      </c>
      <c r="O103" s="1203">
        <v>61.47</v>
      </c>
      <c r="P103" s="1203">
        <v>63.39</v>
      </c>
      <c r="Q103" s="1203">
        <v>65.3100000000001</v>
      </c>
      <c r="R103" s="1203">
        <v>67.2300000000001</v>
      </c>
      <c r="S103" s="1203">
        <v>69.1500000000001</v>
      </c>
      <c r="T103" s="1203">
        <v>71.0700000000001</v>
      </c>
      <c r="U103" s="1203">
        <v>72.9900000000001</v>
      </c>
      <c r="V103" s="1203">
        <v>74.9100000000001</v>
      </c>
      <c r="W103" s="1220"/>
      <c r="X103" s="1203">
        <v>15.0</v>
      </c>
      <c r="Y103" s="1220"/>
    </row>
    <row r="104">
      <c r="A104" s="1197"/>
      <c r="B104" s="1198"/>
      <c r="C104" s="1198"/>
      <c r="D104" s="1201"/>
      <c r="E104" s="1201"/>
      <c r="F104" s="1200"/>
      <c r="G104" s="1192"/>
      <c r="H104" s="1193"/>
      <c r="I104" s="1219">
        <v>900.0</v>
      </c>
      <c r="J104" s="1203">
        <v>54.92</v>
      </c>
      <c r="K104" s="1203">
        <v>56.84</v>
      </c>
      <c r="L104" s="1203">
        <v>58.76</v>
      </c>
      <c r="M104" s="1203">
        <v>60.68</v>
      </c>
      <c r="N104" s="1203">
        <v>62.6</v>
      </c>
      <c r="O104" s="1203">
        <v>64.52</v>
      </c>
      <c r="P104" s="1203">
        <v>66.44</v>
      </c>
      <c r="Q104" s="1203">
        <v>68.36</v>
      </c>
      <c r="R104" s="1203">
        <v>70.28</v>
      </c>
      <c r="S104" s="1203">
        <v>72.2</v>
      </c>
      <c r="T104" s="1203">
        <v>74.12</v>
      </c>
      <c r="U104" s="1203">
        <v>76.04</v>
      </c>
      <c r="V104" s="1203">
        <v>77.96</v>
      </c>
      <c r="W104" s="1220"/>
      <c r="X104" s="1203">
        <v>15.0</v>
      </c>
      <c r="Y104" s="1220"/>
    </row>
    <row r="105">
      <c r="A105" s="1197"/>
      <c r="B105" s="1198"/>
      <c r="C105" s="1198"/>
      <c r="D105" s="1201"/>
      <c r="E105" s="1201"/>
      <c r="F105" s="1200"/>
      <c r="G105" s="1192"/>
      <c r="H105" s="1193"/>
      <c r="I105" s="1219">
        <v>950.0</v>
      </c>
      <c r="J105" s="1203">
        <v>57.97</v>
      </c>
      <c r="K105" s="1203">
        <v>59.89</v>
      </c>
      <c r="L105" s="1203">
        <v>61.81</v>
      </c>
      <c r="M105" s="1203">
        <v>63.73</v>
      </c>
      <c r="N105" s="1203">
        <v>65.65</v>
      </c>
      <c r="O105" s="1203">
        <v>67.57</v>
      </c>
      <c r="P105" s="1203">
        <v>69.49</v>
      </c>
      <c r="Q105" s="1203">
        <v>71.4099999999999</v>
      </c>
      <c r="R105" s="1203">
        <v>73.3299999999999</v>
      </c>
      <c r="S105" s="1203">
        <v>75.2499999999999</v>
      </c>
      <c r="T105" s="1203">
        <v>77.1699999999999</v>
      </c>
      <c r="U105" s="1203">
        <v>79.0899999999999</v>
      </c>
      <c r="V105" s="1203">
        <v>81.0099999999999</v>
      </c>
      <c r="W105" s="1220"/>
      <c r="X105" s="1203">
        <v>15.0</v>
      </c>
      <c r="Y105" s="1220"/>
    </row>
    <row r="106">
      <c r="A106" s="1197"/>
      <c r="B106" s="1198"/>
      <c r="C106" s="1198"/>
      <c r="D106" s="1201"/>
      <c r="E106" s="1201"/>
      <c r="F106" s="1226"/>
      <c r="G106" s="1192"/>
      <c r="H106" s="1193"/>
      <c r="I106" s="1219">
        <v>1000.0</v>
      </c>
      <c r="J106" s="1203">
        <v>61.02</v>
      </c>
      <c r="K106" s="1203">
        <v>62.94</v>
      </c>
      <c r="L106" s="1203">
        <v>64.86</v>
      </c>
      <c r="M106" s="1203">
        <v>66.78</v>
      </c>
      <c r="N106" s="1203">
        <v>68.7</v>
      </c>
      <c r="O106" s="1203">
        <v>70.62</v>
      </c>
      <c r="P106" s="1203">
        <v>72.54</v>
      </c>
      <c r="Q106" s="1203">
        <v>74.46</v>
      </c>
      <c r="R106" s="1203">
        <v>76.38</v>
      </c>
      <c r="S106" s="1203">
        <v>78.3</v>
      </c>
      <c r="T106" s="1203">
        <v>80.22</v>
      </c>
      <c r="U106" s="1203">
        <v>82.14</v>
      </c>
      <c r="V106" s="1203">
        <v>84.06</v>
      </c>
      <c r="W106" s="1220"/>
      <c r="X106" s="1203">
        <v>15.0</v>
      </c>
      <c r="Y106" s="1220"/>
    </row>
    <row r="107">
      <c r="A107" s="1187" t="s">
        <v>758</v>
      </c>
      <c r="B107" s="1188"/>
      <c r="C107" s="1189" t="s">
        <v>15</v>
      </c>
      <c r="D107" s="1190" t="s">
        <v>26</v>
      </c>
      <c r="E107" s="1190"/>
      <c r="F107" s="1191"/>
      <c r="G107" s="1192"/>
      <c r="H107" s="1193"/>
      <c r="I107" s="1219">
        <v>1050.0</v>
      </c>
      <c r="J107" s="1203">
        <v>64.07</v>
      </c>
      <c r="K107" s="1203">
        <v>65.99</v>
      </c>
      <c r="L107" s="1203">
        <v>67.91</v>
      </c>
      <c r="M107" s="1203">
        <v>69.83</v>
      </c>
      <c r="N107" s="1203">
        <v>71.75</v>
      </c>
      <c r="O107" s="1203">
        <v>73.67</v>
      </c>
      <c r="P107" s="1203">
        <v>75.59</v>
      </c>
      <c r="Q107" s="1203">
        <v>77.5099999999999</v>
      </c>
      <c r="R107" s="1203">
        <v>79.4299999999999</v>
      </c>
      <c r="S107" s="1203">
        <v>81.3499999999999</v>
      </c>
      <c r="T107" s="1203">
        <v>83.2699999999999</v>
      </c>
      <c r="U107" s="1203">
        <v>85.1899999999999</v>
      </c>
      <c r="V107" s="1203">
        <v>87.1099999999999</v>
      </c>
      <c r="W107" s="1220"/>
      <c r="X107" s="1203">
        <v>20.0</v>
      </c>
      <c r="Y107" s="1220"/>
    </row>
    <row r="108">
      <c r="A108" s="1197" t="s">
        <v>759</v>
      </c>
      <c r="B108" s="1198"/>
      <c r="C108" s="1215" t="s">
        <v>52</v>
      </c>
      <c r="D108" s="1209">
        <v>0.23440000000000003</v>
      </c>
      <c r="E108" s="1209"/>
      <c r="F108" s="1200"/>
      <c r="G108" s="1192"/>
      <c r="H108" s="1193"/>
      <c r="I108" s="1219">
        <v>1100.0</v>
      </c>
      <c r="J108" s="1203">
        <v>67.12</v>
      </c>
      <c r="K108" s="1203">
        <v>69.04</v>
      </c>
      <c r="L108" s="1203">
        <v>70.96</v>
      </c>
      <c r="M108" s="1203">
        <v>72.88</v>
      </c>
      <c r="N108" s="1203">
        <v>74.8</v>
      </c>
      <c r="O108" s="1203">
        <v>76.72</v>
      </c>
      <c r="P108" s="1203">
        <v>78.64</v>
      </c>
      <c r="Q108" s="1203">
        <v>80.5600000000001</v>
      </c>
      <c r="R108" s="1203">
        <v>82.4800000000001</v>
      </c>
      <c r="S108" s="1203">
        <v>84.4000000000001</v>
      </c>
      <c r="T108" s="1203">
        <v>86.3200000000001</v>
      </c>
      <c r="U108" s="1203">
        <v>88.2400000000001</v>
      </c>
      <c r="V108" s="1203">
        <v>90.1600000000001</v>
      </c>
      <c r="W108" s="1220"/>
      <c r="X108" s="1203">
        <v>20.0</v>
      </c>
      <c r="Y108" s="1220"/>
    </row>
    <row r="109">
      <c r="A109" s="1197" t="s">
        <v>760</v>
      </c>
      <c r="B109" s="1198"/>
      <c r="C109" s="1215" t="s">
        <v>52</v>
      </c>
      <c r="D109" s="1209">
        <v>0.34990000000000004</v>
      </c>
      <c r="E109" s="1209"/>
      <c r="F109" s="1200"/>
      <c r="G109" s="1192"/>
      <c r="H109" s="1193"/>
      <c r="I109" s="1219">
        <v>1150.0</v>
      </c>
      <c r="J109" s="1203">
        <v>70.17</v>
      </c>
      <c r="K109" s="1203">
        <v>72.09</v>
      </c>
      <c r="L109" s="1203">
        <v>74.01</v>
      </c>
      <c r="M109" s="1203">
        <v>75.93</v>
      </c>
      <c r="N109" s="1203">
        <v>77.85</v>
      </c>
      <c r="O109" s="1203">
        <v>79.77</v>
      </c>
      <c r="P109" s="1203">
        <v>81.69</v>
      </c>
      <c r="Q109" s="1203">
        <v>83.61</v>
      </c>
      <c r="R109" s="1203">
        <v>85.53</v>
      </c>
      <c r="S109" s="1203">
        <v>87.45</v>
      </c>
      <c r="T109" s="1203">
        <v>89.37</v>
      </c>
      <c r="U109" s="1203">
        <v>91.29</v>
      </c>
      <c r="V109" s="1203">
        <v>93.21</v>
      </c>
      <c r="W109" s="1220"/>
      <c r="X109" s="1203">
        <v>20.0</v>
      </c>
      <c r="Y109" s="1220"/>
    </row>
    <row r="110">
      <c r="A110" s="1197" t="s">
        <v>624</v>
      </c>
      <c r="B110" s="1198"/>
      <c r="C110" s="1215" t="s">
        <v>52</v>
      </c>
      <c r="D110" s="1209">
        <v>0.1956</v>
      </c>
      <c r="E110" s="1209"/>
      <c r="F110" s="1200"/>
      <c r="G110" s="1192"/>
      <c r="H110" s="1193"/>
      <c r="I110" s="1219">
        <v>1200.0</v>
      </c>
      <c r="J110" s="1203">
        <v>73.22</v>
      </c>
      <c r="K110" s="1203">
        <v>75.14</v>
      </c>
      <c r="L110" s="1203">
        <v>77.06</v>
      </c>
      <c r="M110" s="1203">
        <v>78.98</v>
      </c>
      <c r="N110" s="1203">
        <v>80.9</v>
      </c>
      <c r="O110" s="1203">
        <v>82.82</v>
      </c>
      <c r="P110" s="1203">
        <v>84.74</v>
      </c>
      <c r="Q110" s="1203">
        <v>86.6599999999999</v>
      </c>
      <c r="R110" s="1203">
        <v>88.5799999999999</v>
      </c>
      <c r="S110" s="1203">
        <v>90.4999999999999</v>
      </c>
      <c r="T110" s="1203">
        <v>92.4199999999999</v>
      </c>
      <c r="U110" s="1203">
        <v>94.3399999999999</v>
      </c>
      <c r="V110" s="1203">
        <v>96.2599999999999</v>
      </c>
      <c r="W110" s="1220"/>
      <c r="X110" s="1203">
        <v>20.0</v>
      </c>
      <c r="Y110" s="1220"/>
    </row>
    <row r="111">
      <c r="A111" s="1227" t="s">
        <v>98</v>
      </c>
      <c r="B111" s="1198"/>
      <c r="C111" s="1215" t="s">
        <v>52</v>
      </c>
      <c r="D111" s="1209">
        <v>10.0</v>
      </c>
      <c r="E111" s="1209"/>
      <c r="F111" s="1200"/>
      <c r="G111" s="1192"/>
      <c r="H111" s="1193"/>
      <c r="I111" s="1211"/>
      <c r="J111" s="1193"/>
      <c r="K111" s="1193"/>
      <c r="L111" s="1193"/>
      <c r="M111" s="1193"/>
      <c r="N111" s="1193"/>
      <c r="O111" s="1212"/>
      <c r="P111" s="1193"/>
      <c r="Q111" s="1193"/>
      <c r="R111" s="1193"/>
      <c r="S111" s="1193"/>
      <c r="T111" s="1193"/>
      <c r="U111" s="1193"/>
      <c r="V111" s="1193"/>
      <c r="W111" s="1193"/>
      <c r="X111" s="1211"/>
      <c r="Y111" s="1193"/>
    </row>
    <row r="112">
      <c r="A112" s="1227" t="s">
        <v>100</v>
      </c>
      <c r="B112" s="1198"/>
      <c r="C112" s="1215" t="s">
        <v>52</v>
      </c>
      <c r="D112" s="1209">
        <v>0.09</v>
      </c>
      <c r="E112" s="1209"/>
      <c r="F112" s="1200"/>
      <c r="G112" s="1192"/>
      <c r="H112" s="1193"/>
      <c r="I112" s="1211"/>
      <c r="J112" s="1193"/>
      <c r="K112" s="1195"/>
      <c r="L112" s="1193"/>
      <c r="M112" s="1193"/>
      <c r="N112" s="1193"/>
      <c r="O112" s="1212"/>
      <c r="P112" s="1193"/>
      <c r="Q112" s="1193"/>
      <c r="R112" s="1193"/>
      <c r="S112" s="1193"/>
      <c r="T112" s="1193"/>
      <c r="U112" s="1193"/>
      <c r="V112" s="1193"/>
      <c r="W112" s="1193"/>
      <c r="X112" s="1211"/>
      <c r="Y112" s="1193"/>
    </row>
    <row r="113">
      <c r="A113" s="1197" t="s">
        <v>631</v>
      </c>
      <c r="B113" s="1198"/>
      <c r="C113" s="1215" t="s">
        <v>52</v>
      </c>
      <c r="D113" s="1209">
        <v>0.2</v>
      </c>
      <c r="E113" s="1209"/>
      <c r="F113" s="1200"/>
      <c r="G113" s="1192"/>
      <c r="H113" s="1193"/>
      <c r="I113" s="1216" t="s">
        <v>761</v>
      </c>
      <c r="J113" s="1195">
        <v>0.55</v>
      </c>
      <c r="K113" s="1195" t="s">
        <v>762</v>
      </c>
      <c r="L113" s="1217"/>
      <c r="M113" s="1217"/>
      <c r="N113" s="1217"/>
      <c r="O113" s="1217"/>
      <c r="P113" s="1217"/>
      <c r="Q113" s="1217"/>
      <c r="R113" s="1217"/>
      <c r="S113" s="1217"/>
      <c r="T113" s="1217"/>
      <c r="U113" s="1217"/>
      <c r="V113" s="1217"/>
      <c r="W113" s="1217"/>
      <c r="X113" s="1216"/>
      <c r="Y113" s="1193"/>
    </row>
    <row r="114">
      <c r="A114" s="1197" t="s">
        <v>687</v>
      </c>
      <c r="B114" s="1198"/>
      <c r="C114" s="1215" t="s">
        <v>52</v>
      </c>
      <c r="D114" s="1209">
        <v>0.2</v>
      </c>
      <c r="E114" s="1209"/>
      <c r="F114" s="1200"/>
      <c r="G114" s="1192"/>
      <c r="H114" s="1193"/>
      <c r="I114" s="1218" t="s">
        <v>9</v>
      </c>
      <c r="J114" s="1195">
        <v>0.0</v>
      </c>
      <c r="K114" s="1224">
        <v>1.0</v>
      </c>
      <c r="L114" s="1224">
        <v>2.0</v>
      </c>
      <c r="M114" s="1224">
        <v>3.0</v>
      </c>
      <c r="N114" s="1224">
        <v>4.0</v>
      </c>
      <c r="O114" s="1224">
        <v>5.0</v>
      </c>
      <c r="P114" s="1224">
        <v>6.0</v>
      </c>
      <c r="Q114" s="1224">
        <v>7.0</v>
      </c>
      <c r="R114" s="1224">
        <v>8.0</v>
      </c>
      <c r="S114" s="1224">
        <v>9.0</v>
      </c>
      <c r="T114" s="1224">
        <v>10.0</v>
      </c>
      <c r="U114" s="1224">
        <v>11.0</v>
      </c>
      <c r="V114" s="1224">
        <v>12.0</v>
      </c>
      <c r="W114" s="1225"/>
      <c r="X114" s="1218"/>
      <c r="Y114" s="1193"/>
    </row>
    <row r="115">
      <c r="A115" s="1197" t="s">
        <v>677</v>
      </c>
      <c r="B115" s="1198"/>
      <c r="C115" s="1215" t="s">
        <v>52</v>
      </c>
      <c r="D115" s="1209">
        <v>0.2</v>
      </c>
      <c r="E115" s="1209"/>
      <c r="F115" s="1200"/>
      <c r="G115" s="1192"/>
      <c r="H115" s="1193"/>
      <c r="I115" s="1219">
        <v>50.0</v>
      </c>
      <c r="J115" s="1203">
        <v>7.58</v>
      </c>
      <c r="K115" s="1203">
        <v>7.58</v>
      </c>
      <c r="L115" s="1203">
        <v>7.58</v>
      </c>
      <c r="M115" s="1203">
        <v>7.58</v>
      </c>
      <c r="N115" s="1203">
        <v>7.58</v>
      </c>
      <c r="O115" s="1203">
        <v>7.58</v>
      </c>
      <c r="P115" s="1203">
        <v>7.58</v>
      </c>
      <c r="Q115" s="1203">
        <v>7.58</v>
      </c>
      <c r="R115" s="1203">
        <v>7.58</v>
      </c>
      <c r="S115" s="1203">
        <v>7.58</v>
      </c>
      <c r="T115" s="1203">
        <v>7.58</v>
      </c>
      <c r="U115" s="1203">
        <v>7.58</v>
      </c>
      <c r="V115" s="1203">
        <v>7.58</v>
      </c>
      <c r="W115" s="1220"/>
      <c r="X115" s="1203">
        <v>10.0</v>
      </c>
      <c r="Y115" s="1193"/>
    </row>
    <row r="116">
      <c r="A116" s="1197"/>
      <c r="B116" s="1198"/>
      <c r="C116" s="1215"/>
      <c r="D116" s="1209"/>
      <c r="E116" s="1209"/>
      <c r="F116" s="1200"/>
      <c r="G116" s="1192"/>
      <c r="H116" s="1193"/>
      <c r="I116" s="1219">
        <v>100.0</v>
      </c>
      <c r="J116" s="1203">
        <v>7.5</v>
      </c>
      <c r="K116" s="1203">
        <v>7.5</v>
      </c>
      <c r="L116" s="1203">
        <v>7.5</v>
      </c>
      <c r="M116" s="1203">
        <v>7.5</v>
      </c>
      <c r="N116" s="1203">
        <v>7.5</v>
      </c>
      <c r="O116" s="1203">
        <v>7.5</v>
      </c>
      <c r="P116" s="1203">
        <v>7.5</v>
      </c>
      <c r="Q116" s="1203">
        <v>7.5</v>
      </c>
      <c r="R116" s="1203">
        <v>7.5</v>
      </c>
      <c r="S116" s="1203">
        <v>7.5</v>
      </c>
      <c r="T116" s="1203">
        <v>7.5</v>
      </c>
      <c r="U116" s="1203">
        <v>7.5</v>
      </c>
      <c r="V116" s="1203">
        <v>7.5</v>
      </c>
      <c r="W116" s="1220"/>
      <c r="X116" s="1203">
        <v>10.0</v>
      </c>
      <c r="Y116" s="1193"/>
    </row>
    <row r="117">
      <c r="A117" s="1197"/>
      <c r="B117" s="1198"/>
      <c r="C117" s="1215"/>
      <c r="D117" s="1209"/>
      <c r="E117" s="1209"/>
      <c r="F117" s="1200"/>
      <c r="G117" s="1192"/>
      <c r="H117" s="1193"/>
      <c r="I117" s="1219">
        <v>150.0</v>
      </c>
      <c r="J117" s="1203">
        <v>8.9</v>
      </c>
      <c r="K117" s="1203">
        <v>8.9</v>
      </c>
      <c r="L117" s="1203">
        <v>8.9</v>
      </c>
      <c r="M117" s="1203">
        <v>8.9</v>
      </c>
      <c r="N117" s="1203">
        <v>8.9</v>
      </c>
      <c r="O117" s="1203">
        <v>8.9</v>
      </c>
      <c r="P117" s="1203">
        <v>8.9</v>
      </c>
      <c r="Q117" s="1203">
        <v>8.9</v>
      </c>
      <c r="R117" s="1203">
        <v>8.9</v>
      </c>
      <c r="S117" s="1203">
        <v>8.9</v>
      </c>
      <c r="T117" s="1203">
        <v>8.9</v>
      </c>
      <c r="U117" s="1203">
        <v>8.9</v>
      </c>
      <c r="V117" s="1203">
        <v>8.9</v>
      </c>
      <c r="W117" s="1220"/>
      <c r="X117" s="1203">
        <v>10.0</v>
      </c>
      <c r="Y117" s="1193"/>
    </row>
    <row r="118">
      <c r="A118" s="1197"/>
      <c r="B118" s="1198"/>
      <c r="C118" s="1215"/>
      <c r="D118" s="1209"/>
      <c r="E118" s="1209"/>
      <c r="F118" s="1200"/>
      <c r="G118" s="1192"/>
      <c r="H118" s="1193"/>
      <c r="I118" s="1219">
        <v>200.0</v>
      </c>
      <c r="J118" s="1203">
        <v>10.76</v>
      </c>
      <c r="K118" s="1203">
        <v>10.76</v>
      </c>
      <c r="L118" s="1203">
        <v>10.76</v>
      </c>
      <c r="M118" s="1203">
        <v>10.76</v>
      </c>
      <c r="N118" s="1203">
        <v>10.76</v>
      </c>
      <c r="O118" s="1203">
        <v>10.76</v>
      </c>
      <c r="P118" s="1203">
        <v>10.76</v>
      </c>
      <c r="Q118" s="1203">
        <v>10.76</v>
      </c>
      <c r="R118" s="1203">
        <v>10.76</v>
      </c>
      <c r="S118" s="1203">
        <v>10.76</v>
      </c>
      <c r="T118" s="1203">
        <v>10.76</v>
      </c>
      <c r="U118" s="1203">
        <v>10.76</v>
      </c>
      <c r="V118" s="1203">
        <v>10.76</v>
      </c>
      <c r="W118" s="1220"/>
      <c r="X118" s="1203">
        <v>10.0</v>
      </c>
      <c r="Y118" s="1193"/>
    </row>
    <row r="119">
      <c r="A119" s="1197"/>
      <c r="B119" s="1198"/>
      <c r="C119" s="1215"/>
      <c r="D119" s="1209"/>
      <c r="E119" s="1209"/>
      <c r="F119" s="1200"/>
      <c r="G119" s="1192"/>
      <c r="H119" s="1193"/>
      <c r="I119" s="1219">
        <v>250.0</v>
      </c>
      <c r="J119" s="1203">
        <v>12.54</v>
      </c>
      <c r="K119" s="1203">
        <v>12.54</v>
      </c>
      <c r="L119" s="1203">
        <v>12.54</v>
      </c>
      <c r="M119" s="1203">
        <v>12.54</v>
      </c>
      <c r="N119" s="1203">
        <v>12.54</v>
      </c>
      <c r="O119" s="1203">
        <v>12.54</v>
      </c>
      <c r="P119" s="1203">
        <v>12.54</v>
      </c>
      <c r="Q119" s="1203">
        <v>12.54</v>
      </c>
      <c r="R119" s="1203">
        <v>12.54</v>
      </c>
      <c r="S119" s="1203">
        <v>12.54</v>
      </c>
      <c r="T119" s="1203">
        <v>12.54</v>
      </c>
      <c r="U119" s="1203">
        <v>12.54</v>
      </c>
      <c r="V119" s="1203">
        <v>12.54</v>
      </c>
      <c r="W119" s="1220"/>
      <c r="X119" s="1203">
        <v>10.0</v>
      </c>
      <c r="Y119" s="1193"/>
    </row>
    <row r="120">
      <c r="A120" s="1187" t="s">
        <v>763</v>
      </c>
      <c r="B120" s="1188"/>
      <c r="C120" s="1189" t="s">
        <v>15</v>
      </c>
      <c r="D120" s="1190" t="s">
        <v>26</v>
      </c>
      <c r="E120" s="1190"/>
      <c r="F120" s="1191"/>
      <c r="G120" s="1192"/>
      <c r="H120" s="1193"/>
      <c r="I120" s="1219">
        <v>300.0</v>
      </c>
      <c r="J120" s="1203">
        <v>14.32</v>
      </c>
      <c r="K120" s="1203">
        <v>14.32</v>
      </c>
      <c r="L120" s="1203">
        <v>14.32</v>
      </c>
      <c r="M120" s="1203">
        <v>14.32</v>
      </c>
      <c r="N120" s="1203">
        <v>14.32</v>
      </c>
      <c r="O120" s="1203">
        <v>14.32</v>
      </c>
      <c r="P120" s="1203">
        <v>14.32</v>
      </c>
      <c r="Q120" s="1203">
        <v>14.32</v>
      </c>
      <c r="R120" s="1203">
        <v>14.32</v>
      </c>
      <c r="S120" s="1203">
        <v>14.32</v>
      </c>
      <c r="T120" s="1203">
        <v>14.32</v>
      </c>
      <c r="U120" s="1203">
        <v>14.32</v>
      </c>
      <c r="V120" s="1203">
        <v>14.32</v>
      </c>
      <c r="W120" s="1220"/>
      <c r="X120" s="1203">
        <v>10.0</v>
      </c>
      <c r="Y120" s="1193"/>
    </row>
    <row r="121">
      <c r="A121" s="1197" t="s">
        <v>764</v>
      </c>
      <c r="B121" s="1198"/>
      <c r="C121" s="1215" t="s">
        <v>55</v>
      </c>
      <c r="D121" s="1208">
        <v>3.55</v>
      </c>
      <c r="E121" s="1208">
        <v>2.0</v>
      </c>
      <c r="F121" s="1206">
        <v>1.8</v>
      </c>
      <c r="G121" s="1192"/>
      <c r="H121" s="1193"/>
      <c r="I121" s="1219">
        <v>350.0</v>
      </c>
      <c r="J121" s="1203">
        <v>16.09</v>
      </c>
      <c r="K121" s="1203">
        <v>16.09</v>
      </c>
      <c r="L121" s="1203">
        <v>16.09</v>
      </c>
      <c r="M121" s="1203">
        <v>16.09</v>
      </c>
      <c r="N121" s="1203">
        <v>16.09</v>
      </c>
      <c r="O121" s="1203">
        <v>16.09</v>
      </c>
      <c r="P121" s="1203">
        <v>16.09</v>
      </c>
      <c r="Q121" s="1203">
        <v>16.09</v>
      </c>
      <c r="R121" s="1203">
        <v>16.09</v>
      </c>
      <c r="S121" s="1203">
        <v>16.09</v>
      </c>
      <c r="T121" s="1203">
        <v>16.09</v>
      </c>
      <c r="U121" s="1203">
        <v>16.09</v>
      </c>
      <c r="V121" s="1203">
        <v>16.09</v>
      </c>
      <c r="W121" s="1220"/>
      <c r="X121" s="1203">
        <v>10.0</v>
      </c>
      <c r="Y121" s="1193"/>
    </row>
    <row r="122">
      <c r="A122" s="1197" t="s">
        <v>765</v>
      </c>
      <c r="B122" s="1198"/>
      <c r="C122" s="1215" t="s">
        <v>55</v>
      </c>
      <c r="D122" s="1208">
        <v>5.4</v>
      </c>
      <c r="E122" s="1208">
        <v>2.0</v>
      </c>
      <c r="F122" s="1206">
        <v>1.8</v>
      </c>
      <c r="G122" s="1192"/>
      <c r="H122" s="1193"/>
      <c r="I122" s="1219">
        <v>400.0</v>
      </c>
      <c r="J122" s="1203">
        <v>17.87</v>
      </c>
      <c r="K122" s="1203">
        <v>17.87</v>
      </c>
      <c r="L122" s="1203">
        <v>17.87</v>
      </c>
      <c r="M122" s="1203">
        <v>17.87</v>
      </c>
      <c r="N122" s="1203">
        <v>17.87</v>
      </c>
      <c r="O122" s="1203">
        <v>17.87</v>
      </c>
      <c r="P122" s="1203">
        <v>17.87</v>
      </c>
      <c r="Q122" s="1203">
        <v>17.87</v>
      </c>
      <c r="R122" s="1203">
        <v>17.87</v>
      </c>
      <c r="S122" s="1203">
        <v>17.87</v>
      </c>
      <c r="T122" s="1203">
        <v>17.87</v>
      </c>
      <c r="U122" s="1203">
        <v>17.87</v>
      </c>
      <c r="V122" s="1203">
        <v>17.87</v>
      </c>
      <c r="W122" s="1220"/>
      <c r="X122" s="1203">
        <v>10.0</v>
      </c>
      <c r="Y122" s="1193"/>
    </row>
    <row r="123">
      <c r="A123" s="1197" t="s">
        <v>766</v>
      </c>
      <c r="B123" s="1198"/>
      <c r="C123" s="1215" t="s">
        <v>55</v>
      </c>
      <c r="D123" s="1208">
        <v>62.92</v>
      </c>
      <c r="E123" s="1208"/>
      <c r="F123" s="1206">
        <v>1.2</v>
      </c>
      <c r="G123" s="1192"/>
      <c r="H123" s="1193"/>
      <c r="I123" s="1219">
        <v>450.0</v>
      </c>
      <c r="J123" s="1203">
        <v>19.66</v>
      </c>
      <c r="K123" s="1203">
        <v>19.66</v>
      </c>
      <c r="L123" s="1203">
        <v>19.66</v>
      </c>
      <c r="M123" s="1203">
        <v>19.66</v>
      </c>
      <c r="N123" s="1203">
        <v>19.66</v>
      </c>
      <c r="O123" s="1203">
        <v>19.66</v>
      </c>
      <c r="P123" s="1203">
        <v>19.66</v>
      </c>
      <c r="Q123" s="1203">
        <v>19.66</v>
      </c>
      <c r="R123" s="1203">
        <v>19.66</v>
      </c>
      <c r="S123" s="1203">
        <v>19.66</v>
      </c>
      <c r="T123" s="1203">
        <v>19.66</v>
      </c>
      <c r="U123" s="1203">
        <v>19.66</v>
      </c>
      <c r="V123" s="1203">
        <v>19.66</v>
      </c>
      <c r="W123" s="1220"/>
      <c r="X123" s="1203">
        <v>10.0</v>
      </c>
      <c r="Y123" s="1193"/>
    </row>
    <row r="124">
      <c r="A124" s="1197" t="s">
        <v>767</v>
      </c>
      <c r="B124" s="1198"/>
      <c r="C124" s="1215" t="s">
        <v>55</v>
      </c>
      <c r="D124" s="1208">
        <v>6.49</v>
      </c>
      <c r="E124" s="1208">
        <v>3.0</v>
      </c>
      <c r="F124" s="1200"/>
      <c r="G124" s="1192"/>
      <c r="H124" s="1193"/>
      <c r="I124" s="1219">
        <v>500.0</v>
      </c>
      <c r="J124" s="1203">
        <v>21.09</v>
      </c>
      <c r="K124" s="1203">
        <v>21.09</v>
      </c>
      <c r="L124" s="1203">
        <v>21.09</v>
      </c>
      <c r="M124" s="1203">
        <v>21.09</v>
      </c>
      <c r="N124" s="1203">
        <v>21.09</v>
      </c>
      <c r="O124" s="1203">
        <v>21.09</v>
      </c>
      <c r="P124" s="1203">
        <v>21.09</v>
      </c>
      <c r="Q124" s="1203">
        <v>21.09</v>
      </c>
      <c r="R124" s="1203">
        <v>21.09</v>
      </c>
      <c r="S124" s="1203">
        <v>21.09</v>
      </c>
      <c r="T124" s="1203">
        <v>21.09</v>
      </c>
      <c r="U124" s="1203">
        <v>21.09</v>
      </c>
      <c r="V124" s="1203">
        <v>21.09</v>
      </c>
      <c r="W124" s="1220"/>
      <c r="X124" s="1203">
        <v>10.0</v>
      </c>
      <c r="Y124" s="1193"/>
    </row>
    <row r="125">
      <c r="A125" s="1197" t="s">
        <v>768</v>
      </c>
      <c r="B125" s="1198"/>
      <c r="C125" s="1215" t="s">
        <v>55</v>
      </c>
      <c r="D125" s="1208">
        <v>11.35</v>
      </c>
      <c r="E125" s="1208">
        <v>5.0</v>
      </c>
      <c r="F125" s="1200"/>
      <c r="G125" s="1192"/>
      <c r="H125" s="1193"/>
      <c r="I125" s="1219">
        <v>550.0</v>
      </c>
      <c r="J125" s="1203">
        <v>23.05</v>
      </c>
      <c r="K125" s="1203">
        <v>23.05</v>
      </c>
      <c r="L125" s="1203">
        <v>23.05</v>
      </c>
      <c r="M125" s="1203">
        <v>23.05</v>
      </c>
      <c r="N125" s="1203">
        <v>23.05</v>
      </c>
      <c r="O125" s="1203">
        <v>23.05</v>
      </c>
      <c r="P125" s="1203">
        <v>23.05</v>
      </c>
      <c r="Q125" s="1203">
        <v>23.05</v>
      </c>
      <c r="R125" s="1203">
        <v>23.05</v>
      </c>
      <c r="S125" s="1203">
        <v>23.05</v>
      </c>
      <c r="T125" s="1203">
        <v>23.05</v>
      </c>
      <c r="U125" s="1203">
        <v>23.05</v>
      </c>
      <c r="V125" s="1203">
        <v>23.05</v>
      </c>
      <c r="W125" s="1220"/>
      <c r="X125" s="1203">
        <v>10.0</v>
      </c>
      <c r="Y125" s="1193"/>
    </row>
    <row r="126">
      <c r="A126" s="1197" t="s">
        <v>769</v>
      </c>
      <c r="B126" s="1198"/>
      <c r="C126" s="1215" t="s">
        <v>55</v>
      </c>
      <c r="D126" s="1208">
        <v>5.0</v>
      </c>
      <c r="E126" s="1208">
        <v>5.0</v>
      </c>
      <c r="F126" s="1200"/>
      <c r="G126" s="1192"/>
      <c r="H126" s="1193"/>
      <c r="I126" s="1219">
        <v>600.0</v>
      </c>
      <c r="J126" s="1203">
        <v>24.99</v>
      </c>
      <c r="K126" s="1203">
        <v>24.99</v>
      </c>
      <c r="L126" s="1203">
        <v>24.99</v>
      </c>
      <c r="M126" s="1203">
        <v>24.99</v>
      </c>
      <c r="N126" s="1203">
        <v>24.99</v>
      </c>
      <c r="O126" s="1203">
        <v>24.99</v>
      </c>
      <c r="P126" s="1203">
        <v>24.99</v>
      </c>
      <c r="Q126" s="1203">
        <v>24.99</v>
      </c>
      <c r="R126" s="1203">
        <v>24.99</v>
      </c>
      <c r="S126" s="1203">
        <v>24.99</v>
      </c>
      <c r="T126" s="1203">
        <v>24.99</v>
      </c>
      <c r="U126" s="1203">
        <v>24.99</v>
      </c>
      <c r="V126" s="1203">
        <v>24.99</v>
      </c>
      <c r="W126" s="1220"/>
      <c r="X126" s="1203">
        <v>10.0</v>
      </c>
      <c r="Y126" s="1193"/>
    </row>
    <row r="127">
      <c r="A127" s="1197" t="s">
        <v>641</v>
      </c>
      <c r="B127" s="1198"/>
      <c r="C127" s="1215" t="s">
        <v>55</v>
      </c>
      <c r="D127" s="1208">
        <v>5.0</v>
      </c>
      <c r="E127" s="1208">
        <v>1.0</v>
      </c>
      <c r="F127" s="1200"/>
      <c r="G127" s="1192"/>
      <c r="H127" s="1193"/>
      <c r="I127" s="1219">
        <v>650.0</v>
      </c>
      <c r="J127" s="1203">
        <v>26.77</v>
      </c>
      <c r="K127" s="1203">
        <v>26.77</v>
      </c>
      <c r="L127" s="1203">
        <v>26.77</v>
      </c>
      <c r="M127" s="1203">
        <v>26.77</v>
      </c>
      <c r="N127" s="1203">
        <v>26.77</v>
      </c>
      <c r="O127" s="1203">
        <v>26.77</v>
      </c>
      <c r="P127" s="1203">
        <v>26.77</v>
      </c>
      <c r="Q127" s="1203">
        <v>26.77</v>
      </c>
      <c r="R127" s="1203">
        <v>26.77</v>
      </c>
      <c r="S127" s="1203">
        <v>26.77</v>
      </c>
      <c r="T127" s="1203">
        <v>26.77</v>
      </c>
      <c r="U127" s="1203">
        <v>26.77</v>
      </c>
      <c r="V127" s="1203">
        <v>26.77</v>
      </c>
      <c r="W127" s="1220"/>
      <c r="X127" s="1203">
        <v>15.0</v>
      </c>
      <c r="Y127" s="1193"/>
    </row>
    <row r="128">
      <c r="A128" s="1197" t="s">
        <v>770</v>
      </c>
      <c r="B128" s="1198"/>
      <c r="C128" s="1215" t="s">
        <v>55</v>
      </c>
      <c r="D128" s="1209"/>
      <c r="E128" s="1209"/>
      <c r="F128" s="1200"/>
      <c r="G128" s="1192"/>
      <c r="H128" s="1193"/>
      <c r="I128" s="1219">
        <v>700.0</v>
      </c>
      <c r="J128" s="1203">
        <v>28.56</v>
      </c>
      <c r="K128" s="1203">
        <v>28.56</v>
      </c>
      <c r="L128" s="1203">
        <v>28.56</v>
      </c>
      <c r="M128" s="1203">
        <v>28.56</v>
      </c>
      <c r="N128" s="1203">
        <v>28.56</v>
      </c>
      <c r="O128" s="1203">
        <v>28.56</v>
      </c>
      <c r="P128" s="1203">
        <v>28.56</v>
      </c>
      <c r="Q128" s="1203">
        <v>28.56</v>
      </c>
      <c r="R128" s="1203">
        <v>28.56</v>
      </c>
      <c r="S128" s="1203">
        <v>28.56</v>
      </c>
      <c r="T128" s="1203">
        <v>28.56</v>
      </c>
      <c r="U128" s="1203">
        <v>28.56</v>
      </c>
      <c r="V128" s="1203">
        <v>28.56</v>
      </c>
      <c r="W128" s="1220"/>
      <c r="X128" s="1203">
        <v>15.0</v>
      </c>
      <c r="Y128" s="1193"/>
    </row>
    <row r="129">
      <c r="A129" s="1197" t="s">
        <v>656</v>
      </c>
      <c r="B129" s="1198"/>
      <c r="C129" s="1215" t="s">
        <v>41</v>
      </c>
      <c r="D129" s="1208">
        <v>40.0</v>
      </c>
      <c r="E129" s="1209"/>
      <c r="F129" s="1200"/>
      <c r="G129" s="1192"/>
      <c r="H129" s="1193"/>
      <c r="I129" s="1219">
        <v>750.0</v>
      </c>
      <c r="J129" s="1203">
        <v>30.32</v>
      </c>
      <c r="K129" s="1203">
        <v>30.32</v>
      </c>
      <c r="L129" s="1203">
        <v>30.32</v>
      </c>
      <c r="M129" s="1203">
        <v>30.32</v>
      </c>
      <c r="N129" s="1203">
        <v>30.32</v>
      </c>
      <c r="O129" s="1203">
        <v>30.32</v>
      </c>
      <c r="P129" s="1203">
        <v>30.32</v>
      </c>
      <c r="Q129" s="1203">
        <v>30.32</v>
      </c>
      <c r="R129" s="1203">
        <v>30.32</v>
      </c>
      <c r="S129" s="1203">
        <v>30.32</v>
      </c>
      <c r="T129" s="1203">
        <v>30.32</v>
      </c>
      <c r="U129" s="1203">
        <v>30.32</v>
      </c>
      <c r="V129" s="1203">
        <v>30.32</v>
      </c>
      <c r="W129" s="1220"/>
      <c r="X129" s="1203">
        <v>15.0</v>
      </c>
      <c r="Y129" s="1193"/>
    </row>
    <row r="130">
      <c r="A130" s="1197" t="s">
        <v>668</v>
      </c>
      <c r="B130" s="1198"/>
      <c r="C130" s="1215" t="s">
        <v>52</v>
      </c>
      <c r="D130" s="1208">
        <v>50.0</v>
      </c>
      <c r="E130" s="1208">
        <v>50.0</v>
      </c>
      <c r="F130" s="1200"/>
      <c r="G130" s="1192"/>
      <c r="H130" s="1193"/>
      <c r="I130" s="1219">
        <v>800.0</v>
      </c>
      <c r="J130" s="1203">
        <v>32.12</v>
      </c>
      <c r="K130" s="1203">
        <v>32.12</v>
      </c>
      <c r="L130" s="1203">
        <v>32.12</v>
      </c>
      <c r="M130" s="1203">
        <v>32.12</v>
      </c>
      <c r="N130" s="1203">
        <v>32.12</v>
      </c>
      <c r="O130" s="1203">
        <v>32.12</v>
      </c>
      <c r="P130" s="1203">
        <v>32.12</v>
      </c>
      <c r="Q130" s="1203">
        <v>32.12</v>
      </c>
      <c r="R130" s="1203">
        <v>32.12</v>
      </c>
      <c r="S130" s="1203">
        <v>32.12</v>
      </c>
      <c r="T130" s="1203">
        <v>32.12</v>
      </c>
      <c r="U130" s="1203">
        <v>32.12</v>
      </c>
      <c r="V130" s="1203">
        <v>32.12</v>
      </c>
      <c r="W130" s="1220"/>
      <c r="X130" s="1203">
        <v>15.0</v>
      </c>
      <c r="Y130" s="1193"/>
    </row>
    <row r="131">
      <c r="A131" s="1197"/>
      <c r="B131" s="1198"/>
      <c r="C131" s="1215"/>
      <c r="D131" s="1209"/>
      <c r="E131" s="1209"/>
      <c r="F131" s="1200"/>
      <c r="G131" s="1192"/>
      <c r="H131" s="1193"/>
      <c r="I131" s="1219">
        <v>850.0</v>
      </c>
      <c r="J131" s="1203">
        <v>33.73</v>
      </c>
      <c r="K131" s="1203">
        <v>33.73</v>
      </c>
      <c r="L131" s="1203">
        <v>33.73</v>
      </c>
      <c r="M131" s="1203">
        <v>33.73</v>
      </c>
      <c r="N131" s="1203">
        <v>33.73</v>
      </c>
      <c r="O131" s="1203">
        <v>33.73</v>
      </c>
      <c r="P131" s="1203">
        <v>33.73</v>
      </c>
      <c r="Q131" s="1203">
        <v>33.73</v>
      </c>
      <c r="R131" s="1203">
        <v>33.73</v>
      </c>
      <c r="S131" s="1203">
        <v>33.73</v>
      </c>
      <c r="T131" s="1203">
        <v>33.73</v>
      </c>
      <c r="U131" s="1203">
        <v>33.73</v>
      </c>
      <c r="V131" s="1203">
        <v>33.73</v>
      </c>
      <c r="W131" s="1220"/>
      <c r="X131" s="1203">
        <v>15.0</v>
      </c>
      <c r="Y131" s="1193"/>
    </row>
    <row r="132">
      <c r="A132" s="1197"/>
      <c r="B132" s="1198"/>
      <c r="C132" s="1215"/>
      <c r="D132" s="1209"/>
      <c r="E132" s="1209"/>
      <c r="F132" s="1200"/>
      <c r="G132" s="1192"/>
      <c r="H132" s="1193"/>
      <c r="I132" s="1219">
        <v>900.0</v>
      </c>
      <c r="J132" s="1203">
        <v>35.54</v>
      </c>
      <c r="K132" s="1203">
        <v>35.54</v>
      </c>
      <c r="L132" s="1203">
        <v>35.54</v>
      </c>
      <c r="M132" s="1203">
        <v>35.54</v>
      </c>
      <c r="N132" s="1203">
        <v>35.54</v>
      </c>
      <c r="O132" s="1203">
        <v>35.54</v>
      </c>
      <c r="P132" s="1203">
        <v>35.54</v>
      </c>
      <c r="Q132" s="1203">
        <v>35.54</v>
      </c>
      <c r="R132" s="1203">
        <v>35.54</v>
      </c>
      <c r="S132" s="1203">
        <v>35.54</v>
      </c>
      <c r="T132" s="1203">
        <v>35.54</v>
      </c>
      <c r="U132" s="1203">
        <v>35.54</v>
      </c>
      <c r="V132" s="1203">
        <v>35.54</v>
      </c>
      <c r="W132" s="1220"/>
      <c r="X132" s="1203">
        <v>15.0</v>
      </c>
      <c r="Y132" s="1193"/>
    </row>
    <row r="133">
      <c r="A133" s="1187" t="s">
        <v>771</v>
      </c>
      <c r="B133" s="1188"/>
      <c r="C133" s="1189" t="s">
        <v>15</v>
      </c>
      <c r="D133" s="1190" t="s">
        <v>26</v>
      </c>
      <c r="E133" s="1190"/>
      <c r="F133" s="1191"/>
      <c r="G133" s="1192"/>
      <c r="H133" s="1193"/>
      <c r="I133" s="1219">
        <v>950.0</v>
      </c>
      <c r="J133" s="1203">
        <v>37.58</v>
      </c>
      <c r="K133" s="1203">
        <v>37.58</v>
      </c>
      <c r="L133" s="1203">
        <v>37.58</v>
      </c>
      <c r="M133" s="1203">
        <v>37.58</v>
      </c>
      <c r="N133" s="1203">
        <v>37.58</v>
      </c>
      <c r="O133" s="1203">
        <v>37.58</v>
      </c>
      <c r="P133" s="1203">
        <v>37.58</v>
      </c>
      <c r="Q133" s="1203">
        <v>37.58</v>
      </c>
      <c r="R133" s="1203">
        <v>37.58</v>
      </c>
      <c r="S133" s="1203">
        <v>37.58</v>
      </c>
      <c r="T133" s="1203">
        <v>37.58</v>
      </c>
      <c r="U133" s="1203">
        <v>37.58</v>
      </c>
      <c r="V133" s="1203">
        <v>37.58</v>
      </c>
      <c r="W133" s="1220"/>
      <c r="X133" s="1203">
        <v>15.0</v>
      </c>
      <c r="Y133" s="1193"/>
    </row>
    <row r="134">
      <c r="A134" s="1227" t="s">
        <v>446</v>
      </c>
      <c r="B134" s="1198"/>
      <c r="C134" s="1215" t="s">
        <v>55</v>
      </c>
      <c r="D134" s="1209"/>
      <c r="E134" s="1208">
        <v>3.0</v>
      </c>
      <c r="F134" s="1200"/>
      <c r="G134" s="1192"/>
      <c r="H134" s="1193"/>
      <c r="I134" s="1219">
        <v>1000.0</v>
      </c>
      <c r="J134" s="1203">
        <v>39.03</v>
      </c>
      <c r="K134" s="1203">
        <v>39.03</v>
      </c>
      <c r="L134" s="1203">
        <v>39.03</v>
      </c>
      <c r="M134" s="1203">
        <v>39.03</v>
      </c>
      <c r="N134" s="1203">
        <v>39.03</v>
      </c>
      <c r="O134" s="1203">
        <v>39.03</v>
      </c>
      <c r="P134" s="1203">
        <v>39.03</v>
      </c>
      <c r="Q134" s="1203">
        <v>39.03</v>
      </c>
      <c r="R134" s="1203">
        <v>39.03</v>
      </c>
      <c r="S134" s="1203">
        <v>39.03</v>
      </c>
      <c r="T134" s="1203">
        <v>39.03</v>
      </c>
      <c r="U134" s="1203">
        <v>39.03</v>
      </c>
      <c r="V134" s="1203">
        <v>39.03</v>
      </c>
      <c r="W134" s="1220"/>
      <c r="X134" s="1203">
        <v>15.0</v>
      </c>
      <c r="Y134" s="1193"/>
    </row>
    <row r="135">
      <c r="A135" s="1197"/>
      <c r="B135" s="1198"/>
      <c r="C135" s="1215"/>
      <c r="D135" s="1209"/>
      <c r="E135" s="1209"/>
      <c r="F135" s="1200"/>
      <c r="G135" s="1192"/>
      <c r="H135" s="1193"/>
      <c r="I135" s="1219">
        <v>1050.0</v>
      </c>
      <c r="J135" s="1203">
        <v>40.82</v>
      </c>
      <c r="K135" s="1203">
        <v>40.82</v>
      </c>
      <c r="L135" s="1203">
        <v>40.82</v>
      </c>
      <c r="M135" s="1203">
        <v>40.82</v>
      </c>
      <c r="N135" s="1203">
        <v>40.82</v>
      </c>
      <c r="O135" s="1203">
        <v>40.82</v>
      </c>
      <c r="P135" s="1203">
        <v>40.82</v>
      </c>
      <c r="Q135" s="1203">
        <v>40.82</v>
      </c>
      <c r="R135" s="1203">
        <v>40.82</v>
      </c>
      <c r="S135" s="1203">
        <v>40.82</v>
      </c>
      <c r="T135" s="1203">
        <v>40.82</v>
      </c>
      <c r="U135" s="1203">
        <v>40.82</v>
      </c>
      <c r="V135" s="1203">
        <v>40.82</v>
      </c>
      <c r="W135" s="1220"/>
      <c r="X135" s="1203">
        <v>20.0</v>
      </c>
      <c r="Y135" s="1193"/>
    </row>
    <row r="136">
      <c r="A136" s="1197"/>
      <c r="B136" s="1198"/>
      <c r="C136" s="1215"/>
      <c r="D136" s="1209"/>
      <c r="E136" s="1209"/>
      <c r="F136" s="1200"/>
      <c r="G136" s="1192"/>
      <c r="H136" s="1193"/>
      <c r="I136" s="1219">
        <v>1100.0</v>
      </c>
      <c r="J136" s="1203">
        <v>42.58</v>
      </c>
      <c r="K136" s="1203">
        <v>42.58</v>
      </c>
      <c r="L136" s="1203">
        <v>42.58</v>
      </c>
      <c r="M136" s="1203">
        <v>42.58</v>
      </c>
      <c r="N136" s="1203">
        <v>42.58</v>
      </c>
      <c r="O136" s="1203">
        <v>42.58</v>
      </c>
      <c r="P136" s="1203">
        <v>42.58</v>
      </c>
      <c r="Q136" s="1203">
        <v>42.58</v>
      </c>
      <c r="R136" s="1203">
        <v>42.58</v>
      </c>
      <c r="S136" s="1203">
        <v>42.58</v>
      </c>
      <c r="T136" s="1203">
        <v>42.58</v>
      </c>
      <c r="U136" s="1203">
        <v>42.58</v>
      </c>
      <c r="V136" s="1203">
        <v>42.58</v>
      </c>
      <c r="W136" s="1220"/>
      <c r="X136" s="1203">
        <v>20.0</v>
      </c>
      <c r="Y136" s="1193"/>
    </row>
    <row r="137">
      <c r="A137" s="1197"/>
      <c r="B137" s="1198"/>
      <c r="C137" s="1215"/>
      <c r="D137" s="1209"/>
      <c r="E137" s="1209"/>
      <c r="F137" s="1200"/>
      <c r="G137" s="1192"/>
      <c r="H137" s="1193"/>
      <c r="I137" s="1219">
        <v>1150.0</v>
      </c>
      <c r="J137" s="1203">
        <v>44.34</v>
      </c>
      <c r="K137" s="1203">
        <v>44.34</v>
      </c>
      <c r="L137" s="1203">
        <v>44.34</v>
      </c>
      <c r="M137" s="1203">
        <v>44.34</v>
      </c>
      <c r="N137" s="1203">
        <v>44.34</v>
      </c>
      <c r="O137" s="1203">
        <v>44.34</v>
      </c>
      <c r="P137" s="1203">
        <v>44.34</v>
      </c>
      <c r="Q137" s="1203">
        <v>44.34</v>
      </c>
      <c r="R137" s="1203">
        <v>44.34</v>
      </c>
      <c r="S137" s="1203">
        <v>44.34</v>
      </c>
      <c r="T137" s="1203">
        <v>44.34</v>
      </c>
      <c r="U137" s="1203">
        <v>44.34</v>
      </c>
      <c r="V137" s="1203">
        <v>44.34</v>
      </c>
      <c r="W137" s="1220"/>
      <c r="X137" s="1203">
        <v>20.0</v>
      </c>
      <c r="Y137" s="1193"/>
    </row>
    <row r="138">
      <c r="A138" s="1197"/>
      <c r="B138" s="1198"/>
      <c r="C138" s="1215"/>
      <c r="D138" s="1209"/>
      <c r="E138" s="1209"/>
      <c r="F138" s="1200"/>
      <c r="G138" s="1192"/>
      <c r="H138" s="1193"/>
      <c r="I138" s="1219">
        <v>1200.0</v>
      </c>
      <c r="J138" s="1203">
        <v>46.13</v>
      </c>
      <c r="K138" s="1203">
        <v>46.13</v>
      </c>
      <c r="L138" s="1203">
        <v>46.13</v>
      </c>
      <c r="M138" s="1203">
        <v>46.13</v>
      </c>
      <c r="N138" s="1203">
        <v>46.13</v>
      </c>
      <c r="O138" s="1203">
        <v>46.13</v>
      </c>
      <c r="P138" s="1203">
        <v>46.13</v>
      </c>
      <c r="Q138" s="1203">
        <v>46.13</v>
      </c>
      <c r="R138" s="1203">
        <v>46.13</v>
      </c>
      <c r="S138" s="1203">
        <v>46.13</v>
      </c>
      <c r="T138" s="1203">
        <v>46.13</v>
      </c>
      <c r="U138" s="1203">
        <v>46.13</v>
      </c>
      <c r="V138" s="1203">
        <v>46.13</v>
      </c>
      <c r="W138" s="1220"/>
      <c r="X138" s="1203">
        <v>20.0</v>
      </c>
      <c r="Y138" s="1193"/>
    </row>
    <row r="139">
      <c r="A139" s="1197"/>
      <c r="B139" s="1198"/>
      <c r="C139" s="1215"/>
      <c r="D139" s="1209"/>
      <c r="E139" s="1209"/>
      <c r="F139" s="1200"/>
      <c r="G139" s="1192"/>
      <c r="H139" s="1193"/>
      <c r="I139" s="1211"/>
      <c r="J139" s="1193"/>
      <c r="K139" s="1193"/>
      <c r="L139" s="1193"/>
      <c r="M139" s="1193"/>
      <c r="N139" s="1193"/>
      <c r="O139" s="1212"/>
      <c r="P139" s="1193"/>
      <c r="Q139" s="1193"/>
      <c r="R139" s="1193"/>
      <c r="S139" s="1193"/>
      <c r="T139" s="1193"/>
      <c r="U139" s="1193"/>
      <c r="V139" s="1193"/>
      <c r="W139" s="1193"/>
      <c r="X139" s="1211"/>
      <c r="Y139" s="1193"/>
    </row>
    <row r="140">
      <c r="A140" s="1197"/>
      <c r="B140" s="1198"/>
      <c r="C140" s="1215"/>
      <c r="D140" s="1209"/>
      <c r="E140" s="1209"/>
      <c r="F140" s="1200"/>
      <c r="G140" s="1192"/>
      <c r="H140" s="1193"/>
      <c r="I140" s="1211"/>
      <c r="J140" s="1193"/>
      <c r="K140" s="1193"/>
      <c r="L140" s="1193"/>
      <c r="M140" s="1193"/>
      <c r="N140" s="1193"/>
      <c r="O140" s="1212"/>
      <c r="P140" s="1193"/>
      <c r="Q140" s="1193"/>
      <c r="R140" s="1193"/>
      <c r="S140" s="1193"/>
      <c r="T140" s="1193"/>
      <c r="U140" s="1193"/>
      <c r="V140" s="1193"/>
      <c r="W140" s="1193"/>
      <c r="X140" s="1211"/>
      <c r="Y140" s="1193"/>
    </row>
    <row r="141">
      <c r="A141" s="1187" t="s">
        <v>772</v>
      </c>
      <c r="B141" s="1188"/>
      <c r="C141" s="1189" t="s">
        <v>15</v>
      </c>
      <c r="D141" s="1190" t="s">
        <v>26</v>
      </c>
      <c r="E141" s="1190"/>
      <c r="F141" s="1191"/>
      <c r="G141" s="1192"/>
      <c r="H141" s="1193"/>
      <c r="I141" s="1216" t="s">
        <v>630</v>
      </c>
      <c r="J141" s="1195">
        <v>0.55</v>
      </c>
      <c r="K141" s="1195" t="s">
        <v>762</v>
      </c>
      <c r="L141" s="1217"/>
      <c r="M141" s="1217"/>
      <c r="N141" s="1217"/>
      <c r="O141" s="1217"/>
      <c r="P141" s="1217"/>
      <c r="Q141" s="1217"/>
      <c r="R141" s="1217"/>
      <c r="S141" s="1217"/>
      <c r="T141" s="1217"/>
      <c r="U141" s="1217"/>
      <c r="V141" s="1217"/>
      <c r="W141" s="1217"/>
      <c r="X141" s="1216"/>
      <c r="Y141" s="1193"/>
    </row>
    <row r="142">
      <c r="A142" s="1197" t="s">
        <v>671</v>
      </c>
      <c r="B142" s="1198"/>
      <c r="C142" s="1215" t="s">
        <v>52</v>
      </c>
      <c r="D142" s="1208">
        <v>250.0</v>
      </c>
      <c r="E142" s="1208">
        <v>250.0</v>
      </c>
      <c r="F142" s="1200"/>
      <c r="G142" s="1192"/>
      <c r="H142" s="1193"/>
      <c r="I142" s="1218" t="s">
        <v>9</v>
      </c>
      <c r="J142" s="1195">
        <v>0.0</v>
      </c>
      <c r="K142" s="1224">
        <v>1.0</v>
      </c>
      <c r="L142" s="1224">
        <v>2.0</v>
      </c>
      <c r="M142" s="1224">
        <v>3.0</v>
      </c>
      <c r="N142" s="1224">
        <v>4.0</v>
      </c>
      <c r="O142" s="1224">
        <v>5.0</v>
      </c>
      <c r="P142" s="1224">
        <v>6.0</v>
      </c>
      <c r="Q142" s="1224">
        <v>7.0</v>
      </c>
      <c r="R142" s="1224">
        <v>8.0</v>
      </c>
      <c r="S142" s="1224">
        <v>9.0</v>
      </c>
      <c r="T142" s="1224">
        <v>10.0</v>
      </c>
      <c r="U142" s="1224">
        <v>11.0</v>
      </c>
      <c r="V142" s="1224">
        <v>12.0</v>
      </c>
      <c r="W142" s="1225"/>
      <c r="X142" s="1218"/>
      <c r="Y142" s="1193"/>
    </row>
    <row r="143">
      <c r="A143" s="1197" t="s">
        <v>673</v>
      </c>
      <c r="B143" s="1198"/>
      <c r="C143" s="1215" t="s">
        <v>52</v>
      </c>
      <c r="D143" s="1208">
        <v>100.0</v>
      </c>
      <c r="E143" s="1208">
        <v>100.0</v>
      </c>
      <c r="F143" s="1200"/>
      <c r="G143" s="1192"/>
      <c r="H143" s="1193"/>
      <c r="I143" s="1219">
        <v>50.0</v>
      </c>
      <c r="J143" s="1203">
        <v>8.42</v>
      </c>
      <c r="K143" s="1203">
        <v>8.42</v>
      </c>
      <c r="L143" s="1203">
        <v>8.42</v>
      </c>
      <c r="M143" s="1203">
        <v>8.42</v>
      </c>
      <c r="N143" s="1203">
        <v>8.42</v>
      </c>
      <c r="O143" s="1203">
        <v>8.42</v>
      </c>
      <c r="P143" s="1203">
        <v>8.42</v>
      </c>
      <c r="Q143" s="1203">
        <v>8.42</v>
      </c>
      <c r="R143" s="1203">
        <v>8.42</v>
      </c>
      <c r="S143" s="1203">
        <v>8.42</v>
      </c>
      <c r="T143" s="1203">
        <v>8.42</v>
      </c>
      <c r="U143" s="1203">
        <v>8.42</v>
      </c>
      <c r="V143" s="1203">
        <v>8.42</v>
      </c>
      <c r="W143" s="1220"/>
      <c r="X143" s="1203">
        <v>10.0</v>
      </c>
      <c r="Y143" s="1193"/>
    </row>
    <row r="144">
      <c r="A144" s="1227"/>
      <c r="B144" s="1198"/>
      <c r="C144" s="1215"/>
      <c r="D144" s="1209"/>
      <c r="E144" s="1208"/>
      <c r="F144" s="1200"/>
      <c r="G144" s="1192"/>
      <c r="H144" s="1193"/>
      <c r="I144" s="1219">
        <v>100.0</v>
      </c>
      <c r="J144" s="1203">
        <v>8.42</v>
      </c>
      <c r="K144" s="1203">
        <v>8.42</v>
      </c>
      <c r="L144" s="1203">
        <v>8.42</v>
      </c>
      <c r="M144" s="1203">
        <v>8.42</v>
      </c>
      <c r="N144" s="1203">
        <v>8.42</v>
      </c>
      <c r="O144" s="1203">
        <v>8.42</v>
      </c>
      <c r="P144" s="1203">
        <v>8.42</v>
      </c>
      <c r="Q144" s="1203">
        <v>8.42</v>
      </c>
      <c r="R144" s="1203">
        <v>8.42</v>
      </c>
      <c r="S144" s="1203">
        <v>8.42</v>
      </c>
      <c r="T144" s="1203">
        <v>8.42</v>
      </c>
      <c r="U144" s="1203">
        <v>8.42</v>
      </c>
      <c r="V144" s="1203">
        <v>8.42</v>
      </c>
      <c r="W144" s="1220"/>
      <c r="X144" s="1203">
        <v>10.0</v>
      </c>
      <c r="Y144" s="1193"/>
    </row>
    <row r="145">
      <c r="A145" s="1227"/>
      <c r="B145" s="1198"/>
      <c r="C145" s="1215"/>
      <c r="D145" s="1209"/>
      <c r="E145" s="1208"/>
      <c r="F145" s="1200"/>
      <c r="G145" s="1192"/>
      <c r="H145" s="1193"/>
      <c r="I145" s="1219">
        <v>150.0</v>
      </c>
      <c r="J145" s="1203">
        <v>10.31</v>
      </c>
      <c r="K145" s="1203">
        <v>10.31</v>
      </c>
      <c r="L145" s="1203">
        <v>10.31</v>
      </c>
      <c r="M145" s="1203">
        <v>10.31</v>
      </c>
      <c r="N145" s="1203">
        <v>10.31</v>
      </c>
      <c r="O145" s="1203">
        <v>10.31</v>
      </c>
      <c r="P145" s="1203">
        <v>10.31</v>
      </c>
      <c r="Q145" s="1203">
        <v>10.31</v>
      </c>
      <c r="R145" s="1203">
        <v>10.31</v>
      </c>
      <c r="S145" s="1203">
        <v>10.31</v>
      </c>
      <c r="T145" s="1203">
        <v>10.31</v>
      </c>
      <c r="U145" s="1203">
        <v>10.31</v>
      </c>
      <c r="V145" s="1203">
        <v>10.31</v>
      </c>
      <c r="W145" s="1220"/>
      <c r="X145" s="1203">
        <v>10.0</v>
      </c>
      <c r="Y145" s="1193"/>
    </row>
    <row r="146">
      <c r="A146" s="1227"/>
      <c r="B146" s="1198"/>
      <c r="C146" s="1215"/>
      <c r="D146" s="1209"/>
      <c r="E146" s="1208"/>
      <c r="F146" s="1200"/>
      <c r="G146" s="1192"/>
      <c r="H146" s="1193"/>
      <c r="I146" s="1219">
        <v>200.0</v>
      </c>
      <c r="J146" s="1203">
        <v>12.37</v>
      </c>
      <c r="K146" s="1203">
        <v>12.37</v>
      </c>
      <c r="L146" s="1203">
        <v>12.37</v>
      </c>
      <c r="M146" s="1203">
        <v>12.37</v>
      </c>
      <c r="N146" s="1203">
        <v>12.37</v>
      </c>
      <c r="O146" s="1203">
        <v>12.37</v>
      </c>
      <c r="P146" s="1203">
        <v>12.37</v>
      </c>
      <c r="Q146" s="1203">
        <v>12.37</v>
      </c>
      <c r="R146" s="1203">
        <v>12.37</v>
      </c>
      <c r="S146" s="1203">
        <v>12.37</v>
      </c>
      <c r="T146" s="1203">
        <v>12.37</v>
      </c>
      <c r="U146" s="1203">
        <v>12.37</v>
      </c>
      <c r="V146" s="1203">
        <v>12.37</v>
      </c>
      <c r="W146" s="1220"/>
      <c r="X146" s="1203">
        <v>10.0</v>
      </c>
      <c r="Y146" s="1193"/>
    </row>
    <row r="147">
      <c r="A147" s="1227"/>
      <c r="B147" s="1198"/>
      <c r="C147" s="1215"/>
      <c r="D147" s="1209"/>
      <c r="E147" s="1208"/>
      <c r="F147" s="1200"/>
      <c r="G147" s="1192"/>
      <c r="H147" s="1193"/>
      <c r="I147" s="1219">
        <v>250.0</v>
      </c>
      <c r="J147" s="1203">
        <v>14.42</v>
      </c>
      <c r="K147" s="1203">
        <v>14.42</v>
      </c>
      <c r="L147" s="1203">
        <v>14.42</v>
      </c>
      <c r="M147" s="1203">
        <v>14.42</v>
      </c>
      <c r="N147" s="1203">
        <v>14.42</v>
      </c>
      <c r="O147" s="1203">
        <v>14.42</v>
      </c>
      <c r="P147" s="1203">
        <v>14.42</v>
      </c>
      <c r="Q147" s="1203">
        <v>14.42</v>
      </c>
      <c r="R147" s="1203">
        <v>14.42</v>
      </c>
      <c r="S147" s="1203">
        <v>14.42</v>
      </c>
      <c r="T147" s="1203">
        <v>14.42</v>
      </c>
      <c r="U147" s="1203">
        <v>14.42</v>
      </c>
      <c r="V147" s="1203">
        <v>14.42</v>
      </c>
      <c r="W147" s="1220"/>
      <c r="X147" s="1203">
        <v>10.0</v>
      </c>
      <c r="Y147" s="1193"/>
    </row>
    <row r="148">
      <c r="A148" s="1227"/>
      <c r="B148" s="1198"/>
      <c r="C148" s="1215"/>
      <c r="D148" s="1209"/>
      <c r="E148" s="1208"/>
      <c r="F148" s="1200"/>
      <c r="G148" s="1192"/>
      <c r="H148" s="1193"/>
      <c r="I148" s="1219">
        <v>300.0</v>
      </c>
      <c r="J148" s="1203">
        <v>16.47</v>
      </c>
      <c r="K148" s="1203">
        <v>16.47</v>
      </c>
      <c r="L148" s="1203">
        <v>16.47</v>
      </c>
      <c r="M148" s="1203">
        <v>16.47</v>
      </c>
      <c r="N148" s="1203">
        <v>16.47</v>
      </c>
      <c r="O148" s="1203">
        <v>16.47</v>
      </c>
      <c r="P148" s="1203">
        <v>16.47</v>
      </c>
      <c r="Q148" s="1203">
        <v>16.47</v>
      </c>
      <c r="R148" s="1203">
        <v>16.47</v>
      </c>
      <c r="S148" s="1203">
        <v>16.47</v>
      </c>
      <c r="T148" s="1203">
        <v>16.47</v>
      </c>
      <c r="U148" s="1203">
        <v>16.47</v>
      </c>
      <c r="V148" s="1203">
        <v>16.47</v>
      </c>
      <c r="W148" s="1220"/>
      <c r="X148" s="1203">
        <v>10.0</v>
      </c>
      <c r="Y148" s="1193"/>
    </row>
    <row r="149">
      <c r="A149" s="1187" t="s">
        <v>773</v>
      </c>
      <c r="B149" s="1188"/>
      <c r="C149" s="1189" t="s">
        <v>15</v>
      </c>
      <c r="D149" s="1190" t="s">
        <v>26</v>
      </c>
      <c r="E149" s="1190"/>
      <c r="F149" s="1191"/>
      <c r="G149" s="1192"/>
      <c r="H149" s="1193"/>
      <c r="I149" s="1219">
        <v>350.0</v>
      </c>
      <c r="J149" s="1203">
        <v>18.51</v>
      </c>
      <c r="K149" s="1203">
        <v>18.51</v>
      </c>
      <c r="L149" s="1203">
        <v>18.51</v>
      </c>
      <c r="M149" s="1203">
        <v>18.51</v>
      </c>
      <c r="N149" s="1203">
        <v>18.51</v>
      </c>
      <c r="O149" s="1203">
        <v>18.51</v>
      </c>
      <c r="P149" s="1203">
        <v>18.51</v>
      </c>
      <c r="Q149" s="1203">
        <v>18.51</v>
      </c>
      <c r="R149" s="1203">
        <v>18.51</v>
      </c>
      <c r="S149" s="1203">
        <v>18.51</v>
      </c>
      <c r="T149" s="1203">
        <v>18.51</v>
      </c>
      <c r="U149" s="1203">
        <v>18.51</v>
      </c>
      <c r="V149" s="1203">
        <v>18.51</v>
      </c>
      <c r="W149" s="1220"/>
      <c r="X149" s="1203">
        <v>10.0</v>
      </c>
      <c r="Y149" s="1193"/>
    </row>
    <row r="150">
      <c r="A150" s="1197" t="s">
        <v>774</v>
      </c>
      <c r="B150" s="1198"/>
      <c r="C150" s="1215" t="s">
        <v>52</v>
      </c>
      <c r="D150" s="1208">
        <v>1330.0</v>
      </c>
      <c r="E150" s="1208"/>
      <c r="F150" s="1206"/>
      <c r="G150" s="1192"/>
      <c r="H150" s="1193"/>
      <c r="I150" s="1219">
        <v>400.0</v>
      </c>
      <c r="J150" s="1203">
        <v>20.56</v>
      </c>
      <c r="K150" s="1203">
        <v>20.56</v>
      </c>
      <c r="L150" s="1203">
        <v>20.56</v>
      </c>
      <c r="M150" s="1203">
        <v>20.56</v>
      </c>
      <c r="N150" s="1203">
        <v>20.56</v>
      </c>
      <c r="O150" s="1203">
        <v>20.56</v>
      </c>
      <c r="P150" s="1203">
        <v>20.56</v>
      </c>
      <c r="Q150" s="1203">
        <v>20.56</v>
      </c>
      <c r="R150" s="1203">
        <v>20.56</v>
      </c>
      <c r="S150" s="1203">
        <v>20.56</v>
      </c>
      <c r="T150" s="1203">
        <v>20.56</v>
      </c>
      <c r="U150" s="1203">
        <v>20.56</v>
      </c>
      <c r="V150" s="1203">
        <v>20.56</v>
      </c>
      <c r="W150" s="1220"/>
      <c r="X150" s="1203">
        <v>10.0</v>
      </c>
      <c r="Y150" s="1193"/>
    </row>
    <row r="151">
      <c r="A151" s="1197" t="s">
        <v>775</v>
      </c>
      <c r="B151" s="1198"/>
      <c r="C151" s="1215" t="s">
        <v>52</v>
      </c>
      <c r="D151" s="1208">
        <v>1420.0</v>
      </c>
      <c r="E151" s="1208"/>
      <c r="F151" s="1206"/>
      <c r="G151" s="1192"/>
      <c r="H151" s="1193"/>
      <c r="I151" s="1219">
        <v>450.0</v>
      </c>
      <c r="J151" s="1203">
        <v>22.61</v>
      </c>
      <c r="K151" s="1203">
        <v>22.61</v>
      </c>
      <c r="L151" s="1203">
        <v>22.61</v>
      </c>
      <c r="M151" s="1203">
        <v>22.61</v>
      </c>
      <c r="N151" s="1203">
        <v>22.61</v>
      </c>
      <c r="O151" s="1203">
        <v>22.61</v>
      </c>
      <c r="P151" s="1203">
        <v>22.61</v>
      </c>
      <c r="Q151" s="1203">
        <v>22.61</v>
      </c>
      <c r="R151" s="1203">
        <v>22.61</v>
      </c>
      <c r="S151" s="1203">
        <v>22.61</v>
      </c>
      <c r="T151" s="1203">
        <v>22.61</v>
      </c>
      <c r="U151" s="1203">
        <v>22.61</v>
      </c>
      <c r="V151" s="1203">
        <v>22.61</v>
      </c>
      <c r="W151" s="1220"/>
      <c r="X151" s="1203">
        <v>10.0</v>
      </c>
      <c r="Y151" s="1193"/>
    </row>
    <row r="152">
      <c r="A152" s="1197" t="s">
        <v>776</v>
      </c>
      <c r="B152" s="1198"/>
      <c r="C152" s="1215" t="s">
        <v>52</v>
      </c>
      <c r="D152" s="1208">
        <v>1440.0</v>
      </c>
      <c r="E152" s="1208"/>
      <c r="F152" s="1206"/>
      <c r="G152" s="1192"/>
      <c r="H152" s="1193"/>
      <c r="I152" s="1219">
        <v>500.0</v>
      </c>
      <c r="J152" s="1203">
        <v>24.25</v>
      </c>
      <c r="K152" s="1203">
        <v>24.25</v>
      </c>
      <c r="L152" s="1203">
        <v>24.25</v>
      </c>
      <c r="M152" s="1203">
        <v>24.25</v>
      </c>
      <c r="N152" s="1203">
        <v>24.25</v>
      </c>
      <c r="O152" s="1203">
        <v>24.25</v>
      </c>
      <c r="P152" s="1203">
        <v>24.25</v>
      </c>
      <c r="Q152" s="1203">
        <v>24.25</v>
      </c>
      <c r="R152" s="1203">
        <v>24.25</v>
      </c>
      <c r="S152" s="1203">
        <v>24.25</v>
      </c>
      <c r="T152" s="1203">
        <v>24.25</v>
      </c>
      <c r="U152" s="1203">
        <v>24.25</v>
      </c>
      <c r="V152" s="1203">
        <v>24.25</v>
      </c>
      <c r="W152" s="1220"/>
      <c r="X152" s="1203">
        <v>10.0</v>
      </c>
      <c r="Y152" s="1193"/>
    </row>
    <row r="153">
      <c r="A153" s="1197" t="s">
        <v>777</v>
      </c>
      <c r="B153" s="1198"/>
      <c r="C153" s="1215" t="s">
        <v>52</v>
      </c>
      <c r="D153" s="1208">
        <v>1450.0</v>
      </c>
      <c r="E153" s="1208"/>
      <c r="F153" s="1206"/>
      <c r="G153" s="1192"/>
      <c r="H153" s="1193"/>
      <c r="I153" s="1219">
        <v>550.0</v>
      </c>
      <c r="J153" s="1203">
        <v>26.5</v>
      </c>
      <c r="K153" s="1203">
        <v>26.5</v>
      </c>
      <c r="L153" s="1203">
        <v>26.5</v>
      </c>
      <c r="M153" s="1203">
        <v>26.5</v>
      </c>
      <c r="N153" s="1203">
        <v>26.5</v>
      </c>
      <c r="O153" s="1203">
        <v>26.5</v>
      </c>
      <c r="P153" s="1203">
        <v>26.5</v>
      </c>
      <c r="Q153" s="1203">
        <v>26.5</v>
      </c>
      <c r="R153" s="1203">
        <v>26.5</v>
      </c>
      <c r="S153" s="1203">
        <v>26.5</v>
      </c>
      <c r="T153" s="1203">
        <v>26.5</v>
      </c>
      <c r="U153" s="1203">
        <v>26.5</v>
      </c>
      <c r="V153" s="1203">
        <v>26.5</v>
      </c>
      <c r="W153" s="1220"/>
      <c r="X153" s="1203">
        <v>10.0</v>
      </c>
      <c r="Y153" s="1193"/>
    </row>
    <row r="154">
      <c r="A154" s="1197" t="s">
        <v>778</v>
      </c>
      <c r="B154" s="1198"/>
      <c r="C154" s="1215" t="s">
        <v>52</v>
      </c>
      <c r="D154" s="1208">
        <v>1520.0</v>
      </c>
      <c r="E154" s="1208"/>
      <c r="F154" s="1206"/>
      <c r="G154" s="1192"/>
      <c r="H154" s="1193"/>
      <c r="I154" s="1219">
        <v>600.0</v>
      </c>
      <c r="J154" s="1203">
        <v>28.74</v>
      </c>
      <c r="K154" s="1203">
        <v>28.74</v>
      </c>
      <c r="L154" s="1203">
        <v>28.74</v>
      </c>
      <c r="M154" s="1203">
        <v>28.74</v>
      </c>
      <c r="N154" s="1203">
        <v>28.74</v>
      </c>
      <c r="O154" s="1203">
        <v>28.74</v>
      </c>
      <c r="P154" s="1203">
        <v>28.74</v>
      </c>
      <c r="Q154" s="1203">
        <v>28.74</v>
      </c>
      <c r="R154" s="1203">
        <v>28.74</v>
      </c>
      <c r="S154" s="1203">
        <v>28.74</v>
      </c>
      <c r="T154" s="1203">
        <v>28.74</v>
      </c>
      <c r="U154" s="1203">
        <v>28.74</v>
      </c>
      <c r="V154" s="1203">
        <v>28.74</v>
      </c>
      <c r="W154" s="1220"/>
      <c r="X154" s="1203">
        <v>10.0</v>
      </c>
      <c r="Y154" s="1193"/>
    </row>
    <row r="155">
      <c r="A155" s="1197" t="s">
        <v>779</v>
      </c>
      <c r="B155" s="1198"/>
      <c r="C155" s="1215" t="s">
        <v>52</v>
      </c>
      <c r="D155" s="1208">
        <v>1610.0</v>
      </c>
      <c r="E155" s="1208"/>
      <c r="F155" s="1206"/>
      <c r="G155" s="1192"/>
      <c r="H155" s="1193"/>
      <c r="I155" s="1219">
        <v>650.0</v>
      </c>
      <c r="J155" s="1203">
        <v>30.79</v>
      </c>
      <c r="K155" s="1203">
        <v>30.79</v>
      </c>
      <c r="L155" s="1203">
        <v>30.79</v>
      </c>
      <c r="M155" s="1203">
        <v>30.79</v>
      </c>
      <c r="N155" s="1203">
        <v>30.79</v>
      </c>
      <c r="O155" s="1203">
        <v>30.79</v>
      </c>
      <c r="P155" s="1203">
        <v>30.79</v>
      </c>
      <c r="Q155" s="1203">
        <v>30.79</v>
      </c>
      <c r="R155" s="1203">
        <v>30.79</v>
      </c>
      <c r="S155" s="1203">
        <v>30.79</v>
      </c>
      <c r="T155" s="1203">
        <v>30.79</v>
      </c>
      <c r="U155" s="1203">
        <v>30.79</v>
      </c>
      <c r="V155" s="1203">
        <v>30.79</v>
      </c>
      <c r="W155" s="1220"/>
      <c r="X155" s="1203">
        <v>15.0</v>
      </c>
      <c r="Y155" s="1193"/>
    </row>
    <row r="156">
      <c r="A156" s="1197" t="s">
        <v>780</v>
      </c>
      <c r="B156" s="1198"/>
      <c r="C156" s="1215" t="s">
        <v>52</v>
      </c>
      <c r="D156" s="1208">
        <v>1490.0</v>
      </c>
      <c r="E156" s="1208"/>
      <c r="F156" s="1206"/>
      <c r="G156" s="1192"/>
      <c r="H156" s="1193"/>
      <c r="I156" s="1219">
        <v>700.0</v>
      </c>
      <c r="J156" s="1203">
        <v>32.84</v>
      </c>
      <c r="K156" s="1203">
        <v>32.84</v>
      </c>
      <c r="L156" s="1203">
        <v>32.84</v>
      </c>
      <c r="M156" s="1203">
        <v>32.84</v>
      </c>
      <c r="N156" s="1203">
        <v>32.84</v>
      </c>
      <c r="O156" s="1203">
        <v>32.84</v>
      </c>
      <c r="P156" s="1203">
        <v>32.84</v>
      </c>
      <c r="Q156" s="1203">
        <v>32.84</v>
      </c>
      <c r="R156" s="1203">
        <v>32.84</v>
      </c>
      <c r="S156" s="1203">
        <v>32.84</v>
      </c>
      <c r="T156" s="1203">
        <v>32.84</v>
      </c>
      <c r="U156" s="1203">
        <v>32.84</v>
      </c>
      <c r="V156" s="1203">
        <v>32.84</v>
      </c>
      <c r="W156" s="1220"/>
      <c r="X156" s="1203">
        <v>15.0</v>
      </c>
      <c r="Y156" s="1193"/>
    </row>
    <row r="157">
      <c r="A157" s="1197" t="s">
        <v>781</v>
      </c>
      <c r="B157" s="1198"/>
      <c r="C157" s="1215" t="s">
        <v>52</v>
      </c>
      <c r="D157" s="1208">
        <v>1650.0</v>
      </c>
      <c r="E157" s="1208"/>
      <c r="F157" s="1206"/>
      <c r="G157" s="1192"/>
      <c r="H157" s="1193"/>
      <c r="I157" s="1219">
        <v>750.0</v>
      </c>
      <c r="J157" s="1203">
        <v>34.87</v>
      </c>
      <c r="K157" s="1203">
        <v>34.87</v>
      </c>
      <c r="L157" s="1203">
        <v>34.87</v>
      </c>
      <c r="M157" s="1203">
        <v>34.87</v>
      </c>
      <c r="N157" s="1203">
        <v>34.87</v>
      </c>
      <c r="O157" s="1203">
        <v>34.87</v>
      </c>
      <c r="P157" s="1203">
        <v>34.87</v>
      </c>
      <c r="Q157" s="1203">
        <v>34.87</v>
      </c>
      <c r="R157" s="1203">
        <v>34.87</v>
      </c>
      <c r="S157" s="1203">
        <v>34.87</v>
      </c>
      <c r="T157" s="1203">
        <v>34.87</v>
      </c>
      <c r="U157" s="1203">
        <v>34.87</v>
      </c>
      <c r="V157" s="1203">
        <v>34.87</v>
      </c>
      <c r="W157" s="1220"/>
      <c r="X157" s="1203">
        <v>15.0</v>
      </c>
      <c r="Y157" s="1193"/>
    </row>
    <row r="158">
      <c r="A158" s="1197"/>
      <c r="B158" s="1198"/>
      <c r="C158" s="1215"/>
      <c r="D158" s="1208"/>
      <c r="E158" s="1208"/>
      <c r="F158" s="1206"/>
      <c r="G158" s="1192"/>
      <c r="H158" s="1193"/>
      <c r="I158" s="1219">
        <v>800.0</v>
      </c>
      <c r="J158" s="1203">
        <v>36.62</v>
      </c>
      <c r="K158" s="1203">
        <v>36.62</v>
      </c>
      <c r="L158" s="1203">
        <v>36.62</v>
      </c>
      <c r="M158" s="1203">
        <v>36.62</v>
      </c>
      <c r="N158" s="1203">
        <v>36.62</v>
      </c>
      <c r="O158" s="1203">
        <v>36.62</v>
      </c>
      <c r="P158" s="1203">
        <v>36.62</v>
      </c>
      <c r="Q158" s="1203">
        <v>36.62</v>
      </c>
      <c r="R158" s="1203">
        <v>36.62</v>
      </c>
      <c r="S158" s="1203">
        <v>36.62</v>
      </c>
      <c r="T158" s="1203">
        <v>36.62</v>
      </c>
      <c r="U158" s="1203">
        <v>36.62</v>
      </c>
      <c r="V158" s="1203">
        <v>36.62</v>
      </c>
      <c r="W158" s="1220"/>
      <c r="X158" s="1203">
        <v>15.0</v>
      </c>
      <c r="Y158" s="1193"/>
    </row>
    <row r="159">
      <c r="A159" s="1197" t="s">
        <v>782</v>
      </c>
      <c r="B159" s="1198"/>
      <c r="C159" s="1215" t="s">
        <v>52</v>
      </c>
      <c r="D159" s="1208">
        <v>2420.0</v>
      </c>
      <c r="E159" s="1208"/>
      <c r="F159" s="1206"/>
      <c r="G159" s="1192"/>
      <c r="H159" s="1193"/>
      <c r="I159" s="1219">
        <v>850.0</v>
      </c>
      <c r="J159" s="1203">
        <v>38.11</v>
      </c>
      <c r="K159" s="1203">
        <v>38.11</v>
      </c>
      <c r="L159" s="1203">
        <v>38.11</v>
      </c>
      <c r="M159" s="1203">
        <v>38.11</v>
      </c>
      <c r="N159" s="1203">
        <v>38.11</v>
      </c>
      <c r="O159" s="1203">
        <v>38.11</v>
      </c>
      <c r="P159" s="1203">
        <v>38.11</v>
      </c>
      <c r="Q159" s="1203">
        <v>38.11</v>
      </c>
      <c r="R159" s="1203">
        <v>38.11</v>
      </c>
      <c r="S159" s="1203">
        <v>38.11</v>
      </c>
      <c r="T159" s="1203">
        <v>38.11</v>
      </c>
      <c r="U159" s="1203">
        <v>38.11</v>
      </c>
      <c r="V159" s="1203">
        <v>38.11</v>
      </c>
      <c r="W159" s="1220"/>
      <c r="X159" s="1203">
        <v>15.0</v>
      </c>
      <c r="Y159" s="1193"/>
    </row>
    <row r="160">
      <c r="A160" s="1197" t="s">
        <v>783</v>
      </c>
      <c r="B160" s="1198"/>
      <c r="C160" s="1215" t="s">
        <v>52</v>
      </c>
      <c r="D160" s="1208">
        <v>2450.0</v>
      </c>
      <c r="E160" s="1208"/>
      <c r="F160" s="1206"/>
      <c r="G160" s="1192"/>
      <c r="H160" s="1193"/>
      <c r="I160" s="1219">
        <v>900.0</v>
      </c>
      <c r="J160" s="1203">
        <v>39.8</v>
      </c>
      <c r="K160" s="1203">
        <v>39.8</v>
      </c>
      <c r="L160" s="1203">
        <v>39.8</v>
      </c>
      <c r="M160" s="1203">
        <v>39.8</v>
      </c>
      <c r="N160" s="1203">
        <v>39.8</v>
      </c>
      <c r="O160" s="1203">
        <v>39.8</v>
      </c>
      <c r="P160" s="1203">
        <v>39.8</v>
      </c>
      <c r="Q160" s="1203">
        <v>39.8</v>
      </c>
      <c r="R160" s="1203">
        <v>39.8</v>
      </c>
      <c r="S160" s="1203">
        <v>39.8</v>
      </c>
      <c r="T160" s="1203">
        <v>39.8</v>
      </c>
      <c r="U160" s="1203">
        <v>39.8</v>
      </c>
      <c r="V160" s="1203">
        <v>39.8</v>
      </c>
      <c r="W160" s="1220"/>
      <c r="X160" s="1203">
        <v>15.0</v>
      </c>
      <c r="Y160" s="1193"/>
    </row>
    <row r="161">
      <c r="A161" s="1197" t="s">
        <v>784</v>
      </c>
      <c r="B161" s="1198"/>
      <c r="C161" s="1215" t="s">
        <v>52</v>
      </c>
      <c r="D161" s="1208">
        <v>2500.0</v>
      </c>
      <c r="E161" s="1208"/>
      <c r="F161" s="1206"/>
      <c r="G161" s="1192"/>
      <c r="H161" s="1193"/>
      <c r="I161" s="1219">
        <v>950.0</v>
      </c>
      <c r="J161" s="1203">
        <v>41.34</v>
      </c>
      <c r="K161" s="1203">
        <v>41.34</v>
      </c>
      <c r="L161" s="1203">
        <v>41.34</v>
      </c>
      <c r="M161" s="1203">
        <v>41.34</v>
      </c>
      <c r="N161" s="1203">
        <v>41.34</v>
      </c>
      <c r="O161" s="1203">
        <v>41.34</v>
      </c>
      <c r="P161" s="1203">
        <v>41.34</v>
      </c>
      <c r="Q161" s="1203">
        <v>41.34</v>
      </c>
      <c r="R161" s="1203">
        <v>41.34</v>
      </c>
      <c r="S161" s="1203">
        <v>41.34</v>
      </c>
      <c r="T161" s="1203">
        <v>41.34</v>
      </c>
      <c r="U161" s="1203">
        <v>41.34</v>
      </c>
      <c r="V161" s="1203">
        <v>41.34</v>
      </c>
      <c r="W161" s="1220"/>
      <c r="X161" s="1203">
        <v>15.0</v>
      </c>
      <c r="Y161" s="1193"/>
    </row>
    <row r="162">
      <c r="A162" s="1197" t="s">
        <v>785</v>
      </c>
      <c r="B162" s="1198"/>
      <c r="C162" s="1215" t="s">
        <v>52</v>
      </c>
      <c r="D162" s="1208">
        <v>2550.0</v>
      </c>
      <c r="E162" s="1208"/>
      <c r="F162" s="1206"/>
      <c r="G162" s="1192"/>
      <c r="H162" s="1193"/>
      <c r="I162" s="1219">
        <v>1000.0</v>
      </c>
      <c r="J162" s="1203">
        <v>42.94</v>
      </c>
      <c r="K162" s="1203">
        <v>42.94</v>
      </c>
      <c r="L162" s="1203">
        <v>42.94</v>
      </c>
      <c r="M162" s="1203">
        <v>42.94</v>
      </c>
      <c r="N162" s="1203">
        <v>42.94</v>
      </c>
      <c r="O162" s="1203">
        <v>42.94</v>
      </c>
      <c r="P162" s="1203">
        <v>42.94</v>
      </c>
      <c r="Q162" s="1203">
        <v>42.94</v>
      </c>
      <c r="R162" s="1203">
        <v>42.94</v>
      </c>
      <c r="S162" s="1203">
        <v>42.94</v>
      </c>
      <c r="T162" s="1203">
        <v>42.94</v>
      </c>
      <c r="U162" s="1203">
        <v>42.94</v>
      </c>
      <c r="V162" s="1203">
        <v>42.94</v>
      </c>
      <c r="W162" s="1220"/>
      <c r="X162" s="1203">
        <v>15.0</v>
      </c>
      <c r="Y162" s="1193"/>
    </row>
    <row r="163">
      <c r="A163" s="1197" t="s">
        <v>786</v>
      </c>
      <c r="B163" s="1198"/>
      <c r="C163" s="1215" t="s">
        <v>52</v>
      </c>
      <c r="D163" s="1208">
        <v>2660.0</v>
      </c>
      <c r="E163" s="1208"/>
      <c r="F163" s="1206"/>
      <c r="G163" s="1192"/>
      <c r="H163" s="1193"/>
      <c r="I163" s="1219">
        <v>1050.0</v>
      </c>
      <c r="J163" s="1203">
        <v>44.9</v>
      </c>
      <c r="K163" s="1203">
        <v>44.9</v>
      </c>
      <c r="L163" s="1203">
        <v>44.9</v>
      </c>
      <c r="M163" s="1203">
        <v>44.9</v>
      </c>
      <c r="N163" s="1203">
        <v>44.9</v>
      </c>
      <c r="O163" s="1203">
        <v>44.9</v>
      </c>
      <c r="P163" s="1203">
        <v>44.9</v>
      </c>
      <c r="Q163" s="1203">
        <v>44.9</v>
      </c>
      <c r="R163" s="1203">
        <v>44.9</v>
      </c>
      <c r="S163" s="1203">
        <v>44.9</v>
      </c>
      <c r="T163" s="1203">
        <v>44.9</v>
      </c>
      <c r="U163" s="1203">
        <v>44.9</v>
      </c>
      <c r="V163" s="1203">
        <v>44.9</v>
      </c>
      <c r="W163" s="1220"/>
      <c r="X163" s="1203">
        <v>20.0</v>
      </c>
      <c r="Y163" s="1193"/>
    </row>
    <row r="164">
      <c r="A164" s="1197" t="s">
        <v>787</v>
      </c>
      <c r="B164" s="1198"/>
      <c r="C164" s="1215" t="s">
        <v>52</v>
      </c>
      <c r="D164" s="1208">
        <v>2550.0</v>
      </c>
      <c r="E164" s="1208"/>
      <c r="F164" s="1206"/>
      <c r="G164" s="1192"/>
      <c r="H164" s="1193"/>
      <c r="I164" s="1219">
        <v>1100.0</v>
      </c>
      <c r="J164" s="1203">
        <v>46.84</v>
      </c>
      <c r="K164" s="1203">
        <v>46.84</v>
      </c>
      <c r="L164" s="1203">
        <v>46.84</v>
      </c>
      <c r="M164" s="1203">
        <v>46.84</v>
      </c>
      <c r="N164" s="1203">
        <v>46.84</v>
      </c>
      <c r="O164" s="1203">
        <v>46.84</v>
      </c>
      <c r="P164" s="1203">
        <v>46.84</v>
      </c>
      <c r="Q164" s="1203">
        <v>46.84</v>
      </c>
      <c r="R164" s="1203">
        <v>46.84</v>
      </c>
      <c r="S164" s="1203">
        <v>46.84</v>
      </c>
      <c r="T164" s="1203">
        <v>46.84</v>
      </c>
      <c r="U164" s="1203">
        <v>46.84</v>
      </c>
      <c r="V164" s="1203">
        <v>46.84</v>
      </c>
      <c r="W164" s="1220"/>
      <c r="X164" s="1203">
        <v>20.0</v>
      </c>
      <c r="Y164" s="1193"/>
    </row>
    <row r="165">
      <c r="A165" s="1197" t="s">
        <v>788</v>
      </c>
      <c r="B165" s="1198"/>
      <c r="C165" s="1215" t="s">
        <v>52</v>
      </c>
      <c r="D165" s="1208">
        <v>2690.0</v>
      </c>
      <c r="E165" s="1208"/>
      <c r="F165" s="1206"/>
      <c r="G165" s="1192"/>
      <c r="H165" s="1193"/>
      <c r="I165" s="1219">
        <v>1150.0</v>
      </c>
      <c r="J165" s="1203">
        <v>48.33</v>
      </c>
      <c r="K165" s="1203">
        <v>48.33</v>
      </c>
      <c r="L165" s="1203">
        <v>48.33</v>
      </c>
      <c r="M165" s="1203">
        <v>48.33</v>
      </c>
      <c r="N165" s="1203">
        <v>48.33</v>
      </c>
      <c r="O165" s="1203">
        <v>48.33</v>
      </c>
      <c r="P165" s="1203">
        <v>48.33</v>
      </c>
      <c r="Q165" s="1203">
        <v>48.33</v>
      </c>
      <c r="R165" s="1203">
        <v>48.33</v>
      </c>
      <c r="S165" s="1203">
        <v>48.33</v>
      </c>
      <c r="T165" s="1203">
        <v>48.33</v>
      </c>
      <c r="U165" s="1203">
        <v>48.33</v>
      </c>
      <c r="V165" s="1203">
        <v>48.33</v>
      </c>
      <c r="W165" s="1220"/>
      <c r="X165" s="1203">
        <v>20.0</v>
      </c>
      <c r="Y165" s="1193"/>
    </row>
    <row r="166">
      <c r="A166" s="1197"/>
      <c r="B166" s="1198"/>
      <c r="C166" s="1215"/>
      <c r="D166" s="1208"/>
      <c r="E166" s="1208"/>
      <c r="F166" s="1206"/>
      <c r="G166" s="1192"/>
      <c r="H166" s="1193"/>
      <c r="I166" s="1219">
        <v>1200.0</v>
      </c>
      <c r="J166" s="1203">
        <v>50.28</v>
      </c>
      <c r="K166" s="1203">
        <v>50.28</v>
      </c>
      <c r="L166" s="1203">
        <v>50.28</v>
      </c>
      <c r="M166" s="1203">
        <v>50.28</v>
      </c>
      <c r="N166" s="1203">
        <v>50.28</v>
      </c>
      <c r="O166" s="1203">
        <v>50.28</v>
      </c>
      <c r="P166" s="1203">
        <v>50.28</v>
      </c>
      <c r="Q166" s="1203">
        <v>50.28</v>
      </c>
      <c r="R166" s="1203">
        <v>50.28</v>
      </c>
      <c r="S166" s="1203">
        <v>50.28</v>
      </c>
      <c r="T166" s="1203">
        <v>50.28</v>
      </c>
      <c r="U166" s="1203">
        <v>50.28</v>
      </c>
      <c r="V166" s="1203">
        <v>50.28</v>
      </c>
      <c r="W166" s="1220"/>
      <c r="X166" s="1203">
        <v>20.0</v>
      </c>
      <c r="Y166" s="1193"/>
    </row>
    <row r="167">
      <c r="A167" s="1197" t="s">
        <v>789</v>
      </c>
      <c r="B167" s="1198"/>
      <c r="C167" s="1215" t="s">
        <v>52</v>
      </c>
      <c r="D167" s="1208">
        <v>2600.0</v>
      </c>
      <c r="E167" s="1208"/>
      <c r="F167" s="1206"/>
      <c r="G167" s="1192"/>
      <c r="H167" s="1193"/>
      <c r="I167" s="1211"/>
      <c r="J167" s="1193"/>
      <c r="K167" s="1193"/>
      <c r="M167" s="1193"/>
      <c r="N167" s="1193"/>
      <c r="O167" s="1212"/>
      <c r="P167" s="1193"/>
      <c r="Q167" s="1193"/>
      <c r="R167" s="1193"/>
      <c r="S167" s="1193"/>
      <c r="T167" s="1193"/>
      <c r="U167" s="1193"/>
      <c r="V167" s="1193"/>
      <c r="W167" s="1193"/>
      <c r="X167" s="1211"/>
      <c r="Y167" s="1193"/>
    </row>
    <row r="168">
      <c r="A168" s="1197" t="s">
        <v>790</v>
      </c>
      <c r="B168" s="1198"/>
      <c r="C168" s="1215" t="s">
        <v>52</v>
      </c>
      <c r="D168" s="1208">
        <v>2630.0</v>
      </c>
      <c r="E168" s="1208"/>
      <c r="F168" s="1206"/>
      <c r="G168" s="1192"/>
      <c r="H168" s="1193"/>
      <c r="I168" s="1216" t="s">
        <v>791</v>
      </c>
      <c r="J168" s="1195">
        <v>0.55</v>
      </c>
      <c r="K168" s="1195" t="s">
        <v>762</v>
      </c>
      <c r="L168" s="1217"/>
      <c r="M168" s="1217"/>
      <c r="N168" s="1217"/>
      <c r="O168" s="1217"/>
      <c r="P168" s="1217"/>
      <c r="Q168" s="1217"/>
      <c r="R168" s="1217"/>
      <c r="S168" s="1217"/>
      <c r="T168" s="1217"/>
      <c r="U168" s="1217"/>
      <c r="V168" s="1217"/>
      <c r="W168" s="1217"/>
      <c r="X168" s="1216"/>
      <c r="Y168" s="1193"/>
    </row>
    <row r="169">
      <c r="A169" s="1197" t="s">
        <v>792</v>
      </c>
      <c r="B169" s="1198"/>
      <c r="C169" s="1215" t="s">
        <v>52</v>
      </c>
      <c r="D169" s="1208">
        <v>2650.0</v>
      </c>
      <c r="E169" s="1208"/>
      <c r="F169" s="1206"/>
      <c r="G169" s="1192"/>
      <c r="H169" s="1193"/>
      <c r="I169" s="1218" t="s">
        <v>9</v>
      </c>
      <c r="J169" s="1195">
        <v>0.0</v>
      </c>
      <c r="K169" s="1224">
        <v>1.0</v>
      </c>
      <c r="L169" s="1224">
        <v>2.0</v>
      </c>
      <c r="M169" s="1224">
        <v>3.0</v>
      </c>
      <c r="N169" s="1224">
        <v>4.0</v>
      </c>
      <c r="O169" s="1224">
        <v>5.0</v>
      </c>
      <c r="P169" s="1224">
        <v>6.0</v>
      </c>
      <c r="Q169" s="1224">
        <v>7.0</v>
      </c>
      <c r="R169" s="1224">
        <v>8.0</v>
      </c>
      <c r="S169" s="1224">
        <v>9.0</v>
      </c>
      <c r="T169" s="1224">
        <v>10.0</v>
      </c>
      <c r="U169" s="1224">
        <v>11.0</v>
      </c>
      <c r="V169" s="1224">
        <v>12.0</v>
      </c>
      <c r="W169" s="1225"/>
      <c r="X169" s="1218"/>
      <c r="Y169" s="1193"/>
    </row>
    <row r="170">
      <c r="A170" s="1197" t="s">
        <v>793</v>
      </c>
      <c r="B170" s="1198"/>
      <c r="C170" s="1215" t="s">
        <v>52</v>
      </c>
      <c r="D170" s="1208">
        <v>2680.0</v>
      </c>
      <c r="E170" s="1208"/>
      <c r="F170" s="1206"/>
      <c r="G170" s="1192"/>
      <c r="H170" s="1193"/>
      <c r="I170" s="1219">
        <v>50.0</v>
      </c>
      <c r="J170" s="1203">
        <v>6.8</v>
      </c>
      <c r="K170" s="1203">
        <v>6.8</v>
      </c>
      <c r="L170" s="1203">
        <v>6.8</v>
      </c>
      <c r="M170" s="1203">
        <v>6.8</v>
      </c>
      <c r="N170" s="1203">
        <v>6.8</v>
      </c>
      <c r="O170" s="1203">
        <v>6.8</v>
      </c>
      <c r="P170" s="1203">
        <v>6.8</v>
      </c>
      <c r="Q170" s="1203">
        <v>6.8</v>
      </c>
      <c r="R170" s="1203">
        <v>6.8</v>
      </c>
      <c r="S170" s="1203">
        <v>6.8</v>
      </c>
      <c r="T170" s="1203">
        <v>6.8</v>
      </c>
      <c r="U170" s="1203">
        <v>6.8</v>
      </c>
      <c r="V170" s="1203">
        <v>6.8</v>
      </c>
      <c r="W170" s="1220"/>
      <c r="X170" s="1203">
        <v>10.0</v>
      </c>
      <c r="Y170" s="1193"/>
    </row>
    <row r="171">
      <c r="A171" s="1197" t="s">
        <v>794</v>
      </c>
      <c r="B171" s="1198"/>
      <c r="C171" s="1215" t="s">
        <v>52</v>
      </c>
      <c r="D171" s="1208">
        <v>2730.0</v>
      </c>
      <c r="E171" s="1208"/>
      <c r="F171" s="1206"/>
      <c r="G171" s="1192"/>
      <c r="H171" s="1193"/>
      <c r="I171" s="1219">
        <v>100.0</v>
      </c>
      <c r="J171" s="1203">
        <v>6.8</v>
      </c>
      <c r="K171" s="1203">
        <v>6.8</v>
      </c>
      <c r="L171" s="1203">
        <v>6.8</v>
      </c>
      <c r="M171" s="1203">
        <v>6.8</v>
      </c>
      <c r="N171" s="1203">
        <v>6.8</v>
      </c>
      <c r="O171" s="1203">
        <v>6.8</v>
      </c>
      <c r="P171" s="1203">
        <v>6.8</v>
      </c>
      <c r="Q171" s="1203">
        <v>6.8</v>
      </c>
      <c r="R171" s="1203">
        <v>6.8</v>
      </c>
      <c r="S171" s="1203">
        <v>6.8</v>
      </c>
      <c r="T171" s="1203">
        <v>6.8</v>
      </c>
      <c r="U171" s="1203">
        <v>6.8</v>
      </c>
      <c r="V171" s="1203">
        <v>6.8</v>
      </c>
      <c r="W171" s="1220"/>
      <c r="X171" s="1203">
        <v>10.0</v>
      </c>
      <c r="Y171" s="1193"/>
    </row>
    <row r="172">
      <c r="A172" s="1197" t="s">
        <v>795</v>
      </c>
      <c r="B172" s="1198"/>
      <c r="C172" s="1215" t="s">
        <v>52</v>
      </c>
      <c r="D172" s="1208">
        <v>2840.0</v>
      </c>
      <c r="E172" s="1208"/>
      <c r="F172" s="1206"/>
      <c r="G172" s="1192"/>
      <c r="H172" s="1193"/>
      <c r="I172" s="1219">
        <v>150.0</v>
      </c>
      <c r="J172" s="1203">
        <v>7.66</v>
      </c>
      <c r="K172" s="1203">
        <v>7.66</v>
      </c>
      <c r="L172" s="1203">
        <v>7.66</v>
      </c>
      <c r="M172" s="1203">
        <v>7.66</v>
      </c>
      <c r="N172" s="1203">
        <v>7.66</v>
      </c>
      <c r="O172" s="1203">
        <v>7.66</v>
      </c>
      <c r="P172" s="1203">
        <v>7.66</v>
      </c>
      <c r="Q172" s="1203">
        <v>7.66</v>
      </c>
      <c r="R172" s="1203">
        <v>7.66</v>
      </c>
      <c r="S172" s="1203">
        <v>7.66</v>
      </c>
      <c r="T172" s="1203">
        <v>7.66</v>
      </c>
      <c r="U172" s="1203">
        <v>7.66</v>
      </c>
      <c r="V172" s="1203">
        <v>7.66</v>
      </c>
      <c r="W172" s="1220"/>
      <c r="X172" s="1203">
        <v>10.0</v>
      </c>
      <c r="Y172" s="1193"/>
    </row>
    <row r="173">
      <c r="A173" s="1197" t="s">
        <v>796</v>
      </c>
      <c r="B173" s="1198"/>
      <c r="C173" s="1215" t="s">
        <v>52</v>
      </c>
      <c r="D173" s="1208">
        <v>2730.0</v>
      </c>
      <c r="E173" s="1208"/>
      <c r="F173" s="1206"/>
      <c r="G173" s="1192"/>
      <c r="H173" s="1193"/>
      <c r="I173" s="1219">
        <v>200.0</v>
      </c>
      <c r="J173" s="1203">
        <v>8.65</v>
      </c>
      <c r="K173" s="1203">
        <v>8.65</v>
      </c>
      <c r="L173" s="1203">
        <v>8.65</v>
      </c>
      <c r="M173" s="1203">
        <v>8.65</v>
      </c>
      <c r="N173" s="1203">
        <v>8.65</v>
      </c>
      <c r="O173" s="1203">
        <v>8.65</v>
      </c>
      <c r="P173" s="1203">
        <v>8.65</v>
      </c>
      <c r="Q173" s="1203">
        <v>8.65</v>
      </c>
      <c r="R173" s="1203">
        <v>8.65</v>
      </c>
      <c r="S173" s="1203">
        <v>8.65</v>
      </c>
      <c r="T173" s="1203">
        <v>8.65</v>
      </c>
      <c r="U173" s="1203">
        <v>8.65</v>
      </c>
      <c r="V173" s="1203">
        <v>8.65</v>
      </c>
      <c r="W173" s="1220"/>
      <c r="X173" s="1203">
        <v>10.0</v>
      </c>
      <c r="Y173" s="1193"/>
    </row>
    <row r="174">
      <c r="A174" s="1197" t="s">
        <v>797</v>
      </c>
      <c r="B174" s="1198"/>
      <c r="C174" s="1215" t="s">
        <v>52</v>
      </c>
      <c r="D174" s="1208">
        <v>2870.0</v>
      </c>
      <c r="E174" s="1208"/>
      <c r="F174" s="1206"/>
      <c r="G174" s="1192"/>
      <c r="H174" s="1193"/>
      <c r="I174" s="1219">
        <v>250.0</v>
      </c>
      <c r="J174" s="1203">
        <v>9.79</v>
      </c>
      <c r="K174" s="1203">
        <v>9.79</v>
      </c>
      <c r="L174" s="1203">
        <v>9.79</v>
      </c>
      <c r="M174" s="1203">
        <v>9.79</v>
      </c>
      <c r="N174" s="1203">
        <v>9.79</v>
      </c>
      <c r="O174" s="1203">
        <v>9.79</v>
      </c>
      <c r="P174" s="1203">
        <v>9.79</v>
      </c>
      <c r="Q174" s="1203">
        <v>9.79</v>
      </c>
      <c r="R174" s="1203">
        <v>9.79</v>
      </c>
      <c r="S174" s="1203">
        <v>9.79</v>
      </c>
      <c r="T174" s="1203">
        <v>9.79</v>
      </c>
      <c r="U174" s="1203">
        <v>9.79</v>
      </c>
      <c r="V174" s="1203">
        <v>9.79</v>
      </c>
      <c r="W174" s="1220"/>
      <c r="X174" s="1203">
        <v>10.0</v>
      </c>
      <c r="Y174" s="1193"/>
    </row>
    <row r="175">
      <c r="A175" s="1197"/>
      <c r="B175" s="1198"/>
      <c r="C175" s="1215"/>
      <c r="D175" s="1208"/>
      <c r="E175" s="1208"/>
      <c r="F175" s="1206"/>
      <c r="G175" s="1192"/>
      <c r="H175" s="1193"/>
      <c r="I175" s="1219">
        <v>300.0</v>
      </c>
      <c r="J175" s="1203">
        <v>10.93</v>
      </c>
      <c r="K175" s="1203">
        <v>10.93</v>
      </c>
      <c r="L175" s="1203">
        <v>10.93</v>
      </c>
      <c r="M175" s="1203">
        <v>10.93</v>
      </c>
      <c r="N175" s="1203">
        <v>10.93</v>
      </c>
      <c r="O175" s="1203">
        <v>10.93</v>
      </c>
      <c r="P175" s="1203">
        <v>10.93</v>
      </c>
      <c r="Q175" s="1203">
        <v>10.93</v>
      </c>
      <c r="R175" s="1203">
        <v>10.93</v>
      </c>
      <c r="S175" s="1203">
        <v>10.93</v>
      </c>
      <c r="T175" s="1203">
        <v>10.93</v>
      </c>
      <c r="U175" s="1203">
        <v>10.93</v>
      </c>
      <c r="V175" s="1203">
        <v>10.93</v>
      </c>
      <c r="W175" s="1220"/>
      <c r="X175" s="1203">
        <v>10.0</v>
      </c>
      <c r="Y175" s="1193"/>
    </row>
    <row r="176">
      <c r="A176" s="1197" t="s">
        <v>798</v>
      </c>
      <c r="B176" s="1198"/>
      <c r="C176" s="1215" t="s">
        <v>52</v>
      </c>
      <c r="D176" s="1208">
        <v>630.0</v>
      </c>
      <c r="E176" s="1208"/>
      <c r="F176" s="1206"/>
      <c r="G176" s="1192"/>
      <c r="H176" s="1193"/>
      <c r="I176" s="1219">
        <v>350.0</v>
      </c>
      <c r="J176" s="1203">
        <v>12.09</v>
      </c>
      <c r="K176" s="1203">
        <v>12.09</v>
      </c>
      <c r="L176" s="1203">
        <v>12.09</v>
      </c>
      <c r="M176" s="1203">
        <v>12.09</v>
      </c>
      <c r="N176" s="1203">
        <v>12.09</v>
      </c>
      <c r="O176" s="1203">
        <v>12.09</v>
      </c>
      <c r="P176" s="1203">
        <v>12.09</v>
      </c>
      <c r="Q176" s="1203">
        <v>12.09</v>
      </c>
      <c r="R176" s="1203">
        <v>12.09</v>
      </c>
      <c r="S176" s="1203">
        <v>12.09</v>
      </c>
      <c r="T176" s="1203">
        <v>12.09</v>
      </c>
      <c r="U176" s="1203">
        <v>12.09</v>
      </c>
      <c r="V176" s="1203">
        <v>12.09</v>
      </c>
      <c r="W176" s="1220"/>
      <c r="X176" s="1203">
        <v>10.0</v>
      </c>
      <c r="Y176" s="1193"/>
    </row>
    <row r="177">
      <c r="A177" s="1197" t="s">
        <v>799</v>
      </c>
      <c r="B177" s="1198"/>
      <c r="C177" s="1215" t="s">
        <v>52</v>
      </c>
      <c r="D177" s="1208">
        <v>700.0</v>
      </c>
      <c r="E177" s="1208"/>
      <c r="F177" s="1206"/>
      <c r="G177" s="1192"/>
      <c r="H177" s="1193"/>
      <c r="I177" s="1219">
        <v>400.0</v>
      </c>
      <c r="J177" s="1203">
        <v>13.23</v>
      </c>
      <c r="K177" s="1203">
        <v>13.23</v>
      </c>
      <c r="L177" s="1203">
        <v>13.23</v>
      </c>
      <c r="M177" s="1203">
        <v>13.23</v>
      </c>
      <c r="N177" s="1203">
        <v>13.23</v>
      </c>
      <c r="O177" s="1203">
        <v>13.23</v>
      </c>
      <c r="P177" s="1203">
        <v>13.23</v>
      </c>
      <c r="Q177" s="1203">
        <v>13.23</v>
      </c>
      <c r="R177" s="1203">
        <v>13.23</v>
      </c>
      <c r="S177" s="1203">
        <v>13.23</v>
      </c>
      <c r="T177" s="1203">
        <v>13.23</v>
      </c>
      <c r="U177" s="1203">
        <v>13.23</v>
      </c>
      <c r="V177" s="1203">
        <v>13.23</v>
      </c>
      <c r="W177" s="1220"/>
      <c r="X177" s="1203">
        <v>10.0</v>
      </c>
      <c r="Y177" s="1193"/>
    </row>
    <row r="178">
      <c r="A178" s="1197" t="s">
        <v>800</v>
      </c>
      <c r="B178" s="1198"/>
      <c r="C178" s="1215" t="s">
        <v>52</v>
      </c>
      <c r="D178" s="1208">
        <v>790.0</v>
      </c>
      <c r="E178" s="1208"/>
      <c r="F178" s="1206"/>
      <c r="G178" s="1192"/>
      <c r="H178" s="1193"/>
      <c r="I178" s="1219">
        <v>450.0</v>
      </c>
      <c r="J178" s="1203">
        <v>14.4</v>
      </c>
      <c r="K178" s="1203">
        <v>14.4</v>
      </c>
      <c r="L178" s="1203">
        <v>14.4</v>
      </c>
      <c r="M178" s="1203">
        <v>14.4</v>
      </c>
      <c r="N178" s="1203">
        <v>14.4</v>
      </c>
      <c r="O178" s="1203">
        <v>14.4</v>
      </c>
      <c r="P178" s="1203">
        <v>14.4</v>
      </c>
      <c r="Q178" s="1203">
        <v>14.4</v>
      </c>
      <c r="R178" s="1203">
        <v>14.4</v>
      </c>
      <c r="S178" s="1203">
        <v>14.4</v>
      </c>
      <c r="T178" s="1203">
        <v>14.4</v>
      </c>
      <c r="U178" s="1203">
        <v>14.4</v>
      </c>
      <c r="V178" s="1203">
        <v>14.4</v>
      </c>
      <c r="W178" s="1220"/>
      <c r="X178" s="1203">
        <v>10.0</v>
      </c>
      <c r="Y178" s="1193"/>
    </row>
    <row r="179">
      <c r="A179" s="1197" t="s">
        <v>665</v>
      </c>
      <c r="B179" s="1198"/>
      <c r="C179" s="1215" t="s">
        <v>52</v>
      </c>
      <c r="D179" s="1208">
        <v>790.0</v>
      </c>
      <c r="E179" s="1208"/>
      <c r="F179" s="1206"/>
      <c r="G179" s="1192"/>
      <c r="H179" s="1193"/>
      <c r="I179" s="1219">
        <v>500.0</v>
      </c>
      <c r="J179" s="1203">
        <v>15.57</v>
      </c>
      <c r="K179" s="1203">
        <v>15.57</v>
      </c>
      <c r="L179" s="1203">
        <v>15.57</v>
      </c>
      <c r="M179" s="1203">
        <v>15.57</v>
      </c>
      <c r="N179" s="1203">
        <v>15.57</v>
      </c>
      <c r="O179" s="1203">
        <v>15.57</v>
      </c>
      <c r="P179" s="1203">
        <v>15.57</v>
      </c>
      <c r="Q179" s="1203">
        <v>15.57</v>
      </c>
      <c r="R179" s="1203">
        <v>15.57</v>
      </c>
      <c r="S179" s="1203">
        <v>15.57</v>
      </c>
      <c r="T179" s="1203">
        <v>15.57</v>
      </c>
      <c r="U179" s="1203">
        <v>15.57</v>
      </c>
      <c r="V179" s="1203">
        <v>15.57</v>
      </c>
      <c r="W179" s="1220"/>
      <c r="X179" s="1203">
        <v>10.0</v>
      </c>
      <c r="Y179" s="1193"/>
    </row>
    <row r="180">
      <c r="A180" s="1197" t="s">
        <v>801</v>
      </c>
      <c r="B180" s="1198"/>
      <c r="C180" s="1215" t="s">
        <v>52</v>
      </c>
      <c r="D180" s="1208">
        <v>800.0</v>
      </c>
      <c r="E180" s="1208"/>
      <c r="F180" s="1206"/>
      <c r="G180" s="1192"/>
      <c r="H180" s="1193"/>
      <c r="I180" s="1219">
        <v>550.0</v>
      </c>
      <c r="J180" s="1203">
        <v>16.71</v>
      </c>
      <c r="K180" s="1203">
        <v>16.71</v>
      </c>
      <c r="L180" s="1203">
        <v>16.71</v>
      </c>
      <c r="M180" s="1203">
        <v>16.71</v>
      </c>
      <c r="N180" s="1203">
        <v>16.71</v>
      </c>
      <c r="O180" s="1203">
        <v>16.71</v>
      </c>
      <c r="P180" s="1203">
        <v>16.71</v>
      </c>
      <c r="Q180" s="1203">
        <v>16.71</v>
      </c>
      <c r="R180" s="1203">
        <v>16.71</v>
      </c>
      <c r="S180" s="1203">
        <v>16.71</v>
      </c>
      <c r="T180" s="1203">
        <v>16.71</v>
      </c>
      <c r="U180" s="1203">
        <v>16.71</v>
      </c>
      <c r="V180" s="1203">
        <v>16.71</v>
      </c>
      <c r="W180" s="1220"/>
      <c r="X180" s="1203">
        <v>10.0</v>
      </c>
      <c r="Y180" s="1193"/>
    </row>
    <row r="181">
      <c r="A181" s="1197" t="s">
        <v>663</v>
      </c>
      <c r="B181" s="1198"/>
      <c r="C181" s="1215" t="s">
        <v>52</v>
      </c>
      <c r="D181" s="1208">
        <v>880.0</v>
      </c>
      <c r="E181" s="1208"/>
      <c r="F181" s="1206"/>
      <c r="G181" s="1192"/>
      <c r="H181" s="1193"/>
      <c r="I181" s="1219">
        <v>600.0</v>
      </c>
      <c r="J181" s="1203">
        <v>17.85</v>
      </c>
      <c r="K181" s="1203">
        <v>17.85</v>
      </c>
      <c r="L181" s="1203">
        <v>17.85</v>
      </c>
      <c r="M181" s="1203">
        <v>17.85</v>
      </c>
      <c r="N181" s="1203">
        <v>17.85</v>
      </c>
      <c r="O181" s="1203">
        <v>17.85</v>
      </c>
      <c r="P181" s="1203">
        <v>17.85</v>
      </c>
      <c r="Q181" s="1203">
        <v>17.85</v>
      </c>
      <c r="R181" s="1203">
        <v>17.85</v>
      </c>
      <c r="S181" s="1203">
        <v>17.85</v>
      </c>
      <c r="T181" s="1203">
        <v>17.85</v>
      </c>
      <c r="U181" s="1203">
        <v>17.85</v>
      </c>
      <c r="V181" s="1203">
        <v>17.85</v>
      </c>
      <c r="W181" s="1220"/>
      <c r="X181" s="1203">
        <v>10.0</v>
      </c>
      <c r="Y181" s="1193"/>
    </row>
    <row r="182">
      <c r="A182" s="1197" t="s">
        <v>802</v>
      </c>
      <c r="B182" s="1198"/>
      <c r="C182" s="1215" t="s">
        <v>52</v>
      </c>
      <c r="D182" s="1208">
        <v>950.0</v>
      </c>
      <c r="E182" s="1208"/>
      <c r="F182" s="1206"/>
      <c r="G182" s="1192"/>
      <c r="H182" s="1193"/>
      <c r="I182" s="1219">
        <v>650.0</v>
      </c>
      <c r="J182" s="1203">
        <v>18.99</v>
      </c>
      <c r="K182" s="1203">
        <v>18.99</v>
      </c>
      <c r="L182" s="1203">
        <v>18.99</v>
      </c>
      <c r="M182" s="1203">
        <v>18.99</v>
      </c>
      <c r="N182" s="1203">
        <v>18.99</v>
      </c>
      <c r="O182" s="1203">
        <v>18.99</v>
      </c>
      <c r="P182" s="1203">
        <v>18.99</v>
      </c>
      <c r="Q182" s="1203">
        <v>18.99</v>
      </c>
      <c r="R182" s="1203">
        <v>18.99</v>
      </c>
      <c r="S182" s="1203">
        <v>18.99</v>
      </c>
      <c r="T182" s="1203">
        <v>18.99</v>
      </c>
      <c r="U182" s="1203">
        <v>18.99</v>
      </c>
      <c r="V182" s="1203">
        <v>18.99</v>
      </c>
      <c r="W182" s="1220"/>
      <c r="X182" s="1203">
        <v>15.0</v>
      </c>
      <c r="Y182" s="1193"/>
    </row>
    <row r="183">
      <c r="A183" s="1197" t="s">
        <v>803</v>
      </c>
      <c r="B183" s="1198"/>
      <c r="C183" s="1215" t="s">
        <v>52</v>
      </c>
      <c r="D183" s="1208">
        <v>850.0</v>
      </c>
      <c r="E183" s="1208"/>
      <c r="F183" s="1206"/>
      <c r="G183" s="1192"/>
      <c r="H183" s="1193"/>
      <c r="I183" s="1219">
        <v>700.0</v>
      </c>
      <c r="J183" s="1203">
        <v>20.16</v>
      </c>
      <c r="K183" s="1203">
        <v>20.16</v>
      </c>
      <c r="L183" s="1203">
        <v>20.16</v>
      </c>
      <c r="M183" s="1203">
        <v>20.16</v>
      </c>
      <c r="N183" s="1203">
        <v>20.16</v>
      </c>
      <c r="O183" s="1203">
        <v>20.16</v>
      </c>
      <c r="P183" s="1203">
        <v>20.16</v>
      </c>
      <c r="Q183" s="1203">
        <v>20.16</v>
      </c>
      <c r="R183" s="1203">
        <v>20.16</v>
      </c>
      <c r="S183" s="1203">
        <v>20.16</v>
      </c>
      <c r="T183" s="1203">
        <v>20.16</v>
      </c>
      <c r="U183" s="1203">
        <v>20.16</v>
      </c>
      <c r="V183" s="1203">
        <v>20.16</v>
      </c>
      <c r="W183" s="1220"/>
      <c r="X183" s="1203">
        <v>15.0</v>
      </c>
      <c r="Y183" s="1193"/>
    </row>
    <row r="184">
      <c r="A184" s="1197" t="s">
        <v>667</v>
      </c>
      <c r="B184" s="1198"/>
      <c r="C184" s="1215" t="s">
        <v>52</v>
      </c>
      <c r="D184" s="1208">
        <v>1020.0</v>
      </c>
      <c r="E184" s="1208"/>
      <c r="F184" s="1206"/>
      <c r="G184" s="1192"/>
      <c r="H184" s="1193"/>
      <c r="I184" s="1219">
        <v>750.0</v>
      </c>
      <c r="J184" s="1203">
        <v>21.3</v>
      </c>
      <c r="K184" s="1203">
        <v>21.3</v>
      </c>
      <c r="L184" s="1203">
        <v>21.3</v>
      </c>
      <c r="M184" s="1203">
        <v>21.3</v>
      </c>
      <c r="N184" s="1203">
        <v>21.3</v>
      </c>
      <c r="O184" s="1203">
        <v>21.3</v>
      </c>
      <c r="P184" s="1203">
        <v>21.3</v>
      </c>
      <c r="Q184" s="1203">
        <v>21.3</v>
      </c>
      <c r="R184" s="1203">
        <v>21.3</v>
      </c>
      <c r="S184" s="1203">
        <v>21.3</v>
      </c>
      <c r="T184" s="1203">
        <v>21.3</v>
      </c>
      <c r="U184" s="1203">
        <v>21.3</v>
      </c>
      <c r="V184" s="1203">
        <v>21.3</v>
      </c>
      <c r="W184" s="1220"/>
      <c r="X184" s="1203">
        <v>15.0</v>
      </c>
      <c r="Y184" s="1193"/>
    </row>
    <row r="185">
      <c r="A185" s="1197"/>
      <c r="B185" s="1198"/>
      <c r="C185" s="1215"/>
      <c r="D185" s="1208"/>
      <c r="E185" s="1208"/>
      <c r="F185" s="1206"/>
      <c r="G185" s="1192"/>
      <c r="H185" s="1193"/>
      <c r="I185" s="1219">
        <v>800.0</v>
      </c>
      <c r="J185" s="1203">
        <v>22.45</v>
      </c>
      <c r="K185" s="1203">
        <v>22.45</v>
      </c>
      <c r="L185" s="1203">
        <v>22.45</v>
      </c>
      <c r="M185" s="1203">
        <v>22.45</v>
      </c>
      <c r="N185" s="1203">
        <v>22.45</v>
      </c>
      <c r="O185" s="1203">
        <v>22.45</v>
      </c>
      <c r="P185" s="1203">
        <v>22.45</v>
      </c>
      <c r="Q185" s="1203">
        <v>22.45</v>
      </c>
      <c r="R185" s="1203">
        <v>22.45</v>
      </c>
      <c r="S185" s="1203">
        <v>22.45</v>
      </c>
      <c r="T185" s="1203">
        <v>22.45</v>
      </c>
      <c r="U185" s="1203">
        <v>22.45</v>
      </c>
      <c r="V185" s="1203">
        <v>22.45</v>
      </c>
      <c r="W185" s="1220"/>
      <c r="X185" s="1203">
        <v>15.0</v>
      </c>
      <c r="Y185" s="1193"/>
    </row>
    <row r="186">
      <c r="A186" s="1197" t="s">
        <v>804</v>
      </c>
      <c r="B186" s="1198"/>
      <c r="C186" s="1215" t="s">
        <v>52</v>
      </c>
      <c r="D186" s="1208">
        <v>600.0</v>
      </c>
      <c r="E186" s="1208"/>
      <c r="F186" s="1206"/>
      <c r="G186" s="1192"/>
      <c r="H186" s="1193"/>
      <c r="I186" s="1219">
        <v>850.0</v>
      </c>
      <c r="J186" s="1203">
        <v>23.62</v>
      </c>
      <c r="K186" s="1203">
        <v>23.62</v>
      </c>
      <c r="L186" s="1203">
        <v>23.62</v>
      </c>
      <c r="M186" s="1203">
        <v>23.62</v>
      </c>
      <c r="N186" s="1203">
        <v>23.62</v>
      </c>
      <c r="O186" s="1203">
        <v>23.62</v>
      </c>
      <c r="P186" s="1203">
        <v>23.62</v>
      </c>
      <c r="Q186" s="1203">
        <v>23.62</v>
      </c>
      <c r="R186" s="1203">
        <v>23.62</v>
      </c>
      <c r="S186" s="1203">
        <v>23.62</v>
      </c>
      <c r="T186" s="1203">
        <v>23.62</v>
      </c>
      <c r="U186" s="1203">
        <v>23.62</v>
      </c>
      <c r="V186" s="1203">
        <v>23.62</v>
      </c>
      <c r="W186" s="1220"/>
      <c r="X186" s="1203">
        <v>15.0</v>
      </c>
      <c r="Y186" s="1193"/>
    </row>
    <row r="187">
      <c r="A187" s="1197" t="s">
        <v>805</v>
      </c>
      <c r="B187" s="1198"/>
      <c r="C187" s="1215" t="s">
        <v>52</v>
      </c>
      <c r="D187" s="1208">
        <v>610.0</v>
      </c>
      <c r="E187" s="1208"/>
      <c r="F187" s="1206"/>
      <c r="G187" s="1192"/>
      <c r="H187" s="1193"/>
      <c r="I187" s="1219">
        <v>900.0</v>
      </c>
      <c r="J187" s="1203">
        <v>24.76</v>
      </c>
      <c r="K187" s="1203">
        <v>24.76</v>
      </c>
      <c r="L187" s="1203">
        <v>24.76</v>
      </c>
      <c r="M187" s="1203">
        <v>24.76</v>
      </c>
      <c r="N187" s="1203">
        <v>24.76</v>
      </c>
      <c r="O187" s="1203">
        <v>24.76</v>
      </c>
      <c r="P187" s="1203">
        <v>24.76</v>
      </c>
      <c r="Q187" s="1203">
        <v>24.76</v>
      </c>
      <c r="R187" s="1203">
        <v>24.76</v>
      </c>
      <c r="S187" s="1203">
        <v>24.76</v>
      </c>
      <c r="T187" s="1203">
        <v>24.76</v>
      </c>
      <c r="U187" s="1203">
        <v>24.76</v>
      </c>
      <c r="V187" s="1203">
        <v>24.76</v>
      </c>
      <c r="W187" s="1220"/>
      <c r="X187" s="1203">
        <v>15.0</v>
      </c>
      <c r="Y187" s="1193"/>
    </row>
    <row r="188">
      <c r="A188" s="1197" t="s">
        <v>806</v>
      </c>
      <c r="B188" s="1198"/>
      <c r="C188" s="1215" t="s">
        <v>52</v>
      </c>
      <c r="D188" s="1208">
        <v>640.0</v>
      </c>
      <c r="E188" s="1208"/>
      <c r="F188" s="1206"/>
      <c r="G188" s="1192"/>
      <c r="H188" s="1193"/>
      <c r="I188" s="1219">
        <v>950.0</v>
      </c>
      <c r="J188" s="1203">
        <v>25.9</v>
      </c>
      <c r="K188" s="1203">
        <v>25.9</v>
      </c>
      <c r="L188" s="1203">
        <v>25.9</v>
      </c>
      <c r="M188" s="1203">
        <v>25.9</v>
      </c>
      <c r="N188" s="1203">
        <v>25.9</v>
      </c>
      <c r="O188" s="1203">
        <v>25.9</v>
      </c>
      <c r="P188" s="1203">
        <v>25.9</v>
      </c>
      <c r="Q188" s="1203">
        <v>25.9</v>
      </c>
      <c r="R188" s="1203">
        <v>25.9</v>
      </c>
      <c r="S188" s="1203">
        <v>25.9</v>
      </c>
      <c r="T188" s="1203">
        <v>25.9</v>
      </c>
      <c r="U188" s="1203">
        <v>25.9</v>
      </c>
      <c r="V188" s="1203">
        <v>25.9</v>
      </c>
      <c r="W188" s="1220"/>
      <c r="X188" s="1203">
        <v>15.0</v>
      </c>
      <c r="Y188" s="1193"/>
    </row>
    <row r="189">
      <c r="A189" s="1197" t="s">
        <v>807</v>
      </c>
      <c r="B189" s="1198"/>
      <c r="C189" s="1215" t="s">
        <v>52</v>
      </c>
      <c r="D189" s="1208">
        <v>680.0</v>
      </c>
      <c r="E189" s="1208"/>
      <c r="F189" s="1206"/>
      <c r="G189" s="1192"/>
      <c r="H189" s="1193"/>
      <c r="I189" s="1219">
        <v>1000.0</v>
      </c>
      <c r="J189" s="1203">
        <v>27.07</v>
      </c>
      <c r="K189" s="1203">
        <v>27.07</v>
      </c>
      <c r="L189" s="1203">
        <v>27.07</v>
      </c>
      <c r="M189" s="1203">
        <v>27.07</v>
      </c>
      <c r="N189" s="1203">
        <v>27.07</v>
      </c>
      <c r="O189" s="1203">
        <v>27.07</v>
      </c>
      <c r="P189" s="1203">
        <v>27.07</v>
      </c>
      <c r="Q189" s="1203">
        <v>27.07</v>
      </c>
      <c r="R189" s="1203">
        <v>27.07</v>
      </c>
      <c r="S189" s="1203">
        <v>27.07</v>
      </c>
      <c r="T189" s="1203">
        <v>27.07</v>
      </c>
      <c r="U189" s="1203">
        <v>27.07</v>
      </c>
      <c r="V189" s="1203">
        <v>27.07</v>
      </c>
      <c r="W189" s="1220"/>
      <c r="X189" s="1203">
        <v>15.0</v>
      </c>
      <c r="Y189" s="1193"/>
    </row>
    <row r="190">
      <c r="A190" s="1197" t="s">
        <v>808</v>
      </c>
      <c r="B190" s="1198"/>
      <c r="C190" s="1215" t="s">
        <v>52</v>
      </c>
      <c r="D190" s="1208">
        <v>740.0</v>
      </c>
      <c r="E190" s="1208"/>
      <c r="F190" s="1206"/>
      <c r="G190" s="1192"/>
      <c r="H190" s="1193"/>
      <c r="I190" s="1219">
        <v>1050.0</v>
      </c>
      <c r="J190" s="1203">
        <v>28.22</v>
      </c>
      <c r="K190" s="1203">
        <v>28.22</v>
      </c>
      <c r="L190" s="1203">
        <v>28.22</v>
      </c>
      <c r="M190" s="1203">
        <v>28.22</v>
      </c>
      <c r="N190" s="1203">
        <v>28.22</v>
      </c>
      <c r="O190" s="1203">
        <v>28.22</v>
      </c>
      <c r="P190" s="1203">
        <v>28.22</v>
      </c>
      <c r="Q190" s="1203">
        <v>28.22</v>
      </c>
      <c r="R190" s="1203">
        <v>28.22</v>
      </c>
      <c r="S190" s="1203">
        <v>28.22</v>
      </c>
      <c r="T190" s="1203">
        <v>28.22</v>
      </c>
      <c r="U190" s="1203">
        <v>28.22</v>
      </c>
      <c r="V190" s="1203">
        <v>28.22</v>
      </c>
      <c r="W190" s="1220"/>
      <c r="X190" s="1203">
        <v>20.0</v>
      </c>
      <c r="Y190" s="1193"/>
    </row>
    <row r="191">
      <c r="A191" s="1197" t="s">
        <v>809</v>
      </c>
      <c r="B191" s="1198"/>
      <c r="C191" s="1215" t="s">
        <v>52</v>
      </c>
      <c r="D191" s="1208">
        <v>1130.0</v>
      </c>
      <c r="E191" s="1208"/>
      <c r="F191" s="1206"/>
      <c r="G191" s="1192"/>
      <c r="H191" s="1193"/>
      <c r="I191" s="1219">
        <v>1100.0</v>
      </c>
      <c r="J191" s="1203">
        <v>29.35</v>
      </c>
      <c r="K191" s="1203">
        <v>29.35</v>
      </c>
      <c r="L191" s="1203">
        <v>29.35</v>
      </c>
      <c r="M191" s="1203">
        <v>29.35</v>
      </c>
      <c r="N191" s="1203">
        <v>29.35</v>
      </c>
      <c r="O191" s="1203">
        <v>29.35</v>
      </c>
      <c r="P191" s="1203">
        <v>29.35</v>
      </c>
      <c r="Q191" s="1203">
        <v>29.35</v>
      </c>
      <c r="R191" s="1203">
        <v>29.35</v>
      </c>
      <c r="S191" s="1203">
        <v>29.35</v>
      </c>
      <c r="T191" s="1203">
        <v>29.35</v>
      </c>
      <c r="U191" s="1203">
        <v>29.35</v>
      </c>
      <c r="V191" s="1203">
        <v>29.35</v>
      </c>
      <c r="W191" s="1220"/>
      <c r="X191" s="1203">
        <v>20.0</v>
      </c>
      <c r="Y191" s="1193"/>
    </row>
    <row r="192">
      <c r="A192" s="1197" t="s">
        <v>810</v>
      </c>
      <c r="B192" s="1198"/>
      <c r="C192" s="1215" t="s">
        <v>52</v>
      </c>
      <c r="D192" s="1208">
        <v>730.0</v>
      </c>
      <c r="E192" s="1208"/>
      <c r="F192" s="1206"/>
      <c r="G192" s="1192"/>
      <c r="H192" s="1193"/>
      <c r="I192" s="1219">
        <v>1150.0</v>
      </c>
      <c r="J192" s="1203">
        <v>30.51</v>
      </c>
      <c r="K192" s="1203">
        <v>30.51</v>
      </c>
      <c r="L192" s="1203">
        <v>30.51</v>
      </c>
      <c r="M192" s="1203">
        <v>30.51</v>
      </c>
      <c r="N192" s="1203">
        <v>30.51</v>
      </c>
      <c r="O192" s="1203">
        <v>30.51</v>
      </c>
      <c r="P192" s="1203">
        <v>30.51</v>
      </c>
      <c r="Q192" s="1203">
        <v>30.51</v>
      </c>
      <c r="R192" s="1203">
        <v>30.51</v>
      </c>
      <c r="S192" s="1203">
        <v>30.51</v>
      </c>
      <c r="T192" s="1203">
        <v>30.51</v>
      </c>
      <c r="U192" s="1203">
        <v>30.51</v>
      </c>
      <c r="V192" s="1203">
        <v>30.51</v>
      </c>
      <c r="W192" s="1220"/>
      <c r="X192" s="1203">
        <v>20.0</v>
      </c>
      <c r="Y192" s="1193"/>
    </row>
    <row r="193">
      <c r="A193" s="1197" t="s">
        <v>811</v>
      </c>
      <c r="B193" s="1198"/>
      <c r="C193" s="1215" t="s">
        <v>52</v>
      </c>
      <c r="D193" s="1208">
        <v>880.0</v>
      </c>
      <c r="E193" s="1208"/>
      <c r="F193" s="1206"/>
      <c r="G193" s="1192"/>
      <c r="H193" s="1193"/>
      <c r="I193" s="1219">
        <v>1200.0</v>
      </c>
      <c r="J193" s="1203">
        <v>31.65</v>
      </c>
      <c r="K193" s="1203">
        <v>31.65</v>
      </c>
      <c r="L193" s="1203">
        <v>31.65</v>
      </c>
      <c r="M193" s="1203">
        <v>31.65</v>
      </c>
      <c r="N193" s="1203">
        <v>31.65</v>
      </c>
      <c r="O193" s="1203">
        <v>31.65</v>
      </c>
      <c r="P193" s="1203">
        <v>31.65</v>
      </c>
      <c r="Q193" s="1203">
        <v>31.65</v>
      </c>
      <c r="R193" s="1203">
        <v>31.65</v>
      </c>
      <c r="S193" s="1203">
        <v>31.65</v>
      </c>
      <c r="T193" s="1203">
        <v>31.65</v>
      </c>
      <c r="U193" s="1203">
        <v>31.65</v>
      </c>
      <c r="V193" s="1203">
        <v>31.65</v>
      </c>
      <c r="W193" s="1220"/>
      <c r="X193" s="1203">
        <v>20.0</v>
      </c>
      <c r="Y193" s="1193"/>
    </row>
    <row r="194">
      <c r="A194" s="1197" t="s">
        <v>812</v>
      </c>
      <c r="B194" s="1198"/>
      <c r="C194" s="1215" t="s">
        <v>52</v>
      </c>
      <c r="D194" s="1208">
        <v>1090.0</v>
      </c>
      <c r="E194" s="1208"/>
      <c r="F194" s="1206"/>
      <c r="G194" s="1192"/>
      <c r="H194" s="1193"/>
      <c r="I194" s="1211"/>
      <c r="J194" s="1193"/>
      <c r="L194" s="1193"/>
      <c r="M194" s="1193"/>
      <c r="N194" s="1193"/>
      <c r="O194" s="1212"/>
      <c r="P194" s="1193"/>
      <c r="Q194" s="1193"/>
      <c r="R194" s="1193"/>
      <c r="S194" s="1193"/>
      <c r="T194" s="1193"/>
      <c r="U194" s="1193"/>
      <c r="V194" s="1193"/>
      <c r="W194" s="1193"/>
      <c r="X194" s="1211"/>
      <c r="Y194" s="1193"/>
    </row>
    <row r="195">
      <c r="A195" s="1197" t="s">
        <v>813</v>
      </c>
      <c r="B195" s="1198"/>
      <c r="C195" s="1215" t="s">
        <v>52</v>
      </c>
      <c r="D195" s="1208">
        <v>2010.0</v>
      </c>
      <c r="E195" s="1208"/>
      <c r="F195" s="1206"/>
      <c r="G195" s="1192"/>
      <c r="H195" s="1193"/>
      <c r="I195" s="1211"/>
      <c r="J195" s="1193"/>
      <c r="L195" s="1193"/>
      <c r="M195" s="1193"/>
      <c r="N195" s="1193"/>
      <c r="O195" s="1212"/>
      <c r="P195" s="1193"/>
      <c r="Q195" s="1193"/>
      <c r="R195" s="1193"/>
      <c r="S195" s="1193"/>
      <c r="T195" s="1193"/>
      <c r="U195" s="1193"/>
      <c r="V195" s="1193"/>
      <c r="W195" s="1193"/>
      <c r="X195" s="1211"/>
      <c r="Y195" s="1193"/>
    </row>
    <row r="196">
      <c r="A196" s="1197" t="s">
        <v>814</v>
      </c>
      <c r="B196" s="1198"/>
      <c r="C196" s="1215" t="s">
        <v>52</v>
      </c>
      <c r="D196" s="1208">
        <v>750.0</v>
      </c>
      <c r="E196" s="1208"/>
      <c r="F196" s="1206"/>
      <c r="G196" s="1192"/>
      <c r="H196" s="1193"/>
      <c r="I196" s="1211"/>
      <c r="J196" s="1193"/>
      <c r="K196" s="1228"/>
      <c r="L196" s="1193"/>
      <c r="M196" s="1193"/>
      <c r="N196" s="1193"/>
      <c r="O196" s="1212"/>
      <c r="P196" s="1193"/>
      <c r="Q196" s="1193"/>
      <c r="R196" s="1193"/>
      <c r="S196" s="1193"/>
      <c r="T196" s="1193"/>
      <c r="U196" s="1193"/>
      <c r="V196" s="1193"/>
      <c r="W196" s="1193"/>
      <c r="X196" s="1211"/>
      <c r="Y196" s="1193"/>
    </row>
    <row r="197">
      <c r="A197" s="1197" t="s">
        <v>815</v>
      </c>
      <c r="B197" s="1198"/>
      <c r="C197" s="1215" t="s">
        <v>52</v>
      </c>
      <c r="D197" s="1208">
        <v>950.0</v>
      </c>
      <c r="E197" s="1208"/>
      <c r="F197" s="1206"/>
      <c r="G197" s="1192"/>
      <c r="H197" s="1193"/>
      <c r="I197" s="1211"/>
      <c r="J197" s="1193"/>
      <c r="K197" s="1228"/>
      <c r="L197" s="1193"/>
      <c r="M197" s="1193"/>
      <c r="N197" s="1193"/>
      <c r="O197" s="1212"/>
      <c r="P197" s="1193"/>
      <c r="Q197" s="1193"/>
      <c r="R197" s="1193"/>
      <c r="S197" s="1193"/>
      <c r="T197" s="1193"/>
      <c r="U197" s="1193"/>
      <c r="V197" s="1193"/>
      <c r="W197" s="1193"/>
      <c r="X197" s="1211"/>
      <c r="Y197" s="1193"/>
    </row>
    <row r="198">
      <c r="A198" s="1197" t="s">
        <v>816</v>
      </c>
      <c r="B198" s="1198"/>
      <c r="C198" s="1215" t="s">
        <v>52</v>
      </c>
      <c r="D198" s="1208">
        <v>740.0</v>
      </c>
      <c r="E198" s="1208"/>
      <c r="F198" s="1206"/>
      <c r="G198" s="1192"/>
      <c r="H198" s="1193"/>
      <c r="I198" s="1211"/>
      <c r="J198" s="1193"/>
      <c r="K198" s="1229"/>
      <c r="L198" s="1193"/>
      <c r="M198" s="1193"/>
      <c r="N198" s="1193"/>
      <c r="O198" s="1212"/>
      <c r="P198" s="1193"/>
      <c r="Q198" s="1193"/>
      <c r="R198" s="1193"/>
      <c r="S198" s="1193"/>
      <c r="T198" s="1193"/>
      <c r="U198" s="1193"/>
      <c r="V198" s="1193"/>
      <c r="W198" s="1193"/>
      <c r="X198" s="1211"/>
      <c r="Y198" s="1193"/>
    </row>
    <row r="199">
      <c r="A199" s="1197" t="s">
        <v>817</v>
      </c>
      <c r="B199" s="1198"/>
      <c r="C199" s="1215" t="s">
        <v>52</v>
      </c>
      <c r="D199" s="1208">
        <v>1090.0</v>
      </c>
      <c r="E199" s="1208"/>
      <c r="F199" s="1206"/>
      <c r="G199" s="1192"/>
      <c r="H199" s="1193"/>
      <c r="I199" s="1211"/>
      <c r="J199" s="1193"/>
      <c r="K199" s="1229"/>
      <c r="L199" s="1193"/>
      <c r="M199" s="1193"/>
      <c r="N199" s="1193"/>
      <c r="O199" s="1212"/>
      <c r="P199" s="1193"/>
      <c r="Q199" s="1193"/>
      <c r="R199" s="1193"/>
      <c r="S199" s="1193"/>
      <c r="T199" s="1193"/>
      <c r="U199" s="1193"/>
      <c r="V199" s="1193"/>
      <c r="W199" s="1193"/>
      <c r="X199" s="1211"/>
      <c r="Y199" s="1193"/>
    </row>
    <row r="200">
      <c r="A200" s="1197" t="s">
        <v>818</v>
      </c>
      <c r="B200" s="1198"/>
      <c r="C200" s="1215" t="s">
        <v>52</v>
      </c>
      <c r="D200" s="1208">
        <v>2220.0</v>
      </c>
      <c r="E200" s="1208"/>
      <c r="F200" s="1206"/>
      <c r="G200" s="1192"/>
      <c r="H200" s="1193"/>
      <c r="I200" s="1211"/>
      <c r="J200" s="1193"/>
      <c r="K200" s="1229"/>
      <c r="L200" s="1193"/>
      <c r="M200" s="1193"/>
      <c r="N200" s="1193"/>
      <c r="O200" s="1212"/>
      <c r="P200" s="1193"/>
      <c r="Q200" s="1193"/>
      <c r="R200" s="1193"/>
      <c r="S200" s="1193"/>
      <c r="T200" s="1193"/>
      <c r="U200" s="1193"/>
      <c r="V200" s="1193"/>
      <c r="W200" s="1193"/>
      <c r="X200" s="1211"/>
      <c r="Y200" s="1193"/>
    </row>
    <row r="201">
      <c r="A201" s="1197"/>
      <c r="B201" s="1198"/>
      <c r="C201" s="1215"/>
      <c r="D201" s="1208"/>
      <c r="E201" s="1208"/>
      <c r="F201" s="1206"/>
      <c r="G201" s="1192"/>
      <c r="H201" s="1193"/>
      <c r="I201" s="1211"/>
      <c r="J201" s="1193"/>
      <c r="K201" s="1229"/>
      <c r="L201" s="1193"/>
      <c r="M201" s="1193"/>
      <c r="N201" s="1193"/>
      <c r="O201" s="1212"/>
      <c r="P201" s="1193"/>
      <c r="Q201" s="1193"/>
      <c r="R201" s="1193"/>
      <c r="S201" s="1193"/>
      <c r="T201" s="1193"/>
      <c r="U201" s="1193"/>
      <c r="V201" s="1193"/>
      <c r="W201" s="1193"/>
      <c r="X201" s="1211"/>
      <c r="Y201" s="1193"/>
    </row>
    <row r="202">
      <c r="A202" s="1197" t="s">
        <v>819</v>
      </c>
      <c r="B202" s="1198"/>
      <c r="C202" s="1215" t="s">
        <v>52</v>
      </c>
      <c r="D202" s="1208">
        <v>0.0</v>
      </c>
      <c r="E202" s="1208"/>
      <c r="F202" s="1206"/>
      <c r="G202" s="1192"/>
      <c r="H202" s="1193"/>
      <c r="I202" s="1211"/>
      <c r="J202" s="1193"/>
      <c r="K202" s="1229"/>
      <c r="L202" s="1193"/>
      <c r="M202" s="1193"/>
      <c r="N202" s="1193"/>
      <c r="O202" s="1212"/>
      <c r="P202" s="1193"/>
      <c r="Q202" s="1193"/>
      <c r="R202" s="1193"/>
      <c r="S202" s="1193"/>
      <c r="T202" s="1193"/>
      <c r="U202" s="1193"/>
      <c r="V202" s="1193"/>
      <c r="W202" s="1193"/>
      <c r="X202" s="1211"/>
      <c r="Y202" s="1193"/>
    </row>
    <row r="203">
      <c r="A203" s="1197" t="s">
        <v>820</v>
      </c>
      <c r="B203" s="1198"/>
      <c r="C203" s="1215" t="s">
        <v>52</v>
      </c>
      <c r="D203" s="1208">
        <v>1550.0</v>
      </c>
      <c r="E203" s="1208"/>
      <c r="F203" s="1206"/>
      <c r="G203" s="1192"/>
      <c r="H203" s="1193"/>
      <c r="I203" s="1211"/>
      <c r="J203" s="1193"/>
      <c r="K203" s="1229"/>
      <c r="L203" s="1193"/>
      <c r="M203" s="1193"/>
      <c r="N203" s="1193"/>
      <c r="O203" s="1212"/>
      <c r="P203" s="1193"/>
      <c r="Q203" s="1193"/>
      <c r="R203" s="1193"/>
      <c r="S203" s="1193"/>
      <c r="T203" s="1193"/>
      <c r="U203" s="1193"/>
      <c r="V203" s="1193"/>
      <c r="W203" s="1193"/>
      <c r="X203" s="1211"/>
      <c r="Y203" s="1193"/>
    </row>
    <row r="204">
      <c r="A204" s="1197" t="s">
        <v>821</v>
      </c>
      <c r="B204" s="1198"/>
      <c r="C204" s="1215" t="s">
        <v>52</v>
      </c>
      <c r="D204" s="1208">
        <v>0.0</v>
      </c>
      <c r="E204" s="1208"/>
      <c r="F204" s="1206"/>
      <c r="G204" s="1192"/>
      <c r="H204" s="1193"/>
      <c r="I204" s="1211"/>
      <c r="J204" s="1193"/>
      <c r="K204" s="1229"/>
      <c r="L204" s="1193"/>
      <c r="M204" s="1193"/>
      <c r="N204" s="1193"/>
      <c r="O204" s="1212"/>
      <c r="P204" s="1193"/>
      <c r="Q204" s="1193"/>
      <c r="R204" s="1193"/>
      <c r="S204" s="1193"/>
      <c r="T204" s="1193"/>
      <c r="U204" s="1193"/>
      <c r="V204" s="1193"/>
      <c r="W204" s="1193"/>
      <c r="X204" s="1211"/>
      <c r="Y204" s="1193"/>
    </row>
    <row r="205">
      <c r="A205" s="1197" t="s">
        <v>822</v>
      </c>
      <c r="B205" s="1198"/>
      <c r="C205" s="1215" t="s">
        <v>52</v>
      </c>
      <c r="D205" s="1208">
        <v>1670.0</v>
      </c>
      <c r="E205" s="1208"/>
      <c r="F205" s="1206"/>
      <c r="G205" s="1192"/>
      <c r="H205" s="1193"/>
      <c r="I205" s="1211"/>
      <c r="J205" s="1193"/>
      <c r="K205" s="1229"/>
      <c r="L205" s="1193"/>
      <c r="M205" s="1193"/>
      <c r="N205" s="1193"/>
      <c r="O205" s="1212"/>
      <c r="P205" s="1193"/>
      <c r="Q205" s="1193"/>
      <c r="R205" s="1193"/>
      <c r="S205" s="1193"/>
      <c r="T205" s="1193"/>
      <c r="U205" s="1193"/>
      <c r="V205" s="1193"/>
      <c r="W205" s="1193"/>
      <c r="X205" s="1211"/>
      <c r="Y205" s="1193"/>
    </row>
    <row r="206">
      <c r="A206" s="1197" t="s">
        <v>823</v>
      </c>
      <c r="B206" s="1198"/>
      <c r="C206" s="1215" t="s">
        <v>52</v>
      </c>
      <c r="D206" s="1208">
        <v>1740.0</v>
      </c>
      <c r="E206" s="1208"/>
      <c r="F206" s="1206"/>
      <c r="G206" s="1192"/>
      <c r="H206" s="1193"/>
      <c r="I206" s="1211"/>
      <c r="J206" s="1193"/>
      <c r="K206" s="1229"/>
      <c r="L206" s="1193"/>
      <c r="M206" s="1193"/>
      <c r="N206" s="1193"/>
      <c r="O206" s="1212"/>
      <c r="P206" s="1193"/>
      <c r="Q206" s="1193"/>
      <c r="R206" s="1193"/>
      <c r="S206" s="1193"/>
      <c r="T206" s="1193"/>
      <c r="U206" s="1193"/>
      <c r="V206" s="1193"/>
      <c r="W206" s="1193"/>
      <c r="X206" s="1211"/>
      <c r="Y206" s="1193"/>
    </row>
    <row r="207">
      <c r="A207" s="1197" t="s">
        <v>824</v>
      </c>
      <c r="B207" s="1198"/>
      <c r="C207" s="1215" t="s">
        <v>52</v>
      </c>
      <c r="D207" s="1208">
        <v>0.0</v>
      </c>
      <c r="E207" s="1208"/>
      <c r="F207" s="1206"/>
      <c r="G207" s="1192"/>
      <c r="H207" s="1193"/>
      <c r="I207" s="1211"/>
      <c r="J207" s="1193"/>
      <c r="K207" s="1229"/>
      <c r="L207" s="1193"/>
      <c r="M207" s="1193"/>
      <c r="N207" s="1193"/>
      <c r="O207" s="1212"/>
      <c r="P207" s="1193"/>
      <c r="Q207" s="1193"/>
      <c r="R207" s="1193"/>
      <c r="S207" s="1193"/>
      <c r="T207" s="1193"/>
      <c r="U207" s="1193"/>
      <c r="V207" s="1193"/>
      <c r="W207" s="1193"/>
      <c r="X207" s="1211"/>
      <c r="Y207" s="1193"/>
    </row>
    <row r="208">
      <c r="A208" s="1197" t="s">
        <v>825</v>
      </c>
      <c r="B208" s="1198"/>
      <c r="C208" s="1215" t="s">
        <v>52</v>
      </c>
      <c r="D208" s="1208">
        <v>1710.0</v>
      </c>
      <c r="E208" s="1208"/>
      <c r="F208" s="1206"/>
      <c r="G208" s="1192"/>
      <c r="H208" s="1193"/>
      <c r="I208" s="1211"/>
      <c r="J208" s="1193"/>
      <c r="K208" s="1229"/>
      <c r="L208" s="1193"/>
      <c r="M208" s="1193"/>
      <c r="N208" s="1193"/>
      <c r="O208" s="1212"/>
      <c r="P208" s="1193"/>
      <c r="Q208" s="1193"/>
      <c r="R208" s="1193"/>
      <c r="S208" s="1193"/>
      <c r="T208" s="1193"/>
      <c r="U208" s="1193"/>
      <c r="V208" s="1193"/>
      <c r="W208" s="1193"/>
      <c r="X208" s="1211"/>
      <c r="Y208" s="1193"/>
    </row>
    <row r="209">
      <c r="A209" s="1197" t="s">
        <v>826</v>
      </c>
      <c r="B209" s="1198"/>
      <c r="C209" s="1215" t="s">
        <v>52</v>
      </c>
      <c r="D209" s="1208">
        <v>1910.0</v>
      </c>
      <c r="E209" s="1208"/>
      <c r="F209" s="1206"/>
      <c r="G209" s="1192"/>
      <c r="H209" s="1193"/>
      <c r="I209" s="1211"/>
      <c r="J209" s="1193"/>
      <c r="K209" s="1229"/>
      <c r="L209" s="1193"/>
      <c r="M209" s="1193"/>
      <c r="N209" s="1193"/>
      <c r="O209" s="1212"/>
      <c r="P209" s="1193"/>
      <c r="Q209" s="1193"/>
      <c r="R209" s="1193"/>
      <c r="S209" s="1193"/>
      <c r="T209" s="1193"/>
      <c r="U209" s="1193"/>
      <c r="V209" s="1193"/>
      <c r="W209" s="1193"/>
      <c r="X209" s="1211"/>
      <c r="Y209" s="1193"/>
    </row>
    <row r="210">
      <c r="A210" s="1197" t="s">
        <v>827</v>
      </c>
      <c r="B210" s="1198"/>
      <c r="C210" s="1215" t="s">
        <v>52</v>
      </c>
      <c r="D210" s="1208">
        <v>0.0</v>
      </c>
      <c r="E210" s="1208"/>
      <c r="F210" s="1206"/>
      <c r="G210" s="1192"/>
      <c r="H210" s="1193"/>
      <c r="I210" s="1211"/>
      <c r="J210" s="1193"/>
      <c r="K210" s="1229"/>
      <c r="L210" s="1193"/>
      <c r="M210" s="1193"/>
      <c r="N210" s="1193"/>
      <c r="O210" s="1212"/>
      <c r="P210" s="1193"/>
      <c r="Q210" s="1193"/>
      <c r="R210" s="1193"/>
      <c r="S210" s="1193"/>
      <c r="T210" s="1193"/>
      <c r="U210" s="1193"/>
      <c r="V210" s="1193"/>
      <c r="W210" s="1193"/>
      <c r="X210" s="1211"/>
      <c r="Y210" s="1193"/>
    </row>
    <row r="211">
      <c r="A211" s="1197" t="s">
        <v>828</v>
      </c>
      <c r="B211" s="1198"/>
      <c r="C211" s="1215" t="s">
        <v>52</v>
      </c>
      <c r="D211" s="1208">
        <v>0.0</v>
      </c>
      <c r="E211" s="1208"/>
      <c r="F211" s="1206"/>
      <c r="G211" s="1192"/>
      <c r="H211" s="1193"/>
      <c r="I211" s="1211"/>
      <c r="J211" s="1193"/>
      <c r="K211" s="1229"/>
      <c r="L211" s="1193"/>
      <c r="M211" s="1193"/>
      <c r="N211" s="1193"/>
      <c r="O211" s="1212"/>
      <c r="P211" s="1193"/>
      <c r="Q211" s="1193"/>
      <c r="R211" s="1193"/>
      <c r="S211" s="1193"/>
      <c r="T211" s="1193"/>
      <c r="U211" s="1193"/>
      <c r="V211" s="1193"/>
      <c r="W211" s="1193"/>
      <c r="X211" s="1211"/>
      <c r="Y211" s="1193"/>
    </row>
    <row r="212">
      <c r="A212" s="1197" t="s">
        <v>829</v>
      </c>
      <c r="B212" s="1198"/>
      <c r="C212" s="1215" t="s">
        <v>52</v>
      </c>
      <c r="D212" s="1208">
        <v>0.0</v>
      </c>
      <c r="E212" s="1208"/>
      <c r="F212" s="1206"/>
      <c r="G212" s="1192"/>
      <c r="H212" s="1193"/>
      <c r="I212" s="1211"/>
      <c r="J212" s="1193"/>
      <c r="K212" s="1229"/>
      <c r="L212" s="1193"/>
      <c r="M212" s="1193"/>
      <c r="N212" s="1193"/>
      <c r="O212" s="1212"/>
      <c r="P212" s="1193"/>
      <c r="Q212" s="1193"/>
      <c r="R212" s="1193"/>
      <c r="S212" s="1193"/>
      <c r="T212" s="1193"/>
      <c r="U212" s="1193"/>
      <c r="V212" s="1193"/>
      <c r="W212" s="1193"/>
      <c r="X212" s="1211"/>
      <c r="Y212" s="1193"/>
    </row>
    <row r="213">
      <c r="A213" s="1197" t="s">
        <v>830</v>
      </c>
      <c r="B213" s="1198"/>
      <c r="C213" s="1215" t="s">
        <v>52</v>
      </c>
      <c r="D213" s="1208">
        <v>0.0</v>
      </c>
      <c r="E213" s="1208"/>
      <c r="F213" s="1206"/>
      <c r="G213" s="1192"/>
      <c r="H213" s="1193"/>
      <c r="I213" s="1211"/>
      <c r="J213" s="1193"/>
      <c r="K213" s="1229"/>
      <c r="L213" s="1193"/>
      <c r="M213" s="1193"/>
      <c r="N213" s="1193"/>
      <c r="O213" s="1212"/>
      <c r="P213" s="1193"/>
      <c r="Q213" s="1193"/>
      <c r="R213" s="1193"/>
      <c r="S213" s="1193"/>
      <c r="T213" s="1193"/>
      <c r="U213" s="1193"/>
      <c r="V213" s="1193"/>
      <c r="W213" s="1193"/>
      <c r="X213" s="1211"/>
      <c r="Y213" s="1193"/>
    </row>
    <row r="214">
      <c r="A214" s="1197" t="s">
        <v>831</v>
      </c>
      <c r="B214" s="1198"/>
      <c r="C214" s="1215" t="s">
        <v>52</v>
      </c>
      <c r="D214" s="1208">
        <v>0.0</v>
      </c>
      <c r="E214" s="1208"/>
      <c r="F214" s="1206"/>
      <c r="G214" s="1192"/>
      <c r="H214" s="1193"/>
      <c r="I214" s="1211"/>
      <c r="J214" s="1193"/>
      <c r="K214" s="1229"/>
      <c r="L214" s="1193"/>
      <c r="M214" s="1193"/>
      <c r="N214" s="1193"/>
      <c r="O214" s="1212"/>
      <c r="P214" s="1193"/>
      <c r="Q214" s="1193"/>
      <c r="R214" s="1193"/>
      <c r="S214" s="1193"/>
      <c r="T214" s="1193"/>
      <c r="U214" s="1193"/>
      <c r="V214" s="1193"/>
      <c r="W214" s="1193"/>
      <c r="X214" s="1211"/>
      <c r="Y214" s="1193"/>
    </row>
    <row r="215">
      <c r="A215" s="1197" t="s">
        <v>832</v>
      </c>
      <c r="B215" s="1198"/>
      <c r="C215" s="1215" t="s">
        <v>52</v>
      </c>
      <c r="D215" s="1208">
        <v>2040.0</v>
      </c>
      <c r="E215" s="1208"/>
      <c r="F215" s="1206"/>
      <c r="G215" s="1192"/>
      <c r="H215" s="1193"/>
      <c r="I215" s="1211"/>
      <c r="J215" s="1193"/>
      <c r="K215" s="1229"/>
      <c r="L215" s="1193"/>
      <c r="M215" s="1193"/>
      <c r="N215" s="1193"/>
      <c r="O215" s="1212"/>
      <c r="P215" s="1193"/>
      <c r="Q215" s="1193"/>
      <c r="R215" s="1193"/>
      <c r="S215" s="1193"/>
      <c r="T215" s="1193"/>
      <c r="U215" s="1193"/>
      <c r="V215" s="1193"/>
      <c r="W215" s="1193"/>
      <c r="X215" s="1211"/>
      <c r="Y215" s="1193"/>
    </row>
    <row r="216">
      <c r="A216" s="1197" t="s">
        <v>833</v>
      </c>
      <c r="B216" s="1198"/>
      <c r="C216" s="1215" t="s">
        <v>52</v>
      </c>
      <c r="D216" s="1208">
        <v>0.0</v>
      </c>
      <c r="E216" s="1208"/>
      <c r="F216" s="1206"/>
      <c r="G216" s="1192"/>
      <c r="H216" s="1193"/>
      <c r="I216" s="1211"/>
      <c r="J216" s="1193"/>
      <c r="K216" s="1229"/>
      <c r="L216" s="1193"/>
      <c r="M216" s="1193"/>
      <c r="N216" s="1193"/>
      <c r="O216" s="1212"/>
      <c r="P216" s="1193"/>
      <c r="Q216" s="1193"/>
      <c r="R216" s="1193"/>
      <c r="S216" s="1193"/>
      <c r="T216" s="1193"/>
      <c r="U216" s="1193"/>
      <c r="V216" s="1193"/>
      <c r="W216" s="1193"/>
      <c r="X216" s="1211"/>
      <c r="Y216" s="1193"/>
    </row>
    <row r="217">
      <c r="A217" s="1197"/>
      <c r="B217" s="1198"/>
      <c r="C217" s="1215"/>
      <c r="D217" s="1208"/>
      <c r="E217" s="1208"/>
      <c r="F217" s="1206"/>
      <c r="G217" s="1192"/>
      <c r="H217" s="1193"/>
      <c r="I217" s="1211"/>
      <c r="J217" s="1193"/>
      <c r="K217" s="1229"/>
      <c r="L217" s="1193"/>
      <c r="M217" s="1193"/>
      <c r="N217" s="1193"/>
      <c r="O217" s="1212"/>
      <c r="P217" s="1193"/>
      <c r="Q217" s="1193"/>
      <c r="R217" s="1193"/>
      <c r="S217" s="1193"/>
      <c r="T217" s="1193"/>
      <c r="U217" s="1193"/>
      <c r="V217" s="1193"/>
      <c r="W217" s="1193"/>
      <c r="X217" s="1211"/>
      <c r="Y217" s="1193"/>
    </row>
    <row r="218">
      <c r="A218" s="1197" t="s">
        <v>834</v>
      </c>
      <c r="B218" s="1198"/>
      <c r="C218" s="1215" t="s">
        <v>52</v>
      </c>
      <c r="D218" s="1208"/>
      <c r="E218" s="1208"/>
      <c r="F218" s="1206"/>
      <c r="G218" s="1192"/>
      <c r="H218" s="1193"/>
      <c r="I218" s="1211"/>
      <c r="J218" s="1193"/>
      <c r="K218" s="1229"/>
      <c r="L218" s="1193"/>
      <c r="M218" s="1193"/>
      <c r="N218" s="1193"/>
      <c r="O218" s="1212"/>
      <c r="P218" s="1193"/>
      <c r="Q218" s="1193"/>
      <c r="R218" s="1193"/>
      <c r="S218" s="1193"/>
      <c r="T218" s="1193"/>
      <c r="U218" s="1193"/>
      <c r="V218" s="1193"/>
      <c r="W218" s="1193"/>
      <c r="X218" s="1211"/>
      <c r="Y218" s="1193"/>
    </row>
    <row r="219">
      <c r="A219" s="1197" t="s">
        <v>835</v>
      </c>
      <c r="B219" s="1198"/>
      <c r="C219" s="1215" t="s">
        <v>52</v>
      </c>
      <c r="D219" s="1208">
        <v>2700.0</v>
      </c>
      <c r="E219" s="1208"/>
      <c r="F219" s="1206"/>
      <c r="G219" s="1192"/>
      <c r="H219" s="1193"/>
      <c r="I219" s="1211"/>
      <c r="J219" s="1193"/>
      <c r="K219" s="1229"/>
      <c r="L219" s="1193"/>
      <c r="M219" s="1193"/>
      <c r="N219" s="1193"/>
      <c r="O219" s="1212"/>
      <c r="P219" s="1193"/>
      <c r="Q219" s="1193"/>
      <c r="R219" s="1193"/>
      <c r="S219" s="1193"/>
      <c r="T219" s="1193"/>
      <c r="U219" s="1193"/>
      <c r="V219" s="1193"/>
      <c r="W219" s="1193"/>
      <c r="X219" s="1211"/>
      <c r="Y219" s="1193"/>
    </row>
    <row r="220">
      <c r="A220" s="1197" t="s">
        <v>836</v>
      </c>
      <c r="B220" s="1198"/>
      <c r="C220" s="1215" t="s">
        <v>52</v>
      </c>
      <c r="D220" s="1208"/>
      <c r="E220" s="1208"/>
      <c r="F220" s="1206"/>
      <c r="G220" s="1192"/>
      <c r="H220" s="1193"/>
      <c r="I220" s="1211"/>
      <c r="J220" s="1193"/>
      <c r="L220" s="1193"/>
      <c r="M220" s="1193"/>
      <c r="N220" s="1193"/>
      <c r="O220" s="1212"/>
      <c r="P220" s="1193"/>
      <c r="Q220" s="1193"/>
      <c r="R220" s="1193"/>
      <c r="S220" s="1193"/>
      <c r="T220" s="1193"/>
      <c r="U220" s="1193"/>
      <c r="V220" s="1193"/>
      <c r="W220" s="1193"/>
      <c r="X220" s="1211"/>
      <c r="Y220" s="1193"/>
    </row>
    <row r="221">
      <c r="A221" s="1197" t="s">
        <v>837</v>
      </c>
      <c r="B221" s="1198"/>
      <c r="C221" s="1215" t="s">
        <v>52</v>
      </c>
      <c r="D221" s="1208">
        <v>2780.0</v>
      </c>
      <c r="E221" s="1208"/>
      <c r="F221" s="1206"/>
      <c r="G221" s="1192"/>
      <c r="H221" s="1193"/>
      <c r="I221" s="1211"/>
      <c r="J221" s="1193"/>
      <c r="L221" s="1193"/>
      <c r="M221" s="1193"/>
      <c r="N221" s="1193"/>
      <c r="O221" s="1212"/>
      <c r="P221" s="1193"/>
      <c r="Q221" s="1193"/>
      <c r="R221" s="1193"/>
      <c r="S221" s="1193"/>
      <c r="T221" s="1193"/>
      <c r="U221" s="1193"/>
      <c r="V221" s="1193"/>
      <c r="W221" s="1193"/>
      <c r="X221" s="1211"/>
      <c r="Y221" s="1193"/>
    </row>
    <row r="222">
      <c r="A222" s="1197" t="s">
        <v>838</v>
      </c>
      <c r="B222" s="1198"/>
      <c r="C222" s="1215" t="s">
        <v>52</v>
      </c>
      <c r="D222" s="1208">
        <v>2840.0</v>
      </c>
      <c r="E222" s="1208"/>
      <c r="F222" s="1206"/>
      <c r="G222" s="1192"/>
      <c r="H222" s="1193"/>
      <c r="I222" s="1211"/>
      <c r="J222" s="1193"/>
      <c r="K222" s="1193"/>
      <c r="L222" s="1193"/>
      <c r="M222" s="1193"/>
      <c r="N222" s="1193"/>
      <c r="O222" s="1212"/>
      <c r="P222" s="1193"/>
      <c r="Q222" s="1193"/>
      <c r="R222" s="1193"/>
      <c r="S222" s="1193"/>
      <c r="T222" s="1193"/>
      <c r="U222" s="1193"/>
      <c r="V222" s="1193"/>
      <c r="W222" s="1193"/>
      <c r="X222" s="1211"/>
      <c r="Y222" s="1193"/>
    </row>
    <row r="223">
      <c r="A223" s="1197" t="s">
        <v>839</v>
      </c>
      <c r="B223" s="1198"/>
      <c r="C223" s="1215" t="s">
        <v>52</v>
      </c>
      <c r="D223" s="1208"/>
      <c r="E223" s="1208"/>
      <c r="F223" s="1206"/>
      <c r="G223" s="1192"/>
      <c r="H223" s="1193"/>
      <c r="I223" s="1211"/>
      <c r="J223" s="1193"/>
      <c r="K223" s="1193"/>
      <c r="L223" s="1193"/>
      <c r="M223" s="1193"/>
      <c r="N223" s="1193"/>
      <c r="O223" s="1212"/>
      <c r="P223" s="1193"/>
      <c r="Q223" s="1193"/>
      <c r="R223" s="1193"/>
      <c r="S223" s="1193"/>
      <c r="T223" s="1193"/>
      <c r="U223" s="1193"/>
      <c r="V223" s="1193"/>
      <c r="W223" s="1193"/>
      <c r="X223" s="1211"/>
      <c r="Y223" s="1193"/>
    </row>
    <row r="224">
      <c r="A224" s="1197" t="s">
        <v>840</v>
      </c>
      <c r="B224" s="1198"/>
      <c r="C224" s="1215" t="s">
        <v>52</v>
      </c>
      <c r="D224" s="1208">
        <v>2810.0</v>
      </c>
      <c r="E224" s="1208"/>
      <c r="F224" s="1206"/>
      <c r="G224" s="1192"/>
      <c r="H224" s="1193"/>
      <c r="I224" s="1211"/>
      <c r="J224" s="1193"/>
      <c r="K224" s="1193"/>
      <c r="L224" s="1193"/>
      <c r="M224" s="1193"/>
      <c r="N224" s="1193"/>
      <c r="O224" s="1212"/>
      <c r="P224" s="1193"/>
      <c r="Q224" s="1193"/>
      <c r="R224" s="1193"/>
      <c r="S224" s="1193"/>
      <c r="T224" s="1193"/>
      <c r="U224" s="1193"/>
      <c r="V224" s="1193"/>
      <c r="W224" s="1193"/>
      <c r="X224" s="1211"/>
      <c r="Y224" s="1193"/>
    </row>
    <row r="225">
      <c r="A225" s="1197" t="s">
        <v>841</v>
      </c>
      <c r="B225" s="1198"/>
      <c r="C225" s="1215" t="s">
        <v>52</v>
      </c>
      <c r="D225" s="1208">
        <v>2980.0</v>
      </c>
      <c r="E225" s="1208"/>
      <c r="F225" s="1206"/>
      <c r="G225" s="1192"/>
      <c r="H225" s="1193"/>
      <c r="I225" s="1211"/>
      <c r="J225" s="1193"/>
      <c r="K225" s="1193"/>
      <c r="L225" s="1193"/>
      <c r="M225" s="1193"/>
      <c r="N225" s="1193"/>
      <c r="O225" s="1212"/>
      <c r="P225" s="1193"/>
      <c r="Q225" s="1193"/>
      <c r="R225" s="1193"/>
      <c r="S225" s="1193"/>
      <c r="T225" s="1193"/>
      <c r="U225" s="1193"/>
      <c r="V225" s="1193"/>
      <c r="W225" s="1193"/>
      <c r="X225" s="1211"/>
      <c r="Y225" s="1193"/>
    </row>
    <row r="226">
      <c r="A226" s="1197" t="s">
        <v>842</v>
      </c>
      <c r="B226" s="1198"/>
      <c r="C226" s="1215" t="s">
        <v>52</v>
      </c>
      <c r="D226" s="1208"/>
      <c r="E226" s="1208"/>
      <c r="F226" s="1206"/>
      <c r="G226" s="1192"/>
      <c r="H226" s="1193"/>
      <c r="I226" s="1211"/>
      <c r="J226" s="1193"/>
      <c r="K226" s="1193"/>
      <c r="L226" s="1193"/>
      <c r="M226" s="1193"/>
      <c r="N226" s="1193"/>
      <c r="O226" s="1212"/>
      <c r="P226" s="1193"/>
      <c r="Q226" s="1193"/>
      <c r="R226" s="1193"/>
      <c r="S226" s="1193"/>
      <c r="T226" s="1193"/>
      <c r="U226" s="1193"/>
      <c r="V226" s="1193"/>
      <c r="W226" s="1193"/>
      <c r="X226" s="1211"/>
      <c r="Y226" s="1193"/>
    </row>
    <row r="227">
      <c r="A227" s="1197" t="s">
        <v>843</v>
      </c>
      <c r="B227" s="1198"/>
      <c r="C227" s="1215" t="s">
        <v>52</v>
      </c>
      <c r="D227" s="1208"/>
      <c r="E227" s="1208"/>
      <c r="F227" s="1206"/>
      <c r="G227" s="1192"/>
      <c r="H227" s="1193"/>
      <c r="I227" s="1211"/>
      <c r="J227" s="1193"/>
      <c r="K227" s="1193"/>
      <c r="L227" s="1193"/>
      <c r="M227" s="1193"/>
      <c r="N227" s="1193"/>
      <c r="O227" s="1212"/>
      <c r="P227" s="1193"/>
      <c r="Q227" s="1193"/>
      <c r="R227" s="1193"/>
      <c r="S227" s="1193"/>
      <c r="T227" s="1193"/>
      <c r="U227" s="1193"/>
      <c r="V227" s="1193"/>
      <c r="W227" s="1193"/>
      <c r="X227" s="1211"/>
      <c r="Y227" s="1193"/>
    </row>
    <row r="228">
      <c r="A228" s="1197" t="s">
        <v>844</v>
      </c>
      <c r="B228" s="1198"/>
      <c r="C228" s="1215" t="s">
        <v>52</v>
      </c>
      <c r="D228" s="1208"/>
      <c r="E228" s="1208"/>
      <c r="F228" s="1206"/>
      <c r="G228" s="1192"/>
      <c r="H228" s="1193"/>
      <c r="I228" s="1211"/>
      <c r="J228" s="1193"/>
      <c r="K228" s="1193"/>
      <c r="L228" s="1193"/>
      <c r="M228" s="1193"/>
      <c r="N228" s="1193"/>
      <c r="O228" s="1212"/>
      <c r="P228" s="1193"/>
      <c r="Q228" s="1193"/>
      <c r="R228" s="1193"/>
      <c r="S228" s="1193"/>
      <c r="T228" s="1193"/>
      <c r="U228" s="1193"/>
      <c r="V228" s="1193"/>
      <c r="W228" s="1193"/>
      <c r="X228" s="1211"/>
      <c r="Y228" s="1193"/>
    </row>
    <row r="229">
      <c r="A229" s="1197" t="s">
        <v>845</v>
      </c>
      <c r="B229" s="1198"/>
      <c r="C229" s="1215" t="s">
        <v>52</v>
      </c>
      <c r="D229" s="1208"/>
      <c r="E229" s="1208"/>
      <c r="F229" s="1206"/>
      <c r="G229" s="1192"/>
      <c r="H229" s="1193"/>
      <c r="I229" s="1211"/>
      <c r="J229" s="1193"/>
      <c r="K229" s="1193"/>
      <c r="L229" s="1193"/>
      <c r="M229" s="1193"/>
      <c r="N229" s="1193"/>
      <c r="O229" s="1212"/>
      <c r="P229" s="1193"/>
      <c r="Q229" s="1193"/>
      <c r="R229" s="1193"/>
      <c r="S229" s="1193"/>
      <c r="T229" s="1193"/>
      <c r="U229" s="1193"/>
      <c r="V229" s="1193"/>
      <c r="W229" s="1193"/>
      <c r="X229" s="1211"/>
      <c r="Y229" s="1193"/>
    </row>
    <row r="230">
      <c r="A230" s="1197" t="s">
        <v>846</v>
      </c>
      <c r="B230" s="1198"/>
      <c r="C230" s="1215" t="s">
        <v>52</v>
      </c>
      <c r="D230" s="1208">
        <v>2840.0</v>
      </c>
      <c r="E230" s="1208"/>
      <c r="F230" s="1206"/>
      <c r="G230" s="1192"/>
      <c r="H230" s="1193"/>
      <c r="I230" s="1211"/>
      <c r="J230" s="1193"/>
      <c r="K230" s="1193"/>
      <c r="L230" s="1193"/>
      <c r="M230" s="1193"/>
      <c r="N230" s="1193"/>
      <c r="O230" s="1212"/>
      <c r="P230" s="1193"/>
      <c r="Q230" s="1193"/>
      <c r="R230" s="1193"/>
      <c r="S230" s="1193"/>
      <c r="T230" s="1193"/>
      <c r="U230" s="1193"/>
      <c r="V230" s="1193"/>
      <c r="W230" s="1193"/>
      <c r="X230" s="1211"/>
      <c r="Y230" s="1193"/>
    </row>
    <row r="231">
      <c r="A231" s="1197" t="s">
        <v>847</v>
      </c>
      <c r="B231" s="1198"/>
      <c r="C231" s="1215" t="s">
        <v>52</v>
      </c>
      <c r="D231" s="1208">
        <v>3090.0</v>
      </c>
      <c r="E231" s="1208"/>
      <c r="F231" s="1206"/>
      <c r="G231" s="1192"/>
      <c r="H231" s="1193"/>
      <c r="I231" s="1211"/>
      <c r="J231" s="1193"/>
      <c r="K231" s="1193"/>
      <c r="L231" s="1193"/>
      <c r="M231" s="1193"/>
      <c r="N231" s="1193"/>
      <c r="O231" s="1212"/>
      <c r="P231" s="1193"/>
      <c r="Q231" s="1193"/>
      <c r="R231" s="1193"/>
      <c r="S231" s="1193"/>
      <c r="T231" s="1193"/>
      <c r="U231" s="1193"/>
      <c r="V231" s="1193"/>
      <c r="W231" s="1193"/>
      <c r="X231" s="1211"/>
      <c r="Y231" s="1193"/>
    </row>
    <row r="232">
      <c r="A232" s="1197" t="s">
        <v>848</v>
      </c>
      <c r="B232" s="1198"/>
      <c r="C232" s="1215" t="s">
        <v>52</v>
      </c>
      <c r="D232" s="1208"/>
      <c r="E232" s="1208"/>
      <c r="F232" s="1206"/>
      <c r="G232" s="1192"/>
      <c r="H232" s="1193"/>
      <c r="I232" s="1211"/>
      <c r="J232" s="1193"/>
      <c r="K232" s="1193"/>
      <c r="L232" s="1193"/>
      <c r="M232" s="1193"/>
      <c r="N232" s="1193"/>
      <c r="O232" s="1212"/>
      <c r="P232" s="1193"/>
      <c r="Q232" s="1193"/>
      <c r="R232" s="1193"/>
      <c r="S232" s="1193"/>
      <c r="T232" s="1193"/>
      <c r="U232" s="1193"/>
      <c r="V232" s="1193"/>
      <c r="W232" s="1193"/>
      <c r="X232" s="1211"/>
      <c r="Y232" s="1193"/>
    </row>
    <row r="233">
      <c r="A233" s="1197"/>
      <c r="B233" s="1198"/>
      <c r="C233" s="1215"/>
      <c r="D233" s="1209"/>
      <c r="E233" s="1209"/>
      <c r="F233" s="1200"/>
      <c r="G233" s="1192"/>
      <c r="H233" s="1193"/>
      <c r="I233" s="1211"/>
      <c r="J233" s="1193"/>
      <c r="K233" s="1193"/>
      <c r="L233" s="1193"/>
      <c r="M233" s="1193"/>
      <c r="N233" s="1193"/>
      <c r="O233" s="1212"/>
      <c r="P233" s="1193"/>
      <c r="Q233" s="1193"/>
      <c r="R233" s="1193"/>
      <c r="S233" s="1193"/>
      <c r="T233" s="1193"/>
      <c r="U233" s="1193"/>
      <c r="V233" s="1193"/>
      <c r="W233" s="1193"/>
      <c r="X233" s="1211"/>
      <c r="Y233" s="1193"/>
    </row>
    <row r="234">
      <c r="A234" s="1197"/>
      <c r="B234" s="1198"/>
      <c r="C234" s="1215"/>
      <c r="D234" s="1209"/>
      <c r="E234" s="1209"/>
      <c r="F234" s="1200"/>
      <c r="G234" s="1192"/>
      <c r="H234" s="1193"/>
      <c r="I234" s="1211"/>
      <c r="J234" s="1193"/>
      <c r="K234" s="1193"/>
      <c r="L234" s="1193"/>
      <c r="M234" s="1193"/>
      <c r="N234" s="1193"/>
      <c r="O234" s="1212"/>
      <c r="P234" s="1193"/>
      <c r="Q234" s="1193"/>
      <c r="R234" s="1193"/>
      <c r="S234" s="1193"/>
      <c r="T234" s="1193"/>
      <c r="U234" s="1193"/>
      <c r="V234" s="1193"/>
      <c r="W234" s="1193"/>
      <c r="X234" s="1211"/>
      <c r="Y234" s="1193"/>
    </row>
    <row r="235">
      <c r="A235" s="1197"/>
      <c r="B235" s="1198"/>
      <c r="C235" s="1215"/>
      <c r="D235" s="1209"/>
      <c r="E235" s="1209"/>
      <c r="F235" s="1200"/>
      <c r="G235" s="1192"/>
      <c r="H235" s="1193"/>
      <c r="I235" s="1211"/>
      <c r="J235" s="1193"/>
      <c r="K235" s="1193"/>
      <c r="L235" s="1193"/>
      <c r="M235" s="1193"/>
      <c r="N235" s="1193"/>
      <c r="O235" s="1212"/>
      <c r="P235" s="1193"/>
      <c r="Q235" s="1193"/>
      <c r="R235" s="1193"/>
      <c r="S235" s="1193"/>
      <c r="T235" s="1193"/>
      <c r="U235" s="1193"/>
      <c r="V235" s="1193"/>
      <c r="W235" s="1193"/>
      <c r="X235" s="1211"/>
      <c r="Y235" s="1193"/>
    </row>
    <row r="236">
      <c r="A236" s="1197"/>
      <c r="B236" s="1198"/>
      <c r="C236" s="1215"/>
      <c r="D236" s="1209"/>
      <c r="E236" s="1209"/>
      <c r="F236" s="1200"/>
      <c r="G236" s="1192"/>
      <c r="H236" s="1193"/>
      <c r="I236" s="1211"/>
      <c r="J236" s="1193"/>
      <c r="K236" s="1193"/>
      <c r="L236" s="1193"/>
      <c r="M236" s="1193"/>
      <c r="N236" s="1193"/>
      <c r="O236" s="1212"/>
      <c r="P236" s="1193"/>
      <c r="Q236" s="1193"/>
      <c r="R236" s="1193"/>
      <c r="S236" s="1193"/>
      <c r="T236" s="1193"/>
      <c r="U236" s="1193"/>
      <c r="V236" s="1193"/>
      <c r="W236" s="1193"/>
      <c r="X236" s="1211"/>
      <c r="Y236" s="1193"/>
    </row>
    <row r="237">
      <c r="A237" s="1197"/>
      <c r="B237" s="1198"/>
      <c r="C237" s="1215"/>
      <c r="D237" s="1209"/>
      <c r="E237" s="1209"/>
      <c r="F237" s="1200"/>
      <c r="G237" s="1192"/>
      <c r="H237" s="1193"/>
      <c r="I237" s="1211"/>
      <c r="J237" s="1193"/>
      <c r="K237" s="1193"/>
      <c r="L237" s="1193"/>
      <c r="M237" s="1193"/>
      <c r="N237" s="1193"/>
      <c r="O237" s="1212"/>
      <c r="P237" s="1193"/>
      <c r="Q237" s="1193"/>
      <c r="R237" s="1193"/>
      <c r="S237" s="1193"/>
      <c r="T237" s="1193"/>
      <c r="U237" s="1193"/>
      <c r="V237" s="1193"/>
      <c r="W237" s="1193"/>
      <c r="X237" s="1211"/>
      <c r="Y237" s="1193"/>
    </row>
    <row r="238">
      <c r="A238" s="1187" t="s">
        <v>849</v>
      </c>
      <c r="B238" s="1188"/>
      <c r="C238" s="1189" t="s">
        <v>15</v>
      </c>
      <c r="D238" s="1190" t="s">
        <v>26</v>
      </c>
      <c r="E238" s="1190"/>
      <c r="F238" s="1191"/>
      <c r="G238" s="1192"/>
      <c r="H238" s="1193"/>
      <c r="I238" s="1211"/>
      <c r="J238" s="1193"/>
      <c r="K238" s="1193"/>
      <c r="L238" s="1193"/>
      <c r="M238" s="1193"/>
      <c r="N238" s="1193"/>
      <c r="O238" s="1212"/>
      <c r="P238" s="1193"/>
      <c r="Q238" s="1193"/>
      <c r="R238" s="1193"/>
      <c r="S238" s="1193"/>
      <c r="T238" s="1193"/>
      <c r="U238" s="1193"/>
      <c r="V238" s="1193"/>
      <c r="W238" s="1193"/>
      <c r="X238" s="1211"/>
      <c r="Y238" s="1193"/>
    </row>
    <row r="239">
      <c r="A239" s="1197" t="s">
        <v>850</v>
      </c>
      <c r="B239" s="1198"/>
      <c r="C239" s="1215" t="s">
        <v>55</v>
      </c>
      <c r="D239" s="1208">
        <v>12.54</v>
      </c>
      <c r="E239" s="1209"/>
      <c r="F239" s="1200"/>
      <c r="G239" s="1192"/>
      <c r="H239" s="1193"/>
      <c r="I239" s="1211"/>
      <c r="J239" s="1193"/>
      <c r="K239" s="1193"/>
      <c r="L239" s="1193"/>
      <c r="M239" s="1193"/>
      <c r="N239" s="1193"/>
      <c r="O239" s="1212"/>
      <c r="P239" s="1193"/>
      <c r="Q239" s="1193"/>
      <c r="R239" s="1193"/>
      <c r="S239" s="1193"/>
      <c r="T239" s="1193"/>
      <c r="U239" s="1193"/>
      <c r="V239" s="1193"/>
      <c r="W239" s="1193"/>
      <c r="X239" s="1211"/>
      <c r="Y239" s="1193"/>
    </row>
    <row r="240">
      <c r="A240" s="1197" t="s">
        <v>851</v>
      </c>
      <c r="B240" s="1198"/>
      <c r="C240" s="1215" t="s">
        <v>55</v>
      </c>
      <c r="D240" s="1208">
        <v>12.54</v>
      </c>
      <c r="E240" s="1209"/>
      <c r="F240" s="1200"/>
      <c r="G240" s="1230"/>
      <c r="H240" s="1230"/>
      <c r="I240" s="1231"/>
      <c r="J240" s="1230"/>
      <c r="K240" s="1230"/>
      <c r="L240" s="1230"/>
      <c r="M240" s="1230"/>
      <c r="N240" s="1230"/>
      <c r="O240" s="1232"/>
      <c r="P240" s="1230"/>
      <c r="Q240" s="1230"/>
      <c r="R240" s="1230"/>
      <c r="S240" s="1230"/>
      <c r="T240" s="1230"/>
      <c r="U240" s="1230"/>
      <c r="V240" s="1230"/>
      <c r="W240" s="1230"/>
      <c r="X240" s="1231"/>
      <c r="Y240" s="1230"/>
    </row>
    <row r="241">
      <c r="A241" s="1197" t="s">
        <v>852</v>
      </c>
      <c r="B241" s="1198"/>
      <c r="C241" s="1215" t="s">
        <v>52</v>
      </c>
      <c r="D241" s="1208">
        <v>2.2</v>
      </c>
      <c r="E241" s="1209"/>
      <c r="F241" s="1200"/>
      <c r="G241" s="1230"/>
      <c r="H241" s="1230"/>
      <c r="I241" s="1231"/>
      <c r="J241" s="1230"/>
      <c r="K241" s="1230"/>
      <c r="L241" s="1230"/>
      <c r="M241" s="1230"/>
      <c r="N241" s="1230"/>
      <c r="O241" s="1232"/>
      <c r="P241" s="1230"/>
      <c r="Q241" s="1230"/>
      <c r="R241" s="1230"/>
      <c r="S241" s="1230"/>
      <c r="T241" s="1230"/>
      <c r="U241" s="1230"/>
      <c r="V241" s="1230"/>
      <c r="W241" s="1230"/>
      <c r="X241" s="1231"/>
      <c r="Y241" s="1230"/>
    </row>
    <row r="242">
      <c r="A242" s="1197" t="s">
        <v>853</v>
      </c>
      <c r="B242" s="1198"/>
      <c r="C242" s="1215" t="s">
        <v>52</v>
      </c>
      <c r="D242" s="1208">
        <v>8.76</v>
      </c>
      <c r="E242" s="1209"/>
      <c r="F242" s="1200"/>
      <c r="G242" s="1230"/>
      <c r="H242" s="1230"/>
      <c r="I242" s="1231"/>
      <c r="J242" s="1230"/>
      <c r="K242" s="1230"/>
      <c r="L242" s="1230"/>
      <c r="M242" s="1230"/>
      <c r="N242" s="1230"/>
      <c r="O242" s="1232"/>
      <c r="P242" s="1230"/>
      <c r="Q242" s="1230"/>
      <c r="R242" s="1230"/>
      <c r="S242" s="1230"/>
      <c r="T242" s="1230"/>
      <c r="U242" s="1230"/>
      <c r="V242" s="1230"/>
      <c r="W242" s="1230"/>
      <c r="X242" s="1231"/>
      <c r="Y242" s="1230"/>
    </row>
    <row r="243">
      <c r="A243" s="1197" t="s">
        <v>854</v>
      </c>
      <c r="B243" s="1198"/>
      <c r="C243" s="1215" t="s">
        <v>52</v>
      </c>
      <c r="D243" s="1208">
        <v>8.62</v>
      </c>
      <c r="E243" s="1209"/>
      <c r="F243" s="1200"/>
      <c r="G243" s="1230"/>
      <c r="H243" s="1230"/>
      <c r="I243" s="1231"/>
      <c r="J243" s="1230"/>
      <c r="K243" s="1230"/>
      <c r="L243" s="1230"/>
      <c r="M243" s="1230"/>
      <c r="N243" s="1230"/>
      <c r="O243" s="1232"/>
      <c r="P243" s="1230"/>
      <c r="Q243" s="1230"/>
      <c r="R243" s="1230"/>
      <c r="S243" s="1230"/>
      <c r="T243" s="1230"/>
      <c r="U243" s="1230"/>
      <c r="V243" s="1230"/>
      <c r="W243" s="1230"/>
      <c r="X243" s="1231"/>
      <c r="Y243" s="1230"/>
    </row>
    <row r="244">
      <c r="A244" s="1197" t="s">
        <v>855</v>
      </c>
      <c r="B244" s="1198"/>
      <c r="C244" s="1215" t="s">
        <v>52</v>
      </c>
      <c r="D244" s="1208">
        <v>8.62</v>
      </c>
      <c r="E244" s="1209"/>
      <c r="F244" s="1200"/>
      <c r="G244" s="1230"/>
      <c r="H244" s="1230"/>
      <c r="I244" s="1231"/>
      <c r="J244" s="1230"/>
      <c r="K244" s="1230"/>
      <c r="L244" s="1230"/>
      <c r="M244" s="1230"/>
      <c r="N244" s="1230"/>
      <c r="O244" s="1232"/>
      <c r="P244" s="1230"/>
      <c r="Q244" s="1230"/>
      <c r="R244" s="1230"/>
      <c r="S244" s="1230"/>
      <c r="T244" s="1230"/>
      <c r="U244" s="1230"/>
      <c r="V244" s="1230"/>
      <c r="W244" s="1230"/>
      <c r="X244" s="1231"/>
      <c r="Y244" s="1230"/>
    </row>
    <row r="245">
      <c r="A245" s="1197"/>
      <c r="B245" s="1198"/>
      <c r="C245" s="1215"/>
      <c r="D245" s="1209"/>
      <c r="E245" s="1209"/>
      <c r="F245" s="1200"/>
      <c r="G245" s="1230"/>
      <c r="H245" s="1230"/>
      <c r="I245" s="1231"/>
      <c r="J245" s="1230"/>
      <c r="K245" s="1230"/>
      <c r="L245" s="1230"/>
      <c r="M245" s="1230"/>
      <c r="N245" s="1230"/>
      <c r="O245" s="1232"/>
      <c r="P245" s="1230"/>
      <c r="Q245" s="1230"/>
      <c r="R245" s="1230"/>
      <c r="S245" s="1230"/>
      <c r="T245" s="1230"/>
      <c r="U245" s="1230"/>
      <c r="V245" s="1230"/>
      <c r="W245" s="1230"/>
      <c r="X245" s="1231"/>
      <c r="Y245" s="1230"/>
    </row>
    <row r="246">
      <c r="A246" s="1197"/>
      <c r="B246" s="1198"/>
      <c r="C246" s="1215"/>
      <c r="D246" s="1209"/>
      <c r="E246" s="1209"/>
      <c r="F246" s="1200"/>
      <c r="G246" s="1230"/>
      <c r="H246" s="1230"/>
      <c r="I246" s="1231"/>
      <c r="J246" s="1230"/>
      <c r="K246" s="1230"/>
      <c r="L246" s="1230"/>
      <c r="M246" s="1230"/>
      <c r="N246" s="1230"/>
      <c r="O246" s="1232"/>
      <c r="P246" s="1230"/>
      <c r="Q246" s="1230"/>
      <c r="R246" s="1230"/>
      <c r="S246" s="1230"/>
      <c r="T246" s="1230"/>
      <c r="U246" s="1230"/>
      <c r="V246" s="1230"/>
      <c r="W246" s="1230"/>
      <c r="X246" s="1231"/>
      <c r="Y246" s="1230"/>
    </row>
    <row r="247">
      <c r="A247" s="1197"/>
      <c r="B247" s="1198"/>
      <c r="C247" s="1215"/>
      <c r="D247" s="1209"/>
      <c r="E247" s="1209"/>
      <c r="F247" s="1200"/>
      <c r="G247" s="1230"/>
      <c r="H247" s="1230"/>
      <c r="I247" s="1231"/>
      <c r="J247" s="1230"/>
      <c r="K247" s="1230"/>
      <c r="L247" s="1230"/>
      <c r="M247" s="1230"/>
      <c r="N247" s="1230"/>
      <c r="O247" s="1232"/>
      <c r="P247" s="1230"/>
      <c r="Q247" s="1230"/>
      <c r="R247" s="1230"/>
      <c r="S247" s="1230"/>
      <c r="T247" s="1230"/>
      <c r="U247" s="1230"/>
      <c r="V247" s="1230"/>
      <c r="W247" s="1230"/>
      <c r="X247" s="1231"/>
      <c r="Y247" s="1230"/>
    </row>
    <row r="248">
      <c r="A248" s="1197"/>
      <c r="B248" s="1198"/>
      <c r="C248" s="1215"/>
      <c r="D248" s="1209"/>
      <c r="E248" s="1209"/>
      <c r="F248" s="1200"/>
      <c r="G248" s="1230"/>
      <c r="H248" s="1230"/>
      <c r="I248" s="1231"/>
      <c r="J248" s="1230"/>
      <c r="K248" s="1230"/>
      <c r="L248" s="1230"/>
      <c r="M248" s="1230"/>
      <c r="N248" s="1230"/>
      <c r="O248" s="1232"/>
      <c r="P248" s="1230"/>
      <c r="Q248" s="1230"/>
      <c r="R248" s="1230"/>
      <c r="S248" s="1230"/>
      <c r="T248" s="1230"/>
      <c r="U248" s="1230"/>
      <c r="V248" s="1230"/>
      <c r="W248" s="1230"/>
      <c r="X248" s="1231"/>
      <c r="Y248" s="1230"/>
    </row>
    <row r="249">
      <c r="A249" s="1197"/>
      <c r="B249" s="1198"/>
      <c r="C249" s="1215"/>
      <c r="D249" s="1209"/>
      <c r="E249" s="1209"/>
      <c r="F249" s="1200"/>
      <c r="G249" s="1230"/>
      <c r="H249" s="1230"/>
      <c r="I249" s="1231"/>
      <c r="J249" s="1230"/>
      <c r="K249" s="1230"/>
      <c r="L249" s="1230"/>
      <c r="M249" s="1230"/>
      <c r="N249" s="1230"/>
      <c r="O249" s="1232"/>
      <c r="P249" s="1230"/>
      <c r="Q249" s="1230"/>
      <c r="R249" s="1230"/>
      <c r="S249" s="1230"/>
      <c r="T249" s="1230"/>
      <c r="U249" s="1230"/>
      <c r="V249" s="1230"/>
      <c r="W249" s="1230"/>
      <c r="X249" s="1231"/>
      <c r="Y249" s="1230"/>
    </row>
    <row r="250">
      <c r="A250" s="1197"/>
      <c r="B250" s="1198"/>
      <c r="C250" s="1215"/>
      <c r="D250" s="1209"/>
      <c r="E250" s="1209"/>
      <c r="F250" s="1200"/>
      <c r="G250" s="1230"/>
      <c r="H250" s="1230"/>
      <c r="I250" s="1231"/>
      <c r="J250" s="1230"/>
      <c r="K250" s="1230"/>
      <c r="L250" s="1230"/>
      <c r="M250" s="1230"/>
      <c r="N250" s="1230"/>
      <c r="O250" s="1232"/>
      <c r="P250" s="1230"/>
      <c r="Q250" s="1230"/>
      <c r="R250" s="1230"/>
      <c r="S250" s="1230"/>
      <c r="T250" s="1230"/>
      <c r="U250" s="1230"/>
      <c r="V250" s="1230"/>
      <c r="W250" s="1230"/>
      <c r="X250" s="1231"/>
      <c r="Y250" s="1230"/>
    </row>
    <row r="251">
      <c r="A251" s="1197"/>
      <c r="B251" s="1198"/>
      <c r="C251" s="1215"/>
      <c r="D251" s="1209"/>
      <c r="E251" s="1209"/>
      <c r="F251" s="1200"/>
      <c r="G251" s="1230"/>
      <c r="H251" s="1230"/>
      <c r="I251" s="1231"/>
      <c r="J251" s="1230"/>
      <c r="K251" s="1230"/>
      <c r="L251" s="1230"/>
      <c r="M251" s="1230"/>
      <c r="N251" s="1230"/>
      <c r="O251" s="1232"/>
      <c r="P251" s="1230"/>
      <c r="Q251" s="1230"/>
      <c r="R251" s="1230"/>
      <c r="S251" s="1230"/>
      <c r="T251" s="1230"/>
      <c r="U251" s="1230"/>
      <c r="V251" s="1230"/>
      <c r="W251" s="1230"/>
      <c r="X251" s="1231"/>
      <c r="Y251" s="1230"/>
    </row>
    <row r="252">
      <c r="A252" s="1197"/>
      <c r="B252" s="1198"/>
      <c r="C252" s="1215"/>
      <c r="D252" s="1209"/>
      <c r="E252" s="1209"/>
      <c r="F252" s="1200"/>
      <c r="G252" s="1230"/>
      <c r="H252" s="1230"/>
      <c r="I252" s="1231"/>
      <c r="J252" s="1230"/>
      <c r="K252" s="1230"/>
      <c r="L252" s="1230"/>
      <c r="M252" s="1230"/>
      <c r="N252" s="1230"/>
      <c r="O252" s="1232"/>
      <c r="P252" s="1230"/>
      <c r="Q252" s="1230"/>
      <c r="R252" s="1230"/>
      <c r="S252" s="1230"/>
      <c r="T252" s="1230"/>
      <c r="U252" s="1230"/>
      <c r="V252" s="1230"/>
      <c r="W252" s="1230"/>
      <c r="X252" s="1231"/>
      <c r="Y252" s="1230"/>
    </row>
    <row r="253">
      <c r="A253" s="1197"/>
      <c r="B253" s="1198"/>
      <c r="C253" s="1215"/>
      <c r="D253" s="1209"/>
      <c r="E253" s="1209"/>
      <c r="F253" s="1200"/>
      <c r="G253" s="1230"/>
      <c r="H253" s="1230"/>
      <c r="I253" s="1231"/>
      <c r="J253" s="1230"/>
      <c r="K253" s="1230"/>
      <c r="L253" s="1230"/>
      <c r="M253" s="1230"/>
      <c r="N253" s="1230"/>
      <c r="O253" s="1232"/>
      <c r="P253" s="1230"/>
      <c r="Q253" s="1230"/>
      <c r="R253" s="1230"/>
      <c r="S253" s="1230"/>
      <c r="T253" s="1230"/>
      <c r="U253" s="1230"/>
      <c r="V253" s="1230"/>
      <c r="W253" s="1230"/>
      <c r="X253" s="1231"/>
      <c r="Y253" s="1230"/>
    </row>
    <row r="254">
      <c r="A254" s="1197"/>
      <c r="B254" s="1198"/>
      <c r="C254" s="1215"/>
      <c r="D254" s="1209"/>
      <c r="E254" s="1209"/>
      <c r="F254" s="1200"/>
      <c r="G254" s="1230"/>
      <c r="H254" s="1230"/>
      <c r="I254" s="1231"/>
      <c r="J254" s="1230"/>
      <c r="K254" s="1230"/>
      <c r="L254" s="1230"/>
      <c r="M254" s="1230"/>
      <c r="N254" s="1230"/>
      <c r="O254" s="1232"/>
      <c r="P254" s="1230"/>
      <c r="Q254" s="1230"/>
      <c r="R254" s="1230"/>
      <c r="S254" s="1230"/>
      <c r="T254" s="1230"/>
      <c r="U254" s="1230"/>
      <c r="V254" s="1230"/>
      <c r="W254" s="1230"/>
      <c r="X254" s="1231"/>
      <c r="Y254" s="1230"/>
    </row>
    <row r="255">
      <c r="A255" s="1197"/>
      <c r="B255" s="1198"/>
      <c r="C255" s="1215"/>
      <c r="D255" s="1209"/>
      <c r="E255" s="1209"/>
      <c r="F255" s="1200"/>
      <c r="G255" s="1230"/>
      <c r="H255" s="1230"/>
      <c r="I255" s="1231"/>
      <c r="J255" s="1230"/>
      <c r="K255" s="1230"/>
      <c r="L255" s="1230"/>
      <c r="M255" s="1230"/>
      <c r="N255" s="1230"/>
      <c r="O255" s="1232"/>
      <c r="P255" s="1230"/>
      <c r="Q255" s="1230"/>
      <c r="R255" s="1230"/>
      <c r="S255" s="1230"/>
      <c r="T255" s="1230"/>
      <c r="U255" s="1230"/>
      <c r="V255" s="1230"/>
      <c r="W255" s="1230"/>
      <c r="X255" s="1231"/>
      <c r="Y255" s="1230"/>
    </row>
    <row r="256">
      <c r="A256" s="1197"/>
      <c r="B256" s="1198"/>
      <c r="C256" s="1215"/>
      <c r="D256" s="1209"/>
      <c r="E256" s="1209"/>
      <c r="F256" s="1200"/>
      <c r="G256" s="1230"/>
      <c r="H256" s="1230"/>
      <c r="I256" s="1231"/>
      <c r="J256" s="1230"/>
      <c r="K256" s="1230"/>
      <c r="L256" s="1230"/>
      <c r="M256" s="1230"/>
      <c r="N256" s="1230"/>
      <c r="O256" s="1232"/>
      <c r="P256" s="1230"/>
      <c r="Q256" s="1230"/>
      <c r="R256" s="1230"/>
      <c r="S256" s="1230"/>
      <c r="T256" s="1230"/>
      <c r="U256" s="1230"/>
      <c r="V256" s="1230"/>
      <c r="W256" s="1230"/>
      <c r="X256" s="1231"/>
      <c r="Y256" s="1230"/>
    </row>
    <row r="257">
      <c r="A257" s="1197"/>
      <c r="B257" s="1198"/>
      <c r="C257" s="1215"/>
      <c r="D257" s="1209"/>
      <c r="E257" s="1209"/>
      <c r="F257" s="1200"/>
      <c r="G257" s="1230"/>
      <c r="H257" s="1230"/>
      <c r="I257" s="1231"/>
      <c r="J257" s="1230"/>
      <c r="K257" s="1230"/>
      <c r="L257" s="1230"/>
      <c r="M257" s="1230"/>
      <c r="N257" s="1230"/>
      <c r="O257" s="1232"/>
      <c r="P257" s="1230"/>
      <c r="Q257" s="1230"/>
      <c r="R257" s="1230"/>
      <c r="S257" s="1230"/>
      <c r="T257" s="1230"/>
      <c r="U257" s="1230"/>
      <c r="V257" s="1230"/>
      <c r="W257" s="1230"/>
      <c r="X257" s="1231"/>
      <c r="Y257" s="1230"/>
    </row>
    <row r="258">
      <c r="A258" s="1197"/>
      <c r="B258" s="1198"/>
      <c r="C258" s="1215"/>
      <c r="D258" s="1209"/>
      <c r="E258" s="1209"/>
      <c r="F258" s="1200"/>
      <c r="G258" s="1230"/>
      <c r="H258" s="1230"/>
      <c r="I258" s="1231"/>
      <c r="J258" s="1230"/>
      <c r="K258" s="1230"/>
      <c r="L258" s="1230"/>
      <c r="M258" s="1230"/>
      <c r="N258" s="1230"/>
      <c r="O258" s="1232"/>
      <c r="P258" s="1230"/>
      <c r="Q258" s="1230"/>
      <c r="R258" s="1230"/>
      <c r="S258" s="1230"/>
      <c r="T258" s="1230"/>
      <c r="U258" s="1230"/>
      <c r="V258" s="1230"/>
      <c r="W258" s="1230"/>
      <c r="X258" s="1231"/>
      <c r="Y258" s="1230"/>
    </row>
    <row r="259">
      <c r="A259" s="1197"/>
      <c r="B259" s="1198"/>
      <c r="C259" s="1215"/>
      <c r="D259" s="1209"/>
      <c r="E259" s="1209"/>
      <c r="F259" s="1200"/>
      <c r="G259" s="1230"/>
      <c r="H259" s="1230"/>
      <c r="I259" s="1231"/>
      <c r="J259" s="1230"/>
      <c r="K259" s="1230"/>
      <c r="L259" s="1230"/>
      <c r="M259" s="1230"/>
      <c r="N259" s="1230"/>
      <c r="O259" s="1232"/>
      <c r="P259" s="1230"/>
      <c r="Q259" s="1230"/>
      <c r="R259" s="1230"/>
      <c r="S259" s="1230"/>
      <c r="T259" s="1230"/>
      <c r="U259" s="1230"/>
      <c r="V259" s="1230"/>
      <c r="W259" s="1230"/>
      <c r="X259" s="1231"/>
      <c r="Y259" s="1230"/>
    </row>
    <row r="260">
      <c r="A260" s="1197"/>
      <c r="B260" s="1198"/>
      <c r="C260" s="1215"/>
      <c r="D260" s="1209"/>
      <c r="E260" s="1209"/>
      <c r="F260" s="1200"/>
      <c r="G260" s="1230"/>
      <c r="H260" s="1230"/>
      <c r="I260" s="1231"/>
      <c r="J260" s="1230"/>
      <c r="K260" s="1230"/>
      <c r="L260" s="1230"/>
      <c r="M260" s="1230"/>
      <c r="N260" s="1230"/>
      <c r="O260" s="1232"/>
      <c r="P260" s="1230"/>
      <c r="Q260" s="1230"/>
      <c r="R260" s="1230"/>
      <c r="S260" s="1230"/>
      <c r="T260" s="1230"/>
      <c r="U260" s="1230"/>
      <c r="V260" s="1230"/>
      <c r="W260" s="1230"/>
      <c r="X260" s="1231"/>
      <c r="Y260" s="1230"/>
    </row>
    <row r="261">
      <c r="A261" s="1197"/>
      <c r="B261" s="1198"/>
      <c r="C261" s="1215"/>
      <c r="D261" s="1209"/>
      <c r="E261" s="1209"/>
      <c r="F261" s="1200"/>
      <c r="G261" s="1230"/>
      <c r="H261" s="1230"/>
      <c r="I261" s="1231"/>
      <c r="J261" s="1230"/>
      <c r="K261" s="1230"/>
      <c r="L261" s="1230"/>
      <c r="M261" s="1230"/>
      <c r="N261" s="1230"/>
      <c r="O261" s="1232"/>
      <c r="P261" s="1230"/>
      <c r="Q261" s="1230"/>
      <c r="R261" s="1230"/>
      <c r="S261" s="1230"/>
      <c r="T261" s="1230"/>
      <c r="U261" s="1230"/>
      <c r="V261" s="1230"/>
      <c r="W261" s="1230"/>
      <c r="X261" s="1231"/>
      <c r="Y261" s="1230"/>
    </row>
    <row r="262">
      <c r="A262" s="1197"/>
      <c r="B262" s="1198"/>
      <c r="C262" s="1215"/>
      <c r="D262" s="1209"/>
      <c r="E262" s="1209"/>
      <c r="F262" s="1200"/>
      <c r="G262" s="1230"/>
      <c r="H262" s="1230"/>
      <c r="I262" s="1231"/>
      <c r="J262" s="1230"/>
      <c r="K262" s="1230"/>
      <c r="L262" s="1230"/>
      <c r="M262" s="1230"/>
      <c r="N262" s="1230"/>
      <c r="O262" s="1232"/>
      <c r="P262" s="1230"/>
      <c r="Q262" s="1230"/>
      <c r="R262" s="1230"/>
      <c r="S262" s="1230"/>
      <c r="T262" s="1230"/>
      <c r="U262" s="1230"/>
      <c r="V262" s="1230"/>
      <c r="W262" s="1230"/>
      <c r="X262" s="1231"/>
      <c r="Y262" s="1230"/>
    </row>
    <row r="263">
      <c r="A263" s="1197"/>
      <c r="B263" s="1198"/>
      <c r="C263" s="1215"/>
      <c r="D263" s="1209"/>
      <c r="E263" s="1209"/>
      <c r="F263" s="1200"/>
      <c r="G263" s="1230"/>
      <c r="H263" s="1230"/>
      <c r="I263" s="1231"/>
      <c r="J263" s="1230"/>
      <c r="K263" s="1230"/>
      <c r="L263" s="1230"/>
      <c r="M263" s="1230"/>
      <c r="N263" s="1230"/>
      <c r="O263" s="1232"/>
      <c r="P263" s="1230"/>
      <c r="Q263" s="1230"/>
      <c r="R263" s="1230"/>
      <c r="S263" s="1230"/>
      <c r="T263" s="1230"/>
      <c r="U263" s="1230"/>
      <c r="V263" s="1230"/>
      <c r="W263" s="1230"/>
      <c r="X263" s="1231"/>
      <c r="Y263" s="1230"/>
    </row>
    <row r="264">
      <c r="A264" s="1197"/>
      <c r="B264" s="1198"/>
      <c r="C264" s="1215"/>
      <c r="D264" s="1209"/>
      <c r="E264" s="1209"/>
      <c r="F264" s="1200"/>
      <c r="G264" s="1230"/>
      <c r="H264" s="1230"/>
      <c r="I264" s="1231"/>
      <c r="J264" s="1230"/>
      <c r="K264" s="1230"/>
      <c r="L264" s="1230"/>
      <c r="M264" s="1230"/>
      <c r="N264" s="1230"/>
      <c r="O264" s="1232"/>
      <c r="P264" s="1230"/>
      <c r="Q264" s="1230"/>
      <c r="R264" s="1230"/>
      <c r="S264" s="1230"/>
      <c r="T264" s="1230"/>
      <c r="U264" s="1230"/>
      <c r="V264" s="1230"/>
      <c r="W264" s="1230"/>
      <c r="X264" s="1231"/>
      <c r="Y264" s="1230"/>
    </row>
    <row r="265">
      <c r="A265" s="1197"/>
      <c r="B265" s="1198"/>
      <c r="C265" s="1215"/>
      <c r="D265" s="1209"/>
      <c r="E265" s="1209"/>
      <c r="F265" s="1200"/>
      <c r="G265" s="1230"/>
      <c r="H265" s="1230"/>
      <c r="I265" s="1231"/>
      <c r="J265" s="1230"/>
      <c r="K265" s="1230"/>
      <c r="L265" s="1230"/>
      <c r="M265" s="1230"/>
      <c r="N265" s="1230"/>
      <c r="O265" s="1232"/>
      <c r="P265" s="1230"/>
      <c r="Q265" s="1230"/>
      <c r="R265" s="1230"/>
      <c r="S265" s="1230"/>
      <c r="T265" s="1230"/>
      <c r="U265" s="1230"/>
      <c r="V265" s="1230"/>
      <c r="W265" s="1230"/>
      <c r="X265" s="1231"/>
      <c r="Y265" s="1230"/>
    </row>
    <row r="266">
      <c r="A266" s="1197"/>
      <c r="B266" s="1198"/>
      <c r="C266" s="1215"/>
      <c r="D266" s="1209"/>
      <c r="E266" s="1209"/>
      <c r="F266" s="1200"/>
      <c r="G266" s="1230"/>
      <c r="H266" s="1230"/>
      <c r="I266" s="1231"/>
      <c r="J266" s="1230"/>
      <c r="K266" s="1230"/>
      <c r="L266" s="1230"/>
      <c r="M266" s="1230"/>
      <c r="N266" s="1230"/>
      <c r="O266" s="1232"/>
      <c r="P266" s="1230"/>
      <c r="Q266" s="1230"/>
      <c r="R266" s="1230"/>
      <c r="S266" s="1230"/>
      <c r="T266" s="1230"/>
      <c r="U266" s="1230"/>
      <c r="V266" s="1230"/>
      <c r="W266" s="1230"/>
      <c r="X266" s="1231"/>
      <c r="Y266" s="1230"/>
    </row>
    <row r="267">
      <c r="A267" s="1197"/>
      <c r="B267" s="1198"/>
      <c r="C267" s="1215"/>
      <c r="D267" s="1209"/>
      <c r="E267" s="1209"/>
      <c r="F267" s="1200"/>
      <c r="G267" s="1230"/>
      <c r="H267" s="1230"/>
      <c r="I267" s="1231"/>
      <c r="J267" s="1230"/>
      <c r="K267" s="1230"/>
      <c r="L267" s="1230"/>
      <c r="M267" s="1230"/>
      <c r="N267" s="1230"/>
      <c r="O267" s="1232"/>
      <c r="P267" s="1230"/>
      <c r="Q267" s="1230"/>
      <c r="R267" s="1230"/>
      <c r="S267" s="1230"/>
      <c r="T267" s="1230"/>
      <c r="U267" s="1230"/>
      <c r="V267" s="1230"/>
      <c r="W267" s="1230"/>
      <c r="X267" s="1231"/>
      <c r="Y267" s="1230"/>
    </row>
    <row r="268">
      <c r="A268" s="1197"/>
      <c r="B268" s="1198"/>
      <c r="C268" s="1215"/>
      <c r="D268" s="1209"/>
      <c r="E268" s="1209"/>
      <c r="F268" s="1200"/>
      <c r="G268" s="1230"/>
      <c r="H268" s="1230"/>
      <c r="I268" s="1231"/>
      <c r="J268" s="1230"/>
      <c r="K268" s="1230"/>
      <c r="L268" s="1230"/>
      <c r="M268" s="1230"/>
      <c r="N268" s="1230"/>
      <c r="O268" s="1232"/>
      <c r="P268" s="1230"/>
      <c r="Q268" s="1230"/>
      <c r="R268" s="1230"/>
      <c r="S268" s="1230"/>
      <c r="T268" s="1230"/>
      <c r="U268" s="1230"/>
      <c r="V268" s="1230"/>
      <c r="W268" s="1230"/>
      <c r="X268" s="1231"/>
      <c r="Y268" s="1230"/>
    </row>
    <row r="269">
      <c r="A269" s="1197"/>
      <c r="B269" s="1198"/>
      <c r="C269" s="1215"/>
      <c r="D269" s="1209"/>
      <c r="E269" s="1209"/>
      <c r="F269" s="1200"/>
      <c r="G269" s="1230"/>
      <c r="H269" s="1230"/>
      <c r="I269" s="1231"/>
      <c r="J269" s="1230"/>
      <c r="K269" s="1230"/>
      <c r="L269" s="1230"/>
      <c r="M269" s="1230"/>
      <c r="N269" s="1230"/>
      <c r="O269" s="1232"/>
      <c r="P269" s="1230"/>
      <c r="Q269" s="1230"/>
      <c r="R269" s="1230"/>
      <c r="S269" s="1230"/>
      <c r="T269" s="1230"/>
      <c r="U269" s="1230"/>
      <c r="V269" s="1230"/>
      <c r="W269" s="1230"/>
      <c r="X269" s="1231"/>
      <c r="Y269" s="1230"/>
    </row>
    <row r="270">
      <c r="A270" s="1197"/>
      <c r="B270" s="1198"/>
      <c r="C270" s="1215"/>
      <c r="D270" s="1209"/>
      <c r="E270" s="1209"/>
      <c r="F270" s="1200"/>
      <c r="G270" s="1230"/>
      <c r="H270" s="1230"/>
      <c r="I270" s="1231"/>
      <c r="J270" s="1230"/>
      <c r="K270" s="1230"/>
      <c r="L270" s="1230"/>
      <c r="M270" s="1230"/>
      <c r="N270" s="1230"/>
      <c r="O270" s="1232"/>
      <c r="P270" s="1230"/>
      <c r="Q270" s="1230"/>
      <c r="R270" s="1230"/>
      <c r="S270" s="1230"/>
      <c r="T270" s="1230"/>
      <c r="U270" s="1230"/>
      <c r="V270" s="1230"/>
      <c r="W270" s="1230"/>
      <c r="X270" s="1231"/>
      <c r="Y270" s="1230"/>
    </row>
    <row r="271">
      <c r="A271" s="1197"/>
      <c r="B271" s="1198"/>
      <c r="C271" s="1215"/>
      <c r="D271" s="1209"/>
      <c r="E271" s="1209"/>
      <c r="F271" s="1200"/>
      <c r="G271" s="1230"/>
      <c r="H271" s="1230"/>
      <c r="I271" s="1231"/>
      <c r="J271" s="1230"/>
      <c r="K271" s="1230"/>
      <c r="L271" s="1230"/>
      <c r="M271" s="1230"/>
      <c r="N271" s="1230"/>
      <c r="O271" s="1232"/>
      <c r="P271" s="1230"/>
      <c r="Q271" s="1230"/>
      <c r="R271" s="1230"/>
      <c r="S271" s="1230"/>
      <c r="T271" s="1230"/>
      <c r="U271" s="1230"/>
      <c r="V271" s="1230"/>
      <c r="W271" s="1230"/>
      <c r="X271" s="1231"/>
      <c r="Y271" s="1230"/>
    </row>
    <row r="272">
      <c r="A272" s="1197"/>
      <c r="B272" s="1198"/>
      <c r="C272" s="1215"/>
      <c r="D272" s="1209"/>
      <c r="E272" s="1209"/>
      <c r="F272" s="1200"/>
      <c r="G272" s="1230"/>
      <c r="H272" s="1230"/>
      <c r="I272" s="1231"/>
      <c r="J272" s="1230"/>
      <c r="K272" s="1230"/>
      <c r="L272" s="1230"/>
      <c r="M272" s="1230"/>
      <c r="N272" s="1230"/>
      <c r="O272" s="1232"/>
      <c r="P272" s="1230"/>
      <c r="Q272" s="1230"/>
      <c r="R272" s="1230"/>
      <c r="S272" s="1230"/>
      <c r="T272" s="1230"/>
      <c r="U272" s="1230"/>
      <c r="V272" s="1230"/>
      <c r="W272" s="1230"/>
      <c r="X272" s="1231"/>
      <c r="Y272" s="1230"/>
    </row>
    <row r="273">
      <c r="A273" s="1197"/>
      <c r="B273" s="1198"/>
      <c r="C273" s="1215"/>
      <c r="D273" s="1209"/>
      <c r="E273" s="1209"/>
      <c r="F273" s="1200"/>
      <c r="G273" s="1230"/>
      <c r="H273" s="1230"/>
      <c r="I273" s="1231"/>
      <c r="J273" s="1230"/>
      <c r="K273" s="1230"/>
      <c r="L273" s="1230"/>
      <c r="M273" s="1230"/>
      <c r="N273" s="1230"/>
      <c r="O273" s="1232"/>
      <c r="P273" s="1230"/>
      <c r="Q273" s="1230"/>
      <c r="R273" s="1230"/>
      <c r="S273" s="1230"/>
      <c r="T273" s="1230"/>
      <c r="U273" s="1230"/>
      <c r="V273" s="1230"/>
      <c r="W273" s="1230"/>
      <c r="X273" s="1231"/>
      <c r="Y273" s="1230"/>
    </row>
    <row r="274">
      <c r="A274" s="1197"/>
      <c r="B274" s="1198"/>
      <c r="C274" s="1215"/>
      <c r="D274" s="1209"/>
      <c r="E274" s="1209"/>
      <c r="F274" s="1200"/>
      <c r="G274" s="1230"/>
      <c r="H274" s="1230"/>
      <c r="I274" s="1231"/>
      <c r="J274" s="1230"/>
      <c r="K274" s="1230"/>
      <c r="L274" s="1230"/>
      <c r="M274" s="1230"/>
      <c r="N274" s="1230"/>
      <c r="O274" s="1232"/>
      <c r="P274" s="1230"/>
      <c r="Q274" s="1230"/>
      <c r="R274" s="1230"/>
      <c r="S274" s="1230"/>
      <c r="T274" s="1230"/>
      <c r="U274" s="1230"/>
      <c r="V274" s="1230"/>
      <c r="W274" s="1230"/>
      <c r="X274" s="1231"/>
      <c r="Y274" s="1230"/>
    </row>
    <row r="275">
      <c r="A275" s="1197"/>
      <c r="B275" s="1198"/>
      <c r="C275" s="1215"/>
      <c r="D275" s="1209"/>
      <c r="E275" s="1209"/>
      <c r="F275" s="1200"/>
      <c r="G275" s="1230"/>
      <c r="H275" s="1230"/>
      <c r="I275" s="1231"/>
      <c r="J275" s="1230"/>
      <c r="K275" s="1230"/>
      <c r="L275" s="1230"/>
      <c r="M275" s="1230"/>
      <c r="N275" s="1230"/>
      <c r="O275" s="1232"/>
      <c r="P275" s="1230"/>
      <c r="Q275" s="1230"/>
      <c r="R275" s="1230"/>
      <c r="S275" s="1230"/>
      <c r="T275" s="1230"/>
      <c r="U275" s="1230"/>
      <c r="V275" s="1230"/>
      <c r="W275" s="1230"/>
      <c r="X275" s="1231"/>
      <c r="Y275" s="1230"/>
    </row>
    <row r="276">
      <c r="A276" s="1197"/>
      <c r="B276" s="1198"/>
      <c r="C276" s="1215"/>
      <c r="D276" s="1209"/>
      <c r="E276" s="1209"/>
      <c r="F276" s="1200"/>
      <c r="G276" s="1230"/>
      <c r="H276" s="1230"/>
      <c r="I276" s="1231"/>
      <c r="J276" s="1230"/>
      <c r="K276" s="1230"/>
      <c r="L276" s="1230"/>
      <c r="M276" s="1230"/>
      <c r="N276" s="1230"/>
      <c r="O276" s="1232"/>
      <c r="P276" s="1230"/>
      <c r="Q276" s="1230"/>
      <c r="R276" s="1230"/>
      <c r="S276" s="1230"/>
      <c r="T276" s="1230"/>
      <c r="U276" s="1230"/>
      <c r="V276" s="1230"/>
      <c r="W276" s="1230"/>
      <c r="X276" s="1231"/>
      <c r="Y276" s="1230"/>
    </row>
    <row r="277">
      <c r="A277" s="1197"/>
      <c r="B277" s="1198"/>
      <c r="C277" s="1215"/>
      <c r="D277" s="1209"/>
      <c r="E277" s="1209"/>
      <c r="F277" s="1200"/>
      <c r="G277" s="1230"/>
      <c r="H277" s="1230"/>
      <c r="I277" s="1231"/>
      <c r="J277" s="1230"/>
      <c r="K277" s="1230"/>
      <c r="L277" s="1230"/>
      <c r="M277" s="1230"/>
      <c r="N277" s="1230"/>
      <c r="O277" s="1232"/>
      <c r="P277" s="1230"/>
      <c r="Q277" s="1230"/>
      <c r="R277" s="1230"/>
      <c r="S277" s="1230"/>
      <c r="T277" s="1230"/>
      <c r="U277" s="1230"/>
      <c r="V277" s="1230"/>
      <c r="W277" s="1230"/>
      <c r="X277" s="1231"/>
      <c r="Y277" s="1230"/>
    </row>
    <row r="278">
      <c r="A278" s="1197"/>
      <c r="B278" s="1198"/>
      <c r="C278" s="1215"/>
      <c r="D278" s="1209"/>
      <c r="E278" s="1209"/>
      <c r="F278" s="1200"/>
      <c r="G278" s="1230"/>
      <c r="H278" s="1230"/>
      <c r="I278" s="1231"/>
      <c r="J278" s="1230"/>
      <c r="K278" s="1230"/>
      <c r="L278" s="1230"/>
      <c r="M278" s="1230"/>
      <c r="N278" s="1230"/>
      <c r="O278" s="1232"/>
      <c r="P278" s="1230"/>
      <c r="Q278" s="1230"/>
      <c r="R278" s="1230"/>
      <c r="S278" s="1230"/>
      <c r="T278" s="1230"/>
      <c r="U278" s="1230"/>
      <c r="V278" s="1230"/>
      <c r="W278" s="1230"/>
      <c r="X278" s="1231"/>
      <c r="Y278" s="1230"/>
    </row>
    <row r="279">
      <c r="A279" s="1197"/>
      <c r="B279" s="1198"/>
      <c r="C279" s="1215"/>
      <c r="D279" s="1209"/>
      <c r="E279" s="1209"/>
      <c r="F279" s="1200"/>
      <c r="G279" s="1230"/>
      <c r="H279" s="1230"/>
      <c r="I279" s="1231"/>
      <c r="J279" s="1230"/>
      <c r="K279" s="1230"/>
      <c r="L279" s="1230"/>
      <c r="M279" s="1230"/>
      <c r="N279" s="1230"/>
      <c r="O279" s="1232"/>
      <c r="P279" s="1230"/>
      <c r="Q279" s="1230"/>
      <c r="R279" s="1230"/>
      <c r="S279" s="1230"/>
      <c r="T279" s="1230"/>
      <c r="U279" s="1230"/>
      <c r="V279" s="1230"/>
      <c r="W279" s="1230"/>
      <c r="X279" s="1231"/>
      <c r="Y279" s="1230"/>
    </row>
    <row r="280">
      <c r="A280" s="1197"/>
      <c r="B280" s="1198"/>
      <c r="C280" s="1215"/>
      <c r="D280" s="1209"/>
      <c r="E280" s="1209"/>
      <c r="F280" s="1200"/>
      <c r="G280" s="1230"/>
      <c r="H280" s="1230"/>
      <c r="I280" s="1231"/>
      <c r="J280" s="1230"/>
      <c r="K280" s="1230"/>
      <c r="L280" s="1230"/>
      <c r="M280" s="1230"/>
      <c r="N280" s="1230"/>
      <c r="O280" s="1232"/>
      <c r="P280" s="1230"/>
      <c r="Q280" s="1230"/>
      <c r="R280" s="1230"/>
      <c r="S280" s="1230"/>
      <c r="T280" s="1230"/>
      <c r="U280" s="1230"/>
      <c r="V280" s="1230"/>
      <c r="W280" s="1230"/>
      <c r="X280" s="1231"/>
      <c r="Y280" s="1230"/>
    </row>
    <row r="281">
      <c r="A281" s="1197"/>
      <c r="B281" s="1198"/>
      <c r="C281" s="1215"/>
      <c r="D281" s="1209"/>
      <c r="E281" s="1209"/>
      <c r="F281" s="1200"/>
      <c r="G281" s="1230"/>
      <c r="H281" s="1230"/>
      <c r="I281" s="1231"/>
      <c r="J281" s="1230"/>
      <c r="K281" s="1230"/>
      <c r="L281" s="1230"/>
      <c r="M281" s="1230"/>
      <c r="N281" s="1230"/>
      <c r="O281" s="1232"/>
      <c r="P281" s="1230"/>
      <c r="Q281" s="1230"/>
      <c r="R281" s="1230"/>
      <c r="S281" s="1230"/>
      <c r="T281" s="1230"/>
      <c r="U281" s="1230"/>
      <c r="V281" s="1230"/>
      <c r="W281" s="1230"/>
      <c r="X281" s="1231"/>
      <c r="Y281" s="1230"/>
    </row>
    <row r="282">
      <c r="A282" s="1197"/>
      <c r="B282" s="1198"/>
      <c r="C282" s="1215"/>
      <c r="D282" s="1209"/>
      <c r="E282" s="1209"/>
      <c r="F282" s="1200"/>
      <c r="G282" s="1230"/>
      <c r="H282" s="1230"/>
      <c r="I282" s="1231"/>
      <c r="J282" s="1230"/>
      <c r="K282" s="1230"/>
      <c r="L282" s="1230"/>
      <c r="M282" s="1230"/>
      <c r="N282" s="1230"/>
      <c r="O282" s="1232"/>
      <c r="P282" s="1230"/>
      <c r="Q282" s="1230"/>
      <c r="R282" s="1230"/>
      <c r="S282" s="1230"/>
      <c r="T282" s="1230"/>
      <c r="U282" s="1230"/>
      <c r="V282" s="1230"/>
      <c r="W282" s="1230"/>
      <c r="X282" s="1231"/>
      <c r="Y282" s="1230"/>
    </row>
    <row r="283">
      <c r="A283" s="1197"/>
      <c r="B283" s="1198"/>
      <c r="C283" s="1215"/>
      <c r="D283" s="1209"/>
      <c r="E283" s="1209"/>
      <c r="F283" s="1200"/>
      <c r="G283" s="1230"/>
      <c r="H283" s="1230"/>
      <c r="I283" s="1231"/>
      <c r="J283" s="1230"/>
      <c r="K283" s="1230"/>
      <c r="L283" s="1230"/>
      <c r="M283" s="1230"/>
      <c r="N283" s="1230"/>
      <c r="O283" s="1232"/>
      <c r="P283" s="1230"/>
      <c r="Q283" s="1230"/>
      <c r="R283" s="1230"/>
      <c r="S283" s="1230"/>
      <c r="T283" s="1230"/>
      <c r="U283" s="1230"/>
      <c r="V283" s="1230"/>
      <c r="W283" s="1230"/>
      <c r="X283" s="1231"/>
      <c r="Y283" s="1230"/>
    </row>
    <row r="284">
      <c r="A284" s="1197"/>
      <c r="B284" s="1198"/>
      <c r="C284" s="1215"/>
      <c r="D284" s="1209"/>
      <c r="E284" s="1209"/>
      <c r="F284" s="1200"/>
      <c r="G284" s="1230"/>
      <c r="H284" s="1230"/>
      <c r="I284" s="1231"/>
      <c r="J284" s="1230"/>
      <c r="K284" s="1230"/>
      <c r="L284" s="1230"/>
      <c r="M284" s="1230"/>
      <c r="N284" s="1230"/>
      <c r="O284" s="1232"/>
      <c r="P284" s="1230"/>
      <c r="Q284" s="1230"/>
      <c r="R284" s="1230"/>
      <c r="S284" s="1230"/>
      <c r="T284" s="1230"/>
      <c r="U284" s="1230"/>
      <c r="V284" s="1230"/>
      <c r="W284" s="1230"/>
      <c r="X284" s="1231"/>
      <c r="Y284" s="1230"/>
    </row>
    <row r="285">
      <c r="A285" s="1197"/>
      <c r="B285" s="1198"/>
      <c r="C285" s="1215"/>
      <c r="D285" s="1209"/>
      <c r="E285" s="1209"/>
      <c r="F285" s="1200"/>
      <c r="G285" s="1230"/>
      <c r="H285" s="1230"/>
      <c r="I285" s="1231"/>
      <c r="J285" s="1230"/>
      <c r="K285" s="1230"/>
      <c r="L285" s="1230"/>
      <c r="M285" s="1230"/>
      <c r="N285" s="1230"/>
      <c r="O285" s="1232"/>
      <c r="P285" s="1230"/>
      <c r="Q285" s="1230"/>
      <c r="R285" s="1230"/>
      <c r="S285" s="1230"/>
      <c r="T285" s="1230"/>
      <c r="U285" s="1230"/>
      <c r="V285" s="1230"/>
      <c r="W285" s="1230"/>
      <c r="X285" s="1231"/>
      <c r="Y285" s="1230"/>
    </row>
    <row r="286">
      <c r="A286" s="1197"/>
      <c r="B286" s="1198"/>
      <c r="C286" s="1215"/>
      <c r="D286" s="1209"/>
      <c r="E286" s="1209"/>
      <c r="F286" s="1200"/>
      <c r="G286" s="1230"/>
      <c r="H286" s="1230"/>
      <c r="I286" s="1231"/>
      <c r="J286" s="1230"/>
      <c r="K286" s="1230"/>
      <c r="L286" s="1230"/>
      <c r="M286" s="1230"/>
      <c r="N286" s="1230"/>
      <c r="O286" s="1232"/>
      <c r="P286" s="1230"/>
      <c r="Q286" s="1230"/>
      <c r="R286" s="1230"/>
      <c r="S286" s="1230"/>
      <c r="T286" s="1230"/>
      <c r="U286" s="1230"/>
      <c r="V286" s="1230"/>
      <c r="W286" s="1230"/>
      <c r="X286" s="1231"/>
      <c r="Y286" s="1230"/>
    </row>
    <row r="287">
      <c r="A287" s="1197"/>
      <c r="B287" s="1198"/>
      <c r="C287" s="1215"/>
      <c r="D287" s="1209"/>
      <c r="E287" s="1209"/>
      <c r="F287" s="1200"/>
      <c r="G287" s="1230"/>
      <c r="H287" s="1230"/>
      <c r="I287" s="1231"/>
      <c r="J287" s="1230"/>
      <c r="K287" s="1230"/>
      <c r="L287" s="1230"/>
      <c r="M287" s="1230"/>
      <c r="N287" s="1230"/>
      <c r="O287" s="1232"/>
      <c r="P287" s="1230"/>
      <c r="Q287" s="1230"/>
      <c r="R287" s="1230"/>
      <c r="S287" s="1230"/>
      <c r="T287" s="1230"/>
      <c r="U287" s="1230"/>
      <c r="V287" s="1230"/>
      <c r="W287" s="1230"/>
      <c r="X287" s="1231"/>
      <c r="Y287" s="1230"/>
    </row>
    <row r="288">
      <c r="A288" s="1197"/>
      <c r="B288" s="1198"/>
      <c r="C288" s="1215"/>
      <c r="D288" s="1209"/>
      <c r="E288" s="1209"/>
      <c r="F288" s="1200"/>
      <c r="G288" s="1230"/>
      <c r="H288" s="1230"/>
      <c r="I288" s="1231"/>
      <c r="J288" s="1230"/>
      <c r="K288" s="1230"/>
      <c r="L288" s="1230"/>
      <c r="M288" s="1230"/>
      <c r="N288" s="1230"/>
      <c r="O288" s="1232"/>
      <c r="P288" s="1230"/>
      <c r="Q288" s="1230"/>
      <c r="R288" s="1230"/>
      <c r="S288" s="1230"/>
      <c r="T288" s="1230"/>
      <c r="U288" s="1230"/>
      <c r="V288" s="1230"/>
      <c r="W288" s="1230"/>
      <c r="X288" s="1231"/>
      <c r="Y288" s="1230"/>
    </row>
    <row r="289">
      <c r="A289" s="1197"/>
      <c r="B289" s="1198"/>
      <c r="C289" s="1215"/>
      <c r="D289" s="1209"/>
      <c r="E289" s="1209"/>
      <c r="F289" s="1200"/>
      <c r="G289" s="1230"/>
      <c r="H289" s="1230"/>
      <c r="I289" s="1231"/>
      <c r="J289" s="1230"/>
      <c r="K289" s="1230"/>
      <c r="L289" s="1230"/>
      <c r="M289" s="1230"/>
      <c r="N289" s="1230"/>
      <c r="O289" s="1232"/>
      <c r="P289" s="1230"/>
      <c r="Q289" s="1230"/>
      <c r="R289" s="1230"/>
      <c r="S289" s="1230"/>
      <c r="T289" s="1230"/>
      <c r="U289" s="1230"/>
      <c r="V289" s="1230"/>
      <c r="W289" s="1230"/>
      <c r="X289" s="1231"/>
      <c r="Y289" s="1230"/>
    </row>
    <row r="290">
      <c r="A290" s="1197"/>
      <c r="B290" s="1198"/>
      <c r="C290" s="1215"/>
      <c r="D290" s="1209"/>
      <c r="E290" s="1209"/>
      <c r="F290" s="1200"/>
      <c r="G290" s="1230"/>
      <c r="H290" s="1230"/>
      <c r="I290" s="1231"/>
      <c r="J290" s="1230"/>
      <c r="K290" s="1230"/>
      <c r="L290" s="1230"/>
      <c r="M290" s="1230"/>
      <c r="N290" s="1230"/>
      <c r="O290" s="1232"/>
      <c r="P290" s="1230"/>
      <c r="Q290" s="1230"/>
      <c r="R290" s="1230"/>
      <c r="S290" s="1230"/>
      <c r="T290" s="1230"/>
      <c r="U290" s="1230"/>
      <c r="V290" s="1230"/>
      <c r="W290" s="1230"/>
      <c r="X290" s="1231"/>
      <c r="Y290" s="1230"/>
    </row>
    <row r="291">
      <c r="A291" s="1197"/>
      <c r="B291" s="1198"/>
      <c r="C291" s="1215"/>
      <c r="D291" s="1209"/>
      <c r="E291" s="1209"/>
      <c r="F291" s="1200"/>
      <c r="G291" s="1230"/>
      <c r="H291" s="1230"/>
      <c r="I291" s="1231"/>
      <c r="J291" s="1230"/>
      <c r="K291" s="1230"/>
      <c r="L291" s="1230"/>
      <c r="M291" s="1230"/>
      <c r="N291" s="1230"/>
      <c r="O291" s="1232"/>
      <c r="P291" s="1230"/>
      <c r="Q291" s="1230"/>
      <c r="R291" s="1230"/>
      <c r="S291" s="1230"/>
      <c r="T291" s="1230"/>
      <c r="U291" s="1230"/>
      <c r="V291" s="1230"/>
      <c r="W291" s="1230"/>
      <c r="X291" s="1231"/>
      <c r="Y291" s="1230"/>
    </row>
    <row r="292">
      <c r="A292" s="1197"/>
      <c r="B292" s="1198"/>
      <c r="C292" s="1215"/>
      <c r="D292" s="1209"/>
      <c r="E292" s="1209"/>
      <c r="F292" s="1200"/>
      <c r="G292" s="1230"/>
      <c r="H292" s="1230"/>
      <c r="I292" s="1231"/>
      <c r="J292" s="1230"/>
      <c r="K292" s="1230"/>
      <c r="L292" s="1230"/>
      <c r="M292" s="1230"/>
      <c r="N292" s="1230"/>
      <c r="O292" s="1232"/>
      <c r="P292" s="1230"/>
      <c r="Q292" s="1230"/>
      <c r="R292" s="1230"/>
      <c r="S292" s="1230"/>
      <c r="T292" s="1230"/>
      <c r="U292" s="1230"/>
      <c r="V292" s="1230"/>
      <c r="W292" s="1230"/>
      <c r="X292" s="1231"/>
      <c r="Y292" s="1230"/>
    </row>
    <row r="293">
      <c r="A293" s="1197"/>
      <c r="B293" s="1198"/>
      <c r="C293" s="1215"/>
      <c r="D293" s="1209"/>
      <c r="E293" s="1209"/>
      <c r="F293" s="1200"/>
      <c r="G293" s="1230"/>
      <c r="H293" s="1230"/>
      <c r="I293" s="1231"/>
      <c r="J293" s="1230"/>
      <c r="K293" s="1230"/>
      <c r="L293" s="1230"/>
      <c r="M293" s="1230"/>
      <c r="N293" s="1230"/>
      <c r="O293" s="1232"/>
      <c r="P293" s="1230"/>
      <c r="Q293" s="1230"/>
      <c r="R293" s="1230"/>
      <c r="S293" s="1230"/>
      <c r="T293" s="1230"/>
      <c r="U293" s="1230"/>
      <c r="V293" s="1230"/>
      <c r="W293" s="1230"/>
      <c r="X293" s="1231"/>
      <c r="Y293" s="1230"/>
    </row>
    <row r="294">
      <c r="A294" s="1197"/>
      <c r="B294" s="1198"/>
      <c r="C294" s="1215"/>
      <c r="D294" s="1209"/>
      <c r="E294" s="1209"/>
      <c r="F294" s="1200"/>
      <c r="G294" s="1230"/>
      <c r="H294" s="1230"/>
      <c r="I294" s="1231"/>
      <c r="J294" s="1230"/>
      <c r="K294" s="1230"/>
      <c r="L294" s="1230"/>
      <c r="M294" s="1230"/>
      <c r="N294" s="1230"/>
      <c r="O294" s="1232"/>
      <c r="P294" s="1230"/>
      <c r="Q294" s="1230"/>
      <c r="R294" s="1230"/>
      <c r="S294" s="1230"/>
      <c r="T294" s="1230"/>
      <c r="U294" s="1230"/>
      <c r="V294" s="1230"/>
      <c r="W294" s="1230"/>
      <c r="X294" s="1231"/>
      <c r="Y294" s="1230"/>
    </row>
    <row r="295">
      <c r="A295" s="1197"/>
      <c r="B295" s="1198"/>
      <c r="C295" s="1215"/>
      <c r="D295" s="1209"/>
      <c r="E295" s="1209"/>
      <c r="F295" s="1200"/>
      <c r="G295" s="1230"/>
      <c r="H295" s="1230"/>
      <c r="I295" s="1231"/>
      <c r="J295" s="1230"/>
      <c r="K295" s="1230"/>
      <c r="L295" s="1230"/>
      <c r="M295" s="1230"/>
      <c r="N295" s="1230"/>
      <c r="O295" s="1232"/>
      <c r="P295" s="1230"/>
      <c r="Q295" s="1230"/>
      <c r="R295" s="1230"/>
      <c r="S295" s="1230"/>
      <c r="T295" s="1230"/>
      <c r="U295" s="1230"/>
      <c r="V295" s="1230"/>
      <c r="W295" s="1230"/>
      <c r="X295" s="1231"/>
      <c r="Y295" s="1230"/>
    </row>
    <row r="296">
      <c r="A296" s="1197"/>
      <c r="B296" s="1198"/>
      <c r="C296" s="1215"/>
      <c r="D296" s="1209"/>
      <c r="E296" s="1209"/>
      <c r="F296" s="1200"/>
      <c r="G296" s="1230"/>
      <c r="H296" s="1230"/>
      <c r="I296" s="1231"/>
      <c r="J296" s="1230"/>
      <c r="K296" s="1230"/>
      <c r="L296" s="1230"/>
      <c r="M296" s="1230"/>
      <c r="N296" s="1230"/>
      <c r="O296" s="1232"/>
      <c r="P296" s="1230"/>
      <c r="Q296" s="1230"/>
      <c r="R296" s="1230"/>
      <c r="S296" s="1230"/>
      <c r="T296" s="1230"/>
      <c r="U296" s="1230"/>
      <c r="V296" s="1230"/>
      <c r="W296" s="1230"/>
      <c r="X296" s="1231"/>
      <c r="Y296" s="1230"/>
    </row>
    <row r="297">
      <c r="A297" s="1197"/>
      <c r="B297" s="1198"/>
      <c r="C297" s="1215"/>
      <c r="D297" s="1209"/>
      <c r="E297" s="1209"/>
      <c r="F297" s="1200"/>
      <c r="G297" s="1230"/>
      <c r="H297" s="1230"/>
      <c r="I297" s="1231"/>
      <c r="J297" s="1230"/>
      <c r="K297" s="1230"/>
      <c r="L297" s="1230"/>
      <c r="M297" s="1230"/>
      <c r="N297" s="1230"/>
      <c r="O297" s="1232"/>
      <c r="P297" s="1230"/>
      <c r="Q297" s="1230"/>
      <c r="R297" s="1230"/>
      <c r="S297" s="1230"/>
      <c r="T297" s="1230"/>
      <c r="U297" s="1230"/>
      <c r="V297" s="1230"/>
      <c r="W297" s="1230"/>
      <c r="X297" s="1231"/>
      <c r="Y297" s="1230"/>
    </row>
    <row r="298">
      <c r="A298" s="1197"/>
      <c r="B298" s="1198"/>
      <c r="C298" s="1215"/>
      <c r="D298" s="1209"/>
      <c r="E298" s="1209"/>
      <c r="F298" s="1200"/>
      <c r="G298" s="1230"/>
      <c r="H298" s="1230"/>
      <c r="I298" s="1231"/>
      <c r="J298" s="1230"/>
      <c r="K298" s="1230"/>
      <c r="L298" s="1230"/>
      <c r="M298" s="1230"/>
      <c r="N298" s="1230"/>
      <c r="O298" s="1232"/>
      <c r="P298" s="1230"/>
      <c r="Q298" s="1230"/>
      <c r="R298" s="1230"/>
      <c r="S298" s="1230"/>
      <c r="T298" s="1230"/>
      <c r="U298" s="1230"/>
      <c r="V298" s="1230"/>
      <c r="W298" s="1230"/>
      <c r="X298" s="1231"/>
      <c r="Y298" s="1230"/>
    </row>
    <row r="299">
      <c r="A299" s="1197"/>
      <c r="B299" s="1198"/>
      <c r="C299" s="1215"/>
      <c r="D299" s="1209"/>
      <c r="E299" s="1209"/>
      <c r="F299" s="1200"/>
      <c r="G299" s="1230"/>
      <c r="H299" s="1230"/>
      <c r="I299" s="1231"/>
      <c r="J299" s="1230"/>
      <c r="K299" s="1230"/>
      <c r="L299" s="1230"/>
      <c r="M299" s="1230"/>
      <c r="N299" s="1230"/>
      <c r="O299" s="1232"/>
      <c r="P299" s="1230"/>
      <c r="Q299" s="1230"/>
      <c r="R299" s="1230"/>
      <c r="S299" s="1230"/>
      <c r="T299" s="1230"/>
      <c r="U299" s="1230"/>
      <c r="V299" s="1230"/>
      <c r="W299" s="1230"/>
      <c r="X299" s="1231"/>
      <c r="Y299" s="1230"/>
    </row>
    <row r="300">
      <c r="A300" s="1197"/>
      <c r="B300" s="1198"/>
      <c r="C300" s="1215"/>
      <c r="D300" s="1209"/>
      <c r="E300" s="1209"/>
      <c r="F300" s="1200"/>
      <c r="G300" s="1230"/>
      <c r="H300" s="1230"/>
      <c r="I300" s="1231"/>
      <c r="J300" s="1230"/>
      <c r="K300" s="1230"/>
      <c r="L300" s="1230"/>
      <c r="M300" s="1230"/>
      <c r="N300" s="1230"/>
      <c r="O300" s="1232"/>
      <c r="P300" s="1230"/>
      <c r="Q300" s="1230"/>
      <c r="R300" s="1230"/>
      <c r="S300" s="1230"/>
      <c r="T300" s="1230"/>
      <c r="U300" s="1230"/>
      <c r="V300" s="1230"/>
      <c r="W300" s="1230"/>
      <c r="X300" s="1231"/>
      <c r="Y300" s="1230"/>
    </row>
    <row r="301">
      <c r="A301" s="1197"/>
      <c r="B301" s="1198"/>
      <c r="C301" s="1215"/>
      <c r="D301" s="1209"/>
      <c r="E301" s="1209"/>
      <c r="F301" s="1200"/>
      <c r="G301" s="1230"/>
      <c r="H301" s="1230"/>
      <c r="I301" s="1231"/>
      <c r="J301" s="1230"/>
      <c r="K301" s="1230"/>
      <c r="L301" s="1230"/>
      <c r="M301" s="1230"/>
      <c r="N301" s="1230"/>
      <c r="O301" s="1232"/>
      <c r="P301" s="1230"/>
      <c r="Q301" s="1230"/>
      <c r="R301" s="1230"/>
      <c r="S301" s="1230"/>
      <c r="T301" s="1230"/>
      <c r="U301" s="1230"/>
      <c r="V301" s="1230"/>
      <c r="W301" s="1230"/>
      <c r="X301" s="1231"/>
      <c r="Y301" s="1230"/>
    </row>
    <row r="302">
      <c r="A302" s="1197"/>
      <c r="B302" s="1198"/>
      <c r="C302" s="1215"/>
      <c r="D302" s="1209"/>
      <c r="E302" s="1209"/>
      <c r="F302" s="1200"/>
      <c r="G302" s="1230"/>
      <c r="H302" s="1230"/>
      <c r="I302" s="1231"/>
      <c r="J302" s="1230"/>
      <c r="K302" s="1230"/>
      <c r="L302" s="1230"/>
      <c r="M302" s="1230"/>
      <c r="N302" s="1230"/>
      <c r="O302" s="1232"/>
      <c r="P302" s="1230"/>
      <c r="Q302" s="1230"/>
      <c r="R302" s="1230"/>
      <c r="S302" s="1230"/>
      <c r="T302" s="1230"/>
      <c r="U302" s="1230"/>
      <c r="V302" s="1230"/>
      <c r="W302" s="1230"/>
      <c r="X302" s="1231"/>
      <c r="Y302" s="1230"/>
    </row>
    <row r="303">
      <c r="A303" s="1197"/>
      <c r="B303" s="1198"/>
      <c r="C303" s="1215"/>
      <c r="D303" s="1209"/>
      <c r="E303" s="1209"/>
      <c r="F303" s="1233"/>
      <c r="G303" s="1230"/>
      <c r="H303" s="1230"/>
      <c r="I303" s="1231"/>
      <c r="J303" s="1230"/>
      <c r="K303" s="1230"/>
      <c r="L303" s="1230"/>
      <c r="M303" s="1230"/>
      <c r="N303" s="1230"/>
      <c r="O303" s="1232"/>
      <c r="P303" s="1230"/>
      <c r="Q303" s="1230"/>
      <c r="R303" s="1230"/>
      <c r="S303" s="1230"/>
      <c r="T303" s="1230"/>
      <c r="U303" s="1230"/>
      <c r="V303" s="1230"/>
      <c r="W303" s="1230"/>
      <c r="X303" s="1231"/>
      <c r="Y303" s="1230"/>
    </row>
    <row r="304">
      <c r="A304" s="1234"/>
      <c r="B304" s="1230"/>
      <c r="C304" s="1230"/>
      <c r="D304" s="1230"/>
      <c r="E304" s="1230"/>
      <c r="F304" s="1233"/>
      <c r="G304" s="1230"/>
      <c r="H304" s="1230"/>
      <c r="I304" s="1231"/>
      <c r="J304" s="1230"/>
      <c r="K304" s="1230"/>
      <c r="L304" s="1230"/>
      <c r="M304" s="1230"/>
      <c r="N304" s="1230"/>
      <c r="O304" s="1232"/>
      <c r="P304" s="1230"/>
      <c r="Q304" s="1230"/>
      <c r="R304" s="1230"/>
      <c r="S304" s="1230"/>
      <c r="T304" s="1230"/>
      <c r="U304" s="1230"/>
      <c r="V304" s="1230"/>
      <c r="W304" s="1230"/>
      <c r="X304" s="1231"/>
      <c r="Y304" s="1230"/>
    </row>
    <row r="305">
      <c r="A305" s="1234"/>
      <c r="B305" s="1230"/>
      <c r="C305" s="1230"/>
      <c r="D305" s="1230"/>
      <c r="E305" s="1230"/>
      <c r="F305" s="1233"/>
      <c r="G305" s="1230"/>
      <c r="H305" s="1230"/>
      <c r="I305" s="1231"/>
      <c r="J305" s="1230"/>
      <c r="K305" s="1230"/>
      <c r="L305" s="1230"/>
      <c r="M305" s="1230"/>
      <c r="N305" s="1230"/>
      <c r="O305" s="1232"/>
      <c r="P305" s="1230"/>
      <c r="Q305" s="1230"/>
      <c r="R305" s="1230"/>
      <c r="S305" s="1230"/>
      <c r="T305" s="1230"/>
      <c r="U305" s="1230"/>
      <c r="V305" s="1230"/>
      <c r="W305" s="1230"/>
      <c r="X305" s="1231"/>
      <c r="Y305" s="1230"/>
    </row>
    <row r="306">
      <c r="A306" s="1234"/>
      <c r="B306" s="1230"/>
      <c r="C306" s="1230"/>
      <c r="D306" s="1230"/>
      <c r="E306" s="1230"/>
      <c r="F306" s="1233"/>
      <c r="G306" s="1230"/>
      <c r="H306" s="1230"/>
      <c r="I306" s="1231"/>
      <c r="J306" s="1230"/>
      <c r="K306" s="1230"/>
      <c r="L306" s="1230"/>
      <c r="M306" s="1230"/>
      <c r="N306" s="1230"/>
      <c r="O306" s="1232"/>
      <c r="P306" s="1230"/>
      <c r="Q306" s="1230"/>
      <c r="R306" s="1230"/>
      <c r="S306" s="1230"/>
      <c r="T306" s="1230"/>
      <c r="U306" s="1230"/>
      <c r="V306" s="1230"/>
      <c r="W306" s="1230"/>
      <c r="X306" s="1231"/>
      <c r="Y306" s="1230"/>
    </row>
    <row r="307">
      <c r="A307" s="1234"/>
      <c r="B307" s="1230"/>
      <c r="C307" s="1230"/>
      <c r="D307" s="1230"/>
      <c r="E307" s="1230"/>
      <c r="F307" s="1233"/>
      <c r="G307" s="1230"/>
      <c r="H307" s="1230"/>
      <c r="I307" s="1231"/>
      <c r="J307" s="1230"/>
      <c r="K307" s="1230"/>
      <c r="L307" s="1230"/>
      <c r="M307" s="1230"/>
      <c r="N307" s="1230"/>
      <c r="O307" s="1232"/>
      <c r="P307" s="1230"/>
      <c r="Q307" s="1230"/>
      <c r="R307" s="1230"/>
      <c r="S307" s="1230"/>
      <c r="T307" s="1230"/>
      <c r="U307" s="1230"/>
      <c r="V307" s="1230"/>
      <c r="W307" s="1230"/>
      <c r="X307" s="1231"/>
      <c r="Y307" s="1230"/>
    </row>
    <row r="308">
      <c r="A308" s="1234"/>
      <c r="B308" s="1230"/>
      <c r="C308" s="1230"/>
      <c r="D308" s="1230"/>
      <c r="E308" s="1230"/>
      <c r="F308" s="1233"/>
      <c r="G308" s="1230"/>
      <c r="H308" s="1230"/>
      <c r="I308" s="1231"/>
      <c r="J308" s="1230"/>
      <c r="K308" s="1230"/>
      <c r="L308" s="1230"/>
      <c r="M308" s="1230"/>
      <c r="N308" s="1230"/>
      <c r="O308" s="1232"/>
      <c r="P308" s="1230"/>
      <c r="Q308" s="1230"/>
      <c r="R308" s="1230"/>
      <c r="S308" s="1230"/>
      <c r="T308" s="1230"/>
      <c r="U308" s="1230"/>
      <c r="V308" s="1230"/>
      <c r="W308" s="1230"/>
      <c r="X308" s="1231"/>
      <c r="Y308" s="1230"/>
    </row>
    <row r="309">
      <c r="A309" s="1234"/>
      <c r="B309" s="1230"/>
      <c r="C309" s="1230"/>
      <c r="D309" s="1230"/>
      <c r="E309" s="1230"/>
      <c r="F309" s="1233"/>
      <c r="G309" s="1230"/>
      <c r="H309" s="1230"/>
      <c r="I309" s="1231"/>
      <c r="J309" s="1230"/>
      <c r="K309" s="1230"/>
      <c r="L309" s="1230"/>
      <c r="M309" s="1230"/>
      <c r="N309" s="1230"/>
      <c r="O309" s="1232"/>
      <c r="P309" s="1230"/>
      <c r="Q309" s="1230"/>
      <c r="R309" s="1230"/>
      <c r="S309" s="1230"/>
      <c r="T309" s="1230"/>
      <c r="U309" s="1230"/>
      <c r="V309" s="1230"/>
      <c r="W309" s="1230"/>
      <c r="X309" s="1231"/>
      <c r="Y309" s="1230"/>
    </row>
    <row r="310">
      <c r="A310" s="1234"/>
      <c r="B310" s="1230"/>
      <c r="C310" s="1230"/>
      <c r="D310" s="1230"/>
      <c r="E310" s="1230"/>
      <c r="F310" s="1233"/>
      <c r="G310" s="1230"/>
      <c r="H310" s="1230"/>
      <c r="I310" s="1231"/>
      <c r="J310" s="1230"/>
      <c r="K310" s="1230"/>
      <c r="L310" s="1230"/>
      <c r="M310" s="1230"/>
      <c r="N310" s="1230"/>
      <c r="O310" s="1232"/>
      <c r="P310" s="1230"/>
      <c r="Q310" s="1230"/>
      <c r="R310" s="1230"/>
      <c r="S310" s="1230"/>
      <c r="T310" s="1230"/>
      <c r="U310" s="1230"/>
      <c r="V310" s="1230"/>
      <c r="W310" s="1230"/>
      <c r="X310" s="1231"/>
      <c r="Y310" s="1230"/>
    </row>
    <row r="311">
      <c r="A311" s="1234"/>
      <c r="B311" s="1230"/>
      <c r="C311" s="1230"/>
      <c r="D311" s="1230"/>
      <c r="E311" s="1230"/>
      <c r="F311" s="1233"/>
      <c r="G311" s="1230"/>
      <c r="H311" s="1230"/>
      <c r="I311" s="1231"/>
      <c r="J311" s="1230"/>
      <c r="K311" s="1230"/>
      <c r="L311" s="1230"/>
      <c r="M311" s="1230"/>
      <c r="N311" s="1230"/>
      <c r="O311" s="1232"/>
      <c r="P311" s="1230"/>
      <c r="Q311" s="1230"/>
      <c r="R311" s="1230"/>
      <c r="S311" s="1230"/>
      <c r="T311" s="1230"/>
      <c r="U311" s="1230"/>
      <c r="V311" s="1230"/>
      <c r="W311" s="1230"/>
      <c r="X311" s="1231"/>
      <c r="Y311" s="1230"/>
    </row>
    <row r="312">
      <c r="A312" s="1234"/>
      <c r="B312" s="1230"/>
      <c r="C312" s="1230"/>
      <c r="D312" s="1230"/>
      <c r="E312" s="1230"/>
      <c r="F312" s="1233"/>
      <c r="G312" s="1230"/>
      <c r="H312" s="1230"/>
      <c r="I312" s="1231"/>
      <c r="J312" s="1230"/>
      <c r="K312" s="1230"/>
      <c r="L312" s="1230"/>
      <c r="M312" s="1230"/>
      <c r="N312" s="1230"/>
      <c r="O312" s="1232"/>
      <c r="P312" s="1230"/>
      <c r="Q312" s="1230"/>
      <c r="R312" s="1230"/>
      <c r="S312" s="1230"/>
      <c r="T312" s="1230"/>
      <c r="U312" s="1230"/>
      <c r="V312" s="1230"/>
      <c r="W312" s="1230"/>
      <c r="X312" s="1231"/>
      <c r="Y312" s="1230"/>
    </row>
    <row r="313">
      <c r="A313" s="1234"/>
      <c r="B313" s="1230"/>
      <c r="C313" s="1230"/>
      <c r="D313" s="1230"/>
      <c r="E313" s="1230"/>
      <c r="F313" s="1233"/>
      <c r="G313" s="1230"/>
      <c r="H313" s="1230"/>
      <c r="I313" s="1231"/>
      <c r="J313" s="1230"/>
      <c r="K313" s="1230"/>
      <c r="L313" s="1230"/>
      <c r="M313" s="1230"/>
      <c r="N313" s="1230"/>
      <c r="O313" s="1232"/>
      <c r="P313" s="1230"/>
      <c r="Q313" s="1230"/>
      <c r="R313" s="1230"/>
      <c r="S313" s="1230"/>
      <c r="T313" s="1230"/>
      <c r="U313" s="1230"/>
      <c r="V313" s="1230"/>
      <c r="W313" s="1230"/>
      <c r="X313" s="1231"/>
      <c r="Y313" s="1230"/>
    </row>
    <row r="314">
      <c r="A314" s="1234"/>
      <c r="B314" s="1230"/>
      <c r="C314" s="1230"/>
      <c r="D314" s="1230"/>
      <c r="E314" s="1230"/>
      <c r="F314" s="1233"/>
      <c r="G314" s="1230"/>
      <c r="H314" s="1230"/>
      <c r="I314" s="1231"/>
      <c r="J314" s="1230"/>
      <c r="K314" s="1230"/>
      <c r="L314" s="1230"/>
      <c r="M314" s="1230"/>
      <c r="N314" s="1230"/>
      <c r="O314" s="1232"/>
      <c r="P314" s="1230"/>
      <c r="Q314" s="1230"/>
      <c r="R314" s="1230"/>
      <c r="S314" s="1230"/>
      <c r="T314" s="1230"/>
      <c r="U314" s="1230"/>
      <c r="V314" s="1230"/>
      <c r="W314" s="1230"/>
      <c r="X314" s="1231"/>
      <c r="Y314" s="1230"/>
    </row>
    <row r="315">
      <c r="A315" s="1234"/>
      <c r="B315" s="1230"/>
      <c r="C315" s="1230"/>
      <c r="D315" s="1230"/>
      <c r="E315" s="1230"/>
      <c r="F315" s="1233"/>
      <c r="G315" s="1230"/>
      <c r="H315" s="1230"/>
      <c r="I315" s="1231"/>
      <c r="J315" s="1230"/>
      <c r="K315" s="1230"/>
      <c r="L315" s="1230"/>
      <c r="M315" s="1230"/>
      <c r="N315" s="1230"/>
      <c r="O315" s="1232"/>
      <c r="P315" s="1230"/>
      <c r="Q315" s="1230"/>
      <c r="R315" s="1230"/>
      <c r="S315" s="1230"/>
      <c r="T315" s="1230"/>
      <c r="U315" s="1230"/>
      <c r="V315" s="1230"/>
      <c r="W315" s="1230"/>
      <c r="X315" s="1231"/>
      <c r="Y315" s="1230"/>
    </row>
    <row r="316">
      <c r="A316" s="1234"/>
      <c r="B316" s="1230"/>
      <c r="C316" s="1230"/>
      <c r="D316" s="1230"/>
      <c r="E316" s="1230"/>
      <c r="F316" s="1233"/>
      <c r="G316" s="1230"/>
      <c r="H316" s="1230"/>
      <c r="I316" s="1231"/>
      <c r="J316" s="1230"/>
      <c r="K316" s="1230"/>
      <c r="L316" s="1230"/>
      <c r="M316" s="1230"/>
      <c r="N316" s="1230"/>
      <c r="O316" s="1232"/>
      <c r="P316" s="1230"/>
      <c r="Q316" s="1230"/>
      <c r="R316" s="1230"/>
      <c r="S316" s="1230"/>
      <c r="T316" s="1230"/>
      <c r="U316" s="1230"/>
      <c r="V316" s="1230"/>
      <c r="W316" s="1230"/>
      <c r="X316" s="1231"/>
      <c r="Y316" s="1230"/>
    </row>
    <row r="317">
      <c r="A317" s="1234"/>
      <c r="B317" s="1230"/>
      <c r="C317" s="1230"/>
      <c r="D317" s="1230"/>
      <c r="E317" s="1230"/>
      <c r="F317" s="1233"/>
      <c r="G317" s="1230"/>
      <c r="H317" s="1230"/>
      <c r="I317" s="1231"/>
      <c r="J317" s="1230"/>
      <c r="K317" s="1230"/>
      <c r="L317" s="1230"/>
      <c r="M317" s="1230"/>
      <c r="N317" s="1230"/>
      <c r="O317" s="1232"/>
      <c r="P317" s="1230"/>
      <c r="Q317" s="1230"/>
      <c r="R317" s="1230"/>
      <c r="S317" s="1230"/>
      <c r="T317" s="1230"/>
      <c r="U317" s="1230"/>
      <c r="V317" s="1230"/>
      <c r="W317" s="1230"/>
      <c r="X317" s="1231"/>
      <c r="Y317" s="1230"/>
    </row>
    <row r="318">
      <c r="A318" s="1234"/>
      <c r="B318" s="1230"/>
      <c r="C318" s="1230"/>
      <c r="D318" s="1230"/>
      <c r="E318" s="1230"/>
      <c r="F318" s="1233"/>
      <c r="G318" s="1230"/>
      <c r="H318" s="1230"/>
      <c r="I318" s="1231"/>
      <c r="J318" s="1230"/>
      <c r="K318" s="1230"/>
      <c r="L318" s="1230"/>
      <c r="M318" s="1230"/>
      <c r="N318" s="1230"/>
      <c r="O318" s="1232"/>
      <c r="P318" s="1230"/>
      <c r="Q318" s="1230"/>
      <c r="R318" s="1230"/>
      <c r="S318" s="1230"/>
      <c r="T318" s="1230"/>
      <c r="U318" s="1230"/>
      <c r="V318" s="1230"/>
      <c r="W318" s="1230"/>
      <c r="X318" s="1231"/>
      <c r="Y318" s="1230"/>
    </row>
    <row r="319">
      <c r="A319" s="1234"/>
      <c r="B319" s="1230"/>
      <c r="C319" s="1230"/>
      <c r="D319" s="1230"/>
      <c r="E319" s="1230"/>
      <c r="F319" s="1233"/>
      <c r="G319" s="1230"/>
      <c r="H319" s="1230"/>
      <c r="I319" s="1231"/>
      <c r="J319" s="1230"/>
      <c r="K319" s="1230"/>
      <c r="L319" s="1230"/>
      <c r="M319" s="1230"/>
      <c r="N319" s="1230"/>
      <c r="O319" s="1232"/>
      <c r="P319" s="1230"/>
      <c r="Q319" s="1230"/>
      <c r="R319" s="1230"/>
      <c r="S319" s="1230"/>
      <c r="T319" s="1230"/>
      <c r="U319" s="1230"/>
      <c r="V319" s="1230"/>
      <c r="W319" s="1230"/>
      <c r="X319" s="1231"/>
      <c r="Y319" s="1230"/>
    </row>
    <row r="320">
      <c r="A320" s="1234"/>
      <c r="B320" s="1230"/>
      <c r="C320" s="1230"/>
      <c r="D320" s="1230"/>
      <c r="E320" s="1230"/>
      <c r="F320" s="1233"/>
      <c r="G320" s="1230"/>
      <c r="H320" s="1230"/>
      <c r="I320" s="1231"/>
      <c r="J320" s="1230"/>
      <c r="K320" s="1230"/>
      <c r="L320" s="1230"/>
      <c r="M320" s="1230"/>
      <c r="N320" s="1230"/>
      <c r="O320" s="1232"/>
      <c r="P320" s="1230"/>
      <c r="Q320" s="1230"/>
      <c r="R320" s="1230"/>
      <c r="S320" s="1230"/>
      <c r="T320" s="1230"/>
      <c r="U320" s="1230"/>
      <c r="V320" s="1230"/>
      <c r="W320" s="1230"/>
      <c r="X320" s="1231"/>
      <c r="Y320" s="1230"/>
    </row>
    <row r="321">
      <c r="A321" s="1234"/>
      <c r="B321" s="1230"/>
      <c r="C321" s="1230"/>
      <c r="D321" s="1230"/>
      <c r="E321" s="1230"/>
      <c r="F321" s="1233"/>
      <c r="G321" s="1230"/>
      <c r="H321" s="1230"/>
      <c r="I321" s="1231"/>
      <c r="J321" s="1230"/>
      <c r="K321" s="1230"/>
      <c r="L321" s="1230"/>
      <c r="M321" s="1230"/>
      <c r="N321" s="1230"/>
      <c r="O321" s="1232"/>
      <c r="P321" s="1230"/>
      <c r="Q321" s="1230"/>
      <c r="R321" s="1230"/>
      <c r="S321" s="1230"/>
      <c r="T321" s="1230"/>
      <c r="U321" s="1230"/>
      <c r="V321" s="1230"/>
      <c r="W321" s="1230"/>
      <c r="X321" s="1231"/>
      <c r="Y321" s="1230"/>
    </row>
    <row r="322">
      <c r="A322" s="1234"/>
      <c r="B322" s="1230"/>
      <c r="C322" s="1230"/>
      <c r="D322" s="1230"/>
      <c r="E322" s="1230"/>
      <c r="F322" s="1233"/>
      <c r="G322" s="1230"/>
      <c r="H322" s="1230"/>
      <c r="I322" s="1231"/>
      <c r="J322" s="1230"/>
      <c r="K322" s="1230"/>
      <c r="L322" s="1230"/>
      <c r="M322" s="1230"/>
      <c r="N322" s="1230"/>
      <c r="O322" s="1232"/>
      <c r="P322" s="1230"/>
      <c r="Q322" s="1230"/>
      <c r="R322" s="1230"/>
      <c r="S322" s="1230"/>
      <c r="T322" s="1230"/>
      <c r="U322" s="1230"/>
      <c r="V322" s="1230"/>
      <c r="W322" s="1230"/>
      <c r="X322" s="1231"/>
      <c r="Y322" s="1230"/>
    </row>
    <row r="323">
      <c r="A323" s="1234"/>
      <c r="B323" s="1230"/>
      <c r="C323" s="1230"/>
      <c r="D323" s="1230"/>
      <c r="E323" s="1230"/>
      <c r="F323" s="1233"/>
      <c r="G323" s="1230"/>
      <c r="H323" s="1230"/>
      <c r="I323" s="1231"/>
      <c r="J323" s="1230"/>
      <c r="K323" s="1230"/>
      <c r="L323" s="1230"/>
      <c r="M323" s="1230"/>
      <c r="N323" s="1230"/>
      <c r="O323" s="1232"/>
      <c r="P323" s="1230"/>
      <c r="Q323" s="1230"/>
      <c r="R323" s="1230"/>
      <c r="S323" s="1230"/>
      <c r="T323" s="1230"/>
      <c r="U323" s="1230"/>
      <c r="V323" s="1230"/>
      <c r="W323" s="1230"/>
      <c r="X323" s="1231"/>
      <c r="Y323" s="1230"/>
    </row>
    <row r="324">
      <c r="A324" s="1234"/>
      <c r="B324" s="1230"/>
      <c r="C324" s="1230"/>
      <c r="D324" s="1230"/>
      <c r="E324" s="1230"/>
      <c r="F324" s="1233"/>
      <c r="G324" s="1230"/>
      <c r="H324" s="1230"/>
      <c r="I324" s="1231"/>
      <c r="J324" s="1230"/>
      <c r="K324" s="1230"/>
      <c r="L324" s="1230"/>
      <c r="M324" s="1230"/>
      <c r="N324" s="1230"/>
      <c r="O324" s="1232"/>
      <c r="P324" s="1230"/>
      <c r="Q324" s="1230"/>
      <c r="R324" s="1230"/>
      <c r="S324" s="1230"/>
      <c r="T324" s="1230"/>
      <c r="U324" s="1230"/>
      <c r="V324" s="1230"/>
      <c r="W324" s="1230"/>
      <c r="X324" s="1231"/>
      <c r="Y324" s="1230"/>
    </row>
    <row r="325">
      <c r="A325" s="1234"/>
      <c r="B325" s="1230"/>
      <c r="C325" s="1230"/>
      <c r="D325" s="1230"/>
      <c r="E325" s="1230"/>
      <c r="F325" s="1233"/>
      <c r="G325" s="1230"/>
      <c r="H325" s="1230"/>
      <c r="I325" s="1231"/>
      <c r="J325" s="1230"/>
      <c r="K325" s="1230"/>
      <c r="L325" s="1230"/>
      <c r="M325" s="1230"/>
      <c r="N325" s="1230"/>
      <c r="O325" s="1232"/>
      <c r="P325" s="1230"/>
      <c r="Q325" s="1230"/>
      <c r="R325" s="1230"/>
      <c r="S325" s="1230"/>
      <c r="T325" s="1230"/>
      <c r="U325" s="1230"/>
      <c r="V325" s="1230"/>
      <c r="W325" s="1230"/>
      <c r="X325" s="1231"/>
      <c r="Y325" s="1230"/>
    </row>
    <row r="326">
      <c r="A326" s="1234"/>
      <c r="B326" s="1230"/>
      <c r="C326" s="1230"/>
      <c r="D326" s="1230"/>
      <c r="E326" s="1230"/>
      <c r="F326" s="1233"/>
      <c r="G326" s="1230"/>
      <c r="H326" s="1230"/>
      <c r="I326" s="1231"/>
      <c r="J326" s="1230"/>
      <c r="K326" s="1230"/>
      <c r="L326" s="1230"/>
      <c r="M326" s="1230"/>
      <c r="N326" s="1230"/>
      <c r="O326" s="1232"/>
      <c r="P326" s="1230"/>
      <c r="Q326" s="1230"/>
      <c r="R326" s="1230"/>
      <c r="S326" s="1230"/>
      <c r="T326" s="1230"/>
      <c r="U326" s="1230"/>
      <c r="V326" s="1230"/>
      <c r="W326" s="1230"/>
      <c r="X326" s="1231"/>
      <c r="Y326" s="1230"/>
    </row>
    <row r="327">
      <c r="A327" s="1234"/>
      <c r="B327" s="1230"/>
      <c r="C327" s="1230"/>
      <c r="D327" s="1230"/>
      <c r="E327" s="1230"/>
      <c r="F327" s="1233"/>
      <c r="G327" s="1230"/>
      <c r="H327" s="1230"/>
      <c r="I327" s="1231"/>
      <c r="J327" s="1230"/>
      <c r="K327" s="1230"/>
      <c r="L327" s="1230"/>
      <c r="M327" s="1230"/>
      <c r="N327" s="1230"/>
      <c r="O327" s="1232"/>
      <c r="P327" s="1230"/>
      <c r="Q327" s="1230"/>
      <c r="R327" s="1230"/>
      <c r="S327" s="1230"/>
      <c r="T327" s="1230"/>
      <c r="U327" s="1230"/>
      <c r="V327" s="1230"/>
      <c r="W327" s="1230"/>
      <c r="X327" s="1231"/>
      <c r="Y327" s="1230"/>
    </row>
    <row r="328">
      <c r="A328" s="1234"/>
      <c r="B328" s="1230"/>
      <c r="C328" s="1230"/>
      <c r="D328" s="1230"/>
      <c r="E328" s="1230"/>
      <c r="F328" s="1233"/>
      <c r="G328" s="1230"/>
      <c r="H328" s="1230"/>
      <c r="I328" s="1231"/>
      <c r="J328" s="1230"/>
      <c r="K328" s="1230"/>
      <c r="L328" s="1230"/>
      <c r="M328" s="1230"/>
      <c r="N328" s="1230"/>
      <c r="O328" s="1232"/>
      <c r="P328" s="1230"/>
      <c r="Q328" s="1230"/>
      <c r="R328" s="1230"/>
      <c r="S328" s="1230"/>
      <c r="T328" s="1230"/>
      <c r="U328" s="1230"/>
      <c r="V328" s="1230"/>
      <c r="W328" s="1230"/>
      <c r="X328" s="1231"/>
      <c r="Y328" s="1230"/>
    </row>
    <row r="329">
      <c r="A329" s="1234"/>
      <c r="B329" s="1230"/>
      <c r="C329" s="1230"/>
      <c r="D329" s="1230"/>
      <c r="E329" s="1230"/>
      <c r="F329" s="1233"/>
      <c r="G329" s="1230"/>
      <c r="H329" s="1230"/>
      <c r="I329" s="1231"/>
      <c r="J329" s="1230"/>
      <c r="K329" s="1230"/>
      <c r="L329" s="1230"/>
      <c r="M329" s="1230"/>
      <c r="N329" s="1230"/>
      <c r="O329" s="1232"/>
      <c r="P329" s="1230"/>
      <c r="Q329" s="1230"/>
      <c r="R329" s="1230"/>
      <c r="S329" s="1230"/>
      <c r="T329" s="1230"/>
      <c r="U329" s="1230"/>
      <c r="V329" s="1230"/>
      <c r="W329" s="1230"/>
      <c r="X329" s="1231"/>
      <c r="Y329" s="1230"/>
    </row>
    <row r="330">
      <c r="A330" s="1234"/>
      <c r="B330" s="1230"/>
      <c r="C330" s="1230"/>
      <c r="D330" s="1230"/>
      <c r="E330" s="1230"/>
      <c r="F330" s="1233"/>
      <c r="G330" s="1230"/>
      <c r="H330" s="1230"/>
      <c r="I330" s="1231"/>
      <c r="J330" s="1230"/>
      <c r="K330" s="1230"/>
      <c r="L330" s="1230"/>
      <c r="M330" s="1230"/>
      <c r="N330" s="1230"/>
      <c r="O330" s="1232"/>
      <c r="P330" s="1230"/>
      <c r="Q330" s="1230"/>
      <c r="R330" s="1230"/>
      <c r="S330" s="1230"/>
      <c r="T330" s="1230"/>
      <c r="U330" s="1230"/>
      <c r="V330" s="1230"/>
      <c r="W330" s="1230"/>
      <c r="X330" s="1231"/>
      <c r="Y330" s="1230"/>
    </row>
    <row r="331">
      <c r="A331" s="1234"/>
      <c r="B331" s="1230"/>
      <c r="C331" s="1230"/>
      <c r="D331" s="1230"/>
      <c r="E331" s="1230"/>
      <c r="F331" s="1233"/>
      <c r="G331" s="1230"/>
      <c r="H331" s="1230"/>
      <c r="I331" s="1231"/>
      <c r="J331" s="1230"/>
      <c r="K331" s="1230"/>
      <c r="L331" s="1230"/>
      <c r="M331" s="1230"/>
      <c r="N331" s="1230"/>
      <c r="O331" s="1232"/>
      <c r="P331" s="1230"/>
      <c r="Q331" s="1230"/>
      <c r="R331" s="1230"/>
      <c r="S331" s="1230"/>
      <c r="T331" s="1230"/>
      <c r="U331" s="1230"/>
      <c r="V331" s="1230"/>
      <c r="W331" s="1230"/>
      <c r="X331" s="1231"/>
      <c r="Y331" s="1230"/>
    </row>
    <row r="332">
      <c r="A332" s="1234"/>
      <c r="B332" s="1230"/>
      <c r="C332" s="1230"/>
      <c r="D332" s="1230"/>
      <c r="E332" s="1230"/>
      <c r="F332" s="1233"/>
      <c r="G332" s="1230"/>
      <c r="H332" s="1230"/>
      <c r="I332" s="1231"/>
      <c r="J332" s="1230"/>
      <c r="K332" s="1230"/>
      <c r="L332" s="1230"/>
      <c r="M332" s="1230"/>
      <c r="N332" s="1230"/>
      <c r="O332" s="1232"/>
      <c r="P332" s="1230"/>
      <c r="Q332" s="1230"/>
      <c r="R332" s="1230"/>
      <c r="S332" s="1230"/>
      <c r="T332" s="1230"/>
      <c r="U332" s="1230"/>
      <c r="V332" s="1230"/>
      <c r="W332" s="1230"/>
      <c r="X332" s="1231"/>
      <c r="Y332" s="1230"/>
    </row>
    <row r="333">
      <c r="A333" s="1234"/>
      <c r="B333" s="1230"/>
      <c r="C333" s="1230"/>
      <c r="D333" s="1230"/>
      <c r="E333" s="1230"/>
      <c r="F333" s="1233"/>
      <c r="G333" s="1230"/>
      <c r="H333" s="1230"/>
      <c r="I333" s="1231"/>
      <c r="J333" s="1230"/>
      <c r="K333" s="1230"/>
      <c r="L333" s="1230"/>
      <c r="M333" s="1230"/>
      <c r="N333" s="1230"/>
      <c r="O333" s="1232"/>
      <c r="P333" s="1230"/>
      <c r="Q333" s="1230"/>
      <c r="R333" s="1230"/>
      <c r="S333" s="1230"/>
      <c r="T333" s="1230"/>
      <c r="U333" s="1230"/>
      <c r="V333" s="1230"/>
      <c r="W333" s="1230"/>
      <c r="X333" s="1231"/>
      <c r="Y333" s="1230"/>
    </row>
    <row r="334">
      <c r="A334" s="1234"/>
      <c r="B334" s="1230"/>
      <c r="C334" s="1230"/>
      <c r="D334" s="1230"/>
      <c r="E334" s="1230"/>
      <c r="F334" s="1233"/>
      <c r="G334" s="1230"/>
      <c r="H334" s="1230"/>
      <c r="I334" s="1231"/>
      <c r="J334" s="1230"/>
      <c r="K334" s="1230"/>
      <c r="L334" s="1230"/>
      <c r="M334" s="1230"/>
      <c r="N334" s="1230"/>
      <c r="O334" s="1232"/>
      <c r="P334" s="1230"/>
      <c r="Q334" s="1230"/>
      <c r="R334" s="1230"/>
      <c r="S334" s="1230"/>
      <c r="T334" s="1230"/>
      <c r="U334" s="1230"/>
      <c r="V334" s="1230"/>
      <c r="W334" s="1230"/>
      <c r="X334" s="1231"/>
      <c r="Y334" s="1230"/>
    </row>
    <row r="335">
      <c r="A335" s="1234"/>
      <c r="B335" s="1230"/>
      <c r="C335" s="1230"/>
      <c r="D335" s="1230"/>
      <c r="E335" s="1230"/>
      <c r="F335" s="1233"/>
      <c r="G335" s="1230"/>
      <c r="H335" s="1230"/>
      <c r="I335" s="1231"/>
      <c r="J335" s="1230"/>
      <c r="K335" s="1230"/>
      <c r="L335" s="1230"/>
      <c r="M335" s="1230"/>
      <c r="N335" s="1230"/>
      <c r="O335" s="1232"/>
      <c r="P335" s="1230"/>
      <c r="Q335" s="1230"/>
      <c r="R335" s="1230"/>
      <c r="S335" s="1230"/>
      <c r="T335" s="1230"/>
      <c r="U335" s="1230"/>
      <c r="V335" s="1230"/>
      <c r="W335" s="1230"/>
      <c r="X335" s="1231"/>
      <c r="Y335" s="1230"/>
    </row>
    <row r="336">
      <c r="A336" s="1234"/>
      <c r="B336" s="1230"/>
      <c r="C336" s="1230"/>
      <c r="D336" s="1230"/>
      <c r="E336" s="1230"/>
      <c r="F336" s="1233"/>
      <c r="G336" s="1230"/>
      <c r="H336" s="1230"/>
      <c r="I336" s="1231"/>
      <c r="J336" s="1230"/>
      <c r="K336" s="1230"/>
      <c r="L336" s="1230"/>
      <c r="M336" s="1230"/>
      <c r="N336" s="1230"/>
      <c r="O336" s="1232"/>
      <c r="P336" s="1230"/>
      <c r="Q336" s="1230"/>
      <c r="R336" s="1230"/>
      <c r="S336" s="1230"/>
      <c r="T336" s="1230"/>
      <c r="U336" s="1230"/>
      <c r="V336" s="1230"/>
      <c r="W336" s="1230"/>
      <c r="X336" s="1231"/>
      <c r="Y336" s="1230"/>
    </row>
    <row r="337">
      <c r="A337" s="1234"/>
      <c r="B337" s="1230"/>
      <c r="C337" s="1230"/>
      <c r="D337" s="1230"/>
      <c r="E337" s="1230"/>
      <c r="F337" s="1233"/>
      <c r="G337" s="1230"/>
      <c r="H337" s="1230"/>
      <c r="I337" s="1231"/>
      <c r="J337" s="1230"/>
      <c r="K337" s="1230"/>
      <c r="L337" s="1230"/>
      <c r="M337" s="1230"/>
      <c r="N337" s="1230"/>
      <c r="O337" s="1232"/>
      <c r="P337" s="1230"/>
      <c r="Q337" s="1230"/>
      <c r="R337" s="1230"/>
      <c r="S337" s="1230"/>
      <c r="T337" s="1230"/>
      <c r="U337" s="1230"/>
      <c r="V337" s="1230"/>
      <c r="W337" s="1230"/>
      <c r="X337" s="1231"/>
      <c r="Y337" s="1230"/>
    </row>
    <row r="338">
      <c r="A338" s="1234"/>
      <c r="B338" s="1230"/>
      <c r="C338" s="1230"/>
      <c r="D338" s="1230"/>
      <c r="E338" s="1230"/>
      <c r="F338" s="1233"/>
      <c r="G338" s="1230"/>
      <c r="H338" s="1230"/>
      <c r="I338" s="1231"/>
      <c r="J338" s="1230"/>
      <c r="K338" s="1230"/>
      <c r="L338" s="1230"/>
      <c r="M338" s="1230"/>
      <c r="N338" s="1230"/>
      <c r="O338" s="1232"/>
      <c r="P338" s="1230"/>
      <c r="Q338" s="1230"/>
      <c r="R338" s="1230"/>
      <c r="S338" s="1230"/>
      <c r="T338" s="1230"/>
      <c r="U338" s="1230"/>
      <c r="V338" s="1230"/>
      <c r="W338" s="1230"/>
      <c r="X338" s="1231"/>
      <c r="Y338" s="1230"/>
    </row>
    <row r="339">
      <c r="A339" s="1234"/>
      <c r="B339" s="1230"/>
      <c r="C339" s="1230"/>
      <c r="D339" s="1230"/>
      <c r="E339" s="1230"/>
      <c r="F339" s="1233"/>
      <c r="G339" s="1230"/>
      <c r="H339" s="1230"/>
      <c r="I339" s="1231"/>
      <c r="J339" s="1230"/>
      <c r="K339" s="1230"/>
      <c r="L339" s="1230"/>
      <c r="M339" s="1230"/>
      <c r="N339" s="1230"/>
      <c r="O339" s="1232"/>
      <c r="P339" s="1230"/>
      <c r="Q339" s="1230"/>
      <c r="R339" s="1230"/>
      <c r="S339" s="1230"/>
      <c r="T339" s="1230"/>
      <c r="U339" s="1230"/>
      <c r="V339" s="1230"/>
      <c r="W339" s="1230"/>
      <c r="X339" s="1231"/>
      <c r="Y339" s="1230"/>
    </row>
    <row r="340">
      <c r="A340" s="1234"/>
      <c r="B340" s="1230"/>
      <c r="C340" s="1230"/>
      <c r="D340" s="1230"/>
      <c r="E340" s="1230"/>
      <c r="F340" s="1233"/>
      <c r="G340" s="1230"/>
      <c r="H340" s="1230"/>
      <c r="I340" s="1231"/>
      <c r="J340" s="1230"/>
      <c r="K340" s="1230"/>
      <c r="L340" s="1230"/>
      <c r="M340" s="1230"/>
      <c r="N340" s="1230"/>
      <c r="O340" s="1232"/>
      <c r="P340" s="1230"/>
      <c r="Q340" s="1230"/>
      <c r="R340" s="1230"/>
      <c r="S340" s="1230"/>
      <c r="T340" s="1230"/>
      <c r="U340" s="1230"/>
      <c r="V340" s="1230"/>
      <c r="W340" s="1230"/>
      <c r="X340" s="1231"/>
      <c r="Y340" s="1230"/>
    </row>
    <row r="341">
      <c r="A341" s="1234"/>
      <c r="B341" s="1230"/>
      <c r="C341" s="1230"/>
      <c r="D341" s="1230"/>
      <c r="E341" s="1230"/>
      <c r="F341" s="1233"/>
      <c r="G341" s="1230"/>
      <c r="H341" s="1230"/>
      <c r="I341" s="1231"/>
      <c r="J341" s="1230"/>
      <c r="K341" s="1230"/>
      <c r="L341" s="1230"/>
      <c r="M341" s="1230"/>
      <c r="N341" s="1230"/>
      <c r="O341" s="1232"/>
      <c r="P341" s="1230"/>
      <c r="Q341" s="1230"/>
      <c r="R341" s="1230"/>
      <c r="S341" s="1230"/>
      <c r="T341" s="1230"/>
      <c r="U341" s="1230"/>
      <c r="V341" s="1230"/>
      <c r="W341" s="1230"/>
      <c r="X341" s="1231"/>
      <c r="Y341" s="1230"/>
    </row>
    <row r="342">
      <c r="A342" s="1234"/>
      <c r="B342" s="1230"/>
      <c r="C342" s="1230"/>
      <c r="D342" s="1230"/>
      <c r="E342" s="1230"/>
      <c r="F342" s="1233"/>
      <c r="G342" s="1230"/>
      <c r="H342" s="1230"/>
      <c r="I342" s="1231"/>
      <c r="J342" s="1230"/>
      <c r="K342" s="1230"/>
      <c r="L342" s="1230"/>
      <c r="M342" s="1230"/>
      <c r="N342" s="1230"/>
      <c r="O342" s="1232"/>
      <c r="P342" s="1230"/>
      <c r="Q342" s="1230"/>
      <c r="R342" s="1230"/>
      <c r="S342" s="1230"/>
      <c r="T342" s="1230"/>
      <c r="U342" s="1230"/>
      <c r="V342" s="1230"/>
      <c r="W342" s="1230"/>
      <c r="X342" s="1231"/>
      <c r="Y342" s="1230"/>
    </row>
    <row r="343">
      <c r="A343" s="1234"/>
      <c r="B343" s="1230"/>
      <c r="C343" s="1230"/>
      <c r="D343" s="1230"/>
      <c r="E343" s="1230"/>
      <c r="F343" s="1233"/>
      <c r="G343" s="1230"/>
      <c r="H343" s="1230"/>
      <c r="I343" s="1231"/>
      <c r="J343" s="1230"/>
      <c r="K343" s="1230"/>
      <c r="L343" s="1230"/>
      <c r="M343" s="1230"/>
      <c r="N343" s="1230"/>
      <c r="O343" s="1232"/>
      <c r="P343" s="1230"/>
      <c r="Q343" s="1230"/>
      <c r="R343" s="1230"/>
      <c r="S343" s="1230"/>
      <c r="T343" s="1230"/>
      <c r="U343" s="1230"/>
      <c r="V343" s="1230"/>
      <c r="W343" s="1230"/>
      <c r="X343" s="1231"/>
      <c r="Y343" s="1230"/>
    </row>
    <row r="344">
      <c r="A344" s="1234"/>
      <c r="B344" s="1230"/>
      <c r="C344" s="1230"/>
      <c r="D344" s="1230"/>
      <c r="E344" s="1230"/>
      <c r="F344" s="1233"/>
      <c r="G344" s="1230"/>
      <c r="H344" s="1230"/>
      <c r="I344" s="1231"/>
      <c r="J344" s="1230"/>
      <c r="K344" s="1230"/>
      <c r="L344" s="1230"/>
      <c r="M344" s="1230"/>
      <c r="N344" s="1230"/>
      <c r="O344" s="1232"/>
      <c r="P344" s="1230"/>
      <c r="Q344" s="1230"/>
      <c r="R344" s="1230"/>
      <c r="S344" s="1230"/>
      <c r="T344" s="1230"/>
      <c r="U344" s="1230"/>
      <c r="V344" s="1230"/>
      <c r="W344" s="1230"/>
      <c r="X344" s="1231"/>
      <c r="Y344" s="1230"/>
    </row>
    <row r="345">
      <c r="A345" s="1234"/>
      <c r="B345" s="1230"/>
      <c r="C345" s="1230"/>
      <c r="D345" s="1230"/>
      <c r="E345" s="1230"/>
      <c r="F345" s="1233"/>
      <c r="G345" s="1230"/>
      <c r="H345" s="1230"/>
      <c r="I345" s="1231"/>
      <c r="J345" s="1230"/>
      <c r="K345" s="1230"/>
      <c r="L345" s="1230"/>
      <c r="M345" s="1230"/>
      <c r="N345" s="1230"/>
      <c r="O345" s="1232"/>
      <c r="P345" s="1230"/>
      <c r="Q345" s="1230"/>
      <c r="R345" s="1230"/>
      <c r="S345" s="1230"/>
      <c r="T345" s="1230"/>
      <c r="U345" s="1230"/>
      <c r="V345" s="1230"/>
      <c r="W345" s="1230"/>
      <c r="X345" s="1231"/>
      <c r="Y345" s="1230"/>
    </row>
    <row r="346">
      <c r="A346" s="1234"/>
      <c r="B346" s="1230"/>
      <c r="C346" s="1230"/>
      <c r="D346" s="1230"/>
      <c r="E346" s="1230"/>
      <c r="F346" s="1233"/>
      <c r="G346" s="1230"/>
      <c r="H346" s="1230"/>
      <c r="I346" s="1231"/>
      <c r="J346" s="1230"/>
      <c r="K346" s="1230"/>
      <c r="L346" s="1230"/>
      <c r="M346" s="1230"/>
      <c r="N346" s="1230"/>
      <c r="O346" s="1232"/>
      <c r="P346" s="1230"/>
      <c r="Q346" s="1230"/>
      <c r="R346" s="1230"/>
      <c r="S346" s="1230"/>
      <c r="T346" s="1230"/>
      <c r="U346" s="1230"/>
      <c r="V346" s="1230"/>
      <c r="W346" s="1230"/>
      <c r="X346" s="1231"/>
      <c r="Y346" s="1230"/>
    </row>
    <row r="347">
      <c r="A347" s="1234"/>
      <c r="B347" s="1230"/>
      <c r="C347" s="1230"/>
      <c r="D347" s="1230"/>
      <c r="E347" s="1230"/>
      <c r="F347" s="1233"/>
      <c r="G347" s="1230"/>
      <c r="H347" s="1230"/>
      <c r="I347" s="1231"/>
      <c r="J347" s="1230"/>
      <c r="K347" s="1230"/>
      <c r="L347" s="1230"/>
      <c r="M347" s="1230"/>
      <c r="N347" s="1230"/>
      <c r="O347" s="1232"/>
      <c r="P347" s="1230"/>
      <c r="Q347" s="1230"/>
      <c r="R347" s="1230"/>
      <c r="S347" s="1230"/>
      <c r="T347" s="1230"/>
      <c r="U347" s="1230"/>
      <c r="V347" s="1230"/>
      <c r="W347" s="1230"/>
      <c r="X347" s="1231"/>
      <c r="Y347" s="1230"/>
    </row>
    <row r="348">
      <c r="A348" s="1234"/>
      <c r="B348" s="1230"/>
      <c r="C348" s="1230"/>
      <c r="D348" s="1230"/>
      <c r="E348" s="1230"/>
      <c r="F348" s="1233"/>
      <c r="G348" s="1230"/>
      <c r="H348" s="1230"/>
      <c r="I348" s="1231"/>
      <c r="J348" s="1230"/>
      <c r="K348" s="1230"/>
      <c r="L348" s="1230"/>
      <c r="M348" s="1230"/>
      <c r="N348" s="1230"/>
      <c r="O348" s="1232"/>
      <c r="P348" s="1230"/>
      <c r="Q348" s="1230"/>
      <c r="R348" s="1230"/>
      <c r="S348" s="1230"/>
      <c r="T348" s="1230"/>
      <c r="U348" s="1230"/>
      <c r="V348" s="1230"/>
      <c r="W348" s="1230"/>
      <c r="X348" s="1231"/>
      <c r="Y348" s="1230"/>
    </row>
    <row r="349">
      <c r="A349" s="1234"/>
      <c r="B349" s="1230"/>
      <c r="C349" s="1230"/>
      <c r="D349" s="1230"/>
      <c r="E349" s="1230"/>
      <c r="F349" s="1233"/>
      <c r="G349" s="1230"/>
      <c r="H349" s="1230"/>
      <c r="I349" s="1231"/>
      <c r="J349" s="1230"/>
      <c r="K349" s="1230"/>
      <c r="L349" s="1230"/>
      <c r="M349" s="1230"/>
      <c r="N349" s="1230"/>
      <c r="O349" s="1232"/>
      <c r="P349" s="1230"/>
      <c r="Q349" s="1230"/>
      <c r="R349" s="1230"/>
      <c r="S349" s="1230"/>
      <c r="T349" s="1230"/>
      <c r="U349" s="1230"/>
      <c r="V349" s="1230"/>
      <c r="W349" s="1230"/>
      <c r="X349" s="1231"/>
      <c r="Y349" s="1230"/>
    </row>
    <row r="350">
      <c r="A350" s="1234"/>
      <c r="B350" s="1230"/>
      <c r="C350" s="1230"/>
      <c r="D350" s="1230"/>
      <c r="E350" s="1230"/>
      <c r="F350" s="1233"/>
      <c r="G350" s="1230"/>
      <c r="H350" s="1230"/>
      <c r="I350" s="1231"/>
      <c r="J350" s="1230"/>
      <c r="K350" s="1230"/>
      <c r="L350" s="1230"/>
      <c r="M350" s="1230"/>
      <c r="N350" s="1230"/>
      <c r="O350" s="1232"/>
      <c r="P350" s="1230"/>
      <c r="Q350" s="1230"/>
      <c r="R350" s="1230"/>
      <c r="S350" s="1230"/>
      <c r="T350" s="1230"/>
      <c r="U350" s="1230"/>
      <c r="V350" s="1230"/>
      <c r="W350" s="1230"/>
      <c r="X350" s="1231"/>
      <c r="Y350" s="1230"/>
    </row>
    <row r="351">
      <c r="A351" s="1234"/>
      <c r="B351" s="1230"/>
      <c r="C351" s="1230"/>
      <c r="D351" s="1230"/>
      <c r="E351" s="1230"/>
      <c r="F351" s="1233"/>
      <c r="G351" s="1230"/>
      <c r="H351" s="1230"/>
      <c r="I351" s="1231"/>
      <c r="J351" s="1230"/>
      <c r="K351" s="1230"/>
      <c r="L351" s="1230"/>
      <c r="M351" s="1230"/>
      <c r="N351" s="1230"/>
      <c r="O351" s="1232"/>
      <c r="P351" s="1230"/>
      <c r="Q351" s="1230"/>
      <c r="R351" s="1230"/>
      <c r="S351" s="1230"/>
      <c r="T351" s="1230"/>
      <c r="U351" s="1230"/>
      <c r="V351" s="1230"/>
      <c r="W351" s="1230"/>
      <c r="X351" s="1231"/>
      <c r="Y351" s="1230"/>
    </row>
    <row r="352">
      <c r="A352" s="1234"/>
      <c r="B352" s="1230"/>
      <c r="C352" s="1230"/>
      <c r="D352" s="1230"/>
      <c r="E352" s="1230"/>
      <c r="F352" s="1233"/>
      <c r="G352" s="1230"/>
      <c r="H352" s="1230"/>
      <c r="I352" s="1231"/>
      <c r="J352" s="1230"/>
      <c r="K352" s="1230"/>
      <c r="L352" s="1230"/>
      <c r="M352" s="1230"/>
      <c r="N352" s="1230"/>
      <c r="O352" s="1232"/>
      <c r="P352" s="1230"/>
      <c r="Q352" s="1230"/>
      <c r="R352" s="1230"/>
      <c r="S352" s="1230"/>
      <c r="T352" s="1230"/>
      <c r="U352" s="1230"/>
      <c r="V352" s="1230"/>
      <c r="W352" s="1230"/>
      <c r="X352" s="1231"/>
      <c r="Y352" s="1230"/>
    </row>
    <row r="353">
      <c r="A353" s="1234"/>
      <c r="B353" s="1230"/>
      <c r="C353" s="1230"/>
      <c r="D353" s="1230"/>
      <c r="E353" s="1230"/>
      <c r="F353" s="1233"/>
      <c r="G353" s="1230"/>
      <c r="H353" s="1230"/>
      <c r="I353" s="1231"/>
      <c r="J353" s="1230"/>
      <c r="K353" s="1230"/>
      <c r="L353" s="1230"/>
      <c r="M353" s="1230"/>
      <c r="N353" s="1230"/>
      <c r="O353" s="1232"/>
      <c r="P353" s="1230"/>
      <c r="Q353" s="1230"/>
      <c r="R353" s="1230"/>
      <c r="S353" s="1230"/>
      <c r="T353" s="1230"/>
      <c r="U353" s="1230"/>
      <c r="V353" s="1230"/>
      <c r="W353" s="1230"/>
      <c r="X353" s="1231"/>
      <c r="Y353" s="1230"/>
    </row>
    <row r="354">
      <c r="A354" s="1234"/>
      <c r="B354" s="1230"/>
      <c r="C354" s="1230"/>
      <c r="D354" s="1230"/>
      <c r="E354" s="1230"/>
      <c r="F354" s="1233"/>
      <c r="G354" s="1230"/>
      <c r="H354" s="1230"/>
      <c r="I354" s="1231"/>
      <c r="J354" s="1230"/>
      <c r="K354" s="1230"/>
      <c r="L354" s="1230"/>
      <c r="M354" s="1230"/>
      <c r="N354" s="1230"/>
      <c r="O354" s="1232"/>
      <c r="P354" s="1230"/>
      <c r="Q354" s="1230"/>
      <c r="R354" s="1230"/>
      <c r="S354" s="1230"/>
      <c r="T354" s="1230"/>
      <c r="U354" s="1230"/>
      <c r="V354" s="1230"/>
      <c r="W354" s="1230"/>
      <c r="X354" s="1231"/>
      <c r="Y354" s="1230"/>
    </row>
    <row r="355">
      <c r="A355" s="1234"/>
      <c r="B355" s="1230"/>
      <c r="C355" s="1230"/>
      <c r="D355" s="1230"/>
      <c r="E355" s="1230"/>
      <c r="F355" s="1233"/>
      <c r="G355" s="1230"/>
      <c r="H355" s="1230"/>
      <c r="I355" s="1231"/>
      <c r="J355" s="1230"/>
      <c r="K355" s="1230"/>
      <c r="L355" s="1230"/>
      <c r="M355" s="1230"/>
      <c r="N355" s="1230"/>
      <c r="O355" s="1232"/>
      <c r="P355" s="1230"/>
      <c r="Q355" s="1230"/>
      <c r="R355" s="1230"/>
      <c r="S355" s="1230"/>
      <c r="T355" s="1230"/>
      <c r="U355" s="1230"/>
      <c r="V355" s="1230"/>
      <c r="W355" s="1230"/>
      <c r="X355" s="1231"/>
      <c r="Y355" s="1230"/>
    </row>
    <row r="356">
      <c r="A356" s="1234"/>
      <c r="B356" s="1230"/>
      <c r="C356" s="1230"/>
      <c r="D356" s="1230"/>
      <c r="E356" s="1230"/>
      <c r="F356" s="1233"/>
      <c r="G356" s="1230"/>
      <c r="H356" s="1230"/>
      <c r="I356" s="1231"/>
      <c r="J356" s="1230"/>
      <c r="K356" s="1230"/>
      <c r="L356" s="1230"/>
      <c r="M356" s="1230"/>
      <c r="N356" s="1230"/>
      <c r="O356" s="1232"/>
      <c r="P356" s="1230"/>
      <c r="Q356" s="1230"/>
      <c r="R356" s="1230"/>
      <c r="S356" s="1230"/>
      <c r="T356" s="1230"/>
      <c r="U356" s="1230"/>
      <c r="V356" s="1230"/>
      <c r="W356" s="1230"/>
      <c r="X356" s="1231"/>
      <c r="Y356" s="1230"/>
    </row>
    <row r="357">
      <c r="A357" s="1234"/>
      <c r="B357" s="1230"/>
      <c r="C357" s="1230"/>
      <c r="D357" s="1230"/>
      <c r="E357" s="1230"/>
      <c r="F357" s="1233"/>
      <c r="G357" s="1230"/>
      <c r="H357" s="1230"/>
      <c r="I357" s="1231"/>
      <c r="J357" s="1230"/>
      <c r="K357" s="1230"/>
      <c r="L357" s="1230"/>
      <c r="M357" s="1230"/>
      <c r="N357" s="1230"/>
      <c r="O357" s="1232"/>
      <c r="P357" s="1230"/>
      <c r="Q357" s="1230"/>
      <c r="R357" s="1230"/>
      <c r="S357" s="1230"/>
      <c r="T357" s="1230"/>
      <c r="U357" s="1230"/>
      <c r="V357" s="1230"/>
      <c r="W357" s="1230"/>
      <c r="X357" s="1231"/>
      <c r="Y357" s="1230"/>
    </row>
    <row r="358">
      <c r="A358" s="1234"/>
      <c r="B358" s="1230"/>
      <c r="C358" s="1230"/>
      <c r="D358" s="1230"/>
      <c r="E358" s="1230"/>
      <c r="F358" s="1233"/>
      <c r="G358" s="1230"/>
      <c r="H358" s="1230"/>
      <c r="I358" s="1231"/>
      <c r="J358" s="1230"/>
      <c r="K358" s="1230"/>
      <c r="L358" s="1230"/>
      <c r="M358" s="1230"/>
      <c r="N358" s="1230"/>
      <c r="O358" s="1232"/>
      <c r="P358" s="1230"/>
      <c r="Q358" s="1230"/>
      <c r="R358" s="1230"/>
      <c r="S358" s="1230"/>
      <c r="T358" s="1230"/>
      <c r="U358" s="1230"/>
      <c r="V358" s="1230"/>
      <c r="W358" s="1230"/>
      <c r="X358" s="1231"/>
      <c r="Y358" s="1230"/>
    </row>
    <row r="359">
      <c r="A359" s="1234"/>
      <c r="B359" s="1230"/>
      <c r="C359" s="1230"/>
      <c r="D359" s="1230"/>
      <c r="E359" s="1230"/>
      <c r="F359" s="1233"/>
      <c r="G359" s="1230"/>
      <c r="H359" s="1230"/>
      <c r="I359" s="1231"/>
      <c r="J359" s="1230"/>
      <c r="K359" s="1230"/>
      <c r="L359" s="1230"/>
      <c r="M359" s="1230"/>
      <c r="N359" s="1230"/>
      <c r="O359" s="1232"/>
      <c r="P359" s="1230"/>
      <c r="Q359" s="1230"/>
      <c r="R359" s="1230"/>
      <c r="S359" s="1230"/>
      <c r="T359" s="1230"/>
      <c r="U359" s="1230"/>
      <c r="V359" s="1230"/>
      <c r="W359" s="1230"/>
      <c r="X359" s="1231"/>
      <c r="Y359" s="1230"/>
    </row>
    <row r="360">
      <c r="A360" s="1234"/>
      <c r="B360" s="1230"/>
      <c r="C360" s="1230"/>
      <c r="D360" s="1230"/>
      <c r="E360" s="1230"/>
      <c r="F360" s="1233"/>
      <c r="G360" s="1230"/>
      <c r="H360" s="1230"/>
      <c r="I360" s="1231"/>
      <c r="J360" s="1230"/>
      <c r="K360" s="1230"/>
      <c r="L360" s="1230"/>
      <c r="M360" s="1230"/>
      <c r="N360" s="1230"/>
      <c r="O360" s="1232"/>
      <c r="P360" s="1230"/>
      <c r="Q360" s="1230"/>
      <c r="R360" s="1230"/>
      <c r="S360" s="1230"/>
      <c r="T360" s="1230"/>
      <c r="U360" s="1230"/>
      <c r="V360" s="1230"/>
      <c r="W360" s="1230"/>
      <c r="X360" s="1231"/>
      <c r="Y360" s="1230"/>
    </row>
    <row r="361">
      <c r="A361" s="1234"/>
      <c r="B361" s="1230"/>
      <c r="C361" s="1230"/>
      <c r="D361" s="1230"/>
      <c r="E361" s="1230"/>
      <c r="F361" s="1233"/>
      <c r="G361" s="1230"/>
      <c r="H361" s="1230"/>
      <c r="I361" s="1231"/>
      <c r="J361" s="1230"/>
      <c r="K361" s="1230"/>
      <c r="L361" s="1230"/>
      <c r="M361" s="1230"/>
      <c r="N361" s="1230"/>
      <c r="O361" s="1232"/>
      <c r="P361" s="1230"/>
      <c r="Q361" s="1230"/>
      <c r="R361" s="1230"/>
      <c r="S361" s="1230"/>
      <c r="T361" s="1230"/>
      <c r="U361" s="1230"/>
      <c r="V361" s="1230"/>
      <c r="W361" s="1230"/>
      <c r="X361" s="1231"/>
      <c r="Y361" s="1230"/>
    </row>
    <row r="362">
      <c r="A362" s="1234"/>
      <c r="B362" s="1230"/>
      <c r="C362" s="1230"/>
      <c r="D362" s="1230"/>
      <c r="E362" s="1230"/>
      <c r="F362" s="1233"/>
      <c r="G362" s="1230"/>
      <c r="H362" s="1230"/>
      <c r="I362" s="1231"/>
      <c r="J362" s="1230"/>
      <c r="K362" s="1230"/>
      <c r="L362" s="1230"/>
      <c r="M362" s="1230"/>
      <c r="N362" s="1230"/>
      <c r="O362" s="1232"/>
      <c r="P362" s="1230"/>
      <c r="Q362" s="1230"/>
      <c r="R362" s="1230"/>
      <c r="S362" s="1230"/>
      <c r="T362" s="1230"/>
      <c r="U362" s="1230"/>
      <c r="V362" s="1230"/>
      <c r="W362" s="1230"/>
      <c r="X362" s="1231"/>
      <c r="Y362" s="1230"/>
    </row>
    <row r="363">
      <c r="A363" s="1234"/>
      <c r="B363" s="1230"/>
      <c r="C363" s="1230"/>
      <c r="D363" s="1230"/>
      <c r="E363" s="1230"/>
      <c r="F363" s="1233"/>
      <c r="G363" s="1230"/>
      <c r="H363" s="1230"/>
      <c r="I363" s="1231"/>
      <c r="J363" s="1230"/>
      <c r="K363" s="1230"/>
      <c r="L363" s="1230"/>
      <c r="M363" s="1230"/>
      <c r="N363" s="1230"/>
      <c r="O363" s="1232"/>
      <c r="P363" s="1230"/>
      <c r="Q363" s="1230"/>
      <c r="R363" s="1230"/>
      <c r="S363" s="1230"/>
      <c r="T363" s="1230"/>
      <c r="U363" s="1230"/>
      <c r="V363" s="1230"/>
      <c r="W363" s="1230"/>
      <c r="X363" s="1231"/>
      <c r="Y363" s="1230"/>
    </row>
    <row r="364">
      <c r="A364" s="1234"/>
      <c r="B364" s="1230"/>
      <c r="C364" s="1230"/>
      <c r="D364" s="1230"/>
      <c r="E364" s="1230"/>
      <c r="F364" s="1233"/>
      <c r="G364" s="1230"/>
      <c r="H364" s="1230"/>
      <c r="I364" s="1231"/>
      <c r="J364" s="1230"/>
      <c r="K364" s="1230"/>
      <c r="L364" s="1230"/>
      <c r="M364" s="1230"/>
      <c r="N364" s="1230"/>
      <c r="O364" s="1232"/>
      <c r="P364" s="1230"/>
      <c r="Q364" s="1230"/>
      <c r="R364" s="1230"/>
      <c r="S364" s="1230"/>
      <c r="T364" s="1230"/>
      <c r="U364" s="1230"/>
      <c r="V364" s="1230"/>
      <c r="W364" s="1230"/>
      <c r="X364" s="1231"/>
      <c r="Y364" s="1230"/>
    </row>
    <row r="365">
      <c r="A365" s="1234"/>
      <c r="B365" s="1230"/>
      <c r="C365" s="1230"/>
      <c r="D365" s="1230"/>
      <c r="E365" s="1230"/>
      <c r="F365" s="1233"/>
      <c r="G365" s="1230"/>
      <c r="H365" s="1230"/>
      <c r="I365" s="1231"/>
      <c r="J365" s="1230"/>
      <c r="K365" s="1230"/>
      <c r="L365" s="1230"/>
      <c r="M365" s="1230"/>
      <c r="N365" s="1230"/>
      <c r="O365" s="1232"/>
      <c r="P365" s="1230"/>
      <c r="Q365" s="1230"/>
      <c r="R365" s="1230"/>
      <c r="S365" s="1230"/>
      <c r="T365" s="1230"/>
      <c r="U365" s="1230"/>
      <c r="V365" s="1230"/>
      <c r="W365" s="1230"/>
      <c r="X365" s="1231"/>
      <c r="Y365" s="1230"/>
    </row>
    <row r="366">
      <c r="A366" s="1234"/>
      <c r="B366" s="1230"/>
      <c r="C366" s="1230"/>
      <c r="D366" s="1230"/>
      <c r="E366" s="1230"/>
      <c r="F366" s="1233"/>
      <c r="G366" s="1230"/>
      <c r="H366" s="1230"/>
      <c r="I366" s="1231"/>
      <c r="J366" s="1230"/>
      <c r="K366" s="1230"/>
      <c r="L366" s="1230"/>
      <c r="M366" s="1230"/>
      <c r="N366" s="1230"/>
      <c r="O366" s="1232"/>
      <c r="P366" s="1230"/>
      <c r="Q366" s="1230"/>
      <c r="R366" s="1230"/>
      <c r="S366" s="1230"/>
      <c r="T366" s="1230"/>
      <c r="U366" s="1230"/>
      <c r="V366" s="1230"/>
      <c r="W366" s="1230"/>
      <c r="X366" s="1231"/>
      <c r="Y366" s="1230"/>
    </row>
    <row r="367">
      <c r="A367" s="1234"/>
      <c r="B367" s="1230"/>
      <c r="C367" s="1230"/>
      <c r="D367" s="1230"/>
      <c r="E367" s="1230"/>
      <c r="F367" s="1233"/>
      <c r="G367" s="1230"/>
      <c r="H367" s="1230"/>
      <c r="I367" s="1231"/>
      <c r="J367" s="1230"/>
      <c r="K367" s="1230"/>
      <c r="L367" s="1230"/>
      <c r="M367" s="1230"/>
      <c r="N367" s="1230"/>
      <c r="O367" s="1232"/>
      <c r="P367" s="1230"/>
      <c r="Q367" s="1230"/>
      <c r="R367" s="1230"/>
      <c r="S367" s="1230"/>
      <c r="T367" s="1230"/>
      <c r="U367" s="1230"/>
      <c r="V367" s="1230"/>
      <c r="W367" s="1230"/>
      <c r="X367" s="1231"/>
      <c r="Y367" s="1230"/>
    </row>
    <row r="368">
      <c r="A368" s="1234"/>
      <c r="B368" s="1230"/>
      <c r="C368" s="1230"/>
      <c r="D368" s="1230"/>
      <c r="E368" s="1230"/>
      <c r="F368" s="1233"/>
      <c r="G368" s="1230"/>
      <c r="H368" s="1230"/>
      <c r="I368" s="1231"/>
      <c r="J368" s="1230"/>
      <c r="K368" s="1230"/>
      <c r="L368" s="1230"/>
      <c r="M368" s="1230"/>
      <c r="N368" s="1230"/>
      <c r="O368" s="1232"/>
      <c r="P368" s="1230"/>
      <c r="Q368" s="1230"/>
      <c r="R368" s="1230"/>
      <c r="S368" s="1230"/>
      <c r="T368" s="1230"/>
      <c r="U368" s="1230"/>
      <c r="V368" s="1230"/>
      <c r="W368" s="1230"/>
      <c r="X368" s="1231"/>
      <c r="Y368" s="1230"/>
    </row>
    <row r="369">
      <c r="A369" s="1234"/>
      <c r="B369" s="1230"/>
      <c r="C369" s="1230"/>
      <c r="D369" s="1230"/>
      <c r="E369" s="1230"/>
      <c r="F369" s="1233"/>
      <c r="G369" s="1230"/>
      <c r="H369" s="1230"/>
      <c r="I369" s="1231"/>
      <c r="J369" s="1230"/>
      <c r="K369" s="1230"/>
      <c r="L369" s="1230"/>
      <c r="M369" s="1230"/>
      <c r="N369" s="1230"/>
      <c r="O369" s="1232"/>
      <c r="P369" s="1230"/>
      <c r="Q369" s="1230"/>
      <c r="R369" s="1230"/>
      <c r="S369" s="1230"/>
      <c r="T369" s="1230"/>
      <c r="U369" s="1230"/>
      <c r="V369" s="1230"/>
      <c r="W369" s="1230"/>
      <c r="X369" s="1231"/>
      <c r="Y369" s="1230"/>
    </row>
    <row r="370">
      <c r="A370" s="1234"/>
      <c r="B370" s="1230"/>
      <c r="C370" s="1230"/>
      <c r="D370" s="1230"/>
      <c r="E370" s="1230"/>
      <c r="F370" s="1233"/>
      <c r="G370" s="1230"/>
      <c r="H370" s="1230"/>
      <c r="I370" s="1231"/>
      <c r="J370" s="1230"/>
      <c r="K370" s="1230"/>
      <c r="L370" s="1230"/>
      <c r="M370" s="1230"/>
      <c r="N370" s="1230"/>
      <c r="O370" s="1232"/>
      <c r="P370" s="1230"/>
      <c r="Q370" s="1230"/>
      <c r="R370" s="1230"/>
      <c r="S370" s="1230"/>
      <c r="T370" s="1230"/>
      <c r="U370" s="1230"/>
      <c r="V370" s="1230"/>
      <c r="W370" s="1230"/>
      <c r="X370" s="1231"/>
      <c r="Y370" s="1230"/>
    </row>
    <row r="371">
      <c r="A371" s="1234"/>
      <c r="B371" s="1230"/>
      <c r="C371" s="1230"/>
      <c r="D371" s="1230"/>
      <c r="E371" s="1230"/>
      <c r="F371" s="1233"/>
      <c r="G371" s="1230"/>
      <c r="H371" s="1230"/>
      <c r="I371" s="1231"/>
      <c r="J371" s="1230"/>
      <c r="K371" s="1230"/>
      <c r="L371" s="1230"/>
      <c r="M371" s="1230"/>
      <c r="N371" s="1230"/>
      <c r="O371" s="1232"/>
      <c r="P371" s="1230"/>
      <c r="Q371" s="1230"/>
      <c r="R371" s="1230"/>
      <c r="S371" s="1230"/>
      <c r="T371" s="1230"/>
      <c r="U371" s="1230"/>
      <c r="V371" s="1230"/>
      <c r="W371" s="1230"/>
      <c r="X371" s="1231"/>
      <c r="Y371" s="1230"/>
    </row>
    <row r="372">
      <c r="A372" s="1234"/>
      <c r="B372" s="1230"/>
      <c r="C372" s="1230"/>
      <c r="D372" s="1230"/>
      <c r="E372" s="1230"/>
      <c r="F372" s="1233"/>
      <c r="G372" s="1230"/>
      <c r="H372" s="1230"/>
      <c r="I372" s="1231"/>
      <c r="J372" s="1230"/>
      <c r="K372" s="1230"/>
      <c r="L372" s="1230"/>
      <c r="M372" s="1230"/>
      <c r="N372" s="1230"/>
      <c r="O372" s="1232"/>
      <c r="P372" s="1230"/>
      <c r="Q372" s="1230"/>
      <c r="R372" s="1230"/>
      <c r="S372" s="1230"/>
      <c r="T372" s="1230"/>
      <c r="U372" s="1230"/>
      <c r="V372" s="1230"/>
      <c r="W372" s="1230"/>
      <c r="X372" s="1231"/>
      <c r="Y372" s="1230"/>
    </row>
    <row r="373">
      <c r="A373" s="1234"/>
      <c r="B373" s="1230"/>
      <c r="C373" s="1230"/>
      <c r="D373" s="1230"/>
      <c r="E373" s="1230"/>
      <c r="F373" s="1233"/>
      <c r="G373" s="1230"/>
      <c r="H373" s="1230"/>
      <c r="I373" s="1231"/>
      <c r="J373" s="1230"/>
      <c r="K373" s="1230"/>
      <c r="L373" s="1230"/>
      <c r="M373" s="1230"/>
      <c r="N373" s="1230"/>
      <c r="O373" s="1232"/>
      <c r="P373" s="1230"/>
      <c r="Q373" s="1230"/>
      <c r="R373" s="1230"/>
      <c r="S373" s="1230"/>
      <c r="T373" s="1230"/>
      <c r="U373" s="1230"/>
      <c r="V373" s="1230"/>
      <c r="W373" s="1230"/>
      <c r="X373" s="1231"/>
      <c r="Y373" s="1230"/>
    </row>
    <row r="374">
      <c r="A374" s="1234"/>
      <c r="B374" s="1230"/>
      <c r="C374" s="1230"/>
      <c r="D374" s="1230"/>
      <c r="E374" s="1230"/>
      <c r="F374" s="1233"/>
      <c r="G374" s="1230"/>
      <c r="H374" s="1230"/>
      <c r="I374" s="1231"/>
      <c r="J374" s="1230"/>
      <c r="K374" s="1230"/>
      <c r="L374" s="1230"/>
      <c r="M374" s="1230"/>
      <c r="N374" s="1230"/>
      <c r="O374" s="1232"/>
      <c r="P374" s="1230"/>
      <c r="Q374" s="1230"/>
      <c r="R374" s="1230"/>
      <c r="S374" s="1230"/>
      <c r="T374" s="1230"/>
      <c r="U374" s="1230"/>
      <c r="V374" s="1230"/>
      <c r="W374" s="1230"/>
      <c r="X374" s="1231"/>
      <c r="Y374" s="1230"/>
    </row>
    <row r="375">
      <c r="A375" s="1234"/>
      <c r="B375" s="1230"/>
      <c r="C375" s="1230"/>
      <c r="D375" s="1230"/>
      <c r="E375" s="1230"/>
      <c r="F375" s="1233"/>
      <c r="G375" s="1230"/>
      <c r="H375" s="1230"/>
      <c r="I375" s="1231"/>
      <c r="J375" s="1230"/>
      <c r="K375" s="1230"/>
      <c r="L375" s="1230"/>
      <c r="M375" s="1230"/>
      <c r="N375" s="1230"/>
      <c r="O375" s="1232"/>
      <c r="P375" s="1230"/>
      <c r="Q375" s="1230"/>
      <c r="R375" s="1230"/>
      <c r="S375" s="1230"/>
      <c r="T375" s="1230"/>
      <c r="U375" s="1230"/>
      <c r="V375" s="1230"/>
      <c r="W375" s="1230"/>
      <c r="X375" s="1231"/>
      <c r="Y375" s="1230"/>
    </row>
    <row r="376">
      <c r="A376" s="1234"/>
      <c r="B376" s="1230"/>
      <c r="C376" s="1230"/>
      <c r="D376" s="1230"/>
      <c r="E376" s="1230"/>
      <c r="F376" s="1233"/>
      <c r="G376" s="1230"/>
      <c r="H376" s="1230"/>
      <c r="I376" s="1231"/>
      <c r="J376" s="1230"/>
      <c r="K376" s="1230"/>
      <c r="L376" s="1230"/>
      <c r="M376" s="1230"/>
      <c r="N376" s="1230"/>
      <c r="O376" s="1232"/>
      <c r="P376" s="1230"/>
      <c r="Q376" s="1230"/>
      <c r="R376" s="1230"/>
      <c r="S376" s="1230"/>
      <c r="T376" s="1230"/>
      <c r="U376" s="1230"/>
      <c r="V376" s="1230"/>
      <c r="W376" s="1230"/>
      <c r="X376" s="1231"/>
      <c r="Y376" s="1230"/>
    </row>
    <row r="377">
      <c r="A377" s="1234"/>
      <c r="B377" s="1230"/>
      <c r="C377" s="1230"/>
      <c r="D377" s="1230"/>
      <c r="E377" s="1230"/>
      <c r="F377" s="1233"/>
      <c r="G377" s="1230"/>
      <c r="H377" s="1230"/>
      <c r="I377" s="1231"/>
      <c r="J377" s="1230"/>
      <c r="K377" s="1230"/>
      <c r="L377" s="1230"/>
      <c r="M377" s="1230"/>
      <c r="N377" s="1230"/>
      <c r="O377" s="1232"/>
      <c r="P377" s="1230"/>
      <c r="Q377" s="1230"/>
      <c r="R377" s="1230"/>
      <c r="S377" s="1230"/>
      <c r="T377" s="1230"/>
      <c r="U377" s="1230"/>
      <c r="V377" s="1230"/>
      <c r="W377" s="1230"/>
      <c r="X377" s="1231"/>
      <c r="Y377" s="1230"/>
    </row>
    <row r="378">
      <c r="A378" s="1234"/>
      <c r="B378" s="1230"/>
      <c r="C378" s="1230"/>
      <c r="D378" s="1230"/>
      <c r="E378" s="1230"/>
      <c r="F378" s="1233"/>
      <c r="G378" s="1230"/>
      <c r="H378" s="1230"/>
      <c r="I378" s="1231"/>
      <c r="J378" s="1230"/>
      <c r="K378" s="1230"/>
      <c r="L378" s="1230"/>
      <c r="M378" s="1230"/>
      <c r="N378" s="1230"/>
      <c r="O378" s="1232"/>
      <c r="P378" s="1230"/>
      <c r="Q378" s="1230"/>
      <c r="R378" s="1230"/>
      <c r="S378" s="1230"/>
      <c r="T378" s="1230"/>
      <c r="U378" s="1230"/>
      <c r="V378" s="1230"/>
      <c r="W378" s="1230"/>
      <c r="X378" s="1231"/>
      <c r="Y378" s="1230"/>
    </row>
    <row r="379">
      <c r="A379" s="1234"/>
      <c r="B379" s="1230"/>
      <c r="C379" s="1230"/>
      <c r="D379" s="1230"/>
      <c r="E379" s="1230"/>
      <c r="F379" s="1233"/>
      <c r="G379" s="1230"/>
      <c r="H379" s="1230"/>
      <c r="I379" s="1231"/>
      <c r="J379" s="1230"/>
      <c r="K379" s="1230"/>
      <c r="L379" s="1230"/>
      <c r="M379" s="1230"/>
      <c r="N379" s="1230"/>
      <c r="O379" s="1232"/>
      <c r="P379" s="1230"/>
      <c r="Q379" s="1230"/>
      <c r="R379" s="1230"/>
      <c r="S379" s="1230"/>
      <c r="T379" s="1230"/>
      <c r="U379" s="1230"/>
      <c r="V379" s="1230"/>
      <c r="W379" s="1230"/>
      <c r="X379" s="1231"/>
      <c r="Y379" s="1230"/>
    </row>
    <row r="380">
      <c r="A380" s="1234"/>
      <c r="B380" s="1230"/>
      <c r="C380" s="1230"/>
      <c r="D380" s="1230"/>
      <c r="E380" s="1230"/>
      <c r="F380" s="1233"/>
      <c r="G380" s="1230"/>
      <c r="H380" s="1230"/>
      <c r="I380" s="1231"/>
      <c r="J380" s="1230"/>
      <c r="K380" s="1230"/>
      <c r="L380" s="1230"/>
      <c r="M380" s="1230"/>
      <c r="N380" s="1230"/>
      <c r="O380" s="1232"/>
      <c r="P380" s="1230"/>
      <c r="Q380" s="1230"/>
      <c r="R380" s="1230"/>
      <c r="S380" s="1230"/>
      <c r="T380" s="1230"/>
      <c r="U380" s="1230"/>
      <c r="V380" s="1230"/>
      <c r="W380" s="1230"/>
      <c r="X380" s="1231"/>
      <c r="Y380" s="1230"/>
    </row>
    <row r="381">
      <c r="A381" s="1234"/>
      <c r="B381" s="1230"/>
      <c r="C381" s="1230"/>
      <c r="D381" s="1230"/>
      <c r="E381" s="1230"/>
      <c r="F381" s="1233"/>
      <c r="G381" s="1230"/>
      <c r="H381" s="1230"/>
      <c r="I381" s="1231"/>
      <c r="J381" s="1230"/>
      <c r="K381" s="1230"/>
      <c r="L381" s="1230"/>
      <c r="M381" s="1230"/>
      <c r="N381" s="1230"/>
      <c r="O381" s="1232"/>
      <c r="P381" s="1230"/>
      <c r="Q381" s="1230"/>
      <c r="R381" s="1230"/>
      <c r="S381" s="1230"/>
      <c r="T381" s="1230"/>
      <c r="U381" s="1230"/>
      <c r="V381" s="1230"/>
      <c r="W381" s="1230"/>
      <c r="X381" s="1231"/>
      <c r="Y381" s="1230"/>
    </row>
    <row r="382">
      <c r="A382" s="1234"/>
      <c r="B382" s="1230"/>
      <c r="C382" s="1230"/>
      <c r="D382" s="1230"/>
      <c r="E382" s="1230"/>
      <c r="F382" s="1233"/>
      <c r="G382" s="1230"/>
      <c r="H382" s="1230"/>
      <c r="I382" s="1231"/>
      <c r="J382" s="1230"/>
      <c r="K382" s="1230"/>
      <c r="L382" s="1230"/>
      <c r="M382" s="1230"/>
      <c r="N382" s="1230"/>
      <c r="O382" s="1232"/>
      <c r="P382" s="1230"/>
      <c r="Q382" s="1230"/>
      <c r="R382" s="1230"/>
      <c r="S382" s="1230"/>
      <c r="T382" s="1230"/>
      <c r="U382" s="1230"/>
      <c r="V382" s="1230"/>
      <c r="W382" s="1230"/>
      <c r="X382" s="1231"/>
      <c r="Y382" s="1230"/>
    </row>
    <row r="383">
      <c r="A383" s="1234"/>
      <c r="B383" s="1230"/>
      <c r="C383" s="1230"/>
      <c r="D383" s="1230"/>
      <c r="E383" s="1230"/>
      <c r="F383" s="1233"/>
      <c r="G383" s="1230"/>
      <c r="H383" s="1230"/>
      <c r="I383" s="1231"/>
      <c r="J383" s="1230"/>
      <c r="K383" s="1230"/>
      <c r="L383" s="1230"/>
      <c r="M383" s="1230"/>
      <c r="N383" s="1230"/>
      <c r="O383" s="1232"/>
      <c r="P383" s="1230"/>
      <c r="Q383" s="1230"/>
      <c r="R383" s="1230"/>
      <c r="S383" s="1230"/>
      <c r="T383" s="1230"/>
      <c r="U383" s="1230"/>
      <c r="V383" s="1230"/>
      <c r="W383" s="1230"/>
      <c r="X383" s="1231"/>
      <c r="Y383" s="1230"/>
    </row>
    <row r="384">
      <c r="A384" s="1234"/>
      <c r="B384" s="1230"/>
      <c r="C384" s="1230"/>
      <c r="D384" s="1230"/>
      <c r="E384" s="1230"/>
      <c r="F384" s="1233"/>
      <c r="G384" s="1230"/>
      <c r="H384" s="1230"/>
      <c r="I384" s="1231"/>
      <c r="J384" s="1230"/>
      <c r="K384" s="1230"/>
      <c r="L384" s="1230"/>
      <c r="M384" s="1230"/>
      <c r="N384" s="1230"/>
      <c r="O384" s="1232"/>
      <c r="P384" s="1230"/>
      <c r="Q384" s="1230"/>
      <c r="R384" s="1230"/>
      <c r="S384" s="1230"/>
      <c r="T384" s="1230"/>
      <c r="U384" s="1230"/>
      <c r="V384" s="1230"/>
      <c r="W384" s="1230"/>
      <c r="X384" s="1231"/>
      <c r="Y384" s="1230"/>
    </row>
    <row r="385">
      <c r="A385" s="1234"/>
      <c r="B385" s="1230"/>
      <c r="C385" s="1230"/>
      <c r="D385" s="1230"/>
      <c r="E385" s="1230"/>
      <c r="F385" s="1233"/>
      <c r="G385" s="1230"/>
      <c r="H385" s="1230"/>
      <c r="I385" s="1231"/>
      <c r="J385" s="1230"/>
      <c r="K385" s="1230"/>
      <c r="L385" s="1230"/>
      <c r="M385" s="1230"/>
      <c r="N385" s="1230"/>
      <c r="O385" s="1232"/>
      <c r="P385" s="1230"/>
      <c r="Q385" s="1230"/>
      <c r="R385" s="1230"/>
      <c r="S385" s="1230"/>
      <c r="T385" s="1230"/>
      <c r="U385" s="1230"/>
      <c r="V385" s="1230"/>
      <c r="W385" s="1230"/>
      <c r="X385" s="1231"/>
      <c r="Y385" s="1230"/>
    </row>
    <row r="386">
      <c r="A386" s="1234"/>
      <c r="B386" s="1230"/>
      <c r="C386" s="1230"/>
      <c r="D386" s="1230"/>
      <c r="E386" s="1230"/>
      <c r="F386" s="1233"/>
      <c r="G386" s="1230"/>
      <c r="H386" s="1230"/>
      <c r="I386" s="1231"/>
      <c r="J386" s="1230"/>
      <c r="K386" s="1230"/>
      <c r="L386" s="1230"/>
      <c r="M386" s="1230"/>
      <c r="N386" s="1230"/>
      <c r="O386" s="1232"/>
      <c r="P386" s="1230"/>
      <c r="Q386" s="1230"/>
      <c r="R386" s="1230"/>
      <c r="S386" s="1230"/>
      <c r="T386" s="1230"/>
      <c r="U386" s="1230"/>
      <c r="V386" s="1230"/>
      <c r="W386" s="1230"/>
      <c r="X386" s="1231"/>
      <c r="Y386" s="1230"/>
    </row>
    <row r="387">
      <c r="A387" s="1234"/>
      <c r="B387" s="1230"/>
      <c r="C387" s="1230"/>
      <c r="D387" s="1230"/>
      <c r="E387" s="1230"/>
      <c r="F387" s="1233"/>
      <c r="G387" s="1230"/>
      <c r="H387" s="1230"/>
      <c r="I387" s="1231"/>
      <c r="J387" s="1230"/>
      <c r="K387" s="1230"/>
      <c r="L387" s="1230"/>
      <c r="M387" s="1230"/>
      <c r="N387" s="1230"/>
      <c r="O387" s="1232"/>
      <c r="P387" s="1230"/>
      <c r="Q387" s="1230"/>
      <c r="R387" s="1230"/>
      <c r="S387" s="1230"/>
      <c r="T387" s="1230"/>
      <c r="U387" s="1230"/>
      <c r="V387" s="1230"/>
      <c r="W387" s="1230"/>
      <c r="X387" s="1231"/>
      <c r="Y387" s="1230"/>
    </row>
    <row r="388">
      <c r="A388" s="1234"/>
      <c r="B388" s="1230"/>
      <c r="C388" s="1230"/>
      <c r="D388" s="1230"/>
      <c r="E388" s="1230"/>
      <c r="F388" s="1233"/>
      <c r="G388" s="1230"/>
      <c r="H388" s="1230"/>
      <c r="I388" s="1231"/>
      <c r="J388" s="1230"/>
      <c r="K388" s="1230"/>
      <c r="L388" s="1230"/>
      <c r="M388" s="1230"/>
      <c r="N388" s="1230"/>
      <c r="O388" s="1232"/>
      <c r="P388" s="1230"/>
      <c r="Q388" s="1230"/>
      <c r="R388" s="1230"/>
      <c r="S388" s="1230"/>
      <c r="T388" s="1230"/>
      <c r="U388" s="1230"/>
      <c r="V388" s="1230"/>
      <c r="W388" s="1230"/>
      <c r="X388" s="1231"/>
      <c r="Y388" s="1230"/>
    </row>
    <row r="389">
      <c r="A389" s="1234"/>
      <c r="B389" s="1230"/>
      <c r="C389" s="1230"/>
      <c r="D389" s="1230"/>
      <c r="E389" s="1230"/>
      <c r="F389" s="1233"/>
      <c r="G389" s="1230"/>
      <c r="H389" s="1230"/>
      <c r="I389" s="1231"/>
      <c r="J389" s="1230"/>
      <c r="K389" s="1230"/>
      <c r="L389" s="1230"/>
      <c r="M389" s="1230"/>
      <c r="N389" s="1230"/>
      <c r="O389" s="1232"/>
      <c r="P389" s="1230"/>
      <c r="Q389" s="1230"/>
      <c r="R389" s="1230"/>
      <c r="S389" s="1230"/>
      <c r="T389" s="1230"/>
      <c r="U389" s="1230"/>
      <c r="V389" s="1230"/>
      <c r="W389" s="1230"/>
      <c r="X389" s="1231"/>
      <c r="Y389" s="1230"/>
    </row>
    <row r="390">
      <c r="A390" s="1234"/>
      <c r="B390" s="1230"/>
      <c r="C390" s="1230"/>
      <c r="D390" s="1230"/>
      <c r="E390" s="1230"/>
      <c r="F390" s="1233"/>
      <c r="G390" s="1230"/>
      <c r="H390" s="1230"/>
      <c r="I390" s="1231"/>
      <c r="J390" s="1230"/>
      <c r="K390" s="1230"/>
      <c r="L390" s="1230"/>
      <c r="M390" s="1230"/>
      <c r="N390" s="1230"/>
      <c r="O390" s="1232"/>
      <c r="P390" s="1230"/>
      <c r="Q390" s="1230"/>
      <c r="R390" s="1230"/>
      <c r="S390" s="1230"/>
      <c r="T390" s="1230"/>
      <c r="U390" s="1230"/>
      <c r="V390" s="1230"/>
      <c r="W390" s="1230"/>
      <c r="X390" s="1231"/>
      <c r="Y390" s="1230"/>
    </row>
    <row r="391">
      <c r="A391" s="1234"/>
      <c r="B391" s="1230"/>
      <c r="C391" s="1230"/>
      <c r="D391" s="1230"/>
      <c r="E391" s="1230"/>
      <c r="F391" s="1233"/>
      <c r="G391" s="1230"/>
      <c r="H391" s="1230"/>
      <c r="I391" s="1231"/>
      <c r="J391" s="1230"/>
      <c r="K391" s="1230"/>
      <c r="L391" s="1230"/>
      <c r="M391" s="1230"/>
      <c r="N391" s="1230"/>
      <c r="O391" s="1232"/>
      <c r="P391" s="1230"/>
      <c r="Q391" s="1230"/>
      <c r="R391" s="1230"/>
      <c r="S391" s="1230"/>
      <c r="T391" s="1230"/>
      <c r="U391" s="1230"/>
      <c r="V391" s="1230"/>
      <c r="W391" s="1230"/>
      <c r="X391" s="1231"/>
      <c r="Y391" s="1230"/>
    </row>
    <row r="392">
      <c r="A392" s="1234"/>
      <c r="B392" s="1230"/>
      <c r="C392" s="1230"/>
      <c r="D392" s="1230"/>
      <c r="E392" s="1230"/>
      <c r="F392" s="1233"/>
      <c r="G392" s="1230"/>
      <c r="H392" s="1230"/>
      <c r="I392" s="1231"/>
      <c r="J392" s="1230"/>
      <c r="K392" s="1230"/>
      <c r="L392" s="1230"/>
      <c r="M392" s="1230"/>
      <c r="N392" s="1230"/>
      <c r="O392" s="1232"/>
      <c r="P392" s="1230"/>
      <c r="Q392" s="1230"/>
      <c r="R392" s="1230"/>
      <c r="S392" s="1230"/>
      <c r="T392" s="1230"/>
      <c r="U392" s="1230"/>
      <c r="V392" s="1230"/>
      <c r="W392" s="1230"/>
      <c r="X392" s="1231"/>
      <c r="Y392" s="1230"/>
    </row>
    <row r="393">
      <c r="A393" s="1234"/>
      <c r="B393" s="1230"/>
      <c r="C393" s="1230"/>
      <c r="D393" s="1230"/>
      <c r="E393" s="1230"/>
      <c r="F393" s="1233"/>
      <c r="G393" s="1230"/>
      <c r="H393" s="1230"/>
      <c r="I393" s="1231"/>
      <c r="J393" s="1230"/>
      <c r="K393" s="1230"/>
      <c r="L393" s="1230"/>
      <c r="M393" s="1230"/>
      <c r="N393" s="1230"/>
      <c r="O393" s="1232"/>
      <c r="P393" s="1230"/>
      <c r="Q393" s="1230"/>
      <c r="R393" s="1230"/>
      <c r="S393" s="1230"/>
      <c r="T393" s="1230"/>
      <c r="U393" s="1230"/>
      <c r="V393" s="1230"/>
      <c r="W393" s="1230"/>
      <c r="X393" s="1231"/>
      <c r="Y393" s="1230"/>
    </row>
    <row r="394">
      <c r="A394" s="1234"/>
      <c r="B394" s="1230"/>
      <c r="C394" s="1230"/>
      <c r="D394" s="1230"/>
      <c r="E394" s="1230"/>
      <c r="F394" s="1233"/>
      <c r="G394" s="1230"/>
      <c r="H394" s="1230"/>
      <c r="I394" s="1231"/>
      <c r="J394" s="1230"/>
      <c r="K394" s="1230"/>
      <c r="L394" s="1230"/>
      <c r="M394" s="1230"/>
      <c r="N394" s="1230"/>
      <c r="O394" s="1232"/>
      <c r="P394" s="1230"/>
      <c r="Q394" s="1230"/>
      <c r="R394" s="1230"/>
      <c r="S394" s="1230"/>
      <c r="T394" s="1230"/>
      <c r="U394" s="1230"/>
      <c r="V394" s="1230"/>
      <c r="W394" s="1230"/>
      <c r="X394" s="1231"/>
      <c r="Y394" s="1230"/>
    </row>
    <row r="395">
      <c r="A395" s="1234"/>
      <c r="B395" s="1230"/>
      <c r="C395" s="1230"/>
      <c r="D395" s="1230"/>
      <c r="E395" s="1230"/>
      <c r="F395" s="1233"/>
      <c r="G395" s="1230"/>
      <c r="H395" s="1230"/>
      <c r="I395" s="1231"/>
      <c r="J395" s="1230"/>
      <c r="K395" s="1230"/>
      <c r="L395" s="1230"/>
      <c r="M395" s="1230"/>
      <c r="N395" s="1230"/>
      <c r="O395" s="1232"/>
      <c r="P395" s="1230"/>
      <c r="Q395" s="1230"/>
      <c r="R395" s="1230"/>
      <c r="S395" s="1230"/>
      <c r="T395" s="1230"/>
      <c r="U395" s="1230"/>
      <c r="V395" s="1230"/>
      <c r="W395" s="1230"/>
      <c r="X395" s="1231"/>
      <c r="Y395" s="1230"/>
    </row>
    <row r="396">
      <c r="A396" s="1234"/>
      <c r="B396" s="1230"/>
      <c r="C396" s="1230"/>
      <c r="D396" s="1230"/>
      <c r="E396" s="1230"/>
      <c r="F396" s="1233"/>
      <c r="G396" s="1230"/>
      <c r="H396" s="1230"/>
      <c r="I396" s="1231"/>
      <c r="J396" s="1230"/>
      <c r="K396" s="1230"/>
      <c r="L396" s="1230"/>
      <c r="M396" s="1230"/>
      <c r="N396" s="1230"/>
      <c r="O396" s="1232"/>
      <c r="P396" s="1230"/>
      <c r="Q396" s="1230"/>
      <c r="R396" s="1230"/>
      <c r="S396" s="1230"/>
      <c r="T396" s="1230"/>
      <c r="U396" s="1230"/>
      <c r="V396" s="1230"/>
      <c r="W396" s="1230"/>
      <c r="X396" s="1231"/>
      <c r="Y396" s="1230"/>
    </row>
    <row r="397">
      <c r="A397" s="1234"/>
      <c r="B397" s="1230"/>
      <c r="C397" s="1230"/>
      <c r="D397" s="1230"/>
      <c r="E397" s="1230"/>
      <c r="F397" s="1233"/>
      <c r="G397" s="1230"/>
      <c r="H397" s="1230"/>
      <c r="I397" s="1231"/>
      <c r="J397" s="1230"/>
      <c r="K397" s="1230"/>
      <c r="L397" s="1230"/>
      <c r="M397" s="1230"/>
      <c r="N397" s="1230"/>
      <c r="O397" s="1232"/>
      <c r="P397" s="1230"/>
      <c r="Q397" s="1230"/>
      <c r="R397" s="1230"/>
      <c r="S397" s="1230"/>
      <c r="T397" s="1230"/>
      <c r="U397" s="1230"/>
      <c r="V397" s="1230"/>
      <c r="W397" s="1230"/>
      <c r="X397" s="1231"/>
      <c r="Y397" s="1230"/>
    </row>
    <row r="398">
      <c r="A398" s="1234"/>
      <c r="B398" s="1230"/>
      <c r="C398" s="1230"/>
      <c r="D398" s="1230"/>
      <c r="E398" s="1230"/>
      <c r="F398" s="1233"/>
      <c r="G398" s="1230"/>
      <c r="H398" s="1230"/>
      <c r="I398" s="1231"/>
      <c r="J398" s="1230"/>
      <c r="K398" s="1230"/>
      <c r="L398" s="1230"/>
      <c r="M398" s="1230"/>
      <c r="N398" s="1230"/>
      <c r="O398" s="1232"/>
      <c r="P398" s="1230"/>
      <c r="Q398" s="1230"/>
      <c r="R398" s="1230"/>
      <c r="S398" s="1230"/>
      <c r="T398" s="1230"/>
      <c r="U398" s="1230"/>
      <c r="V398" s="1230"/>
      <c r="W398" s="1230"/>
      <c r="X398" s="1231"/>
      <c r="Y398" s="1230"/>
    </row>
    <row r="399">
      <c r="A399" s="1234"/>
      <c r="B399" s="1230"/>
      <c r="C399" s="1230"/>
      <c r="D399" s="1230"/>
      <c r="E399" s="1230"/>
      <c r="F399" s="1233"/>
      <c r="G399" s="1230"/>
      <c r="H399" s="1230"/>
      <c r="I399" s="1231"/>
      <c r="J399" s="1230"/>
      <c r="K399" s="1230"/>
      <c r="L399" s="1230"/>
      <c r="M399" s="1230"/>
      <c r="N399" s="1230"/>
      <c r="O399" s="1232"/>
      <c r="P399" s="1230"/>
      <c r="Q399" s="1230"/>
      <c r="R399" s="1230"/>
      <c r="S399" s="1230"/>
      <c r="T399" s="1230"/>
      <c r="U399" s="1230"/>
      <c r="V399" s="1230"/>
      <c r="W399" s="1230"/>
      <c r="X399" s="1231"/>
      <c r="Y399" s="1230"/>
    </row>
    <row r="400">
      <c r="A400" s="1234"/>
      <c r="B400" s="1230"/>
      <c r="C400" s="1230"/>
      <c r="D400" s="1230"/>
      <c r="E400" s="1230"/>
      <c r="F400" s="1233"/>
      <c r="G400" s="1230"/>
      <c r="H400" s="1230"/>
      <c r="I400" s="1231"/>
      <c r="J400" s="1230"/>
      <c r="K400" s="1230"/>
      <c r="L400" s="1230"/>
      <c r="M400" s="1230"/>
      <c r="N400" s="1230"/>
      <c r="O400" s="1232"/>
      <c r="P400" s="1230"/>
      <c r="Q400" s="1230"/>
      <c r="R400" s="1230"/>
      <c r="S400" s="1230"/>
      <c r="T400" s="1230"/>
      <c r="U400" s="1230"/>
      <c r="V400" s="1230"/>
      <c r="W400" s="1230"/>
      <c r="X400" s="1231"/>
      <c r="Y400" s="1230"/>
    </row>
    <row r="401">
      <c r="A401" s="1234"/>
      <c r="B401" s="1230"/>
      <c r="C401" s="1230"/>
      <c r="D401" s="1230"/>
      <c r="E401" s="1230"/>
      <c r="F401" s="1233"/>
      <c r="G401" s="1230"/>
      <c r="H401" s="1230"/>
      <c r="I401" s="1231"/>
      <c r="J401" s="1230"/>
      <c r="K401" s="1230"/>
      <c r="L401" s="1230"/>
      <c r="M401" s="1230"/>
      <c r="N401" s="1230"/>
      <c r="O401" s="1232"/>
      <c r="P401" s="1230"/>
      <c r="Q401" s="1230"/>
      <c r="R401" s="1230"/>
      <c r="S401" s="1230"/>
      <c r="T401" s="1230"/>
      <c r="U401" s="1230"/>
      <c r="V401" s="1230"/>
      <c r="W401" s="1230"/>
      <c r="X401" s="1231"/>
      <c r="Y401" s="1230"/>
    </row>
    <row r="402">
      <c r="A402" s="1234"/>
      <c r="B402" s="1230"/>
      <c r="C402" s="1230"/>
      <c r="D402" s="1230"/>
      <c r="E402" s="1230"/>
      <c r="F402" s="1233"/>
      <c r="G402" s="1230"/>
      <c r="H402" s="1230"/>
      <c r="I402" s="1231"/>
      <c r="J402" s="1230"/>
      <c r="K402" s="1230"/>
      <c r="L402" s="1230"/>
      <c r="M402" s="1230"/>
      <c r="N402" s="1230"/>
      <c r="O402" s="1232"/>
      <c r="P402" s="1230"/>
      <c r="Q402" s="1230"/>
      <c r="R402" s="1230"/>
      <c r="S402" s="1230"/>
      <c r="T402" s="1230"/>
      <c r="U402" s="1230"/>
      <c r="V402" s="1230"/>
      <c r="W402" s="1230"/>
      <c r="X402" s="1231"/>
      <c r="Y402" s="1230"/>
    </row>
    <row r="403">
      <c r="A403" s="1234"/>
      <c r="B403" s="1230"/>
      <c r="C403" s="1230"/>
      <c r="D403" s="1230"/>
      <c r="E403" s="1230"/>
      <c r="F403" s="1233"/>
      <c r="G403" s="1230"/>
      <c r="H403" s="1230"/>
      <c r="I403" s="1231"/>
      <c r="J403" s="1230"/>
      <c r="K403" s="1230"/>
      <c r="L403" s="1230"/>
      <c r="M403" s="1230"/>
      <c r="N403" s="1230"/>
      <c r="O403" s="1232"/>
      <c r="P403" s="1230"/>
      <c r="Q403" s="1230"/>
      <c r="R403" s="1230"/>
      <c r="S403" s="1230"/>
      <c r="T403" s="1230"/>
      <c r="U403" s="1230"/>
      <c r="V403" s="1230"/>
      <c r="W403" s="1230"/>
      <c r="X403" s="1231"/>
      <c r="Y403" s="1230"/>
    </row>
    <row r="404">
      <c r="A404" s="1234"/>
      <c r="B404" s="1230"/>
      <c r="C404" s="1230"/>
      <c r="D404" s="1230"/>
      <c r="E404" s="1230"/>
      <c r="F404" s="1233"/>
      <c r="G404" s="1230"/>
      <c r="H404" s="1230"/>
      <c r="I404" s="1231"/>
      <c r="J404" s="1230"/>
      <c r="K404" s="1230"/>
      <c r="L404" s="1230"/>
      <c r="M404" s="1230"/>
      <c r="N404" s="1230"/>
      <c r="O404" s="1232"/>
      <c r="P404" s="1230"/>
      <c r="Q404" s="1230"/>
      <c r="R404" s="1230"/>
      <c r="S404" s="1230"/>
      <c r="T404" s="1230"/>
      <c r="U404" s="1230"/>
      <c r="V404" s="1230"/>
      <c r="W404" s="1230"/>
      <c r="X404" s="1231"/>
      <c r="Y404" s="1230"/>
    </row>
    <row r="405">
      <c r="A405" s="1234"/>
      <c r="B405" s="1230"/>
      <c r="C405" s="1230"/>
      <c r="D405" s="1230"/>
      <c r="E405" s="1230"/>
      <c r="F405" s="1233"/>
      <c r="G405" s="1230"/>
      <c r="H405" s="1230"/>
      <c r="I405" s="1231"/>
      <c r="J405" s="1230"/>
      <c r="K405" s="1230"/>
      <c r="L405" s="1230"/>
      <c r="M405" s="1230"/>
      <c r="N405" s="1230"/>
      <c r="O405" s="1232"/>
      <c r="P405" s="1230"/>
      <c r="Q405" s="1230"/>
      <c r="R405" s="1230"/>
      <c r="S405" s="1230"/>
      <c r="T405" s="1230"/>
      <c r="U405" s="1230"/>
      <c r="V405" s="1230"/>
      <c r="W405" s="1230"/>
      <c r="X405" s="1231"/>
      <c r="Y405" s="1230"/>
    </row>
    <row r="406">
      <c r="A406" s="1234"/>
      <c r="B406" s="1230"/>
      <c r="C406" s="1230"/>
      <c r="D406" s="1230"/>
      <c r="E406" s="1230"/>
      <c r="F406" s="1233"/>
      <c r="G406" s="1230"/>
      <c r="H406" s="1230"/>
      <c r="I406" s="1231"/>
      <c r="J406" s="1230"/>
      <c r="K406" s="1230"/>
      <c r="L406" s="1230"/>
      <c r="M406" s="1230"/>
      <c r="N406" s="1230"/>
      <c r="O406" s="1232"/>
      <c r="P406" s="1230"/>
      <c r="Q406" s="1230"/>
      <c r="R406" s="1230"/>
      <c r="S406" s="1230"/>
      <c r="T406" s="1230"/>
      <c r="U406" s="1230"/>
      <c r="V406" s="1230"/>
      <c r="W406" s="1230"/>
      <c r="X406" s="1231"/>
      <c r="Y406" s="1230"/>
    </row>
    <row r="407">
      <c r="A407" s="1234"/>
      <c r="B407" s="1230"/>
      <c r="C407" s="1230"/>
      <c r="D407" s="1230"/>
      <c r="E407" s="1230"/>
      <c r="F407" s="1233"/>
      <c r="G407" s="1230"/>
      <c r="H407" s="1230"/>
      <c r="I407" s="1231"/>
      <c r="J407" s="1230"/>
      <c r="K407" s="1230"/>
      <c r="L407" s="1230"/>
      <c r="M407" s="1230"/>
      <c r="N407" s="1230"/>
      <c r="O407" s="1232"/>
      <c r="P407" s="1230"/>
      <c r="Q407" s="1230"/>
      <c r="R407" s="1230"/>
      <c r="S407" s="1230"/>
      <c r="T407" s="1230"/>
      <c r="U407" s="1230"/>
      <c r="V407" s="1230"/>
      <c r="W407" s="1230"/>
      <c r="X407" s="1231"/>
      <c r="Y407" s="1230"/>
    </row>
    <row r="408">
      <c r="A408" s="1234"/>
      <c r="B408" s="1230"/>
      <c r="C408" s="1230"/>
      <c r="D408" s="1230"/>
      <c r="E408" s="1230"/>
      <c r="F408" s="1233"/>
      <c r="G408" s="1230"/>
      <c r="H408" s="1230"/>
      <c r="I408" s="1231"/>
      <c r="J408" s="1230"/>
      <c r="K408" s="1230"/>
      <c r="L408" s="1230"/>
      <c r="M408" s="1230"/>
      <c r="N408" s="1230"/>
      <c r="O408" s="1232"/>
      <c r="P408" s="1230"/>
      <c r="Q408" s="1230"/>
      <c r="R408" s="1230"/>
      <c r="S408" s="1230"/>
      <c r="T408" s="1230"/>
      <c r="U408" s="1230"/>
      <c r="V408" s="1230"/>
      <c r="W408" s="1230"/>
      <c r="X408" s="1231"/>
      <c r="Y408" s="1230"/>
    </row>
    <row r="409">
      <c r="A409" s="1234"/>
      <c r="B409" s="1230"/>
      <c r="C409" s="1230"/>
      <c r="D409" s="1230"/>
      <c r="E409" s="1230"/>
      <c r="F409" s="1233"/>
      <c r="G409" s="1230"/>
      <c r="H409" s="1230"/>
      <c r="I409" s="1231"/>
      <c r="J409" s="1230"/>
      <c r="K409" s="1230"/>
      <c r="L409" s="1230"/>
      <c r="M409" s="1230"/>
      <c r="N409" s="1230"/>
      <c r="O409" s="1232"/>
      <c r="P409" s="1230"/>
      <c r="Q409" s="1230"/>
      <c r="R409" s="1230"/>
      <c r="S409" s="1230"/>
      <c r="T409" s="1230"/>
      <c r="U409" s="1230"/>
      <c r="V409" s="1230"/>
      <c r="W409" s="1230"/>
      <c r="X409" s="1231"/>
      <c r="Y409" s="1230"/>
    </row>
    <row r="410">
      <c r="A410" s="1234"/>
      <c r="B410" s="1230"/>
      <c r="C410" s="1230"/>
      <c r="D410" s="1230"/>
      <c r="E410" s="1230"/>
      <c r="F410" s="1233"/>
      <c r="G410" s="1230"/>
      <c r="H410" s="1230"/>
      <c r="I410" s="1231"/>
      <c r="J410" s="1230"/>
      <c r="K410" s="1230"/>
      <c r="L410" s="1230"/>
      <c r="M410" s="1230"/>
      <c r="N410" s="1230"/>
      <c r="O410" s="1232"/>
      <c r="P410" s="1230"/>
      <c r="Q410" s="1230"/>
      <c r="R410" s="1230"/>
      <c r="S410" s="1230"/>
      <c r="T410" s="1230"/>
      <c r="U410" s="1230"/>
      <c r="V410" s="1230"/>
      <c r="W410" s="1230"/>
      <c r="X410" s="1231"/>
      <c r="Y410" s="1230"/>
    </row>
    <row r="411">
      <c r="A411" s="1234"/>
      <c r="B411" s="1230"/>
      <c r="C411" s="1230"/>
      <c r="D411" s="1230"/>
      <c r="E411" s="1230"/>
      <c r="F411" s="1233"/>
      <c r="G411" s="1230"/>
      <c r="H411" s="1230"/>
      <c r="I411" s="1231"/>
      <c r="J411" s="1230"/>
      <c r="K411" s="1230"/>
      <c r="L411" s="1230"/>
      <c r="M411" s="1230"/>
      <c r="N411" s="1230"/>
      <c r="O411" s="1232"/>
      <c r="P411" s="1230"/>
      <c r="Q411" s="1230"/>
      <c r="R411" s="1230"/>
      <c r="S411" s="1230"/>
      <c r="T411" s="1230"/>
      <c r="U411" s="1230"/>
      <c r="V411" s="1230"/>
      <c r="W411" s="1230"/>
      <c r="X411" s="1231"/>
      <c r="Y411" s="1230"/>
    </row>
    <row r="412">
      <c r="A412" s="1234"/>
      <c r="B412" s="1230"/>
      <c r="C412" s="1230"/>
      <c r="D412" s="1230"/>
      <c r="E412" s="1230"/>
      <c r="F412" s="1233"/>
      <c r="G412" s="1230"/>
      <c r="H412" s="1230"/>
      <c r="I412" s="1231"/>
      <c r="J412" s="1230"/>
      <c r="K412" s="1230"/>
      <c r="L412" s="1230"/>
      <c r="M412" s="1230"/>
      <c r="N412" s="1230"/>
      <c r="O412" s="1232"/>
      <c r="P412" s="1230"/>
      <c r="Q412" s="1230"/>
      <c r="R412" s="1230"/>
      <c r="S412" s="1230"/>
      <c r="T412" s="1230"/>
      <c r="U412" s="1230"/>
      <c r="V412" s="1230"/>
      <c r="W412" s="1230"/>
      <c r="X412" s="1231"/>
      <c r="Y412" s="1230"/>
    </row>
    <row r="413">
      <c r="A413" s="1234"/>
      <c r="B413" s="1230"/>
      <c r="C413" s="1230"/>
      <c r="D413" s="1230"/>
      <c r="E413" s="1230"/>
      <c r="F413" s="1233"/>
      <c r="G413" s="1230"/>
      <c r="H413" s="1230"/>
      <c r="I413" s="1231"/>
      <c r="J413" s="1230"/>
      <c r="K413" s="1230"/>
      <c r="L413" s="1230"/>
      <c r="M413" s="1230"/>
      <c r="N413" s="1230"/>
      <c r="O413" s="1232"/>
      <c r="P413" s="1230"/>
      <c r="Q413" s="1230"/>
      <c r="R413" s="1230"/>
      <c r="S413" s="1230"/>
      <c r="T413" s="1230"/>
      <c r="U413" s="1230"/>
      <c r="V413" s="1230"/>
      <c r="W413" s="1230"/>
      <c r="X413" s="1231"/>
      <c r="Y413" s="1230"/>
    </row>
    <row r="414">
      <c r="A414" s="1234"/>
      <c r="B414" s="1230"/>
      <c r="C414" s="1230"/>
      <c r="D414" s="1230"/>
      <c r="E414" s="1230"/>
      <c r="F414" s="1233"/>
      <c r="G414" s="1230"/>
      <c r="H414" s="1230"/>
      <c r="I414" s="1231"/>
      <c r="J414" s="1230"/>
      <c r="K414" s="1230"/>
      <c r="L414" s="1230"/>
      <c r="M414" s="1230"/>
      <c r="N414" s="1230"/>
      <c r="O414" s="1232"/>
      <c r="P414" s="1230"/>
      <c r="Q414" s="1230"/>
      <c r="R414" s="1230"/>
      <c r="S414" s="1230"/>
      <c r="T414" s="1230"/>
      <c r="U414" s="1230"/>
      <c r="V414" s="1230"/>
      <c r="W414" s="1230"/>
      <c r="X414" s="1231"/>
      <c r="Y414" s="1230"/>
    </row>
    <row r="415">
      <c r="A415" s="1234"/>
      <c r="B415" s="1230"/>
      <c r="C415" s="1230"/>
      <c r="D415" s="1230"/>
      <c r="E415" s="1230"/>
      <c r="F415" s="1233"/>
      <c r="G415" s="1230"/>
      <c r="H415" s="1230"/>
      <c r="I415" s="1231"/>
      <c r="J415" s="1230"/>
      <c r="K415" s="1230"/>
      <c r="L415" s="1230"/>
      <c r="M415" s="1230"/>
      <c r="N415" s="1230"/>
      <c r="O415" s="1232"/>
      <c r="P415" s="1230"/>
      <c r="Q415" s="1230"/>
      <c r="R415" s="1230"/>
      <c r="S415" s="1230"/>
      <c r="T415" s="1230"/>
      <c r="U415" s="1230"/>
      <c r="V415" s="1230"/>
      <c r="W415" s="1230"/>
      <c r="X415" s="1231"/>
      <c r="Y415" s="1230"/>
    </row>
    <row r="416">
      <c r="A416" s="1234"/>
      <c r="B416" s="1230"/>
      <c r="C416" s="1230"/>
      <c r="D416" s="1230"/>
      <c r="E416" s="1230"/>
      <c r="F416" s="1233"/>
      <c r="G416" s="1230"/>
      <c r="H416" s="1230"/>
      <c r="I416" s="1231"/>
      <c r="J416" s="1230"/>
      <c r="K416" s="1230"/>
      <c r="L416" s="1230"/>
      <c r="M416" s="1230"/>
      <c r="N416" s="1230"/>
      <c r="O416" s="1232"/>
      <c r="P416" s="1230"/>
      <c r="Q416" s="1230"/>
      <c r="R416" s="1230"/>
      <c r="S416" s="1230"/>
      <c r="T416" s="1230"/>
      <c r="U416" s="1230"/>
      <c r="V416" s="1230"/>
      <c r="W416" s="1230"/>
      <c r="X416" s="1231"/>
      <c r="Y416" s="1230"/>
    </row>
    <row r="417">
      <c r="A417" s="1234"/>
      <c r="B417" s="1230"/>
      <c r="C417" s="1230"/>
      <c r="D417" s="1230"/>
      <c r="E417" s="1230"/>
      <c r="F417" s="1233"/>
      <c r="G417" s="1230"/>
      <c r="H417" s="1230"/>
      <c r="I417" s="1231"/>
      <c r="J417" s="1230"/>
      <c r="K417" s="1230"/>
      <c r="L417" s="1230"/>
      <c r="M417" s="1230"/>
      <c r="N417" s="1230"/>
      <c r="O417" s="1232"/>
      <c r="P417" s="1230"/>
      <c r="Q417" s="1230"/>
      <c r="R417" s="1230"/>
      <c r="S417" s="1230"/>
      <c r="T417" s="1230"/>
      <c r="U417" s="1230"/>
      <c r="V417" s="1230"/>
      <c r="W417" s="1230"/>
      <c r="X417" s="1231"/>
      <c r="Y417" s="1230"/>
    </row>
    <row r="418">
      <c r="A418" s="1234"/>
      <c r="B418" s="1230"/>
      <c r="C418" s="1230"/>
      <c r="D418" s="1230"/>
      <c r="E418" s="1230"/>
      <c r="F418" s="1233"/>
      <c r="G418" s="1230"/>
      <c r="H418" s="1230"/>
      <c r="I418" s="1231"/>
      <c r="J418" s="1230"/>
      <c r="K418" s="1230"/>
      <c r="L418" s="1230"/>
      <c r="M418" s="1230"/>
      <c r="N418" s="1230"/>
      <c r="O418" s="1232"/>
      <c r="P418" s="1230"/>
      <c r="Q418" s="1230"/>
      <c r="R418" s="1230"/>
      <c r="S418" s="1230"/>
      <c r="T418" s="1230"/>
      <c r="U418" s="1230"/>
      <c r="V418" s="1230"/>
      <c r="W418" s="1230"/>
      <c r="X418" s="1231"/>
      <c r="Y418" s="1230"/>
    </row>
    <row r="419">
      <c r="A419" s="1234"/>
      <c r="B419" s="1230"/>
      <c r="C419" s="1230"/>
      <c r="D419" s="1230"/>
      <c r="E419" s="1230"/>
      <c r="F419" s="1233"/>
      <c r="G419" s="1230"/>
      <c r="H419" s="1230"/>
      <c r="I419" s="1231"/>
      <c r="J419" s="1230"/>
      <c r="K419" s="1230"/>
      <c r="L419" s="1230"/>
      <c r="M419" s="1230"/>
      <c r="N419" s="1230"/>
      <c r="O419" s="1232"/>
      <c r="P419" s="1230"/>
      <c r="Q419" s="1230"/>
      <c r="R419" s="1230"/>
      <c r="S419" s="1230"/>
      <c r="T419" s="1230"/>
      <c r="U419" s="1230"/>
      <c r="V419" s="1230"/>
      <c r="W419" s="1230"/>
      <c r="X419" s="1231"/>
      <c r="Y419" s="1230"/>
    </row>
    <row r="420">
      <c r="A420" s="1234"/>
      <c r="B420" s="1230"/>
      <c r="C420" s="1230"/>
      <c r="D420" s="1230"/>
      <c r="E420" s="1230"/>
      <c r="F420" s="1233"/>
      <c r="G420" s="1230"/>
      <c r="H420" s="1230"/>
      <c r="I420" s="1231"/>
      <c r="J420" s="1230"/>
      <c r="K420" s="1230"/>
      <c r="L420" s="1230"/>
      <c r="M420" s="1230"/>
      <c r="N420" s="1230"/>
      <c r="O420" s="1232"/>
      <c r="P420" s="1230"/>
      <c r="Q420" s="1230"/>
      <c r="R420" s="1230"/>
      <c r="S420" s="1230"/>
      <c r="T420" s="1230"/>
      <c r="U420" s="1230"/>
      <c r="V420" s="1230"/>
      <c r="W420" s="1230"/>
      <c r="X420" s="1231"/>
      <c r="Y420" s="1230"/>
    </row>
    <row r="421">
      <c r="A421" s="1234"/>
      <c r="B421" s="1230"/>
      <c r="C421" s="1230"/>
      <c r="D421" s="1230"/>
      <c r="E421" s="1230"/>
      <c r="F421" s="1233"/>
      <c r="G421" s="1230"/>
      <c r="H421" s="1230"/>
      <c r="I421" s="1231"/>
      <c r="J421" s="1230"/>
      <c r="K421" s="1230"/>
      <c r="L421" s="1230"/>
      <c r="M421" s="1230"/>
      <c r="N421" s="1230"/>
      <c r="O421" s="1232"/>
      <c r="P421" s="1230"/>
      <c r="Q421" s="1230"/>
      <c r="R421" s="1230"/>
      <c r="S421" s="1230"/>
      <c r="T421" s="1230"/>
      <c r="U421" s="1230"/>
      <c r="V421" s="1230"/>
      <c r="W421" s="1230"/>
      <c r="X421" s="1231"/>
      <c r="Y421" s="1230"/>
    </row>
    <row r="422">
      <c r="A422" s="1234"/>
      <c r="B422" s="1230"/>
      <c r="C422" s="1230"/>
      <c r="D422" s="1230"/>
      <c r="E422" s="1230"/>
      <c r="F422" s="1233"/>
      <c r="G422" s="1230"/>
      <c r="H422" s="1230"/>
      <c r="I422" s="1231"/>
      <c r="J422" s="1230"/>
      <c r="K422" s="1230"/>
      <c r="L422" s="1230"/>
      <c r="M422" s="1230"/>
      <c r="N422" s="1230"/>
      <c r="O422" s="1232"/>
      <c r="P422" s="1230"/>
      <c r="Q422" s="1230"/>
      <c r="R422" s="1230"/>
      <c r="S422" s="1230"/>
      <c r="T422" s="1230"/>
      <c r="U422" s="1230"/>
      <c r="V422" s="1230"/>
      <c r="W422" s="1230"/>
      <c r="X422" s="1231"/>
      <c r="Y422" s="1230"/>
    </row>
    <row r="423">
      <c r="A423" s="1234"/>
      <c r="B423" s="1230"/>
      <c r="C423" s="1230"/>
      <c r="D423" s="1230"/>
      <c r="E423" s="1230"/>
      <c r="F423" s="1233"/>
      <c r="G423" s="1230"/>
      <c r="H423" s="1230"/>
      <c r="I423" s="1231"/>
      <c r="J423" s="1230"/>
      <c r="K423" s="1230"/>
      <c r="L423" s="1230"/>
      <c r="M423" s="1230"/>
      <c r="N423" s="1230"/>
      <c r="O423" s="1232"/>
      <c r="P423" s="1230"/>
      <c r="Q423" s="1230"/>
      <c r="R423" s="1230"/>
      <c r="S423" s="1230"/>
      <c r="T423" s="1230"/>
      <c r="U423" s="1230"/>
      <c r="V423" s="1230"/>
      <c r="W423" s="1230"/>
      <c r="X423" s="1231"/>
      <c r="Y423" s="1230"/>
    </row>
    <row r="424">
      <c r="A424" s="1234"/>
      <c r="B424" s="1230"/>
      <c r="C424" s="1230"/>
      <c r="D424" s="1230"/>
      <c r="E424" s="1230"/>
      <c r="F424" s="1233"/>
      <c r="G424" s="1230"/>
      <c r="H424" s="1230"/>
      <c r="I424" s="1231"/>
      <c r="J424" s="1230"/>
      <c r="K424" s="1230"/>
      <c r="L424" s="1230"/>
      <c r="M424" s="1230"/>
      <c r="N424" s="1230"/>
      <c r="O424" s="1232"/>
      <c r="P424" s="1230"/>
      <c r="Q424" s="1230"/>
      <c r="R424" s="1230"/>
      <c r="S424" s="1230"/>
      <c r="T424" s="1230"/>
      <c r="U424" s="1230"/>
      <c r="V424" s="1230"/>
      <c r="W424" s="1230"/>
      <c r="X424" s="1231"/>
      <c r="Y424" s="1230"/>
    </row>
    <row r="425">
      <c r="A425" s="1234"/>
      <c r="B425" s="1230"/>
      <c r="C425" s="1230"/>
      <c r="D425" s="1230"/>
      <c r="E425" s="1230"/>
      <c r="F425" s="1233"/>
      <c r="G425" s="1230"/>
      <c r="H425" s="1230"/>
      <c r="I425" s="1231"/>
      <c r="J425" s="1230"/>
      <c r="K425" s="1230"/>
      <c r="L425" s="1230"/>
      <c r="M425" s="1230"/>
      <c r="N425" s="1230"/>
      <c r="O425" s="1232"/>
      <c r="P425" s="1230"/>
      <c r="Q425" s="1230"/>
      <c r="R425" s="1230"/>
      <c r="S425" s="1230"/>
      <c r="T425" s="1230"/>
      <c r="U425" s="1230"/>
      <c r="V425" s="1230"/>
      <c r="W425" s="1230"/>
      <c r="X425" s="1231"/>
      <c r="Y425" s="1230"/>
    </row>
    <row r="426">
      <c r="A426" s="1234"/>
      <c r="B426" s="1230"/>
      <c r="C426" s="1230"/>
      <c r="D426" s="1230"/>
      <c r="E426" s="1230"/>
      <c r="F426" s="1233"/>
      <c r="G426" s="1230"/>
      <c r="H426" s="1230"/>
      <c r="I426" s="1231"/>
      <c r="J426" s="1230"/>
      <c r="K426" s="1230"/>
      <c r="L426" s="1230"/>
      <c r="M426" s="1230"/>
      <c r="N426" s="1230"/>
      <c r="O426" s="1232"/>
      <c r="P426" s="1230"/>
      <c r="Q426" s="1230"/>
      <c r="R426" s="1230"/>
      <c r="S426" s="1230"/>
      <c r="T426" s="1230"/>
      <c r="U426" s="1230"/>
      <c r="V426" s="1230"/>
      <c r="W426" s="1230"/>
      <c r="X426" s="1231"/>
      <c r="Y426" s="1230"/>
    </row>
    <row r="427">
      <c r="A427" s="1234"/>
      <c r="B427" s="1230"/>
      <c r="C427" s="1230"/>
      <c r="D427" s="1230"/>
      <c r="E427" s="1230"/>
      <c r="F427" s="1233"/>
      <c r="G427" s="1230"/>
      <c r="H427" s="1230"/>
      <c r="I427" s="1231"/>
      <c r="J427" s="1230"/>
      <c r="K427" s="1230"/>
      <c r="L427" s="1230"/>
      <c r="M427" s="1230"/>
      <c r="N427" s="1230"/>
      <c r="O427" s="1232"/>
      <c r="P427" s="1230"/>
      <c r="Q427" s="1230"/>
      <c r="R427" s="1230"/>
      <c r="S427" s="1230"/>
      <c r="T427" s="1230"/>
      <c r="U427" s="1230"/>
      <c r="V427" s="1230"/>
      <c r="W427" s="1230"/>
      <c r="X427" s="1231"/>
      <c r="Y427" s="1230"/>
    </row>
    <row r="428">
      <c r="A428" s="1234"/>
      <c r="B428" s="1230"/>
      <c r="C428" s="1230"/>
      <c r="D428" s="1230"/>
      <c r="E428" s="1230"/>
      <c r="F428" s="1233"/>
      <c r="G428" s="1230"/>
      <c r="H428" s="1230"/>
      <c r="I428" s="1231"/>
      <c r="J428" s="1230"/>
      <c r="K428" s="1230"/>
      <c r="L428" s="1230"/>
      <c r="M428" s="1230"/>
      <c r="N428" s="1230"/>
      <c r="O428" s="1232"/>
      <c r="P428" s="1230"/>
      <c r="Q428" s="1230"/>
      <c r="R428" s="1230"/>
      <c r="S428" s="1230"/>
      <c r="T428" s="1230"/>
      <c r="U428" s="1230"/>
      <c r="V428" s="1230"/>
      <c r="W428" s="1230"/>
      <c r="X428" s="1231"/>
      <c r="Y428" s="1230"/>
    </row>
    <row r="429">
      <c r="A429" s="1234"/>
      <c r="B429" s="1230"/>
      <c r="C429" s="1230"/>
      <c r="D429" s="1230"/>
      <c r="E429" s="1230"/>
      <c r="F429" s="1233"/>
      <c r="G429" s="1230"/>
      <c r="H429" s="1230"/>
      <c r="I429" s="1231"/>
      <c r="J429" s="1230"/>
      <c r="K429" s="1230"/>
      <c r="L429" s="1230"/>
      <c r="M429" s="1230"/>
      <c r="N429" s="1230"/>
      <c r="O429" s="1232"/>
      <c r="P429" s="1230"/>
      <c r="Q429" s="1230"/>
      <c r="R429" s="1230"/>
      <c r="S429" s="1230"/>
      <c r="T429" s="1230"/>
      <c r="U429" s="1230"/>
      <c r="V429" s="1230"/>
      <c r="W429" s="1230"/>
      <c r="X429" s="1231"/>
      <c r="Y429" s="1230"/>
    </row>
    <row r="430">
      <c r="A430" s="1234"/>
      <c r="B430" s="1230"/>
      <c r="C430" s="1230"/>
      <c r="D430" s="1230"/>
      <c r="E430" s="1230"/>
      <c r="F430" s="1233"/>
      <c r="G430" s="1230"/>
      <c r="H430" s="1230"/>
      <c r="I430" s="1231"/>
      <c r="J430" s="1230"/>
      <c r="K430" s="1230"/>
      <c r="L430" s="1230"/>
      <c r="M430" s="1230"/>
      <c r="N430" s="1230"/>
      <c r="O430" s="1232"/>
      <c r="P430" s="1230"/>
      <c r="Q430" s="1230"/>
      <c r="R430" s="1230"/>
      <c r="S430" s="1230"/>
      <c r="T430" s="1230"/>
      <c r="U430" s="1230"/>
      <c r="V430" s="1230"/>
      <c r="W430" s="1230"/>
      <c r="X430" s="1231"/>
      <c r="Y430" s="1230"/>
    </row>
    <row r="431">
      <c r="A431" s="1234"/>
      <c r="B431" s="1230"/>
      <c r="C431" s="1230"/>
      <c r="D431" s="1230"/>
      <c r="E431" s="1230"/>
      <c r="F431" s="1233"/>
      <c r="G431" s="1230"/>
      <c r="H431" s="1230"/>
      <c r="I431" s="1231"/>
      <c r="J431" s="1230"/>
      <c r="K431" s="1230"/>
      <c r="L431" s="1230"/>
      <c r="M431" s="1230"/>
      <c r="N431" s="1230"/>
      <c r="O431" s="1232"/>
      <c r="P431" s="1230"/>
      <c r="Q431" s="1230"/>
      <c r="R431" s="1230"/>
      <c r="S431" s="1230"/>
      <c r="T431" s="1230"/>
      <c r="U431" s="1230"/>
      <c r="V431" s="1230"/>
      <c r="W431" s="1230"/>
      <c r="X431" s="1231"/>
      <c r="Y431" s="1230"/>
    </row>
    <row r="432">
      <c r="A432" s="1234"/>
      <c r="B432" s="1230"/>
      <c r="C432" s="1230"/>
      <c r="D432" s="1230"/>
      <c r="E432" s="1230"/>
      <c r="F432" s="1233"/>
      <c r="G432" s="1230"/>
      <c r="H432" s="1230"/>
      <c r="I432" s="1231"/>
      <c r="J432" s="1230"/>
      <c r="K432" s="1230"/>
      <c r="L432" s="1230"/>
      <c r="M432" s="1230"/>
      <c r="N432" s="1230"/>
      <c r="O432" s="1232"/>
      <c r="P432" s="1230"/>
      <c r="Q432" s="1230"/>
      <c r="R432" s="1230"/>
      <c r="S432" s="1230"/>
      <c r="T432" s="1230"/>
      <c r="U432" s="1230"/>
      <c r="V432" s="1230"/>
      <c r="W432" s="1230"/>
      <c r="X432" s="1231"/>
      <c r="Y432" s="1230"/>
    </row>
    <row r="433">
      <c r="A433" s="1234"/>
      <c r="B433" s="1230"/>
      <c r="C433" s="1230"/>
      <c r="D433" s="1230"/>
      <c r="E433" s="1230"/>
      <c r="F433" s="1233"/>
      <c r="G433" s="1230"/>
      <c r="H433" s="1230"/>
      <c r="I433" s="1231"/>
      <c r="J433" s="1230"/>
      <c r="K433" s="1230"/>
      <c r="L433" s="1230"/>
      <c r="M433" s="1230"/>
      <c r="N433" s="1230"/>
      <c r="O433" s="1232"/>
      <c r="P433" s="1230"/>
      <c r="Q433" s="1230"/>
      <c r="R433" s="1230"/>
      <c r="S433" s="1230"/>
      <c r="T433" s="1230"/>
      <c r="U433" s="1230"/>
      <c r="V433" s="1230"/>
      <c r="W433" s="1230"/>
      <c r="X433" s="1231"/>
      <c r="Y433" s="1230"/>
    </row>
    <row r="434">
      <c r="A434" s="1234"/>
      <c r="B434" s="1230"/>
      <c r="C434" s="1230"/>
      <c r="D434" s="1230"/>
      <c r="E434" s="1230"/>
      <c r="F434" s="1233"/>
      <c r="G434" s="1230"/>
      <c r="H434" s="1230"/>
      <c r="I434" s="1231"/>
      <c r="J434" s="1230"/>
      <c r="K434" s="1230"/>
      <c r="L434" s="1230"/>
      <c r="M434" s="1230"/>
      <c r="N434" s="1230"/>
      <c r="O434" s="1232"/>
      <c r="P434" s="1230"/>
      <c r="Q434" s="1230"/>
      <c r="R434" s="1230"/>
      <c r="S434" s="1230"/>
      <c r="T434" s="1230"/>
      <c r="U434" s="1230"/>
      <c r="V434" s="1230"/>
      <c r="W434" s="1230"/>
      <c r="X434" s="1231"/>
      <c r="Y434" s="1230"/>
    </row>
    <row r="435">
      <c r="A435" s="1234"/>
      <c r="B435" s="1230"/>
      <c r="C435" s="1230"/>
      <c r="D435" s="1230"/>
      <c r="E435" s="1230"/>
      <c r="F435" s="1233"/>
      <c r="G435" s="1230"/>
      <c r="H435" s="1230"/>
      <c r="I435" s="1231"/>
      <c r="J435" s="1230"/>
      <c r="K435" s="1230"/>
      <c r="L435" s="1230"/>
      <c r="M435" s="1230"/>
      <c r="N435" s="1230"/>
      <c r="O435" s="1232"/>
      <c r="P435" s="1230"/>
      <c r="Q435" s="1230"/>
      <c r="R435" s="1230"/>
      <c r="S435" s="1230"/>
      <c r="T435" s="1230"/>
      <c r="U435" s="1230"/>
      <c r="V435" s="1230"/>
      <c r="W435" s="1230"/>
      <c r="X435" s="1231"/>
      <c r="Y435" s="1230"/>
    </row>
    <row r="436">
      <c r="A436" s="1234"/>
      <c r="B436" s="1230"/>
      <c r="C436" s="1230"/>
      <c r="D436" s="1230"/>
      <c r="E436" s="1230"/>
      <c r="F436" s="1233"/>
      <c r="G436" s="1230"/>
      <c r="H436" s="1230"/>
      <c r="I436" s="1231"/>
      <c r="J436" s="1230"/>
      <c r="K436" s="1230"/>
      <c r="L436" s="1230"/>
      <c r="M436" s="1230"/>
      <c r="N436" s="1230"/>
      <c r="O436" s="1232"/>
      <c r="P436" s="1230"/>
      <c r="Q436" s="1230"/>
      <c r="R436" s="1230"/>
      <c r="S436" s="1230"/>
      <c r="T436" s="1230"/>
      <c r="U436" s="1230"/>
      <c r="V436" s="1230"/>
      <c r="W436" s="1230"/>
      <c r="X436" s="1231"/>
      <c r="Y436" s="1230"/>
    </row>
    <row r="437">
      <c r="A437" s="1234"/>
      <c r="B437" s="1230"/>
      <c r="C437" s="1230"/>
      <c r="D437" s="1230"/>
      <c r="E437" s="1230"/>
      <c r="F437" s="1233"/>
      <c r="G437" s="1230"/>
      <c r="H437" s="1230"/>
      <c r="I437" s="1231"/>
      <c r="J437" s="1230"/>
      <c r="K437" s="1230"/>
      <c r="L437" s="1230"/>
      <c r="M437" s="1230"/>
      <c r="N437" s="1230"/>
      <c r="O437" s="1232"/>
      <c r="P437" s="1230"/>
      <c r="Q437" s="1230"/>
      <c r="R437" s="1230"/>
      <c r="S437" s="1230"/>
      <c r="T437" s="1230"/>
      <c r="U437" s="1230"/>
      <c r="V437" s="1230"/>
      <c r="W437" s="1230"/>
      <c r="X437" s="1231"/>
      <c r="Y437" s="1230"/>
    </row>
    <row r="438">
      <c r="A438" s="1234"/>
      <c r="B438" s="1230"/>
      <c r="C438" s="1230"/>
      <c r="D438" s="1230"/>
      <c r="E438" s="1230"/>
      <c r="F438" s="1233"/>
      <c r="G438" s="1230"/>
      <c r="H438" s="1230"/>
      <c r="I438" s="1231"/>
      <c r="J438" s="1230"/>
      <c r="K438" s="1230"/>
      <c r="L438" s="1230"/>
      <c r="M438" s="1230"/>
      <c r="N438" s="1230"/>
      <c r="O438" s="1232"/>
      <c r="P438" s="1230"/>
      <c r="Q438" s="1230"/>
      <c r="R438" s="1230"/>
      <c r="S438" s="1230"/>
      <c r="T438" s="1230"/>
      <c r="U438" s="1230"/>
      <c r="V438" s="1230"/>
      <c r="W438" s="1230"/>
      <c r="X438" s="1231"/>
      <c r="Y438" s="1230"/>
    </row>
    <row r="439">
      <c r="A439" s="1234"/>
      <c r="B439" s="1230"/>
      <c r="C439" s="1230"/>
      <c r="D439" s="1230"/>
      <c r="E439" s="1230"/>
      <c r="F439" s="1233"/>
      <c r="G439" s="1230"/>
      <c r="H439" s="1230"/>
      <c r="I439" s="1231"/>
      <c r="J439" s="1230"/>
      <c r="K439" s="1230"/>
      <c r="L439" s="1230"/>
      <c r="M439" s="1230"/>
      <c r="N439" s="1230"/>
      <c r="O439" s="1232"/>
      <c r="P439" s="1230"/>
      <c r="Q439" s="1230"/>
      <c r="R439" s="1230"/>
      <c r="S439" s="1230"/>
      <c r="T439" s="1230"/>
      <c r="U439" s="1230"/>
      <c r="V439" s="1230"/>
      <c r="W439" s="1230"/>
      <c r="X439" s="1231"/>
      <c r="Y439" s="1230"/>
    </row>
    <row r="440">
      <c r="A440" s="1234"/>
      <c r="B440" s="1230"/>
      <c r="C440" s="1230"/>
      <c r="D440" s="1230"/>
      <c r="E440" s="1230"/>
      <c r="F440" s="1233"/>
      <c r="G440" s="1230"/>
      <c r="H440" s="1230"/>
      <c r="I440" s="1231"/>
      <c r="J440" s="1230"/>
      <c r="K440" s="1230"/>
      <c r="L440" s="1230"/>
      <c r="M440" s="1230"/>
      <c r="N440" s="1230"/>
      <c r="O440" s="1232"/>
      <c r="P440" s="1230"/>
      <c r="Q440" s="1230"/>
      <c r="R440" s="1230"/>
      <c r="S440" s="1230"/>
      <c r="T440" s="1230"/>
      <c r="U440" s="1230"/>
      <c r="V440" s="1230"/>
      <c r="W440" s="1230"/>
      <c r="X440" s="1231"/>
      <c r="Y440" s="1230"/>
    </row>
    <row r="441">
      <c r="A441" s="1234"/>
      <c r="B441" s="1230"/>
      <c r="C441" s="1230"/>
      <c r="D441" s="1230"/>
      <c r="E441" s="1230"/>
      <c r="F441" s="1233"/>
      <c r="G441" s="1230"/>
      <c r="H441" s="1230"/>
      <c r="I441" s="1231"/>
      <c r="J441" s="1230"/>
      <c r="K441" s="1230"/>
      <c r="L441" s="1230"/>
      <c r="M441" s="1230"/>
      <c r="N441" s="1230"/>
      <c r="O441" s="1232"/>
      <c r="P441" s="1230"/>
      <c r="Q441" s="1230"/>
      <c r="R441" s="1230"/>
      <c r="S441" s="1230"/>
      <c r="T441" s="1230"/>
      <c r="U441" s="1230"/>
      <c r="V441" s="1230"/>
      <c r="W441" s="1230"/>
      <c r="X441" s="1231"/>
      <c r="Y441" s="1230"/>
    </row>
    <row r="442">
      <c r="A442" s="1234"/>
      <c r="B442" s="1230"/>
      <c r="C442" s="1230"/>
      <c r="D442" s="1230"/>
      <c r="E442" s="1230"/>
      <c r="F442" s="1233"/>
      <c r="G442" s="1230"/>
      <c r="H442" s="1230"/>
      <c r="I442" s="1231"/>
      <c r="J442" s="1230"/>
      <c r="K442" s="1230"/>
      <c r="L442" s="1230"/>
      <c r="M442" s="1230"/>
      <c r="N442" s="1230"/>
      <c r="O442" s="1232"/>
      <c r="P442" s="1230"/>
      <c r="Q442" s="1230"/>
      <c r="R442" s="1230"/>
      <c r="S442" s="1230"/>
      <c r="T442" s="1230"/>
      <c r="U442" s="1230"/>
      <c r="V442" s="1230"/>
      <c r="W442" s="1230"/>
      <c r="X442" s="1231"/>
      <c r="Y442" s="1230"/>
    </row>
    <row r="443">
      <c r="A443" s="1234"/>
      <c r="B443" s="1230"/>
      <c r="C443" s="1230"/>
      <c r="D443" s="1230"/>
      <c r="E443" s="1230"/>
      <c r="F443" s="1233"/>
      <c r="G443" s="1230"/>
      <c r="H443" s="1230"/>
      <c r="I443" s="1231"/>
      <c r="J443" s="1230"/>
      <c r="K443" s="1230"/>
      <c r="L443" s="1230"/>
      <c r="M443" s="1230"/>
      <c r="N443" s="1230"/>
      <c r="O443" s="1232"/>
      <c r="P443" s="1230"/>
      <c r="Q443" s="1230"/>
      <c r="R443" s="1230"/>
      <c r="S443" s="1230"/>
      <c r="T443" s="1230"/>
      <c r="U443" s="1230"/>
      <c r="V443" s="1230"/>
      <c r="W443" s="1230"/>
      <c r="X443" s="1231"/>
      <c r="Y443" s="1230"/>
    </row>
    <row r="444">
      <c r="A444" s="1234"/>
      <c r="B444" s="1230"/>
      <c r="C444" s="1230"/>
      <c r="D444" s="1230"/>
      <c r="E444" s="1230"/>
      <c r="F444" s="1233"/>
      <c r="G444" s="1230"/>
      <c r="H444" s="1230"/>
      <c r="I444" s="1231"/>
      <c r="J444" s="1230"/>
      <c r="K444" s="1230"/>
      <c r="L444" s="1230"/>
      <c r="M444" s="1230"/>
      <c r="N444" s="1230"/>
      <c r="O444" s="1232"/>
      <c r="P444" s="1230"/>
      <c r="Q444" s="1230"/>
      <c r="R444" s="1230"/>
      <c r="S444" s="1230"/>
      <c r="T444" s="1230"/>
      <c r="U444" s="1230"/>
      <c r="V444" s="1230"/>
      <c r="W444" s="1230"/>
      <c r="X444" s="1231"/>
      <c r="Y444" s="1230"/>
    </row>
    <row r="445">
      <c r="A445" s="1234"/>
      <c r="B445" s="1230"/>
      <c r="C445" s="1230"/>
      <c r="D445" s="1230"/>
      <c r="E445" s="1230"/>
      <c r="F445" s="1233"/>
      <c r="G445" s="1230"/>
      <c r="H445" s="1230"/>
      <c r="I445" s="1231"/>
      <c r="J445" s="1230"/>
      <c r="K445" s="1230"/>
      <c r="L445" s="1230"/>
      <c r="M445" s="1230"/>
      <c r="N445" s="1230"/>
      <c r="O445" s="1232"/>
      <c r="P445" s="1230"/>
      <c r="Q445" s="1230"/>
      <c r="R445" s="1230"/>
      <c r="S445" s="1230"/>
      <c r="T445" s="1230"/>
      <c r="U445" s="1230"/>
      <c r="V445" s="1230"/>
      <c r="W445" s="1230"/>
      <c r="X445" s="1231"/>
      <c r="Y445" s="1230"/>
    </row>
    <row r="446">
      <c r="A446" s="1234"/>
      <c r="B446" s="1230"/>
      <c r="C446" s="1230"/>
      <c r="D446" s="1230"/>
      <c r="E446" s="1230"/>
      <c r="F446" s="1233"/>
      <c r="G446" s="1230"/>
      <c r="H446" s="1230"/>
      <c r="I446" s="1231"/>
      <c r="J446" s="1230"/>
      <c r="K446" s="1230"/>
      <c r="L446" s="1230"/>
      <c r="M446" s="1230"/>
      <c r="N446" s="1230"/>
      <c r="O446" s="1232"/>
      <c r="P446" s="1230"/>
      <c r="Q446" s="1230"/>
      <c r="R446" s="1230"/>
      <c r="S446" s="1230"/>
      <c r="T446" s="1230"/>
      <c r="U446" s="1230"/>
      <c r="V446" s="1230"/>
      <c r="W446" s="1230"/>
      <c r="X446" s="1231"/>
      <c r="Y446" s="1230"/>
    </row>
    <row r="447">
      <c r="A447" s="1234"/>
      <c r="B447" s="1230"/>
      <c r="C447" s="1230"/>
      <c r="D447" s="1230"/>
      <c r="E447" s="1230"/>
      <c r="F447" s="1233"/>
      <c r="G447" s="1230"/>
      <c r="H447" s="1230"/>
      <c r="I447" s="1231"/>
      <c r="J447" s="1230"/>
      <c r="K447" s="1230"/>
      <c r="L447" s="1230"/>
      <c r="M447" s="1230"/>
      <c r="N447" s="1230"/>
      <c r="O447" s="1232"/>
      <c r="P447" s="1230"/>
      <c r="Q447" s="1230"/>
      <c r="R447" s="1230"/>
      <c r="S447" s="1230"/>
      <c r="T447" s="1230"/>
      <c r="U447" s="1230"/>
      <c r="V447" s="1230"/>
      <c r="W447" s="1230"/>
      <c r="X447" s="1231"/>
      <c r="Y447" s="1230"/>
    </row>
    <row r="448">
      <c r="A448" s="1234"/>
      <c r="B448" s="1230"/>
      <c r="C448" s="1230"/>
      <c r="D448" s="1230"/>
      <c r="E448" s="1230"/>
      <c r="F448" s="1233"/>
      <c r="G448" s="1230"/>
      <c r="H448" s="1230"/>
      <c r="I448" s="1231"/>
      <c r="J448" s="1230"/>
      <c r="K448" s="1230"/>
      <c r="L448" s="1230"/>
      <c r="M448" s="1230"/>
      <c r="N448" s="1230"/>
      <c r="O448" s="1232"/>
      <c r="P448" s="1230"/>
      <c r="Q448" s="1230"/>
      <c r="R448" s="1230"/>
      <c r="S448" s="1230"/>
      <c r="T448" s="1230"/>
      <c r="U448" s="1230"/>
      <c r="V448" s="1230"/>
      <c r="W448" s="1230"/>
      <c r="X448" s="1231"/>
      <c r="Y448" s="1230"/>
    </row>
    <row r="449">
      <c r="A449" s="1234"/>
      <c r="B449" s="1230"/>
      <c r="C449" s="1230"/>
      <c r="D449" s="1230"/>
      <c r="E449" s="1230"/>
      <c r="F449" s="1233"/>
      <c r="G449" s="1230"/>
      <c r="H449" s="1230"/>
      <c r="I449" s="1231"/>
      <c r="J449" s="1230"/>
      <c r="K449" s="1230"/>
      <c r="L449" s="1230"/>
      <c r="M449" s="1230"/>
      <c r="N449" s="1230"/>
      <c r="O449" s="1232"/>
      <c r="P449" s="1230"/>
      <c r="Q449" s="1230"/>
      <c r="R449" s="1230"/>
      <c r="S449" s="1230"/>
      <c r="T449" s="1230"/>
      <c r="U449" s="1230"/>
      <c r="V449" s="1230"/>
      <c r="W449" s="1230"/>
      <c r="X449" s="1231"/>
      <c r="Y449" s="1230"/>
    </row>
    <row r="450">
      <c r="A450" s="1234"/>
      <c r="B450" s="1230"/>
      <c r="C450" s="1230"/>
      <c r="D450" s="1230"/>
      <c r="E450" s="1230"/>
      <c r="F450" s="1233"/>
      <c r="G450" s="1230"/>
      <c r="H450" s="1230"/>
      <c r="I450" s="1231"/>
      <c r="J450" s="1230"/>
      <c r="K450" s="1230"/>
      <c r="L450" s="1230"/>
      <c r="M450" s="1230"/>
      <c r="N450" s="1230"/>
      <c r="O450" s="1232"/>
      <c r="P450" s="1230"/>
      <c r="Q450" s="1230"/>
      <c r="R450" s="1230"/>
      <c r="S450" s="1230"/>
      <c r="T450" s="1230"/>
      <c r="U450" s="1230"/>
      <c r="V450" s="1230"/>
      <c r="W450" s="1230"/>
      <c r="X450" s="1231"/>
      <c r="Y450" s="1230"/>
    </row>
    <row r="451">
      <c r="A451" s="1234"/>
      <c r="B451" s="1230"/>
      <c r="C451" s="1230"/>
      <c r="D451" s="1230"/>
      <c r="E451" s="1230"/>
      <c r="F451" s="1233"/>
      <c r="G451" s="1230"/>
      <c r="H451" s="1230"/>
      <c r="I451" s="1231"/>
      <c r="J451" s="1230"/>
      <c r="K451" s="1230"/>
      <c r="L451" s="1230"/>
      <c r="M451" s="1230"/>
      <c r="N451" s="1230"/>
      <c r="O451" s="1232"/>
      <c r="P451" s="1230"/>
      <c r="Q451" s="1230"/>
      <c r="R451" s="1230"/>
      <c r="S451" s="1230"/>
      <c r="T451" s="1230"/>
      <c r="U451" s="1230"/>
      <c r="V451" s="1230"/>
      <c r="W451" s="1230"/>
      <c r="X451" s="1231"/>
      <c r="Y451" s="1230"/>
    </row>
    <row r="452">
      <c r="A452" s="1234"/>
      <c r="B452" s="1230"/>
      <c r="C452" s="1230"/>
      <c r="D452" s="1230"/>
      <c r="E452" s="1230"/>
      <c r="F452" s="1233"/>
      <c r="G452" s="1230"/>
      <c r="H452" s="1230"/>
      <c r="I452" s="1231"/>
      <c r="J452" s="1230"/>
      <c r="K452" s="1230"/>
      <c r="L452" s="1230"/>
      <c r="M452" s="1230"/>
      <c r="N452" s="1230"/>
      <c r="O452" s="1232"/>
      <c r="P452" s="1230"/>
      <c r="Q452" s="1230"/>
      <c r="R452" s="1230"/>
      <c r="S452" s="1230"/>
      <c r="T452" s="1230"/>
      <c r="U452" s="1230"/>
      <c r="V452" s="1230"/>
      <c r="W452" s="1230"/>
      <c r="X452" s="1231"/>
      <c r="Y452" s="1230"/>
    </row>
    <row r="453">
      <c r="A453" s="1234"/>
      <c r="B453" s="1230"/>
      <c r="C453" s="1230"/>
      <c r="D453" s="1230"/>
      <c r="E453" s="1230"/>
      <c r="F453" s="1233"/>
      <c r="G453" s="1230"/>
      <c r="H453" s="1230"/>
      <c r="I453" s="1231"/>
      <c r="J453" s="1230"/>
      <c r="K453" s="1230"/>
      <c r="L453" s="1230"/>
      <c r="M453" s="1230"/>
      <c r="N453" s="1230"/>
      <c r="O453" s="1232"/>
      <c r="P453" s="1230"/>
      <c r="Q453" s="1230"/>
      <c r="R453" s="1230"/>
      <c r="S453" s="1230"/>
      <c r="T453" s="1230"/>
      <c r="U453" s="1230"/>
      <c r="V453" s="1230"/>
      <c r="W453" s="1230"/>
      <c r="X453" s="1231"/>
      <c r="Y453" s="1230"/>
    </row>
    <row r="454">
      <c r="A454" s="1234"/>
      <c r="B454" s="1230"/>
      <c r="C454" s="1230"/>
      <c r="D454" s="1230"/>
      <c r="E454" s="1230"/>
      <c r="F454" s="1233"/>
      <c r="G454" s="1230"/>
      <c r="H454" s="1230"/>
      <c r="I454" s="1231"/>
      <c r="J454" s="1230"/>
      <c r="K454" s="1230"/>
      <c r="L454" s="1230"/>
      <c r="M454" s="1230"/>
      <c r="N454" s="1230"/>
      <c r="O454" s="1232"/>
      <c r="P454" s="1230"/>
      <c r="Q454" s="1230"/>
      <c r="R454" s="1230"/>
      <c r="S454" s="1230"/>
      <c r="T454" s="1230"/>
      <c r="U454" s="1230"/>
      <c r="V454" s="1230"/>
      <c r="W454" s="1230"/>
      <c r="X454" s="1231"/>
      <c r="Y454" s="1230"/>
    </row>
    <row r="455">
      <c r="A455" s="1234"/>
      <c r="B455" s="1230"/>
      <c r="C455" s="1230"/>
      <c r="D455" s="1230"/>
      <c r="E455" s="1230"/>
      <c r="F455" s="1233"/>
      <c r="G455" s="1230"/>
      <c r="H455" s="1230"/>
      <c r="I455" s="1231"/>
      <c r="J455" s="1230"/>
      <c r="K455" s="1230"/>
      <c r="L455" s="1230"/>
      <c r="M455" s="1230"/>
      <c r="N455" s="1230"/>
      <c r="O455" s="1232"/>
      <c r="P455" s="1230"/>
      <c r="Q455" s="1230"/>
      <c r="R455" s="1230"/>
      <c r="S455" s="1230"/>
      <c r="T455" s="1230"/>
      <c r="U455" s="1230"/>
      <c r="V455" s="1230"/>
      <c r="W455" s="1230"/>
      <c r="X455" s="1231"/>
      <c r="Y455" s="1230"/>
    </row>
    <row r="456">
      <c r="A456" s="1234"/>
      <c r="B456" s="1230"/>
      <c r="C456" s="1230"/>
      <c r="D456" s="1230"/>
      <c r="E456" s="1230"/>
      <c r="F456" s="1233"/>
      <c r="G456" s="1230"/>
      <c r="H456" s="1230"/>
      <c r="I456" s="1231"/>
      <c r="J456" s="1230"/>
      <c r="K456" s="1230"/>
      <c r="L456" s="1230"/>
      <c r="M456" s="1230"/>
      <c r="N456" s="1230"/>
      <c r="O456" s="1232"/>
      <c r="P456" s="1230"/>
      <c r="Q456" s="1230"/>
      <c r="R456" s="1230"/>
      <c r="S456" s="1230"/>
      <c r="T456" s="1230"/>
      <c r="U456" s="1230"/>
      <c r="V456" s="1230"/>
      <c r="W456" s="1230"/>
      <c r="X456" s="1231"/>
      <c r="Y456" s="1230"/>
    </row>
    <row r="457">
      <c r="A457" s="1234"/>
      <c r="B457" s="1230"/>
      <c r="C457" s="1230"/>
      <c r="D457" s="1230"/>
      <c r="E457" s="1230"/>
      <c r="F457" s="1233"/>
      <c r="G457" s="1230"/>
      <c r="H457" s="1230"/>
      <c r="I457" s="1231"/>
      <c r="J457" s="1230"/>
      <c r="K457" s="1230"/>
      <c r="L457" s="1230"/>
      <c r="M457" s="1230"/>
      <c r="N457" s="1230"/>
      <c r="O457" s="1232"/>
      <c r="P457" s="1230"/>
      <c r="Q457" s="1230"/>
      <c r="R457" s="1230"/>
      <c r="S457" s="1230"/>
      <c r="T457" s="1230"/>
      <c r="U457" s="1230"/>
      <c r="V457" s="1230"/>
      <c r="W457" s="1230"/>
      <c r="X457" s="1231"/>
      <c r="Y457" s="1230"/>
    </row>
    <row r="458">
      <c r="A458" s="1234"/>
      <c r="B458" s="1230"/>
      <c r="C458" s="1230"/>
      <c r="D458" s="1230"/>
      <c r="E458" s="1230"/>
      <c r="F458" s="1233"/>
      <c r="G458" s="1230"/>
      <c r="H458" s="1230"/>
      <c r="I458" s="1231"/>
      <c r="J458" s="1230"/>
      <c r="K458" s="1230"/>
      <c r="L458" s="1230"/>
      <c r="M458" s="1230"/>
      <c r="N458" s="1230"/>
      <c r="O458" s="1232"/>
      <c r="P458" s="1230"/>
      <c r="Q458" s="1230"/>
      <c r="R458" s="1230"/>
      <c r="S458" s="1230"/>
      <c r="T458" s="1230"/>
      <c r="U458" s="1230"/>
      <c r="V458" s="1230"/>
      <c r="W458" s="1230"/>
      <c r="X458" s="1231"/>
      <c r="Y458" s="1230"/>
    </row>
    <row r="459">
      <c r="A459" s="1234"/>
      <c r="B459" s="1230"/>
      <c r="C459" s="1230"/>
      <c r="D459" s="1230"/>
      <c r="E459" s="1230"/>
      <c r="F459" s="1233"/>
      <c r="G459" s="1230"/>
      <c r="H459" s="1230"/>
      <c r="I459" s="1231"/>
      <c r="J459" s="1230"/>
      <c r="K459" s="1230"/>
      <c r="L459" s="1230"/>
      <c r="M459" s="1230"/>
      <c r="N459" s="1230"/>
      <c r="O459" s="1232"/>
      <c r="P459" s="1230"/>
      <c r="Q459" s="1230"/>
      <c r="R459" s="1230"/>
      <c r="S459" s="1230"/>
      <c r="T459" s="1230"/>
      <c r="U459" s="1230"/>
      <c r="V459" s="1230"/>
      <c r="W459" s="1230"/>
      <c r="X459" s="1231"/>
      <c r="Y459" s="1230"/>
    </row>
    <row r="460">
      <c r="A460" s="1234"/>
      <c r="B460" s="1230"/>
      <c r="C460" s="1230"/>
      <c r="D460" s="1230"/>
      <c r="E460" s="1230"/>
      <c r="F460" s="1233"/>
      <c r="G460" s="1230"/>
      <c r="H460" s="1230"/>
      <c r="I460" s="1231"/>
      <c r="J460" s="1230"/>
      <c r="K460" s="1230"/>
      <c r="L460" s="1230"/>
      <c r="M460" s="1230"/>
      <c r="N460" s="1230"/>
      <c r="O460" s="1232"/>
      <c r="P460" s="1230"/>
      <c r="Q460" s="1230"/>
      <c r="R460" s="1230"/>
      <c r="S460" s="1230"/>
      <c r="T460" s="1230"/>
      <c r="U460" s="1230"/>
      <c r="V460" s="1230"/>
      <c r="W460" s="1230"/>
      <c r="X460" s="1231"/>
      <c r="Y460" s="1230"/>
    </row>
    <row r="461">
      <c r="A461" s="1234"/>
      <c r="B461" s="1230"/>
      <c r="C461" s="1230"/>
      <c r="D461" s="1230"/>
      <c r="E461" s="1230"/>
      <c r="F461" s="1233"/>
      <c r="G461" s="1230"/>
      <c r="H461" s="1230"/>
      <c r="I461" s="1231"/>
      <c r="J461" s="1230"/>
      <c r="K461" s="1230"/>
      <c r="L461" s="1230"/>
      <c r="M461" s="1230"/>
      <c r="N461" s="1230"/>
      <c r="O461" s="1232"/>
      <c r="P461" s="1230"/>
      <c r="Q461" s="1230"/>
      <c r="R461" s="1230"/>
      <c r="S461" s="1230"/>
      <c r="T461" s="1230"/>
      <c r="U461" s="1230"/>
      <c r="V461" s="1230"/>
      <c r="W461" s="1230"/>
      <c r="X461" s="1231"/>
      <c r="Y461" s="1230"/>
    </row>
    <row r="462">
      <c r="A462" s="1234"/>
      <c r="B462" s="1230"/>
      <c r="C462" s="1230"/>
      <c r="D462" s="1230"/>
      <c r="E462" s="1230"/>
      <c r="F462" s="1233"/>
      <c r="G462" s="1230"/>
      <c r="H462" s="1230"/>
      <c r="I462" s="1231"/>
      <c r="J462" s="1230"/>
      <c r="K462" s="1230"/>
      <c r="L462" s="1230"/>
      <c r="M462" s="1230"/>
      <c r="N462" s="1230"/>
      <c r="O462" s="1232"/>
      <c r="P462" s="1230"/>
      <c r="Q462" s="1230"/>
      <c r="R462" s="1230"/>
      <c r="S462" s="1230"/>
      <c r="T462" s="1230"/>
      <c r="U462" s="1230"/>
      <c r="V462" s="1230"/>
      <c r="W462" s="1230"/>
      <c r="X462" s="1231"/>
      <c r="Y462" s="1230"/>
    </row>
    <row r="463">
      <c r="A463" s="1234"/>
      <c r="B463" s="1230"/>
      <c r="C463" s="1230"/>
      <c r="D463" s="1230"/>
      <c r="E463" s="1230"/>
      <c r="F463" s="1233"/>
      <c r="G463" s="1230"/>
      <c r="H463" s="1230"/>
      <c r="I463" s="1231"/>
      <c r="J463" s="1230"/>
      <c r="K463" s="1230"/>
      <c r="L463" s="1230"/>
      <c r="M463" s="1230"/>
      <c r="N463" s="1230"/>
      <c r="O463" s="1232"/>
      <c r="P463" s="1230"/>
      <c r="Q463" s="1230"/>
      <c r="R463" s="1230"/>
      <c r="S463" s="1230"/>
      <c r="T463" s="1230"/>
      <c r="U463" s="1230"/>
      <c r="V463" s="1230"/>
      <c r="W463" s="1230"/>
      <c r="X463" s="1231"/>
      <c r="Y463" s="1230"/>
    </row>
    <row r="464">
      <c r="A464" s="1234"/>
      <c r="B464" s="1230"/>
      <c r="C464" s="1230"/>
      <c r="D464" s="1230"/>
      <c r="E464" s="1230"/>
      <c r="F464" s="1233"/>
      <c r="G464" s="1230"/>
      <c r="H464" s="1230"/>
      <c r="I464" s="1231"/>
      <c r="J464" s="1230"/>
      <c r="K464" s="1230"/>
      <c r="L464" s="1230"/>
      <c r="M464" s="1230"/>
      <c r="N464" s="1230"/>
      <c r="O464" s="1232"/>
      <c r="P464" s="1230"/>
      <c r="Q464" s="1230"/>
      <c r="R464" s="1230"/>
      <c r="S464" s="1230"/>
      <c r="T464" s="1230"/>
      <c r="U464" s="1230"/>
      <c r="V464" s="1230"/>
      <c r="W464" s="1230"/>
      <c r="X464" s="1231"/>
      <c r="Y464" s="1230"/>
    </row>
    <row r="465">
      <c r="A465" s="1234"/>
      <c r="B465" s="1230"/>
      <c r="C465" s="1230"/>
      <c r="D465" s="1230"/>
      <c r="E465" s="1230"/>
      <c r="F465" s="1233"/>
      <c r="G465" s="1230"/>
      <c r="H465" s="1230"/>
      <c r="I465" s="1231"/>
      <c r="J465" s="1230"/>
      <c r="K465" s="1230"/>
      <c r="L465" s="1230"/>
      <c r="M465" s="1230"/>
      <c r="N465" s="1230"/>
      <c r="O465" s="1232"/>
      <c r="P465" s="1230"/>
      <c r="Q465" s="1230"/>
      <c r="R465" s="1230"/>
      <c r="S465" s="1230"/>
      <c r="T465" s="1230"/>
      <c r="U465" s="1230"/>
      <c r="V465" s="1230"/>
      <c r="W465" s="1230"/>
      <c r="X465" s="1231"/>
      <c r="Y465" s="1230"/>
    </row>
    <row r="466">
      <c r="A466" s="1234"/>
      <c r="B466" s="1230"/>
      <c r="C466" s="1230"/>
      <c r="D466" s="1230"/>
      <c r="E466" s="1230"/>
      <c r="F466" s="1233"/>
      <c r="G466" s="1230"/>
      <c r="H466" s="1230"/>
      <c r="I466" s="1231"/>
      <c r="J466" s="1230"/>
      <c r="K466" s="1230"/>
      <c r="L466" s="1230"/>
      <c r="M466" s="1230"/>
      <c r="N466" s="1230"/>
      <c r="O466" s="1232"/>
      <c r="P466" s="1230"/>
      <c r="Q466" s="1230"/>
      <c r="R466" s="1230"/>
      <c r="S466" s="1230"/>
      <c r="T466" s="1230"/>
      <c r="U466" s="1230"/>
      <c r="V466" s="1230"/>
      <c r="W466" s="1230"/>
      <c r="X466" s="1231"/>
      <c r="Y466" s="1230"/>
    </row>
    <row r="467">
      <c r="A467" s="1234"/>
      <c r="B467" s="1230"/>
      <c r="C467" s="1230"/>
      <c r="D467" s="1230"/>
      <c r="E467" s="1230"/>
      <c r="F467" s="1233"/>
      <c r="G467" s="1230"/>
      <c r="H467" s="1230"/>
      <c r="I467" s="1231"/>
      <c r="J467" s="1230"/>
      <c r="K467" s="1230"/>
      <c r="L467" s="1230"/>
      <c r="M467" s="1230"/>
      <c r="N467" s="1230"/>
      <c r="O467" s="1232"/>
      <c r="P467" s="1230"/>
      <c r="Q467" s="1230"/>
      <c r="R467" s="1230"/>
      <c r="S467" s="1230"/>
      <c r="T467" s="1230"/>
      <c r="U467" s="1230"/>
      <c r="V467" s="1230"/>
      <c r="W467" s="1230"/>
      <c r="X467" s="1231"/>
      <c r="Y467" s="1230"/>
    </row>
    <row r="468">
      <c r="A468" s="1234"/>
      <c r="B468" s="1230"/>
      <c r="C468" s="1230"/>
      <c r="D468" s="1230"/>
      <c r="E468" s="1230"/>
      <c r="F468" s="1233"/>
      <c r="G468" s="1230"/>
      <c r="H468" s="1230"/>
      <c r="I468" s="1231"/>
      <c r="J468" s="1230"/>
      <c r="K468" s="1230"/>
      <c r="L468" s="1230"/>
      <c r="M468" s="1230"/>
      <c r="N468" s="1230"/>
      <c r="O468" s="1232"/>
      <c r="P468" s="1230"/>
      <c r="Q468" s="1230"/>
      <c r="R468" s="1230"/>
      <c r="S468" s="1230"/>
      <c r="T468" s="1230"/>
      <c r="U468" s="1230"/>
      <c r="V468" s="1230"/>
      <c r="W468" s="1230"/>
      <c r="X468" s="1231"/>
      <c r="Y468" s="1230"/>
    </row>
    <row r="469">
      <c r="A469" s="1234"/>
      <c r="B469" s="1230"/>
      <c r="C469" s="1230"/>
      <c r="D469" s="1230"/>
      <c r="E469" s="1230"/>
      <c r="F469" s="1233"/>
      <c r="G469" s="1230"/>
      <c r="H469" s="1230"/>
      <c r="I469" s="1231"/>
      <c r="J469" s="1230"/>
      <c r="K469" s="1230"/>
      <c r="L469" s="1230"/>
      <c r="M469" s="1230"/>
      <c r="N469" s="1230"/>
      <c r="O469" s="1232"/>
      <c r="P469" s="1230"/>
      <c r="Q469" s="1230"/>
      <c r="R469" s="1230"/>
      <c r="S469" s="1230"/>
      <c r="T469" s="1230"/>
      <c r="U469" s="1230"/>
      <c r="V469" s="1230"/>
      <c r="W469" s="1230"/>
      <c r="X469" s="1231"/>
      <c r="Y469" s="1230"/>
    </row>
    <row r="470">
      <c r="A470" s="1234"/>
      <c r="B470" s="1230"/>
      <c r="C470" s="1230"/>
      <c r="D470" s="1230"/>
      <c r="E470" s="1230"/>
      <c r="F470" s="1233"/>
      <c r="G470" s="1230"/>
      <c r="H470" s="1230"/>
      <c r="I470" s="1231"/>
      <c r="J470" s="1230"/>
      <c r="K470" s="1230"/>
      <c r="L470" s="1230"/>
      <c r="M470" s="1230"/>
      <c r="N470" s="1230"/>
      <c r="O470" s="1232"/>
      <c r="P470" s="1230"/>
      <c r="Q470" s="1230"/>
      <c r="R470" s="1230"/>
      <c r="S470" s="1230"/>
      <c r="T470" s="1230"/>
      <c r="U470" s="1230"/>
      <c r="V470" s="1230"/>
      <c r="W470" s="1230"/>
      <c r="X470" s="1231"/>
      <c r="Y470" s="1230"/>
    </row>
    <row r="471">
      <c r="A471" s="1234"/>
      <c r="B471" s="1230"/>
      <c r="C471" s="1230"/>
      <c r="D471" s="1230"/>
      <c r="E471" s="1230"/>
      <c r="F471" s="1233"/>
      <c r="G471" s="1230"/>
      <c r="H471" s="1230"/>
      <c r="I471" s="1231"/>
      <c r="J471" s="1230"/>
      <c r="K471" s="1230"/>
      <c r="L471" s="1230"/>
      <c r="M471" s="1230"/>
      <c r="N471" s="1230"/>
      <c r="O471" s="1232"/>
      <c r="P471" s="1230"/>
      <c r="Q471" s="1230"/>
      <c r="R471" s="1230"/>
      <c r="S471" s="1230"/>
      <c r="T471" s="1230"/>
      <c r="U471" s="1230"/>
      <c r="V471" s="1230"/>
      <c r="W471" s="1230"/>
      <c r="X471" s="1231"/>
      <c r="Y471" s="1230"/>
    </row>
    <row r="472">
      <c r="A472" s="1234"/>
      <c r="B472" s="1230"/>
      <c r="C472" s="1230"/>
      <c r="D472" s="1230"/>
      <c r="E472" s="1230"/>
      <c r="F472" s="1233"/>
      <c r="G472" s="1230"/>
      <c r="H472" s="1230"/>
      <c r="I472" s="1231"/>
      <c r="J472" s="1230"/>
      <c r="K472" s="1230"/>
      <c r="L472" s="1230"/>
      <c r="M472" s="1230"/>
      <c r="N472" s="1230"/>
      <c r="O472" s="1232"/>
      <c r="P472" s="1230"/>
      <c r="Q472" s="1230"/>
      <c r="R472" s="1230"/>
      <c r="S472" s="1230"/>
      <c r="T472" s="1230"/>
      <c r="U472" s="1230"/>
      <c r="V472" s="1230"/>
      <c r="W472" s="1230"/>
      <c r="X472" s="1231"/>
      <c r="Y472" s="1230"/>
    </row>
    <row r="473">
      <c r="A473" s="1234"/>
      <c r="B473" s="1230"/>
      <c r="C473" s="1230"/>
      <c r="D473" s="1230"/>
      <c r="E473" s="1230"/>
      <c r="F473" s="1233"/>
      <c r="G473" s="1230"/>
      <c r="H473" s="1230"/>
      <c r="I473" s="1231"/>
      <c r="J473" s="1230"/>
      <c r="K473" s="1230"/>
      <c r="L473" s="1230"/>
      <c r="M473" s="1230"/>
      <c r="N473" s="1230"/>
      <c r="O473" s="1232"/>
      <c r="P473" s="1230"/>
      <c r="Q473" s="1230"/>
      <c r="R473" s="1230"/>
      <c r="S473" s="1230"/>
      <c r="T473" s="1230"/>
      <c r="U473" s="1230"/>
      <c r="V473" s="1230"/>
      <c r="W473" s="1230"/>
      <c r="X473" s="1231"/>
      <c r="Y473" s="1230"/>
    </row>
    <row r="474">
      <c r="A474" s="1234"/>
      <c r="B474" s="1230"/>
      <c r="C474" s="1230"/>
      <c r="D474" s="1230"/>
      <c r="E474" s="1230"/>
      <c r="F474" s="1233"/>
      <c r="G474" s="1230"/>
      <c r="H474" s="1230"/>
      <c r="I474" s="1231"/>
      <c r="J474" s="1230"/>
      <c r="K474" s="1230"/>
      <c r="L474" s="1230"/>
      <c r="M474" s="1230"/>
      <c r="N474" s="1230"/>
      <c r="O474" s="1232"/>
      <c r="P474" s="1230"/>
      <c r="Q474" s="1230"/>
      <c r="R474" s="1230"/>
      <c r="S474" s="1230"/>
      <c r="T474" s="1230"/>
      <c r="U474" s="1230"/>
      <c r="V474" s="1230"/>
      <c r="W474" s="1230"/>
      <c r="X474" s="1231"/>
      <c r="Y474" s="1230"/>
    </row>
    <row r="475">
      <c r="A475" s="1234"/>
      <c r="B475" s="1230"/>
      <c r="C475" s="1230"/>
      <c r="D475" s="1230"/>
      <c r="E475" s="1230"/>
      <c r="F475" s="1233"/>
      <c r="G475" s="1230"/>
      <c r="H475" s="1230"/>
      <c r="I475" s="1231"/>
      <c r="J475" s="1230"/>
      <c r="K475" s="1230"/>
      <c r="L475" s="1230"/>
      <c r="M475" s="1230"/>
      <c r="N475" s="1230"/>
      <c r="O475" s="1232"/>
      <c r="P475" s="1230"/>
      <c r="Q475" s="1230"/>
      <c r="R475" s="1230"/>
      <c r="S475" s="1230"/>
      <c r="T475" s="1230"/>
      <c r="U475" s="1230"/>
      <c r="V475" s="1230"/>
      <c r="W475" s="1230"/>
      <c r="X475" s="1231"/>
      <c r="Y475" s="1230"/>
    </row>
    <row r="476">
      <c r="A476" s="1234"/>
      <c r="B476" s="1230"/>
      <c r="C476" s="1230"/>
      <c r="D476" s="1230"/>
      <c r="E476" s="1230"/>
      <c r="F476" s="1233"/>
      <c r="G476" s="1230"/>
      <c r="H476" s="1230"/>
      <c r="I476" s="1231"/>
      <c r="J476" s="1230"/>
      <c r="K476" s="1230"/>
      <c r="L476" s="1230"/>
      <c r="M476" s="1230"/>
      <c r="N476" s="1230"/>
      <c r="O476" s="1232"/>
      <c r="P476" s="1230"/>
      <c r="Q476" s="1230"/>
      <c r="R476" s="1230"/>
      <c r="S476" s="1230"/>
      <c r="T476" s="1230"/>
      <c r="U476" s="1230"/>
      <c r="V476" s="1230"/>
      <c r="W476" s="1230"/>
      <c r="X476" s="1231"/>
      <c r="Y476" s="1230"/>
    </row>
    <row r="477">
      <c r="A477" s="1234"/>
      <c r="B477" s="1230"/>
      <c r="C477" s="1230"/>
      <c r="D477" s="1230"/>
      <c r="E477" s="1230"/>
      <c r="F477" s="1233"/>
      <c r="G477" s="1230"/>
      <c r="H477" s="1230"/>
      <c r="I477" s="1231"/>
      <c r="J477" s="1230"/>
      <c r="K477" s="1230"/>
      <c r="L477" s="1230"/>
      <c r="M477" s="1230"/>
      <c r="N477" s="1230"/>
      <c r="O477" s="1232"/>
      <c r="P477" s="1230"/>
      <c r="Q477" s="1230"/>
      <c r="R477" s="1230"/>
      <c r="S477" s="1230"/>
      <c r="T477" s="1230"/>
      <c r="U477" s="1230"/>
      <c r="V477" s="1230"/>
      <c r="W477" s="1230"/>
      <c r="X477" s="1231"/>
      <c r="Y477" s="1230"/>
    </row>
    <row r="478">
      <c r="A478" s="1234"/>
      <c r="B478" s="1230"/>
      <c r="C478" s="1230"/>
      <c r="D478" s="1230"/>
      <c r="E478" s="1230"/>
      <c r="F478" s="1233"/>
      <c r="G478" s="1230"/>
      <c r="H478" s="1230"/>
      <c r="I478" s="1231"/>
      <c r="J478" s="1230"/>
      <c r="K478" s="1230"/>
      <c r="L478" s="1230"/>
      <c r="M478" s="1230"/>
      <c r="N478" s="1230"/>
      <c r="O478" s="1232"/>
      <c r="P478" s="1230"/>
      <c r="Q478" s="1230"/>
      <c r="R478" s="1230"/>
      <c r="S478" s="1230"/>
      <c r="T478" s="1230"/>
      <c r="U478" s="1230"/>
      <c r="V478" s="1230"/>
      <c r="W478" s="1230"/>
      <c r="X478" s="1231"/>
      <c r="Y478" s="1230"/>
    </row>
    <row r="479">
      <c r="A479" s="1234"/>
      <c r="B479" s="1230"/>
      <c r="C479" s="1230"/>
      <c r="D479" s="1230"/>
      <c r="E479" s="1230"/>
      <c r="F479" s="1233"/>
      <c r="G479" s="1230"/>
      <c r="H479" s="1230"/>
      <c r="I479" s="1231"/>
      <c r="J479" s="1230"/>
      <c r="K479" s="1230"/>
      <c r="L479" s="1230"/>
      <c r="M479" s="1230"/>
      <c r="N479" s="1230"/>
      <c r="O479" s="1232"/>
      <c r="P479" s="1230"/>
      <c r="Q479" s="1230"/>
      <c r="R479" s="1230"/>
      <c r="S479" s="1230"/>
      <c r="T479" s="1230"/>
      <c r="U479" s="1230"/>
      <c r="V479" s="1230"/>
      <c r="W479" s="1230"/>
      <c r="X479" s="1231"/>
      <c r="Y479" s="1230"/>
    </row>
    <row r="480">
      <c r="A480" s="1234"/>
      <c r="B480" s="1230"/>
      <c r="C480" s="1230"/>
      <c r="D480" s="1230"/>
      <c r="E480" s="1230"/>
      <c r="F480" s="1233"/>
      <c r="G480" s="1230"/>
      <c r="H480" s="1230"/>
      <c r="I480" s="1231"/>
      <c r="J480" s="1230"/>
      <c r="K480" s="1230"/>
      <c r="L480" s="1230"/>
      <c r="M480" s="1230"/>
      <c r="N480" s="1230"/>
      <c r="O480" s="1232"/>
      <c r="P480" s="1230"/>
      <c r="Q480" s="1230"/>
      <c r="R480" s="1230"/>
      <c r="S480" s="1230"/>
      <c r="T480" s="1230"/>
      <c r="U480" s="1230"/>
      <c r="V480" s="1230"/>
      <c r="W480" s="1230"/>
      <c r="X480" s="1231"/>
      <c r="Y480" s="1230"/>
    </row>
    <row r="481">
      <c r="A481" s="1234"/>
      <c r="B481" s="1230"/>
      <c r="C481" s="1230"/>
      <c r="D481" s="1230"/>
      <c r="E481" s="1230"/>
      <c r="F481" s="1233"/>
      <c r="G481" s="1230"/>
      <c r="H481" s="1230"/>
      <c r="I481" s="1231"/>
      <c r="J481" s="1230"/>
      <c r="K481" s="1230"/>
      <c r="L481" s="1230"/>
      <c r="M481" s="1230"/>
      <c r="N481" s="1230"/>
      <c r="O481" s="1232"/>
      <c r="P481" s="1230"/>
      <c r="Q481" s="1230"/>
      <c r="R481" s="1230"/>
      <c r="S481" s="1230"/>
      <c r="T481" s="1230"/>
      <c r="U481" s="1230"/>
      <c r="V481" s="1230"/>
      <c r="W481" s="1230"/>
      <c r="X481" s="1231"/>
      <c r="Y481" s="1230"/>
    </row>
    <row r="482">
      <c r="A482" s="1234"/>
      <c r="B482" s="1230"/>
      <c r="C482" s="1230"/>
      <c r="D482" s="1230"/>
      <c r="E482" s="1230"/>
      <c r="F482" s="1233"/>
      <c r="G482" s="1230"/>
      <c r="H482" s="1230"/>
      <c r="I482" s="1231"/>
      <c r="J482" s="1230"/>
      <c r="K482" s="1230"/>
      <c r="L482" s="1230"/>
      <c r="M482" s="1230"/>
      <c r="N482" s="1230"/>
      <c r="O482" s="1232"/>
      <c r="P482" s="1230"/>
      <c r="Q482" s="1230"/>
      <c r="R482" s="1230"/>
      <c r="S482" s="1230"/>
      <c r="T482" s="1230"/>
      <c r="U482" s="1230"/>
      <c r="V482" s="1230"/>
      <c r="W482" s="1230"/>
      <c r="X482" s="1231"/>
      <c r="Y482" s="1230"/>
    </row>
    <row r="483">
      <c r="A483" s="1234"/>
      <c r="B483" s="1230"/>
      <c r="C483" s="1230"/>
      <c r="D483" s="1230"/>
      <c r="E483" s="1230"/>
      <c r="F483" s="1233"/>
      <c r="G483" s="1230"/>
      <c r="H483" s="1230"/>
      <c r="I483" s="1231"/>
      <c r="J483" s="1230"/>
      <c r="K483" s="1230"/>
      <c r="L483" s="1230"/>
      <c r="M483" s="1230"/>
      <c r="N483" s="1230"/>
      <c r="O483" s="1232"/>
      <c r="P483" s="1230"/>
      <c r="Q483" s="1230"/>
      <c r="R483" s="1230"/>
      <c r="S483" s="1230"/>
      <c r="T483" s="1230"/>
      <c r="U483" s="1230"/>
      <c r="V483" s="1230"/>
      <c r="W483" s="1230"/>
      <c r="X483" s="1231"/>
      <c r="Y483" s="1230"/>
    </row>
    <row r="484">
      <c r="A484" s="1234"/>
      <c r="B484" s="1230"/>
      <c r="C484" s="1230"/>
      <c r="D484" s="1230"/>
      <c r="E484" s="1230"/>
      <c r="F484" s="1233"/>
      <c r="G484" s="1230"/>
      <c r="H484" s="1230"/>
      <c r="I484" s="1231"/>
      <c r="J484" s="1230"/>
      <c r="K484" s="1230"/>
      <c r="L484" s="1230"/>
      <c r="M484" s="1230"/>
      <c r="N484" s="1230"/>
      <c r="O484" s="1232"/>
      <c r="P484" s="1230"/>
      <c r="Q484" s="1230"/>
      <c r="R484" s="1230"/>
      <c r="S484" s="1230"/>
      <c r="T484" s="1230"/>
      <c r="U484" s="1230"/>
      <c r="V484" s="1230"/>
      <c r="W484" s="1230"/>
      <c r="X484" s="1231"/>
      <c r="Y484" s="1230"/>
    </row>
    <row r="485">
      <c r="A485" s="1234"/>
      <c r="B485" s="1230"/>
      <c r="C485" s="1230"/>
      <c r="D485" s="1230"/>
      <c r="E485" s="1230"/>
      <c r="F485" s="1233"/>
      <c r="G485" s="1230"/>
      <c r="H485" s="1230"/>
      <c r="I485" s="1231"/>
      <c r="J485" s="1230"/>
      <c r="K485" s="1230"/>
      <c r="L485" s="1230"/>
      <c r="M485" s="1230"/>
      <c r="N485" s="1230"/>
      <c r="O485" s="1232"/>
      <c r="P485" s="1230"/>
      <c r="Q485" s="1230"/>
      <c r="R485" s="1230"/>
      <c r="S485" s="1230"/>
      <c r="T485" s="1230"/>
      <c r="U485" s="1230"/>
      <c r="V485" s="1230"/>
      <c r="W485" s="1230"/>
      <c r="X485" s="1231"/>
      <c r="Y485" s="1230"/>
    </row>
    <row r="486">
      <c r="A486" s="1234"/>
      <c r="B486" s="1230"/>
      <c r="C486" s="1230"/>
      <c r="D486" s="1230"/>
      <c r="E486" s="1230"/>
      <c r="F486" s="1233"/>
      <c r="G486" s="1230"/>
      <c r="H486" s="1230"/>
      <c r="I486" s="1231"/>
      <c r="J486" s="1230"/>
      <c r="K486" s="1230"/>
      <c r="L486" s="1230"/>
      <c r="M486" s="1230"/>
      <c r="N486" s="1230"/>
      <c r="O486" s="1232"/>
      <c r="P486" s="1230"/>
      <c r="Q486" s="1230"/>
      <c r="R486" s="1230"/>
      <c r="S486" s="1230"/>
      <c r="T486" s="1230"/>
      <c r="U486" s="1230"/>
      <c r="V486" s="1230"/>
      <c r="W486" s="1230"/>
      <c r="X486" s="1231"/>
      <c r="Y486" s="1230"/>
    </row>
    <row r="487">
      <c r="A487" s="1234"/>
      <c r="B487" s="1230"/>
      <c r="C487" s="1230"/>
      <c r="D487" s="1230"/>
      <c r="E487" s="1230"/>
      <c r="F487" s="1233"/>
      <c r="G487" s="1230"/>
      <c r="H487" s="1230"/>
      <c r="I487" s="1231"/>
      <c r="J487" s="1230"/>
      <c r="K487" s="1230"/>
      <c r="L487" s="1230"/>
      <c r="M487" s="1230"/>
      <c r="N487" s="1230"/>
      <c r="O487" s="1232"/>
      <c r="P487" s="1230"/>
      <c r="Q487" s="1230"/>
      <c r="R487" s="1230"/>
      <c r="S487" s="1230"/>
      <c r="T487" s="1230"/>
      <c r="U487" s="1230"/>
      <c r="V487" s="1230"/>
      <c r="W487" s="1230"/>
      <c r="X487" s="1231"/>
      <c r="Y487" s="1230"/>
    </row>
    <row r="488">
      <c r="A488" s="1234"/>
      <c r="B488" s="1230"/>
      <c r="C488" s="1230"/>
      <c r="D488" s="1230"/>
      <c r="E488" s="1230"/>
      <c r="F488" s="1233"/>
      <c r="G488" s="1230"/>
      <c r="H488" s="1230"/>
      <c r="I488" s="1231"/>
      <c r="J488" s="1230"/>
      <c r="K488" s="1230"/>
      <c r="L488" s="1230"/>
      <c r="M488" s="1230"/>
      <c r="N488" s="1230"/>
      <c r="O488" s="1232"/>
      <c r="P488" s="1230"/>
      <c r="Q488" s="1230"/>
      <c r="R488" s="1230"/>
      <c r="S488" s="1230"/>
      <c r="T488" s="1230"/>
      <c r="U488" s="1230"/>
      <c r="V488" s="1230"/>
      <c r="W488" s="1230"/>
      <c r="X488" s="1231"/>
      <c r="Y488" s="1230"/>
    </row>
    <row r="489">
      <c r="A489" s="1234"/>
      <c r="B489" s="1230"/>
      <c r="C489" s="1230"/>
      <c r="D489" s="1230"/>
      <c r="E489" s="1230"/>
      <c r="F489" s="1233"/>
      <c r="G489" s="1230"/>
      <c r="H489" s="1230"/>
      <c r="I489" s="1231"/>
      <c r="J489" s="1230"/>
      <c r="K489" s="1230"/>
      <c r="L489" s="1230"/>
      <c r="M489" s="1230"/>
      <c r="N489" s="1230"/>
      <c r="O489" s="1232"/>
      <c r="P489" s="1230"/>
      <c r="Q489" s="1230"/>
      <c r="R489" s="1230"/>
      <c r="S489" s="1230"/>
      <c r="T489" s="1230"/>
      <c r="U489" s="1230"/>
      <c r="V489" s="1230"/>
      <c r="W489" s="1230"/>
      <c r="X489" s="1231"/>
      <c r="Y489" s="1230"/>
    </row>
    <row r="490">
      <c r="A490" s="1234"/>
      <c r="B490" s="1230"/>
      <c r="C490" s="1230"/>
      <c r="D490" s="1230"/>
      <c r="E490" s="1230"/>
      <c r="F490" s="1233"/>
      <c r="G490" s="1230"/>
      <c r="H490" s="1230"/>
      <c r="I490" s="1231"/>
      <c r="J490" s="1230"/>
      <c r="K490" s="1230"/>
      <c r="L490" s="1230"/>
      <c r="M490" s="1230"/>
      <c r="N490" s="1230"/>
      <c r="O490" s="1232"/>
      <c r="P490" s="1230"/>
      <c r="Q490" s="1230"/>
      <c r="R490" s="1230"/>
      <c r="S490" s="1230"/>
      <c r="T490" s="1230"/>
      <c r="U490" s="1230"/>
      <c r="V490" s="1230"/>
      <c r="W490" s="1230"/>
      <c r="X490" s="1231"/>
      <c r="Y490" s="1230"/>
    </row>
    <row r="491">
      <c r="A491" s="1234"/>
      <c r="B491" s="1230"/>
      <c r="C491" s="1230"/>
      <c r="D491" s="1230"/>
      <c r="E491" s="1230"/>
      <c r="F491" s="1233"/>
      <c r="G491" s="1230"/>
      <c r="H491" s="1230"/>
      <c r="I491" s="1231"/>
      <c r="J491" s="1230"/>
      <c r="K491" s="1230"/>
      <c r="L491" s="1230"/>
      <c r="M491" s="1230"/>
      <c r="N491" s="1230"/>
      <c r="O491" s="1232"/>
      <c r="P491" s="1230"/>
      <c r="Q491" s="1230"/>
      <c r="R491" s="1230"/>
      <c r="S491" s="1230"/>
      <c r="T491" s="1230"/>
      <c r="U491" s="1230"/>
      <c r="V491" s="1230"/>
      <c r="W491" s="1230"/>
      <c r="X491" s="1231"/>
      <c r="Y491" s="1230"/>
    </row>
    <row r="492">
      <c r="A492" s="1234"/>
      <c r="B492" s="1230"/>
      <c r="C492" s="1230"/>
      <c r="D492" s="1230"/>
      <c r="E492" s="1230"/>
      <c r="F492" s="1233"/>
      <c r="G492" s="1230"/>
      <c r="H492" s="1230"/>
      <c r="I492" s="1231"/>
      <c r="J492" s="1230"/>
      <c r="K492" s="1230"/>
      <c r="L492" s="1230"/>
      <c r="M492" s="1230"/>
      <c r="N492" s="1230"/>
      <c r="O492" s="1232"/>
      <c r="P492" s="1230"/>
      <c r="Q492" s="1230"/>
      <c r="R492" s="1230"/>
      <c r="S492" s="1230"/>
      <c r="T492" s="1230"/>
      <c r="U492" s="1230"/>
      <c r="V492" s="1230"/>
      <c r="W492" s="1230"/>
      <c r="X492" s="1231"/>
      <c r="Y492" s="1230"/>
    </row>
    <row r="493">
      <c r="A493" s="1234"/>
      <c r="B493" s="1230"/>
      <c r="C493" s="1230"/>
      <c r="D493" s="1230"/>
      <c r="E493" s="1230"/>
      <c r="F493" s="1233"/>
      <c r="G493" s="1230"/>
      <c r="H493" s="1230"/>
      <c r="I493" s="1231"/>
      <c r="J493" s="1230"/>
      <c r="K493" s="1230"/>
      <c r="L493" s="1230"/>
      <c r="M493" s="1230"/>
      <c r="N493" s="1230"/>
      <c r="O493" s="1232"/>
      <c r="P493" s="1230"/>
      <c r="Q493" s="1230"/>
      <c r="R493" s="1230"/>
      <c r="S493" s="1230"/>
      <c r="T493" s="1230"/>
      <c r="U493" s="1230"/>
      <c r="V493" s="1230"/>
      <c r="W493" s="1230"/>
      <c r="X493" s="1231"/>
      <c r="Y493" s="1230"/>
    </row>
    <row r="494">
      <c r="A494" s="1234"/>
      <c r="B494" s="1230"/>
      <c r="C494" s="1230"/>
      <c r="D494" s="1230"/>
      <c r="E494" s="1230"/>
      <c r="F494" s="1233"/>
      <c r="G494" s="1230"/>
      <c r="H494" s="1230"/>
      <c r="I494" s="1231"/>
      <c r="J494" s="1230"/>
      <c r="K494" s="1230"/>
      <c r="L494" s="1230"/>
      <c r="M494" s="1230"/>
      <c r="N494" s="1230"/>
      <c r="O494" s="1232"/>
      <c r="P494" s="1230"/>
      <c r="Q494" s="1230"/>
      <c r="R494" s="1230"/>
      <c r="S494" s="1230"/>
      <c r="T494" s="1230"/>
      <c r="U494" s="1230"/>
      <c r="V494" s="1230"/>
      <c r="W494" s="1230"/>
      <c r="X494" s="1231"/>
      <c r="Y494" s="1230"/>
    </row>
    <row r="495">
      <c r="A495" s="1234"/>
      <c r="B495" s="1230"/>
      <c r="C495" s="1230"/>
      <c r="D495" s="1230"/>
      <c r="E495" s="1230"/>
      <c r="F495" s="1233"/>
      <c r="G495" s="1230"/>
      <c r="H495" s="1230"/>
      <c r="I495" s="1231"/>
      <c r="J495" s="1230"/>
      <c r="K495" s="1230"/>
      <c r="L495" s="1230"/>
      <c r="M495" s="1230"/>
      <c r="N495" s="1230"/>
      <c r="O495" s="1232"/>
      <c r="P495" s="1230"/>
      <c r="Q495" s="1230"/>
      <c r="R495" s="1230"/>
      <c r="S495" s="1230"/>
      <c r="T495" s="1230"/>
      <c r="U495" s="1230"/>
      <c r="V495" s="1230"/>
      <c r="W495" s="1230"/>
      <c r="X495" s="1231"/>
      <c r="Y495" s="1230"/>
    </row>
    <row r="496">
      <c r="A496" s="1234"/>
      <c r="B496" s="1230"/>
      <c r="C496" s="1230"/>
      <c r="D496" s="1230"/>
      <c r="E496" s="1230"/>
      <c r="F496" s="1233"/>
      <c r="G496" s="1230"/>
      <c r="H496" s="1230"/>
      <c r="I496" s="1231"/>
      <c r="J496" s="1230"/>
      <c r="K496" s="1230"/>
      <c r="L496" s="1230"/>
      <c r="M496" s="1230"/>
      <c r="N496" s="1230"/>
      <c r="O496" s="1232"/>
      <c r="P496" s="1230"/>
      <c r="Q496" s="1230"/>
      <c r="R496" s="1230"/>
      <c r="S496" s="1230"/>
      <c r="T496" s="1230"/>
      <c r="U496" s="1230"/>
      <c r="V496" s="1230"/>
      <c r="W496" s="1230"/>
      <c r="X496" s="1231"/>
      <c r="Y496" s="1230"/>
    </row>
    <row r="497">
      <c r="A497" s="1234"/>
      <c r="B497" s="1230"/>
      <c r="C497" s="1230"/>
      <c r="D497" s="1230"/>
      <c r="E497" s="1230"/>
      <c r="F497" s="1233"/>
      <c r="G497" s="1230"/>
      <c r="H497" s="1230"/>
      <c r="I497" s="1231"/>
      <c r="J497" s="1230"/>
      <c r="K497" s="1230"/>
      <c r="L497" s="1230"/>
      <c r="M497" s="1230"/>
      <c r="N497" s="1230"/>
      <c r="O497" s="1232"/>
      <c r="P497" s="1230"/>
      <c r="Q497" s="1230"/>
      <c r="R497" s="1230"/>
      <c r="S497" s="1230"/>
      <c r="T497" s="1230"/>
      <c r="U497" s="1230"/>
      <c r="V497" s="1230"/>
      <c r="W497" s="1230"/>
      <c r="X497" s="1231"/>
      <c r="Y497" s="1230"/>
    </row>
    <row r="498">
      <c r="A498" s="1234"/>
      <c r="B498" s="1230"/>
      <c r="C498" s="1230"/>
      <c r="D498" s="1230"/>
      <c r="E498" s="1230"/>
      <c r="F498" s="1233"/>
      <c r="G498" s="1230"/>
      <c r="H498" s="1230"/>
      <c r="I498" s="1231"/>
      <c r="J498" s="1230"/>
      <c r="K498" s="1230"/>
      <c r="L498" s="1230"/>
      <c r="M498" s="1230"/>
      <c r="N498" s="1230"/>
      <c r="O498" s="1232"/>
      <c r="P498" s="1230"/>
      <c r="Q498" s="1230"/>
      <c r="R498" s="1230"/>
      <c r="S498" s="1230"/>
      <c r="T498" s="1230"/>
      <c r="U498" s="1230"/>
      <c r="V498" s="1230"/>
      <c r="W498" s="1230"/>
      <c r="X498" s="1231"/>
      <c r="Y498" s="1230"/>
    </row>
    <row r="499">
      <c r="A499" s="1234"/>
      <c r="B499" s="1230"/>
      <c r="C499" s="1230"/>
      <c r="D499" s="1230"/>
      <c r="E499" s="1230"/>
      <c r="F499" s="1233"/>
      <c r="G499" s="1230"/>
      <c r="H499" s="1230"/>
      <c r="I499" s="1231"/>
      <c r="J499" s="1230"/>
      <c r="K499" s="1230"/>
      <c r="L499" s="1230"/>
      <c r="M499" s="1230"/>
      <c r="N499" s="1230"/>
      <c r="O499" s="1232"/>
      <c r="P499" s="1230"/>
      <c r="Q499" s="1230"/>
      <c r="R499" s="1230"/>
      <c r="S499" s="1230"/>
      <c r="T499" s="1230"/>
      <c r="U499" s="1230"/>
      <c r="V499" s="1230"/>
      <c r="W499" s="1230"/>
      <c r="X499" s="1231"/>
      <c r="Y499" s="1230"/>
    </row>
    <row r="500">
      <c r="A500" s="1234"/>
      <c r="B500" s="1230"/>
      <c r="C500" s="1230"/>
      <c r="D500" s="1230"/>
      <c r="E500" s="1230"/>
      <c r="F500" s="1233"/>
      <c r="G500" s="1230"/>
      <c r="H500" s="1230"/>
      <c r="I500" s="1231"/>
      <c r="J500" s="1230"/>
      <c r="K500" s="1230"/>
      <c r="L500" s="1230"/>
      <c r="M500" s="1230"/>
      <c r="N500" s="1230"/>
      <c r="O500" s="1232"/>
      <c r="P500" s="1230"/>
      <c r="Q500" s="1230"/>
      <c r="R500" s="1230"/>
      <c r="S500" s="1230"/>
      <c r="T500" s="1230"/>
      <c r="U500" s="1230"/>
      <c r="V500" s="1230"/>
      <c r="W500" s="1230"/>
      <c r="X500" s="1231"/>
      <c r="Y500" s="1230"/>
    </row>
    <row r="501">
      <c r="A501" s="1234"/>
      <c r="B501" s="1230"/>
      <c r="C501" s="1230"/>
      <c r="D501" s="1230"/>
      <c r="E501" s="1230"/>
      <c r="F501" s="1233"/>
      <c r="G501" s="1230"/>
      <c r="H501" s="1230"/>
      <c r="I501" s="1231"/>
      <c r="J501" s="1230"/>
      <c r="K501" s="1230"/>
      <c r="L501" s="1230"/>
      <c r="M501" s="1230"/>
      <c r="N501" s="1230"/>
      <c r="O501" s="1232"/>
      <c r="P501" s="1230"/>
      <c r="Q501" s="1230"/>
      <c r="R501" s="1230"/>
      <c r="S501" s="1230"/>
      <c r="T501" s="1230"/>
      <c r="U501" s="1230"/>
      <c r="V501" s="1230"/>
      <c r="W501" s="1230"/>
      <c r="X501" s="1231"/>
      <c r="Y501" s="1230"/>
    </row>
    <row r="502">
      <c r="A502" s="1234"/>
      <c r="B502" s="1230"/>
      <c r="C502" s="1230"/>
      <c r="D502" s="1230"/>
      <c r="E502" s="1230"/>
      <c r="F502" s="1233"/>
      <c r="G502" s="1230"/>
      <c r="H502" s="1230"/>
      <c r="I502" s="1231"/>
      <c r="J502" s="1230"/>
      <c r="K502" s="1230"/>
      <c r="L502" s="1230"/>
      <c r="M502" s="1230"/>
      <c r="N502" s="1230"/>
      <c r="O502" s="1232"/>
      <c r="P502" s="1230"/>
      <c r="Q502" s="1230"/>
      <c r="R502" s="1230"/>
      <c r="S502" s="1230"/>
      <c r="T502" s="1230"/>
      <c r="U502" s="1230"/>
      <c r="V502" s="1230"/>
      <c r="W502" s="1230"/>
      <c r="X502" s="1231"/>
      <c r="Y502" s="1230"/>
    </row>
    <row r="503">
      <c r="A503" s="1234"/>
      <c r="B503" s="1230"/>
      <c r="C503" s="1230"/>
      <c r="D503" s="1230"/>
      <c r="E503" s="1230"/>
      <c r="F503" s="1233"/>
      <c r="G503" s="1230"/>
      <c r="H503" s="1230"/>
      <c r="I503" s="1231"/>
      <c r="J503" s="1230"/>
      <c r="K503" s="1230"/>
      <c r="L503" s="1230"/>
      <c r="M503" s="1230"/>
      <c r="N503" s="1230"/>
      <c r="O503" s="1232"/>
      <c r="P503" s="1230"/>
      <c r="Q503" s="1230"/>
      <c r="R503" s="1230"/>
      <c r="S503" s="1230"/>
      <c r="T503" s="1230"/>
      <c r="U503" s="1230"/>
      <c r="V503" s="1230"/>
      <c r="W503" s="1230"/>
      <c r="X503" s="1231"/>
      <c r="Y503" s="1230"/>
    </row>
    <row r="504">
      <c r="A504" s="1234"/>
      <c r="B504" s="1230"/>
      <c r="C504" s="1230"/>
      <c r="D504" s="1230"/>
      <c r="E504" s="1230"/>
      <c r="F504" s="1233"/>
      <c r="G504" s="1230"/>
      <c r="H504" s="1230"/>
      <c r="I504" s="1231"/>
      <c r="J504" s="1230"/>
      <c r="K504" s="1230"/>
      <c r="L504" s="1230"/>
      <c r="M504" s="1230"/>
      <c r="N504" s="1230"/>
      <c r="O504" s="1232"/>
      <c r="P504" s="1230"/>
      <c r="Q504" s="1230"/>
      <c r="R504" s="1230"/>
      <c r="S504" s="1230"/>
      <c r="T504" s="1230"/>
      <c r="U504" s="1230"/>
      <c r="V504" s="1230"/>
      <c r="W504" s="1230"/>
      <c r="X504" s="1231"/>
      <c r="Y504" s="1230"/>
    </row>
    <row r="505">
      <c r="A505" s="1234"/>
      <c r="B505" s="1230"/>
      <c r="C505" s="1230"/>
      <c r="D505" s="1230"/>
      <c r="E505" s="1230"/>
      <c r="F505" s="1233"/>
      <c r="G505" s="1230"/>
      <c r="H505" s="1230"/>
      <c r="I505" s="1231"/>
      <c r="J505" s="1230"/>
      <c r="K505" s="1230"/>
      <c r="L505" s="1230"/>
      <c r="M505" s="1230"/>
      <c r="N505" s="1230"/>
      <c r="O505" s="1232"/>
      <c r="P505" s="1230"/>
      <c r="Q505" s="1230"/>
      <c r="R505" s="1230"/>
      <c r="S505" s="1230"/>
      <c r="T505" s="1230"/>
      <c r="U505" s="1230"/>
      <c r="V505" s="1230"/>
      <c r="W505" s="1230"/>
      <c r="X505" s="1231"/>
      <c r="Y505" s="1230"/>
    </row>
    <row r="506">
      <c r="A506" s="1234"/>
      <c r="B506" s="1230"/>
      <c r="C506" s="1230"/>
      <c r="D506" s="1230"/>
      <c r="E506" s="1230"/>
      <c r="F506" s="1233"/>
      <c r="G506" s="1230"/>
      <c r="H506" s="1230"/>
      <c r="I506" s="1231"/>
      <c r="J506" s="1230"/>
      <c r="K506" s="1230"/>
      <c r="L506" s="1230"/>
      <c r="M506" s="1230"/>
      <c r="N506" s="1230"/>
      <c r="O506" s="1232"/>
      <c r="P506" s="1230"/>
      <c r="Q506" s="1230"/>
      <c r="R506" s="1230"/>
      <c r="S506" s="1230"/>
      <c r="T506" s="1230"/>
      <c r="U506" s="1230"/>
      <c r="V506" s="1230"/>
      <c r="W506" s="1230"/>
      <c r="X506" s="1231"/>
      <c r="Y506" s="1230"/>
    </row>
    <row r="507">
      <c r="A507" s="1234"/>
      <c r="B507" s="1230"/>
      <c r="C507" s="1230"/>
      <c r="D507" s="1230"/>
      <c r="E507" s="1230"/>
      <c r="F507" s="1233"/>
      <c r="G507" s="1230"/>
      <c r="H507" s="1230"/>
      <c r="I507" s="1231"/>
      <c r="J507" s="1230"/>
      <c r="K507" s="1230"/>
      <c r="L507" s="1230"/>
      <c r="M507" s="1230"/>
      <c r="N507" s="1230"/>
      <c r="O507" s="1232"/>
      <c r="P507" s="1230"/>
      <c r="Q507" s="1230"/>
      <c r="R507" s="1230"/>
      <c r="S507" s="1230"/>
      <c r="T507" s="1230"/>
      <c r="U507" s="1230"/>
      <c r="V507" s="1230"/>
      <c r="W507" s="1230"/>
      <c r="X507" s="1231"/>
      <c r="Y507" s="1230"/>
    </row>
    <row r="508">
      <c r="A508" s="1234"/>
      <c r="B508" s="1230"/>
      <c r="C508" s="1230"/>
      <c r="D508" s="1230"/>
      <c r="E508" s="1230"/>
      <c r="F508" s="1233"/>
      <c r="G508" s="1230"/>
      <c r="H508" s="1230"/>
      <c r="I508" s="1231"/>
      <c r="J508" s="1230"/>
      <c r="K508" s="1230"/>
      <c r="L508" s="1230"/>
      <c r="M508" s="1230"/>
      <c r="N508" s="1230"/>
      <c r="O508" s="1232"/>
      <c r="P508" s="1230"/>
      <c r="Q508" s="1230"/>
      <c r="R508" s="1230"/>
      <c r="S508" s="1230"/>
      <c r="T508" s="1230"/>
      <c r="U508" s="1230"/>
      <c r="V508" s="1230"/>
      <c r="W508" s="1230"/>
      <c r="X508" s="1231"/>
      <c r="Y508" s="1230"/>
    </row>
    <row r="509">
      <c r="A509" s="1234"/>
      <c r="B509" s="1230"/>
      <c r="C509" s="1230"/>
      <c r="D509" s="1230"/>
      <c r="E509" s="1230"/>
      <c r="F509" s="1233"/>
      <c r="G509" s="1230"/>
      <c r="H509" s="1230"/>
      <c r="I509" s="1231"/>
      <c r="J509" s="1230"/>
      <c r="K509" s="1230"/>
      <c r="L509" s="1230"/>
      <c r="M509" s="1230"/>
      <c r="N509" s="1230"/>
      <c r="O509" s="1232"/>
      <c r="P509" s="1230"/>
      <c r="Q509" s="1230"/>
      <c r="R509" s="1230"/>
      <c r="S509" s="1230"/>
      <c r="T509" s="1230"/>
      <c r="U509" s="1230"/>
      <c r="V509" s="1230"/>
      <c r="W509" s="1230"/>
      <c r="X509" s="1231"/>
      <c r="Y509" s="1230"/>
    </row>
    <row r="510">
      <c r="A510" s="1234"/>
      <c r="B510" s="1230"/>
      <c r="C510" s="1230"/>
      <c r="D510" s="1230"/>
      <c r="E510" s="1230"/>
      <c r="F510" s="1233"/>
      <c r="G510" s="1230"/>
      <c r="H510" s="1230"/>
      <c r="I510" s="1231"/>
      <c r="J510" s="1230"/>
      <c r="K510" s="1230"/>
      <c r="L510" s="1230"/>
      <c r="M510" s="1230"/>
      <c r="N510" s="1230"/>
      <c r="O510" s="1232"/>
      <c r="P510" s="1230"/>
      <c r="Q510" s="1230"/>
      <c r="R510" s="1230"/>
      <c r="S510" s="1230"/>
      <c r="T510" s="1230"/>
      <c r="U510" s="1230"/>
      <c r="V510" s="1230"/>
      <c r="W510" s="1230"/>
      <c r="X510" s="1231"/>
      <c r="Y510" s="1230"/>
    </row>
    <row r="511">
      <c r="A511" s="1234"/>
      <c r="B511" s="1230"/>
      <c r="C511" s="1230"/>
      <c r="D511" s="1230"/>
      <c r="E511" s="1230"/>
      <c r="F511" s="1233"/>
      <c r="G511" s="1230"/>
      <c r="H511" s="1230"/>
      <c r="I511" s="1231"/>
      <c r="J511" s="1230"/>
      <c r="K511" s="1230"/>
      <c r="L511" s="1230"/>
      <c r="M511" s="1230"/>
      <c r="N511" s="1230"/>
      <c r="O511" s="1232"/>
      <c r="P511" s="1230"/>
      <c r="Q511" s="1230"/>
      <c r="R511" s="1230"/>
      <c r="S511" s="1230"/>
      <c r="T511" s="1230"/>
      <c r="U511" s="1230"/>
      <c r="V511" s="1230"/>
      <c r="W511" s="1230"/>
      <c r="X511" s="1231"/>
      <c r="Y511" s="1230"/>
    </row>
    <row r="512">
      <c r="A512" s="1234"/>
      <c r="B512" s="1230"/>
      <c r="C512" s="1230"/>
      <c r="D512" s="1230"/>
      <c r="E512" s="1230"/>
      <c r="F512" s="1233"/>
      <c r="G512" s="1230"/>
      <c r="H512" s="1230"/>
      <c r="I512" s="1231"/>
      <c r="J512" s="1230"/>
      <c r="K512" s="1230"/>
      <c r="L512" s="1230"/>
      <c r="M512" s="1230"/>
      <c r="N512" s="1230"/>
      <c r="O512" s="1232"/>
      <c r="P512" s="1230"/>
      <c r="Q512" s="1230"/>
      <c r="R512" s="1230"/>
      <c r="S512" s="1230"/>
      <c r="T512" s="1230"/>
      <c r="U512" s="1230"/>
      <c r="V512" s="1230"/>
      <c r="W512" s="1230"/>
      <c r="X512" s="1231"/>
      <c r="Y512" s="1230"/>
    </row>
    <row r="513">
      <c r="A513" s="1234"/>
      <c r="B513" s="1230"/>
      <c r="C513" s="1230"/>
      <c r="D513" s="1230"/>
      <c r="E513" s="1230"/>
      <c r="F513" s="1233"/>
      <c r="G513" s="1230"/>
      <c r="H513" s="1230"/>
      <c r="I513" s="1231"/>
      <c r="J513" s="1230"/>
      <c r="K513" s="1230"/>
      <c r="L513" s="1230"/>
      <c r="M513" s="1230"/>
      <c r="N513" s="1230"/>
      <c r="O513" s="1232"/>
      <c r="P513" s="1230"/>
      <c r="Q513" s="1230"/>
      <c r="R513" s="1230"/>
      <c r="S513" s="1230"/>
      <c r="T513" s="1230"/>
      <c r="U513" s="1230"/>
      <c r="V513" s="1230"/>
      <c r="W513" s="1230"/>
      <c r="X513" s="1231"/>
      <c r="Y513" s="1230"/>
    </row>
    <row r="514">
      <c r="A514" s="1234"/>
      <c r="B514" s="1230"/>
      <c r="C514" s="1230"/>
      <c r="D514" s="1230"/>
      <c r="E514" s="1230"/>
      <c r="F514" s="1233"/>
      <c r="G514" s="1230"/>
      <c r="H514" s="1230"/>
      <c r="I514" s="1231"/>
      <c r="J514" s="1230"/>
      <c r="K514" s="1230"/>
      <c r="L514" s="1230"/>
      <c r="M514" s="1230"/>
      <c r="N514" s="1230"/>
      <c r="O514" s="1232"/>
      <c r="P514" s="1230"/>
      <c r="Q514" s="1230"/>
      <c r="R514" s="1230"/>
      <c r="S514" s="1230"/>
      <c r="T514" s="1230"/>
      <c r="U514" s="1230"/>
      <c r="V514" s="1230"/>
      <c r="W514" s="1230"/>
      <c r="X514" s="1231"/>
      <c r="Y514" s="1230"/>
    </row>
    <row r="515">
      <c r="A515" s="1234"/>
      <c r="B515" s="1230"/>
      <c r="C515" s="1230"/>
      <c r="D515" s="1230"/>
      <c r="E515" s="1230"/>
      <c r="F515" s="1233"/>
      <c r="G515" s="1230"/>
      <c r="H515" s="1230"/>
      <c r="I515" s="1231"/>
      <c r="J515" s="1230"/>
      <c r="K515" s="1230"/>
      <c r="L515" s="1230"/>
      <c r="M515" s="1230"/>
      <c r="N515" s="1230"/>
      <c r="O515" s="1232"/>
      <c r="P515" s="1230"/>
      <c r="Q515" s="1230"/>
      <c r="R515" s="1230"/>
      <c r="S515" s="1230"/>
      <c r="T515" s="1230"/>
      <c r="U515" s="1230"/>
      <c r="V515" s="1230"/>
      <c r="W515" s="1230"/>
      <c r="X515" s="1231"/>
      <c r="Y515" s="1230"/>
    </row>
    <row r="516">
      <c r="A516" s="1234"/>
      <c r="B516" s="1230"/>
      <c r="C516" s="1230"/>
      <c r="D516" s="1230"/>
      <c r="E516" s="1230"/>
      <c r="F516" s="1233"/>
      <c r="G516" s="1230"/>
      <c r="H516" s="1230"/>
      <c r="I516" s="1231"/>
      <c r="J516" s="1230"/>
      <c r="K516" s="1230"/>
      <c r="L516" s="1230"/>
      <c r="M516" s="1230"/>
      <c r="N516" s="1230"/>
      <c r="O516" s="1232"/>
      <c r="P516" s="1230"/>
      <c r="Q516" s="1230"/>
      <c r="R516" s="1230"/>
      <c r="S516" s="1230"/>
      <c r="T516" s="1230"/>
      <c r="U516" s="1230"/>
      <c r="V516" s="1230"/>
      <c r="W516" s="1230"/>
      <c r="X516" s="1231"/>
      <c r="Y516" s="1230"/>
    </row>
    <row r="517">
      <c r="A517" s="1234"/>
      <c r="B517" s="1230"/>
      <c r="C517" s="1230"/>
      <c r="D517" s="1230"/>
      <c r="E517" s="1230"/>
      <c r="F517" s="1233"/>
      <c r="G517" s="1230"/>
      <c r="H517" s="1230"/>
      <c r="I517" s="1231"/>
      <c r="J517" s="1230"/>
      <c r="K517" s="1230"/>
      <c r="L517" s="1230"/>
      <c r="M517" s="1230"/>
      <c r="N517" s="1230"/>
      <c r="O517" s="1232"/>
      <c r="P517" s="1230"/>
      <c r="Q517" s="1230"/>
      <c r="R517" s="1230"/>
      <c r="S517" s="1230"/>
      <c r="T517" s="1230"/>
      <c r="U517" s="1230"/>
      <c r="V517" s="1230"/>
      <c r="W517" s="1230"/>
      <c r="X517" s="1231"/>
      <c r="Y517" s="1230"/>
    </row>
    <row r="518">
      <c r="A518" s="1234"/>
      <c r="B518" s="1230"/>
      <c r="C518" s="1230"/>
      <c r="D518" s="1230"/>
      <c r="E518" s="1230"/>
      <c r="F518" s="1233"/>
      <c r="G518" s="1230"/>
      <c r="H518" s="1230"/>
      <c r="I518" s="1231"/>
      <c r="J518" s="1230"/>
      <c r="K518" s="1230"/>
      <c r="L518" s="1230"/>
      <c r="M518" s="1230"/>
      <c r="N518" s="1230"/>
      <c r="O518" s="1232"/>
      <c r="P518" s="1230"/>
      <c r="Q518" s="1230"/>
      <c r="R518" s="1230"/>
      <c r="S518" s="1230"/>
      <c r="T518" s="1230"/>
      <c r="U518" s="1230"/>
      <c r="V518" s="1230"/>
      <c r="W518" s="1230"/>
      <c r="X518" s="1231"/>
      <c r="Y518" s="1230"/>
    </row>
    <row r="519">
      <c r="A519" s="1234"/>
      <c r="B519" s="1230"/>
      <c r="C519" s="1230"/>
      <c r="D519" s="1230"/>
      <c r="E519" s="1230"/>
      <c r="F519" s="1233"/>
      <c r="G519" s="1230"/>
      <c r="H519" s="1230"/>
      <c r="I519" s="1231"/>
      <c r="J519" s="1230"/>
      <c r="K519" s="1230"/>
      <c r="L519" s="1230"/>
      <c r="M519" s="1230"/>
      <c r="N519" s="1230"/>
      <c r="O519" s="1232"/>
      <c r="P519" s="1230"/>
      <c r="Q519" s="1230"/>
      <c r="R519" s="1230"/>
      <c r="S519" s="1230"/>
      <c r="T519" s="1230"/>
      <c r="U519" s="1230"/>
      <c r="V519" s="1230"/>
      <c r="W519" s="1230"/>
      <c r="X519" s="1231"/>
      <c r="Y519" s="1230"/>
    </row>
    <row r="520">
      <c r="A520" s="1234"/>
      <c r="B520" s="1230"/>
      <c r="C520" s="1230"/>
      <c r="D520" s="1230"/>
      <c r="E520" s="1230"/>
      <c r="F520" s="1233"/>
      <c r="G520" s="1230"/>
      <c r="H520" s="1230"/>
      <c r="I520" s="1231"/>
      <c r="J520" s="1230"/>
      <c r="K520" s="1230"/>
      <c r="L520" s="1230"/>
      <c r="M520" s="1230"/>
      <c r="N520" s="1230"/>
      <c r="O520" s="1232"/>
      <c r="P520" s="1230"/>
      <c r="Q520" s="1230"/>
      <c r="R520" s="1230"/>
      <c r="S520" s="1230"/>
      <c r="T520" s="1230"/>
      <c r="U520" s="1230"/>
      <c r="V520" s="1230"/>
      <c r="W520" s="1230"/>
      <c r="X520" s="1231"/>
      <c r="Y520" s="1230"/>
    </row>
    <row r="521">
      <c r="A521" s="1234"/>
      <c r="B521" s="1230"/>
      <c r="C521" s="1230"/>
      <c r="D521" s="1230"/>
      <c r="E521" s="1230"/>
      <c r="F521" s="1233"/>
      <c r="G521" s="1230"/>
      <c r="H521" s="1230"/>
      <c r="I521" s="1231"/>
      <c r="J521" s="1230"/>
      <c r="K521" s="1230"/>
      <c r="L521" s="1230"/>
      <c r="M521" s="1230"/>
      <c r="N521" s="1230"/>
      <c r="O521" s="1232"/>
      <c r="P521" s="1230"/>
      <c r="Q521" s="1230"/>
      <c r="R521" s="1230"/>
      <c r="S521" s="1230"/>
      <c r="T521" s="1230"/>
      <c r="U521" s="1230"/>
      <c r="V521" s="1230"/>
      <c r="W521" s="1230"/>
      <c r="X521" s="1231"/>
      <c r="Y521" s="1230"/>
    </row>
    <row r="522">
      <c r="A522" s="1234"/>
      <c r="B522" s="1230"/>
      <c r="C522" s="1230"/>
      <c r="D522" s="1230"/>
      <c r="E522" s="1230"/>
      <c r="F522" s="1233"/>
      <c r="G522" s="1230"/>
      <c r="H522" s="1230"/>
      <c r="I522" s="1231"/>
      <c r="J522" s="1230"/>
      <c r="K522" s="1230"/>
      <c r="L522" s="1230"/>
      <c r="M522" s="1230"/>
      <c r="N522" s="1230"/>
      <c r="O522" s="1232"/>
      <c r="P522" s="1230"/>
      <c r="Q522" s="1230"/>
      <c r="R522" s="1230"/>
      <c r="S522" s="1230"/>
      <c r="T522" s="1230"/>
      <c r="U522" s="1230"/>
      <c r="V522" s="1230"/>
      <c r="W522" s="1230"/>
      <c r="X522" s="1231"/>
      <c r="Y522" s="1230"/>
    </row>
    <row r="523">
      <c r="A523" s="1234"/>
      <c r="B523" s="1230"/>
      <c r="C523" s="1230"/>
      <c r="D523" s="1230"/>
      <c r="E523" s="1230"/>
      <c r="F523" s="1233"/>
      <c r="G523" s="1230"/>
      <c r="H523" s="1230"/>
      <c r="I523" s="1231"/>
      <c r="J523" s="1230"/>
      <c r="K523" s="1230"/>
      <c r="L523" s="1230"/>
      <c r="M523" s="1230"/>
      <c r="N523" s="1230"/>
      <c r="O523" s="1232"/>
      <c r="P523" s="1230"/>
      <c r="Q523" s="1230"/>
      <c r="R523" s="1230"/>
      <c r="S523" s="1230"/>
      <c r="T523" s="1230"/>
      <c r="U523" s="1230"/>
      <c r="V523" s="1230"/>
      <c r="W523" s="1230"/>
      <c r="X523" s="1231"/>
      <c r="Y523" s="1230"/>
    </row>
    <row r="524">
      <c r="A524" s="1234"/>
      <c r="B524" s="1230"/>
      <c r="C524" s="1230"/>
      <c r="D524" s="1230"/>
      <c r="E524" s="1230"/>
      <c r="F524" s="1233"/>
      <c r="G524" s="1230"/>
      <c r="H524" s="1230"/>
      <c r="I524" s="1231"/>
      <c r="J524" s="1230"/>
      <c r="K524" s="1230"/>
      <c r="L524" s="1230"/>
      <c r="M524" s="1230"/>
      <c r="N524" s="1230"/>
      <c r="O524" s="1232"/>
      <c r="P524" s="1230"/>
      <c r="Q524" s="1230"/>
      <c r="R524" s="1230"/>
      <c r="S524" s="1230"/>
      <c r="T524" s="1230"/>
      <c r="U524" s="1230"/>
      <c r="V524" s="1230"/>
      <c r="W524" s="1230"/>
      <c r="X524" s="1231"/>
      <c r="Y524" s="1230"/>
    </row>
    <row r="525">
      <c r="A525" s="1234"/>
      <c r="B525" s="1230"/>
      <c r="C525" s="1230"/>
      <c r="D525" s="1230"/>
      <c r="E525" s="1230"/>
      <c r="F525" s="1233"/>
      <c r="G525" s="1230"/>
      <c r="H525" s="1230"/>
      <c r="I525" s="1231"/>
      <c r="J525" s="1230"/>
      <c r="K525" s="1230"/>
      <c r="L525" s="1230"/>
      <c r="M525" s="1230"/>
      <c r="N525" s="1230"/>
      <c r="O525" s="1232"/>
      <c r="P525" s="1230"/>
      <c r="Q525" s="1230"/>
      <c r="R525" s="1230"/>
      <c r="S525" s="1230"/>
      <c r="T525" s="1230"/>
      <c r="U525" s="1230"/>
      <c r="V525" s="1230"/>
      <c r="W525" s="1230"/>
      <c r="X525" s="1231"/>
      <c r="Y525" s="1230"/>
    </row>
    <row r="526">
      <c r="A526" s="1234"/>
      <c r="B526" s="1230"/>
      <c r="C526" s="1230"/>
      <c r="D526" s="1230"/>
      <c r="E526" s="1230"/>
      <c r="F526" s="1233"/>
      <c r="G526" s="1230"/>
      <c r="H526" s="1230"/>
      <c r="I526" s="1231"/>
      <c r="J526" s="1230"/>
      <c r="K526" s="1230"/>
      <c r="L526" s="1230"/>
      <c r="M526" s="1230"/>
      <c r="N526" s="1230"/>
      <c r="O526" s="1232"/>
      <c r="P526" s="1230"/>
      <c r="Q526" s="1230"/>
      <c r="R526" s="1230"/>
      <c r="S526" s="1230"/>
      <c r="T526" s="1230"/>
      <c r="U526" s="1230"/>
      <c r="V526" s="1230"/>
      <c r="W526" s="1230"/>
      <c r="X526" s="1231"/>
      <c r="Y526" s="1230"/>
    </row>
    <row r="527">
      <c r="A527" s="1234"/>
      <c r="B527" s="1230"/>
      <c r="C527" s="1230"/>
      <c r="D527" s="1230"/>
      <c r="E527" s="1230"/>
      <c r="F527" s="1233"/>
      <c r="G527" s="1230"/>
      <c r="H527" s="1230"/>
      <c r="I527" s="1231"/>
      <c r="J527" s="1230"/>
      <c r="K527" s="1230"/>
      <c r="L527" s="1230"/>
      <c r="M527" s="1230"/>
      <c r="N527" s="1230"/>
      <c r="O527" s="1232"/>
      <c r="P527" s="1230"/>
      <c r="Q527" s="1230"/>
      <c r="R527" s="1230"/>
      <c r="S527" s="1230"/>
      <c r="T527" s="1230"/>
      <c r="U527" s="1230"/>
      <c r="V527" s="1230"/>
      <c r="W527" s="1230"/>
      <c r="X527" s="1231"/>
      <c r="Y527" s="1230"/>
    </row>
    <row r="528">
      <c r="A528" s="1234"/>
      <c r="B528" s="1230"/>
      <c r="C528" s="1230"/>
      <c r="D528" s="1230"/>
      <c r="E528" s="1230"/>
      <c r="F528" s="1233"/>
      <c r="G528" s="1230"/>
      <c r="H528" s="1230"/>
      <c r="I528" s="1231"/>
      <c r="J528" s="1230"/>
      <c r="K528" s="1230"/>
      <c r="L528" s="1230"/>
      <c r="M528" s="1230"/>
      <c r="N528" s="1230"/>
      <c r="O528" s="1232"/>
      <c r="P528" s="1230"/>
      <c r="Q528" s="1230"/>
      <c r="R528" s="1230"/>
      <c r="S528" s="1230"/>
      <c r="T528" s="1230"/>
      <c r="U528" s="1230"/>
      <c r="V528" s="1230"/>
      <c r="W528" s="1230"/>
      <c r="X528" s="1231"/>
      <c r="Y528" s="1230"/>
    </row>
    <row r="529">
      <c r="A529" s="1234"/>
      <c r="B529" s="1230"/>
      <c r="C529" s="1230"/>
      <c r="D529" s="1230"/>
      <c r="E529" s="1230"/>
      <c r="F529" s="1233"/>
      <c r="G529" s="1230"/>
      <c r="H529" s="1230"/>
      <c r="I529" s="1231"/>
      <c r="J529" s="1230"/>
      <c r="K529" s="1230"/>
      <c r="L529" s="1230"/>
      <c r="M529" s="1230"/>
      <c r="N529" s="1230"/>
      <c r="O529" s="1232"/>
      <c r="P529" s="1230"/>
      <c r="Q529" s="1230"/>
      <c r="R529" s="1230"/>
      <c r="S529" s="1230"/>
      <c r="T529" s="1230"/>
      <c r="U529" s="1230"/>
      <c r="V529" s="1230"/>
      <c r="W529" s="1230"/>
      <c r="X529" s="1231"/>
      <c r="Y529" s="1230"/>
    </row>
    <row r="530">
      <c r="A530" s="1234"/>
      <c r="B530" s="1230"/>
      <c r="C530" s="1230"/>
      <c r="D530" s="1230"/>
      <c r="E530" s="1230"/>
      <c r="F530" s="1233"/>
      <c r="G530" s="1230"/>
      <c r="H530" s="1230"/>
      <c r="I530" s="1231"/>
      <c r="J530" s="1230"/>
      <c r="K530" s="1230"/>
      <c r="L530" s="1230"/>
      <c r="M530" s="1230"/>
      <c r="N530" s="1230"/>
      <c r="O530" s="1232"/>
      <c r="P530" s="1230"/>
      <c r="Q530" s="1230"/>
      <c r="R530" s="1230"/>
      <c r="S530" s="1230"/>
      <c r="T530" s="1230"/>
      <c r="U530" s="1230"/>
      <c r="V530" s="1230"/>
      <c r="W530" s="1230"/>
      <c r="X530" s="1231"/>
      <c r="Y530" s="1230"/>
    </row>
    <row r="531">
      <c r="A531" s="1234"/>
      <c r="B531" s="1230"/>
      <c r="C531" s="1230"/>
      <c r="D531" s="1230"/>
      <c r="E531" s="1230"/>
      <c r="F531" s="1233"/>
      <c r="G531" s="1230"/>
      <c r="H531" s="1230"/>
      <c r="I531" s="1231"/>
      <c r="J531" s="1230"/>
      <c r="K531" s="1230"/>
      <c r="L531" s="1230"/>
      <c r="M531" s="1230"/>
      <c r="N531" s="1230"/>
      <c r="O531" s="1232"/>
      <c r="P531" s="1230"/>
      <c r="Q531" s="1230"/>
      <c r="R531" s="1230"/>
      <c r="S531" s="1230"/>
      <c r="T531" s="1230"/>
      <c r="U531" s="1230"/>
      <c r="V531" s="1230"/>
      <c r="W531" s="1230"/>
      <c r="X531" s="1231"/>
      <c r="Y531" s="1230"/>
    </row>
    <row r="532">
      <c r="A532" s="1234"/>
      <c r="B532" s="1230"/>
      <c r="C532" s="1230"/>
      <c r="D532" s="1230"/>
      <c r="E532" s="1230"/>
      <c r="F532" s="1233"/>
      <c r="G532" s="1230"/>
      <c r="H532" s="1230"/>
      <c r="I532" s="1231"/>
      <c r="J532" s="1230"/>
      <c r="K532" s="1230"/>
      <c r="L532" s="1230"/>
      <c r="M532" s="1230"/>
      <c r="N532" s="1230"/>
      <c r="O532" s="1232"/>
      <c r="P532" s="1230"/>
      <c r="Q532" s="1230"/>
      <c r="R532" s="1230"/>
      <c r="S532" s="1230"/>
      <c r="T532" s="1230"/>
      <c r="U532" s="1230"/>
      <c r="V532" s="1230"/>
      <c r="W532" s="1230"/>
      <c r="X532" s="1231"/>
      <c r="Y532" s="1230"/>
    </row>
    <row r="533">
      <c r="A533" s="1234"/>
      <c r="B533" s="1230"/>
      <c r="C533" s="1230"/>
      <c r="D533" s="1230"/>
      <c r="E533" s="1230"/>
      <c r="F533" s="1233"/>
      <c r="G533" s="1230"/>
      <c r="H533" s="1230"/>
      <c r="I533" s="1231"/>
      <c r="J533" s="1230"/>
      <c r="K533" s="1230"/>
      <c r="L533" s="1230"/>
      <c r="M533" s="1230"/>
      <c r="N533" s="1230"/>
      <c r="O533" s="1232"/>
      <c r="P533" s="1230"/>
      <c r="Q533" s="1230"/>
      <c r="R533" s="1230"/>
      <c r="S533" s="1230"/>
      <c r="T533" s="1230"/>
      <c r="U533" s="1230"/>
      <c r="V533" s="1230"/>
      <c r="W533" s="1230"/>
      <c r="X533" s="1231"/>
      <c r="Y533" s="1230"/>
    </row>
    <row r="534">
      <c r="A534" s="1234"/>
      <c r="B534" s="1230"/>
      <c r="C534" s="1230"/>
      <c r="D534" s="1230"/>
      <c r="E534" s="1230"/>
      <c r="F534" s="1233"/>
      <c r="G534" s="1230"/>
      <c r="H534" s="1230"/>
      <c r="I534" s="1231"/>
      <c r="J534" s="1230"/>
      <c r="K534" s="1230"/>
      <c r="L534" s="1230"/>
      <c r="M534" s="1230"/>
      <c r="N534" s="1230"/>
      <c r="O534" s="1232"/>
      <c r="P534" s="1230"/>
      <c r="Q534" s="1230"/>
      <c r="R534" s="1230"/>
      <c r="S534" s="1230"/>
      <c r="T534" s="1230"/>
      <c r="U534" s="1230"/>
      <c r="V534" s="1230"/>
      <c r="W534" s="1230"/>
      <c r="X534" s="1231"/>
      <c r="Y534" s="1230"/>
    </row>
    <row r="535">
      <c r="A535" s="1234"/>
      <c r="B535" s="1230"/>
      <c r="C535" s="1230"/>
      <c r="D535" s="1230"/>
      <c r="E535" s="1230"/>
      <c r="F535" s="1233"/>
      <c r="G535" s="1230"/>
      <c r="H535" s="1230"/>
      <c r="I535" s="1231"/>
      <c r="J535" s="1230"/>
      <c r="K535" s="1230"/>
      <c r="L535" s="1230"/>
      <c r="M535" s="1230"/>
      <c r="N535" s="1230"/>
      <c r="O535" s="1232"/>
      <c r="P535" s="1230"/>
      <c r="Q535" s="1230"/>
      <c r="R535" s="1230"/>
      <c r="S535" s="1230"/>
      <c r="T535" s="1230"/>
      <c r="U535" s="1230"/>
      <c r="V535" s="1230"/>
      <c r="W535" s="1230"/>
      <c r="X535" s="1231"/>
      <c r="Y535" s="1230"/>
    </row>
    <row r="536">
      <c r="A536" s="1234"/>
      <c r="B536" s="1230"/>
      <c r="C536" s="1230"/>
      <c r="D536" s="1230"/>
      <c r="E536" s="1230"/>
      <c r="F536" s="1233"/>
      <c r="G536" s="1230"/>
      <c r="H536" s="1230"/>
      <c r="I536" s="1231"/>
      <c r="J536" s="1230"/>
      <c r="K536" s="1230"/>
      <c r="L536" s="1230"/>
      <c r="M536" s="1230"/>
      <c r="N536" s="1230"/>
      <c r="O536" s="1232"/>
      <c r="P536" s="1230"/>
      <c r="Q536" s="1230"/>
      <c r="R536" s="1230"/>
      <c r="S536" s="1230"/>
      <c r="T536" s="1230"/>
      <c r="U536" s="1230"/>
      <c r="V536" s="1230"/>
      <c r="W536" s="1230"/>
      <c r="X536" s="1231"/>
      <c r="Y536" s="1230"/>
    </row>
    <row r="537">
      <c r="A537" s="1234"/>
      <c r="B537" s="1230"/>
      <c r="C537" s="1230"/>
      <c r="D537" s="1230"/>
      <c r="E537" s="1230"/>
      <c r="F537" s="1233"/>
      <c r="G537" s="1230"/>
      <c r="H537" s="1230"/>
      <c r="I537" s="1231"/>
      <c r="J537" s="1230"/>
      <c r="K537" s="1230"/>
      <c r="L537" s="1230"/>
      <c r="M537" s="1230"/>
      <c r="N537" s="1230"/>
      <c r="O537" s="1232"/>
      <c r="P537" s="1230"/>
      <c r="Q537" s="1230"/>
      <c r="R537" s="1230"/>
      <c r="S537" s="1230"/>
      <c r="T537" s="1230"/>
      <c r="U537" s="1230"/>
      <c r="V537" s="1230"/>
      <c r="W537" s="1230"/>
      <c r="X537" s="1231"/>
      <c r="Y537" s="1230"/>
    </row>
    <row r="538">
      <c r="A538" s="1234"/>
      <c r="B538" s="1230"/>
      <c r="C538" s="1230"/>
      <c r="D538" s="1230"/>
      <c r="E538" s="1230"/>
      <c r="F538" s="1233"/>
      <c r="G538" s="1230"/>
      <c r="H538" s="1230"/>
      <c r="I538" s="1231"/>
      <c r="J538" s="1230"/>
      <c r="K538" s="1230"/>
      <c r="L538" s="1230"/>
      <c r="M538" s="1230"/>
      <c r="N538" s="1230"/>
      <c r="O538" s="1232"/>
      <c r="P538" s="1230"/>
      <c r="Q538" s="1230"/>
      <c r="R538" s="1230"/>
      <c r="S538" s="1230"/>
      <c r="T538" s="1230"/>
      <c r="U538" s="1230"/>
      <c r="V538" s="1230"/>
      <c r="W538" s="1230"/>
      <c r="X538" s="1231"/>
      <c r="Y538" s="1230"/>
    </row>
    <row r="539">
      <c r="A539" s="1234"/>
      <c r="B539" s="1230"/>
      <c r="C539" s="1230"/>
      <c r="D539" s="1230"/>
      <c r="E539" s="1230"/>
      <c r="F539" s="1233"/>
      <c r="G539" s="1230"/>
      <c r="H539" s="1230"/>
      <c r="I539" s="1231"/>
      <c r="J539" s="1230"/>
      <c r="K539" s="1230"/>
      <c r="L539" s="1230"/>
      <c r="M539" s="1230"/>
      <c r="N539" s="1230"/>
      <c r="O539" s="1232"/>
      <c r="P539" s="1230"/>
      <c r="Q539" s="1230"/>
      <c r="R539" s="1230"/>
      <c r="S539" s="1230"/>
      <c r="T539" s="1230"/>
      <c r="U539" s="1230"/>
      <c r="V539" s="1230"/>
      <c r="W539" s="1230"/>
      <c r="X539" s="1231"/>
      <c r="Y539" s="1230"/>
    </row>
    <row r="540">
      <c r="A540" s="1234"/>
      <c r="B540" s="1230"/>
      <c r="C540" s="1230"/>
      <c r="D540" s="1230"/>
      <c r="E540" s="1230"/>
      <c r="F540" s="1233"/>
      <c r="G540" s="1230"/>
      <c r="H540" s="1230"/>
      <c r="I540" s="1231"/>
      <c r="J540" s="1230"/>
      <c r="K540" s="1230"/>
      <c r="L540" s="1230"/>
      <c r="M540" s="1230"/>
      <c r="N540" s="1230"/>
      <c r="O540" s="1232"/>
      <c r="P540" s="1230"/>
      <c r="Q540" s="1230"/>
      <c r="R540" s="1230"/>
      <c r="S540" s="1230"/>
      <c r="T540" s="1230"/>
      <c r="U540" s="1230"/>
      <c r="V540" s="1230"/>
      <c r="W540" s="1230"/>
      <c r="X540" s="1231"/>
      <c r="Y540" s="1230"/>
    </row>
    <row r="541">
      <c r="A541" s="1234"/>
      <c r="B541" s="1230"/>
      <c r="C541" s="1230"/>
      <c r="D541" s="1230"/>
      <c r="E541" s="1230"/>
      <c r="F541" s="1233"/>
      <c r="G541" s="1230"/>
      <c r="H541" s="1230"/>
      <c r="I541" s="1231"/>
      <c r="J541" s="1230"/>
      <c r="K541" s="1230"/>
      <c r="L541" s="1230"/>
      <c r="M541" s="1230"/>
      <c r="N541" s="1230"/>
      <c r="O541" s="1232"/>
      <c r="P541" s="1230"/>
      <c r="Q541" s="1230"/>
      <c r="R541" s="1230"/>
      <c r="S541" s="1230"/>
      <c r="T541" s="1230"/>
      <c r="U541" s="1230"/>
      <c r="V541" s="1230"/>
      <c r="W541" s="1230"/>
      <c r="X541" s="1231"/>
      <c r="Y541" s="1230"/>
    </row>
    <row r="542">
      <c r="A542" s="1234"/>
      <c r="B542" s="1230"/>
      <c r="C542" s="1230"/>
      <c r="D542" s="1230"/>
      <c r="E542" s="1230"/>
      <c r="F542" s="1233"/>
      <c r="G542" s="1230"/>
      <c r="H542" s="1230"/>
      <c r="I542" s="1231"/>
      <c r="J542" s="1230"/>
      <c r="K542" s="1230"/>
      <c r="L542" s="1230"/>
      <c r="M542" s="1230"/>
      <c r="N542" s="1230"/>
      <c r="O542" s="1232"/>
      <c r="P542" s="1230"/>
      <c r="Q542" s="1230"/>
      <c r="R542" s="1230"/>
      <c r="S542" s="1230"/>
      <c r="T542" s="1230"/>
      <c r="U542" s="1230"/>
      <c r="V542" s="1230"/>
      <c r="W542" s="1230"/>
      <c r="X542" s="1231"/>
      <c r="Y542" s="1230"/>
    </row>
    <row r="543">
      <c r="A543" s="1234"/>
      <c r="B543" s="1230"/>
      <c r="C543" s="1230"/>
      <c r="D543" s="1230"/>
      <c r="E543" s="1230"/>
      <c r="F543" s="1233"/>
      <c r="G543" s="1230"/>
      <c r="H543" s="1230"/>
      <c r="I543" s="1231"/>
      <c r="J543" s="1230"/>
      <c r="K543" s="1230"/>
      <c r="L543" s="1230"/>
      <c r="M543" s="1230"/>
      <c r="N543" s="1230"/>
      <c r="O543" s="1232"/>
      <c r="P543" s="1230"/>
      <c r="Q543" s="1230"/>
      <c r="R543" s="1230"/>
      <c r="S543" s="1230"/>
      <c r="T543" s="1230"/>
      <c r="U543" s="1230"/>
      <c r="V543" s="1230"/>
      <c r="W543" s="1230"/>
      <c r="X543" s="1231"/>
      <c r="Y543" s="1230"/>
    </row>
    <row r="544">
      <c r="A544" s="1234"/>
      <c r="B544" s="1230"/>
      <c r="C544" s="1230"/>
      <c r="D544" s="1230"/>
      <c r="E544" s="1230"/>
      <c r="F544" s="1233"/>
      <c r="G544" s="1230"/>
      <c r="H544" s="1230"/>
      <c r="I544" s="1231"/>
      <c r="J544" s="1230"/>
      <c r="K544" s="1230"/>
      <c r="L544" s="1230"/>
      <c r="M544" s="1230"/>
      <c r="N544" s="1230"/>
      <c r="O544" s="1232"/>
      <c r="P544" s="1230"/>
      <c r="Q544" s="1230"/>
      <c r="R544" s="1230"/>
      <c r="S544" s="1230"/>
      <c r="T544" s="1230"/>
      <c r="U544" s="1230"/>
      <c r="V544" s="1230"/>
      <c r="W544" s="1230"/>
      <c r="X544" s="1231"/>
      <c r="Y544" s="1230"/>
    </row>
    <row r="545">
      <c r="A545" s="1234"/>
      <c r="B545" s="1230"/>
      <c r="C545" s="1230"/>
      <c r="D545" s="1230"/>
      <c r="E545" s="1230"/>
      <c r="F545" s="1233"/>
      <c r="G545" s="1230"/>
      <c r="H545" s="1230"/>
      <c r="I545" s="1231"/>
      <c r="J545" s="1230"/>
      <c r="K545" s="1230"/>
      <c r="L545" s="1230"/>
      <c r="M545" s="1230"/>
      <c r="N545" s="1230"/>
      <c r="O545" s="1232"/>
      <c r="P545" s="1230"/>
      <c r="Q545" s="1230"/>
      <c r="R545" s="1230"/>
      <c r="S545" s="1230"/>
      <c r="T545" s="1230"/>
      <c r="U545" s="1230"/>
      <c r="V545" s="1230"/>
      <c r="W545" s="1230"/>
      <c r="X545" s="1231"/>
      <c r="Y545" s="1230"/>
    </row>
    <row r="546">
      <c r="A546" s="1234"/>
      <c r="B546" s="1230"/>
      <c r="C546" s="1230"/>
      <c r="D546" s="1230"/>
      <c r="E546" s="1230"/>
      <c r="F546" s="1233"/>
      <c r="G546" s="1230"/>
      <c r="H546" s="1230"/>
      <c r="I546" s="1231"/>
      <c r="J546" s="1230"/>
      <c r="K546" s="1230"/>
      <c r="L546" s="1230"/>
      <c r="M546" s="1230"/>
      <c r="N546" s="1230"/>
      <c r="O546" s="1232"/>
      <c r="P546" s="1230"/>
      <c r="Q546" s="1230"/>
      <c r="R546" s="1230"/>
      <c r="S546" s="1230"/>
      <c r="T546" s="1230"/>
      <c r="U546" s="1230"/>
      <c r="V546" s="1230"/>
      <c r="W546" s="1230"/>
      <c r="X546" s="1231"/>
      <c r="Y546" s="1230"/>
    </row>
    <row r="547">
      <c r="A547" s="1234"/>
      <c r="B547" s="1230"/>
      <c r="C547" s="1230"/>
      <c r="D547" s="1230"/>
      <c r="E547" s="1230"/>
      <c r="F547" s="1233"/>
      <c r="G547" s="1230"/>
      <c r="H547" s="1230"/>
      <c r="I547" s="1231"/>
      <c r="J547" s="1230"/>
      <c r="K547" s="1230"/>
      <c r="L547" s="1230"/>
      <c r="M547" s="1230"/>
      <c r="N547" s="1230"/>
      <c r="O547" s="1232"/>
      <c r="P547" s="1230"/>
      <c r="Q547" s="1230"/>
      <c r="R547" s="1230"/>
      <c r="S547" s="1230"/>
      <c r="T547" s="1230"/>
      <c r="U547" s="1230"/>
      <c r="V547" s="1230"/>
      <c r="W547" s="1230"/>
      <c r="X547" s="1231"/>
      <c r="Y547" s="1230"/>
    </row>
    <row r="548">
      <c r="A548" s="1234"/>
      <c r="B548" s="1230"/>
      <c r="C548" s="1230"/>
      <c r="D548" s="1230"/>
      <c r="E548" s="1230"/>
      <c r="F548" s="1233"/>
      <c r="G548" s="1230"/>
      <c r="H548" s="1230"/>
      <c r="I548" s="1231"/>
      <c r="J548" s="1230"/>
      <c r="K548" s="1230"/>
      <c r="L548" s="1230"/>
      <c r="M548" s="1230"/>
      <c r="N548" s="1230"/>
      <c r="O548" s="1232"/>
      <c r="P548" s="1230"/>
      <c r="Q548" s="1230"/>
      <c r="R548" s="1230"/>
      <c r="S548" s="1230"/>
      <c r="T548" s="1230"/>
      <c r="U548" s="1230"/>
      <c r="V548" s="1230"/>
      <c r="W548" s="1230"/>
      <c r="X548" s="1231"/>
      <c r="Y548" s="1230"/>
    </row>
    <row r="549">
      <c r="A549" s="1234"/>
      <c r="B549" s="1230"/>
      <c r="C549" s="1230"/>
      <c r="D549" s="1230"/>
      <c r="E549" s="1230"/>
      <c r="F549" s="1233"/>
      <c r="G549" s="1230"/>
      <c r="H549" s="1230"/>
      <c r="I549" s="1231"/>
      <c r="J549" s="1230"/>
      <c r="K549" s="1230"/>
      <c r="L549" s="1230"/>
      <c r="M549" s="1230"/>
      <c r="N549" s="1230"/>
      <c r="O549" s="1232"/>
      <c r="P549" s="1230"/>
      <c r="Q549" s="1230"/>
      <c r="R549" s="1230"/>
      <c r="S549" s="1230"/>
      <c r="T549" s="1230"/>
      <c r="U549" s="1230"/>
      <c r="V549" s="1230"/>
      <c r="W549" s="1230"/>
      <c r="X549" s="1231"/>
      <c r="Y549" s="1230"/>
    </row>
    <row r="550">
      <c r="A550" s="1234"/>
      <c r="B550" s="1230"/>
      <c r="C550" s="1230"/>
      <c r="D550" s="1230"/>
      <c r="E550" s="1230"/>
      <c r="F550" s="1233"/>
      <c r="G550" s="1230"/>
      <c r="H550" s="1230"/>
      <c r="I550" s="1231"/>
      <c r="J550" s="1230"/>
      <c r="K550" s="1230"/>
      <c r="L550" s="1230"/>
      <c r="M550" s="1230"/>
      <c r="N550" s="1230"/>
      <c r="O550" s="1232"/>
      <c r="P550" s="1230"/>
      <c r="Q550" s="1230"/>
      <c r="R550" s="1230"/>
      <c r="S550" s="1230"/>
      <c r="T550" s="1230"/>
      <c r="U550" s="1230"/>
      <c r="V550" s="1230"/>
      <c r="W550" s="1230"/>
      <c r="X550" s="1231"/>
      <c r="Y550" s="1230"/>
    </row>
    <row r="551">
      <c r="A551" s="1234"/>
      <c r="B551" s="1230"/>
      <c r="C551" s="1230"/>
      <c r="D551" s="1230"/>
      <c r="E551" s="1230"/>
      <c r="F551" s="1233"/>
      <c r="G551" s="1230"/>
      <c r="H551" s="1230"/>
      <c r="I551" s="1231"/>
      <c r="J551" s="1230"/>
      <c r="K551" s="1230"/>
      <c r="L551" s="1230"/>
      <c r="M551" s="1230"/>
      <c r="N551" s="1230"/>
      <c r="O551" s="1232"/>
      <c r="P551" s="1230"/>
      <c r="Q551" s="1230"/>
      <c r="R551" s="1230"/>
      <c r="S551" s="1230"/>
      <c r="T551" s="1230"/>
      <c r="U551" s="1230"/>
      <c r="V551" s="1230"/>
      <c r="W551" s="1230"/>
      <c r="X551" s="1231"/>
      <c r="Y551" s="1230"/>
    </row>
    <row r="552">
      <c r="A552" s="1234"/>
      <c r="B552" s="1230"/>
      <c r="C552" s="1230"/>
      <c r="D552" s="1230"/>
      <c r="E552" s="1230"/>
      <c r="F552" s="1233"/>
      <c r="G552" s="1230"/>
      <c r="H552" s="1230"/>
      <c r="I552" s="1231"/>
      <c r="J552" s="1230"/>
      <c r="K552" s="1230"/>
      <c r="L552" s="1230"/>
      <c r="M552" s="1230"/>
      <c r="N552" s="1230"/>
      <c r="O552" s="1232"/>
      <c r="P552" s="1230"/>
      <c r="Q552" s="1230"/>
      <c r="R552" s="1230"/>
      <c r="S552" s="1230"/>
      <c r="T552" s="1230"/>
      <c r="U552" s="1230"/>
      <c r="V552" s="1230"/>
      <c r="W552" s="1230"/>
      <c r="X552" s="1231"/>
      <c r="Y552" s="1230"/>
    </row>
    <row r="553">
      <c r="A553" s="1234"/>
      <c r="B553" s="1230"/>
      <c r="C553" s="1230"/>
      <c r="D553" s="1230"/>
      <c r="E553" s="1230"/>
      <c r="F553" s="1233"/>
      <c r="G553" s="1230"/>
      <c r="H553" s="1230"/>
      <c r="I553" s="1231"/>
      <c r="J553" s="1230"/>
      <c r="K553" s="1230"/>
      <c r="L553" s="1230"/>
      <c r="M553" s="1230"/>
      <c r="N553" s="1230"/>
      <c r="O553" s="1232"/>
      <c r="P553" s="1230"/>
      <c r="Q553" s="1230"/>
      <c r="R553" s="1230"/>
      <c r="S553" s="1230"/>
      <c r="T553" s="1230"/>
      <c r="U553" s="1230"/>
      <c r="V553" s="1230"/>
      <c r="W553" s="1230"/>
      <c r="X553" s="1231"/>
      <c r="Y553" s="1230"/>
    </row>
    <row r="554">
      <c r="A554" s="1234"/>
      <c r="B554" s="1230"/>
      <c r="C554" s="1230"/>
      <c r="D554" s="1230"/>
      <c r="E554" s="1230"/>
      <c r="F554" s="1233"/>
      <c r="G554" s="1230"/>
      <c r="H554" s="1230"/>
      <c r="I554" s="1231"/>
      <c r="J554" s="1230"/>
      <c r="K554" s="1230"/>
      <c r="L554" s="1230"/>
      <c r="M554" s="1230"/>
      <c r="N554" s="1230"/>
      <c r="O554" s="1232"/>
      <c r="P554" s="1230"/>
      <c r="Q554" s="1230"/>
      <c r="R554" s="1230"/>
      <c r="S554" s="1230"/>
      <c r="T554" s="1230"/>
      <c r="U554" s="1230"/>
      <c r="V554" s="1230"/>
      <c r="W554" s="1230"/>
      <c r="X554" s="1231"/>
      <c r="Y554" s="1230"/>
    </row>
    <row r="555">
      <c r="A555" s="1234"/>
      <c r="B555" s="1230"/>
      <c r="C555" s="1230"/>
      <c r="D555" s="1230"/>
      <c r="E555" s="1230"/>
      <c r="F555" s="1233"/>
      <c r="G555" s="1230"/>
      <c r="H555" s="1230"/>
      <c r="I555" s="1231"/>
      <c r="J555" s="1230"/>
      <c r="K555" s="1230"/>
      <c r="L555" s="1230"/>
      <c r="M555" s="1230"/>
      <c r="N555" s="1230"/>
      <c r="O555" s="1232"/>
      <c r="P555" s="1230"/>
      <c r="Q555" s="1230"/>
      <c r="R555" s="1230"/>
      <c r="S555" s="1230"/>
      <c r="T555" s="1230"/>
      <c r="U555" s="1230"/>
      <c r="V555" s="1230"/>
      <c r="W555" s="1230"/>
      <c r="X555" s="1231"/>
      <c r="Y555" s="1230"/>
    </row>
    <row r="556">
      <c r="A556" s="1234"/>
      <c r="B556" s="1230"/>
      <c r="C556" s="1230"/>
      <c r="D556" s="1230"/>
      <c r="E556" s="1230"/>
      <c r="F556" s="1233"/>
      <c r="G556" s="1230"/>
      <c r="H556" s="1230"/>
      <c r="I556" s="1231"/>
      <c r="J556" s="1230"/>
      <c r="K556" s="1230"/>
      <c r="L556" s="1230"/>
      <c r="M556" s="1230"/>
      <c r="N556" s="1230"/>
      <c r="O556" s="1232"/>
      <c r="P556" s="1230"/>
      <c r="Q556" s="1230"/>
      <c r="R556" s="1230"/>
      <c r="S556" s="1230"/>
      <c r="T556" s="1230"/>
      <c r="U556" s="1230"/>
      <c r="V556" s="1230"/>
      <c r="W556" s="1230"/>
      <c r="X556" s="1231"/>
      <c r="Y556" s="1230"/>
    </row>
    <row r="557">
      <c r="A557" s="1234"/>
      <c r="B557" s="1230"/>
      <c r="C557" s="1230"/>
      <c r="D557" s="1230"/>
      <c r="E557" s="1230"/>
      <c r="F557" s="1233"/>
      <c r="G557" s="1230"/>
      <c r="H557" s="1230"/>
      <c r="I557" s="1231"/>
      <c r="J557" s="1230"/>
      <c r="K557" s="1230"/>
      <c r="L557" s="1230"/>
      <c r="M557" s="1230"/>
      <c r="N557" s="1230"/>
      <c r="O557" s="1232"/>
      <c r="P557" s="1230"/>
      <c r="Q557" s="1230"/>
      <c r="R557" s="1230"/>
      <c r="S557" s="1230"/>
      <c r="T557" s="1230"/>
      <c r="U557" s="1230"/>
      <c r="V557" s="1230"/>
      <c r="W557" s="1230"/>
      <c r="X557" s="1231"/>
      <c r="Y557" s="1230"/>
    </row>
    <row r="558">
      <c r="A558" s="1234"/>
      <c r="B558" s="1230"/>
      <c r="C558" s="1230"/>
      <c r="D558" s="1230"/>
      <c r="E558" s="1230"/>
      <c r="F558" s="1233"/>
      <c r="G558" s="1230"/>
      <c r="H558" s="1230"/>
      <c r="I558" s="1231"/>
      <c r="J558" s="1230"/>
      <c r="K558" s="1230"/>
      <c r="L558" s="1230"/>
      <c r="M558" s="1230"/>
      <c r="N558" s="1230"/>
      <c r="O558" s="1232"/>
      <c r="P558" s="1230"/>
      <c r="Q558" s="1230"/>
      <c r="R558" s="1230"/>
      <c r="S558" s="1230"/>
      <c r="T558" s="1230"/>
      <c r="U558" s="1230"/>
      <c r="V558" s="1230"/>
      <c r="W558" s="1230"/>
      <c r="X558" s="1231"/>
      <c r="Y558" s="1230"/>
    </row>
    <row r="559">
      <c r="A559" s="1234"/>
      <c r="B559" s="1230"/>
      <c r="C559" s="1230"/>
      <c r="D559" s="1230"/>
      <c r="E559" s="1230"/>
      <c r="F559" s="1233"/>
      <c r="G559" s="1230"/>
      <c r="H559" s="1230"/>
      <c r="I559" s="1231"/>
      <c r="J559" s="1230"/>
      <c r="K559" s="1230"/>
      <c r="L559" s="1230"/>
      <c r="M559" s="1230"/>
      <c r="N559" s="1230"/>
      <c r="O559" s="1232"/>
      <c r="P559" s="1230"/>
      <c r="Q559" s="1230"/>
      <c r="R559" s="1230"/>
      <c r="S559" s="1230"/>
      <c r="T559" s="1230"/>
      <c r="U559" s="1230"/>
      <c r="V559" s="1230"/>
      <c r="W559" s="1230"/>
      <c r="X559" s="1231"/>
      <c r="Y559" s="1230"/>
    </row>
    <row r="560">
      <c r="A560" s="1234"/>
      <c r="B560" s="1230"/>
      <c r="C560" s="1230"/>
      <c r="D560" s="1230"/>
      <c r="E560" s="1230"/>
      <c r="F560" s="1233"/>
      <c r="G560" s="1230"/>
      <c r="H560" s="1230"/>
      <c r="I560" s="1231"/>
      <c r="J560" s="1230"/>
      <c r="K560" s="1230"/>
      <c r="L560" s="1230"/>
      <c r="M560" s="1230"/>
      <c r="N560" s="1230"/>
      <c r="O560" s="1232"/>
      <c r="P560" s="1230"/>
      <c r="Q560" s="1230"/>
      <c r="R560" s="1230"/>
      <c r="S560" s="1230"/>
      <c r="T560" s="1230"/>
      <c r="U560" s="1230"/>
      <c r="V560" s="1230"/>
      <c r="W560" s="1230"/>
      <c r="X560" s="1231"/>
      <c r="Y560" s="1230"/>
    </row>
    <row r="561">
      <c r="A561" s="1234"/>
      <c r="B561" s="1230"/>
      <c r="C561" s="1230"/>
      <c r="D561" s="1230"/>
      <c r="E561" s="1230"/>
      <c r="F561" s="1233"/>
      <c r="G561" s="1230"/>
      <c r="H561" s="1230"/>
      <c r="I561" s="1231"/>
      <c r="J561" s="1230"/>
      <c r="K561" s="1230"/>
      <c r="L561" s="1230"/>
      <c r="M561" s="1230"/>
      <c r="N561" s="1230"/>
      <c r="O561" s="1232"/>
      <c r="P561" s="1230"/>
      <c r="Q561" s="1230"/>
      <c r="R561" s="1230"/>
      <c r="S561" s="1230"/>
      <c r="T561" s="1230"/>
      <c r="U561" s="1230"/>
      <c r="V561" s="1230"/>
      <c r="W561" s="1230"/>
      <c r="X561" s="1231"/>
      <c r="Y561" s="1230"/>
    </row>
    <row r="562">
      <c r="A562" s="1234"/>
      <c r="B562" s="1230"/>
      <c r="C562" s="1230"/>
      <c r="D562" s="1230"/>
      <c r="E562" s="1230"/>
      <c r="F562" s="1233"/>
      <c r="G562" s="1230"/>
      <c r="H562" s="1230"/>
      <c r="I562" s="1231"/>
      <c r="J562" s="1230"/>
      <c r="K562" s="1230"/>
      <c r="L562" s="1230"/>
      <c r="M562" s="1230"/>
      <c r="N562" s="1230"/>
      <c r="O562" s="1232"/>
      <c r="P562" s="1230"/>
      <c r="Q562" s="1230"/>
      <c r="R562" s="1230"/>
      <c r="S562" s="1230"/>
      <c r="T562" s="1230"/>
      <c r="U562" s="1230"/>
      <c r="V562" s="1230"/>
      <c r="W562" s="1230"/>
      <c r="X562" s="1231"/>
      <c r="Y562" s="1230"/>
    </row>
    <row r="563">
      <c r="A563" s="1234"/>
      <c r="B563" s="1230"/>
      <c r="C563" s="1230"/>
      <c r="D563" s="1230"/>
      <c r="E563" s="1230"/>
      <c r="F563" s="1233"/>
      <c r="G563" s="1230"/>
      <c r="H563" s="1230"/>
      <c r="I563" s="1231"/>
      <c r="J563" s="1230"/>
      <c r="K563" s="1230"/>
      <c r="L563" s="1230"/>
      <c r="M563" s="1230"/>
      <c r="N563" s="1230"/>
      <c r="O563" s="1232"/>
      <c r="P563" s="1230"/>
      <c r="Q563" s="1230"/>
      <c r="R563" s="1230"/>
      <c r="S563" s="1230"/>
      <c r="T563" s="1230"/>
      <c r="U563" s="1230"/>
      <c r="V563" s="1230"/>
      <c r="W563" s="1230"/>
      <c r="X563" s="1231"/>
      <c r="Y563" s="1230"/>
    </row>
    <row r="564">
      <c r="A564" s="1234"/>
      <c r="B564" s="1230"/>
      <c r="C564" s="1230"/>
      <c r="D564" s="1230"/>
      <c r="E564" s="1230"/>
      <c r="F564" s="1233"/>
      <c r="G564" s="1230"/>
      <c r="H564" s="1230"/>
      <c r="I564" s="1231"/>
      <c r="J564" s="1230"/>
      <c r="K564" s="1230"/>
      <c r="L564" s="1230"/>
      <c r="M564" s="1230"/>
      <c r="N564" s="1230"/>
      <c r="O564" s="1232"/>
      <c r="P564" s="1230"/>
      <c r="Q564" s="1230"/>
      <c r="R564" s="1230"/>
      <c r="S564" s="1230"/>
      <c r="T564" s="1230"/>
      <c r="U564" s="1230"/>
      <c r="V564" s="1230"/>
      <c r="W564" s="1230"/>
      <c r="X564" s="1231"/>
      <c r="Y564" s="1230"/>
    </row>
    <row r="565">
      <c r="A565" s="1234"/>
      <c r="B565" s="1230"/>
      <c r="C565" s="1230"/>
      <c r="D565" s="1230"/>
      <c r="E565" s="1230"/>
      <c r="F565" s="1233"/>
      <c r="G565" s="1230"/>
      <c r="H565" s="1230"/>
      <c r="I565" s="1231"/>
      <c r="J565" s="1230"/>
      <c r="K565" s="1230"/>
      <c r="L565" s="1230"/>
      <c r="M565" s="1230"/>
      <c r="N565" s="1230"/>
      <c r="O565" s="1232"/>
      <c r="P565" s="1230"/>
      <c r="Q565" s="1230"/>
      <c r="R565" s="1230"/>
      <c r="S565" s="1230"/>
      <c r="T565" s="1230"/>
      <c r="U565" s="1230"/>
      <c r="V565" s="1230"/>
      <c r="W565" s="1230"/>
      <c r="X565" s="1231"/>
      <c r="Y565" s="1230"/>
    </row>
    <row r="566">
      <c r="A566" s="1234"/>
      <c r="B566" s="1230"/>
      <c r="C566" s="1230"/>
      <c r="D566" s="1230"/>
      <c r="E566" s="1230"/>
      <c r="F566" s="1233"/>
      <c r="G566" s="1230"/>
      <c r="H566" s="1230"/>
      <c r="I566" s="1231"/>
      <c r="J566" s="1230"/>
      <c r="K566" s="1230"/>
      <c r="L566" s="1230"/>
      <c r="M566" s="1230"/>
      <c r="N566" s="1230"/>
      <c r="O566" s="1232"/>
      <c r="P566" s="1230"/>
      <c r="Q566" s="1230"/>
      <c r="R566" s="1230"/>
      <c r="S566" s="1230"/>
      <c r="T566" s="1230"/>
      <c r="U566" s="1230"/>
      <c r="V566" s="1230"/>
      <c r="W566" s="1230"/>
      <c r="X566" s="1231"/>
      <c r="Y566" s="1230"/>
    </row>
    <row r="567">
      <c r="A567" s="1234"/>
      <c r="B567" s="1230"/>
      <c r="C567" s="1230"/>
      <c r="D567" s="1230"/>
      <c r="E567" s="1230"/>
      <c r="F567" s="1233"/>
      <c r="G567" s="1230"/>
      <c r="H567" s="1230"/>
      <c r="I567" s="1231"/>
      <c r="J567" s="1230"/>
      <c r="K567" s="1230"/>
      <c r="L567" s="1230"/>
      <c r="M567" s="1230"/>
      <c r="N567" s="1230"/>
      <c r="O567" s="1232"/>
      <c r="P567" s="1230"/>
      <c r="Q567" s="1230"/>
      <c r="R567" s="1230"/>
      <c r="S567" s="1230"/>
      <c r="T567" s="1230"/>
      <c r="U567" s="1230"/>
      <c r="V567" s="1230"/>
      <c r="W567" s="1230"/>
      <c r="X567" s="1231"/>
      <c r="Y567" s="1230"/>
    </row>
    <row r="568">
      <c r="A568" s="1234"/>
      <c r="B568" s="1230"/>
      <c r="C568" s="1230"/>
      <c r="D568" s="1230"/>
      <c r="E568" s="1230"/>
      <c r="F568" s="1233"/>
      <c r="G568" s="1230"/>
      <c r="H568" s="1230"/>
      <c r="I568" s="1231"/>
      <c r="J568" s="1230"/>
      <c r="K568" s="1230"/>
      <c r="L568" s="1230"/>
      <c r="M568" s="1230"/>
      <c r="N568" s="1230"/>
      <c r="O568" s="1232"/>
      <c r="P568" s="1230"/>
      <c r="Q568" s="1230"/>
      <c r="R568" s="1230"/>
      <c r="S568" s="1230"/>
      <c r="T568" s="1230"/>
      <c r="U568" s="1230"/>
      <c r="V568" s="1230"/>
      <c r="W568" s="1230"/>
      <c r="X568" s="1231"/>
      <c r="Y568" s="1230"/>
    </row>
    <row r="569">
      <c r="A569" s="1234"/>
      <c r="B569" s="1230"/>
      <c r="C569" s="1230"/>
      <c r="D569" s="1230"/>
      <c r="E569" s="1230"/>
      <c r="F569" s="1233"/>
      <c r="G569" s="1230"/>
      <c r="H569" s="1230"/>
      <c r="I569" s="1231"/>
      <c r="J569" s="1230"/>
      <c r="K569" s="1230"/>
      <c r="L569" s="1230"/>
      <c r="M569" s="1230"/>
      <c r="N569" s="1230"/>
      <c r="O569" s="1232"/>
      <c r="P569" s="1230"/>
      <c r="Q569" s="1230"/>
      <c r="R569" s="1230"/>
      <c r="S569" s="1230"/>
      <c r="T569" s="1230"/>
      <c r="U569" s="1230"/>
      <c r="V569" s="1230"/>
      <c r="W569" s="1230"/>
      <c r="X569" s="1231"/>
      <c r="Y569" s="1230"/>
    </row>
    <row r="570">
      <c r="A570" s="1234"/>
      <c r="B570" s="1230"/>
      <c r="C570" s="1230"/>
      <c r="D570" s="1230"/>
      <c r="E570" s="1230"/>
      <c r="F570" s="1233"/>
      <c r="G570" s="1230"/>
      <c r="H570" s="1230"/>
      <c r="I570" s="1231"/>
      <c r="J570" s="1230"/>
      <c r="K570" s="1230"/>
      <c r="L570" s="1230"/>
      <c r="M570" s="1230"/>
      <c r="N570" s="1230"/>
      <c r="O570" s="1232"/>
      <c r="P570" s="1230"/>
      <c r="Q570" s="1230"/>
      <c r="R570" s="1230"/>
      <c r="S570" s="1230"/>
      <c r="T570" s="1230"/>
      <c r="U570" s="1230"/>
      <c r="V570" s="1230"/>
      <c r="W570" s="1230"/>
      <c r="X570" s="1231"/>
      <c r="Y570" s="1230"/>
    </row>
    <row r="571">
      <c r="A571" s="1234"/>
      <c r="B571" s="1230"/>
      <c r="C571" s="1230"/>
      <c r="D571" s="1230"/>
      <c r="E571" s="1230"/>
      <c r="F571" s="1233"/>
      <c r="G571" s="1230"/>
      <c r="H571" s="1230"/>
      <c r="I571" s="1231"/>
      <c r="J571" s="1230"/>
      <c r="K571" s="1230"/>
      <c r="L571" s="1230"/>
      <c r="M571" s="1230"/>
      <c r="N571" s="1230"/>
      <c r="O571" s="1232"/>
      <c r="P571" s="1230"/>
      <c r="Q571" s="1230"/>
      <c r="R571" s="1230"/>
      <c r="S571" s="1230"/>
      <c r="T571" s="1230"/>
      <c r="U571" s="1230"/>
      <c r="V571" s="1230"/>
      <c r="W571" s="1230"/>
      <c r="X571" s="1231"/>
      <c r="Y571" s="1230"/>
    </row>
    <row r="572">
      <c r="A572" s="1234"/>
      <c r="B572" s="1230"/>
      <c r="C572" s="1230"/>
      <c r="D572" s="1230"/>
      <c r="E572" s="1230"/>
      <c r="F572" s="1233"/>
      <c r="G572" s="1230"/>
      <c r="H572" s="1230"/>
      <c r="I572" s="1231"/>
      <c r="J572" s="1230"/>
      <c r="K572" s="1230"/>
      <c r="L572" s="1230"/>
      <c r="M572" s="1230"/>
      <c r="N572" s="1230"/>
      <c r="O572" s="1232"/>
      <c r="P572" s="1230"/>
      <c r="Q572" s="1230"/>
      <c r="R572" s="1230"/>
      <c r="S572" s="1230"/>
      <c r="T572" s="1230"/>
      <c r="U572" s="1230"/>
      <c r="V572" s="1230"/>
      <c r="W572" s="1230"/>
      <c r="X572" s="1231"/>
      <c r="Y572" s="1230"/>
    </row>
    <row r="573">
      <c r="A573" s="1234"/>
      <c r="B573" s="1230"/>
      <c r="C573" s="1230"/>
      <c r="D573" s="1230"/>
      <c r="E573" s="1230"/>
      <c r="F573" s="1233"/>
      <c r="G573" s="1230"/>
      <c r="H573" s="1230"/>
      <c r="I573" s="1231"/>
      <c r="J573" s="1230"/>
      <c r="K573" s="1230"/>
      <c r="L573" s="1230"/>
      <c r="M573" s="1230"/>
      <c r="N573" s="1230"/>
      <c r="O573" s="1232"/>
      <c r="P573" s="1230"/>
      <c r="Q573" s="1230"/>
      <c r="R573" s="1230"/>
      <c r="S573" s="1230"/>
      <c r="T573" s="1230"/>
      <c r="U573" s="1230"/>
      <c r="V573" s="1230"/>
      <c r="W573" s="1230"/>
      <c r="X573" s="1231"/>
      <c r="Y573" s="1230"/>
    </row>
    <row r="574">
      <c r="A574" s="1234"/>
      <c r="B574" s="1230"/>
      <c r="C574" s="1230"/>
      <c r="D574" s="1230"/>
      <c r="E574" s="1230"/>
      <c r="F574" s="1233"/>
      <c r="G574" s="1230"/>
      <c r="H574" s="1230"/>
      <c r="I574" s="1231"/>
      <c r="J574" s="1230"/>
      <c r="K574" s="1230"/>
      <c r="L574" s="1230"/>
      <c r="M574" s="1230"/>
      <c r="N574" s="1230"/>
      <c r="O574" s="1232"/>
      <c r="P574" s="1230"/>
      <c r="Q574" s="1230"/>
      <c r="R574" s="1230"/>
      <c r="S574" s="1230"/>
      <c r="T574" s="1230"/>
      <c r="U574" s="1230"/>
      <c r="V574" s="1230"/>
      <c r="W574" s="1230"/>
      <c r="X574" s="1231"/>
      <c r="Y574" s="1230"/>
    </row>
    <row r="575">
      <c r="A575" s="1234"/>
      <c r="B575" s="1230"/>
      <c r="C575" s="1230"/>
      <c r="D575" s="1230"/>
      <c r="E575" s="1230"/>
      <c r="F575" s="1233"/>
      <c r="G575" s="1230"/>
      <c r="H575" s="1230"/>
      <c r="I575" s="1231"/>
      <c r="J575" s="1230"/>
      <c r="K575" s="1230"/>
      <c r="L575" s="1230"/>
      <c r="M575" s="1230"/>
      <c r="N575" s="1230"/>
      <c r="O575" s="1232"/>
      <c r="P575" s="1230"/>
      <c r="Q575" s="1230"/>
      <c r="R575" s="1230"/>
      <c r="S575" s="1230"/>
      <c r="T575" s="1230"/>
      <c r="U575" s="1230"/>
      <c r="V575" s="1230"/>
      <c r="W575" s="1230"/>
      <c r="X575" s="1231"/>
      <c r="Y575" s="1230"/>
    </row>
    <row r="576">
      <c r="A576" s="1234"/>
      <c r="B576" s="1230"/>
      <c r="C576" s="1230"/>
      <c r="D576" s="1230"/>
      <c r="E576" s="1230"/>
      <c r="F576" s="1233"/>
      <c r="G576" s="1230"/>
      <c r="H576" s="1230"/>
      <c r="I576" s="1231"/>
      <c r="J576" s="1230"/>
      <c r="K576" s="1230"/>
      <c r="L576" s="1230"/>
      <c r="M576" s="1230"/>
      <c r="N576" s="1230"/>
      <c r="O576" s="1232"/>
      <c r="P576" s="1230"/>
      <c r="Q576" s="1230"/>
      <c r="R576" s="1230"/>
      <c r="S576" s="1230"/>
      <c r="T576" s="1230"/>
      <c r="U576" s="1230"/>
      <c r="V576" s="1230"/>
      <c r="W576" s="1230"/>
      <c r="X576" s="1231"/>
      <c r="Y576" s="1230"/>
    </row>
    <row r="577">
      <c r="A577" s="1234"/>
      <c r="B577" s="1230"/>
      <c r="C577" s="1230"/>
      <c r="D577" s="1230"/>
      <c r="E577" s="1230"/>
      <c r="F577" s="1233"/>
      <c r="G577" s="1230"/>
      <c r="H577" s="1230"/>
      <c r="I577" s="1231"/>
      <c r="J577" s="1230"/>
      <c r="K577" s="1230"/>
      <c r="L577" s="1230"/>
      <c r="M577" s="1230"/>
      <c r="N577" s="1230"/>
      <c r="O577" s="1232"/>
      <c r="P577" s="1230"/>
      <c r="Q577" s="1230"/>
      <c r="R577" s="1230"/>
      <c r="S577" s="1230"/>
      <c r="T577" s="1230"/>
      <c r="U577" s="1230"/>
      <c r="V577" s="1230"/>
      <c r="W577" s="1230"/>
      <c r="X577" s="1231"/>
      <c r="Y577" s="1230"/>
    </row>
    <row r="578">
      <c r="A578" s="1234"/>
      <c r="B578" s="1230"/>
      <c r="C578" s="1230"/>
      <c r="D578" s="1230"/>
      <c r="E578" s="1230"/>
      <c r="F578" s="1233"/>
      <c r="G578" s="1230"/>
      <c r="H578" s="1230"/>
      <c r="I578" s="1231"/>
      <c r="J578" s="1230"/>
      <c r="K578" s="1230"/>
      <c r="L578" s="1230"/>
      <c r="M578" s="1230"/>
      <c r="N578" s="1230"/>
      <c r="O578" s="1232"/>
      <c r="P578" s="1230"/>
      <c r="Q578" s="1230"/>
      <c r="R578" s="1230"/>
      <c r="S578" s="1230"/>
      <c r="T578" s="1230"/>
      <c r="U578" s="1230"/>
      <c r="V578" s="1230"/>
      <c r="W578" s="1230"/>
      <c r="X578" s="1231"/>
      <c r="Y578" s="1230"/>
    </row>
    <row r="579">
      <c r="A579" s="1234"/>
      <c r="B579" s="1230"/>
      <c r="C579" s="1230"/>
      <c r="D579" s="1230"/>
      <c r="E579" s="1230"/>
      <c r="F579" s="1233"/>
      <c r="G579" s="1230"/>
      <c r="H579" s="1230"/>
      <c r="I579" s="1231"/>
      <c r="J579" s="1230"/>
      <c r="K579" s="1230"/>
      <c r="L579" s="1230"/>
      <c r="M579" s="1230"/>
      <c r="N579" s="1230"/>
      <c r="O579" s="1232"/>
      <c r="P579" s="1230"/>
      <c r="Q579" s="1230"/>
      <c r="R579" s="1230"/>
      <c r="S579" s="1230"/>
      <c r="T579" s="1230"/>
      <c r="U579" s="1230"/>
      <c r="V579" s="1230"/>
      <c r="W579" s="1230"/>
      <c r="X579" s="1231"/>
      <c r="Y579" s="1230"/>
    </row>
    <row r="580">
      <c r="A580" s="1234"/>
      <c r="B580" s="1230"/>
      <c r="C580" s="1230"/>
      <c r="D580" s="1230"/>
      <c r="E580" s="1230"/>
      <c r="F580" s="1233"/>
      <c r="G580" s="1230"/>
      <c r="H580" s="1230"/>
      <c r="I580" s="1231"/>
      <c r="J580" s="1230"/>
      <c r="K580" s="1230"/>
      <c r="L580" s="1230"/>
      <c r="M580" s="1230"/>
      <c r="N580" s="1230"/>
      <c r="O580" s="1232"/>
      <c r="P580" s="1230"/>
      <c r="Q580" s="1230"/>
      <c r="R580" s="1230"/>
      <c r="S580" s="1230"/>
      <c r="T580" s="1230"/>
      <c r="U580" s="1230"/>
      <c r="V580" s="1230"/>
      <c r="W580" s="1230"/>
      <c r="X580" s="1231"/>
      <c r="Y580" s="1230"/>
    </row>
    <row r="581">
      <c r="A581" s="1234"/>
      <c r="B581" s="1230"/>
      <c r="C581" s="1230"/>
      <c r="D581" s="1230"/>
      <c r="E581" s="1230"/>
      <c r="F581" s="1233"/>
      <c r="G581" s="1230"/>
      <c r="H581" s="1230"/>
      <c r="I581" s="1231"/>
      <c r="J581" s="1230"/>
      <c r="K581" s="1230"/>
      <c r="L581" s="1230"/>
      <c r="M581" s="1230"/>
      <c r="N581" s="1230"/>
      <c r="O581" s="1232"/>
      <c r="P581" s="1230"/>
      <c r="Q581" s="1230"/>
      <c r="R581" s="1230"/>
      <c r="S581" s="1230"/>
      <c r="T581" s="1230"/>
      <c r="U581" s="1230"/>
      <c r="V581" s="1230"/>
      <c r="W581" s="1230"/>
      <c r="X581" s="1231"/>
      <c r="Y581" s="1230"/>
    </row>
    <row r="582">
      <c r="A582" s="1234"/>
      <c r="B582" s="1230"/>
      <c r="C582" s="1230"/>
      <c r="D582" s="1230"/>
      <c r="E582" s="1230"/>
      <c r="F582" s="1233"/>
      <c r="G582" s="1230"/>
      <c r="H582" s="1230"/>
      <c r="I582" s="1231"/>
      <c r="J582" s="1230"/>
      <c r="K582" s="1230"/>
      <c r="L582" s="1230"/>
      <c r="M582" s="1230"/>
      <c r="N582" s="1230"/>
      <c r="O582" s="1232"/>
      <c r="P582" s="1230"/>
      <c r="Q582" s="1230"/>
      <c r="R582" s="1230"/>
      <c r="S582" s="1230"/>
      <c r="T582" s="1230"/>
      <c r="U582" s="1230"/>
      <c r="V582" s="1230"/>
      <c r="W582" s="1230"/>
      <c r="X582" s="1231"/>
      <c r="Y582" s="1230"/>
    </row>
    <row r="583">
      <c r="A583" s="1234"/>
      <c r="B583" s="1230"/>
      <c r="C583" s="1230"/>
      <c r="D583" s="1230"/>
      <c r="E583" s="1230"/>
      <c r="F583" s="1233"/>
      <c r="G583" s="1230"/>
      <c r="H583" s="1230"/>
      <c r="I583" s="1231"/>
      <c r="J583" s="1230"/>
      <c r="K583" s="1230"/>
      <c r="L583" s="1230"/>
      <c r="M583" s="1230"/>
      <c r="N583" s="1230"/>
      <c r="O583" s="1232"/>
      <c r="P583" s="1230"/>
      <c r="Q583" s="1230"/>
      <c r="R583" s="1230"/>
      <c r="S583" s="1230"/>
      <c r="T583" s="1230"/>
      <c r="U583" s="1230"/>
      <c r="V583" s="1230"/>
      <c r="W583" s="1230"/>
      <c r="X583" s="1231"/>
      <c r="Y583" s="1230"/>
    </row>
    <row r="584">
      <c r="A584" s="1234"/>
      <c r="B584" s="1230"/>
      <c r="C584" s="1230"/>
      <c r="D584" s="1230"/>
      <c r="E584" s="1230"/>
      <c r="F584" s="1233"/>
      <c r="G584" s="1230"/>
      <c r="H584" s="1230"/>
      <c r="I584" s="1231"/>
      <c r="J584" s="1230"/>
      <c r="K584" s="1230"/>
      <c r="L584" s="1230"/>
      <c r="M584" s="1230"/>
      <c r="N584" s="1230"/>
      <c r="O584" s="1232"/>
      <c r="P584" s="1230"/>
      <c r="Q584" s="1230"/>
      <c r="R584" s="1230"/>
      <c r="S584" s="1230"/>
      <c r="T584" s="1230"/>
      <c r="U584" s="1230"/>
      <c r="V584" s="1230"/>
      <c r="W584" s="1230"/>
      <c r="X584" s="1231"/>
      <c r="Y584" s="1230"/>
    </row>
    <row r="585">
      <c r="A585" s="1234"/>
      <c r="B585" s="1230"/>
      <c r="C585" s="1230"/>
      <c r="D585" s="1230"/>
      <c r="E585" s="1230"/>
      <c r="F585" s="1233"/>
      <c r="G585" s="1230"/>
      <c r="H585" s="1230"/>
      <c r="I585" s="1231"/>
      <c r="J585" s="1230"/>
      <c r="K585" s="1230"/>
      <c r="L585" s="1230"/>
      <c r="M585" s="1230"/>
      <c r="N585" s="1230"/>
      <c r="O585" s="1232"/>
      <c r="P585" s="1230"/>
      <c r="Q585" s="1230"/>
      <c r="R585" s="1230"/>
      <c r="S585" s="1230"/>
      <c r="T585" s="1230"/>
      <c r="U585" s="1230"/>
      <c r="V585" s="1230"/>
      <c r="W585" s="1230"/>
      <c r="X585" s="1231"/>
      <c r="Y585" s="1230"/>
    </row>
    <row r="586">
      <c r="A586" s="1234"/>
      <c r="B586" s="1230"/>
      <c r="C586" s="1230"/>
      <c r="D586" s="1230"/>
      <c r="E586" s="1230"/>
      <c r="F586" s="1233"/>
      <c r="G586" s="1230"/>
      <c r="H586" s="1230"/>
      <c r="I586" s="1231"/>
      <c r="J586" s="1230"/>
      <c r="K586" s="1230"/>
      <c r="L586" s="1230"/>
      <c r="M586" s="1230"/>
      <c r="N586" s="1230"/>
      <c r="O586" s="1232"/>
      <c r="P586" s="1230"/>
      <c r="Q586" s="1230"/>
      <c r="R586" s="1230"/>
      <c r="S586" s="1230"/>
      <c r="T586" s="1230"/>
      <c r="U586" s="1230"/>
      <c r="V586" s="1230"/>
      <c r="W586" s="1230"/>
      <c r="X586" s="1231"/>
      <c r="Y586" s="1230"/>
    </row>
    <row r="587">
      <c r="A587" s="1234"/>
      <c r="B587" s="1230"/>
      <c r="C587" s="1230"/>
      <c r="D587" s="1230"/>
      <c r="E587" s="1230"/>
      <c r="F587" s="1233"/>
      <c r="G587" s="1230"/>
      <c r="H587" s="1230"/>
      <c r="I587" s="1231"/>
      <c r="J587" s="1230"/>
      <c r="K587" s="1230"/>
      <c r="L587" s="1230"/>
      <c r="M587" s="1230"/>
      <c r="N587" s="1230"/>
      <c r="O587" s="1232"/>
      <c r="P587" s="1230"/>
      <c r="Q587" s="1230"/>
      <c r="R587" s="1230"/>
      <c r="S587" s="1230"/>
      <c r="T587" s="1230"/>
      <c r="U587" s="1230"/>
      <c r="V587" s="1230"/>
      <c r="W587" s="1230"/>
      <c r="X587" s="1231"/>
      <c r="Y587" s="1230"/>
    </row>
    <row r="588">
      <c r="A588" s="1234"/>
      <c r="B588" s="1230"/>
      <c r="C588" s="1230"/>
      <c r="D588" s="1230"/>
      <c r="E588" s="1230"/>
      <c r="F588" s="1233"/>
      <c r="G588" s="1230"/>
      <c r="H588" s="1230"/>
      <c r="I588" s="1231"/>
      <c r="J588" s="1230"/>
      <c r="K588" s="1230"/>
      <c r="L588" s="1230"/>
      <c r="M588" s="1230"/>
      <c r="N588" s="1230"/>
      <c r="O588" s="1232"/>
      <c r="P588" s="1230"/>
      <c r="Q588" s="1230"/>
      <c r="R588" s="1230"/>
      <c r="S588" s="1230"/>
      <c r="T588" s="1230"/>
      <c r="U588" s="1230"/>
      <c r="V588" s="1230"/>
      <c r="W588" s="1230"/>
      <c r="X588" s="1231"/>
      <c r="Y588" s="1230"/>
    </row>
    <row r="589">
      <c r="A589" s="1234"/>
      <c r="B589" s="1230"/>
      <c r="C589" s="1230"/>
      <c r="D589" s="1230"/>
      <c r="E589" s="1230"/>
      <c r="F589" s="1233"/>
      <c r="G589" s="1230"/>
      <c r="H589" s="1230"/>
      <c r="I589" s="1231"/>
      <c r="J589" s="1230"/>
      <c r="K589" s="1230"/>
      <c r="L589" s="1230"/>
      <c r="M589" s="1230"/>
      <c r="N589" s="1230"/>
      <c r="O589" s="1232"/>
      <c r="P589" s="1230"/>
      <c r="Q589" s="1230"/>
      <c r="R589" s="1230"/>
      <c r="S589" s="1230"/>
      <c r="T589" s="1230"/>
      <c r="U589" s="1230"/>
      <c r="V589" s="1230"/>
      <c r="W589" s="1230"/>
      <c r="X589" s="1231"/>
      <c r="Y589" s="1230"/>
    </row>
    <row r="590">
      <c r="A590" s="1234"/>
      <c r="B590" s="1230"/>
      <c r="C590" s="1230"/>
      <c r="D590" s="1230"/>
      <c r="E590" s="1230"/>
      <c r="F590" s="1233"/>
      <c r="G590" s="1230"/>
      <c r="H590" s="1230"/>
      <c r="I590" s="1231"/>
      <c r="J590" s="1230"/>
      <c r="K590" s="1230"/>
      <c r="L590" s="1230"/>
      <c r="M590" s="1230"/>
      <c r="N590" s="1230"/>
      <c r="O590" s="1232"/>
      <c r="P590" s="1230"/>
      <c r="Q590" s="1230"/>
      <c r="R590" s="1230"/>
      <c r="S590" s="1230"/>
      <c r="T590" s="1230"/>
      <c r="U590" s="1230"/>
      <c r="V590" s="1230"/>
      <c r="W590" s="1230"/>
      <c r="X590" s="1231"/>
      <c r="Y590" s="1230"/>
    </row>
    <row r="591">
      <c r="A591" s="1234"/>
      <c r="B591" s="1230"/>
      <c r="C591" s="1230"/>
      <c r="D591" s="1230"/>
      <c r="E591" s="1230"/>
      <c r="F591" s="1233"/>
      <c r="G591" s="1230"/>
      <c r="H591" s="1230"/>
      <c r="I591" s="1231"/>
      <c r="J591" s="1230"/>
      <c r="K591" s="1230"/>
      <c r="L591" s="1230"/>
      <c r="M591" s="1230"/>
      <c r="N591" s="1230"/>
      <c r="O591" s="1232"/>
      <c r="P591" s="1230"/>
      <c r="Q591" s="1230"/>
      <c r="R591" s="1230"/>
      <c r="S591" s="1230"/>
      <c r="T591" s="1230"/>
      <c r="U591" s="1230"/>
      <c r="V591" s="1230"/>
      <c r="W591" s="1230"/>
      <c r="X591" s="1231"/>
      <c r="Y591" s="1230"/>
    </row>
    <row r="592">
      <c r="A592" s="1234"/>
      <c r="B592" s="1230"/>
      <c r="C592" s="1230"/>
      <c r="D592" s="1230"/>
      <c r="E592" s="1230"/>
      <c r="F592" s="1233"/>
      <c r="G592" s="1230"/>
      <c r="H592" s="1230"/>
      <c r="I592" s="1231"/>
      <c r="J592" s="1230"/>
      <c r="K592" s="1230"/>
      <c r="L592" s="1230"/>
      <c r="M592" s="1230"/>
      <c r="N592" s="1230"/>
      <c r="O592" s="1232"/>
      <c r="P592" s="1230"/>
      <c r="Q592" s="1230"/>
      <c r="R592" s="1230"/>
      <c r="S592" s="1230"/>
      <c r="T592" s="1230"/>
      <c r="U592" s="1230"/>
      <c r="V592" s="1230"/>
      <c r="W592" s="1230"/>
      <c r="X592" s="1231"/>
      <c r="Y592" s="1230"/>
    </row>
    <row r="593">
      <c r="A593" s="1234"/>
      <c r="B593" s="1230"/>
      <c r="C593" s="1230"/>
      <c r="D593" s="1230"/>
      <c r="E593" s="1230"/>
      <c r="F593" s="1233"/>
      <c r="G593" s="1230"/>
      <c r="H593" s="1230"/>
      <c r="I593" s="1231"/>
      <c r="J593" s="1230"/>
      <c r="K593" s="1230"/>
      <c r="L593" s="1230"/>
      <c r="M593" s="1230"/>
      <c r="N593" s="1230"/>
      <c r="O593" s="1232"/>
      <c r="P593" s="1230"/>
      <c r="Q593" s="1230"/>
      <c r="R593" s="1230"/>
      <c r="S593" s="1230"/>
      <c r="T593" s="1230"/>
      <c r="U593" s="1230"/>
      <c r="V593" s="1230"/>
      <c r="W593" s="1230"/>
      <c r="X593" s="1231"/>
      <c r="Y593" s="1230"/>
    </row>
    <row r="594">
      <c r="A594" s="1234"/>
      <c r="B594" s="1230"/>
      <c r="C594" s="1230"/>
      <c r="D594" s="1230"/>
      <c r="E594" s="1230"/>
      <c r="F594" s="1233"/>
      <c r="G594" s="1230"/>
      <c r="H594" s="1230"/>
      <c r="I594" s="1231"/>
      <c r="J594" s="1230"/>
      <c r="K594" s="1230"/>
      <c r="L594" s="1230"/>
      <c r="M594" s="1230"/>
      <c r="N594" s="1230"/>
      <c r="O594" s="1232"/>
      <c r="P594" s="1230"/>
      <c r="Q594" s="1230"/>
      <c r="R594" s="1230"/>
      <c r="S594" s="1230"/>
      <c r="T594" s="1230"/>
      <c r="U594" s="1230"/>
      <c r="V594" s="1230"/>
      <c r="W594" s="1230"/>
      <c r="X594" s="1231"/>
      <c r="Y594" s="1230"/>
    </row>
    <row r="595">
      <c r="A595" s="1234"/>
      <c r="B595" s="1230"/>
      <c r="C595" s="1230"/>
      <c r="D595" s="1230"/>
      <c r="E595" s="1230"/>
      <c r="F595" s="1233"/>
      <c r="G595" s="1230"/>
      <c r="H595" s="1230"/>
      <c r="I595" s="1231"/>
      <c r="J595" s="1230"/>
      <c r="K595" s="1230"/>
      <c r="L595" s="1230"/>
      <c r="M595" s="1230"/>
      <c r="N595" s="1230"/>
      <c r="O595" s="1232"/>
      <c r="P595" s="1230"/>
      <c r="Q595" s="1230"/>
      <c r="R595" s="1230"/>
      <c r="S595" s="1230"/>
      <c r="T595" s="1230"/>
      <c r="U595" s="1230"/>
      <c r="V595" s="1230"/>
      <c r="W595" s="1230"/>
      <c r="X595" s="1231"/>
      <c r="Y595" s="1230"/>
    </row>
    <row r="596">
      <c r="A596" s="1234"/>
      <c r="B596" s="1230"/>
      <c r="C596" s="1230"/>
      <c r="D596" s="1230"/>
      <c r="E596" s="1230"/>
      <c r="F596" s="1233"/>
      <c r="G596" s="1230"/>
      <c r="H596" s="1230"/>
      <c r="I596" s="1231"/>
      <c r="J596" s="1230"/>
      <c r="K596" s="1230"/>
      <c r="L596" s="1230"/>
      <c r="M596" s="1230"/>
      <c r="N596" s="1230"/>
      <c r="O596" s="1232"/>
      <c r="P596" s="1230"/>
      <c r="Q596" s="1230"/>
      <c r="R596" s="1230"/>
      <c r="S596" s="1230"/>
      <c r="T596" s="1230"/>
      <c r="U596" s="1230"/>
      <c r="V596" s="1230"/>
      <c r="W596" s="1230"/>
      <c r="X596" s="1231"/>
      <c r="Y596" s="1230"/>
    </row>
    <row r="597">
      <c r="A597" s="1234"/>
      <c r="B597" s="1230"/>
      <c r="C597" s="1230"/>
      <c r="D597" s="1230"/>
      <c r="E597" s="1230"/>
      <c r="F597" s="1233"/>
      <c r="G597" s="1230"/>
      <c r="H597" s="1230"/>
      <c r="I597" s="1231"/>
      <c r="J597" s="1230"/>
      <c r="K597" s="1230"/>
      <c r="L597" s="1230"/>
      <c r="M597" s="1230"/>
      <c r="N597" s="1230"/>
      <c r="O597" s="1232"/>
      <c r="P597" s="1230"/>
      <c r="Q597" s="1230"/>
      <c r="R597" s="1230"/>
      <c r="S597" s="1230"/>
      <c r="T597" s="1230"/>
      <c r="U597" s="1230"/>
      <c r="V597" s="1230"/>
      <c r="W597" s="1230"/>
      <c r="X597" s="1231"/>
      <c r="Y597" s="1230"/>
    </row>
    <row r="598">
      <c r="A598" s="1234"/>
      <c r="B598" s="1230"/>
      <c r="C598" s="1230"/>
      <c r="D598" s="1230"/>
      <c r="E598" s="1230"/>
      <c r="F598" s="1233"/>
      <c r="G598" s="1230"/>
      <c r="H598" s="1230"/>
      <c r="I598" s="1231"/>
      <c r="J598" s="1230"/>
      <c r="K598" s="1230"/>
      <c r="L598" s="1230"/>
      <c r="M598" s="1230"/>
      <c r="N598" s="1230"/>
      <c r="O598" s="1232"/>
      <c r="P598" s="1230"/>
      <c r="Q598" s="1230"/>
      <c r="R598" s="1230"/>
      <c r="S598" s="1230"/>
      <c r="T598" s="1230"/>
      <c r="U598" s="1230"/>
      <c r="V598" s="1230"/>
      <c r="W598" s="1230"/>
      <c r="X598" s="1231"/>
      <c r="Y598" s="1230"/>
    </row>
    <row r="599">
      <c r="A599" s="1234"/>
      <c r="B599" s="1230"/>
      <c r="C599" s="1230"/>
      <c r="D599" s="1230"/>
      <c r="E599" s="1230"/>
      <c r="F599" s="1233"/>
      <c r="G599" s="1230"/>
      <c r="H599" s="1230"/>
      <c r="I599" s="1231"/>
      <c r="J599" s="1230"/>
      <c r="K599" s="1230"/>
      <c r="L599" s="1230"/>
      <c r="M599" s="1230"/>
      <c r="N599" s="1230"/>
      <c r="O599" s="1232"/>
      <c r="P599" s="1230"/>
      <c r="Q599" s="1230"/>
      <c r="R599" s="1230"/>
      <c r="S599" s="1230"/>
      <c r="T599" s="1230"/>
      <c r="U599" s="1230"/>
      <c r="V599" s="1230"/>
      <c r="W599" s="1230"/>
      <c r="X599" s="1231"/>
      <c r="Y599" s="1230"/>
    </row>
    <row r="600">
      <c r="A600" s="1234"/>
      <c r="B600" s="1230"/>
      <c r="C600" s="1230"/>
      <c r="D600" s="1230"/>
      <c r="E600" s="1230"/>
      <c r="F600" s="1233"/>
      <c r="G600" s="1230"/>
      <c r="H600" s="1230"/>
      <c r="I600" s="1231"/>
      <c r="J600" s="1230"/>
      <c r="K600" s="1230"/>
      <c r="L600" s="1230"/>
      <c r="M600" s="1230"/>
      <c r="N600" s="1230"/>
      <c r="O600" s="1232"/>
      <c r="P600" s="1230"/>
      <c r="Q600" s="1230"/>
      <c r="R600" s="1230"/>
      <c r="S600" s="1230"/>
      <c r="T600" s="1230"/>
      <c r="U600" s="1230"/>
      <c r="V600" s="1230"/>
      <c r="W600" s="1230"/>
      <c r="X600" s="1231"/>
      <c r="Y600" s="1230"/>
    </row>
    <row r="601">
      <c r="A601" s="1234"/>
      <c r="B601" s="1230"/>
      <c r="C601" s="1230"/>
      <c r="D601" s="1230"/>
      <c r="E601" s="1230"/>
      <c r="F601" s="1233"/>
      <c r="G601" s="1230"/>
      <c r="H601" s="1230"/>
      <c r="I601" s="1231"/>
      <c r="J601" s="1230"/>
      <c r="K601" s="1230"/>
      <c r="L601" s="1230"/>
      <c r="M601" s="1230"/>
      <c r="N601" s="1230"/>
      <c r="O601" s="1232"/>
      <c r="P601" s="1230"/>
      <c r="Q601" s="1230"/>
      <c r="R601" s="1230"/>
      <c r="S601" s="1230"/>
      <c r="T601" s="1230"/>
      <c r="U601" s="1230"/>
      <c r="V601" s="1230"/>
      <c r="W601" s="1230"/>
      <c r="X601" s="1231"/>
      <c r="Y601" s="1230"/>
    </row>
    <row r="602">
      <c r="A602" s="1234"/>
      <c r="B602" s="1230"/>
      <c r="C602" s="1230"/>
      <c r="D602" s="1230"/>
      <c r="E602" s="1230"/>
      <c r="F602" s="1233"/>
      <c r="G602" s="1230"/>
      <c r="H602" s="1230"/>
      <c r="I602" s="1231"/>
      <c r="J602" s="1230"/>
      <c r="K602" s="1230"/>
      <c r="L602" s="1230"/>
      <c r="M602" s="1230"/>
      <c r="N602" s="1230"/>
      <c r="O602" s="1232"/>
      <c r="P602" s="1230"/>
      <c r="Q602" s="1230"/>
      <c r="R602" s="1230"/>
      <c r="S602" s="1230"/>
      <c r="T602" s="1230"/>
      <c r="U602" s="1230"/>
      <c r="V602" s="1230"/>
      <c r="W602" s="1230"/>
      <c r="X602" s="1231"/>
      <c r="Y602" s="1230"/>
    </row>
    <row r="603">
      <c r="A603" s="1234"/>
      <c r="B603" s="1230"/>
      <c r="C603" s="1230"/>
      <c r="D603" s="1230"/>
      <c r="E603" s="1230"/>
      <c r="F603" s="1233"/>
      <c r="G603" s="1230"/>
      <c r="H603" s="1230"/>
      <c r="I603" s="1231"/>
      <c r="J603" s="1230"/>
      <c r="K603" s="1230"/>
      <c r="L603" s="1230"/>
      <c r="M603" s="1230"/>
      <c r="N603" s="1230"/>
      <c r="O603" s="1232"/>
      <c r="P603" s="1230"/>
      <c r="Q603" s="1230"/>
      <c r="R603" s="1230"/>
      <c r="S603" s="1230"/>
      <c r="T603" s="1230"/>
      <c r="U603" s="1230"/>
      <c r="V603" s="1230"/>
      <c r="W603" s="1230"/>
      <c r="X603" s="1231"/>
      <c r="Y603" s="1230"/>
    </row>
    <row r="604">
      <c r="A604" s="1234"/>
      <c r="B604" s="1230"/>
      <c r="C604" s="1230"/>
      <c r="D604" s="1230"/>
      <c r="E604" s="1230"/>
      <c r="F604" s="1233"/>
      <c r="G604" s="1230"/>
      <c r="H604" s="1230"/>
      <c r="I604" s="1231"/>
      <c r="J604" s="1230"/>
      <c r="K604" s="1230"/>
      <c r="L604" s="1230"/>
      <c r="M604" s="1230"/>
      <c r="N604" s="1230"/>
      <c r="O604" s="1232"/>
      <c r="P604" s="1230"/>
      <c r="Q604" s="1230"/>
      <c r="R604" s="1230"/>
      <c r="S604" s="1230"/>
      <c r="T604" s="1230"/>
      <c r="U604" s="1230"/>
      <c r="V604" s="1230"/>
      <c r="W604" s="1230"/>
      <c r="X604" s="1231"/>
      <c r="Y604" s="1230"/>
    </row>
    <row r="605">
      <c r="A605" s="1234"/>
      <c r="B605" s="1230"/>
      <c r="C605" s="1230"/>
      <c r="D605" s="1230"/>
      <c r="E605" s="1230"/>
      <c r="F605" s="1233"/>
      <c r="G605" s="1230"/>
      <c r="H605" s="1230"/>
      <c r="I605" s="1231"/>
      <c r="J605" s="1230"/>
      <c r="K605" s="1230"/>
      <c r="L605" s="1230"/>
      <c r="M605" s="1230"/>
      <c r="N605" s="1230"/>
      <c r="O605" s="1232"/>
      <c r="P605" s="1230"/>
      <c r="Q605" s="1230"/>
      <c r="R605" s="1230"/>
      <c r="S605" s="1230"/>
      <c r="T605" s="1230"/>
      <c r="U605" s="1230"/>
      <c r="V605" s="1230"/>
      <c r="W605" s="1230"/>
      <c r="X605" s="1231"/>
      <c r="Y605" s="1230"/>
    </row>
    <row r="606">
      <c r="A606" s="1234"/>
      <c r="B606" s="1230"/>
      <c r="C606" s="1230"/>
      <c r="D606" s="1230"/>
      <c r="E606" s="1230"/>
      <c r="F606" s="1233"/>
      <c r="G606" s="1230"/>
      <c r="H606" s="1230"/>
      <c r="I606" s="1231"/>
      <c r="J606" s="1230"/>
      <c r="K606" s="1230"/>
      <c r="L606" s="1230"/>
      <c r="M606" s="1230"/>
      <c r="N606" s="1230"/>
      <c r="O606" s="1232"/>
      <c r="P606" s="1230"/>
      <c r="Q606" s="1230"/>
      <c r="R606" s="1230"/>
      <c r="S606" s="1230"/>
      <c r="T606" s="1230"/>
      <c r="U606" s="1230"/>
      <c r="V606" s="1230"/>
      <c r="W606" s="1230"/>
      <c r="X606" s="1231"/>
      <c r="Y606" s="1230"/>
    </row>
    <row r="607">
      <c r="A607" s="1234"/>
      <c r="B607" s="1230"/>
      <c r="C607" s="1230"/>
      <c r="D607" s="1230"/>
      <c r="E607" s="1230"/>
      <c r="F607" s="1233"/>
      <c r="G607" s="1230"/>
      <c r="H607" s="1230"/>
      <c r="I607" s="1231"/>
      <c r="J607" s="1230"/>
      <c r="K607" s="1230"/>
      <c r="L607" s="1230"/>
      <c r="M607" s="1230"/>
      <c r="N607" s="1230"/>
      <c r="O607" s="1232"/>
      <c r="P607" s="1230"/>
      <c r="Q607" s="1230"/>
      <c r="R607" s="1230"/>
      <c r="S607" s="1230"/>
      <c r="T607" s="1230"/>
      <c r="U607" s="1230"/>
      <c r="V607" s="1230"/>
      <c r="W607" s="1230"/>
      <c r="X607" s="1231"/>
      <c r="Y607" s="1230"/>
    </row>
    <row r="608">
      <c r="A608" s="1234"/>
      <c r="B608" s="1230"/>
      <c r="C608" s="1230"/>
      <c r="D608" s="1230"/>
      <c r="E608" s="1230"/>
      <c r="F608" s="1233"/>
      <c r="G608" s="1230"/>
      <c r="H608" s="1230"/>
      <c r="I608" s="1231"/>
      <c r="J608" s="1230"/>
      <c r="K608" s="1230"/>
      <c r="L608" s="1230"/>
      <c r="M608" s="1230"/>
      <c r="N608" s="1230"/>
      <c r="O608" s="1232"/>
      <c r="P608" s="1230"/>
      <c r="Q608" s="1230"/>
      <c r="R608" s="1230"/>
      <c r="S608" s="1230"/>
      <c r="T608" s="1230"/>
      <c r="U608" s="1230"/>
      <c r="V608" s="1230"/>
      <c r="W608" s="1230"/>
      <c r="X608" s="1231"/>
      <c r="Y608" s="1230"/>
    </row>
    <row r="609">
      <c r="A609" s="1234"/>
      <c r="B609" s="1230"/>
      <c r="C609" s="1230"/>
      <c r="D609" s="1230"/>
      <c r="E609" s="1230"/>
      <c r="F609" s="1233"/>
      <c r="G609" s="1230"/>
      <c r="H609" s="1230"/>
      <c r="I609" s="1231"/>
      <c r="J609" s="1230"/>
      <c r="K609" s="1230"/>
      <c r="L609" s="1230"/>
      <c r="M609" s="1230"/>
      <c r="N609" s="1230"/>
      <c r="O609" s="1232"/>
      <c r="P609" s="1230"/>
      <c r="Q609" s="1230"/>
      <c r="R609" s="1230"/>
      <c r="S609" s="1230"/>
      <c r="T609" s="1230"/>
      <c r="U609" s="1230"/>
      <c r="V609" s="1230"/>
      <c r="W609" s="1230"/>
      <c r="X609" s="1231"/>
      <c r="Y609" s="1230"/>
    </row>
    <row r="610">
      <c r="A610" s="1234"/>
      <c r="B610" s="1230"/>
      <c r="C610" s="1230"/>
      <c r="D610" s="1230"/>
      <c r="E610" s="1230"/>
      <c r="F610" s="1233"/>
      <c r="G610" s="1230"/>
      <c r="H610" s="1230"/>
      <c r="I610" s="1231"/>
      <c r="J610" s="1230"/>
      <c r="K610" s="1230"/>
      <c r="L610" s="1230"/>
      <c r="M610" s="1230"/>
      <c r="N610" s="1230"/>
      <c r="O610" s="1232"/>
      <c r="P610" s="1230"/>
      <c r="Q610" s="1230"/>
      <c r="R610" s="1230"/>
      <c r="S610" s="1230"/>
      <c r="T610" s="1230"/>
      <c r="U610" s="1230"/>
      <c r="V610" s="1230"/>
      <c r="W610" s="1230"/>
      <c r="X610" s="1231"/>
      <c r="Y610" s="1230"/>
    </row>
    <row r="611">
      <c r="A611" s="1234"/>
      <c r="B611" s="1230"/>
      <c r="C611" s="1230"/>
      <c r="D611" s="1230"/>
      <c r="E611" s="1230"/>
      <c r="F611" s="1233"/>
      <c r="G611" s="1230"/>
      <c r="H611" s="1230"/>
      <c r="I611" s="1231"/>
      <c r="J611" s="1230"/>
      <c r="K611" s="1230"/>
      <c r="L611" s="1230"/>
      <c r="M611" s="1230"/>
      <c r="N611" s="1230"/>
      <c r="O611" s="1232"/>
      <c r="P611" s="1230"/>
      <c r="Q611" s="1230"/>
      <c r="R611" s="1230"/>
      <c r="S611" s="1230"/>
      <c r="T611" s="1230"/>
      <c r="U611" s="1230"/>
      <c r="V611" s="1230"/>
      <c r="W611" s="1230"/>
      <c r="X611" s="1231"/>
      <c r="Y611" s="1230"/>
    </row>
    <row r="612">
      <c r="A612" s="1234"/>
      <c r="B612" s="1230"/>
      <c r="C612" s="1230"/>
      <c r="D612" s="1230"/>
      <c r="E612" s="1230"/>
      <c r="F612" s="1233"/>
      <c r="G612" s="1230"/>
      <c r="H612" s="1230"/>
      <c r="I612" s="1231"/>
      <c r="J612" s="1230"/>
      <c r="K612" s="1230"/>
      <c r="L612" s="1230"/>
      <c r="M612" s="1230"/>
      <c r="N612" s="1230"/>
      <c r="O612" s="1232"/>
      <c r="P612" s="1230"/>
      <c r="Q612" s="1230"/>
      <c r="R612" s="1230"/>
      <c r="S612" s="1230"/>
      <c r="T612" s="1230"/>
      <c r="U612" s="1230"/>
      <c r="V612" s="1230"/>
      <c r="W612" s="1230"/>
      <c r="X612" s="1231"/>
      <c r="Y612" s="1230"/>
    </row>
    <row r="613">
      <c r="A613" s="1234"/>
      <c r="B613" s="1230"/>
      <c r="C613" s="1230"/>
      <c r="D613" s="1230"/>
      <c r="E613" s="1230"/>
      <c r="F613" s="1233"/>
      <c r="G613" s="1230"/>
      <c r="H613" s="1230"/>
      <c r="I613" s="1231"/>
      <c r="J613" s="1230"/>
      <c r="K613" s="1230"/>
      <c r="L613" s="1230"/>
      <c r="M613" s="1230"/>
      <c r="N613" s="1230"/>
      <c r="O613" s="1232"/>
      <c r="P613" s="1230"/>
      <c r="Q613" s="1230"/>
      <c r="R613" s="1230"/>
      <c r="S613" s="1230"/>
      <c r="T613" s="1230"/>
      <c r="U613" s="1230"/>
      <c r="V613" s="1230"/>
      <c r="W613" s="1230"/>
      <c r="X613" s="1231"/>
      <c r="Y613" s="1230"/>
    </row>
    <row r="614">
      <c r="A614" s="1234"/>
      <c r="B614" s="1230"/>
      <c r="C614" s="1230"/>
      <c r="D614" s="1230"/>
      <c r="E614" s="1230"/>
      <c r="F614" s="1233"/>
      <c r="G614" s="1230"/>
      <c r="H614" s="1230"/>
      <c r="I614" s="1231"/>
      <c r="J614" s="1230"/>
      <c r="K614" s="1230"/>
      <c r="L614" s="1230"/>
      <c r="M614" s="1230"/>
      <c r="N614" s="1230"/>
      <c r="O614" s="1232"/>
      <c r="P614" s="1230"/>
      <c r="Q614" s="1230"/>
      <c r="R614" s="1230"/>
      <c r="S614" s="1230"/>
      <c r="T614" s="1230"/>
      <c r="U614" s="1230"/>
      <c r="V614" s="1230"/>
      <c r="W614" s="1230"/>
      <c r="X614" s="1231"/>
      <c r="Y614" s="1230"/>
    </row>
    <row r="615">
      <c r="A615" s="1234"/>
      <c r="B615" s="1230"/>
      <c r="C615" s="1230"/>
      <c r="D615" s="1230"/>
      <c r="E615" s="1230"/>
      <c r="F615" s="1233"/>
      <c r="G615" s="1230"/>
      <c r="H615" s="1230"/>
      <c r="I615" s="1231"/>
      <c r="J615" s="1230"/>
      <c r="K615" s="1230"/>
      <c r="L615" s="1230"/>
      <c r="M615" s="1230"/>
      <c r="N615" s="1230"/>
      <c r="O615" s="1232"/>
      <c r="P615" s="1230"/>
      <c r="Q615" s="1230"/>
      <c r="R615" s="1230"/>
      <c r="S615" s="1230"/>
      <c r="T615" s="1230"/>
      <c r="U615" s="1230"/>
      <c r="V615" s="1230"/>
      <c r="W615" s="1230"/>
      <c r="X615" s="1231"/>
      <c r="Y615" s="1230"/>
    </row>
    <row r="616">
      <c r="A616" s="1234"/>
      <c r="B616" s="1230"/>
      <c r="C616" s="1230"/>
      <c r="D616" s="1230"/>
      <c r="E616" s="1230"/>
      <c r="F616" s="1233"/>
      <c r="G616" s="1230"/>
      <c r="H616" s="1230"/>
      <c r="I616" s="1231"/>
      <c r="J616" s="1230"/>
      <c r="K616" s="1230"/>
      <c r="L616" s="1230"/>
      <c r="M616" s="1230"/>
      <c r="N616" s="1230"/>
      <c r="O616" s="1232"/>
      <c r="P616" s="1230"/>
      <c r="Q616" s="1230"/>
      <c r="R616" s="1230"/>
      <c r="S616" s="1230"/>
      <c r="T616" s="1230"/>
      <c r="U616" s="1230"/>
      <c r="V616" s="1230"/>
      <c r="W616" s="1230"/>
      <c r="X616" s="1231"/>
      <c r="Y616" s="1230"/>
    </row>
    <row r="617">
      <c r="A617" s="1234"/>
      <c r="B617" s="1230"/>
      <c r="C617" s="1230"/>
      <c r="D617" s="1230"/>
      <c r="E617" s="1230"/>
      <c r="F617" s="1233"/>
      <c r="G617" s="1230"/>
      <c r="H617" s="1230"/>
      <c r="I617" s="1231"/>
      <c r="J617" s="1230"/>
      <c r="K617" s="1230"/>
      <c r="L617" s="1230"/>
      <c r="M617" s="1230"/>
      <c r="N617" s="1230"/>
      <c r="O617" s="1232"/>
      <c r="P617" s="1230"/>
      <c r="Q617" s="1230"/>
      <c r="R617" s="1230"/>
      <c r="S617" s="1230"/>
      <c r="T617" s="1230"/>
      <c r="U617" s="1230"/>
      <c r="V617" s="1230"/>
      <c r="W617" s="1230"/>
      <c r="X617" s="1231"/>
      <c r="Y617" s="1230"/>
    </row>
    <row r="618">
      <c r="A618" s="1234"/>
      <c r="B618" s="1230"/>
      <c r="C618" s="1230"/>
      <c r="D618" s="1230"/>
      <c r="E618" s="1230"/>
      <c r="F618" s="1233"/>
      <c r="G618" s="1230"/>
      <c r="H618" s="1230"/>
      <c r="I618" s="1231"/>
      <c r="J618" s="1230"/>
      <c r="K618" s="1230"/>
      <c r="L618" s="1230"/>
      <c r="M618" s="1230"/>
      <c r="N618" s="1230"/>
      <c r="O618" s="1232"/>
      <c r="P618" s="1230"/>
      <c r="Q618" s="1230"/>
      <c r="R618" s="1230"/>
      <c r="S618" s="1230"/>
      <c r="T618" s="1230"/>
      <c r="U618" s="1230"/>
      <c r="V618" s="1230"/>
      <c r="W618" s="1230"/>
      <c r="X618" s="1231"/>
      <c r="Y618" s="1230"/>
    </row>
    <row r="619">
      <c r="A619" s="1234"/>
      <c r="B619" s="1230"/>
      <c r="C619" s="1230"/>
      <c r="D619" s="1230"/>
      <c r="E619" s="1230"/>
      <c r="F619" s="1233"/>
      <c r="G619" s="1230"/>
      <c r="H619" s="1230"/>
      <c r="I619" s="1231"/>
      <c r="J619" s="1230"/>
      <c r="K619" s="1230"/>
      <c r="L619" s="1230"/>
      <c r="M619" s="1230"/>
      <c r="N619" s="1230"/>
      <c r="O619" s="1232"/>
      <c r="P619" s="1230"/>
      <c r="Q619" s="1230"/>
      <c r="R619" s="1230"/>
      <c r="S619" s="1230"/>
      <c r="T619" s="1230"/>
      <c r="U619" s="1230"/>
      <c r="V619" s="1230"/>
      <c r="W619" s="1230"/>
      <c r="X619" s="1231"/>
      <c r="Y619" s="1230"/>
    </row>
    <row r="620">
      <c r="A620" s="1234"/>
      <c r="B620" s="1230"/>
      <c r="C620" s="1230"/>
      <c r="D620" s="1230"/>
      <c r="E620" s="1230"/>
      <c r="F620" s="1233"/>
      <c r="G620" s="1230"/>
      <c r="H620" s="1230"/>
      <c r="I620" s="1231"/>
      <c r="J620" s="1230"/>
      <c r="K620" s="1230"/>
      <c r="L620" s="1230"/>
      <c r="M620" s="1230"/>
      <c r="N620" s="1230"/>
      <c r="O620" s="1232"/>
      <c r="P620" s="1230"/>
      <c r="Q620" s="1230"/>
      <c r="R620" s="1230"/>
      <c r="S620" s="1230"/>
      <c r="T620" s="1230"/>
      <c r="U620" s="1230"/>
      <c r="V620" s="1230"/>
      <c r="W620" s="1230"/>
      <c r="X620" s="1231"/>
      <c r="Y620" s="1230"/>
    </row>
    <row r="621">
      <c r="A621" s="1234"/>
      <c r="B621" s="1230"/>
      <c r="C621" s="1230"/>
      <c r="D621" s="1230"/>
      <c r="E621" s="1230"/>
      <c r="F621" s="1233"/>
      <c r="G621" s="1230"/>
      <c r="H621" s="1230"/>
      <c r="I621" s="1231"/>
      <c r="J621" s="1230"/>
      <c r="K621" s="1230"/>
      <c r="L621" s="1230"/>
      <c r="M621" s="1230"/>
      <c r="N621" s="1230"/>
      <c r="O621" s="1232"/>
      <c r="P621" s="1230"/>
      <c r="Q621" s="1230"/>
      <c r="R621" s="1230"/>
      <c r="S621" s="1230"/>
      <c r="T621" s="1230"/>
      <c r="U621" s="1230"/>
      <c r="V621" s="1230"/>
      <c r="W621" s="1230"/>
      <c r="X621" s="1231"/>
      <c r="Y621" s="1230"/>
    </row>
    <row r="622">
      <c r="A622" s="1234"/>
      <c r="B622" s="1230"/>
      <c r="C622" s="1230"/>
      <c r="D622" s="1230"/>
      <c r="E622" s="1230"/>
      <c r="F622" s="1233"/>
      <c r="G622" s="1230"/>
      <c r="H622" s="1230"/>
      <c r="I622" s="1231"/>
      <c r="J622" s="1230"/>
      <c r="K622" s="1230"/>
      <c r="L622" s="1230"/>
      <c r="M622" s="1230"/>
      <c r="N622" s="1230"/>
      <c r="O622" s="1232"/>
      <c r="P622" s="1230"/>
      <c r="Q622" s="1230"/>
      <c r="R622" s="1230"/>
      <c r="S622" s="1230"/>
      <c r="T622" s="1230"/>
      <c r="U622" s="1230"/>
      <c r="V622" s="1230"/>
      <c r="W622" s="1230"/>
      <c r="X622" s="1231"/>
      <c r="Y622" s="1230"/>
    </row>
    <row r="623">
      <c r="A623" s="1234"/>
      <c r="B623" s="1230"/>
      <c r="C623" s="1230"/>
      <c r="D623" s="1230"/>
      <c r="E623" s="1230"/>
      <c r="F623" s="1233"/>
      <c r="G623" s="1230"/>
      <c r="H623" s="1230"/>
      <c r="I623" s="1231"/>
      <c r="J623" s="1230"/>
      <c r="K623" s="1230"/>
      <c r="L623" s="1230"/>
      <c r="M623" s="1230"/>
      <c r="N623" s="1230"/>
      <c r="O623" s="1232"/>
      <c r="P623" s="1230"/>
      <c r="Q623" s="1230"/>
      <c r="R623" s="1230"/>
      <c r="S623" s="1230"/>
      <c r="T623" s="1230"/>
      <c r="U623" s="1230"/>
      <c r="V623" s="1230"/>
      <c r="W623" s="1230"/>
      <c r="X623" s="1231"/>
      <c r="Y623" s="1230"/>
    </row>
    <row r="624">
      <c r="A624" s="1234"/>
      <c r="B624" s="1230"/>
      <c r="C624" s="1230"/>
      <c r="D624" s="1230"/>
      <c r="E624" s="1230"/>
      <c r="F624" s="1233"/>
      <c r="G624" s="1230"/>
      <c r="H624" s="1230"/>
      <c r="I624" s="1231"/>
      <c r="J624" s="1230"/>
      <c r="K624" s="1230"/>
      <c r="L624" s="1230"/>
      <c r="M624" s="1230"/>
      <c r="N624" s="1230"/>
      <c r="O624" s="1232"/>
      <c r="P624" s="1230"/>
      <c r="Q624" s="1230"/>
      <c r="R624" s="1230"/>
      <c r="S624" s="1230"/>
      <c r="T624" s="1230"/>
      <c r="U624" s="1230"/>
      <c r="V624" s="1230"/>
      <c r="W624" s="1230"/>
      <c r="X624" s="1231"/>
      <c r="Y624" s="1230"/>
    </row>
    <row r="625">
      <c r="A625" s="1234"/>
      <c r="B625" s="1230"/>
      <c r="C625" s="1230"/>
      <c r="D625" s="1230"/>
      <c r="E625" s="1230"/>
      <c r="F625" s="1233"/>
      <c r="G625" s="1230"/>
      <c r="H625" s="1230"/>
      <c r="I625" s="1231"/>
      <c r="J625" s="1230"/>
      <c r="K625" s="1230"/>
      <c r="L625" s="1230"/>
      <c r="M625" s="1230"/>
      <c r="N625" s="1230"/>
      <c r="O625" s="1232"/>
      <c r="P625" s="1230"/>
      <c r="Q625" s="1230"/>
      <c r="R625" s="1230"/>
      <c r="S625" s="1230"/>
      <c r="T625" s="1230"/>
      <c r="U625" s="1230"/>
      <c r="V625" s="1230"/>
      <c r="W625" s="1230"/>
      <c r="X625" s="1231"/>
      <c r="Y625" s="1230"/>
    </row>
    <row r="626">
      <c r="A626" s="1234"/>
      <c r="B626" s="1230"/>
      <c r="C626" s="1230"/>
      <c r="D626" s="1230"/>
      <c r="E626" s="1230"/>
      <c r="F626" s="1233"/>
      <c r="G626" s="1230"/>
      <c r="H626" s="1230"/>
      <c r="I626" s="1231"/>
      <c r="J626" s="1230"/>
      <c r="K626" s="1230"/>
      <c r="L626" s="1230"/>
      <c r="M626" s="1230"/>
      <c r="N626" s="1230"/>
      <c r="O626" s="1232"/>
      <c r="P626" s="1230"/>
      <c r="Q626" s="1230"/>
      <c r="R626" s="1230"/>
      <c r="S626" s="1230"/>
      <c r="T626" s="1230"/>
      <c r="U626" s="1230"/>
      <c r="V626" s="1230"/>
      <c r="W626" s="1230"/>
      <c r="X626" s="1231"/>
      <c r="Y626" s="1230"/>
    </row>
    <row r="627">
      <c r="A627" s="1234"/>
      <c r="B627" s="1230"/>
      <c r="C627" s="1230"/>
      <c r="D627" s="1230"/>
      <c r="E627" s="1230"/>
      <c r="F627" s="1233"/>
      <c r="G627" s="1230"/>
      <c r="H627" s="1230"/>
      <c r="I627" s="1231"/>
      <c r="J627" s="1230"/>
      <c r="K627" s="1230"/>
      <c r="L627" s="1230"/>
      <c r="M627" s="1230"/>
      <c r="N627" s="1230"/>
      <c r="O627" s="1232"/>
      <c r="P627" s="1230"/>
      <c r="Q627" s="1230"/>
      <c r="R627" s="1230"/>
      <c r="S627" s="1230"/>
      <c r="T627" s="1230"/>
      <c r="U627" s="1230"/>
      <c r="V627" s="1230"/>
      <c r="W627" s="1230"/>
      <c r="X627" s="1231"/>
      <c r="Y627" s="1230"/>
    </row>
    <row r="628">
      <c r="A628" s="1234"/>
      <c r="B628" s="1230"/>
      <c r="C628" s="1230"/>
      <c r="D628" s="1230"/>
      <c r="E628" s="1230"/>
      <c r="F628" s="1233"/>
      <c r="G628" s="1230"/>
      <c r="H628" s="1230"/>
      <c r="I628" s="1231"/>
      <c r="J628" s="1230"/>
      <c r="K628" s="1230"/>
      <c r="L628" s="1230"/>
      <c r="M628" s="1230"/>
      <c r="N628" s="1230"/>
      <c r="O628" s="1232"/>
      <c r="P628" s="1230"/>
      <c r="Q628" s="1230"/>
      <c r="R628" s="1230"/>
      <c r="S628" s="1230"/>
      <c r="T628" s="1230"/>
      <c r="U628" s="1230"/>
      <c r="V628" s="1230"/>
      <c r="W628" s="1230"/>
      <c r="X628" s="1231"/>
      <c r="Y628" s="1230"/>
    </row>
    <row r="629">
      <c r="A629" s="1234"/>
      <c r="B629" s="1230"/>
      <c r="C629" s="1230"/>
      <c r="D629" s="1230"/>
      <c r="E629" s="1230"/>
      <c r="F629" s="1233"/>
      <c r="G629" s="1230"/>
      <c r="H629" s="1230"/>
      <c r="I629" s="1231"/>
      <c r="J629" s="1230"/>
      <c r="K629" s="1230"/>
      <c r="L629" s="1230"/>
      <c r="M629" s="1230"/>
      <c r="N629" s="1230"/>
      <c r="O629" s="1232"/>
      <c r="P629" s="1230"/>
      <c r="Q629" s="1230"/>
      <c r="R629" s="1230"/>
      <c r="S629" s="1230"/>
      <c r="T629" s="1230"/>
      <c r="U629" s="1230"/>
      <c r="V629" s="1230"/>
      <c r="W629" s="1230"/>
      <c r="X629" s="1231"/>
      <c r="Y629" s="1230"/>
    </row>
    <row r="630">
      <c r="A630" s="1234"/>
      <c r="B630" s="1230"/>
      <c r="C630" s="1230"/>
      <c r="D630" s="1230"/>
      <c r="E630" s="1230"/>
      <c r="F630" s="1233"/>
      <c r="G630" s="1230"/>
      <c r="H630" s="1230"/>
      <c r="I630" s="1231"/>
      <c r="J630" s="1230"/>
      <c r="K630" s="1230"/>
      <c r="L630" s="1230"/>
      <c r="M630" s="1230"/>
      <c r="N630" s="1230"/>
      <c r="O630" s="1232"/>
      <c r="P630" s="1230"/>
      <c r="Q630" s="1230"/>
      <c r="R630" s="1230"/>
      <c r="S630" s="1230"/>
      <c r="T630" s="1230"/>
      <c r="U630" s="1230"/>
      <c r="V630" s="1230"/>
      <c r="W630" s="1230"/>
      <c r="X630" s="1231"/>
      <c r="Y630" s="1230"/>
    </row>
    <row r="631">
      <c r="A631" s="1234"/>
      <c r="B631" s="1230"/>
      <c r="C631" s="1230"/>
      <c r="D631" s="1230"/>
      <c r="E631" s="1230"/>
      <c r="F631" s="1233"/>
      <c r="G631" s="1230"/>
      <c r="H631" s="1230"/>
      <c r="I631" s="1231"/>
      <c r="J631" s="1230"/>
      <c r="K631" s="1230"/>
      <c r="L631" s="1230"/>
      <c r="M631" s="1230"/>
      <c r="N631" s="1230"/>
      <c r="O631" s="1232"/>
      <c r="P631" s="1230"/>
      <c r="Q631" s="1230"/>
      <c r="R631" s="1230"/>
      <c r="S631" s="1230"/>
      <c r="T631" s="1230"/>
      <c r="U631" s="1230"/>
      <c r="V631" s="1230"/>
      <c r="W631" s="1230"/>
      <c r="X631" s="1231"/>
      <c r="Y631" s="1230"/>
    </row>
    <row r="632">
      <c r="A632" s="1234"/>
      <c r="B632" s="1230"/>
      <c r="C632" s="1230"/>
      <c r="D632" s="1230"/>
      <c r="E632" s="1230"/>
      <c r="F632" s="1233"/>
      <c r="G632" s="1230"/>
      <c r="H632" s="1230"/>
      <c r="I632" s="1231"/>
      <c r="J632" s="1230"/>
      <c r="K632" s="1230"/>
      <c r="L632" s="1230"/>
      <c r="M632" s="1230"/>
      <c r="N632" s="1230"/>
      <c r="O632" s="1232"/>
      <c r="P632" s="1230"/>
      <c r="Q632" s="1230"/>
      <c r="R632" s="1230"/>
      <c r="S632" s="1230"/>
      <c r="T632" s="1230"/>
      <c r="U632" s="1230"/>
      <c r="V632" s="1230"/>
      <c r="W632" s="1230"/>
      <c r="X632" s="1231"/>
      <c r="Y632" s="1230"/>
    </row>
    <row r="633">
      <c r="A633" s="1234"/>
      <c r="B633" s="1230"/>
      <c r="C633" s="1230"/>
      <c r="D633" s="1230"/>
      <c r="E633" s="1230"/>
      <c r="F633" s="1233"/>
      <c r="G633" s="1230"/>
      <c r="H633" s="1230"/>
      <c r="I633" s="1231"/>
      <c r="J633" s="1230"/>
      <c r="K633" s="1230"/>
      <c r="L633" s="1230"/>
      <c r="M633" s="1230"/>
      <c r="N633" s="1230"/>
      <c r="O633" s="1232"/>
      <c r="P633" s="1230"/>
      <c r="Q633" s="1230"/>
      <c r="R633" s="1230"/>
      <c r="S633" s="1230"/>
      <c r="T633" s="1230"/>
      <c r="U633" s="1230"/>
      <c r="V633" s="1230"/>
      <c r="W633" s="1230"/>
      <c r="X633" s="1231"/>
      <c r="Y633" s="1230"/>
    </row>
    <row r="634">
      <c r="A634" s="1234"/>
      <c r="B634" s="1230"/>
      <c r="C634" s="1230"/>
      <c r="D634" s="1230"/>
      <c r="E634" s="1230"/>
      <c r="F634" s="1233"/>
      <c r="G634" s="1230"/>
      <c r="H634" s="1230"/>
      <c r="I634" s="1231"/>
      <c r="J634" s="1230"/>
      <c r="K634" s="1230"/>
      <c r="L634" s="1230"/>
      <c r="M634" s="1230"/>
      <c r="N634" s="1230"/>
      <c r="O634" s="1232"/>
      <c r="P634" s="1230"/>
      <c r="Q634" s="1230"/>
      <c r="R634" s="1230"/>
      <c r="S634" s="1230"/>
      <c r="T634" s="1230"/>
      <c r="U634" s="1230"/>
      <c r="V634" s="1230"/>
      <c r="W634" s="1230"/>
      <c r="X634" s="1231"/>
      <c r="Y634" s="1230"/>
    </row>
    <row r="635">
      <c r="A635" s="1234"/>
      <c r="B635" s="1230"/>
      <c r="C635" s="1230"/>
      <c r="D635" s="1230"/>
      <c r="E635" s="1230"/>
      <c r="F635" s="1233"/>
      <c r="G635" s="1230"/>
      <c r="H635" s="1230"/>
      <c r="I635" s="1231"/>
      <c r="J635" s="1230"/>
      <c r="K635" s="1230"/>
      <c r="L635" s="1230"/>
      <c r="M635" s="1230"/>
      <c r="N635" s="1230"/>
      <c r="O635" s="1232"/>
      <c r="P635" s="1230"/>
      <c r="Q635" s="1230"/>
      <c r="R635" s="1230"/>
      <c r="S635" s="1230"/>
      <c r="T635" s="1230"/>
      <c r="U635" s="1230"/>
      <c r="V635" s="1230"/>
      <c r="W635" s="1230"/>
      <c r="X635" s="1231"/>
      <c r="Y635" s="1230"/>
    </row>
    <row r="636">
      <c r="A636" s="1234"/>
      <c r="B636" s="1230"/>
      <c r="C636" s="1230"/>
      <c r="D636" s="1230"/>
      <c r="E636" s="1230"/>
      <c r="F636" s="1233"/>
      <c r="G636" s="1230"/>
      <c r="H636" s="1230"/>
      <c r="I636" s="1231"/>
      <c r="J636" s="1230"/>
      <c r="K636" s="1230"/>
      <c r="L636" s="1230"/>
      <c r="M636" s="1230"/>
      <c r="N636" s="1230"/>
      <c r="O636" s="1232"/>
      <c r="P636" s="1230"/>
      <c r="Q636" s="1230"/>
      <c r="R636" s="1230"/>
      <c r="S636" s="1230"/>
      <c r="T636" s="1230"/>
      <c r="U636" s="1230"/>
      <c r="V636" s="1230"/>
      <c r="W636" s="1230"/>
      <c r="X636" s="1231"/>
      <c r="Y636" s="1230"/>
    </row>
    <row r="637">
      <c r="A637" s="1234"/>
      <c r="B637" s="1230"/>
      <c r="C637" s="1230"/>
      <c r="D637" s="1230"/>
      <c r="E637" s="1230"/>
      <c r="F637" s="1233"/>
      <c r="G637" s="1230"/>
      <c r="H637" s="1230"/>
      <c r="I637" s="1231"/>
      <c r="J637" s="1230"/>
      <c r="K637" s="1230"/>
      <c r="L637" s="1230"/>
      <c r="M637" s="1230"/>
      <c r="N637" s="1230"/>
      <c r="O637" s="1232"/>
      <c r="P637" s="1230"/>
      <c r="Q637" s="1230"/>
      <c r="R637" s="1230"/>
      <c r="S637" s="1230"/>
      <c r="T637" s="1230"/>
      <c r="U637" s="1230"/>
      <c r="V637" s="1230"/>
      <c r="W637" s="1230"/>
      <c r="X637" s="1231"/>
      <c r="Y637" s="1230"/>
    </row>
    <row r="638">
      <c r="A638" s="1234"/>
      <c r="B638" s="1230"/>
      <c r="C638" s="1230"/>
      <c r="D638" s="1230"/>
      <c r="E638" s="1230"/>
      <c r="F638" s="1233"/>
      <c r="G638" s="1230"/>
      <c r="H638" s="1230"/>
      <c r="I638" s="1231"/>
      <c r="J638" s="1230"/>
      <c r="K638" s="1230"/>
      <c r="L638" s="1230"/>
      <c r="M638" s="1230"/>
      <c r="N638" s="1230"/>
      <c r="O638" s="1232"/>
      <c r="P638" s="1230"/>
      <c r="Q638" s="1230"/>
      <c r="R638" s="1230"/>
      <c r="S638" s="1230"/>
      <c r="T638" s="1230"/>
      <c r="U638" s="1230"/>
      <c r="V638" s="1230"/>
      <c r="W638" s="1230"/>
      <c r="X638" s="1231"/>
      <c r="Y638" s="1230"/>
    </row>
    <row r="639">
      <c r="A639" s="1234"/>
      <c r="B639" s="1230"/>
      <c r="C639" s="1230"/>
      <c r="D639" s="1230"/>
      <c r="E639" s="1230"/>
      <c r="F639" s="1233"/>
      <c r="G639" s="1230"/>
      <c r="H639" s="1230"/>
      <c r="I639" s="1231"/>
      <c r="J639" s="1230"/>
      <c r="K639" s="1230"/>
      <c r="L639" s="1230"/>
      <c r="M639" s="1230"/>
      <c r="N639" s="1230"/>
      <c r="O639" s="1232"/>
      <c r="P639" s="1230"/>
      <c r="Q639" s="1230"/>
      <c r="R639" s="1230"/>
      <c r="S639" s="1230"/>
      <c r="T639" s="1230"/>
      <c r="U639" s="1230"/>
      <c r="V639" s="1230"/>
      <c r="W639" s="1230"/>
      <c r="X639" s="1231"/>
      <c r="Y639" s="1230"/>
    </row>
    <row r="640">
      <c r="A640" s="1234"/>
      <c r="B640" s="1230"/>
      <c r="C640" s="1230"/>
      <c r="D640" s="1230"/>
      <c r="E640" s="1230"/>
      <c r="F640" s="1233"/>
      <c r="G640" s="1230"/>
      <c r="H640" s="1230"/>
      <c r="I640" s="1231"/>
      <c r="J640" s="1230"/>
      <c r="K640" s="1230"/>
      <c r="L640" s="1230"/>
      <c r="M640" s="1230"/>
      <c r="N640" s="1230"/>
      <c r="O640" s="1232"/>
      <c r="P640" s="1230"/>
      <c r="Q640" s="1230"/>
      <c r="R640" s="1230"/>
      <c r="S640" s="1230"/>
      <c r="T640" s="1230"/>
      <c r="U640" s="1230"/>
      <c r="V640" s="1230"/>
      <c r="W640" s="1230"/>
      <c r="X640" s="1231"/>
      <c r="Y640" s="1230"/>
    </row>
    <row r="641">
      <c r="A641" s="1234"/>
      <c r="B641" s="1230"/>
      <c r="C641" s="1230"/>
      <c r="D641" s="1230"/>
      <c r="E641" s="1230"/>
      <c r="F641" s="1233"/>
      <c r="G641" s="1230"/>
      <c r="H641" s="1230"/>
      <c r="I641" s="1231"/>
      <c r="J641" s="1230"/>
      <c r="K641" s="1230"/>
      <c r="L641" s="1230"/>
      <c r="M641" s="1230"/>
      <c r="N641" s="1230"/>
      <c r="O641" s="1232"/>
      <c r="P641" s="1230"/>
      <c r="Q641" s="1230"/>
      <c r="R641" s="1230"/>
      <c r="S641" s="1230"/>
      <c r="T641" s="1230"/>
      <c r="U641" s="1230"/>
      <c r="V641" s="1230"/>
      <c r="W641" s="1230"/>
      <c r="X641" s="1231"/>
      <c r="Y641" s="1230"/>
    </row>
    <row r="642">
      <c r="A642" s="1234"/>
      <c r="B642" s="1230"/>
      <c r="C642" s="1230"/>
      <c r="D642" s="1230"/>
      <c r="E642" s="1230"/>
      <c r="F642" s="1233"/>
      <c r="G642" s="1230"/>
      <c r="H642" s="1230"/>
      <c r="I642" s="1231"/>
      <c r="J642" s="1230"/>
      <c r="K642" s="1230"/>
      <c r="L642" s="1230"/>
      <c r="M642" s="1230"/>
      <c r="N642" s="1230"/>
      <c r="O642" s="1232"/>
      <c r="P642" s="1230"/>
      <c r="Q642" s="1230"/>
      <c r="R642" s="1230"/>
      <c r="S642" s="1230"/>
      <c r="T642" s="1230"/>
      <c r="U642" s="1230"/>
      <c r="V642" s="1230"/>
      <c r="W642" s="1230"/>
      <c r="X642" s="1231"/>
      <c r="Y642" s="1230"/>
    </row>
    <row r="643">
      <c r="A643" s="1234"/>
      <c r="B643" s="1230"/>
      <c r="C643" s="1230"/>
      <c r="D643" s="1230"/>
      <c r="E643" s="1230"/>
      <c r="F643" s="1233"/>
      <c r="G643" s="1230"/>
      <c r="H643" s="1230"/>
      <c r="I643" s="1231"/>
      <c r="J643" s="1230"/>
      <c r="K643" s="1230"/>
      <c r="L643" s="1230"/>
      <c r="M643" s="1230"/>
      <c r="N643" s="1230"/>
      <c r="O643" s="1232"/>
      <c r="P643" s="1230"/>
      <c r="Q643" s="1230"/>
      <c r="R643" s="1230"/>
      <c r="S643" s="1230"/>
      <c r="T643" s="1230"/>
      <c r="U643" s="1230"/>
      <c r="V643" s="1230"/>
      <c r="W643" s="1230"/>
      <c r="X643" s="1231"/>
      <c r="Y643" s="1230"/>
    </row>
    <row r="644">
      <c r="A644" s="1234"/>
      <c r="B644" s="1230"/>
      <c r="C644" s="1230"/>
      <c r="D644" s="1230"/>
      <c r="E644" s="1230"/>
      <c r="F644" s="1233"/>
      <c r="G644" s="1230"/>
      <c r="H644" s="1230"/>
      <c r="I644" s="1231"/>
      <c r="J644" s="1230"/>
      <c r="K644" s="1230"/>
      <c r="L644" s="1230"/>
      <c r="M644" s="1230"/>
      <c r="N644" s="1230"/>
      <c r="O644" s="1232"/>
      <c r="P644" s="1230"/>
      <c r="Q644" s="1230"/>
      <c r="R644" s="1230"/>
      <c r="S644" s="1230"/>
      <c r="T644" s="1230"/>
      <c r="U644" s="1230"/>
      <c r="V644" s="1230"/>
      <c r="W644" s="1230"/>
      <c r="X644" s="1231"/>
      <c r="Y644" s="1230"/>
    </row>
    <row r="645">
      <c r="A645" s="1234"/>
      <c r="B645" s="1230"/>
      <c r="C645" s="1230"/>
      <c r="D645" s="1230"/>
      <c r="E645" s="1230"/>
      <c r="F645" s="1233"/>
      <c r="G645" s="1230"/>
      <c r="H645" s="1230"/>
      <c r="I645" s="1231"/>
      <c r="J645" s="1230"/>
      <c r="K645" s="1230"/>
      <c r="L645" s="1230"/>
      <c r="M645" s="1230"/>
      <c r="N645" s="1230"/>
      <c r="O645" s="1232"/>
      <c r="P645" s="1230"/>
      <c r="Q645" s="1230"/>
      <c r="R645" s="1230"/>
      <c r="S645" s="1230"/>
      <c r="T645" s="1230"/>
      <c r="U645" s="1230"/>
      <c r="V645" s="1230"/>
      <c r="W645" s="1230"/>
      <c r="X645" s="1231"/>
      <c r="Y645" s="1230"/>
    </row>
    <row r="646">
      <c r="A646" s="1234"/>
      <c r="B646" s="1230"/>
      <c r="C646" s="1230"/>
      <c r="D646" s="1230"/>
      <c r="E646" s="1230"/>
      <c r="F646" s="1233"/>
      <c r="G646" s="1230"/>
      <c r="H646" s="1230"/>
      <c r="I646" s="1231"/>
      <c r="J646" s="1230"/>
      <c r="K646" s="1230"/>
      <c r="L646" s="1230"/>
      <c r="M646" s="1230"/>
      <c r="N646" s="1230"/>
      <c r="O646" s="1232"/>
      <c r="P646" s="1230"/>
      <c r="Q646" s="1230"/>
      <c r="R646" s="1230"/>
      <c r="S646" s="1230"/>
      <c r="T646" s="1230"/>
      <c r="U646" s="1230"/>
      <c r="V646" s="1230"/>
      <c r="W646" s="1230"/>
      <c r="X646" s="1231"/>
      <c r="Y646" s="1230"/>
    </row>
    <row r="647">
      <c r="A647" s="1234"/>
      <c r="B647" s="1230"/>
      <c r="C647" s="1230"/>
      <c r="D647" s="1230"/>
      <c r="E647" s="1230"/>
      <c r="F647" s="1233"/>
      <c r="G647" s="1230"/>
      <c r="H647" s="1230"/>
      <c r="I647" s="1231"/>
      <c r="J647" s="1230"/>
      <c r="K647" s="1230"/>
      <c r="L647" s="1230"/>
      <c r="M647" s="1230"/>
      <c r="N647" s="1230"/>
      <c r="O647" s="1232"/>
      <c r="P647" s="1230"/>
      <c r="Q647" s="1230"/>
      <c r="R647" s="1230"/>
      <c r="S647" s="1230"/>
      <c r="T647" s="1230"/>
      <c r="U647" s="1230"/>
      <c r="V647" s="1230"/>
      <c r="W647" s="1230"/>
      <c r="X647" s="1231"/>
      <c r="Y647" s="1230"/>
    </row>
    <row r="648">
      <c r="A648" s="1234"/>
      <c r="B648" s="1230"/>
      <c r="C648" s="1230"/>
      <c r="D648" s="1230"/>
      <c r="E648" s="1230"/>
      <c r="F648" s="1233"/>
      <c r="G648" s="1230"/>
      <c r="H648" s="1230"/>
      <c r="I648" s="1231"/>
      <c r="J648" s="1230"/>
      <c r="K648" s="1230"/>
      <c r="L648" s="1230"/>
      <c r="M648" s="1230"/>
      <c r="N648" s="1230"/>
      <c r="O648" s="1232"/>
      <c r="P648" s="1230"/>
      <c r="Q648" s="1230"/>
      <c r="R648" s="1230"/>
      <c r="S648" s="1230"/>
      <c r="T648" s="1230"/>
      <c r="U648" s="1230"/>
      <c r="V648" s="1230"/>
      <c r="W648" s="1230"/>
      <c r="X648" s="1231"/>
      <c r="Y648" s="1230"/>
    </row>
    <row r="649">
      <c r="A649" s="1234"/>
      <c r="B649" s="1230"/>
      <c r="C649" s="1230"/>
      <c r="D649" s="1230"/>
      <c r="E649" s="1230"/>
      <c r="F649" s="1233"/>
      <c r="G649" s="1230"/>
      <c r="H649" s="1230"/>
      <c r="I649" s="1231"/>
      <c r="J649" s="1230"/>
      <c r="K649" s="1230"/>
      <c r="L649" s="1230"/>
      <c r="M649" s="1230"/>
      <c r="N649" s="1230"/>
      <c r="O649" s="1232"/>
      <c r="P649" s="1230"/>
      <c r="Q649" s="1230"/>
      <c r="R649" s="1230"/>
      <c r="S649" s="1230"/>
      <c r="T649" s="1230"/>
      <c r="U649" s="1230"/>
      <c r="V649" s="1230"/>
      <c r="W649" s="1230"/>
      <c r="X649" s="1231"/>
      <c r="Y649" s="1230"/>
    </row>
    <row r="650">
      <c r="A650" s="1234"/>
      <c r="B650" s="1230"/>
      <c r="C650" s="1230"/>
      <c r="D650" s="1230"/>
      <c r="E650" s="1230"/>
      <c r="F650" s="1233"/>
      <c r="G650" s="1230"/>
      <c r="H650" s="1230"/>
      <c r="I650" s="1231"/>
      <c r="J650" s="1230"/>
      <c r="K650" s="1230"/>
      <c r="L650" s="1230"/>
      <c r="M650" s="1230"/>
      <c r="N650" s="1230"/>
      <c r="O650" s="1232"/>
      <c r="P650" s="1230"/>
      <c r="Q650" s="1230"/>
      <c r="R650" s="1230"/>
      <c r="S650" s="1230"/>
      <c r="T650" s="1230"/>
      <c r="U650" s="1230"/>
      <c r="V650" s="1230"/>
      <c r="W650" s="1230"/>
      <c r="X650" s="1231"/>
      <c r="Y650" s="1230"/>
    </row>
    <row r="651">
      <c r="A651" s="1234"/>
      <c r="B651" s="1230"/>
      <c r="C651" s="1230"/>
      <c r="D651" s="1230"/>
      <c r="E651" s="1230"/>
      <c r="F651" s="1233"/>
      <c r="G651" s="1230"/>
      <c r="H651" s="1230"/>
      <c r="I651" s="1231"/>
      <c r="J651" s="1230"/>
      <c r="K651" s="1230"/>
      <c r="L651" s="1230"/>
      <c r="M651" s="1230"/>
      <c r="N651" s="1230"/>
      <c r="O651" s="1232"/>
      <c r="P651" s="1230"/>
      <c r="Q651" s="1230"/>
      <c r="R651" s="1230"/>
      <c r="S651" s="1230"/>
      <c r="T651" s="1230"/>
      <c r="U651" s="1230"/>
      <c r="V651" s="1230"/>
      <c r="W651" s="1230"/>
      <c r="X651" s="1231"/>
      <c r="Y651" s="1230"/>
    </row>
    <row r="652">
      <c r="A652" s="1234"/>
      <c r="B652" s="1230"/>
      <c r="C652" s="1230"/>
      <c r="D652" s="1230"/>
      <c r="E652" s="1230"/>
      <c r="F652" s="1233"/>
      <c r="G652" s="1230"/>
      <c r="H652" s="1230"/>
      <c r="I652" s="1231"/>
      <c r="J652" s="1230"/>
      <c r="K652" s="1230"/>
      <c r="L652" s="1230"/>
      <c r="M652" s="1230"/>
      <c r="N652" s="1230"/>
      <c r="O652" s="1232"/>
      <c r="P652" s="1230"/>
      <c r="Q652" s="1230"/>
      <c r="R652" s="1230"/>
      <c r="S652" s="1230"/>
      <c r="T652" s="1230"/>
      <c r="U652" s="1230"/>
      <c r="V652" s="1230"/>
      <c r="W652" s="1230"/>
      <c r="X652" s="1231"/>
      <c r="Y652" s="1230"/>
    </row>
    <row r="653">
      <c r="A653" s="1234"/>
      <c r="B653" s="1230"/>
      <c r="C653" s="1230"/>
      <c r="D653" s="1230"/>
      <c r="E653" s="1230"/>
      <c r="F653" s="1233"/>
      <c r="G653" s="1230"/>
      <c r="H653" s="1230"/>
      <c r="I653" s="1231"/>
      <c r="J653" s="1230"/>
      <c r="K653" s="1230"/>
      <c r="L653" s="1230"/>
      <c r="M653" s="1230"/>
      <c r="N653" s="1230"/>
      <c r="O653" s="1232"/>
      <c r="P653" s="1230"/>
      <c r="Q653" s="1230"/>
      <c r="R653" s="1230"/>
      <c r="S653" s="1230"/>
      <c r="T653" s="1230"/>
      <c r="U653" s="1230"/>
      <c r="V653" s="1230"/>
      <c r="W653" s="1230"/>
      <c r="X653" s="1231"/>
      <c r="Y653" s="1230"/>
    </row>
    <row r="654">
      <c r="A654" s="1234"/>
      <c r="B654" s="1230"/>
      <c r="C654" s="1230"/>
      <c r="D654" s="1230"/>
      <c r="E654" s="1230"/>
      <c r="F654" s="1233"/>
      <c r="G654" s="1230"/>
      <c r="H654" s="1230"/>
      <c r="I654" s="1231"/>
      <c r="J654" s="1230"/>
      <c r="K654" s="1230"/>
      <c r="L654" s="1230"/>
      <c r="M654" s="1230"/>
      <c r="N654" s="1230"/>
      <c r="O654" s="1232"/>
      <c r="P654" s="1230"/>
      <c r="Q654" s="1230"/>
      <c r="R654" s="1230"/>
      <c r="S654" s="1230"/>
      <c r="T654" s="1230"/>
      <c r="U654" s="1230"/>
      <c r="V654" s="1230"/>
      <c r="W654" s="1230"/>
      <c r="X654" s="1231"/>
      <c r="Y654" s="1230"/>
    </row>
    <row r="655">
      <c r="A655" s="1234"/>
      <c r="B655" s="1230"/>
      <c r="C655" s="1230"/>
      <c r="D655" s="1230"/>
      <c r="E655" s="1230"/>
      <c r="F655" s="1233"/>
      <c r="G655" s="1230"/>
      <c r="H655" s="1230"/>
      <c r="I655" s="1231"/>
      <c r="J655" s="1230"/>
      <c r="K655" s="1230"/>
      <c r="L655" s="1230"/>
      <c r="M655" s="1230"/>
      <c r="N655" s="1230"/>
      <c r="O655" s="1232"/>
      <c r="P655" s="1230"/>
      <c r="Q655" s="1230"/>
      <c r="R655" s="1230"/>
      <c r="S655" s="1230"/>
      <c r="T655" s="1230"/>
      <c r="U655" s="1230"/>
      <c r="V655" s="1230"/>
      <c r="W655" s="1230"/>
      <c r="X655" s="1231"/>
      <c r="Y655" s="1230"/>
    </row>
    <row r="656">
      <c r="A656" s="1234"/>
      <c r="B656" s="1230"/>
      <c r="C656" s="1230"/>
      <c r="D656" s="1230"/>
      <c r="E656" s="1230"/>
      <c r="F656" s="1233"/>
      <c r="G656" s="1230"/>
      <c r="H656" s="1230"/>
      <c r="I656" s="1231"/>
      <c r="J656" s="1230"/>
      <c r="K656" s="1230"/>
      <c r="L656" s="1230"/>
      <c r="M656" s="1230"/>
      <c r="N656" s="1230"/>
      <c r="O656" s="1232"/>
      <c r="P656" s="1230"/>
      <c r="Q656" s="1230"/>
      <c r="R656" s="1230"/>
      <c r="S656" s="1230"/>
      <c r="T656" s="1230"/>
      <c r="U656" s="1230"/>
      <c r="V656" s="1230"/>
      <c r="W656" s="1230"/>
      <c r="X656" s="1231"/>
      <c r="Y656" s="1230"/>
    </row>
    <row r="657">
      <c r="A657" s="1234"/>
      <c r="B657" s="1230"/>
      <c r="C657" s="1230"/>
      <c r="D657" s="1230"/>
      <c r="E657" s="1230"/>
      <c r="F657" s="1233"/>
      <c r="G657" s="1230"/>
      <c r="H657" s="1230"/>
      <c r="I657" s="1231"/>
      <c r="J657" s="1230"/>
      <c r="K657" s="1230"/>
      <c r="L657" s="1230"/>
      <c r="M657" s="1230"/>
      <c r="N657" s="1230"/>
      <c r="O657" s="1232"/>
      <c r="P657" s="1230"/>
      <c r="Q657" s="1230"/>
      <c r="R657" s="1230"/>
      <c r="S657" s="1230"/>
      <c r="T657" s="1230"/>
      <c r="U657" s="1230"/>
      <c r="V657" s="1230"/>
      <c r="W657" s="1230"/>
      <c r="X657" s="1231"/>
      <c r="Y657" s="1230"/>
    </row>
    <row r="658">
      <c r="A658" s="1234"/>
      <c r="B658" s="1230"/>
      <c r="C658" s="1230"/>
      <c r="D658" s="1230"/>
      <c r="E658" s="1230"/>
      <c r="F658" s="1233"/>
      <c r="G658" s="1230"/>
      <c r="H658" s="1230"/>
      <c r="I658" s="1231"/>
      <c r="J658" s="1230"/>
      <c r="K658" s="1230"/>
      <c r="L658" s="1230"/>
      <c r="M658" s="1230"/>
      <c r="N658" s="1230"/>
      <c r="O658" s="1232"/>
      <c r="P658" s="1230"/>
      <c r="Q658" s="1230"/>
      <c r="R658" s="1230"/>
      <c r="S658" s="1230"/>
      <c r="T658" s="1230"/>
      <c r="U658" s="1230"/>
      <c r="V658" s="1230"/>
      <c r="W658" s="1230"/>
      <c r="X658" s="1231"/>
      <c r="Y658" s="1230"/>
    </row>
    <row r="659">
      <c r="A659" s="1234"/>
      <c r="B659" s="1230"/>
      <c r="C659" s="1230"/>
      <c r="D659" s="1230"/>
      <c r="E659" s="1230"/>
      <c r="F659" s="1233"/>
      <c r="G659" s="1230"/>
      <c r="H659" s="1230"/>
      <c r="I659" s="1231"/>
      <c r="J659" s="1230"/>
      <c r="K659" s="1230"/>
      <c r="L659" s="1230"/>
      <c r="M659" s="1230"/>
      <c r="N659" s="1230"/>
      <c r="O659" s="1232"/>
      <c r="P659" s="1230"/>
      <c r="Q659" s="1230"/>
      <c r="R659" s="1230"/>
      <c r="S659" s="1230"/>
      <c r="T659" s="1230"/>
      <c r="U659" s="1230"/>
      <c r="V659" s="1230"/>
      <c r="W659" s="1230"/>
      <c r="X659" s="1231"/>
      <c r="Y659" s="1230"/>
    </row>
    <row r="660">
      <c r="A660" s="1234"/>
      <c r="B660" s="1230"/>
      <c r="C660" s="1230"/>
      <c r="D660" s="1230"/>
      <c r="E660" s="1230"/>
      <c r="F660" s="1233"/>
      <c r="G660" s="1230"/>
      <c r="H660" s="1230"/>
      <c r="I660" s="1231"/>
      <c r="J660" s="1230"/>
      <c r="K660" s="1230"/>
      <c r="L660" s="1230"/>
      <c r="M660" s="1230"/>
      <c r="N660" s="1230"/>
      <c r="O660" s="1232"/>
      <c r="P660" s="1230"/>
      <c r="Q660" s="1230"/>
      <c r="R660" s="1230"/>
      <c r="S660" s="1230"/>
      <c r="T660" s="1230"/>
      <c r="U660" s="1230"/>
      <c r="V660" s="1230"/>
      <c r="W660" s="1230"/>
      <c r="X660" s="1231"/>
      <c r="Y660" s="1230"/>
    </row>
    <row r="661">
      <c r="A661" s="1234"/>
      <c r="B661" s="1230"/>
      <c r="C661" s="1230"/>
      <c r="D661" s="1230"/>
      <c r="E661" s="1230"/>
      <c r="F661" s="1233"/>
      <c r="G661" s="1230"/>
      <c r="H661" s="1230"/>
      <c r="I661" s="1231"/>
      <c r="J661" s="1230"/>
      <c r="K661" s="1230"/>
      <c r="L661" s="1230"/>
      <c r="M661" s="1230"/>
      <c r="N661" s="1230"/>
      <c r="O661" s="1232"/>
      <c r="P661" s="1230"/>
      <c r="Q661" s="1230"/>
      <c r="R661" s="1230"/>
      <c r="S661" s="1230"/>
      <c r="T661" s="1230"/>
      <c r="U661" s="1230"/>
      <c r="V661" s="1230"/>
      <c r="W661" s="1230"/>
      <c r="X661" s="1231"/>
      <c r="Y661" s="1230"/>
    </row>
    <row r="662">
      <c r="A662" s="1234"/>
      <c r="B662" s="1230"/>
      <c r="C662" s="1230"/>
      <c r="D662" s="1230"/>
      <c r="E662" s="1230"/>
      <c r="F662" s="1233"/>
      <c r="G662" s="1230"/>
      <c r="H662" s="1230"/>
      <c r="I662" s="1231"/>
      <c r="J662" s="1230"/>
      <c r="K662" s="1230"/>
      <c r="L662" s="1230"/>
      <c r="M662" s="1230"/>
      <c r="N662" s="1230"/>
      <c r="O662" s="1232"/>
      <c r="P662" s="1230"/>
      <c r="Q662" s="1230"/>
      <c r="R662" s="1230"/>
      <c r="S662" s="1230"/>
      <c r="T662" s="1230"/>
      <c r="U662" s="1230"/>
      <c r="V662" s="1230"/>
      <c r="W662" s="1230"/>
      <c r="X662" s="1231"/>
      <c r="Y662" s="1230"/>
    </row>
    <row r="663">
      <c r="A663" s="1234"/>
      <c r="B663" s="1230"/>
      <c r="C663" s="1230"/>
      <c r="D663" s="1230"/>
      <c r="E663" s="1230"/>
      <c r="F663" s="1233"/>
      <c r="G663" s="1230"/>
      <c r="H663" s="1230"/>
      <c r="I663" s="1231"/>
      <c r="J663" s="1230"/>
      <c r="K663" s="1230"/>
      <c r="L663" s="1230"/>
      <c r="M663" s="1230"/>
      <c r="N663" s="1230"/>
      <c r="O663" s="1232"/>
      <c r="P663" s="1230"/>
      <c r="Q663" s="1230"/>
      <c r="R663" s="1230"/>
      <c r="S663" s="1230"/>
      <c r="T663" s="1230"/>
      <c r="U663" s="1230"/>
      <c r="V663" s="1230"/>
      <c r="W663" s="1230"/>
      <c r="X663" s="1231"/>
      <c r="Y663" s="1230"/>
    </row>
    <row r="664">
      <c r="A664" s="1234"/>
      <c r="B664" s="1230"/>
      <c r="C664" s="1230"/>
      <c r="D664" s="1230"/>
      <c r="E664" s="1230"/>
      <c r="F664" s="1233"/>
      <c r="G664" s="1230"/>
      <c r="H664" s="1230"/>
      <c r="I664" s="1231"/>
      <c r="J664" s="1230"/>
      <c r="K664" s="1230"/>
      <c r="L664" s="1230"/>
      <c r="M664" s="1230"/>
      <c r="N664" s="1230"/>
      <c r="O664" s="1232"/>
      <c r="P664" s="1230"/>
      <c r="Q664" s="1230"/>
      <c r="R664" s="1230"/>
      <c r="S664" s="1230"/>
      <c r="T664" s="1230"/>
      <c r="U664" s="1230"/>
      <c r="V664" s="1230"/>
      <c r="W664" s="1230"/>
      <c r="X664" s="1231"/>
      <c r="Y664" s="1230"/>
    </row>
    <row r="665">
      <c r="A665" s="1234"/>
      <c r="B665" s="1230"/>
      <c r="C665" s="1230"/>
      <c r="D665" s="1230"/>
      <c r="E665" s="1230"/>
      <c r="F665" s="1233"/>
      <c r="G665" s="1230"/>
      <c r="H665" s="1230"/>
      <c r="I665" s="1231"/>
      <c r="J665" s="1230"/>
      <c r="K665" s="1230"/>
      <c r="L665" s="1230"/>
      <c r="M665" s="1230"/>
      <c r="N665" s="1230"/>
      <c r="O665" s="1232"/>
      <c r="P665" s="1230"/>
      <c r="Q665" s="1230"/>
      <c r="R665" s="1230"/>
      <c r="S665" s="1230"/>
      <c r="T665" s="1230"/>
      <c r="U665" s="1230"/>
      <c r="V665" s="1230"/>
      <c r="W665" s="1230"/>
      <c r="X665" s="1231"/>
      <c r="Y665" s="1230"/>
    </row>
    <row r="666">
      <c r="A666" s="1234"/>
      <c r="B666" s="1230"/>
      <c r="C666" s="1230"/>
      <c r="D666" s="1230"/>
      <c r="E666" s="1230"/>
      <c r="F666" s="1233"/>
      <c r="G666" s="1230"/>
      <c r="H666" s="1230"/>
      <c r="I666" s="1231"/>
      <c r="J666" s="1230"/>
      <c r="K666" s="1230"/>
      <c r="L666" s="1230"/>
      <c r="M666" s="1230"/>
      <c r="N666" s="1230"/>
      <c r="O666" s="1232"/>
      <c r="P666" s="1230"/>
      <c r="Q666" s="1230"/>
      <c r="R666" s="1230"/>
      <c r="S666" s="1230"/>
      <c r="T666" s="1230"/>
      <c r="U666" s="1230"/>
      <c r="V666" s="1230"/>
      <c r="W666" s="1230"/>
      <c r="X666" s="1231"/>
      <c r="Y666" s="1230"/>
    </row>
    <row r="667">
      <c r="A667" s="1234"/>
      <c r="B667" s="1230"/>
      <c r="C667" s="1230"/>
      <c r="D667" s="1230"/>
      <c r="E667" s="1230"/>
      <c r="F667" s="1233"/>
      <c r="G667" s="1230"/>
      <c r="H667" s="1230"/>
      <c r="I667" s="1231"/>
      <c r="J667" s="1230"/>
      <c r="K667" s="1230"/>
      <c r="L667" s="1230"/>
      <c r="M667" s="1230"/>
      <c r="N667" s="1230"/>
      <c r="O667" s="1232"/>
      <c r="P667" s="1230"/>
      <c r="Q667" s="1230"/>
      <c r="R667" s="1230"/>
      <c r="S667" s="1230"/>
      <c r="T667" s="1230"/>
      <c r="U667" s="1230"/>
      <c r="V667" s="1230"/>
      <c r="W667" s="1230"/>
      <c r="X667" s="1231"/>
      <c r="Y667" s="1230"/>
    </row>
    <row r="668">
      <c r="A668" s="1234"/>
      <c r="B668" s="1230"/>
      <c r="C668" s="1230"/>
      <c r="D668" s="1230"/>
      <c r="E668" s="1230"/>
      <c r="F668" s="1233"/>
      <c r="G668" s="1230"/>
      <c r="H668" s="1230"/>
      <c r="I668" s="1231"/>
      <c r="J668" s="1230"/>
      <c r="K668" s="1230"/>
      <c r="L668" s="1230"/>
      <c r="M668" s="1230"/>
      <c r="N668" s="1230"/>
      <c r="O668" s="1232"/>
      <c r="P668" s="1230"/>
      <c r="Q668" s="1230"/>
      <c r="R668" s="1230"/>
      <c r="S668" s="1230"/>
      <c r="T668" s="1230"/>
      <c r="U668" s="1230"/>
      <c r="V668" s="1230"/>
      <c r="W668" s="1230"/>
      <c r="X668" s="1231"/>
      <c r="Y668" s="1230"/>
    </row>
    <row r="669">
      <c r="A669" s="1234"/>
      <c r="B669" s="1230"/>
      <c r="C669" s="1230"/>
      <c r="D669" s="1230"/>
      <c r="E669" s="1230"/>
      <c r="F669" s="1233"/>
      <c r="G669" s="1230"/>
      <c r="H669" s="1230"/>
      <c r="I669" s="1231"/>
      <c r="J669" s="1230"/>
      <c r="K669" s="1230"/>
      <c r="L669" s="1230"/>
      <c r="M669" s="1230"/>
      <c r="N669" s="1230"/>
      <c r="O669" s="1232"/>
      <c r="P669" s="1230"/>
      <c r="Q669" s="1230"/>
      <c r="R669" s="1230"/>
      <c r="S669" s="1230"/>
      <c r="T669" s="1230"/>
      <c r="U669" s="1230"/>
      <c r="V669" s="1230"/>
      <c r="W669" s="1230"/>
      <c r="X669" s="1231"/>
      <c r="Y669" s="1230"/>
    </row>
    <row r="670">
      <c r="A670" s="1234"/>
      <c r="B670" s="1230"/>
      <c r="C670" s="1230"/>
      <c r="D670" s="1230"/>
      <c r="E670" s="1230"/>
      <c r="F670" s="1233"/>
      <c r="G670" s="1230"/>
      <c r="H670" s="1230"/>
      <c r="I670" s="1231"/>
      <c r="J670" s="1230"/>
      <c r="K670" s="1230"/>
      <c r="L670" s="1230"/>
      <c r="M670" s="1230"/>
      <c r="N670" s="1230"/>
      <c r="O670" s="1232"/>
      <c r="P670" s="1230"/>
      <c r="Q670" s="1230"/>
      <c r="R670" s="1230"/>
      <c r="S670" s="1230"/>
      <c r="T670" s="1230"/>
      <c r="U670" s="1230"/>
      <c r="V670" s="1230"/>
      <c r="W670" s="1230"/>
      <c r="X670" s="1231"/>
      <c r="Y670" s="1230"/>
    </row>
    <row r="671">
      <c r="A671" s="1234"/>
      <c r="B671" s="1230"/>
      <c r="C671" s="1230"/>
      <c r="D671" s="1230"/>
      <c r="E671" s="1230"/>
      <c r="F671" s="1233"/>
      <c r="G671" s="1230"/>
      <c r="H671" s="1230"/>
      <c r="I671" s="1231"/>
      <c r="J671" s="1230"/>
      <c r="K671" s="1230"/>
      <c r="L671" s="1230"/>
      <c r="M671" s="1230"/>
      <c r="N671" s="1230"/>
      <c r="O671" s="1232"/>
      <c r="P671" s="1230"/>
      <c r="Q671" s="1230"/>
      <c r="R671" s="1230"/>
      <c r="S671" s="1230"/>
      <c r="T671" s="1230"/>
      <c r="U671" s="1230"/>
      <c r="V671" s="1230"/>
      <c r="W671" s="1230"/>
      <c r="X671" s="1231"/>
      <c r="Y671" s="1230"/>
    </row>
    <row r="672">
      <c r="A672" s="1234"/>
      <c r="B672" s="1230"/>
      <c r="C672" s="1230"/>
      <c r="D672" s="1230"/>
      <c r="E672" s="1230"/>
      <c r="F672" s="1233"/>
      <c r="G672" s="1230"/>
      <c r="H672" s="1230"/>
      <c r="I672" s="1231"/>
      <c r="J672" s="1230"/>
      <c r="K672" s="1230"/>
      <c r="L672" s="1230"/>
      <c r="M672" s="1230"/>
      <c r="N672" s="1230"/>
      <c r="O672" s="1232"/>
      <c r="P672" s="1230"/>
      <c r="Q672" s="1230"/>
      <c r="R672" s="1230"/>
      <c r="S672" s="1230"/>
      <c r="T672" s="1230"/>
      <c r="U672" s="1230"/>
      <c r="V672" s="1230"/>
      <c r="W672" s="1230"/>
      <c r="X672" s="1231"/>
      <c r="Y672" s="1230"/>
    </row>
    <row r="673">
      <c r="A673" s="1234"/>
      <c r="B673" s="1230"/>
      <c r="C673" s="1230"/>
      <c r="D673" s="1230"/>
      <c r="E673" s="1230"/>
      <c r="F673" s="1233"/>
      <c r="G673" s="1230"/>
      <c r="H673" s="1230"/>
      <c r="I673" s="1231"/>
      <c r="J673" s="1230"/>
      <c r="K673" s="1230"/>
      <c r="L673" s="1230"/>
      <c r="M673" s="1230"/>
      <c r="N673" s="1230"/>
      <c r="O673" s="1232"/>
      <c r="P673" s="1230"/>
      <c r="Q673" s="1230"/>
      <c r="R673" s="1230"/>
      <c r="S673" s="1230"/>
      <c r="T673" s="1230"/>
      <c r="U673" s="1230"/>
      <c r="V673" s="1230"/>
      <c r="W673" s="1230"/>
      <c r="X673" s="1231"/>
      <c r="Y673" s="1230"/>
    </row>
    <row r="674">
      <c r="A674" s="1234"/>
      <c r="B674" s="1230"/>
      <c r="C674" s="1230"/>
      <c r="D674" s="1230"/>
      <c r="E674" s="1230"/>
      <c r="F674" s="1233"/>
      <c r="G674" s="1230"/>
      <c r="H674" s="1230"/>
      <c r="I674" s="1231"/>
      <c r="J674" s="1230"/>
      <c r="K674" s="1230"/>
      <c r="L674" s="1230"/>
      <c r="M674" s="1230"/>
      <c r="N674" s="1230"/>
      <c r="O674" s="1232"/>
      <c r="P674" s="1230"/>
      <c r="Q674" s="1230"/>
      <c r="R674" s="1230"/>
      <c r="S674" s="1230"/>
      <c r="T674" s="1230"/>
      <c r="U674" s="1230"/>
      <c r="V674" s="1230"/>
      <c r="W674" s="1230"/>
      <c r="X674" s="1231"/>
      <c r="Y674" s="1230"/>
    </row>
    <row r="675">
      <c r="A675" s="1234"/>
      <c r="B675" s="1230"/>
      <c r="C675" s="1230"/>
      <c r="D675" s="1230"/>
      <c r="E675" s="1230"/>
      <c r="F675" s="1233"/>
      <c r="G675" s="1230"/>
      <c r="H675" s="1230"/>
      <c r="I675" s="1231"/>
      <c r="J675" s="1230"/>
      <c r="K675" s="1230"/>
      <c r="L675" s="1230"/>
      <c r="M675" s="1230"/>
      <c r="N675" s="1230"/>
      <c r="O675" s="1232"/>
      <c r="P675" s="1230"/>
      <c r="Q675" s="1230"/>
      <c r="R675" s="1230"/>
      <c r="S675" s="1230"/>
      <c r="T675" s="1230"/>
      <c r="U675" s="1230"/>
      <c r="V675" s="1230"/>
      <c r="W675" s="1230"/>
      <c r="X675" s="1231"/>
      <c r="Y675" s="1230"/>
    </row>
    <row r="676">
      <c r="A676" s="1234"/>
      <c r="B676" s="1230"/>
      <c r="C676" s="1230"/>
      <c r="D676" s="1230"/>
      <c r="E676" s="1230"/>
      <c r="F676" s="1233"/>
      <c r="G676" s="1230"/>
      <c r="H676" s="1230"/>
      <c r="I676" s="1231"/>
      <c r="J676" s="1230"/>
      <c r="K676" s="1230"/>
      <c r="L676" s="1230"/>
      <c r="M676" s="1230"/>
      <c r="N676" s="1230"/>
      <c r="O676" s="1232"/>
      <c r="P676" s="1230"/>
      <c r="Q676" s="1230"/>
      <c r="R676" s="1230"/>
      <c r="S676" s="1230"/>
      <c r="T676" s="1230"/>
      <c r="U676" s="1230"/>
      <c r="V676" s="1230"/>
      <c r="W676" s="1230"/>
      <c r="X676" s="1231"/>
      <c r="Y676" s="1230"/>
    </row>
    <row r="677">
      <c r="A677" s="1234"/>
      <c r="B677" s="1230"/>
      <c r="C677" s="1230"/>
      <c r="D677" s="1230"/>
      <c r="E677" s="1230"/>
      <c r="F677" s="1233"/>
      <c r="G677" s="1230"/>
      <c r="H677" s="1230"/>
      <c r="I677" s="1231"/>
      <c r="J677" s="1230"/>
      <c r="K677" s="1230"/>
      <c r="L677" s="1230"/>
      <c r="M677" s="1230"/>
      <c r="N677" s="1230"/>
      <c r="O677" s="1232"/>
      <c r="P677" s="1230"/>
      <c r="Q677" s="1230"/>
      <c r="R677" s="1230"/>
      <c r="S677" s="1230"/>
      <c r="T677" s="1230"/>
      <c r="U677" s="1230"/>
      <c r="V677" s="1230"/>
      <c r="W677" s="1230"/>
      <c r="X677" s="1231"/>
      <c r="Y677" s="1230"/>
    </row>
    <row r="678">
      <c r="A678" s="1234"/>
      <c r="B678" s="1230"/>
      <c r="C678" s="1230"/>
      <c r="D678" s="1230"/>
      <c r="E678" s="1230"/>
      <c r="F678" s="1233"/>
      <c r="G678" s="1230"/>
      <c r="H678" s="1230"/>
      <c r="I678" s="1231"/>
      <c r="J678" s="1230"/>
      <c r="K678" s="1230"/>
      <c r="L678" s="1230"/>
      <c r="M678" s="1230"/>
      <c r="N678" s="1230"/>
      <c r="O678" s="1232"/>
      <c r="P678" s="1230"/>
      <c r="Q678" s="1230"/>
      <c r="R678" s="1230"/>
      <c r="S678" s="1230"/>
      <c r="T678" s="1230"/>
      <c r="U678" s="1230"/>
      <c r="V678" s="1230"/>
      <c r="W678" s="1230"/>
      <c r="X678" s="1231"/>
      <c r="Y678" s="1230"/>
    </row>
    <row r="679">
      <c r="A679" s="1234"/>
      <c r="B679" s="1230"/>
      <c r="C679" s="1230"/>
      <c r="D679" s="1230"/>
      <c r="E679" s="1230"/>
      <c r="F679" s="1233"/>
      <c r="G679" s="1230"/>
      <c r="H679" s="1230"/>
      <c r="I679" s="1231"/>
      <c r="J679" s="1230"/>
      <c r="K679" s="1230"/>
      <c r="L679" s="1230"/>
      <c r="M679" s="1230"/>
      <c r="N679" s="1230"/>
      <c r="O679" s="1232"/>
      <c r="P679" s="1230"/>
      <c r="Q679" s="1230"/>
      <c r="R679" s="1230"/>
      <c r="S679" s="1230"/>
      <c r="T679" s="1230"/>
      <c r="U679" s="1230"/>
      <c r="V679" s="1230"/>
      <c r="W679" s="1230"/>
      <c r="X679" s="1231"/>
      <c r="Y679" s="1230"/>
    </row>
    <row r="680">
      <c r="A680" s="1234"/>
      <c r="B680" s="1230"/>
      <c r="C680" s="1230"/>
      <c r="D680" s="1230"/>
      <c r="E680" s="1230"/>
      <c r="F680" s="1233"/>
      <c r="G680" s="1230"/>
      <c r="H680" s="1230"/>
      <c r="I680" s="1231"/>
      <c r="J680" s="1230"/>
      <c r="K680" s="1230"/>
      <c r="L680" s="1230"/>
      <c r="M680" s="1230"/>
      <c r="N680" s="1230"/>
      <c r="O680" s="1232"/>
      <c r="P680" s="1230"/>
      <c r="Q680" s="1230"/>
      <c r="R680" s="1230"/>
      <c r="S680" s="1230"/>
      <c r="T680" s="1230"/>
      <c r="U680" s="1230"/>
      <c r="V680" s="1230"/>
      <c r="W680" s="1230"/>
      <c r="X680" s="1231"/>
      <c r="Y680" s="1230"/>
    </row>
    <row r="681">
      <c r="A681" s="1234"/>
      <c r="B681" s="1230"/>
      <c r="C681" s="1230"/>
      <c r="D681" s="1230"/>
      <c r="E681" s="1230"/>
      <c r="F681" s="1233"/>
      <c r="G681" s="1230"/>
      <c r="H681" s="1230"/>
      <c r="I681" s="1231"/>
      <c r="J681" s="1230"/>
      <c r="K681" s="1230"/>
      <c r="L681" s="1230"/>
      <c r="M681" s="1230"/>
      <c r="N681" s="1230"/>
      <c r="O681" s="1232"/>
      <c r="P681" s="1230"/>
      <c r="Q681" s="1230"/>
      <c r="R681" s="1230"/>
      <c r="S681" s="1230"/>
      <c r="T681" s="1230"/>
      <c r="U681" s="1230"/>
      <c r="V681" s="1230"/>
      <c r="W681" s="1230"/>
      <c r="X681" s="1231"/>
      <c r="Y681" s="1230"/>
    </row>
    <row r="682">
      <c r="A682" s="1234"/>
      <c r="B682" s="1230"/>
      <c r="C682" s="1230"/>
      <c r="D682" s="1230"/>
      <c r="E682" s="1230"/>
      <c r="F682" s="1233"/>
      <c r="G682" s="1230"/>
      <c r="H682" s="1230"/>
      <c r="I682" s="1231"/>
      <c r="J682" s="1230"/>
      <c r="K682" s="1230"/>
      <c r="L682" s="1230"/>
      <c r="M682" s="1230"/>
      <c r="N682" s="1230"/>
      <c r="O682" s="1232"/>
      <c r="P682" s="1230"/>
      <c r="Q682" s="1230"/>
      <c r="R682" s="1230"/>
      <c r="S682" s="1230"/>
      <c r="T682" s="1230"/>
      <c r="U682" s="1230"/>
      <c r="V682" s="1230"/>
      <c r="W682" s="1230"/>
      <c r="X682" s="1231"/>
      <c r="Y682" s="1230"/>
    </row>
    <row r="683">
      <c r="A683" s="1234"/>
      <c r="B683" s="1230"/>
      <c r="C683" s="1230"/>
      <c r="D683" s="1230"/>
      <c r="E683" s="1230"/>
      <c r="F683" s="1233"/>
      <c r="G683" s="1230"/>
      <c r="H683" s="1230"/>
      <c r="I683" s="1231"/>
      <c r="J683" s="1230"/>
      <c r="K683" s="1230"/>
      <c r="L683" s="1230"/>
      <c r="M683" s="1230"/>
      <c r="N683" s="1230"/>
      <c r="O683" s="1232"/>
      <c r="P683" s="1230"/>
      <c r="Q683" s="1230"/>
      <c r="R683" s="1230"/>
      <c r="S683" s="1230"/>
      <c r="T683" s="1230"/>
      <c r="U683" s="1230"/>
      <c r="V683" s="1230"/>
      <c r="W683" s="1230"/>
      <c r="X683" s="1231"/>
      <c r="Y683" s="1230"/>
    </row>
    <row r="684">
      <c r="A684" s="1234"/>
      <c r="B684" s="1230"/>
      <c r="C684" s="1230"/>
      <c r="D684" s="1230"/>
      <c r="E684" s="1230"/>
      <c r="F684" s="1233"/>
      <c r="G684" s="1230"/>
      <c r="H684" s="1230"/>
      <c r="I684" s="1231"/>
      <c r="J684" s="1230"/>
      <c r="K684" s="1230"/>
      <c r="L684" s="1230"/>
      <c r="M684" s="1230"/>
      <c r="N684" s="1230"/>
      <c r="O684" s="1232"/>
      <c r="P684" s="1230"/>
      <c r="Q684" s="1230"/>
      <c r="R684" s="1230"/>
      <c r="S684" s="1230"/>
      <c r="T684" s="1230"/>
      <c r="U684" s="1230"/>
      <c r="V684" s="1230"/>
      <c r="W684" s="1230"/>
      <c r="X684" s="1231"/>
      <c r="Y684" s="1230"/>
    </row>
    <row r="685">
      <c r="A685" s="1234"/>
      <c r="B685" s="1230"/>
      <c r="C685" s="1230"/>
      <c r="D685" s="1230"/>
      <c r="E685" s="1230"/>
      <c r="F685" s="1233"/>
      <c r="G685" s="1230"/>
      <c r="H685" s="1230"/>
      <c r="I685" s="1231"/>
      <c r="J685" s="1230"/>
      <c r="K685" s="1230"/>
      <c r="L685" s="1230"/>
      <c r="M685" s="1230"/>
      <c r="N685" s="1230"/>
      <c r="O685" s="1232"/>
      <c r="P685" s="1230"/>
      <c r="Q685" s="1230"/>
      <c r="R685" s="1230"/>
      <c r="S685" s="1230"/>
      <c r="T685" s="1230"/>
      <c r="U685" s="1230"/>
      <c r="V685" s="1230"/>
      <c r="W685" s="1230"/>
      <c r="X685" s="1231"/>
      <c r="Y685" s="1230"/>
    </row>
    <row r="686">
      <c r="A686" s="1234"/>
      <c r="B686" s="1230"/>
      <c r="C686" s="1230"/>
      <c r="D686" s="1230"/>
      <c r="E686" s="1230"/>
      <c r="F686" s="1233"/>
      <c r="G686" s="1230"/>
      <c r="H686" s="1230"/>
      <c r="I686" s="1231"/>
      <c r="J686" s="1230"/>
      <c r="K686" s="1230"/>
      <c r="L686" s="1230"/>
      <c r="M686" s="1230"/>
      <c r="N686" s="1230"/>
      <c r="O686" s="1232"/>
      <c r="P686" s="1230"/>
      <c r="Q686" s="1230"/>
      <c r="R686" s="1230"/>
      <c r="S686" s="1230"/>
      <c r="T686" s="1230"/>
      <c r="U686" s="1230"/>
      <c r="V686" s="1230"/>
      <c r="W686" s="1230"/>
      <c r="X686" s="1231"/>
      <c r="Y686" s="1230"/>
    </row>
    <row r="687">
      <c r="A687" s="1234"/>
      <c r="B687" s="1230"/>
      <c r="C687" s="1230"/>
      <c r="D687" s="1230"/>
      <c r="E687" s="1230"/>
      <c r="F687" s="1233"/>
      <c r="G687" s="1230"/>
      <c r="H687" s="1230"/>
      <c r="I687" s="1231"/>
      <c r="J687" s="1230"/>
      <c r="K687" s="1230"/>
      <c r="L687" s="1230"/>
      <c r="M687" s="1230"/>
      <c r="N687" s="1230"/>
      <c r="O687" s="1232"/>
      <c r="P687" s="1230"/>
      <c r="Q687" s="1230"/>
      <c r="R687" s="1230"/>
      <c r="S687" s="1230"/>
      <c r="T687" s="1230"/>
      <c r="U687" s="1230"/>
      <c r="V687" s="1230"/>
      <c r="W687" s="1230"/>
      <c r="X687" s="1231"/>
      <c r="Y687" s="1230"/>
    </row>
    <row r="688">
      <c r="A688" s="1234"/>
      <c r="B688" s="1230"/>
      <c r="C688" s="1230"/>
      <c r="D688" s="1230"/>
      <c r="E688" s="1230"/>
      <c r="F688" s="1233"/>
      <c r="G688" s="1230"/>
      <c r="H688" s="1230"/>
      <c r="I688" s="1231"/>
      <c r="J688" s="1230"/>
      <c r="K688" s="1230"/>
      <c r="L688" s="1230"/>
      <c r="M688" s="1230"/>
      <c r="N688" s="1230"/>
      <c r="O688" s="1232"/>
      <c r="P688" s="1230"/>
      <c r="Q688" s="1230"/>
      <c r="R688" s="1230"/>
      <c r="S688" s="1230"/>
      <c r="T688" s="1230"/>
      <c r="U688" s="1230"/>
      <c r="V688" s="1230"/>
      <c r="W688" s="1230"/>
      <c r="X688" s="1231"/>
      <c r="Y688" s="1230"/>
    </row>
    <row r="689">
      <c r="A689" s="1234"/>
      <c r="B689" s="1230"/>
      <c r="C689" s="1230"/>
      <c r="D689" s="1230"/>
      <c r="E689" s="1230"/>
      <c r="F689" s="1233"/>
      <c r="G689" s="1230"/>
      <c r="H689" s="1230"/>
      <c r="I689" s="1231"/>
      <c r="J689" s="1230"/>
      <c r="K689" s="1230"/>
      <c r="L689" s="1230"/>
      <c r="M689" s="1230"/>
      <c r="N689" s="1230"/>
      <c r="O689" s="1232"/>
      <c r="P689" s="1230"/>
      <c r="Q689" s="1230"/>
      <c r="R689" s="1230"/>
      <c r="S689" s="1230"/>
      <c r="T689" s="1230"/>
      <c r="U689" s="1230"/>
      <c r="V689" s="1230"/>
      <c r="W689" s="1230"/>
      <c r="X689" s="1231"/>
      <c r="Y689" s="1230"/>
    </row>
    <row r="690">
      <c r="A690" s="1234"/>
      <c r="B690" s="1230"/>
      <c r="C690" s="1230"/>
      <c r="D690" s="1230"/>
      <c r="E690" s="1230"/>
      <c r="F690" s="1233"/>
      <c r="G690" s="1230"/>
      <c r="H690" s="1230"/>
      <c r="I690" s="1231"/>
      <c r="J690" s="1230"/>
      <c r="K690" s="1230"/>
      <c r="L690" s="1230"/>
      <c r="M690" s="1230"/>
      <c r="N690" s="1230"/>
      <c r="O690" s="1232"/>
      <c r="P690" s="1230"/>
      <c r="Q690" s="1230"/>
      <c r="R690" s="1230"/>
      <c r="S690" s="1230"/>
      <c r="T690" s="1230"/>
      <c r="U690" s="1230"/>
      <c r="V690" s="1230"/>
      <c r="W690" s="1230"/>
      <c r="X690" s="1231"/>
      <c r="Y690" s="1230"/>
    </row>
    <row r="691">
      <c r="A691" s="1234"/>
      <c r="B691" s="1230"/>
      <c r="C691" s="1230"/>
      <c r="D691" s="1230"/>
      <c r="E691" s="1230"/>
      <c r="F691" s="1233"/>
      <c r="G691" s="1230"/>
      <c r="H691" s="1230"/>
      <c r="I691" s="1231"/>
      <c r="J691" s="1230"/>
      <c r="K691" s="1230"/>
      <c r="L691" s="1230"/>
      <c r="M691" s="1230"/>
      <c r="N691" s="1230"/>
      <c r="O691" s="1232"/>
      <c r="P691" s="1230"/>
      <c r="Q691" s="1230"/>
      <c r="R691" s="1230"/>
      <c r="S691" s="1230"/>
      <c r="T691" s="1230"/>
      <c r="U691" s="1230"/>
      <c r="V691" s="1230"/>
      <c r="W691" s="1230"/>
      <c r="X691" s="1231"/>
      <c r="Y691" s="1230"/>
    </row>
    <row r="692">
      <c r="A692" s="1234"/>
      <c r="B692" s="1230"/>
      <c r="C692" s="1230"/>
      <c r="D692" s="1230"/>
      <c r="E692" s="1230"/>
      <c r="F692" s="1233"/>
      <c r="G692" s="1230"/>
      <c r="H692" s="1230"/>
      <c r="I692" s="1231"/>
      <c r="J692" s="1230"/>
      <c r="K692" s="1230"/>
      <c r="L692" s="1230"/>
      <c r="M692" s="1230"/>
      <c r="N692" s="1230"/>
      <c r="O692" s="1232"/>
      <c r="P692" s="1230"/>
      <c r="Q692" s="1230"/>
      <c r="R692" s="1230"/>
      <c r="S692" s="1230"/>
      <c r="T692" s="1230"/>
      <c r="U692" s="1230"/>
      <c r="V692" s="1230"/>
      <c r="W692" s="1230"/>
      <c r="X692" s="1231"/>
      <c r="Y692" s="1230"/>
    </row>
    <row r="693">
      <c r="A693" s="1234"/>
      <c r="B693" s="1230"/>
      <c r="C693" s="1230"/>
      <c r="D693" s="1230"/>
      <c r="E693" s="1230"/>
      <c r="F693" s="1233"/>
      <c r="G693" s="1230"/>
      <c r="H693" s="1230"/>
      <c r="I693" s="1231"/>
      <c r="J693" s="1230"/>
      <c r="K693" s="1230"/>
      <c r="L693" s="1230"/>
      <c r="M693" s="1230"/>
      <c r="N693" s="1230"/>
      <c r="O693" s="1232"/>
      <c r="P693" s="1230"/>
      <c r="Q693" s="1230"/>
      <c r="R693" s="1230"/>
      <c r="S693" s="1230"/>
      <c r="T693" s="1230"/>
      <c r="U693" s="1230"/>
      <c r="V693" s="1230"/>
      <c r="W693" s="1230"/>
      <c r="X693" s="1231"/>
      <c r="Y693" s="1230"/>
    </row>
    <row r="694">
      <c r="A694" s="1234"/>
      <c r="B694" s="1230"/>
      <c r="C694" s="1230"/>
      <c r="D694" s="1230"/>
      <c r="E694" s="1230"/>
      <c r="F694" s="1233"/>
      <c r="G694" s="1230"/>
      <c r="H694" s="1230"/>
      <c r="I694" s="1231"/>
      <c r="J694" s="1230"/>
      <c r="K694" s="1230"/>
      <c r="L694" s="1230"/>
      <c r="M694" s="1230"/>
      <c r="N694" s="1230"/>
      <c r="O694" s="1232"/>
      <c r="P694" s="1230"/>
      <c r="Q694" s="1230"/>
      <c r="R694" s="1230"/>
      <c r="S694" s="1230"/>
      <c r="T694" s="1230"/>
      <c r="U694" s="1230"/>
      <c r="V694" s="1230"/>
      <c r="W694" s="1230"/>
      <c r="X694" s="1231"/>
      <c r="Y694" s="1230"/>
    </row>
    <row r="695">
      <c r="A695" s="1234"/>
      <c r="B695" s="1230"/>
      <c r="C695" s="1230"/>
      <c r="D695" s="1230"/>
      <c r="E695" s="1230"/>
      <c r="F695" s="1233"/>
      <c r="G695" s="1230"/>
      <c r="H695" s="1230"/>
      <c r="I695" s="1231"/>
      <c r="J695" s="1230"/>
      <c r="K695" s="1230"/>
      <c r="L695" s="1230"/>
      <c r="M695" s="1230"/>
      <c r="N695" s="1230"/>
      <c r="O695" s="1232"/>
      <c r="P695" s="1230"/>
      <c r="Q695" s="1230"/>
      <c r="R695" s="1230"/>
      <c r="S695" s="1230"/>
      <c r="T695" s="1230"/>
      <c r="U695" s="1230"/>
      <c r="V695" s="1230"/>
      <c r="W695" s="1230"/>
      <c r="X695" s="1231"/>
      <c r="Y695" s="1230"/>
    </row>
    <row r="696">
      <c r="A696" s="1234"/>
      <c r="B696" s="1230"/>
      <c r="C696" s="1230"/>
      <c r="D696" s="1230"/>
      <c r="E696" s="1230"/>
      <c r="F696" s="1233"/>
      <c r="G696" s="1230"/>
      <c r="H696" s="1230"/>
      <c r="I696" s="1231"/>
      <c r="J696" s="1230"/>
      <c r="K696" s="1230"/>
      <c r="L696" s="1230"/>
      <c r="M696" s="1230"/>
      <c r="N696" s="1230"/>
      <c r="O696" s="1232"/>
      <c r="P696" s="1230"/>
      <c r="Q696" s="1230"/>
      <c r="R696" s="1230"/>
      <c r="S696" s="1230"/>
      <c r="T696" s="1230"/>
      <c r="U696" s="1230"/>
      <c r="V696" s="1230"/>
      <c r="W696" s="1230"/>
      <c r="X696" s="1231"/>
      <c r="Y696" s="1230"/>
    </row>
    <row r="697">
      <c r="A697" s="1234"/>
      <c r="B697" s="1230"/>
      <c r="C697" s="1230"/>
      <c r="D697" s="1230"/>
      <c r="E697" s="1230"/>
      <c r="F697" s="1233"/>
      <c r="G697" s="1230"/>
      <c r="H697" s="1230"/>
      <c r="I697" s="1231"/>
      <c r="J697" s="1230"/>
      <c r="K697" s="1230"/>
      <c r="L697" s="1230"/>
      <c r="M697" s="1230"/>
      <c r="N697" s="1230"/>
      <c r="O697" s="1232"/>
      <c r="P697" s="1230"/>
      <c r="Q697" s="1230"/>
      <c r="R697" s="1230"/>
      <c r="S697" s="1230"/>
      <c r="T697" s="1230"/>
      <c r="U697" s="1230"/>
      <c r="V697" s="1230"/>
      <c r="W697" s="1230"/>
      <c r="X697" s="1231"/>
      <c r="Y697" s="1230"/>
    </row>
    <row r="698">
      <c r="A698" s="1234"/>
      <c r="B698" s="1230"/>
      <c r="C698" s="1230"/>
      <c r="D698" s="1230"/>
      <c r="E698" s="1230"/>
      <c r="F698" s="1233"/>
      <c r="G698" s="1230"/>
      <c r="H698" s="1230"/>
      <c r="I698" s="1231"/>
      <c r="J698" s="1230"/>
      <c r="K698" s="1230"/>
      <c r="L698" s="1230"/>
      <c r="M698" s="1230"/>
      <c r="N698" s="1230"/>
      <c r="O698" s="1232"/>
      <c r="P698" s="1230"/>
      <c r="Q698" s="1230"/>
      <c r="R698" s="1230"/>
      <c r="S698" s="1230"/>
      <c r="T698" s="1230"/>
      <c r="U698" s="1230"/>
      <c r="V698" s="1230"/>
      <c r="W698" s="1230"/>
      <c r="X698" s="1231"/>
      <c r="Y698" s="1230"/>
    </row>
    <row r="699">
      <c r="A699" s="1234"/>
      <c r="B699" s="1230"/>
      <c r="C699" s="1230"/>
      <c r="D699" s="1230"/>
      <c r="E699" s="1230"/>
      <c r="F699" s="1233"/>
      <c r="G699" s="1230"/>
      <c r="H699" s="1230"/>
      <c r="I699" s="1231"/>
      <c r="J699" s="1230"/>
      <c r="K699" s="1230"/>
      <c r="L699" s="1230"/>
      <c r="M699" s="1230"/>
      <c r="N699" s="1230"/>
      <c r="O699" s="1232"/>
      <c r="P699" s="1230"/>
      <c r="Q699" s="1230"/>
      <c r="R699" s="1230"/>
      <c r="S699" s="1230"/>
      <c r="T699" s="1230"/>
      <c r="U699" s="1230"/>
      <c r="V699" s="1230"/>
      <c r="W699" s="1230"/>
      <c r="X699" s="1231"/>
      <c r="Y699" s="1230"/>
    </row>
    <row r="700">
      <c r="A700" s="1234"/>
      <c r="B700" s="1230"/>
      <c r="C700" s="1230"/>
      <c r="D700" s="1230"/>
      <c r="E700" s="1230"/>
      <c r="F700" s="1233"/>
      <c r="G700" s="1230"/>
      <c r="H700" s="1230"/>
      <c r="I700" s="1231"/>
      <c r="J700" s="1230"/>
      <c r="K700" s="1230"/>
      <c r="L700" s="1230"/>
      <c r="M700" s="1230"/>
      <c r="N700" s="1230"/>
      <c r="O700" s="1232"/>
      <c r="P700" s="1230"/>
      <c r="Q700" s="1230"/>
      <c r="R700" s="1230"/>
      <c r="S700" s="1230"/>
      <c r="T700" s="1230"/>
      <c r="U700" s="1230"/>
      <c r="V700" s="1230"/>
      <c r="W700" s="1230"/>
      <c r="X700" s="1231"/>
      <c r="Y700" s="1230"/>
    </row>
    <row r="701">
      <c r="A701" s="1234"/>
      <c r="B701" s="1230"/>
      <c r="C701" s="1230"/>
      <c r="D701" s="1230"/>
      <c r="E701" s="1230"/>
      <c r="F701" s="1233"/>
      <c r="G701" s="1230"/>
      <c r="H701" s="1230"/>
      <c r="I701" s="1231"/>
      <c r="J701" s="1230"/>
      <c r="K701" s="1230"/>
      <c r="L701" s="1230"/>
      <c r="M701" s="1230"/>
      <c r="N701" s="1230"/>
      <c r="O701" s="1232"/>
      <c r="P701" s="1230"/>
      <c r="Q701" s="1230"/>
      <c r="R701" s="1230"/>
      <c r="S701" s="1230"/>
      <c r="T701" s="1230"/>
      <c r="U701" s="1230"/>
      <c r="V701" s="1230"/>
      <c r="W701" s="1230"/>
      <c r="X701" s="1231"/>
      <c r="Y701" s="1230"/>
    </row>
    <row r="702">
      <c r="A702" s="1234"/>
      <c r="B702" s="1230"/>
      <c r="C702" s="1230"/>
      <c r="D702" s="1230"/>
      <c r="E702" s="1230"/>
      <c r="F702" s="1233"/>
      <c r="G702" s="1230"/>
      <c r="H702" s="1230"/>
      <c r="I702" s="1231"/>
      <c r="J702" s="1230"/>
      <c r="K702" s="1230"/>
      <c r="L702" s="1230"/>
      <c r="M702" s="1230"/>
      <c r="N702" s="1230"/>
      <c r="O702" s="1232"/>
      <c r="P702" s="1230"/>
      <c r="Q702" s="1230"/>
      <c r="R702" s="1230"/>
      <c r="S702" s="1230"/>
      <c r="T702" s="1230"/>
      <c r="U702" s="1230"/>
      <c r="V702" s="1230"/>
      <c r="W702" s="1230"/>
      <c r="X702" s="1231"/>
      <c r="Y702" s="1230"/>
    </row>
    <row r="703">
      <c r="A703" s="1234"/>
      <c r="B703" s="1230"/>
      <c r="C703" s="1230"/>
      <c r="D703" s="1230"/>
      <c r="E703" s="1230"/>
      <c r="F703" s="1233"/>
      <c r="G703" s="1230"/>
      <c r="H703" s="1230"/>
      <c r="I703" s="1231"/>
      <c r="J703" s="1230"/>
      <c r="K703" s="1230"/>
      <c r="L703" s="1230"/>
      <c r="M703" s="1230"/>
      <c r="N703" s="1230"/>
      <c r="O703" s="1232"/>
      <c r="P703" s="1230"/>
      <c r="Q703" s="1230"/>
      <c r="R703" s="1230"/>
      <c r="S703" s="1230"/>
      <c r="T703" s="1230"/>
      <c r="U703" s="1230"/>
      <c r="V703" s="1230"/>
      <c r="W703" s="1230"/>
      <c r="X703" s="1231"/>
      <c r="Y703" s="1230"/>
    </row>
    <row r="704">
      <c r="A704" s="1234"/>
      <c r="B704" s="1230"/>
      <c r="C704" s="1230"/>
      <c r="D704" s="1230"/>
      <c r="E704" s="1230"/>
      <c r="F704" s="1233"/>
      <c r="G704" s="1230"/>
      <c r="H704" s="1230"/>
      <c r="I704" s="1231"/>
      <c r="J704" s="1230"/>
      <c r="K704" s="1230"/>
      <c r="L704" s="1230"/>
      <c r="M704" s="1230"/>
      <c r="N704" s="1230"/>
      <c r="O704" s="1232"/>
      <c r="P704" s="1230"/>
      <c r="Q704" s="1230"/>
      <c r="R704" s="1230"/>
      <c r="S704" s="1230"/>
      <c r="T704" s="1230"/>
      <c r="U704" s="1230"/>
      <c r="V704" s="1230"/>
      <c r="W704" s="1230"/>
      <c r="X704" s="1231"/>
      <c r="Y704" s="1230"/>
    </row>
    <row r="705">
      <c r="A705" s="1234"/>
      <c r="B705" s="1230"/>
      <c r="C705" s="1230"/>
      <c r="D705" s="1230"/>
      <c r="E705" s="1230"/>
      <c r="F705" s="1233"/>
      <c r="G705" s="1230"/>
      <c r="H705" s="1230"/>
      <c r="I705" s="1231"/>
      <c r="J705" s="1230"/>
      <c r="K705" s="1230"/>
      <c r="L705" s="1230"/>
      <c r="M705" s="1230"/>
      <c r="N705" s="1230"/>
      <c r="O705" s="1232"/>
      <c r="P705" s="1230"/>
      <c r="Q705" s="1230"/>
      <c r="R705" s="1230"/>
      <c r="S705" s="1230"/>
      <c r="T705" s="1230"/>
      <c r="U705" s="1230"/>
      <c r="V705" s="1230"/>
      <c r="W705" s="1230"/>
      <c r="X705" s="1231"/>
      <c r="Y705" s="1230"/>
    </row>
    <row r="706">
      <c r="A706" s="1234"/>
      <c r="B706" s="1230"/>
      <c r="C706" s="1230"/>
      <c r="D706" s="1230"/>
      <c r="E706" s="1230"/>
      <c r="F706" s="1233"/>
      <c r="G706" s="1230"/>
      <c r="H706" s="1230"/>
      <c r="I706" s="1231"/>
      <c r="J706" s="1230"/>
      <c r="K706" s="1230"/>
      <c r="L706" s="1230"/>
      <c r="M706" s="1230"/>
      <c r="N706" s="1230"/>
      <c r="O706" s="1232"/>
      <c r="P706" s="1230"/>
      <c r="Q706" s="1230"/>
      <c r="R706" s="1230"/>
      <c r="S706" s="1230"/>
      <c r="T706" s="1230"/>
      <c r="U706" s="1230"/>
      <c r="V706" s="1230"/>
      <c r="W706" s="1230"/>
      <c r="X706" s="1231"/>
      <c r="Y706" s="1230"/>
    </row>
    <row r="707">
      <c r="A707" s="1234"/>
      <c r="B707" s="1230"/>
      <c r="C707" s="1230"/>
      <c r="D707" s="1230"/>
      <c r="E707" s="1230"/>
      <c r="F707" s="1233"/>
      <c r="G707" s="1230"/>
      <c r="H707" s="1230"/>
      <c r="I707" s="1231"/>
      <c r="J707" s="1230"/>
      <c r="K707" s="1230"/>
      <c r="L707" s="1230"/>
      <c r="M707" s="1230"/>
      <c r="N707" s="1230"/>
      <c r="O707" s="1232"/>
      <c r="P707" s="1230"/>
      <c r="Q707" s="1230"/>
      <c r="R707" s="1230"/>
      <c r="S707" s="1230"/>
      <c r="T707" s="1230"/>
      <c r="U707" s="1230"/>
      <c r="V707" s="1230"/>
      <c r="W707" s="1230"/>
      <c r="X707" s="1231"/>
      <c r="Y707" s="1230"/>
    </row>
    <row r="708">
      <c r="A708" s="1234"/>
      <c r="B708" s="1230"/>
      <c r="C708" s="1230"/>
      <c r="D708" s="1230"/>
      <c r="E708" s="1230"/>
      <c r="F708" s="1233"/>
      <c r="G708" s="1230"/>
      <c r="H708" s="1230"/>
      <c r="I708" s="1231"/>
      <c r="J708" s="1230"/>
      <c r="K708" s="1230"/>
      <c r="L708" s="1230"/>
      <c r="M708" s="1230"/>
      <c r="N708" s="1230"/>
      <c r="O708" s="1232"/>
      <c r="P708" s="1230"/>
      <c r="Q708" s="1230"/>
      <c r="R708" s="1230"/>
      <c r="S708" s="1230"/>
      <c r="T708" s="1230"/>
      <c r="U708" s="1230"/>
      <c r="V708" s="1230"/>
      <c r="W708" s="1230"/>
      <c r="X708" s="1231"/>
      <c r="Y708" s="1230"/>
    </row>
    <row r="709">
      <c r="A709" s="1234"/>
      <c r="B709" s="1230"/>
      <c r="C709" s="1230"/>
      <c r="D709" s="1230"/>
      <c r="E709" s="1230"/>
      <c r="F709" s="1233"/>
      <c r="G709" s="1230"/>
      <c r="H709" s="1230"/>
      <c r="I709" s="1231"/>
      <c r="J709" s="1230"/>
      <c r="K709" s="1230"/>
      <c r="L709" s="1230"/>
      <c r="M709" s="1230"/>
      <c r="N709" s="1230"/>
      <c r="O709" s="1232"/>
      <c r="P709" s="1230"/>
      <c r="Q709" s="1230"/>
      <c r="R709" s="1230"/>
      <c r="S709" s="1230"/>
      <c r="T709" s="1230"/>
      <c r="U709" s="1230"/>
      <c r="V709" s="1230"/>
      <c r="W709" s="1230"/>
      <c r="X709" s="1231"/>
      <c r="Y709" s="1230"/>
    </row>
    <row r="710">
      <c r="A710" s="1234"/>
      <c r="B710" s="1230"/>
      <c r="C710" s="1230"/>
      <c r="D710" s="1230"/>
      <c r="E710" s="1230"/>
      <c r="F710" s="1233"/>
      <c r="G710" s="1230"/>
      <c r="H710" s="1230"/>
      <c r="I710" s="1231"/>
      <c r="J710" s="1230"/>
      <c r="K710" s="1230"/>
      <c r="L710" s="1230"/>
      <c r="M710" s="1230"/>
      <c r="N710" s="1230"/>
      <c r="O710" s="1232"/>
      <c r="P710" s="1230"/>
      <c r="Q710" s="1230"/>
      <c r="R710" s="1230"/>
      <c r="S710" s="1230"/>
      <c r="T710" s="1230"/>
      <c r="U710" s="1230"/>
      <c r="V710" s="1230"/>
      <c r="W710" s="1230"/>
      <c r="X710" s="1231"/>
      <c r="Y710" s="1230"/>
    </row>
    <row r="711">
      <c r="A711" s="1234"/>
      <c r="B711" s="1230"/>
      <c r="C711" s="1230"/>
      <c r="D711" s="1230"/>
      <c r="E711" s="1230"/>
      <c r="F711" s="1233"/>
      <c r="G711" s="1230"/>
      <c r="H711" s="1230"/>
      <c r="I711" s="1231"/>
      <c r="J711" s="1230"/>
      <c r="K711" s="1230"/>
      <c r="L711" s="1230"/>
      <c r="M711" s="1230"/>
      <c r="N711" s="1230"/>
      <c r="O711" s="1232"/>
      <c r="P711" s="1230"/>
      <c r="Q711" s="1230"/>
      <c r="R711" s="1230"/>
      <c r="S711" s="1230"/>
      <c r="T711" s="1230"/>
      <c r="U711" s="1230"/>
      <c r="V711" s="1230"/>
      <c r="W711" s="1230"/>
      <c r="X711" s="1231"/>
      <c r="Y711" s="1230"/>
    </row>
    <row r="712">
      <c r="A712" s="1234"/>
      <c r="B712" s="1230"/>
      <c r="C712" s="1230"/>
      <c r="D712" s="1230"/>
      <c r="E712" s="1230"/>
      <c r="F712" s="1233"/>
      <c r="G712" s="1230"/>
      <c r="H712" s="1230"/>
      <c r="I712" s="1231"/>
      <c r="J712" s="1230"/>
      <c r="K712" s="1230"/>
      <c r="L712" s="1230"/>
      <c r="M712" s="1230"/>
      <c r="N712" s="1230"/>
      <c r="O712" s="1232"/>
      <c r="P712" s="1230"/>
      <c r="Q712" s="1230"/>
      <c r="R712" s="1230"/>
      <c r="S712" s="1230"/>
      <c r="T712" s="1230"/>
      <c r="U712" s="1230"/>
      <c r="V712" s="1230"/>
      <c r="W712" s="1230"/>
      <c r="X712" s="1231"/>
      <c r="Y712" s="1230"/>
    </row>
    <row r="713">
      <c r="A713" s="1234"/>
      <c r="B713" s="1230"/>
      <c r="C713" s="1230"/>
      <c r="D713" s="1230"/>
      <c r="E713" s="1230"/>
      <c r="F713" s="1233"/>
      <c r="G713" s="1230"/>
      <c r="H713" s="1230"/>
      <c r="I713" s="1231"/>
      <c r="J713" s="1230"/>
      <c r="K713" s="1230"/>
      <c r="L713" s="1230"/>
      <c r="M713" s="1230"/>
      <c r="N713" s="1230"/>
      <c r="O713" s="1232"/>
      <c r="P713" s="1230"/>
      <c r="Q713" s="1230"/>
      <c r="R713" s="1230"/>
      <c r="S713" s="1230"/>
      <c r="T713" s="1230"/>
      <c r="U713" s="1230"/>
      <c r="V713" s="1230"/>
      <c r="W713" s="1230"/>
      <c r="X713" s="1231"/>
      <c r="Y713" s="1230"/>
    </row>
    <row r="714">
      <c r="A714" s="1234"/>
      <c r="B714" s="1230"/>
      <c r="C714" s="1230"/>
      <c r="D714" s="1230"/>
      <c r="E714" s="1230"/>
      <c r="F714" s="1233"/>
      <c r="G714" s="1230"/>
      <c r="H714" s="1230"/>
      <c r="I714" s="1231"/>
      <c r="J714" s="1230"/>
      <c r="K714" s="1230"/>
      <c r="L714" s="1230"/>
      <c r="M714" s="1230"/>
      <c r="N714" s="1230"/>
      <c r="O714" s="1232"/>
      <c r="P714" s="1230"/>
      <c r="Q714" s="1230"/>
      <c r="R714" s="1230"/>
      <c r="S714" s="1230"/>
      <c r="T714" s="1230"/>
      <c r="U714" s="1230"/>
      <c r="V714" s="1230"/>
      <c r="W714" s="1230"/>
      <c r="X714" s="1231"/>
      <c r="Y714" s="1230"/>
    </row>
    <row r="715">
      <c r="A715" s="1234"/>
      <c r="B715" s="1230"/>
      <c r="C715" s="1230"/>
      <c r="D715" s="1230"/>
      <c r="E715" s="1230"/>
      <c r="F715" s="1233"/>
      <c r="G715" s="1230"/>
      <c r="H715" s="1230"/>
      <c r="I715" s="1231"/>
      <c r="J715" s="1230"/>
      <c r="K715" s="1230"/>
      <c r="L715" s="1230"/>
      <c r="M715" s="1230"/>
      <c r="N715" s="1230"/>
      <c r="O715" s="1232"/>
      <c r="P715" s="1230"/>
      <c r="Q715" s="1230"/>
      <c r="R715" s="1230"/>
      <c r="S715" s="1230"/>
      <c r="T715" s="1230"/>
      <c r="U715" s="1230"/>
      <c r="V715" s="1230"/>
      <c r="W715" s="1230"/>
      <c r="X715" s="1231"/>
      <c r="Y715" s="1230"/>
    </row>
    <row r="716">
      <c r="A716" s="1234"/>
      <c r="B716" s="1230"/>
      <c r="C716" s="1230"/>
      <c r="D716" s="1230"/>
      <c r="E716" s="1230"/>
      <c r="F716" s="1233"/>
      <c r="G716" s="1230"/>
      <c r="H716" s="1230"/>
      <c r="I716" s="1231"/>
      <c r="J716" s="1230"/>
      <c r="K716" s="1230"/>
      <c r="L716" s="1230"/>
      <c r="M716" s="1230"/>
      <c r="N716" s="1230"/>
      <c r="O716" s="1232"/>
      <c r="P716" s="1230"/>
      <c r="Q716" s="1230"/>
      <c r="R716" s="1230"/>
      <c r="S716" s="1230"/>
      <c r="T716" s="1230"/>
      <c r="U716" s="1230"/>
      <c r="V716" s="1230"/>
      <c r="W716" s="1230"/>
      <c r="X716" s="1231"/>
      <c r="Y716" s="1230"/>
    </row>
    <row r="717">
      <c r="A717" s="1234"/>
      <c r="B717" s="1230"/>
      <c r="C717" s="1230"/>
      <c r="D717" s="1230"/>
      <c r="E717" s="1230"/>
      <c r="F717" s="1233"/>
      <c r="G717" s="1230"/>
      <c r="H717" s="1230"/>
      <c r="I717" s="1231"/>
      <c r="J717" s="1230"/>
      <c r="K717" s="1230"/>
      <c r="L717" s="1230"/>
      <c r="M717" s="1230"/>
      <c r="N717" s="1230"/>
      <c r="O717" s="1232"/>
      <c r="P717" s="1230"/>
      <c r="Q717" s="1230"/>
      <c r="R717" s="1230"/>
      <c r="S717" s="1230"/>
      <c r="T717" s="1230"/>
      <c r="U717" s="1230"/>
      <c r="V717" s="1230"/>
      <c r="W717" s="1230"/>
      <c r="X717" s="1231"/>
      <c r="Y717" s="1230"/>
    </row>
    <row r="718">
      <c r="A718" s="1234"/>
      <c r="B718" s="1230"/>
      <c r="C718" s="1230"/>
      <c r="D718" s="1230"/>
      <c r="E718" s="1230"/>
      <c r="F718" s="1233"/>
      <c r="G718" s="1230"/>
      <c r="H718" s="1230"/>
      <c r="I718" s="1231"/>
      <c r="J718" s="1230"/>
      <c r="K718" s="1230"/>
      <c r="L718" s="1230"/>
      <c r="M718" s="1230"/>
      <c r="N718" s="1230"/>
      <c r="O718" s="1232"/>
      <c r="P718" s="1230"/>
      <c r="Q718" s="1230"/>
      <c r="R718" s="1230"/>
      <c r="S718" s="1230"/>
      <c r="T718" s="1230"/>
      <c r="U718" s="1230"/>
      <c r="V718" s="1230"/>
      <c r="W718" s="1230"/>
      <c r="X718" s="1231"/>
      <c r="Y718" s="1230"/>
    </row>
    <row r="719">
      <c r="A719" s="1234"/>
      <c r="B719" s="1230"/>
      <c r="C719" s="1230"/>
      <c r="D719" s="1230"/>
      <c r="E719" s="1230"/>
      <c r="F719" s="1233"/>
      <c r="G719" s="1230"/>
      <c r="H719" s="1230"/>
      <c r="I719" s="1231"/>
      <c r="J719" s="1230"/>
      <c r="K719" s="1230"/>
      <c r="L719" s="1230"/>
      <c r="M719" s="1230"/>
      <c r="N719" s="1230"/>
      <c r="O719" s="1232"/>
      <c r="P719" s="1230"/>
      <c r="Q719" s="1230"/>
      <c r="R719" s="1230"/>
      <c r="S719" s="1230"/>
      <c r="T719" s="1230"/>
      <c r="U719" s="1230"/>
      <c r="V719" s="1230"/>
      <c r="W719" s="1230"/>
      <c r="X719" s="1231"/>
      <c r="Y719" s="1230"/>
    </row>
    <row r="720">
      <c r="A720" s="1234"/>
      <c r="B720" s="1230"/>
      <c r="C720" s="1230"/>
      <c r="D720" s="1230"/>
      <c r="E720" s="1230"/>
      <c r="F720" s="1233"/>
      <c r="G720" s="1230"/>
      <c r="H720" s="1230"/>
      <c r="I720" s="1231"/>
      <c r="J720" s="1230"/>
      <c r="K720" s="1230"/>
      <c r="L720" s="1230"/>
      <c r="M720" s="1230"/>
      <c r="N720" s="1230"/>
      <c r="O720" s="1232"/>
      <c r="P720" s="1230"/>
      <c r="Q720" s="1230"/>
      <c r="R720" s="1230"/>
      <c r="S720" s="1230"/>
      <c r="T720" s="1230"/>
      <c r="U720" s="1230"/>
      <c r="V720" s="1230"/>
      <c r="W720" s="1230"/>
      <c r="X720" s="1231"/>
      <c r="Y720" s="1230"/>
    </row>
    <row r="721">
      <c r="A721" s="1234"/>
      <c r="B721" s="1230"/>
      <c r="C721" s="1230"/>
      <c r="D721" s="1230"/>
      <c r="E721" s="1230"/>
      <c r="F721" s="1233"/>
      <c r="G721" s="1230"/>
      <c r="H721" s="1230"/>
      <c r="I721" s="1231"/>
      <c r="J721" s="1230"/>
      <c r="K721" s="1230"/>
      <c r="L721" s="1230"/>
      <c r="M721" s="1230"/>
      <c r="N721" s="1230"/>
      <c r="O721" s="1232"/>
      <c r="P721" s="1230"/>
      <c r="Q721" s="1230"/>
      <c r="R721" s="1230"/>
      <c r="S721" s="1230"/>
      <c r="T721" s="1230"/>
      <c r="U721" s="1230"/>
      <c r="V721" s="1230"/>
      <c r="W721" s="1230"/>
      <c r="X721" s="1231"/>
      <c r="Y721" s="1230"/>
    </row>
    <row r="722">
      <c r="A722" s="1234"/>
      <c r="B722" s="1230"/>
      <c r="C722" s="1230"/>
      <c r="D722" s="1230"/>
      <c r="E722" s="1230"/>
      <c r="F722" s="1233"/>
      <c r="G722" s="1230"/>
      <c r="H722" s="1230"/>
      <c r="I722" s="1231"/>
      <c r="J722" s="1230"/>
      <c r="K722" s="1230"/>
      <c r="L722" s="1230"/>
      <c r="M722" s="1230"/>
      <c r="N722" s="1230"/>
      <c r="O722" s="1232"/>
      <c r="P722" s="1230"/>
      <c r="Q722" s="1230"/>
      <c r="R722" s="1230"/>
      <c r="S722" s="1230"/>
      <c r="T722" s="1230"/>
      <c r="U722" s="1230"/>
      <c r="V722" s="1230"/>
      <c r="W722" s="1230"/>
      <c r="X722" s="1231"/>
      <c r="Y722" s="1230"/>
    </row>
    <row r="723">
      <c r="A723" s="1234"/>
      <c r="B723" s="1230"/>
      <c r="C723" s="1230"/>
      <c r="D723" s="1230"/>
      <c r="E723" s="1230"/>
      <c r="F723" s="1233"/>
      <c r="G723" s="1230"/>
      <c r="H723" s="1230"/>
      <c r="I723" s="1231"/>
      <c r="J723" s="1230"/>
      <c r="K723" s="1230"/>
      <c r="L723" s="1230"/>
      <c r="M723" s="1230"/>
      <c r="N723" s="1230"/>
      <c r="O723" s="1232"/>
      <c r="P723" s="1230"/>
      <c r="Q723" s="1230"/>
      <c r="R723" s="1230"/>
      <c r="S723" s="1230"/>
      <c r="T723" s="1230"/>
      <c r="U723" s="1230"/>
      <c r="V723" s="1230"/>
      <c r="W723" s="1230"/>
      <c r="X723" s="1231"/>
      <c r="Y723" s="1230"/>
    </row>
    <row r="724">
      <c r="A724" s="1234"/>
      <c r="B724" s="1230"/>
      <c r="C724" s="1230"/>
      <c r="D724" s="1230"/>
      <c r="E724" s="1230"/>
      <c r="F724" s="1233"/>
      <c r="G724" s="1230"/>
      <c r="H724" s="1230"/>
      <c r="I724" s="1231"/>
      <c r="J724" s="1230"/>
      <c r="K724" s="1230"/>
      <c r="L724" s="1230"/>
      <c r="M724" s="1230"/>
      <c r="N724" s="1230"/>
      <c r="O724" s="1232"/>
      <c r="P724" s="1230"/>
      <c r="Q724" s="1230"/>
      <c r="R724" s="1230"/>
      <c r="S724" s="1230"/>
      <c r="T724" s="1230"/>
      <c r="U724" s="1230"/>
      <c r="V724" s="1230"/>
      <c r="W724" s="1230"/>
      <c r="X724" s="1231"/>
      <c r="Y724" s="1230"/>
    </row>
    <row r="725">
      <c r="A725" s="1234"/>
      <c r="B725" s="1230"/>
      <c r="C725" s="1230"/>
      <c r="D725" s="1230"/>
      <c r="E725" s="1230"/>
      <c r="F725" s="1233"/>
      <c r="G725" s="1230"/>
      <c r="H725" s="1230"/>
      <c r="I725" s="1231"/>
      <c r="J725" s="1230"/>
      <c r="K725" s="1230"/>
      <c r="L725" s="1230"/>
      <c r="M725" s="1230"/>
      <c r="N725" s="1230"/>
      <c r="O725" s="1232"/>
      <c r="P725" s="1230"/>
      <c r="Q725" s="1230"/>
      <c r="R725" s="1230"/>
      <c r="S725" s="1230"/>
      <c r="T725" s="1230"/>
      <c r="U725" s="1230"/>
      <c r="V725" s="1230"/>
      <c r="W725" s="1230"/>
      <c r="X725" s="1231"/>
      <c r="Y725" s="1230"/>
    </row>
    <row r="726">
      <c r="A726" s="1234"/>
      <c r="B726" s="1230"/>
      <c r="C726" s="1230"/>
      <c r="D726" s="1230"/>
      <c r="E726" s="1230"/>
      <c r="F726" s="1233"/>
      <c r="G726" s="1230"/>
      <c r="H726" s="1230"/>
      <c r="I726" s="1231"/>
      <c r="J726" s="1230"/>
      <c r="K726" s="1230"/>
      <c r="L726" s="1230"/>
      <c r="M726" s="1230"/>
      <c r="N726" s="1230"/>
      <c r="O726" s="1232"/>
      <c r="P726" s="1230"/>
      <c r="Q726" s="1230"/>
      <c r="R726" s="1230"/>
      <c r="S726" s="1230"/>
      <c r="T726" s="1230"/>
      <c r="U726" s="1230"/>
      <c r="V726" s="1230"/>
      <c r="W726" s="1230"/>
      <c r="X726" s="1231"/>
      <c r="Y726" s="1230"/>
    </row>
    <row r="727">
      <c r="A727" s="1234"/>
      <c r="B727" s="1230"/>
      <c r="C727" s="1230"/>
      <c r="D727" s="1230"/>
      <c r="E727" s="1230"/>
      <c r="F727" s="1233"/>
      <c r="G727" s="1230"/>
      <c r="H727" s="1230"/>
      <c r="I727" s="1231"/>
      <c r="J727" s="1230"/>
      <c r="K727" s="1230"/>
      <c r="L727" s="1230"/>
      <c r="M727" s="1230"/>
      <c r="N727" s="1230"/>
      <c r="O727" s="1232"/>
      <c r="P727" s="1230"/>
      <c r="Q727" s="1230"/>
      <c r="R727" s="1230"/>
      <c r="S727" s="1230"/>
      <c r="T727" s="1230"/>
      <c r="U727" s="1230"/>
      <c r="V727" s="1230"/>
      <c r="W727" s="1230"/>
      <c r="X727" s="1231"/>
      <c r="Y727" s="1230"/>
    </row>
    <row r="728">
      <c r="A728" s="1234"/>
      <c r="B728" s="1230"/>
      <c r="C728" s="1230"/>
      <c r="D728" s="1230"/>
      <c r="E728" s="1230"/>
      <c r="F728" s="1233"/>
      <c r="G728" s="1230"/>
      <c r="H728" s="1230"/>
      <c r="I728" s="1231"/>
      <c r="J728" s="1230"/>
      <c r="K728" s="1230"/>
      <c r="L728" s="1230"/>
      <c r="M728" s="1230"/>
      <c r="N728" s="1230"/>
      <c r="O728" s="1232"/>
      <c r="P728" s="1230"/>
      <c r="Q728" s="1230"/>
      <c r="R728" s="1230"/>
      <c r="S728" s="1230"/>
      <c r="T728" s="1230"/>
      <c r="U728" s="1230"/>
      <c r="V728" s="1230"/>
      <c r="W728" s="1230"/>
      <c r="X728" s="1231"/>
      <c r="Y728" s="1230"/>
    </row>
    <row r="729">
      <c r="A729" s="1234"/>
      <c r="B729" s="1230"/>
      <c r="C729" s="1230"/>
      <c r="D729" s="1230"/>
      <c r="E729" s="1230"/>
      <c r="F729" s="1233"/>
      <c r="G729" s="1230"/>
      <c r="H729" s="1230"/>
      <c r="I729" s="1231"/>
      <c r="J729" s="1230"/>
      <c r="K729" s="1230"/>
      <c r="L729" s="1230"/>
      <c r="M729" s="1230"/>
      <c r="N729" s="1230"/>
      <c r="O729" s="1232"/>
      <c r="P729" s="1230"/>
      <c r="Q729" s="1230"/>
      <c r="R729" s="1230"/>
      <c r="S729" s="1230"/>
      <c r="T729" s="1230"/>
      <c r="U729" s="1230"/>
      <c r="V729" s="1230"/>
      <c r="W729" s="1230"/>
      <c r="X729" s="1231"/>
      <c r="Y729" s="1230"/>
    </row>
    <row r="730">
      <c r="A730" s="1234"/>
      <c r="B730" s="1230"/>
      <c r="C730" s="1230"/>
      <c r="D730" s="1230"/>
      <c r="E730" s="1230"/>
      <c r="F730" s="1233"/>
      <c r="G730" s="1230"/>
      <c r="H730" s="1230"/>
      <c r="I730" s="1231"/>
      <c r="J730" s="1230"/>
      <c r="K730" s="1230"/>
      <c r="L730" s="1230"/>
      <c r="M730" s="1230"/>
      <c r="N730" s="1230"/>
      <c r="O730" s="1232"/>
      <c r="P730" s="1230"/>
      <c r="Q730" s="1230"/>
      <c r="R730" s="1230"/>
      <c r="S730" s="1230"/>
      <c r="T730" s="1230"/>
      <c r="U730" s="1230"/>
      <c r="V730" s="1230"/>
      <c r="W730" s="1230"/>
      <c r="X730" s="1231"/>
      <c r="Y730" s="1230"/>
    </row>
    <row r="731">
      <c r="A731" s="1234"/>
      <c r="B731" s="1230"/>
      <c r="C731" s="1230"/>
      <c r="D731" s="1230"/>
      <c r="E731" s="1230"/>
      <c r="F731" s="1233"/>
      <c r="G731" s="1230"/>
      <c r="H731" s="1230"/>
      <c r="I731" s="1231"/>
      <c r="J731" s="1230"/>
      <c r="K731" s="1230"/>
      <c r="L731" s="1230"/>
      <c r="M731" s="1230"/>
      <c r="N731" s="1230"/>
      <c r="O731" s="1232"/>
      <c r="P731" s="1230"/>
      <c r="Q731" s="1230"/>
      <c r="R731" s="1230"/>
      <c r="S731" s="1230"/>
      <c r="T731" s="1230"/>
      <c r="U731" s="1230"/>
      <c r="V731" s="1230"/>
      <c r="W731" s="1230"/>
      <c r="X731" s="1231"/>
      <c r="Y731" s="1230"/>
    </row>
    <row r="732">
      <c r="A732" s="1234"/>
      <c r="B732" s="1230"/>
      <c r="C732" s="1230"/>
      <c r="D732" s="1230"/>
      <c r="E732" s="1230"/>
      <c r="F732" s="1233"/>
      <c r="G732" s="1230"/>
      <c r="H732" s="1230"/>
      <c r="I732" s="1231"/>
      <c r="J732" s="1230"/>
      <c r="K732" s="1230"/>
      <c r="L732" s="1230"/>
      <c r="M732" s="1230"/>
      <c r="N732" s="1230"/>
      <c r="O732" s="1232"/>
      <c r="P732" s="1230"/>
      <c r="Q732" s="1230"/>
      <c r="R732" s="1230"/>
      <c r="S732" s="1230"/>
      <c r="T732" s="1230"/>
      <c r="U732" s="1230"/>
      <c r="V732" s="1230"/>
      <c r="W732" s="1230"/>
      <c r="X732" s="1231"/>
      <c r="Y732" s="1230"/>
    </row>
    <row r="733">
      <c r="A733" s="1234"/>
      <c r="B733" s="1230"/>
      <c r="C733" s="1230"/>
      <c r="D733" s="1230"/>
      <c r="E733" s="1230"/>
      <c r="F733" s="1233"/>
      <c r="G733" s="1230"/>
      <c r="H733" s="1230"/>
      <c r="I733" s="1231"/>
      <c r="J733" s="1230"/>
      <c r="K733" s="1230"/>
      <c r="L733" s="1230"/>
      <c r="M733" s="1230"/>
      <c r="N733" s="1230"/>
      <c r="O733" s="1232"/>
      <c r="P733" s="1230"/>
      <c r="Q733" s="1230"/>
      <c r="R733" s="1230"/>
      <c r="S733" s="1230"/>
      <c r="T733" s="1230"/>
      <c r="U733" s="1230"/>
      <c r="V733" s="1230"/>
      <c r="W733" s="1230"/>
      <c r="X733" s="1231"/>
      <c r="Y733" s="1230"/>
    </row>
    <row r="734">
      <c r="A734" s="1234"/>
      <c r="B734" s="1230"/>
      <c r="C734" s="1230"/>
      <c r="D734" s="1230"/>
      <c r="E734" s="1230"/>
      <c r="F734" s="1233"/>
      <c r="G734" s="1230"/>
      <c r="H734" s="1230"/>
      <c r="I734" s="1231"/>
      <c r="J734" s="1230"/>
      <c r="K734" s="1230"/>
      <c r="L734" s="1230"/>
      <c r="M734" s="1230"/>
      <c r="N734" s="1230"/>
      <c r="O734" s="1232"/>
      <c r="P734" s="1230"/>
      <c r="Q734" s="1230"/>
      <c r="R734" s="1230"/>
      <c r="S734" s="1230"/>
      <c r="T734" s="1230"/>
      <c r="U734" s="1230"/>
      <c r="V734" s="1230"/>
      <c r="W734" s="1230"/>
      <c r="X734" s="1231"/>
      <c r="Y734" s="1230"/>
    </row>
    <row r="735">
      <c r="A735" s="1234"/>
      <c r="B735" s="1230"/>
      <c r="C735" s="1230"/>
      <c r="D735" s="1230"/>
      <c r="E735" s="1230"/>
      <c r="F735" s="1233"/>
      <c r="G735" s="1230"/>
      <c r="H735" s="1230"/>
      <c r="I735" s="1231"/>
      <c r="J735" s="1230"/>
      <c r="K735" s="1230"/>
      <c r="L735" s="1230"/>
      <c r="M735" s="1230"/>
      <c r="N735" s="1230"/>
      <c r="O735" s="1232"/>
      <c r="P735" s="1230"/>
      <c r="Q735" s="1230"/>
      <c r="R735" s="1230"/>
      <c r="S735" s="1230"/>
      <c r="T735" s="1230"/>
      <c r="U735" s="1230"/>
      <c r="V735" s="1230"/>
      <c r="W735" s="1230"/>
      <c r="X735" s="1231"/>
      <c r="Y735" s="1230"/>
    </row>
    <row r="736">
      <c r="A736" s="1234"/>
      <c r="B736" s="1230"/>
      <c r="C736" s="1230"/>
      <c r="D736" s="1230"/>
      <c r="E736" s="1230"/>
      <c r="F736" s="1233"/>
      <c r="G736" s="1230"/>
      <c r="H736" s="1230"/>
      <c r="I736" s="1231"/>
      <c r="J736" s="1230"/>
      <c r="K736" s="1230"/>
      <c r="L736" s="1230"/>
      <c r="M736" s="1230"/>
      <c r="N736" s="1230"/>
      <c r="O736" s="1232"/>
      <c r="P736" s="1230"/>
      <c r="Q736" s="1230"/>
      <c r="R736" s="1230"/>
      <c r="S736" s="1230"/>
      <c r="T736" s="1230"/>
      <c r="U736" s="1230"/>
      <c r="V736" s="1230"/>
      <c r="W736" s="1230"/>
      <c r="X736" s="1231"/>
      <c r="Y736" s="1230"/>
    </row>
    <row r="737">
      <c r="A737" s="1234"/>
      <c r="B737" s="1230"/>
      <c r="C737" s="1230"/>
      <c r="D737" s="1230"/>
      <c r="E737" s="1230"/>
      <c r="F737" s="1233"/>
      <c r="G737" s="1230"/>
      <c r="H737" s="1230"/>
      <c r="I737" s="1231"/>
      <c r="J737" s="1230"/>
      <c r="K737" s="1230"/>
      <c r="L737" s="1230"/>
      <c r="M737" s="1230"/>
      <c r="N737" s="1230"/>
      <c r="O737" s="1232"/>
      <c r="P737" s="1230"/>
      <c r="Q737" s="1230"/>
      <c r="R737" s="1230"/>
      <c r="S737" s="1230"/>
      <c r="T737" s="1230"/>
      <c r="U737" s="1230"/>
      <c r="V737" s="1230"/>
      <c r="W737" s="1230"/>
      <c r="X737" s="1231"/>
      <c r="Y737" s="1230"/>
    </row>
    <row r="738">
      <c r="A738" s="1234"/>
      <c r="B738" s="1230"/>
      <c r="C738" s="1230"/>
      <c r="D738" s="1230"/>
      <c r="E738" s="1230"/>
      <c r="F738" s="1233"/>
      <c r="G738" s="1230"/>
      <c r="H738" s="1230"/>
      <c r="I738" s="1231"/>
      <c r="J738" s="1230"/>
      <c r="K738" s="1230"/>
      <c r="L738" s="1230"/>
      <c r="M738" s="1230"/>
      <c r="N738" s="1230"/>
      <c r="O738" s="1232"/>
      <c r="P738" s="1230"/>
      <c r="Q738" s="1230"/>
      <c r="R738" s="1230"/>
      <c r="S738" s="1230"/>
      <c r="T738" s="1230"/>
      <c r="U738" s="1230"/>
      <c r="V738" s="1230"/>
      <c r="W738" s="1230"/>
      <c r="X738" s="1231"/>
      <c r="Y738" s="1230"/>
    </row>
    <row r="739">
      <c r="A739" s="1234"/>
      <c r="B739" s="1230"/>
      <c r="C739" s="1230"/>
      <c r="D739" s="1230"/>
      <c r="E739" s="1230"/>
      <c r="F739" s="1233"/>
      <c r="G739" s="1230"/>
      <c r="H739" s="1230"/>
      <c r="I739" s="1231"/>
      <c r="J739" s="1230"/>
      <c r="K739" s="1230"/>
      <c r="L739" s="1230"/>
      <c r="M739" s="1230"/>
      <c r="N739" s="1230"/>
      <c r="O739" s="1232"/>
      <c r="P739" s="1230"/>
      <c r="Q739" s="1230"/>
      <c r="R739" s="1230"/>
      <c r="S739" s="1230"/>
      <c r="T739" s="1230"/>
      <c r="U739" s="1230"/>
      <c r="V739" s="1230"/>
      <c r="W739" s="1230"/>
      <c r="X739" s="1231"/>
      <c r="Y739" s="1230"/>
    </row>
    <row r="740">
      <c r="A740" s="1234"/>
      <c r="B740" s="1230"/>
      <c r="C740" s="1230"/>
      <c r="D740" s="1230"/>
      <c r="E740" s="1230"/>
      <c r="F740" s="1233"/>
      <c r="G740" s="1230"/>
      <c r="H740" s="1230"/>
      <c r="I740" s="1231"/>
      <c r="J740" s="1230"/>
      <c r="K740" s="1230"/>
      <c r="L740" s="1230"/>
      <c r="M740" s="1230"/>
      <c r="N740" s="1230"/>
      <c r="O740" s="1232"/>
      <c r="P740" s="1230"/>
      <c r="Q740" s="1230"/>
      <c r="R740" s="1230"/>
      <c r="S740" s="1230"/>
      <c r="T740" s="1230"/>
      <c r="U740" s="1230"/>
      <c r="V740" s="1230"/>
      <c r="W740" s="1230"/>
      <c r="X740" s="1231"/>
      <c r="Y740" s="1230"/>
    </row>
    <row r="741">
      <c r="A741" s="1234"/>
      <c r="B741" s="1230"/>
      <c r="C741" s="1230"/>
      <c r="D741" s="1230"/>
      <c r="E741" s="1230"/>
      <c r="F741" s="1233"/>
      <c r="G741" s="1230"/>
      <c r="H741" s="1230"/>
      <c r="I741" s="1231"/>
      <c r="J741" s="1230"/>
      <c r="K741" s="1230"/>
      <c r="L741" s="1230"/>
      <c r="M741" s="1230"/>
      <c r="N741" s="1230"/>
      <c r="O741" s="1232"/>
      <c r="P741" s="1230"/>
      <c r="Q741" s="1230"/>
      <c r="R741" s="1230"/>
      <c r="S741" s="1230"/>
      <c r="T741" s="1230"/>
      <c r="U741" s="1230"/>
      <c r="V741" s="1230"/>
      <c r="W741" s="1230"/>
      <c r="X741" s="1231"/>
      <c r="Y741" s="1230"/>
    </row>
    <row r="742">
      <c r="A742" s="1234"/>
      <c r="B742" s="1230"/>
      <c r="C742" s="1230"/>
      <c r="D742" s="1230"/>
      <c r="E742" s="1230"/>
      <c r="F742" s="1233"/>
      <c r="G742" s="1230"/>
      <c r="H742" s="1230"/>
      <c r="I742" s="1231"/>
      <c r="J742" s="1230"/>
      <c r="K742" s="1230"/>
      <c r="L742" s="1230"/>
      <c r="M742" s="1230"/>
      <c r="N742" s="1230"/>
      <c r="O742" s="1232"/>
      <c r="P742" s="1230"/>
      <c r="Q742" s="1230"/>
      <c r="R742" s="1230"/>
      <c r="S742" s="1230"/>
      <c r="T742" s="1230"/>
      <c r="U742" s="1230"/>
      <c r="V742" s="1230"/>
      <c r="W742" s="1230"/>
      <c r="X742" s="1231"/>
      <c r="Y742" s="1230"/>
    </row>
    <row r="743">
      <c r="A743" s="1234"/>
      <c r="B743" s="1230"/>
      <c r="C743" s="1230"/>
      <c r="D743" s="1230"/>
      <c r="E743" s="1230"/>
      <c r="F743" s="1233"/>
      <c r="G743" s="1230"/>
      <c r="H743" s="1230"/>
      <c r="I743" s="1231"/>
      <c r="J743" s="1230"/>
      <c r="K743" s="1230"/>
      <c r="L743" s="1230"/>
      <c r="M743" s="1230"/>
      <c r="N743" s="1230"/>
      <c r="O743" s="1232"/>
      <c r="P743" s="1230"/>
      <c r="Q743" s="1230"/>
      <c r="R743" s="1230"/>
      <c r="S743" s="1230"/>
      <c r="T743" s="1230"/>
      <c r="U743" s="1230"/>
      <c r="V743" s="1230"/>
      <c r="W743" s="1230"/>
      <c r="X743" s="1231"/>
      <c r="Y743" s="1230"/>
    </row>
    <row r="744">
      <c r="A744" s="1234"/>
      <c r="B744" s="1230"/>
      <c r="C744" s="1230"/>
      <c r="D744" s="1230"/>
      <c r="E744" s="1230"/>
      <c r="F744" s="1233"/>
      <c r="G744" s="1230"/>
      <c r="H744" s="1230"/>
      <c r="I744" s="1231"/>
      <c r="J744" s="1230"/>
      <c r="K744" s="1230"/>
      <c r="L744" s="1230"/>
      <c r="M744" s="1230"/>
      <c r="N744" s="1230"/>
      <c r="O744" s="1232"/>
      <c r="P744" s="1230"/>
      <c r="Q744" s="1230"/>
      <c r="R744" s="1230"/>
      <c r="S744" s="1230"/>
      <c r="T744" s="1230"/>
      <c r="U744" s="1230"/>
      <c r="V744" s="1230"/>
      <c r="W744" s="1230"/>
      <c r="X744" s="1231"/>
      <c r="Y744" s="1230"/>
    </row>
    <row r="745">
      <c r="A745" s="1234"/>
      <c r="B745" s="1230"/>
      <c r="C745" s="1230"/>
      <c r="D745" s="1230"/>
      <c r="E745" s="1230"/>
      <c r="F745" s="1233"/>
      <c r="G745" s="1230"/>
      <c r="H745" s="1230"/>
      <c r="I745" s="1231"/>
      <c r="J745" s="1230"/>
      <c r="K745" s="1230"/>
      <c r="L745" s="1230"/>
      <c r="M745" s="1230"/>
      <c r="N745" s="1230"/>
      <c r="O745" s="1232"/>
      <c r="P745" s="1230"/>
      <c r="Q745" s="1230"/>
      <c r="R745" s="1230"/>
      <c r="S745" s="1230"/>
      <c r="T745" s="1230"/>
      <c r="U745" s="1230"/>
      <c r="V745" s="1230"/>
      <c r="W745" s="1230"/>
      <c r="X745" s="1231"/>
      <c r="Y745" s="1230"/>
    </row>
    <row r="746">
      <c r="A746" s="1234"/>
      <c r="B746" s="1230"/>
      <c r="C746" s="1230"/>
      <c r="D746" s="1230"/>
      <c r="E746" s="1230"/>
      <c r="F746" s="1233"/>
      <c r="G746" s="1230"/>
      <c r="H746" s="1230"/>
      <c r="I746" s="1231"/>
      <c r="J746" s="1230"/>
      <c r="K746" s="1230"/>
      <c r="L746" s="1230"/>
      <c r="M746" s="1230"/>
      <c r="N746" s="1230"/>
      <c r="O746" s="1232"/>
      <c r="P746" s="1230"/>
      <c r="Q746" s="1230"/>
      <c r="R746" s="1230"/>
      <c r="S746" s="1230"/>
      <c r="T746" s="1230"/>
      <c r="U746" s="1230"/>
      <c r="V746" s="1230"/>
      <c r="W746" s="1230"/>
      <c r="X746" s="1231"/>
      <c r="Y746" s="1230"/>
    </row>
    <row r="747">
      <c r="A747" s="1234"/>
      <c r="B747" s="1230"/>
      <c r="C747" s="1230"/>
      <c r="D747" s="1230"/>
      <c r="E747" s="1230"/>
      <c r="F747" s="1233"/>
      <c r="G747" s="1230"/>
      <c r="H747" s="1230"/>
      <c r="I747" s="1231"/>
      <c r="J747" s="1230"/>
      <c r="K747" s="1230"/>
      <c r="L747" s="1230"/>
      <c r="M747" s="1230"/>
      <c r="N747" s="1230"/>
      <c r="O747" s="1232"/>
      <c r="P747" s="1230"/>
      <c r="Q747" s="1230"/>
      <c r="R747" s="1230"/>
      <c r="S747" s="1230"/>
      <c r="T747" s="1230"/>
      <c r="U747" s="1230"/>
      <c r="V747" s="1230"/>
      <c r="W747" s="1230"/>
      <c r="X747" s="1231"/>
      <c r="Y747" s="1230"/>
    </row>
    <row r="748">
      <c r="A748" s="1234"/>
      <c r="B748" s="1230"/>
      <c r="C748" s="1230"/>
      <c r="D748" s="1230"/>
      <c r="E748" s="1230"/>
      <c r="F748" s="1233"/>
      <c r="G748" s="1230"/>
      <c r="H748" s="1230"/>
      <c r="I748" s="1231"/>
      <c r="J748" s="1230"/>
      <c r="K748" s="1230"/>
      <c r="L748" s="1230"/>
      <c r="M748" s="1230"/>
      <c r="N748" s="1230"/>
      <c r="O748" s="1232"/>
      <c r="P748" s="1230"/>
      <c r="Q748" s="1230"/>
      <c r="R748" s="1230"/>
      <c r="S748" s="1230"/>
      <c r="T748" s="1230"/>
      <c r="U748" s="1230"/>
      <c r="V748" s="1230"/>
      <c r="W748" s="1230"/>
      <c r="X748" s="1231"/>
      <c r="Y748" s="1230"/>
    </row>
    <row r="749">
      <c r="A749" s="1234"/>
      <c r="B749" s="1230"/>
      <c r="C749" s="1230"/>
      <c r="D749" s="1230"/>
      <c r="E749" s="1230"/>
      <c r="F749" s="1233"/>
      <c r="G749" s="1230"/>
      <c r="H749" s="1230"/>
      <c r="I749" s="1231"/>
      <c r="J749" s="1230"/>
      <c r="K749" s="1230"/>
      <c r="L749" s="1230"/>
      <c r="M749" s="1230"/>
      <c r="N749" s="1230"/>
      <c r="O749" s="1232"/>
      <c r="P749" s="1230"/>
      <c r="Q749" s="1230"/>
      <c r="R749" s="1230"/>
      <c r="S749" s="1230"/>
      <c r="T749" s="1230"/>
      <c r="U749" s="1230"/>
      <c r="V749" s="1230"/>
      <c r="W749" s="1230"/>
      <c r="X749" s="1231"/>
      <c r="Y749" s="1230"/>
    </row>
    <row r="750">
      <c r="A750" s="1234"/>
      <c r="B750" s="1230"/>
      <c r="C750" s="1230"/>
      <c r="D750" s="1230"/>
      <c r="E750" s="1230"/>
      <c r="F750" s="1233"/>
      <c r="G750" s="1230"/>
      <c r="H750" s="1230"/>
      <c r="I750" s="1231"/>
      <c r="J750" s="1230"/>
      <c r="K750" s="1230"/>
      <c r="L750" s="1230"/>
      <c r="M750" s="1230"/>
      <c r="N750" s="1230"/>
      <c r="O750" s="1232"/>
      <c r="P750" s="1230"/>
      <c r="Q750" s="1230"/>
      <c r="R750" s="1230"/>
      <c r="S750" s="1230"/>
      <c r="T750" s="1230"/>
      <c r="U750" s="1230"/>
      <c r="V750" s="1230"/>
      <c r="W750" s="1230"/>
      <c r="X750" s="1231"/>
      <c r="Y750" s="1230"/>
    </row>
    <row r="751">
      <c r="A751" s="1234"/>
      <c r="B751" s="1230"/>
      <c r="C751" s="1230"/>
      <c r="D751" s="1230"/>
      <c r="E751" s="1230"/>
      <c r="F751" s="1233"/>
      <c r="G751" s="1230"/>
      <c r="H751" s="1230"/>
      <c r="I751" s="1231"/>
      <c r="J751" s="1230"/>
      <c r="K751" s="1230"/>
      <c r="L751" s="1230"/>
      <c r="M751" s="1230"/>
      <c r="N751" s="1230"/>
      <c r="O751" s="1232"/>
      <c r="P751" s="1230"/>
      <c r="Q751" s="1230"/>
      <c r="R751" s="1230"/>
      <c r="S751" s="1230"/>
      <c r="T751" s="1230"/>
      <c r="U751" s="1230"/>
      <c r="V751" s="1230"/>
      <c r="W751" s="1230"/>
      <c r="X751" s="1231"/>
      <c r="Y751" s="1230"/>
    </row>
    <row r="752">
      <c r="A752" s="1234"/>
      <c r="B752" s="1230"/>
      <c r="C752" s="1230"/>
      <c r="D752" s="1230"/>
      <c r="E752" s="1230"/>
      <c r="F752" s="1233"/>
      <c r="G752" s="1230"/>
      <c r="H752" s="1230"/>
      <c r="I752" s="1231"/>
      <c r="J752" s="1230"/>
      <c r="K752" s="1230"/>
      <c r="L752" s="1230"/>
      <c r="M752" s="1230"/>
      <c r="N752" s="1230"/>
      <c r="O752" s="1232"/>
      <c r="P752" s="1230"/>
      <c r="Q752" s="1230"/>
      <c r="R752" s="1230"/>
      <c r="S752" s="1230"/>
      <c r="T752" s="1230"/>
      <c r="U752" s="1230"/>
      <c r="V752" s="1230"/>
      <c r="W752" s="1230"/>
      <c r="X752" s="1231"/>
      <c r="Y752" s="1230"/>
    </row>
    <row r="753">
      <c r="A753" s="1234"/>
      <c r="B753" s="1230"/>
      <c r="C753" s="1230"/>
      <c r="D753" s="1230"/>
      <c r="E753" s="1230"/>
      <c r="F753" s="1233"/>
      <c r="G753" s="1230"/>
      <c r="H753" s="1230"/>
      <c r="I753" s="1231"/>
      <c r="J753" s="1230"/>
      <c r="K753" s="1230"/>
      <c r="L753" s="1230"/>
      <c r="M753" s="1230"/>
      <c r="N753" s="1230"/>
      <c r="O753" s="1232"/>
      <c r="P753" s="1230"/>
      <c r="Q753" s="1230"/>
      <c r="R753" s="1230"/>
      <c r="S753" s="1230"/>
      <c r="T753" s="1230"/>
      <c r="U753" s="1230"/>
      <c r="V753" s="1230"/>
      <c r="W753" s="1230"/>
      <c r="X753" s="1231"/>
      <c r="Y753" s="1230"/>
    </row>
    <row r="754">
      <c r="A754" s="1234"/>
      <c r="B754" s="1230"/>
      <c r="C754" s="1230"/>
      <c r="D754" s="1230"/>
      <c r="E754" s="1230"/>
      <c r="F754" s="1233"/>
      <c r="G754" s="1230"/>
      <c r="H754" s="1230"/>
      <c r="I754" s="1231"/>
      <c r="J754" s="1230"/>
      <c r="K754" s="1230"/>
      <c r="L754" s="1230"/>
      <c r="M754" s="1230"/>
      <c r="N754" s="1230"/>
      <c r="O754" s="1232"/>
      <c r="P754" s="1230"/>
      <c r="Q754" s="1230"/>
      <c r="R754" s="1230"/>
      <c r="S754" s="1230"/>
      <c r="T754" s="1230"/>
      <c r="U754" s="1230"/>
      <c r="V754" s="1230"/>
      <c r="W754" s="1230"/>
      <c r="X754" s="1231"/>
      <c r="Y754" s="1230"/>
    </row>
    <row r="755">
      <c r="A755" s="1234"/>
      <c r="B755" s="1230"/>
      <c r="C755" s="1230"/>
      <c r="D755" s="1230"/>
      <c r="E755" s="1230"/>
      <c r="F755" s="1233"/>
      <c r="G755" s="1230"/>
      <c r="H755" s="1230"/>
      <c r="I755" s="1231"/>
      <c r="J755" s="1230"/>
      <c r="K755" s="1230"/>
      <c r="L755" s="1230"/>
      <c r="M755" s="1230"/>
      <c r="N755" s="1230"/>
      <c r="O755" s="1232"/>
      <c r="P755" s="1230"/>
      <c r="Q755" s="1230"/>
      <c r="R755" s="1230"/>
      <c r="S755" s="1230"/>
      <c r="T755" s="1230"/>
      <c r="U755" s="1230"/>
      <c r="V755" s="1230"/>
      <c r="W755" s="1230"/>
      <c r="X755" s="1231"/>
      <c r="Y755" s="1230"/>
    </row>
    <row r="756">
      <c r="A756" s="1234"/>
      <c r="B756" s="1230"/>
      <c r="C756" s="1230"/>
      <c r="D756" s="1230"/>
      <c r="E756" s="1230"/>
      <c r="F756" s="1233"/>
      <c r="G756" s="1230"/>
      <c r="H756" s="1230"/>
      <c r="I756" s="1231"/>
      <c r="J756" s="1230"/>
      <c r="K756" s="1230"/>
      <c r="L756" s="1230"/>
      <c r="M756" s="1230"/>
      <c r="N756" s="1230"/>
      <c r="O756" s="1232"/>
      <c r="P756" s="1230"/>
      <c r="Q756" s="1230"/>
      <c r="R756" s="1230"/>
      <c r="S756" s="1230"/>
      <c r="T756" s="1230"/>
      <c r="U756" s="1230"/>
      <c r="V756" s="1230"/>
      <c r="W756" s="1230"/>
      <c r="X756" s="1231"/>
      <c r="Y756" s="1230"/>
    </row>
    <row r="757">
      <c r="A757" s="1234"/>
      <c r="B757" s="1230"/>
      <c r="C757" s="1230"/>
      <c r="D757" s="1230"/>
      <c r="E757" s="1230"/>
      <c r="F757" s="1233"/>
      <c r="G757" s="1230"/>
      <c r="H757" s="1230"/>
      <c r="I757" s="1231"/>
      <c r="J757" s="1230"/>
      <c r="K757" s="1230"/>
      <c r="L757" s="1230"/>
      <c r="M757" s="1230"/>
      <c r="N757" s="1230"/>
      <c r="O757" s="1232"/>
      <c r="P757" s="1230"/>
      <c r="Q757" s="1230"/>
      <c r="R757" s="1230"/>
      <c r="S757" s="1230"/>
      <c r="T757" s="1230"/>
      <c r="U757" s="1230"/>
      <c r="V757" s="1230"/>
      <c r="W757" s="1230"/>
      <c r="X757" s="1231"/>
      <c r="Y757" s="1230"/>
    </row>
    <row r="758">
      <c r="A758" s="1234"/>
      <c r="B758" s="1230"/>
      <c r="C758" s="1230"/>
      <c r="D758" s="1230"/>
      <c r="E758" s="1230"/>
      <c r="F758" s="1233"/>
      <c r="G758" s="1230"/>
      <c r="H758" s="1230"/>
      <c r="I758" s="1231"/>
      <c r="J758" s="1230"/>
      <c r="K758" s="1230"/>
      <c r="L758" s="1230"/>
      <c r="M758" s="1230"/>
      <c r="N758" s="1230"/>
      <c r="O758" s="1232"/>
      <c r="P758" s="1230"/>
      <c r="Q758" s="1230"/>
      <c r="R758" s="1230"/>
      <c r="S758" s="1230"/>
      <c r="T758" s="1230"/>
      <c r="U758" s="1230"/>
      <c r="V758" s="1230"/>
      <c r="W758" s="1230"/>
      <c r="X758" s="1231"/>
      <c r="Y758" s="1230"/>
    </row>
    <row r="759">
      <c r="A759" s="1234"/>
      <c r="B759" s="1230"/>
      <c r="C759" s="1230"/>
      <c r="D759" s="1230"/>
      <c r="E759" s="1230"/>
      <c r="F759" s="1233"/>
      <c r="G759" s="1230"/>
      <c r="H759" s="1230"/>
      <c r="I759" s="1231"/>
      <c r="J759" s="1230"/>
      <c r="K759" s="1230"/>
      <c r="L759" s="1230"/>
      <c r="M759" s="1230"/>
      <c r="N759" s="1230"/>
      <c r="O759" s="1232"/>
      <c r="P759" s="1230"/>
      <c r="Q759" s="1230"/>
      <c r="R759" s="1230"/>
      <c r="S759" s="1230"/>
      <c r="T759" s="1230"/>
      <c r="U759" s="1230"/>
      <c r="V759" s="1230"/>
      <c r="W759" s="1230"/>
      <c r="X759" s="1231"/>
      <c r="Y759" s="1230"/>
    </row>
    <row r="760">
      <c r="A760" s="1234"/>
      <c r="B760" s="1230"/>
      <c r="C760" s="1230"/>
      <c r="D760" s="1230"/>
      <c r="E760" s="1230"/>
      <c r="F760" s="1233"/>
      <c r="G760" s="1230"/>
      <c r="H760" s="1230"/>
      <c r="I760" s="1231"/>
      <c r="J760" s="1230"/>
      <c r="K760" s="1230"/>
      <c r="L760" s="1230"/>
      <c r="M760" s="1230"/>
      <c r="N760" s="1230"/>
      <c r="O760" s="1232"/>
      <c r="P760" s="1230"/>
      <c r="Q760" s="1230"/>
      <c r="R760" s="1230"/>
      <c r="S760" s="1230"/>
      <c r="T760" s="1230"/>
      <c r="U760" s="1230"/>
      <c r="V760" s="1230"/>
      <c r="W760" s="1230"/>
      <c r="X760" s="1231"/>
      <c r="Y760" s="1230"/>
    </row>
    <row r="761">
      <c r="A761" s="1234"/>
      <c r="B761" s="1230"/>
      <c r="C761" s="1230"/>
      <c r="D761" s="1230"/>
      <c r="E761" s="1230"/>
      <c r="F761" s="1233"/>
      <c r="G761" s="1230"/>
      <c r="H761" s="1230"/>
      <c r="I761" s="1231"/>
      <c r="J761" s="1230"/>
      <c r="K761" s="1230"/>
      <c r="L761" s="1230"/>
      <c r="M761" s="1230"/>
      <c r="N761" s="1230"/>
      <c r="O761" s="1232"/>
      <c r="P761" s="1230"/>
      <c r="Q761" s="1230"/>
      <c r="R761" s="1230"/>
      <c r="S761" s="1230"/>
      <c r="T761" s="1230"/>
      <c r="U761" s="1230"/>
      <c r="V761" s="1230"/>
      <c r="W761" s="1230"/>
      <c r="X761" s="1231"/>
      <c r="Y761" s="1230"/>
    </row>
    <row r="762">
      <c r="A762" s="1234"/>
      <c r="B762" s="1230"/>
      <c r="C762" s="1230"/>
      <c r="D762" s="1230"/>
      <c r="E762" s="1230"/>
      <c r="F762" s="1233"/>
      <c r="G762" s="1230"/>
      <c r="H762" s="1230"/>
      <c r="I762" s="1231"/>
      <c r="J762" s="1230"/>
      <c r="K762" s="1230"/>
      <c r="L762" s="1230"/>
      <c r="M762" s="1230"/>
      <c r="N762" s="1230"/>
      <c r="O762" s="1232"/>
      <c r="P762" s="1230"/>
      <c r="Q762" s="1230"/>
      <c r="R762" s="1230"/>
      <c r="S762" s="1230"/>
      <c r="T762" s="1230"/>
      <c r="U762" s="1230"/>
      <c r="V762" s="1230"/>
      <c r="W762" s="1230"/>
      <c r="X762" s="1231"/>
      <c r="Y762" s="1230"/>
    </row>
    <row r="763">
      <c r="A763" s="1234"/>
      <c r="B763" s="1230"/>
      <c r="C763" s="1230"/>
      <c r="D763" s="1230"/>
      <c r="E763" s="1230"/>
      <c r="F763" s="1233"/>
      <c r="G763" s="1230"/>
      <c r="H763" s="1230"/>
      <c r="I763" s="1231"/>
      <c r="J763" s="1230"/>
      <c r="K763" s="1230"/>
      <c r="L763" s="1230"/>
      <c r="M763" s="1230"/>
      <c r="N763" s="1230"/>
      <c r="O763" s="1232"/>
      <c r="P763" s="1230"/>
      <c r="Q763" s="1230"/>
      <c r="R763" s="1230"/>
      <c r="S763" s="1230"/>
      <c r="T763" s="1230"/>
      <c r="U763" s="1230"/>
      <c r="V763" s="1230"/>
      <c r="W763" s="1230"/>
      <c r="X763" s="1231"/>
      <c r="Y763" s="1230"/>
    </row>
    <row r="764">
      <c r="A764" s="1234"/>
      <c r="B764" s="1230"/>
      <c r="C764" s="1230"/>
      <c r="D764" s="1230"/>
      <c r="E764" s="1230"/>
      <c r="F764" s="1233"/>
      <c r="G764" s="1230"/>
      <c r="H764" s="1230"/>
      <c r="I764" s="1231"/>
      <c r="J764" s="1230"/>
      <c r="K764" s="1230"/>
      <c r="L764" s="1230"/>
      <c r="M764" s="1230"/>
      <c r="N764" s="1230"/>
      <c r="O764" s="1232"/>
      <c r="P764" s="1230"/>
      <c r="Q764" s="1230"/>
      <c r="R764" s="1230"/>
      <c r="S764" s="1230"/>
      <c r="T764" s="1230"/>
      <c r="U764" s="1230"/>
      <c r="V764" s="1230"/>
      <c r="W764" s="1230"/>
      <c r="X764" s="1231"/>
      <c r="Y764" s="1230"/>
    </row>
    <row r="765">
      <c r="A765" s="1234"/>
      <c r="B765" s="1230"/>
      <c r="C765" s="1230"/>
      <c r="D765" s="1230"/>
      <c r="E765" s="1230"/>
      <c r="F765" s="1233"/>
      <c r="G765" s="1230"/>
      <c r="H765" s="1230"/>
      <c r="I765" s="1231"/>
      <c r="J765" s="1230"/>
      <c r="K765" s="1230"/>
      <c r="L765" s="1230"/>
      <c r="M765" s="1230"/>
      <c r="N765" s="1230"/>
      <c r="O765" s="1232"/>
      <c r="P765" s="1230"/>
      <c r="Q765" s="1230"/>
      <c r="R765" s="1230"/>
      <c r="S765" s="1230"/>
      <c r="T765" s="1230"/>
      <c r="U765" s="1230"/>
      <c r="V765" s="1230"/>
      <c r="W765" s="1230"/>
      <c r="X765" s="1231"/>
      <c r="Y765" s="1230"/>
    </row>
    <row r="766">
      <c r="A766" s="1234"/>
      <c r="B766" s="1230"/>
      <c r="C766" s="1230"/>
      <c r="D766" s="1230"/>
      <c r="E766" s="1230"/>
      <c r="F766" s="1233"/>
      <c r="G766" s="1230"/>
      <c r="H766" s="1230"/>
      <c r="I766" s="1231"/>
      <c r="J766" s="1230"/>
      <c r="K766" s="1230"/>
      <c r="L766" s="1230"/>
      <c r="M766" s="1230"/>
      <c r="N766" s="1230"/>
      <c r="O766" s="1232"/>
      <c r="P766" s="1230"/>
      <c r="Q766" s="1230"/>
      <c r="R766" s="1230"/>
      <c r="S766" s="1230"/>
      <c r="T766" s="1230"/>
      <c r="U766" s="1230"/>
      <c r="V766" s="1230"/>
      <c r="W766" s="1230"/>
      <c r="X766" s="1231"/>
      <c r="Y766" s="1230"/>
    </row>
    <row r="767">
      <c r="A767" s="1234"/>
      <c r="B767" s="1230"/>
      <c r="C767" s="1230"/>
      <c r="D767" s="1230"/>
      <c r="E767" s="1230"/>
      <c r="F767" s="1233"/>
      <c r="G767" s="1230"/>
      <c r="H767" s="1230"/>
      <c r="I767" s="1231"/>
      <c r="J767" s="1230"/>
      <c r="K767" s="1230"/>
      <c r="L767" s="1230"/>
      <c r="M767" s="1230"/>
      <c r="N767" s="1230"/>
      <c r="O767" s="1232"/>
      <c r="P767" s="1230"/>
      <c r="Q767" s="1230"/>
      <c r="R767" s="1230"/>
      <c r="S767" s="1230"/>
      <c r="T767" s="1230"/>
      <c r="U767" s="1230"/>
      <c r="V767" s="1230"/>
      <c r="W767" s="1230"/>
      <c r="X767" s="1231"/>
      <c r="Y767" s="1230"/>
    </row>
    <row r="768">
      <c r="A768" s="1234"/>
      <c r="B768" s="1230"/>
      <c r="C768" s="1230"/>
      <c r="D768" s="1230"/>
      <c r="E768" s="1230"/>
      <c r="F768" s="1233"/>
      <c r="G768" s="1230"/>
      <c r="H768" s="1230"/>
      <c r="I768" s="1231"/>
      <c r="J768" s="1230"/>
      <c r="K768" s="1230"/>
      <c r="L768" s="1230"/>
      <c r="M768" s="1230"/>
      <c r="N768" s="1230"/>
      <c r="O768" s="1232"/>
      <c r="P768" s="1230"/>
      <c r="Q768" s="1230"/>
      <c r="R768" s="1230"/>
      <c r="S768" s="1230"/>
      <c r="T768" s="1230"/>
      <c r="U768" s="1230"/>
      <c r="V768" s="1230"/>
      <c r="W768" s="1230"/>
      <c r="X768" s="1231"/>
      <c r="Y768" s="1230"/>
    </row>
    <row r="769">
      <c r="A769" s="1234"/>
      <c r="B769" s="1230"/>
      <c r="C769" s="1230"/>
      <c r="D769" s="1230"/>
      <c r="E769" s="1230"/>
      <c r="F769" s="1233"/>
      <c r="G769" s="1230"/>
      <c r="H769" s="1230"/>
      <c r="I769" s="1231"/>
      <c r="J769" s="1230"/>
      <c r="K769" s="1230"/>
      <c r="L769" s="1230"/>
      <c r="M769" s="1230"/>
      <c r="N769" s="1230"/>
      <c r="O769" s="1232"/>
      <c r="P769" s="1230"/>
      <c r="Q769" s="1230"/>
      <c r="R769" s="1230"/>
      <c r="S769" s="1230"/>
      <c r="T769" s="1230"/>
      <c r="U769" s="1230"/>
      <c r="V769" s="1230"/>
      <c r="W769" s="1230"/>
      <c r="X769" s="1231"/>
      <c r="Y769" s="1230"/>
    </row>
    <row r="770">
      <c r="A770" s="1234"/>
      <c r="B770" s="1230"/>
      <c r="C770" s="1230"/>
      <c r="D770" s="1230"/>
      <c r="E770" s="1230"/>
      <c r="F770" s="1233"/>
      <c r="G770" s="1230"/>
      <c r="H770" s="1230"/>
      <c r="I770" s="1231"/>
      <c r="J770" s="1230"/>
      <c r="K770" s="1230"/>
      <c r="L770" s="1230"/>
      <c r="M770" s="1230"/>
      <c r="N770" s="1230"/>
      <c r="O770" s="1232"/>
      <c r="P770" s="1230"/>
      <c r="Q770" s="1230"/>
      <c r="R770" s="1230"/>
      <c r="S770" s="1230"/>
      <c r="T770" s="1230"/>
      <c r="U770" s="1230"/>
      <c r="V770" s="1230"/>
      <c r="W770" s="1230"/>
      <c r="X770" s="1231"/>
      <c r="Y770" s="1230"/>
    </row>
    <row r="771">
      <c r="A771" s="1234"/>
      <c r="B771" s="1230"/>
      <c r="C771" s="1230"/>
      <c r="D771" s="1230"/>
      <c r="E771" s="1230"/>
      <c r="F771" s="1233"/>
      <c r="G771" s="1230"/>
      <c r="H771" s="1230"/>
      <c r="I771" s="1231"/>
      <c r="J771" s="1230"/>
      <c r="K771" s="1230"/>
      <c r="L771" s="1230"/>
      <c r="M771" s="1230"/>
      <c r="N771" s="1230"/>
      <c r="O771" s="1232"/>
      <c r="P771" s="1230"/>
      <c r="Q771" s="1230"/>
      <c r="R771" s="1230"/>
      <c r="S771" s="1230"/>
      <c r="T771" s="1230"/>
      <c r="U771" s="1230"/>
      <c r="V771" s="1230"/>
      <c r="W771" s="1230"/>
      <c r="X771" s="1231"/>
      <c r="Y771" s="1230"/>
    </row>
    <row r="772">
      <c r="A772" s="1234"/>
      <c r="B772" s="1230"/>
      <c r="C772" s="1230"/>
      <c r="D772" s="1230"/>
      <c r="E772" s="1230"/>
      <c r="F772" s="1233"/>
      <c r="G772" s="1230"/>
      <c r="H772" s="1230"/>
      <c r="I772" s="1231"/>
      <c r="J772" s="1230"/>
      <c r="K772" s="1230"/>
      <c r="L772" s="1230"/>
      <c r="M772" s="1230"/>
      <c r="N772" s="1230"/>
      <c r="O772" s="1232"/>
      <c r="P772" s="1230"/>
      <c r="Q772" s="1230"/>
      <c r="R772" s="1230"/>
      <c r="S772" s="1230"/>
      <c r="T772" s="1230"/>
      <c r="U772" s="1230"/>
      <c r="V772" s="1230"/>
      <c r="W772" s="1230"/>
      <c r="X772" s="1231"/>
      <c r="Y772" s="1230"/>
    </row>
    <row r="773">
      <c r="A773" s="1234"/>
      <c r="B773" s="1230"/>
      <c r="C773" s="1230"/>
      <c r="D773" s="1230"/>
      <c r="E773" s="1230"/>
      <c r="F773" s="1233"/>
      <c r="G773" s="1230"/>
      <c r="H773" s="1230"/>
      <c r="I773" s="1231"/>
      <c r="J773" s="1230"/>
      <c r="K773" s="1230"/>
      <c r="L773" s="1230"/>
      <c r="M773" s="1230"/>
      <c r="N773" s="1230"/>
      <c r="O773" s="1232"/>
      <c r="P773" s="1230"/>
      <c r="Q773" s="1230"/>
      <c r="R773" s="1230"/>
      <c r="S773" s="1230"/>
      <c r="T773" s="1230"/>
      <c r="U773" s="1230"/>
      <c r="V773" s="1230"/>
      <c r="W773" s="1230"/>
      <c r="X773" s="1231"/>
      <c r="Y773" s="1230"/>
    </row>
    <row r="774">
      <c r="A774" s="1234"/>
      <c r="B774" s="1230"/>
      <c r="C774" s="1230"/>
      <c r="D774" s="1230"/>
      <c r="E774" s="1230"/>
      <c r="F774" s="1233"/>
      <c r="G774" s="1230"/>
      <c r="H774" s="1230"/>
      <c r="I774" s="1231"/>
      <c r="J774" s="1230"/>
      <c r="K774" s="1230"/>
      <c r="L774" s="1230"/>
      <c r="M774" s="1230"/>
      <c r="N774" s="1230"/>
      <c r="O774" s="1232"/>
      <c r="P774" s="1230"/>
      <c r="Q774" s="1230"/>
      <c r="R774" s="1230"/>
      <c r="S774" s="1230"/>
      <c r="T774" s="1230"/>
      <c r="U774" s="1230"/>
      <c r="V774" s="1230"/>
      <c r="W774" s="1230"/>
      <c r="X774" s="1231"/>
      <c r="Y774" s="1230"/>
    </row>
    <row r="775">
      <c r="A775" s="1234"/>
      <c r="B775" s="1230"/>
      <c r="C775" s="1230"/>
      <c r="D775" s="1230"/>
      <c r="E775" s="1230"/>
      <c r="F775" s="1233"/>
      <c r="G775" s="1230"/>
      <c r="H775" s="1230"/>
      <c r="I775" s="1231"/>
      <c r="J775" s="1230"/>
      <c r="K775" s="1230"/>
      <c r="L775" s="1230"/>
      <c r="M775" s="1230"/>
      <c r="N775" s="1230"/>
      <c r="O775" s="1232"/>
      <c r="P775" s="1230"/>
      <c r="Q775" s="1230"/>
      <c r="R775" s="1230"/>
      <c r="S775" s="1230"/>
      <c r="T775" s="1230"/>
      <c r="U775" s="1230"/>
      <c r="V775" s="1230"/>
      <c r="W775" s="1230"/>
      <c r="X775" s="1231"/>
      <c r="Y775" s="1230"/>
    </row>
    <row r="776">
      <c r="A776" s="1234"/>
      <c r="B776" s="1230"/>
      <c r="C776" s="1230"/>
      <c r="D776" s="1230"/>
      <c r="E776" s="1230"/>
      <c r="F776" s="1233"/>
      <c r="G776" s="1230"/>
      <c r="H776" s="1230"/>
      <c r="I776" s="1231"/>
      <c r="J776" s="1230"/>
      <c r="K776" s="1230"/>
      <c r="L776" s="1230"/>
      <c r="M776" s="1230"/>
      <c r="N776" s="1230"/>
      <c r="O776" s="1232"/>
      <c r="P776" s="1230"/>
      <c r="Q776" s="1230"/>
      <c r="R776" s="1230"/>
      <c r="S776" s="1230"/>
      <c r="T776" s="1230"/>
      <c r="U776" s="1230"/>
      <c r="V776" s="1230"/>
      <c r="W776" s="1230"/>
      <c r="X776" s="1231"/>
      <c r="Y776" s="1230"/>
    </row>
    <row r="777">
      <c r="A777" s="1234"/>
      <c r="B777" s="1230"/>
      <c r="C777" s="1230"/>
      <c r="D777" s="1230"/>
      <c r="E777" s="1230"/>
      <c r="F777" s="1233"/>
      <c r="G777" s="1230"/>
      <c r="H777" s="1230"/>
      <c r="I777" s="1231"/>
      <c r="J777" s="1230"/>
      <c r="K777" s="1230"/>
      <c r="L777" s="1230"/>
      <c r="M777" s="1230"/>
      <c r="N777" s="1230"/>
      <c r="O777" s="1232"/>
      <c r="P777" s="1230"/>
      <c r="Q777" s="1230"/>
      <c r="R777" s="1230"/>
      <c r="S777" s="1230"/>
      <c r="T777" s="1230"/>
      <c r="U777" s="1230"/>
      <c r="V777" s="1230"/>
      <c r="W777" s="1230"/>
      <c r="X777" s="1231"/>
      <c r="Y777" s="1230"/>
    </row>
    <row r="778">
      <c r="A778" s="1234"/>
      <c r="B778" s="1230"/>
      <c r="C778" s="1230"/>
      <c r="D778" s="1230"/>
      <c r="E778" s="1230"/>
      <c r="F778" s="1233"/>
      <c r="G778" s="1230"/>
      <c r="H778" s="1230"/>
      <c r="I778" s="1231"/>
      <c r="J778" s="1230"/>
      <c r="K778" s="1230"/>
      <c r="L778" s="1230"/>
      <c r="M778" s="1230"/>
      <c r="N778" s="1230"/>
      <c r="O778" s="1232"/>
      <c r="P778" s="1230"/>
      <c r="Q778" s="1230"/>
      <c r="R778" s="1230"/>
      <c r="S778" s="1230"/>
      <c r="T778" s="1230"/>
      <c r="U778" s="1230"/>
      <c r="V778" s="1230"/>
      <c r="W778" s="1230"/>
      <c r="X778" s="1231"/>
      <c r="Y778" s="1230"/>
    </row>
    <row r="779">
      <c r="A779" s="1234"/>
      <c r="B779" s="1230"/>
      <c r="C779" s="1230"/>
      <c r="D779" s="1230"/>
      <c r="E779" s="1230"/>
      <c r="F779" s="1233"/>
      <c r="G779" s="1230"/>
      <c r="H779" s="1230"/>
      <c r="I779" s="1231"/>
      <c r="J779" s="1230"/>
      <c r="K779" s="1230"/>
      <c r="L779" s="1230"/>
      <c r="M779" s="1230"/>
      <c r="N779" s="1230"/>
      <c r="O779" s="1232"/>
      <c r="P779" s="1230"/>
      <c r="Q779" s="1230"/>
      <c r="R779" s="1230"/>
      <c r="S779" s="1230"/>
      <c r="T779" s="1230"/>
      <c r="U779" s="1230"/>
      <c r="V779" s="1230"/>
      <c r="W779" s="1230"/>
      <c r="X779" s="1231"/>
      <c r="Y779" s="1230"/>
    </row>
    <row r="780">
      <c r="A780" s="1234"/>
      <c r="B780" s="1230"/>
      <c r="C780" s="1230"/>
      <c r="D780" s="1230"/>
      <c r="E780" s="1230"/>
      <c r="F780" s="1233"/>
      <c r="G780" s="1230"/>
      <c r="H780" s="1230"/>
      <c r="I780" s="1231"/>
      <c r="J780" s="1230"/>
      <c r="K780" s="1230"/>
      <c r="L780" s="1230"/>
      <c r="M780" s="1230"/>
      <c r="N780" s="1230"/>
      <c r="O780" s="1232"/>
      <c r="P780" s="1230"/>
      <c r="Q780" s="1230"/>
      <c r="R780" s="1230"/>
      <c r="S780" s="1230"/>
      <c r="T780" s="1230"/>
      <c r="U780" s="1230"/>
      <c r="V780" s="1230"/>
      <c r="W780" s="1230"/>
      <c r="X780" s="1231"/>
      <c r="Y780" s="1230"/>
    </row>
    <row r="781">
      <c r="A781" s="1234"/>
      <c r="B781" s="1230"/>
      <c r="C781" s="1230"/>
      <c r="D781" s="1230"/>
      <c r="E781" s="1230"/>
      <c r="F781" s="1233"/>
      <c r="G781" s="1230"/>
      <c r="H781" s="1230"/>
      <c r="I781" s="1231"/>
      <c r="J781" s="1230"/>
      <c r="K781" s="1230"/>
      <c r="L781" s="1230"/>
      <c r="M781" s="1230"/>
      <c r="N781" s="1230"/>
      <c r="O781" s="1232"/>
      <c r="P781" s="1230"/>
      <c r="Q781" s="1230"/>
      <c r="R781" s="1230"/>
      <c r="S781" s="1230"/>
      <c r="T781" s="1230"/>
      <c r="U781" s="1230"/>
      <c r="V781" s="1230"/>
      <c r="W781" s="1230"/>
      <c r="X781" s="1231"/>
      <c r="Y781" s="1230"/>
    </row>
    <row r="782">
      <c r="A782" s="1234"/>
      <c r="B782" s="1230"/>
      <c r="C782" s="1230"/>
      <c r="D782" s="1230"/>
      <c r="E782" s="1230"/>
      <c r="F782" s="1233"/>
      <c r="G782" s="1230"/>
      <c r="H782" s="1230"/>
      <c r="I782" s="1231"/>
      <c r="J782" s="1230"/>
      <c r="K782" s="1230"/>
      <c r="L782" s="1230"/>
      <c r="M782" s="1230"/>
      <c r="N782" s="1230"/>
      <c r="O782" s="1232"/>
      <c r="P782" s="1230"/>
      <c r="Q782" s="1230"/>
      <c r="R782" s="1230"/>
      <c r="S782" s="1230"/>
      <c r="T782" s="1230"/>
      <c r="U782" s="1230"/>
      <c r="V782" s="1230"/>
      <c r="W782" s="1230"/>
      <c r="X782" s="1231"/>
      <c r="Y782" s="1230"/>
    </row>
    <row r="783">
      <c r="A783" s="1234"/>
      <c r="B783" s="1230"/>
      <c r="C783" s="1230"/>
      <c r="D783" s="1230"/>
      <c r="E783" s="1230"/>
      <c r="F783" s="1233"/>
      <c r="G783" s="1230"/>
      <c r="H783" s="1230"/>
      <c r="I783" s="1231"/>
      <c r="J783" s="1230"/>
      <c r="K783" s="1230"/>
      <c r="L783" s="1230"/>
      <c r="M783" s="1230"/>
      <c r="N783" s="1230"/>
      <c r="O783" s="1232"/>
      <c r="P783" s="1230"/>
      <c r="Q783" s="1230"/>
      <c r="R783" s="1230"/>
      <c r="S783" s="1230"/>
      <c r="T783" s="1230"/>
      <c r="U783" s="1230"/>
      <c r="V783" s="1230"/>
      <c r="W783" s="1230"/>
      <c r="X783" s="1231"/>
      <c r="Y783" s="1230"/>
    </row>
    <row r="784">
      <c r="A784" s="1234"/>
      <c r="B784" s="1230"/>
      <c r="C784" s="1230"/>
      <c r="D784" s="1230"/>
      <c r="E784" s="1230"/>
      <c r="F784" s="1233"/>
      <c r="G784" s="1230"/>
      <c r="H784" s="1230"/>
      <c r="I784" s="1231"/>
      <c r="J784" s="1230"/>
      <c r="K784" s="1230"/>
      <c r="L784" s="1230"/>
      <c r="M784" s="1230"/>
      <c r="N784" s="1230"/>
      <c r="O784" s="1232"/>
      <c r="P784" s="1230"/>
      <c r="Q784" s="1230"/>
      <c r="R784" s="1230"/>
      <c r="S784" s="1230"/>
      <c r="T784" s="1230"/>
      <c r="U784" s="1230"/>
      <c r="V784" s="1230"/>
      <c r="W784" s="1230"/>
      <c r="X784" s="1231"/>
      <c r="Y784" s="1230"/>
    </row>
    <row r="785">
      <c r="A785" s="1234"/>
      <c r="B785" s="1230"/>
      <c r="C785" s="1230"/>
      <c r="D785" s="1230"/>
      <c r="E785" s="1230"/>
      <c r="F785" s="1233"/>
      <c r="G785" s="1230"/>
      <c r="H785" s="1230"/>
      <c r="I785" s="1231"/>
      <c r="J785" s="1230"/>
      <c r="K785" s="1230"/>
      <c r="L785" s="1230"/>
      <c r="M785" s="1230"/>
      <c r="N785" s="1230"/>
      <c r="O785" s="1232"/>
      <c r="P785" s="1230"/>
      <c r="Q785" s="1230"/>
      <c r="R785" s="1230"/>
      <c r="S785" s="1230"/>
      <c r="T785" s="1230"/>
      <c r="U785" s="1230"/>
      <c r="V785" s="1230"/>
      <c r="W785" s="1230"/>
      <c r="X785" s="1231"/>
      <c r="Y785" s="1230"/>
    </row>
    <row r="786">
      <c r="A786" s="1234"/>
      <c r="B786" s="1230"/>
      <c r="C786" s="1230"/>
      <c r="D786" s="1230"/>
      <c r="E786" s="1230"/>
      <c r="F786" s="1233"/>
      <c r="G786" s="1230"/>
      <c r="H786" s="1230"/>
      <c r="I786" s="1231"/>
      <c r="J786" s="1230"/>
      <c r="K786" s="1230"/>
      <c r="L786" s="1230"/>
      <c r="M786" s="1230"/>
      <c r="N786" s="1230"/>
      <c r="O786" s="1232"/>
      <c r="P786" s="1230"/>
      <c r="Q786" s="1230"/>
      <c r="R786" s="1230"/>
      <c r="S786" s="1230"/>
      <c r="T786" s="1230"/>
      <c r="U786" s="1230"/>
      <c r="V786" s="1230"/>
      <c r="W786" s="1230"/>
      <c r="X786" s="1231"/>
      <c r="Y786" s="1230"/>
    </row>
    <row r="787">
      <c r="A787" s="1234"/>
      <c r="B787" s="1230"/>
      <c r="C787" s="1230"/>
      <c r="D787" s="1230"/>
      <c r="E787" s="1230"/>
      <c r="F787" s="1233"/>
      <c r="G787" s="1230"/>
      <c r="H787" s="1230"/>
      <c r="I787" s="1231"/>
      <c r="J787" s="1230"/>
      <c r="K787" s="1230"/>
      <c r="L787" s="1230"/>
      <c r="M787" s="1230"/>
      <c r="N787" s="1230"/>
      <c r="O787" s="1232"/>
      <c r="P787" s="1230"/>
      <c r="Q787" s="1230"/>
      <c r="R787" s="1230"/>
      <c r="S787" s="1230"/>
      <c r="T787" s="1230"/>
      <c r="U787" s="1230"/>
      <c r="V787" s="1230"/>
      <c r="W787" s="1230"/>
      <c r="X787" s="1231"/>
      <c r="Y787" s="1230"/>
    </row>
    <row r="788">
      <c r="A788" s="1234"/>
      <c r="B788" s="1230"/>
      <c r="C788" s="1230"/>
      <c r="D788" s="1230"/>
      <c r="E788" s="1230"/>
      <c r="F788" s="1233"/>
      <c r="G788" s="1230"/>
      <c r="H788" s="1230"/>
      <c r="I788" s="1231"/>
      <c r="J788" s="1230"/>
      <c r="K788" s="1230"/>
      <c r="L788" s="1230"/>
      <c r="M788" s="1230"/>
      <c r="N788" s="1230"/>
      <c r="O788" s="1232"/>
      <c r="P788" s="1230"/>
      <c r="Q788" s="1230"/>
      <c r="R788" s="1230"/>
      <c r="S788" s="1230"/>
      <c r="T788" s="1230"/>
      <c r="U788" s="1230"/>
      <c r="V788" s="1230"/>
      <c r="W788" s="1230"/>
      <c r="X788" s="1231"/>
      <c r="Y788" s="1230"/>
    </row>
    <row r="789">
      <c r="A789" s="1234"/>
      <c r="B789" s="1230"/>
      <c r="C789" s="1230"/>
      <c r="D789" s="1230"/>
      <c r="E789" s="1230"/>
      <c r="F789" s="1233"/>
      <c r="G789" s="1230"/>
      <c r="H789" s="1230"/>
      <c r="I789" s="1231"/>
      <c r="J789" s="1230"/>
      <c r="K789" s="1230"/>
      <c r="L789" s="1230"/>
      <c r="M789" s="1230"/>
      <c r="N789" s="1230"/>
      <c r="O789" s="1232"/>
      <c r="P789" s="1230"/>
      <c r="Q789" s="1230"/>
      <c r="R789" s="1230"/>
      <c r="S789" s="1230"/>
      <c r="T789" s="1230"/>
      <c r="U789" s="1230"/>
      <c r="V789" s="1230"/>
      <c r="W789" s="1230"/>
      <c r="X789" s="1231"/>
      <c r="Y789" s="1230"/>
    </row>
    <row r="790">
      <c r="A790" s="1234"/>
      <c r="B790" s="1230"/>
      <c r="C790" s="1230"/>
      <c r="D790" s="1230"/>
      <c r="E790" s="1230"/>
      <c r="F790" s="1233"/>
      <c r="G790" s="1230"/>
      <c r="H790" s="1230"/>
      <c r="I790" s="1231"/>
      <c r="J790" s="1230"/>
      <c r="K790" s="1230"/>
      <c r="L790" s="1230"/>
      <c r="M790" s="1230"/>
      <c r="N790" s="1230"/>
      <c r="O790" s="1232"/>
      <c r="P790" s="1230"/>
      <c r="Q790" s="1230"/>
      <c r="R790" s="1230"/>
      <c r="S790" s="1230"/>
      <c r="T790" s="1230"/>
      <c r="U790" s="1230"/>
      <c r="V790" s="1230"/>
      <c r="W790" s="1230"/>
      <c r="X790" s="1231"/>
      <c r="Y790" s="1230"/>
    </row>
    <row r="791">
      <c r="A791" s="1234"/>
      <c r="B791" s="1230"/>
      <c r="C791" s="1230"/>
      <c r="D791" s="1230"/>
      <c r="E791" s="1230"/>
      <c r="F791" s="1233"/>
      <c r="G791" s="1230"/>
      <c r="H791" s="1230"/>
      <c r="I791" s="1231"/>
      <c r="J791" s="1230"/>
      <c r="K791" s="1230"/>
      <c r="L791" s="1230"/>
      <c r="M791" s="1230"/>
      <c r="N791" s="1230"/>
      <c r="O791" s="1232"/>
      <c r="P791" s="1230"/>
      <c r="Q791" s="1230"/>
      <c r="R791" s="1230"/>
      <c r="S791" s="1230"/>
      <c r="T791" s="1230"/>
      <c r="U791" s="1230"/>
      <c r="V791" s="1230"/>
      <c r="W791" s="1230"/>
      <c r="X791" s="1231"/>
      <c r="Y791" s="1230"/>
    </row>
    <row r="792">
      <c r="A792" s="1234"/>
      <c r="B792" s="1230"/>
      <c r="C792" s="1230"/>
      <c r="D792" s="1230"/>
      <c r="E792" s="1230"/>
      <c r="F792" s="1233"/>
      <c r="G792" s="1230"/>
      <c r="H792" s="1230"/>
      <c r="I792" s="1231"/>
      <c r="J792" s="1230"/>
      <c r="K792" s="1230"/>
      <c r="L792" s="1230"/>
      <c r="M792" s="1230"/>
      <c r="N792" s="1230"/>
      <c r="O792" s="1232"/>
      <c r="P792" s="1230"/>
      <c r="Q792" s="1230"/>
      <c r="R792" s="1230"/>
      <c r="S792" s="1230"/>
      <c r="T792" s="1230"/>
      <c r="U792" s="1230"/>
      <c r="V792" s="1230"/>
      <c r="W792" s="1230"/>
      <c r="X792" s="1231"/>
      <c r="Y792" s="1230"/>
    </row>
    <row r="793">
      <c r="A793" s="1234"/>
      <c r="B793" s="1230"/>
      <c r="C793" s="1230"/>
      <c r="D793" s="1230"/>
      <c r="E793" s="1230"/>
      <c r="F793" s="1233"/>
      <c r="G793" s="1230"/>
      <c r="H793" s="1230"/>
      <c r="I793" s="1231"/>
      <c r="J793" s="1230"/>
      <c r="K793" s="1230"/>
      <c r="L793" s="1230"/>
      <c r="M793" s="1230"/>
      <c r="N793" s="1230"/>
      <c r="O793" s="1232"/>
      <c r="P793" s="1230"/>
      <c r="Q793" s="1230"/>
      <c r="R793" s="1230"/>
      <c r="S793" s="1230"/>
      <c r="T793" s="1230"/>
      <c r="U793" s="1230"/>
      <c r="V793" s="1230"/>
      <c r="W793" s="1230"/>
      <c r="X793" s="1231"/>
      <c r="Y793" s="1230"/>
    </row>
    <row r="794">
      <c r="A794" s="1234"/>
      <c r="B794" s="1230"/>
      <c r="C794" s="1230"/>
      <c r="D794" s="1230"/>
      <c r="E794" s="1230"/>
      <c r="F794" s="1233"/>
      <c r="G794" s="1230"/>
      <c r="H794" s="1230"/>
      <c r="I794" s="1231"/>
      <c r="J794" s="1230"/>
      <c r="K794" s="1230"/>
      <c r="L794" s="1230"/>
      <c r="M794" s="1230"/>
      <c r="N794" s="1230"/>
      <c r="O794" s="1232"/>
      <c r="P794" s="1230"/>
      <c r="Q794" s="1230"/>
      <c r="R794" s="1230"/>
      <c r="S794" s="1230"/>
      <c r="T794" s="1230"/>
      <c r="U794" s="1230"/>
      <c r="V794" s="1230"/>
      <c r="W794" s="1230"/>
      <c r="X794" s="1231"/>
      <c r="Y794" s="1230"/>
    </row>
    <row r="795">
      <c r="A795" s="1234"/>
      <c r="B795" s="1230"/>
      <c r="C795" s="1230"/>
      <c r="D795" s="1230"/>
      <c r="E795" s="1230"/>
      <c r="F795" s="1233"/>
      <c r="G795" s="1230"/>
      <c r="H795" s="1230"/>
      <c r="I795" s="1231"/>
      <c r="J795" s="1230"/>
      <c r="K795" s="1230"/>
      <c r="L795" s="1230"/>
      <c r="M795" s="1230"/>
      <c r="N795" s="1230"/>
      <c r="O795" s="1232"/>
      <c r="P795" s="1230"/>
      <c r="Q795" s="1230"/>
      <c r="R795" s="1230"/>
      <c r="S795" s="1230"/>
      <c r="T795" s="1230"/>
      <c r="U795" s="1230"/>
      <c r="V795" s="1230"/>
      <c r="W795" s="1230"/>
      <c r="X795" s="1231"/>
      <c r="Y795" s="1230"/>
    </row>
    <row r="796">
      <c r="A796" s="1234"/>
      <c r="B796" s="1230"/>
      <c r="C796" s="1230"/>
      <c r="D796" s="1230"/>
      <c r="E796" s="1230"/>
      <c r="F796" s="1233"/>
      <c r="G796" s="1230"/>
      <c r="H796" s="1230"/>
      <c r="I796" s="1231"/>
      <c r="J796" s="1230"/>
      <c r="K796" s="1230"/>
      <c r="L796" s="1230"/>
      <c r="M796" s="1230"/>
      <c r="N796" s="1230"/>
      <c r="O796" s="1232"/>
      <c r="P796" s="1230"/>
      <c r="Q796" s="1230"/>
      <c r="R796" s="1230"/>
      <c r="S796" s="1230"/>
      <c r="T796" s="1230"/>
      <c r="U796" s="1230"/>
      <c r="V796" s="1230"/>
      <c r="W796" s="1230"/>
      <c r="X796" s="1231"/>
      <c r="Y796" s="1230"/>
    </row>
    <row r="797">
      <c r="A797" s="1234"/>
      <c r="B797" s="1230"/>
      <c r="C797" s="1230"/>
      <c r="D797" s="1230"/>
      <c r="E797" s="1230"/>
      <c r="F797" s="1233"/>
      <c r="G797" s="1230"/>
      <c r="H797" s="1230"/>
      <c r="I797" s="1231"/>
      <c r="J797" s="1230"/>
      <c r="K797" s="1230"/>
      <c r="L797" s="1230"/>
      <c r="M797" s="1230"/>
      <c r="N797" s="1230"/>
      <c r="O797" s="1232"/>
      <c r="P797" s="1230"/>
      <c r="Q797" s="1230"/>
      <c r="R797" s="1230"/>
      <c r="S797" s="1230"/>
      <c r="T797" s="1230"/>
      <c r="U797" s="1230"/>
      <c r="V797" s="1230"/>
      <c r="W797" s="1230"/>
      <c r="X797" s="1231"/>
      <c r="Y797" s="1230"/>
    </row>
    <row r="798">
      <c r="A798" s="1234"/>
      <c r="B798" s="1230"/>
      <c r="C798" s="1230"/>
      <c r="D798" s="1230"/>
      <c r="E798" s="1230"/>
      <c r="F798" s="1233"/>
      <c r="G798" s="1230"/>
      <c r="H798" s="1230"/>
      <c r="I798" s="1231"/>
      <c r="J798" s="1230"/>
      <c r="K798" s="1230"/>
      <c r="L798" s="1230"/>
      <c r="M798" s="1230"/>
      <c r="N798" s="1230"/>
      <c r="O798" s="1232"/>
      <c r="P798" s="1230"/>
      <c r="Q798" s="1230"/>
      <c r="R798" s="1230"/>
      <c r="S798" s="1230"/>
      <c r="T798" s="1230"/>
      <c r="U798" s="1230"/>
      <c r="V798" s="1230"/>
      <c r="W798" s="1230"/>
      <c r="X798" s="1231"/>
      <c r="Y798" s="1230"/>
    </row>
    <row r="799">
      <c r="A799" s="1234"/>
      <c r="B799" s="1230"/>
      <c r="C799" s="1230"/>
      <c r="D799" s="1230"/>
      <c r="E799" s="1230"/>
      <c r="F799" s="1233"/>
      <c r="G799" s="1230"/>
      <c r="H799" s="1230"/>
      <c r="I799" s="1231"/>
      <c r="J799" s="1230"/>
      <c r="K799" s="1230"/>
      <c r="L799" s="1230"/>
      <c r="M799" s="1230"/>
      <c r="N799" s="1230"/>
      <c r="O799" s="1232"/>
      <c r="P799" s="1230"/>
      <c r="Q799" s="1230"/>
      <c r="R799" s="1230"/>
      <c r="S799" s="1230"/>
      <c r="T799" s="1230"/>
      <c r="U799" s="1230"/>
      <c r="V799" s="1230"/>
      <c r="W799" s="1230"/>
      <c r="X799" s="1231"/>
      <c r="Y799" s="1230"/>
    </row>
    <row r="800">
      <c r="A800" s="1234"/>
      <c r="B800" s="1230"/>
      <c r="C800" s="1230"/>
      <c r="D800" s="1230"/>
      <c r="E800" s="1230"/>
      <c r="F800" s="1233"/>
      <c r="G800" s="1230"/>
      <c r="H800" s="1230"/>
      <c r="I800" s="1231"/>
      <c r="J800" s="1230"/>
      <c r="K800" s="1230"/>
      <c r="L800" s="1230"/>
      <c r="M800" s="1230"/>
      <c r="N800" s="1230"/>
      <c r="O800" s="1232"/>
      <c r="P800" s="1230"/>
      <c r="Q800" s="1230"/>
      <c r="R800" s="1230"/>
      <c r="S800" s="1230"/>
      <c r="T800" s="1230"/>
      <c r="U800" s="1230"/>
      <c r="V800" s="1230"/>
      <c r="W800" s="1230"/>
      <c r="X800" s="1231"/>
      <c r="Y800" s="1230"/>
    </row>
    <row r="801">
      <c r="A801" s="1234"/>
      <c r="B801" s="1230"/>
      <c r="C801" s="1230"/>
      <c r="D801" s="1230"/>
      <c r="E801" s="1230"/>
      <c r="F801" s="1233"/>
      <c r="G801" s="1230"/>
      <c r="H801" s="1230"/>
      <c r="I801" s="1231"/>
      <c r="J801" s="1230"/>
      <c r="K801" s="1230"/>
      <c r="L801" s="1230"/>
      <c r="M801" s="1230"/>
      <c r="N801" s="1230"/>
      <c r="O801" s="1232"/>
      <c r="P801" s="1230"/>
      <c r="Q801" s="1230"/>
      <c r="R801" s="1230"/>
      <c r="S801" s="1230"/>
      <c r="T801" s="1230"/>
      <c r="U801" s="1230"/>
      <c r="V801" s="1230"/>
      <c r="W801" s="1230"/>
      <c r="X801" s="1231"/>
      <c r="Y801" s="1230"/>
    </row>
    <row r="802">
      <c r="A802" s="1234"/>
      <c r="B802" s="1230"/>
      <c r="C802" s="1230"/>
      <c r="D802" s="1230"/>
      <c r="E802" s="1230"/>
      <c r="F802" s="1233"/>
      <c r="G802" s="1230"/>
      <c r="H802" s="1230"/>
      <c r="I802" s="1231"/>
      <c r="J802" s="1230"/>
      <c r="K802" s="1230"/>
      <c r="L802" s="1230"/>
      <c r="M802" s="1230"/>
      <c r="N802" s="1230"/>
      <c r="O802" s="1232"/>
      <c r="P802" s="1230"/>
      <c r="Q802" s="1230"/>
      <c r="R802" s="1230"/>
      <c r="S802" s="1230"/>
      <c r="T802" s="1230"/>
      <c r="U802" s="1230"/>
      <c r="V802" s="1230"/>
      <c r="W802" s="1230"/>
      <c r="X802" s="1231"/>
      <c r="Y802" s="1230"/>
    </row>
    <row r="803">
      <c r="A803" s="1234"/>
      <c r="B803" s="1230"/>
      <c r="C803" s="1230"/>
      <c r="D803" s="1230"/>
      <c r="E803" s="1230"/>
      <c r="F803" s="1233"/>
      <c r="G803" s="1230"/>
      <c r="H803" s="1230"/>
      <c r="I803" s="1231"/>
      <c r="J803" s="1230"/>
      <c r="K803" s="1230"/>
      <c r="L803" s="1230"/>
      <c r="M803" s="1230"/>
      <c r="N803" s="1230"/>
      <c r="O803" s="1232"/>
      <c r="P803" s="1230"/>
      <c r="Q803" s="1230"/>
      <c r="R803" s="1230"/>
      <c r="S803" s="1230"/>
      <c r="T803" s="1230"/>
      <c r="U803" s="1230"/>
      <c r="V803" s="1230"/>
      <c r="W803" s="1230"/>
      <c r="X803" s="1231"/>
      <c r="Y803" s="1230"/>
    </row>
    <row r="804">
      <c r="A804" s="1234"/>
      <c r="B804" s="1230"/>
      <c r="C804" s="1230"/>
      <c r="D804" s="1230"/>
      <c r="E804" s="1230"/>
      <c r="F804" s="1233"/>
      <c r="G804" s="1230"/>
      <c r="H804" s="1230"/>
      <c r="I804" s="1231"/>
      <c r="J804" s="1230"/>
      <c r="K804" s="1230"/>
      <c r="L804" s="1230"/>
      <c r="M804" s="1230"/>
      <c r="N804" s="1230"/>
      <c r="O804" s="1232"/>
      <c r="P804" s="1230"/>
      <c r="Q804" s="1230"/>
      <c r="R804" s="1230"/>
      <c r="S804" s="1230"/>
      <c r="T804" s="1230"/>
      <c r="U804" s="1230"/>
      <c r="V804" s="1230"/>
      <c r="W804" s="1230"/>
      <c r="X804" s="1231"/>
      <c r="Y804" s="1230"/>
    </row>
    <row r="805">
      <c r="A805" s="1234"/>
      <c r="B805" s="1230"/>
      <c r="C805" s="1230"/>
      <c r="D805" s="1230"/>
      <c r="E805" s="1230"/>
      <c r="F805" s="1233"/>
      <c r="G805" s="1230"/>
      <c r="H805" s="1230"/>
      <c r="I805" s="1231"/>
      <c r="J805" s="1230"/>
      <c r="K805" s="1230"/>
      <c r="L805" s="1230"/>
      <c r="M805" s="1230"/>
      <c r="N805" s="1230"/>
      <c r="O805" s="1232"/>
      <c r="P805" s="1230"/>
      <c r="Q805" s="1230"/>
      <c r="R805" s="1230"/>
      <c r="S805" s="1230"/>
      <c r="T805" s="1230"/>
      <c r="U805" s="1230"/>
      <c r="V805" s="1230"/>
      <c r="W805" s="1230"/>
      <c r="X805" s="1231"/>
      <c r="Y805" s="1230"/>
    </row>
    <row r="806">
      <c r="A806" s="1234"/>
      <c r="B806" s="1230"/>
      <c r="C806" s="1230"/>
      <c r="D806" s="1230"/>
      <c r="E806" s="1230"/>
      <c r="F806" s="1233"/>
      <c r="G806" s="1230"/>
      <c r="H806" s="1230"/>
      <c r="I806" s="1231"/>
      <c r="J806" s="1230"/>
      <c r="K806" s="1230"/>
      <c r="L806" s="1230"/>
      <c r="M806" s="1230"/>
      <c r="N806" s="1230"/>
      <c r="O806" s="1232"/>
      <c r="P806" s="1230"/>
      <c r="Q806" s="1230"/>
      <c r="R806" s="1230"/>
      <c r="S806" s="1230"/>
      <c r="T806" s="1230"/>
      <c r="U806" s="1230"/>
      <c r="V806" s="1230"/>
      <c r="W806" s="1230"/>
      <c r="X806" s="1231"/>
      <c r="Y806" s="1230"/>
    </row>
    <row r="807">
      <c r="A807" s="1234"/>
      <c r="B807" s="1230"/>
      <c r="C807" s="1230"/>
      <c r="D807" s="1230"/>
      <c r="E807" s="1230"/>
      <c r="F807" s="1233"/>
      <c r="G807" s="1230"/>
      <c r="H807" s="1230"/>
      <c r="I807" s="1231"/>
      <c r="J807" s="1230"/>
      <c r="K807" s="1230"/>
      <c r="L807" s="1230"/>
      <c r="M807" s="1230"/>
      <c r="N807" s="1230"/>
      <c r="O807" s="1232"/>
      <c r="P807" s="1230"/>
      <c r="Q807" s="1230"/>
      <c r="R807" s="1230"/>
      <c r="S807" s="1230"/>
      <c r="T807" s="1230"/>
      <c r="U807" s="1230"/>
      <c r="V807" s="1230"/>
      <c r="W807" s="1230"/>
      <c r="X807" s="1231"/>
      <c r="Y807" s="1230"/>
    </row>
    <row r="808">
      <c r="A808" s="1234"/>
      <c r="B808" s="1230"/>
      <c r="C808" s="1230"/>
      <c r="D808" s="1230"/>
      <c r="E808" s="1230"/>
      <c r="F808" s="1233"/>
      <c r="G808" s="1230"/>
      <c r="H808" s="1230"/>
      <c r="I808" s="1231"/>
      <c r="J808" s="1230"/>
      <c r="K808" s="1230"/>
      <c r="L808" s="1230"/>
      <c r="M808" s="1230"/>
      <c r="N808" s="1230"/>
      <c r="O808" s="1232"/>
      <c r="P808" s="1230"/>
      <c r="Q808" s="1230"/>
      <c r="R808" s="1230"/>
      <c r="S808" s="1230"/>
      <c r="T808" s="1230"/>
      <c r="U808" s="1230"/>
      <c r="V808" s="1230"/>
      <c r="W808" s="1230"/>
      <c r="X808" s="1231"/>
      <c r="Y808" s="1230"/>
    </row>
    <row r="809">
      <c r="A809" s="1234"/>
      <c r="B809" s="1230"/>
      <c r="C809" s="1230"/>
      <c r="D809" s="1230"/>
      <c r="E809" s="1230"/>
      <c r="F809" s="1233"/>
      <c r="G809" s="1230"/>
      <c r="H809" s="1230"/>
      <c r="I809" s="1231"/>
      <c r="J809" s="1230"/>
      <c r="K809" s="1230"/>
      <c r="L809" s="1230"/>
      <c r="M809" s="1230"/>
      <c r="N809" s="1230"/>
      <c r="O809" s="1232"/>
      <c r="P809" s="1230"/>
      <c r="Q809" s="1230"/>
      <c r="R809" s="1230"/>
      <c r="S809" s="1230"/>
      <c r="T809" s="1230"/>
      <c r="U809" s="1230"/>
      <c r="V809" s="1230"/>
      <c r="W809" s="1230"/>
      <c r="X809" s="1231"/>
      <c r="Y809" s="1230"/>
    </row>
    <row r="810">
      <c r="A810" s="1234"/>
      <c r="B810" s="1230"/>
      <c r="C810" s="1230"/>
      <c r="D810" s="1230"/>
      <c r="E810" s="1230"/>
      <c r="F810" s="1233"/>
      <c r="G810" s="1230"/>
      <c r="H810" s="1230"/>
      <c r="I810" s="1231"/>
      <c r="J810" s="1230"/>
      <c r="K810" s="1230"/>
      <c r="L810" s="1230"/>
      <c r="M810" s="1230"/>
      <c r="N810" s="1230"/>
      <c r="O810" s="1232"/>
      <c r="P810" s="1230"/>
      <c r="Q810" s="1230"/>
      <c r="R810" s="1230"/>
      <c r="S810" s="1230"/>
      <c r="T810" s="1230"/>
      <c r="U810" s="1230"/>
      <c r="V810" s="1230"/>
      <c r="W810" s="1230"/>
      <c r="X810" s="1231"/>
      <c r="Y810" s="1230"/>
    </row>
    <row r="811">
      <c r="A811" s="1234"/>
      <c r="B811" s="1230"/>
      <c r="C811" s="1230"/>
      <c r="D811" s="1230"/>
      <c r="E811" s="1230"/>
      <c r="F811" s="1233"/>
      <c r="G811" s="1230"/>
      <c r="H811" s="1230"/>
      <c r="I811" s="1231"/>
      <c r="J811" s="1230"/>
      <c r="K811" s="1230"/>
      <c r="L811" s="1230"/>
      <c r="M811" s="1230"/>
      <c r="N811" s="1230"/>
      <c r="O811" s="1232"/>
      <c r="P811" s="1230"/>
      <c r="Q811" s="1230"/>
      <c r="R811" s="1230"/>
      <c r="S811" s="1230"/>
      <c r="T811" s="1230"/>
      <c r="U811" s="1230"/>
      <c r="V811" s="1230"/>
      <c r="W811" s="1230"/>
      <c r="X811" s="1231"/>
      <c r="Y811" s="1230"/>
    </row>
    <row r="812">
      <c r="A812" s="1234"/>
      <c r="B812" s="1230"/>
      <c r="C812" s="1230"/>
      <c r="D812" s="1230"/>
      <c r="E812" s="1230"/>
      <c r="F812" s="1233"/>
      <c r="G812" s="1230"/>
      <c r="H812" s="1230"/>
      <c r="I812" s="1231"/>
      <c r="J812" s="1230"/>
      <c r="K812" s="1230"/>
      <c r="L812" s="1230"/>
      <c r="M812" s="1230"/>
      <c r="N812" s="1230"/>
      <c r="O812" s="1232"/>
      <c r="P812" s="1230"/>
      <c r="Q812" s="1230"/>
      <c r="R812" s="1230"/>
      <c r="S812" s="1230"/>
      <c r="T812" s="1230"/>
      <c r="U812" s="1230"/>
      <c r="V812" s="1230"/>
      <c r="W812" s="1230"/>
      <c r="X812" s="1231"/>
      <c r="Y812" s="1230"/>
    </row>
    <row r="813">
      <c r="A813" s="1234"/>
      <c r="B813" s="1230"/>
      <c r="C813" s="1230"/>
      <c r="D813" s="1230"/>
      <c r="E813" s="1230"/>
      <c r="F813" s="1233"/>
      <c r="G813" s="1230"/>
      <c r="H813" s="1230"/>
      <c r="I813" s="1231"/>
      <c r="J813" s="1230"/>
      <c r="K813" s="1230"/>
      <c r="L813" s="1230"/>
      <c r="M813" s="1230"/>
      <c r="N813" s="1230"/>
      <c r="O813" s="1232"/>
      <c r="P813" s="1230"/>
      <c r="Q813" s="1230"/>
      <c r="R813" s="1230"/>
      <c r="S813" s="1230"/>
      <c r="T813" s="1230"/>
      <c r="U813" s="1230"/>
      <c r="V813" s="1230"/>
      <c r="W813" s="1230"/>
      <c r="X813" s="1231"/>
      <c r="Y813" s="1230"/>
    </row>
    <row r="814">
      <c r="A814" s="1234"/>
      <c r="B814" s="1230"/>
      <c r="C814" s="1230"/>
      <c r="D814" s="1230"/>
      <c r="E814" s="1230"/>
      <c r="F814" s="1233"/>
      <c r="G814" s="1230"/>
      <c r="H814" s="1230"/>
      <c r="I814" s="1231"/>
      <c r="J814" s="1230"/>
      <c r="K814" s="1230"/>
      <c r="L814" s="1230"/>
      <c r="M814" s="1230"/>
      <c r="N814" s="1230"/>
      <c r="O814" s="1232"/>
      <c r="P814" s="1230"/>
      <c r="Q814" s="1230"/>
      <c r="R814" s="1230"/>
      <c r="S814" s="1230"/>
      <c r="T814" s="1230"/>
      <c r="U814" s="1230"/>
      <c r="V814" s="1230"/>
      <c r="W814" s="1230"/>
      <c r="X814" s="1231"/>
      <c r="Y814" s="1230"/>
    </row>
    <row r="815">
      <c r="A815" s="1234"/>
      <c r="B815" s="1230"/>
      <c r="C815" s="1230"/>
      <c r="D815" s="1230"/>
      <c r="E815" s="1230"/>
      <c r="F815" s="1233"/>
      <c r="G815" s="1230"/>
      <c r="H815" s="1230"/>
      <c r="I815" s="1231"/>
      <c r="J815" s="1230"/>
      <c r="K815" s="1230"/>
      <c r="L815" s="1230"/>
      <c r="M815" s="1230"/>
      <c r="N815" s="1230"/>
      <c r="O815" s="1232"/>
      <c r="P815" s="1230"/>
      <c r="Q815" s="1230"/>
      <c r="R815" s="1230"/>
      <c r="S815" s="1230"/>
      <c r="T815" s="1230"/>
      <c r="U815" s="1230"/>
      <c r="V815" s="1230"/>
      <c r="W815" s="1230"/>
      <c r="X815" s="1231"/>
      <c r="Y815" s="1230"/>
    </row>
    <row r="816">
      <c r="A816" s="1234"/>
      <c r="B816" s="1230"/>
      <c r="C816" s="1230"/>
      <c r="D816" s="1230"/>
      <c r="E816" s="1230"/>
      <c r="F816" s="1233"/>
      <c r="G816" s="1230"/>
      <c r="H816" s="1230"/>
      <c r="I816" s="1231"/>
      <c r="J816" s="1230"/>
      <c r="K816" s="1230"/>
      <c r="L816" s="1230"/>
      <c r="M816" s="1230"/>
      <c r="N816" s="1230"/>
      <c r="O816" s="1232"/>
      <c r="P816" s="1230"/>
      <c r="Q816" s="1230"/>
      <c r="R816" s="1230"/>
      <c r="S816" s="1230"/>
      <c r="T816" s="1230"/>
      <c r="U816" s="1230"/>
      <c r="V816" s="1230"/>
      <c r="W816" s="1230"/>
      <c r="X816" s="1231"/>
      <c r="Y816" s="1230"/>
    </row>
    <row r="817">
      <c r="A817" s="1234"/>
      <c r="B817" s="1230"/>
      <c r="C817" s="1230"/>
      <c r="D817" s="1230"/>
      <c r="E817" s="1230"/>
      <c r="F817" s="1233"/>
      <c r="G817" s="1230"/>
      <c r="H817" s="1230"/>
      <c r="I817" s="1231"/>
      <c r="J817" s="1230"/>
      <c r="K817" s="1230"/>
      <c r="L817" s="1230"/>
      <c r="M817" s="1230"/>
      <c r="N817" s="1230"/>
      <c r="O817" s="1232"/>
      <c r="P817" s="1230"/>
      <c r="Q817" s="1230"/>
      <c r="R817" s="1230"/>
      <c r="S817" s="1230"/>
      <c r="T817" s="1230"/>
      <c r="U817" s="1230"/>
      <c r="V817" s="1230"/>
      <c r="W817" s="1230"/>
      <c r="X817" s="1231"/>
      <c r="Y817" s="1230"/>
    </row>
    <row r="818">
      <c r="A818" s="1234"/>
      <c r="B818" s="1230"/>
      <c r="C818" s="1230"/>
      <c r="D818" s="1230"/>
      <c r="E818" s="1230"/>
      <c r="F818" s="1233"/>
      <c r="G818" s="1230"/>
      <c r="H818" s="1230"/>
      <c r="I818" s="1231"/>
      <c r="J818" s="1230"/>
      <c r="K818" s="1230"/>
      <c r="L818" s="1230"/>
      <c r="M818" s="1230"/>
      <c r="N818" s="1230"/>
      <c r="O818" s="1232"/>
      <c r="P818" s="1230"/>
      <c r="Q818" s="1230"/>
      <c r="R818" s="1230"/>
      <c r="S818" s="1230"/>
      <c r="T818" s="1230"/>
      <c r="U818" s="1230"/>
      <c r="V818" s="1230"/>
      <c r="W818" s="1230"/>
      <c r="X818" s="1231"/>
      <c r="Y818" s="1230"/>
    </row>
    <row r="819">
      <c r="A819" s="1234"/>
      <c r="B819" s="1230"/>
      <c r="C819" s="1230"/>
      <c r="D819" s="1230"/>
      <c r="E819" s="1230"/>
      <c r="F819" s="1233"/>
      <c r="G819" s="1230"/>
      <c r="H819" s="1230"/>
      <c r="I819" s="1231"/>
      <c r="J819" s="1230"/>
      <c r="K819" s="1230"/>
      <c r="L819" s="1230"/>
      <c r="M819" s="1230"/>
      <c r="N819" s="1230"/>
      <c r="O819" s="1232"/>
      <c r="P819" s="1230"/>
      <c r="Q819" s="1230"/>
      <c r="R819" s="1230"/>
      <c r="S819" s="1230"/>
      <c r="T819" s="1230"/>
      <c r="U819" s="1230"/>
      <c r="V819" s="1230"/>
      <c r="W819" s="1230"/>
      <c r="X819" s="1231"/>
      <c r="Y819" s="1230"/>
    </row>
    <row r="820">
      <c r="A820" s="1234"/>
      <c r="B820" s="1230"/>
      <c r="C820" s="1230"/>
      <c r="D820" s="1230"/>
      <c r="E820" s="1230"/>
      <c r="F820" s="1233"/>
      <c r="G820" s="1230"/>
      <c r="H820" s="1230"/>
      <c r="I820" s="1231"/>
      <c r="J820" s="1230"/>
      <c r="K820" s="1230"/>
      <c r="L820" s="1230"/>
      <c r="M820" s="1230"/>
      <c r="N820" s="1230"/>
      <c r="O820" s="1232"/>
      <c r="P820" s="1230"/>
      <c r="Q820" s="1230"/>
      <c r="R820" s="1230"/>
      <c r="S820" s="1230"/>
      <c r="T820" s="1230"/>
      <c r="U820" s="1230"/>
      <c r="V820" s="1230"/>
      <c r="W820" s="1230"/>
      <c r="X820" s="1231"/>
      <c r="Y820" s="1230"/>
    </row>
    <row r="821">
      <c r="A821" s="1234"/>
      <c r="B821" s="1230"/>
      <c r="C821" s="1230"/>
      <c r="D821" s="1230"/>
      <c r="E821" s="1230"/>
      <c r="F821" s="1233"/>
      <c r="G821" s="1230"/>
      <c r="H821" s="1230"/>
      <c r="I821" s="1231"/>
      <c r="J821" s="1230"/>
      <c r="K821" s="1230"/>
      <c r="L821" s="1230"/>
      <c r="M821" s="1230"/>
      <c r="N821" s="1230"/>
      <c r="O821" s="1232"/>
      <c r="P821" s="1230"/>
      <c r="Q821" s="1230"/>
      <c r="R821" s="1230"/>
      <c r="S821" s="1230"/>
      <c r="T821" s="1230"/>
      <c r="U821" s="1230"/>
      <c r="V821" s="1230"/>
      <c r="W821" s="1230"/>
      <c r="X821" s="1231"/>
      <c r="Y821" s="1230"/>
    </row>
    <row r="822">
      <c r="A822" s="1234"/>
      <c r="B822" s="1230"/>
      <c r="C822" s="1230"/>
      <c r="D822" s="1230"/>
      <c r="E822" s="1230"/>
      <c r="F822" s="1233"/>
      <c r="G822" s="1230"/>
      <c r="H822" s="1230"/>
      <c r="I822" s="1231"/>
      <c r="J822" s="1230"/>
      <c r="K822" s="1230"/>
      <c r="L822" s="1230"/>
      <c r="M822" s="1230"/>
      <c r="N822" s="1230"/>
      <c r="O822" s="1232"/>
      <c r="P822" s="1230"/>
      <c r="Q822" s="1230"/>
      <c r="R822" s="1230"/>
      <c r="S822" s="1230"/>
      <c r="T822" s="1230"/>
      <c r="U822" s="1230"/>
      <c r="V822" s="1230"/>
      <c r="W822" s="1230"/>
      <c r="X822" s="1231"/>
      <c r="Y822" s="1230"/>
    </row>
    <row r="823">
      <c r="A823" s="1234"/>
      <c r="B823" s="1230"/>
      <c r="C823" s="1230"/>
      <c r="D823" s="1230"/>
      <c r="E823" s="1230"/>
      <c r="F823" s="1233"/>
      <c r="G823" s="1230"/>
      <c r="H823" s="1230"/>
      <c r="I823" s="1231"/>
      <c r="J823" s="1230"/>
      <c r="K823" s="1230"/>
      <c r="L823" s="1230"/>
      <c r="M823" s="1230"/>
      <c r="N823" s="1230"/>
      <c r="O823" s="1232"/>
      <c r="P823" s="1230"/>
      <c r="Q823" s="1230"/>
      <c r="R823" s="1230"/>
      <c r="S823" s="1230"/>
      <c r="T823" s="1230"/>
      <c r="U823" s="1230"/>
      <c r="V823" s="1230"/>
      <c r="W823" s="1230"/>
      <c r="X823" s="1231"/>
      <c r="Y823" s="1230"/>
    </row>
    <row r="824">
      <c r="A824" s="1234"/>
      <c r="B824" s="1230"/>
      <c r="C824" s="1230"/>
      <c r="D824" s="1230"/>
      <c r="E824" s="1230"/>
      <c r="F824" s="1233"/>
      <c r="G824" s="1230"/>
      <c r="H824" s="1230"/>
      <c r="I824" s="1231"/>
      <c r="J824" s="1230"/>
      <c r="K824" s="1230"/>
      <c r="L824" s="1230"/>
      <c r="M824" s="1230"/>
      <c r="N824" s="1230"/>
      <c r="O824" s="1232"/>
      <c r="P824" s="1230"/>
      <c r="Q824" s="1230"/>
      <c r="R824" s="1230"/>
      <c r="S824" s="1230"/>
      <c r="T824" s="1230"/>
      <c r="U824" s="1230"/>
      <c r="V824" s="1230"/>
      <c r="W824" s="1230"/>
      <c r="X824" s="1231"/>
      <c r="Y824" s="1230"/>
    </row>
    <row r="825">
      <c r="A825" s="1234"/>
      <c r="B825" s="1230"/>
      <c r="C825" s="1230"/>
      <c r="D825" s="1230"/>
      <c r="E825" s="1230"/>
      <c r="F825" s="1233"/>
      <c r="G825" s="1230"/>
      <c r="H825" s="1230"/>
      <c r="I825" s="1231"/>
      <c r="J825" s="1230"/>
      <c r="K825" s="1230"/>
      <c r="L825" s="1230"/>
      <c r="M825" s="1230"/>
      <c r="N825" s="1230"/>
      <c r="O825" s="1232"/>
      <c r="P825" s="1230"/>
      <c r="Q825" s="1230"/>
      <c r="R825" s="1230"/>
      <c r="S825" s="1230"/>
      <c r="T825" s="1230"/>
      <c r="U825" s="1230"/>
      <c r="V825" s="1230"/>
      <c r="W825" s="1230"/>
      <c r="X825" s="1231"/>
      <c r="Y825" s="1230"/>
    </row>
    <row r="826">
      <c r="A826" s="1234"/>
      <c r="B826" s="1230"/>
      <c r="C826" s="1230"/>
      <c r="D826" s="1230"/>
      <c r="E826" s="1230"/>
      <c r="F826" s="1233"/>
      <c r="G826" s="1230"/>
      <c r="H826" s="1230"/>
      <c r="I826" s="1231"/>
      <c r="J826" s="1230"/>
      <c r="K826" s="1230"/>
      <c r="L826" s="1230"/>
      <c r="M826" s="1230"/>
      <c r="N826" s="1230"/>
      <c r="O826" s="1232"/>
      <c r="P826" s="1230"/>
      <c r="Q826" s="1230"/>
      <c r="R826" s="1230"/>
      <c r="S826" s="1230"/>
      <c r="T826" s="1230"/>
      <c r="U826" s="1230"/>
      <c r="V826" s="1230"/>
      <c r="W826" s="1230"/>
      <c r="X826" s="1231"/>
      <c r="Y826" s="1230"/>
    </row>
    <row r="827">
      <c r="A827" s="1234"/>
      <c r="B827" s="1230"/>
      <c r="C827" s="1230"/>
      <c r="D827" s="1230"/>
      <c r="E827" s="1230"/>
      <c r="F827" s="1233"/>
      <c r="G827" s="1230"/>
      <c r="H827" s="1230"/>
      <c r="I827" s="1231"/>
      <c r="J827" s="1230"/>
      <c r="K827" s="1230"/>
      <c r="L827" s="1230"/>
      <c r="M827" s="1230"/>
      <c r="N827" s="1230"/>
      <c r="O827" s="1232"/>
      <c r="P827" s="1230"/>
      <c r="Q827" s="1230"/>
      <c r="R827" s="1230"/>
      <c r="S827" s="1230"/>
      <c r="T827" s="1230"/>
      <c r="U827" s="1230"/>
      <c r="V827" s="1230"/>
      <c r="W827" s="1230"/>
      <c r="X827" s="1231"/>
      <c r="Y827" s="1230"/>
    </row>
    <row r="828">
      <c r="A828" s="1234"/>
      <c r="B828" s="1230"/>
      <c r="C828" s="1230"/>
      <c r="D828" s="1230"/>
      <c r="E828" s="1230"/>
      <c r="F828" s="1233"/>
      <c r="G828" s="1230"/>
      <c r="H828" s="1230"/>
      <c r="I828" s="1231"/>
      <c r="J828" s="1230"/>
      <c r="K828" s="1230"/>
      <c r="L828" s="1230"/>
      <c r="M828" s="1230"/>
      <c r="N828" s="1230"/>
      <c r="O828" s="1232"/>
      <c r="P828" s="1230"/>
      <c r="Q828" s="1230"/>
      <c r="R828" s="1230"/>
      <c r="S828" s="1230"/>
      <c r="T828" s="1230"/>
      <c r="U828" s="1230"/>
      <c r="V828" s="1230"/>
      <c r="W828" s="1230"/>
      <c r="X828" s="1231"/>
      <c r="Y828" s="1230"/>
    </row>
    <row r="829">
      <c r="A829" s="1234"/>
      <c r="B829" s="1230"/>
      <c r="C829" s="1230"/>
      <c r="D829" s="1230"/>
      <c r="E829" s="1230"/>
      <c r="F829" s="1233"/>
      <c r="G829" s="1230"/>
      <c r="H829" s="1230"/>
      <c r="I829" s="1231"/>
      <c r="J829" s="1230"/>
      <c r="K829" s="1230"/>
      <c r="L829" s="1230"/>
      <c r="M829" s="1230"/>
      <c r="N829" s="1230"/>
      <c r="O829" s="1232"/>
      <c r="P829" s="1230"/>
      <c r="Q829" s="1230"/>
      <c r="R829" s="1230"/>
      <c r="S829" s="1230"/>
      <c r="T829" s="1230"/>
      <c r="U829" s="1230"/>
      <c r="V829" s="1230"/>
      <c r="W829" s="1230"/>
      <c r="X829" s="1231"/>
      <c r="Y829" s="1230"/>
    </row>
    <row r="830">
      <c r="A830" s="1234"/>
      <c r="B830" s="1230"/>
      <c r="C830" s="1230"/>
      <c r="D830" s="1230"/>
      <c r="E830" s="1230"/>
      <c r="F830" s="1233"/>
      <c r="G830" s="1230"/>
      <c r="H830" s="1230"/>
      <c r="I830" s="1231"/>
      <c r="J830" s="1230"/>
      <c r="K830" s="1230"/>
      <c r="L830" s="1230"/>
      <c r="M830" s="1230"/>
      <c r="N830" s="1230"/>
      <c r="O830" s="1232"/>
      <c r="P830" s="1230"/>
      <c r="Q830" s="1230"/>
      <c r="R830" s="1230"/>
      <c r="S830" s="1230"/>
      <c r="T830" s="1230"/>
      <c r="U830" s="1230"/>
      <c r="V830" s="1230"/>
      <c r="W830" s="1230"/>
      <c r="X830" s="1231"/>
      <c r="Y830" s="1230"/>
    </row>
    <row r="831">
      <c r="A831" s="1234"/>
      <c r="B831" s="1230"/>
      <c r="C831" s="1230"/>
      <c r="D831" s="1230"/>
      <c r="E831" s="1230"/>
      <c r="F831" s="1233"/>
      <c r="G831" s="1230"/>
      <c r="H831" s="1230"/>
      <c r="I831" s="1231"/>
      <c r="J831" s="1230"/>
      <c r="K831" s="1230"/>
      <c r="L831" s="1230"/>
      <c r="M831" s="1230"/>
      <c r="N831" s="1230"/>
      <c r="O831" s="1232"/>
      <c r="P831" s="1230"/>
      <c r="Q831" s="1230"/>
      <c r="R831" s="1230"/>
      <c r="S831" s="1230"/>
      <c r="T831" s="1230"/>
      <c r="U831" s="1230"/>
      <c r="V831" s="1230"/>
      <c r="W831" s="1230"/>
      <c r="X831" s="1231"/>
      <c r="Y831" s="1230"/>
    </row>
    <row r="832">
      <c r="A832" s="1234"/>
      <c r="B832" s="1230"/>
      <c r="C832" s="1230"/>
      <c r="D832" s="1230"/>
      <c r="E832" s="1230"/>
      <c r="F832" s="1233"/>
      <c r="G832" s="1230"/>
      <c r="H832" s="1230"/>
      <c r="I832" s="1231"/>
      <c r="J832" s="1230"/>
      <c r="K832" s="1230"/>
      <c r="L832" s="1230"/>
      <c r="M832" s="1230"/>
      <c r="N832" s="1230"/>
      <c r="O832" s="1232"/>
      <c r="P832" s="1230"/>
      <c r="Q832" s="1230"/>
      <c r="R832" s="1230"/>
      <c r="S832" s="1230"/>
      <c r="T832" s="1230"/>
      <c r="U832" s="1230"/>
      <c r="V832" s="1230"/>
      <c r="W832" s="1230"/>
      <c r="X832" s="1231"/>
      <c r="Y832" s="1230"/>
    </row>
    <row r="833">
      <c r="A833" s="1234"/>
      <c r="B833" s="1230"/>
      <c r="C833" s="1230"/>
      <c r="D833" s="1230"/>
      <c r="E833" s="1230"/>
      <c r="F833" s="1233"/>
      <c r="G833" s="1230"/>
      <c r="H833" s="1230"/>
      <c r="I833" s="1231"/>
      <c r="J833" s="1230"/>
      <c r="K833" s="1230"/>
      <c r="L833" s="1230"/>
      <c r="M833" s="1230"/>
      <c r="N833" s="1230"/>
      <c r="O833" s="1232"/>
      <c r="P833" s="1230"/>
      <c r="Q833" s="1230"/>
      <c r="R833" s="1230"/>
      <c r="S833" s="1230"/>
      <c r="T833" s="1230"/>
      <c r="U833" s="1230"/>
      <c r="V833" s="1230"/>
      <c r="W833" s="1230"/>
      <c r="X833" s="1231"/>
      <c r="Y833" s="1230"/>
    </row>
    <row r="834">
      <c r="A834" s="1234"/>
      <c r="B834" s="1230"/>
      <c r="C834" s="1230"/>
      <c r="D834" s="1230"/>
      <c r="E834" s="1230"/>
      <c r="F834" s="1233"/>
      <c r="G834" s="1230"/>
      <c r="H834" s="1230"/>
      <c r="I834" s="1231"/>
      <c r="J834" s="1230"/>
      <c r="K834" s="1230"/>
      <c r="L834" s="1230"/>
      <c r="M834" s="1230"/>
      <c r="N834" s="1230"/>
      <c r="O834" s="1232"/>
      <c r="P834" s="1230"/>
      <c r="Q834" s="1230"/>
      <c r="R834" s="1230"/>
      <c r="S834" s="1230"/>
      <c r="T834" s="1230"/>
      <c r="U834" s="1230"/>
      <c r="V834" s="1230"/>
      <c r="W834" s="1230"/>
      <c r="X834" s="1231"/>
      <c r="Y834" s="1230"/>
    </row>
    <row r="835">
      <c r="A835" s="1234"/>
      <c r="B835" s="1230"/>
      <c r="C835" s="1230"/>
      <c r="D835" s="1230"/>
      <c r="E835" s="1230"/>
      <c r="F835" s="1233"/>
      <c r="G835" s="1230"/>
      <c r="H835" s="1230"/>
      <c r="I835" s="1231"/>
      <c r="J835" s="1230"/>
      <c r="K835" s="1230"/>
      <c r="L835" s="1230"/>
      <c r="M835" s="1230"/>
      <c r="N835" s="1230"/>
      <c r="O835" s="1232"/>
      <c r="P835" s="1230"/>
      <c r="Q835" s="1230"/>
      <c r="R835" s="1230"/>
      <c r="S835" s="1230"/>
      <c r="T835" s="1230"/>
      <c r="U835" s="1230"/>
      <c r="V835" s="1230"/>
      <c r="W835" s="1230"/>
      <c r="X835" s="1231"/>
      <c r="Y835" s="1230"/>
    </row>
    <row r="836">
      <c r="A836" s="1234"/>
      <c r="B836" s="1230"/>
      <c r="C836" s="1230"/>
      <c r="D836" s="1230"/>
      <c r="E836" s="1230"/>
      <c r="F836" s="1233"/>
      <c r="G836" s="1230"/>
      <c r="H836" s="1230"/>
      <c r="I836" s="1231"/>
      <c r="J836" s="1230"/>
      <c r="K836" s="1230"/>
      <c r="L836" s="1230"/>
      <c r="M836" s="1230"/>
      <c r="N836" s="1230"/>
      <c r="O836" s="1232"/>
      <c r="P836" s="1230"/>
      <c r="Q836" s="1230"/>
      <c r="R836" s="1230"/>
      <c r="S836" s="1230"/>
      <c r="T836" s="1230"/>
      <c r="U836" s="1230"/>
      <c r="V836" s="1230"/>
      <c r="W836" s="1230"/>
      <c r="X836" s="1231"/>
      <c r="Y836" s="1230"/>
    </row>
    <row r="837">
      <c r="A837" s="1234"/>
      <c r="B837" s="1230"/>
      <c r="C837" s="1230"/>
      <c r="D837" s="1230"/>
      <c r="E837" s="1230"/>
      <c r="F837" s="1233"/>
      <c r="G837" s="1230"/>
      <c r="H837" s="1230"/>
      <c r="I837" s="1231"/>
      <c r="J837" s="1230"/>
      <c r="K837" s="1230"/>
      <c r="L837" s="1230"/>
      <c r="M837" s="1230"/>
      <c r="N837" s="1230"/>
      <c r="O837" s="1232"/>
      <c r="P837" s="1230"/>
      <c r="Q837" s="1230"/>
      <c r="R837" s="1230"/>
      <c r="S837" s="1230"/>
      <c r="T837" s="1230"/>
      <c r="U837" s="1230"/>
      <c r="V837" s="1230"/>
      <c r="W837" s="1230"/>
      <c r="X837" s="1231"/>
      <c r="Y837" s="1230"/>
    </row>
    <row r="838">
      <c r="A838" s="1234"/>
      <c r="B838" s="1230"/>
      <c r="C838" s="1230"/>
      <c r="D838" s="1230"/>
      <c r="E838" s="1230"/>
      <c r="F838" s="1233"/>
      <c r="G838" s="1230"/>
      <c r="H838" s="1230"/>
      <c r="I838" s="1231"/>
      <c r="J838" s="1230"/>
      <c r="K838" s="1230"/>
      <c r="L838" s="1230"/>
      <c r="M838" s="1230"/>
      <c r="N838" s="1230"/>
      <c r="O838" s="1232"/>
      <c r="P838" s="1230"/>
      <c r="Q838" s="1230"/>
      <c r="R838" s="1230"/>
      <c r="S838" s="1230"/>
      <c r="T838" s="1230"/>
      <c r="U838" s="1230"/>
      <c r="V838" s="1230"/>
      <c r="W838" s="1230"/>
      <c r="X838" s="1231"/>
      <c r="Y838" s="1230"/>
    </row>
    <row r="839">
      <c r="A839" s="1234"/>
      <c r="B839" s="1230"/>
      <c r="C839" s="1230"/>
      <c r="D839" s="1230"/>
      <c r="E839" s="1230"/>
      <c r="F839" s="1233"/>
      <c r="G839" s="1230"/>
      <c r="H839" s="1230"/>
      <c r="I839" s="1231"/>
      <c r="J839" s="1230"/>
      <c r="K839" s="1230"/>
      <c r="L839" s="1230"/>
      <c r="M839" s="1230"/>
      <c r="N839" s="1230"/>
      <c r="O839" s="1232"/>
      <c r="P839" s="1230"/>
      <c r="Q839" s="1230"/>
      <c r="R839" s="1230"/>
      <c r="S839" s="1230"/>
      <c r="T839" s="1230"/>
      <c r="U839" s="1230"/>
      <c r="V839" s="1230"/>
      <c r="W839" s="1230"/>
      <c r="X839" s="1231"/>
      <c r="Y839" s="1230"/>
    </row>
    <row r="840">
      <c r="A840" s="1234"/>
      <c r="B840" s="1230"/>
      <c r="C840" s="1230"/>
      <c r="D840" s="1230"/>
      <c r="E840" s="1230"/>
      <c r="F840" s="1233"/>
      <c r="G840" s="1230"/>
      <c r="H840" s="1230"/>
      <c r="I840" s="1231"/>
      <c r="J840" s="1230"/>
      <c r="K840" s="1230"/>
      <c r="L840" s="1230"/>
      <c r="M840" s="1230"/>
      <c r="N840" s="1230"/>
      <c r="O840" s="1232"/>
      <c r="P840" s="1230"/>
      <c r="Q840" s="1230"/>
      <c r="R840" s="1230"/>
      <c r="S840" s="1230"/>
      <c r="T840" s="1230"/>
      <c r="U840" s="1230"/>
      <c r="V840" s="1230"/>
      <c r="W840" s="1230"/>
      <c r="X840" s="1231"/>
      <c r="Y840" s="1230"/>
    </row>
    <row r="841">
      <c r="A841" s="1234"/>
      <c r="B841" s="1230"/>
      <c r="C841" s="1230"/>
      <c r="D841" s="1230"/>
      <c r="E841" s="1230"/>
      <c r="F841" s="1233"/>
      <c r="G841" s="1230"/>
      <c r="H841" s="1230"/>
      <c r="I841" s="1231"/>
      <c r="J841" s="1230"/>
      <c r="K841" s="1230"/>
      <c r="L841" s="1230"/>
      <c r="M841" s="1230"/>
      <c r="N841" s="1230"/>
      <c r="O841" s="1232"/>
      <c r="P841" s="1230"/>
      <c r="Q841" s="1230"/>
      <c r="R841" s="1230"/>
      <c r="S841" s="1230"/>
      <c r="T841" s="1230"/>
      <c r="U841" s="1230"/>
      <c r="V841" s="1230"/>
      <c r="W841" s="1230"/>
      <c r="X841" s="1231"/>
      <c r="Y841" s="1230"/>
    </row>
    <row r="842">
      <c r="A842" s="1234"/>
      <c r="B842" s="1230"/>
      <c r="C842" s="1230"/>
      <c r="D842" s="1230"/>
      <c r="E842" s="1230"/>
      <c r="F842" s="1233"/>
      <c r="G842" s="1230"/>
      <c r="H842" s="1230"/>
      <c r="I842" s="1231"/>
      <c r="J842" s="1230"/>
      <c r="K842" s="1230"/>
      <c r="L842" s="1230"/>
      <c r="M842" s="1230"/>
      <c r="N842" s="1230"/>
      <c r="O842" s="1232"/>
      <c r="P842" s="1230"/>
      <c r="Q842" s="1230"/>
      <c r="R842" s="1230"/>
      <c r="S842" s="1230"/>
      <c r="T842" s="1230"/>
      <c r="U842" s="1230"/>
      <c r="V842" s="1230"/>
      <c r="W842" s="1230"/>
      <c r="X842" s="1231"/>
      <c r="Y842" s="1230"/>
    </row>
    <row r="843">
      <c r="A843" s="1234"/>
      <c r="B843" s="1230"/>
      <c r="C843" s="1230"/>
      <c r="D843" s="1230"/>
      <c r="E843" s="1230"/>
      <c r="F843" s="1233"/>
      <c r="G843" s="1230"/>
      <c r="H843" s="1230"/>
      <c r="I843" s="1231"/>
      <c r="J843" s="1230"/>
      <c r="K843" s="1230"/>
      <c r="L843" s="1230"/>
      <c r="M843" s="1230"/>
      <c r="N843" s="1230"/>
      <c r="O843" s="1232"/>
      <c r="P843" s="1230"/>
      <c r="Q843" s="1230"/>
      <c r="R843" s="1230"/>
      <c r="S843" s="1230"/>
      <c r="T843" s="1230"/>
      <c r="U843" s="1230"/>
      <c r="V843" s="1230"/>
      <c r="W843" s="1230"/>
      <c r="X843" s="1231"/>
      <c r="Y843" s="1230"/>
    </row>
    <row r="844">
      <c r="A844" s="1234"/>
      <c r="B844" s="1230"/>
      <c r="C844" s="1230"/>
      <c r="D844" s="1230"/>
      <c r="E844" s="1230"/>
      <c r="F844" s="1233"/>
      <c r="G844" s="1230"/>
      <c r="H844" s="1230"/>
      <c r="I844" s="1231"/>
      <c r="J844" s="1230"/>
      <c r="K844" s="1230"/>
      <c r="L844" s="1230"/>
      <c r="M844" s="1230"/>
      <c r="N844" s="1230"/>
      <c r="O844" s="1232"/>
      <c r="P844" s="1230"/>
      <c r="Q844" s="1230"/>
      <c r="R844" s="1230"/>
      <c r="S844" s="1230"/>
      <c r="T844" s="1230"/>
      <c r="U844" s="1230"/>
      <c r="V844" s="1230"/>
      <c r="W844" s="1230"/>
      <c r="X844" s="1231"/>
      <c r="Y844" s="1230"/>
    </row>
    <row r="845">
      <c r="A845" s="1234"/>
      <c r="B845" s="1230"/>
      <c r="C845" s="1230"/>
      <c r="D845" s="1230"/>
      <c r="E845" s="1230"/>
      <c r="F845" s="1233"/>
      <c r="G845" s="1230"/>
      <c r="H845" s="1230"/>
      <c r="I845" s="1231"/>
      <c r="J845" s="1230"/>
      <c r="K845" s="1230"/>
      <c r="L845" s="1230"/>
      <c r="M845" s="1230"/>
      <c r="N845" s="1230"/>
      <c r="O845" s="1232"/>
      <c r="P845" s="1230"/>
      <c r="Q845" s="1230"/>
      <c r="R845" s="1230"/>
      <c r="S845" s="1230"/>
      <c r="T845" s="1230"/>
      <c r="U845" s="1230"/>
      <c r="V845" s="1230"/>
      <c r="W845" s="1230"/>
      <c r="X845" s="1231"/>
      <c r="Y845" s="1230"/>
    </row>
    <row r="846">
      <c r="A846" s="1234"/>
      <c r="B846" s="1230"/>
      <c r="C846" s="1230"/>
      <c r="D846" s="1230"/>
      <c r="E846" s="1230"/>
      <c r="F846" s="1233"/>
      <c r="G846" s="1230"/>
      <c r="H846" s="1230"/>
      <c r="I846" s="1231"/>
      <c r="J846" s="1230"/>
      <c r="K846" s="1230"/>
      <c r="L846" s="1230"/>
      <c r="M846" s="1230"/>
      <c r="N846" s="1230"/>
      <c r="O846" s="1232"/>
      <c r="P846" s="1230"/>
      <c r="Q846" s="1230"/>
      <c r="R846" s="1230"/>
      <c r="S846" s="1230"/>
      <c r="T846" s="1230"/>
      <c r="U846" s="1230"/>
      <c r="V846" s="1230"/>
      <c r="W846" s="1230"/>
      <c r="X846" s="1231"/>
      <c r="Y846" s="1230"/>
    </row>
    <row r="847">
      <c r="A847" s="1234"/>
      <c r="B847" s="1230"/>
      <c r="C847" s="1230"/>
      <c r="D847" s="1230"/>
      <c r="E847" s="1230"/>
      <c r="F847" s="1233"/>
      <c r="G847" s="1230"/>
      <c r="H847" s="1230"/>
      <c r="I847" s="1231"/>
      <c r="J847" s="1230"/>
      <c r="K847" s="1230"/>
      <c r="L847" s="1230"/>
      <c r="M847" s="1230"/>
      <c r="N847" s="1230"/>
      <c r="O847" s="1232"/>
      <c r="P847" s="1230"/>
      <c r="Q847" s="1230"/>
      <c r="R847" s="1230"/>
      <c r="S847" s="1230"/>
      <c r="T847" s="1230"/>
      <c r="U847" s="1230"/>
      <c r="V847" s="1230"/>
      <c r="W847" s="1230"/>
      <c r="X847" s="1231"/>
      <c r="Y847" s="1230"/>
    </row>
    <row r="848">
      <c r="A848" s="1234"/>
      <c r="B848" s="1230"/>
      <c r="C848" s="1230"/>
      <c r="D848" s="1230"/>
      <c r="E848" s="1230"/>
      <c r="F848" s="1233"/>
      <c r="G848" s="1230"/>
      <c r="H848" s="1230"/>
      <c r="I848" s="1231"/>
      <c r="J848" s="1230"/>
      <c r="K848" s="1230"/>
      <c r="L848" s="1230"/>
      <c r="M848" s="1230"/>
      <c r="N848" s="1230"/>
      <c r="O848" s="1232"/>
      <c r="P848" s="1230"/>
      <c r="Q848" s="1230"/>
      <c r="R848" s="1230"/>
      <c r="S848" s="1230"/>
      <c r="T848" s="1230"/>
      <c r="U848" s="1230"/>
      <c r="V848" s="1230"/>
      <c r="W848" s="1230"/>
      <c r="X848" s="1231"/>
      <c r="Y848" s="1230"/>
    </row>
    <row r="849">
      <c r="A849" s="1234"/>
      <c r="B849" s="1230"/>
      <c r="C849" s="1230"/>
      <c r="D849" s="1230"/>
      <c r="E849" s="1230"/>
      <c r="F849" s="1233"/>
      <c r="G849" s="1230"/>
      <c r="H849" s="1230"/>
      <c r="I849" s="1231"/>
      <c r="J849" s="1230"/>
      <c r="K849" s="1230"/>
      <c r="L849" s="1230"/>
      <c r="M849" s="1230"/>
      <c r="N849" s="1230"/>
      <c r="O849" s="1232"/>
      <c r="P849" s="1230"/>
      <c r="Q849" s="1230"/>
      <c r="R849" s="1230"/>
      <c r="S849" s="1230"/>
      <c r="T849" s="1230"/>
      <c r="U849" s="1230"/>
      <c r="V849" s="1230"/>
      <c r="W849" s="1230"/>
      <c r="X849" s="1231"/>
      <c r="Y849" s="1230"/>
    </row>
    <row r="850">
      <c r="A850" s="1234"/>
      <c r="B850" s="1230"/>
      <c r="C850" s="1230"/>
      <c r="D850" s="1230"/>
      <c r="E850" s="1230"/>
      <c r="F850" s="1233"/>
      <c r="G850" s="1230"/>
      <c r="H850" s="1230"/>
      <c r="I850" s="1231"/>
      <c r="J850" s="1230"/>
      <c r="K850" s="1230"/>
      <c r="L850" s="1230"/>
      <c r="M850" s="1230"/>
      <c r="N850" s="1230"/>
      <c r="O850" s="1232"/>
      <c r="P850" s="1230"/>
      <c r="Q850" s="1230"/>
      <c r="R850" s="1230"/>
      <c r="S850" s="1230"/>
      <c r="T850" s="1230"/>
      <c r="U850" s="1230"/>
      <c r="V850" s="1230"/>
      <c r="W850" s="1230"/>
      <c r="X850" s="1231"/>
      <c r="Y850" s="1230"/>
    </row>
    <row r="851">
      <c r="A851" s="1234"/>
      <c r="B851" s="1230"/>
      <c r="C851" s="1230"/>
      <c r="D851" s="1230"/>
      <c r="E851" s="1230"/>
      <c r="F851" s="1233"/>
      <c r="G851" s="1230"/>
      <c r="H851" s="1230"/>
      <c r="I851" s="1231"/>
      <c r="J851" s="1230"/>
      <c r="K851" s="1230"/>
      <c r="L851" s="1230"/>
      <c r="M851" s="1230"/>
      <c r="N851" s="1230"/>
      <c r="O851" s="1232"/>
      <c r="P851" s="1230"/>
      <c r="Q851" s="1230"/>
      <c r="R851" s="1230"/>
      <c r="S851" s="1230"/>
      <c r="T851" s="1230"/>
      <c r="U851" s="1230"/>
      <c r="V851" s="1230"/>
      <c r="W851" s="1230"/>
      <c r="X851" s="1231"/>
      <c r="Y851" s="1230"/>
    </row>
    <row r="852">
      <c r="A852" s="1234"/>
      <c r="B852" s="1230"/>
      <c r="C852" s="1230"/>
      <c r="D852" s="1230"/>
      <c r="E852" s="1230"/>
      <c r="F852" s="1233"/>
      <c r="G852" s="1230"/>
      <c r="H852" s="1230"/>
      <c r="I852" s="1231"/>
      <c r="J852" s="1230"/>
      <c r="K852" s="1230"/>
      <c r="L852" s="1230"/>
      <c r="M852" s="1230"/>
      <c r="N852" s="1230"/>
      <c r="O852" s="1232"/>
      <c r="P852" s="1230"/>
      <c r="Q852" s="1230"/>
      <c r="R852" s="1230"/>
      <c r="S852" s="1230"/>
      <c r="T852" s="1230"/>
      <c r="U852" s="1230"/>
      <c r="V852" s="1230"/>
      <c r="W852" s="1230"/>
      <c r="X852" s="1231"/>
      <c r="Y852" s="1230"/>
    </row>
    <row r="853">
      <c r="A853" s="1234"/>
      <c r="B853" s="1230"/>
      <c r="C853" s="1230"/>
      <c r="D853" s="1230"/>
      <c r="E853" s="1230"/>
      <c r="F853" s="1233"/>
      <c r="G853" s="1230"/>
      <c r="H853" s="1230"/>
      <c r="I853" s="1231"/>
      <c r="J853" s="1230"/>
      <c r="K853" s="1230"/>
      <c r="L853" s="1230"/>
      <c r="M853" s="1230"/>
      <c r="N853" s="1230"/>
      <c r="O853" s="1232"/>
      <c r="P853" s="1230"/>
      <c r="Q853" s="1230"/>
      <c r="R853" s="1230"/>
      <c r="S853" s="1230"/>
      <c r="T853" s="1230"/>
      <c r="U853" s="1230"/>
      <c r="V853" s="1230"/>
      <c r="W853" s="1230"/>
      <c r="X853" s="1231"/>
      <c r="Y853" s="1230"/>
    </row>
    <row r="854">
      <c r="A854" s="1234"/>
      <c r="B854" s="1230"/>
      <c r="C854" s="1230"/>
      <c r="D854" s="1230"/>
      <c r="E854" s="1230"/>
      <c r="F854" s="1233"/>
      <c r="G854" s="1230"/>
      <c r="H854" s="1230"/>
      <c r="I854" s="1231"/>
      <c r="J854" s="1230"/>
      <c r="K854" s="1230"/>
      <c r="L854" s="1230"/>
      <c r="M854" s="1230"/>
      <c r="N854" s="1230"/>
      <c r="O854" s="1232"/>
      <c r="P854" s="1230"/>
      <c r="Q854" s="1230"/>
      <c r="R854" s="1230"/>
      <c r="S854" s="1230"/>
      <c r="T854" s="1230"/>
      <c r="U854" s="1230"/>
      <c r="V854" s="1230"/>
      <c r="W854" s="1230"/>
      <c r="X854" s="1231"/>
      <c r="Y854" s="1230"/>
    </row>
    <row r="855">
      <c r="A855" s="1234"/>
      <c r="B855" s="1230"/>
      <c r="C855" s="1230"/>
      <c r="D855" s="1230"/>
      <c r="E855" s="1230"/>
      <c r="F855" s="1233"/>
      <c r="G855" s="1230"/>
      <c r="H855" s="1230"/>
      <c r="I855" s="1231"/>
      <c r="J855" s="1230"/>
      <c r="K855" s="1230"/>
      <c r="L855" s="1230"/>
      <c r="M855" s="1230"/>
      <c r="N855" s="1230"/>
      <c r="O855" s="1232"/>
      <c r="P855" s="1230"/>
      <c r="Q855" s="1230"/>
      <c r="R855" s="1230"/>
      <c r="S855" s="1230"/>
      <c r="T855" s="1230"/>
      <c r="U855" s="1230"/>
      <c r="V855" s="1230"/>
      <c r="W855" s="1230"/>
      <c r="X855" s="1231"/>
      <c r="Y855" s="1230"/>
    </row>
    <row r="856">
      <c r="A856" s="1234"/>
      <c r="B856" s="1230"/>
      <c r="C856" s="1230"/>
      <c r="D856" s="1230"/>
      <c r="E856" s="1230"/>
      <c r="F856" s="1233"/>
      <c r="G856" s="1230"/>
      <c r="H856" s="1230"/>
      <c r="I856" s="1231"/>
      <c r="J856" s="1230"/>
      <c r="K856" s="1230"/>
      <c r="L856" s="1230"/>
      <c r="M856" s="1230"/>
      <c r="N856" s="1230"/>
      <c r="O856" s="1232"/>
      <c r="P856" s="1230"/>
      <c r="Q856" s="1230"/>
      <c r="R856" s="1230"/>
      <c r="S856" s="1230"/>
      <c r="T856" s="1230"/>
      <c r="U856" s="1230"/>
      <c r="V856" s="1230"/>
      <c r="W856" s="1230"/>
      <c r="X856" s="1231"/>
      <c r="Y856" s="1230"/>
    </row>
    <row r="857">
      <c r="A857" s="1234"/>
      <c r="B857" s="1230"/>
      <c r="C857" s="1230"/>
      <c r="D857" s="1230"/>
      <c r="E857" s="1230"/>
      <c r="F857" s="1233"/>
      <c r="G857" s="1230"/>
      <c r="H857" s="1230"/>
      <c r="I857" s="1231"/>
      <c r="J857" s="1230"/>
      <c r="K857" s="1230"/>
      <c r="L857" s="1230"/>
      <c r="M857" s="1230"/>
      <c r="N857" s="1230"/>
      <c r="O857" s="1232"/>
      <c r="P857" s="1230"/>
      <c r="Q857" s="1230"/>
      <c r="R857" s="1230"/>
      <c r="S857" s="1230"/>
      <c r="T857" s="1230"/>
      <c r="U857" s="1230"/>
      <c r="V857" s="1230"/>
      <c r="W857" s="1230"/>
      <c r="X857" s="1231"/>
      <c r="Y857" s="1230"/>
    </row>
    <row r="858">
      <c r="A858" s="1234"/>
      <c r="B858" s="1230"/>
      <c r="C858" s="1230"/>
      <c r="D858" s="1230"/>
      <c r="E858" s="1230"/>
      <c r="F858" s="1233"/>
      <c r="G858" s="1230"/>
      <c r="H858" s="1230"/>
      <c r="I858" s="1231"/>
      <c r="J858" s="1230"/>
      <c r="K858" s="1230"/>
      <c r="L858" s="1230"/>
      <c r="M858" s="1230"/>
      <c r="N858" s="1230"/>
      <c r="O858" s="1232"/>
      <c r="P858" s="1230"/>
      <c r="Q858" s="1230"/>
      <c r="R858" s="1230"/>
      <c r="S858" s="1230"/>
      <c r="T858" s="1230"/>
      <c r="U858" s="1230"/>
      <c r="V858" s="1230"/>
      <c r="W858" s="1230"/>
      <c r="X858" s="1231"/>
      <c r="Y858" s="1230"/>
    </row>
    <row r="859">
      <c r="A859" s="1234"/>
      <c r="B859" s="1230"/>
      <c r="C859" s="1230"/>
      <c r="D859" s="1230"/>
      <c r="E859" s="1230"/>
      <c r="F859" s="1233"/>
      <c r="G859" s="1230"/>
      <c r="H859" s="1230"/>
      <c r="I859" s="1231"/>
      <c r="J859" s="1230"/>
      <c r="K859" s="1230"/>
      <c r="L859" s="1230"/>
      <c r="M859" s="1230"/>
      <c r="N859" s="1230"/>
      <c r="O859" s="1232"/>
      <c r="P859" s="1230"/>
      <c r="Q859" s="1230"/>
      <c r="R859" s="1230"/>
      <c r="S859" s="1230"/>
      <c r="T859" s="1230"/>
      <c r="U859" s="1230"/>
      <c r="V859" s="1230"/>
      <c r="W859" s="1230"/>
      <c r="X859" s="1231"/>
      <c r="Y859" s="1230"/>
    </row>
    <row r="860">
      <c r="A860" s="1234"/>
      <c r="B860" s="1230"/>
      <c r="C860" s="1230"/>
      <c r="D860" s="1230"/>
      <c r="E860" s="1230"/>
      <c r="F860" s="1233"/>
      <c r="G860" s="1230"/>
      <c r="H860" s="1230"/>
      <c r="I860" s="1231"/>
      <c r="J860" s="1230"/>
      <c r="K860" s="1230"/>
      <c r="L860" s="1230"/>
      <c r="M860" s="1230"/>
      <c r="N860" s="1230"/>
      <c r="O860" s="1232"/>
      <c r="P860" s="1230"/>
      <c r="Q860" s="1230"/>
      <c r="R860" s="1230"/>
      <c r="S860" s="1230"/>
      <c r="T860" s="1230"/>
      <c r="U860" s="1230"/>
      <c r="V860" s="1230"/>
      <c r="W860" s="1230"/>
      <c r="X860" s="1231"/>
      <c r="Y860" s="1230"/>
    </row>
    <row r="861">
      <c r="A861" s="1234"/>
      <c r="B861" s="1230"/>
      <c r="C861" s="1230"/>
      <c r="D861" s="1230"/>
      <c r="E861" s="1230"/>
      <c r="F861" s="1233"/>
      <c r="G861" s="1230"/>
      <c r="H861" s="1230"/>
      <c r="I861" s="1231"/>
      <c r="J861" s="1230"/>
      <c r="K861" s="1230"/>
      <c r="L861" s="1230"/>
      <c r="M861" s="1230"/>
      <c r="N861" s="1230"/>
      <c r="O861" s="1232"/>
      <c r="P861" s="1230"/>
      <c r="Q861" s="1230"/>
      <c r="R861" s="1230"/>
      <c r="S861" s="1230"/>
      <c r="T861" s="1230"/>
      <c r="U861" s="1230"/>
      <c r="V861" s="1230"/>
      <c r="W861" s="1230"/>
      <c r="X861" s="1231"/>
      <c r="Y861" s="1230"/>
    </row>
    <row r="862">
      <c r="A862" s="1234"/>
      <c r="B862" s="1230"/>
      <c r="C862" s="1230"/>
      <c r="D862" s="1230"/>
      <c r="E862" s="1230"/>
      <c r="F862" s="1233"/>
      <c r="G862" s="1230"/>
      <c r="H862" s="1230"/>
      <c r="I862" s="1231"/>
      <c r="J862" s="1230"/>
      <c r="K862" s="1230"/>
      <c r="L862" s="1230"/>
      <c r="M862" s="1230"/>
      <c r="N862" s="1230"/>
      <c r="O862" s="1232"/>
      <c r="P862" s="1230"/>
      <c r="Q862" s="1230"/>
      <c r="R862" s="1230"/>
      <c r="S862" s="1230"/>
      <c r="T862" s="1230"/>
      <c r="U862" s="1230"/>
      <c r="V862" s="1230"/>
      <c r="W862" s="1230"/>
      <c r="X862" s="1231"/>
      <c r="Y862" s="1230"/>
    </row>
    <row r="863">
      <c r="A863" s="1234"/>
      <c r="B863" s="1230"/>
      <c r="C863" s="1230"/>
      <c r="D863" s="1230"/>
      <c r="E863" s="1230"/>
      <c r="F863" s="1233"/>
      <c r="G863" s="1230"/>
      <c r="H863" s="1230"/>
      <c r="I863" s="1231"/>
      <c r="J863" s="1230"/>
      <c r="K863" s="1230"/>
      <c r="L863" s="1230"/>
      <c r="M863" s="1230"/>
      <c r="N863" s="1230"/>
      <c r="O863" s="1232"/>
      <c r="P863" s="1230"/>
      <c r="Q863" s="1230"/>
      <c r="R863" s="1230"/>
      <c r="S863" s="1230"/>
      <c r="T863" s="1230"/>
      <c r="U863" s="1230"/>
      <c r="V863" s="1230"/>
      <c r="W863" s="1230"/>
      <c r="X863" s="1231"/>
      <c r="Y863" s="1230"/>
    </row>
    <row r="864">
      <c r="A864" s="1234"/>
      <c r="B864" s="1230"/>
      <c r="C864" s="1230"/>
      <c r="D864" s="1230"/>
      <c r="E864" s="1230"/>
      <c r="F864" s="1233"/>
      <c r="G864" s="1230"/>
      <c r="H864" s="1230"/>
      <c r="I864" s="1231"/>
      <c r="J864" s="1230"/>
      <c r="K864" s="1230"/>
      <c r="L864" s="1230"/>
      <c r="M864" s="1230"/>
      <c r="N864" s="1230"/>
      <c r="O864" s="1232"/>
      <c r="P864" s="1230"/>
      <c r="Q864" s="1230"/>
      <c r="R864" s="1230"/>
      <c r="S864" s="1230"/>
      <c r="T864" s="1230"/>
      <c r="U864" s="1230"/>
      <c r="V864" s="1230"/>
      <c r="W864" s="1230"/>
      <c r="X864" s="1231"/>
      <c r="Y864" s="1230"/>
    </row>
    <row r="865">
      <c r="A865" s="1234"/>
      <c r="B865" s="1230"/>
      <c r="C865" s="1230"/>
      <c r="D865" s="1230"/>
      <c r="E865" s="1230"/>
      <c r="F865" s="1233"/>
      <c r="G865" s="1230"/>
      <c r="H865" s="1230"/>
      <c r="I865" s="1231"/>
      <c r="J865" s="1230"/>
      <c r="K865" s="1230"/>
      <c r="L865" s="1230"/>
      <c r="M865" s="1230"/>
      <c r="N865" s="1230"/>
      <c r="O865" s="1232"/>
      <c r="P865" s="1230"/>
      <c r="Q865" s="1230"/>
      <c r="R865" s="1230"/>
      <c r="S865" s="1230"/>
      <c r="T865" s="1230"/>
      <c r="U865" s="1230"/>
      <c r="V865" s="1230"/>
      <c r="W865" s="1230"/>
      <c r="X865" s="1231"/>
      <c r="Y865" s="1230"/>
    </row>
    <row r="866">
      <c r="A866" s="1234"/>
      <c r="B866" s="1230"/>
      <c r="C866" s="1230"/>
      <c r="D866" s="1230"/>
      <c r="E866" s="1230"/>
      <c r="F866" s="1233"/>
      <c r="G866" s="1230"/>
      <c r="H866" s="1230"/>
      <c r="I866" s="1231"/>
      <c r="J866" s="1230"/>
      <c r="K866" s="1230"/>
      <c r="L866" s="1230"/>
      <c r="M866" s="1230"/>
      <c r="N866" s="1230"/>
      <c r="O866" s="1232"/>
      <c r="P866" s="1230"/>
      <c r="Q866" s="1230"/>
      <c r="R866" s="1230"/>
      <c r="S866" s="1230"/>
      <c r="T866" s="1230"/>
      <c r="U866" s="1230"/>
      <c r="V866" s="1230"/>
      <c r="W866" s="1230"/>
      <c r="X866" s="1231"/>
      <c r="Y866" s="1230"/>
    </row>
    <row r="867">
      <c r="A867" s="1234"/>
      <c r="B867" s="1230"/>
      <c r="C867" s="1230"/>
      <c r="D867" s="1230"/>
      <c r="E867" s="1230"/>
      <c r="F867" s="1233"/>
      <c r="G867" s="1230"/>
      <c r="H867" s="1230"/>
      <c r="I867" s="1231"/>
      <c r="J867" s="1230"/>
      <c r="K867" s="1230"/>
      <c r="L867" s="1230"/>
      <c r="M867" s="1230"/>
      <c r="N867" s="1230"/>
      <c r="O867" s="1232"/>
      <c r="P867" s="1230"/>
      <c r="Q867" s="1230"/>
      <c r="R867" s="1230"/>
      <c r="S867" s="1230"/>
      <c r="T867" s="1230"/>
      <c r="U867" s="1230"/>
      <c r="V867" s="1230"/>
      <c r="W867" s="1230"/>
      <c r="X867" s="1231"/>
      <c r="Y867" s="1230"/>
    </row>
    <row r="868">
      <c r="A868" s="1234"/>
      <c r="B868" s="1230"/>
      <c r="C868" s="1230"/>
      <c r="D868" s="1230"/>
      <c r="E868" s="1230"/>
      <c r="F868" s="1233"/>
      <c r="G868" s="1230"/>
      <c r="H868" s="1230"/>
      <c r="I868" s="1231"/>
      <c r="J868" s="1230"/>
      <c r="K868" s="1230"/>
      <c r="L868" s="1230"/>
      <c r="M868" s="1230"/>
      <c r="N868" s="1230"/>
      <c r="O868" s="1232"/>
      <c r="P868" s="1230"/>
      <c r="Q868" s="1230"/>
      <c r="R868" s="1230"/>
      <c r="S868" s="1230"/>
      <c r="T868" s="1230"/>
      <c r="U868" s="1230"/>
      <c r="V868" s="1230"/>
      <c r="W868" s="1230"/>
      <c r="X868" s="1231"/>
      <c r="Y868" s="1230"/>
    </row>
    <row r="869">
      <c r="A869" s="1234"/>
      <c r="B869" s="1230"/>
      <c r="C869" s="1230"/>
      <c r="D869" s="1230"/>
      <c r="E869" s="1230"/>
      <c r="F869" s="1233"/>
      <c r="G869" s="1230"/>
      <c r="H869" s="1230"/>
      <c r="I869" s="1231"/>
      <c r="J869" s="1230"/>
      <c r="K869" s="1230"/>
      <c r="L869" s="1230"/>
      <c r="M869" s="1230"/>
      <c r="N869" s="1230"/>
      <c r="O869" s="1232"/>
      <c r="P869" s="1230"/>
      <c r="Q869" s="1230"/>
      <c r="R869" s="1230"/>
      <c r="S869" s="1230"/>
      <c r="T869" s="1230"/>
      <c r="U869" s="1230"/>
      <c r="V869" s="1230"/>
      <c r="W869" s="1230"/>
      <c r="X869" s="1231"/>
      <c r="Y869" s="1230"/>
    </row>
    <row r="870">
      <c r="A870" s="1234"/>
      <c r="B870" s="1230"/>
      <c r="C870" s="1230"/>
      <c r="D870" s="1230"/>
      <c r="E870" s="1230"/>
      <c r="F870" s="1233"/>
      <c r="G870" s="1230"/>
      <c r="H870" s="1230"/>
      <c r="I870" s="1231"/>
      <c r="J870" s="1230"/>
      <c r="K870" s="1230"/>
      <c r="L870" s="1230"/>
      <c r="M870" s="1230"/>
      <c r="N870" s="1230"/>
      <c r="O870" s="1232"/>
      <c r="P870" s="1230"/>
      <c r="Q870" s="1230"/>
      <c r="R870" s="1230"/>
      <c r="S870" s="1230"/>
      <c r="T870" s="1230"/>
      <c r="U870" s="1230"/>
      <c r="V870" s="1230"/>
      <c r="W870" s="1230"/>
      <c r="X870" s="1231"/>
      <c r="Y870" s="1230"/>
    </row>
    <row r="871">
      <c r="A871" s="1234"/>
      <c r="B871" s="1230"/>
      <c r="C871" s="1230"/>
      <c r="D871" s="1230"/>
      <c r="E871" s="1230"/>
      <c r="F871" s="1233"/>
      <c r="G871" s="1230"/>
      <c r="H871" s="1230"/>
      <c r="I871" s="1231"/>
      <c r="J871" s="1230"/>
      <c r="K871" s="1230"/>
      <c r="L871" s="1230"/>
      <c r="M871" s="1230"/>
      <c r="N871" s="1230"/>
      <c r="O871" s="1232"/>
      <c r="P871" s="1230"/>
      <c r="Q871" s="1230"/>
      <c r="R871" s="1230"/>
      <c r="S871" s="1230"/>
      <c r="T871" s="1230"/>
      <c r="U871" s="1230"/>
      <c r="V871" s="1230"/>
      <c r="W871" s="1230"/>
      <c r="X871" s="1231"/>
      <c r="Y871" s="1230"/>
    </row>
    <row r="872">
      <c r="A872" s="1234"/>
      <c r="B872" s="1230"/>
      <c r="C872" s="1230"/>
      <c r="D872" s="1230"/>
      <c r="E872" s="1230"/>
      <c r="F872" s="1233"/>
      <c r="G872" s="1230"/>
      <c r="H872" s="1230"/>
      <c r="I872" s="1231"/>
      <c r="J872" s="1230"/>
      <c r="K872" s="1230"/>
      <c r="L872" s="1230"/>
      <c r="M872" s="1230"/>
      <c r="N872" s="1230"/>
      <c r="O872" s="1232"/>
      <c r="P872" s="1230"/>
      <c r="Q872" s="1230"/>
      <c r="R872" s="1230"/>
      <c r="S872" s="1230"/>
      <c r="T872" s="1230"/>
      <c r="U872" s="1230"/>
      <c r="V872" s="1230"/>
      <c r="W872" s="1230"/>
      <c r="X872" s="1231"/>
      <c r="Y872" s="1230"/>
    </row>
    <row r="873">
      <c r="A873" s="1234"/>
      <c r="B873" s="1230"/>
      <c r="C873" s="1230"/>
      <c r="D873" s="1230"/>
      <c r="E873" s="1230"/>
      <c r="F873" s="1233"/>
      <c r="G873" s="1230"/>
      <c r="H873" s="1230"/>
      <c r="I873" s="1231"/>
      <c r="J873" s="1230"/>
      <c r="K873" s="1230"/>
      <c r="L873" s="1230"/>
      <c r="M873" s="1230"/>
      <c r="N873" s="1230"/>
      <c r="O873" s="1232"/>
      <c r="P873" s="1230"/>
      <c r="Q873" s="1230"/>
      <c r="R873" s="1230"/>
      <c r="S873" s="1230"/>
      <c r="T873" s="1230"/>
      <c r="U873" s="1230"/>
      <c r="V873" s="1230"/>
      <c r="W873" s="1230"/>
      <c r="X873" s="1231"/>
      <c r="Y873" s="1230"/>
    </row>
    <row r="874">
      <c r="A874" s="1234"/>
      <c r="B874" s="1230"/>
      <c r="C874" s="1230"/>
      <c r="D874" s="1230"/>
      <c r="E874" s="1230"/>
      <c r="F874" s="1233"/>
      <c r="G874" s="1230"/>
      <c r="H874" s="1230"/>
      <c r="I874" s="1231"/>
      <c r="J874" s="1230"/>
      <c r="K874" s="1230"/>
      <c r="L874" s="1230"/>
      <c r="M874" s="1230"/>
      <c r="N874" s="1230"/>
      <c r="O874" s="1232"/>
      <c r="P874" s="1230"/>
      <c r="Q874" s="1230"/>
      <c r="R874" s="1230"/>
      <c r="S874" s="1230"/>
      <c r="T874" s="1230"/>
      <c r="U874" s="1230"/>
      <c r="V874" s="1230"/>
      <c r="W874" s="1230"/>
      <c r="X874" s="1231"/>
      <c r="Y874" s="1230"/>
    </row>
    <row r="875">
      <c r="A875" s="1234"/>
      <c r="B875" s="1230"/>
      <c r="C875" s="1230"/>
      <c r="D875" s="1230"/>
      <c r="E875" s="1230"/>
      <c r="F875" s="1233"/>
      <c r="G875" s="1230"/>
      <c r="H875" s="1230"/>
      <c r="I875" s="1231"/>
      <c r="J875" s="1230"/>
      <c r="K875" s="1230"/>
      <c r="L875" s="1230"/>
      <c r="M875" s="1230"/>
      <c r="N875" s="1230"/>
      <c r="O875" s="1232"/>
      <c r="P875" s="1230"/>
      <c r="Q875" s="1230"/>
      <c r="R875" s="1230"/>
      <c r="S875" s="1230"/>
      <c r="T875" s="1230"/>
      <c r="U875" s="1230"/>
      <c r="V875" s="1230"/>
      <c r="W875" s="1230"/>
      <c r="X875" s="1231"/>
      <c r="Y875" s="1230"/>
    </row>
    <row r="876">
      <c r="A876" s="1234"/>
      <c r="B876" s="1230"/>
      <c r="C876" s="1230"/>
      <c r="D876" s="1230"/>
      <c r="E876" s="1230"/>
      <c r="F876" s="1233"/>
      <c r="G876" s="1230"/>
      <c r="H876" s="1230"/>
      <c r="I876" s="1231"/>
      <c r="J876" s="1230"/>
      <c r="K876" s="1230"/>
      <c r="L876" s="1230"/>
      <c r="M876" s="1230"/>
      <c r="N876" s="1230"/>
      <c r="O876" s="1232"/>
      <c r="P876" s="1230"/>
      <c r="Q876" s="1230"/>
      <c r="R876" s="1230"/>
      <c r="S876" s="1230"/>
      <c r="T876" s="1230"/>
      <c r="U876" s="1230"/>
      <c r="V876" s="1230"/>
      <c r="W876" s="1230"/>
      <c r="X876" s="1231"/>
      <c r="Y876" s="1230"/>
    </row>
    <row r="877">
      <c r="A877" s="1234"/>
      <c r="B877" s="1230"/>
      <c r="C877" s="1230"/>
      <c r="D877" s="1230"/>
      <c r="E877" s="1230"/>
      <c r="F877" s="1233"/>
      <c r="G877" s="1230"/>
      <c r="H877" s="1230"/>
      <c r="I877" s="1231"/>
      <c r="J877" s="1230"/>
      <c r="K877" s="1230"/>
      <c r="L877" s="1230"/>
      <c r="M877" s="1230"/>
      <c r="N877" s="1230"/>
      <c r="O877" s="1232"/>
      <c r="P877" s="1230"/>
      <c r="Q877" s="1230"/>
      <c r="R877" s="1230"/>
      <c r="S877" s="1230"/>
      <c r="T877" s="1230"/>
      <c r="U877" s="1230"/>
      <c r="V877" s="1230"/>
      <c r="W877" s="1230"/>
      <c r="X877" s="1231"/>
      <c r="Y877" s="1230"/>
    </row>
    <row r="878">
      <c r="A878" s="1234"/>
      <c r="B878" s="1230"/>
      <c r="C878" s="1230"/>
      <c r="D878" s="1230"/>
      <c r="E878" s="1230"/>
      <c r="F878" s="1233"/>
      <c r="G878" s="1230"/>
      <c r="H878" s="1230"/>
      <c r="I878" s="1231"/>
      <c r="J878" s="1230"/>
      <c r="K878" s="1230"/>
      <c r="L878" s="1230"/>
      <c r="M878" s="1230"/>
      <c r="N878" s="1230"/>
      <c r="O878" s="1232"/>
      <c r="P878" s="1230"/>
      <c r="Q878" s="1230"/>
      <c r="R878" s="1230"/>
      <c r="S878" s="1230"/>
      <c r="T878" s="1230"/>
      <c r="U878" s="1230"/>
      <c r="V878" s="1230"/>
      <c r="W878" s="1230"/>
      <c r="X878" s="1231"/>
      <c r="Y878" s="1230"/>
    </row>
    <row r="879">
      <c r="A879" s="1234"/>
      <c r="B879" s="1230"/>
      <c r="C879" s="1230"/>
      <c r="D879" s="1230"/>
      <c r="E879" s="1230"/>
      <c r="F879" s="1233"/>
      <c r="G879" s="1230"/>
      <c r="H879" s="1230"/>
      <c r="I879" s="1231"/>
      <c r="J879" s="1230"/>
      <c r="K879" s="1230"/>
      <c r="L879" s="1230"/>
      <c r="M879" s="1230"/>
      <c r="N879" s="1230"/>
      <c r="O879" s="1232"/>
      <c r="P879" s="1230"/>
      <c r="Q879" s="1230"/>
      <c r="R879" s="1230"/>
      <c r="S879" s="1230"/>
      <c r="T879" s="1230"/>
      <c r="U879" s="1230"/>
      <c r="V879" s="1230"/>
      <c r="W879" s="1230"/>
      <c r="X879" s="1231"/>
      <c r="Y879" s="1230"/>
    </row>
    <row r="880">
      <c r="A880" s="1234"/>
      <c r="B880" s="1230"/>
      <c r="C880" s="1230"/>
      <c r="D880" s="1230"/>
      <c r="E880" s="1230"/>
      <c r="F880" s="1233"/>
      <c r="G880" s="1230"/>
      <c r="H880" s="1230"/>
      <c r="I880" s="1231"/>
      <c r="J880" s="1230"/>
      <c r="K880" s="1230"/>
      <c r="L880" s="1230"/>
      <c r="M880" s="1230"/>
      <c r="N880" s="1230"/>
      <c r="O880" s="1232"/>
      <c r="P880" s="1230"/>
      <c r="Q880" s="1230"/>
      <c r="R880" s="1230"/>
      <c r="S880" s="1230"/>
      <c r="T880" s="1230"/>
      <c r="U880" s="1230"/>
      <c r="V880" s="1230"/>
      <c r="W880" s="1230"/>
      <c r="X880" s="1231"/>
      <c r="Y880" s="1230"/>
    </row>
    <row r="881">
      <c r="A881" s="1234"/>
      <c r="B881" s="1230"/>
      <c r="C881" s="1230"/>
      <c r="D881" s="1230"/>
      <c r="E881" s="1230"/>
      <c r="F881" s="1233"/>
      <c r="G881" s="1230"/>
      <c r="H881" s="1230"/>
      <c r="I881" s="1231"/>
      <c r="J881" s="1230"/>
      <c r="K881" s="1230"/>
      <c r="L881" s="1230"/>
      <c r="M881" s="1230"/>
      <c r="N881" s="1230"/>
      <c r="O881" s="1232"/>
      <c r="P881" s="1230"/>
      <c r="Q881" s="1230"/>
      <c r="R881" s="1230"/>
      <c r="S881" s="1230"/>
      <c r="T881" s="1230"/>
      <c r="U881" s="1230"/>
      <c r="V881" s="1230"/>
      <c r="W881" s="1230"/>
      <c r="X881" s="1231"/>
      <c r="Y881" s="1230"/>
    </row>
    <row r="882">
      <c r="A882" s="1234"/>
      <c r="B882" s="1230"/>
      <c r="C882" s="1230"/>
      <c r="D882" s="1230"/>
      <c r="E882" s="1230"/>
      <c r="F882" s="1233"/>
      <c r="G882" s="1230"/>
      <c r="H882" s="1230"/>
      <c r="I882" s="1231"/>
      <c r="J882" s="1230"/>
      <c r="K882" s="1230"/>
      <c r="L882" s="1230"/>
      <c r="M882" s="1230"/>
      <c r="N882" s="1230"/>
      <c r="O882" s="1232"/>
      <c r="P882" s="1230"/>
      <c r="Q882" s="1230"/>
      <c r="R882" s="1230"/>
      <c r="S882" s="1230"/>
      <c r="T882" s="1230"/>
      <c r="U882" s="1230"/>
      <c r="V882" s="1230"/>
      <c r="W882" s="1230"/>
      <c r="X882" s="1231"/>
      <c r="Y882" s="1230"/>
    </row>
    <row r="883">
      <c r="A883" s="1234"/>
      <c r="B883" s="1230"/>
      <c r="C883" s="1230"/>
      <c r="D883" s="1230"/>
      <c r="E883" s="1230"/>
      <c r="F883" s="1233"/>
      <c r="G883" s="1230"/>
      <c r="H883" s="1230"/>
      <c r="I883" s="1231"/>
      <c r="J883" s="1230"/>
      <c r="K883" s="1230"/>
      <c r="L883" s="1230"/>
      <c r="M883" s="1230"/>
      <c r="N883" s="1230"/>
      <c r="O883" s="1232"/>
      <c r="P883" s="1230"/>
      <c r="Q883" s="1230"/>
      <c r="R883" s="1230"/>
      <c r="S883" s="1230"/>
      <c r="T883" s="1230"/>
      <c r="U883" s="1230"/>
      <c r="V883" s="1230"/>
      <c r="W883" s="1230"/>
      <c r="X883" s="1231"/>
      <c r="Y883" s="1230"/>
    </row>
    <row r="884">
      <c r="A884" s="1234"/>
      <c r="B884" s="1230"/>
      <c r="C884" s="1230"/>
      <c r="D884" s="1230"/>
      <c r="E884" s="1230"/>
      <c r="F884" s="1233"/>
      <c r="G884" s="1230"/>
      <c r="H884" s="1230"/>
      <c r="I884" s="1231"/>
      <c r="J884" s="1230"/>
      <c r="K884" s="1230"/>
      <c r="L884" s="1230"/>
      <c r="M884" s="1230"/>
      <c r="N884" s="1230"/>
      <c r="O884" s="1232"/>
      <c r="P884" s="1230"/>
      <c r="Q884" s="1230"/>
      <c r="R884" s="1230"/>
      <c r="S884" s="1230"/>
      <c r="T884" s="1230"/>
      <c r="U884" s="1230"/>
      <c r="V884" s="1230"/>
      <c r="W884" s="1230"/>
      <c r="X884" s="1231"/>
      <c r="Y884" s="1230"/>
    </row>
    <row r="885">
      <c r="A885" s="1234"/>
      <c r="B885" s="1230"/>
      <c r="C885" s="1230"/>
      <c r="D885" s="1230"/>
      <c r="E885" s="1230"/>
      <c r="F885" s="1233"/>
      <c r="G885" s="1230"/>
      <c r="H885" s="1230"/>
      <c r="I885" s="1231"/>
      <c r="J885" s="1230"/>
      <c r="K885" s="1230"/>
      <c r="L885" s="1230"/>
      <c r="M885" s="1230"/>
      <c r="N885" s="1230"/>
      <c r="O885" s="1232"/>
      <c r="P885" s="1230"/>
      <c r="Q885" s="1230"/>
      <c r="R885" s="1230"/>
      <c r="S885" s="1230"/>
      <c r="T885" s="1230"/>
      <c r="U885" s="1230"/>
      <c r="V885" s="1230"/>
      <c r="W885" s="1230"/>
      <c r="X885" s="1231"/>
      <c r="Y885" s="1230"/>
    </row>
    <row r="886">
      <c r="A886" s="1234"/>
      <c r="B886" s="1230"/>
      <c r="C886" s="1230"/>
      <c r="D886" s="1230"/>
      <c r="E886" s="1230"/>
      <c r="F886" s="1233"/>
      <c r="G886" s="1230"/>
      <c r="H886" s="1230"/>
      <c r="I886" s="1231"/>
      <c r="J886" s="1230"/>
      <c r="K886" s="1230"/>
      <c r="L886" s="1230"/>
      <c r="M886" s="1230"/>
      <c r="N886" s="1230"/>
      <c r="O886" s="1232"/>
      <c r="P886" s="1230"/>
      <c r="Q886" s="1230"/>
      <c r="R886" s="1230"/>
      <c r="S886" s="1230"/>
      <c r="T886" s="1230"/>
      <c r="U886" s="1230"/>
      <c r="V886" s="1230"/>
      <c r="W886" s="1230"/>
      <c r="X886" s="1231"/>
      <c r="Y886" s="1230"/>
    </row>
    <row r="887">
      <c r="A887" s="1234"/>
      <c r="B887" s="1230"/>
      <c r="C887" s="1230"/>
      <c r="D887" s="1230"/>
      <c r="E887" s="1230"/>
      <c r="F887" s="1233"/>
      <c r="G887" s="1230"/>
      <c r="H887" s="1230"/>
      <c r="I887" s="1231"/>
      <c r="J887" s="1230"/>
      <c r="K887" s="1230"/>
      <c r="L887" s="1230"/>
      <c r="M887" s="1230"/>
      <c r="N887" s="1230"/>
      <c r="O887" s="1232"/>
      <c r="P887" s="1230"/>
      <c r="Q887" s="1230"/>
      <c r="R887" s="1230"/>
      <c r="S887" s="1230"/>
      <c r="T887" s="1230"/>
      <c r="U887" s="1230"/>
      <c r="V887" s="1230"/>
      <c r="W887" s="1230"/>
      <c r="X887" s="1231"/>
      <c r="Y887" s="1230"/>
    </row>
    <row r="888">
      <c r="A888" s="1234"/>
      <c r="B888" s="1230"/>
      <c r="C888" s="1230"/>
      <c r="D888" s="1230"/>
      <c r="E888" s="1230"/>
      <c r="F888" s="1233"/>
      <c r="G888" s="1230"/>
      <c r="H888" s="1230"/>
      <c r="I888" s="1231"/>
      <c r="J888" s="1230"/>
      <c r="K888" s="1230"/>
      <c r="L888" s="1230"/>
      <c r="M888" s="1230"/>
      <c r="N888" s="1230"/>
      <c r="O888" s="1232"/>
      <c r="P888" s="1230"/>
      <c r="Q888" s="1230"/>
      <c r="R888" s="1230"/>
      <c r="S888" s="1230"/>
      <c r="T888" s="1230"/>
      <c r="U888" s="1230"/>
      <c r="V888" s="1230"/>
      <c r="W888" s="1230"/>
      <c r="X888" s="1231"/>
      <c r="Y888" s="1230"/>
    </row>
    <row r="889">
      <c r="A889" s="1234"/>
      <c r="B889" s="1230"/>
      <c r="C889" s="1230"/>
      <c r="D889" s="1230"/>
      <c r="E889" s="1230"/>
      <c r="F889" s="1233"/>
      <c r="G889" s="1230"/>
      <c r="H889" s="1230"/>
      <c r="I889" s="1231"/>
      <c r="J889" s="1230"/>
      <c r="K889" s="1230"/>
      <c r="L889" s="1230"/>
      <c r="M889" s="1230"/>
      <c r="N889" s="1230"/>
      <c r="O889" s="1232"/>
      <c r="P889" s="1230"/>
      <c r="Q889" s="1230"/>
      <c r="R889" s="1230"/>
      <c r="S889" s="1230"/>
      <c r="T889" s="1230"/>
      <c r="U889" s="1230"/>
      <c r="V889" s="1230"/>
      <c r="W889" s="1230"/>
      <c r="X889" s="1231"/>
      <c r="Y889" s="1230"/>
    </row>
    <row r="890">
      <c r="A890" s="1234"/>
      <c r="B890" s="1230"/>
      <c r="C890" s="1230"/>
      <c r="D890" s="1230"/>
      <c r="E890" s="1230"/>
      <c r="F890" s="1233"/>
      <c r="G890" s="1230"/>
      <c r="H890" s="1230"/>
      <c r="I890" s="1231"/>
      <c r="J890" s="1230"/>
      <c r="K890" s="1230"/>
      <c r="L890" s="1230"/>
      <c r="M890" s="1230"/>
      <c r="N890" s="1230"/>
      <c r="O890" s="1232"/>
      <c r="P890" s="1230"/>
      <c r="Q890" s="1230"/>
      <c r="R890" s="1230"/>
      <c r="S890" s="1230"/>
      <c r="T890" s="1230"/>
      <c r="U890" s="1230"/>
      <c r="V890" s="1230"/>
      <c r="W890" s="1230"/>
      <c r="X890" s="1231"/>
      <c r="Y890" s="1230"/>
    </row>
    <row r="891">
      <c r="A891" s="1234"/>
      <c r="B891" s="1230"/>
      <c r="C891" s="1230"/>
      <c r="D891" s="1230"/>
      <c r="E891" s="1230"/>
      <c r="F891" s="1233"/>
      <c r="G891" s="1230"/>
      <c r="H891" s="1230"/>
      <c r="I891" s="1231"/>
      <c r="J891" s="1230"/>
      <c r="K891" s="1230"/>
      <c r="L891" s="1230"/>
      <c r="M891" s="1230"/>
      <c r="N891" s="1230"/>
      <c r="O891" s="1232"/>
      <c r="P891" s="1230"/>
      <c r="Q891" s="1230"/>
      <c r="R891" s="1230"/>
      <c r="S891" s="1230"/>
      <c r="T891" s="1230"/>
      <c r="U891" s="1230"/>
      <c r="V891" s="1230"/>
      <c r="W891" s="1230"/>
      <c r="X891" s="1231"/>
      <c r="Y891" s="1230"/>
    </row>
    <row r="892">
      <c r="A892" s="1234"/>
      <c r="B892" s="1230"/>
      <c r="C892" s="1230"/>
      <c r="D892" s="1230"/>
      <c r="E892" s="1230"/>
      <c r="F892" s="1233"/>
      <c r="G892" s="1230"/>
      <c r="H892" s="1230"/>
      <c r="I892" s="1231"/>
      <c r="J892" s="1230"/>
      <c r="K892" s="1230"/>
      <c r="L892" s="1230"/>
      <c r="M892" s="1230"/>
      <c r="N892" s="1230"/>
      <c r="O892" s="1232"/>
      <c r="P892" s="1230"/>
      <c r="Q892" s="1230"/>
      <c r="R892" s="1230"/>
      <c r="S892" s="1230"/>
      <c r="T892" s="1230"/>
      <c r="U892" s="1230"/>
      <c r="V892" s="1230"/>
      <c r="W892" s="1230"/>
      <c r="X892" s="1231"/>
      <c r="Y892" s="1230"/>
    </row>
    <row r="893">
      <c r="A893" s="1234"/>
      <c r="B893" s="1230"/>
      <c r="C893" s="1230"/>
      <c r="D893" s="1230"/>
      <c r="E893" s="1230"/>
      <c r="F893" s="1233"/>
      <c r="G893" s="1230"/>
      <c r="H893" s="1230"/>
      <c r="I893" s="1231"/>
      <c r="J893" s="1230"/>
      <c r="K893" s="1230"/>
      <c r="L893" s="1230"/>
      <c r="M893" s="1230"/>
      <c r="N893" s="1230"/>
      <c r="O893" s="1232"/>
      <c r="P893" s="1230"/>
      <c r="Q893" s="1230"/>
      <c r="R893" s="1230"/>
      <c r="S893" s="1230"/>
      <c r="T893" s="1230"/>
      <c r="U893" s="1230"/>
      <c r="V893" s="1230"/>
      <c r="W893" s="1230"/>
      <c r="X893" s="1231"/>
      <c r="Y893" s="1230"/>
    </row>
    <row r="894">
      <c r="A894" s="1234"/>
      <c r="B894" s="1230"/>
      <c r="C894" s="1230"/>
      <c r="D894" s="1230"/>
      <c r="E894" s="1230"/>
      <c r="F894" s="1233"/>
      <c r="G894" s="1230"/>
      <c r="H894" s="1230"/>
      <c r="I894" s="1231"/>
      <c r="J894" s="1230"/>
      <c r="K894" s="1230"/>
      <c r="L894" s="1230"/>
      <c r="M894" s="1230"/>
      <c r="N894" s="1230"/>
      <c r="O894" s="1232"/>
      <c r="P894" s="1230"/>
      <c r="Q894" s="1230"/>
      <c r="R894" s="1230"/>
      <c r="S894" s="1230"/>
      <c r="T894" s="1230"/>
      <c r="U894" s="1230"/>
      <c r="V894" s="1230"/>
      <c r="W894" s="1230"/>
      <c r="X894" s="1231"/>
      <c r="Y894" s="1230"/>
    </row>
    <row r="895">
      <c r="A895" s="1234"/>
      <c r="B895" s="1230"/>
      <c r="C895" s="1230"/>
      <c r="D895" s="1230"/>
      <c r="E895" s="1230"/>
      <c r="F895" s="1233"/>
      <c r="G895" s="1230"/>
      <c r="H895" s="1230"/>
      <c r="I895" s="1231"/>
      <c r="J895" s="1230"/>
      <c r="K895" s="1230"/>
      <c r="L895" s="1230"/>
      <c r="M895" s="1230"/>
      <c r="N895" s="1230"/>
      <c r="O895" s="1232"/>
      <c r="P895" s="1230"/>
      <c r="Q895" s="1230"/>
      <c r="R895" s="1230"/>
      <c r="S895" s="1230"/>
      <c r="T895" s="1230"/>
      <c r="U895" s="1230"/>
      <c r="V895" s="1230"/>
      <c r="W895" s="1230"/>
      <c r="X895" s="1231"/>
      <c r="Y895" s="1230"/>
    </row>
    <row r="896">
      <c r="A896" s="1234"/>
      <c r="B896" s="1230"/>
      <c r="C896" s="1230"/>
      <c r="D896" s="1230"/>
      <c r="E896" s="1230"/>
      <c r="F896" s="1233"/>
      <c r="G896" s="1230"/>
      <c r="H896" s="1230"/>
      <c r="I896" s="1231"/>
      <c r="J896" s="1230"/>
      <c r="K896" s="1230"/>
      <c r="L896" s="1230"/>
      <c r="M896" s="1230"/>
      <c r="N896" s="1230"/>
      <c r="O896" s="1232"/>
      <c r="P896" s="1230"/>
      <c r="Q896" s="1230"/>
      <c r="R896" s="1230"/>
      <c r="S896" s="1230"/>
      <c r="T896" s="1230"/>
      <c r="U896" s="1230"/>
      <c r="V896" s="1230"/>
      <c r="W896" s="1230"/>
      <c r="X896" s="1231"/>
      <c r="Y896" s="1230"/>
    </row>
    <row r="897">
      <c r="A897" s="1234"/>
      <c r="B897" s="1230"/>
      <c r="C897" s="1230"/>
      <c r="D897" s="1230"/>
      <c r="E897" s="1230"/>
      <c r="F897" s="1233"/>
      <c r="G897" s="1230"/>
      <c r="H897" s="1230"/>
      <c r="I897" s="1231"/>
      <c r="J897" s="1230"/>
      <c r="K897" s="1230"/>
      <c r="L897" s="1230"/>
      <c r="M897" s="1230"/>
      <c r="N897" s="1230"/>
      <c r="O897" s="1232"/>
      <c r="P897" s="1230"/>
      <c r="Q897" s="1230"/>
      <c r="R897" s="1230"/>
      <c r="S897" s="1230"/>
      <c r="T897" s="1230"/>
      <c r="U897" s="1230"/>
      <c r="V897" s="1230"/>
      <c r="W897" s="1230"/>
      <c r="X897" s="1231"/>
      <c r="Y897" s="1230"/>
    </row>
    <row r="898">
      <c r="A898" s="1234"/>
      <c r="B898" s="1230"/>
      <c r="C898" s="1230"/>
      <c r="D898" s="1230"/>
      <c r="E898" s="1230"/>
      <c r="F898" s="1233"/>
      <c r="G898" s="1230"/>
      <c r="H898" s="1230"/>
      <c r="I898" s="1231"/>
      <c r="J898" s="1230"/>
      <c r="K898" s="1230"/>
      <c r="L898" s="1230"/>
      <c r="M898" s="1230"/>
      <c r="N898" s="1230"/>
      <c r="O898" s="1232"/>
      <c r="P898" s="1230"/>
      <c r="Q898" s="1230"/>
      <c r="R898" s="1230"/>
      <c r="S898" s="1230"/>
      <c r="T898" s="1230"/>
      <c r="U898" s="1230"/>
      <c r="V898" s="1230"/>
      <c r="W898" s="1230"/>
      <c r="X898" s="1231"/>
      <c r="Y898" s="1230"/>
    </row>
    <row r="899">
      <c r="A899" s="1234"/>
      <c r="B899" s="1230"/>
      <c r="C899" s="1230"/>
      <c r="D899" s="1230"/>
      <c r="E899" s="1230"/>
      <c r="F899" s="1233"/>
      <c r="G899" s="1230"/>
      <c r="H899" s="1230"/>
      <c r="I899" s="1231"/>
      <c r="J899" s="1230"/>
      <c r="K899" s="1230"/>
      <c r="L899" s="1230"/>
      <c r="M899" s="1230"/>
      <c r="N899" s="1230"/>
      <c r="O899" s="1232"/>
      <c r="P899" s="1230"/>
      <c r="Q899" s="1230"/>
      <c r="R899" s="1230"/>
      <c r="S899" s="1230"/>
      <c r="T899" s="1230"/>
      <c r="U899" s="1230"/>
      <c r="V899" s="1230"/>
      <c r="W899" s="1230"/>
      <c r="X899" s="1231"/>
      <c r="Y899" s="1230"/>
    </row>
    <row r="900">
      <c r="A900" s="1234"/>
      <c r="B900" s="1230"/>
      <c r="C900" s="1230"/>
      <c r="D900" s="1230"/>
      <c r="E900" s="1230"/>
      <c r="F900" s="1233"/>
      <c r="G900" s="1230"/>
      <c r="H900" s="1230"/>
      <c r="I900" s="1231"/>
      <c r="J900" s="1230"/>
      <c r="K900" s="1230"/>
      <c r="L900" s="1230"/>
      <c r="M900" s="1230"/>
      <c r="N900" s="1230"/>
      <c r="O900" s="1232"/>
      <c r="P900" s="1230"/>
      <c r="Q900" s="1230"/>
      <c r="R900" s="1230"/>
      <c r="S900" s="1230"/>
      <c r="T900" s="1230"/>
      <c r="U900" s="1230"/>
      <c r="V900" s="1230"/>
      <c r="W900" s="1230"/>
      <c r="X900" s="1231"/>
      <c r="Y900" s="1230"/>
    </row>
    <row r="901">
      <c r="A901" s="1234"/>
      <c r="B901" s="1230"/>
      <c r="C901" s="1230"/>
      <c r="D901" s="1230"/>
      <c r="E901" s="1230"/>
      <c r="F901" s="1233"/>
      <c r="G901" s="1230"/>
      <c r="H901" s="1230"/>
      <c r="I901" s="1231"/>
      <c r="J901" s="1230"/>
      <c r="K901" s="1230"/>
      <c r="L901" s="1230"/>
      <c r="M901" s="1230"/>
      <c r="N901" s="1230"/>
      <c r="O901" s="1232"/>
      <c r="P901" s="1230"/>
      <c r="Q901" s="1230"/>
      <c r="R901" s="1230"/>
      <c r="S901" s="1230"/>
      <c r="T901" s="1230"/>
      <c r="U901" s="1230"/>
      <c r="V901" s="1230"/>
      <c r="W901" s="1230"/>
      <c r="X901" s="1231"/>
      <c r="Y901" s="1230"/>
    </row>
    <row r="902">
      <c r="A902" s="1234"/>
      <c r="B902" s="1230"/>
      <c r="C902" s="1230"/>
      <c r="D902" s="1230"/>
      <c r="E902" s="1230"/>
      <c r="F902" s="1233"/>
      <c r="G902" s="1230"/>
      <c r="H902" s="1230"/>
      <c r="I902" s="1231"/>
      <c r="J902" s="1230"/>
      <c r="K902" s="1230"/>
      <c r="L902" s="1230"/>
      <c r="M902" s="1230"/>
      <c r="N902" s="1230"/>
      <c r="O902" s="1232"/>
      <c r="P902" s="1230"/>
      <c r="Q902" s="1230"/>
      <c r="R902" s="1230"/>
      <c r="S902" s="1230"/>
      <c r="T902" s="1230"/>
      <c r="U902" s="1230"/>
      <c r="V902" s="1230"/>
      <c r="W902" s="1230"/>
      <c r="X902" s="1231"/>
      <c r="Y902" s="1230"/>
    </row>
    <row r="903">
      <c r="A903" s="1234"/>
      <c r="B903" s="1230"/>
      <c r="C903" s="1230"/>
      <c r="D903" s="1230"/>
      <c r="E903" s="1230"/>
      <c r="F903" s="1233"/>
      <c r="G903" s="1230"/>
      <c r="H903" s="1230"/>
      <c r="I903" s="1231"/>
      <c r="J903" s="1230"/>
      <c r="K903" s="1230"/>
      <c r="L903" s="1230"/>
      <c r="M903" s="1230"/>
      <c r="N903" s="1230"/>
      <c r="O903" s="1232"/>
      <c r="P903" s="1230"/>
      <c r="Q903" s="1230"/>
      <c r="R903" s="1230"/>
      <c r="S903" s="1230"/>
      <c r="T903" s="1230"/>
      <c r="U903" s="1230"/>
      <c r="V903" s="1230"/>
      <c r="W903" s="1230"/>
      <c r="X903" s="1231"/>
      <c r="Y903" s="1230"/>
    </row>
    <row r="904">
      <c r="A904" s="1234"/>
      <c r="B904" s="1230"/>
      <c r="C904" s="1230"/>
      <c r="D904" s="1230"/>
      <c r="E904" s="1230"/>
      <c r="F904" s="1233"/>
      <c r="G904" s="1230"/>
      <c r="H904" s="1230"/>
      <c r="I904" s="1231"/>
      <c r="J904" s="1230"/>
      <c r="K904" s="1230"/>
      <c r="L904" s="1230"/>
      <c r="M904" s="1230"/>
      <c r="N904" s="1230"/>
      <c r="O904" s="1232"/>
      <c r="P904" s="1230"/>
      <c r="Q904" s="1230"/>
      <c r="R904" s="1230"/>
      <c r="S904" s="1230"/>
      <c r="T904" s="1230"/>
      <c r="U904" s="1230"/>
      <c r="V904" s="1230"/>
      <c r="W904" s="1230"/>
      <c r="X904" s="1231"/>
      <c r="Y904" s="1230"/>
    </row>
    <row r="905">
      <c r="A905" s="1234"/>
      <c r="B905" s="1230"/>
      <c r="C905" s="1230"/>
      <c r="D905" s="1230"/>
      <c r="E905" s="1230"/>
      <c r="F905" s="1233"/>
      <c r="G905" s="1230"/>
      <c r="H905" s="1230"/>
      <c r="I905" s="1231"/>
      <c r="J905" s="1230"/>
      <c r="K905" s="1230"/>
      <c r="L905" s="1230"/>
      <c r="M905" s="1230"/>
      <c r="N905" s="1230"/>
      <c r="O905" s="1232"/>
      <c r="P905" s="1230"/>
      <c r="Q905" s="1230"/>
      <c r="R905" s="1230"/>
      <c r="S905" s="1230"/>
      <c r="T905" s="1230"/>
      <c r="U905" s="1230"/>
      <c r="V905" s="1230"/>
      <c r="W905" s="1230"/>
      <c r="X905" s="1231"/>
      <c r="Y905" s="1230"/>
    </row>
    <row r="906">
      <c r="A906" s="1234"/>
      <c r="B906" s="1230"/>
      <c r="C906" s="1230"/>
      <c r="D906" s="1230"/>
      <c r="E906" s="1230"/>
      <c r="F906" s="1233"/>
      <c r="G906" s="1230"/>
      <c r="H906" s="1230"/>
      <c r="I906" s="1231"/>
      <c r="J906" s="1230"/>
      <c r="K906" s="1230"/>
      <c r="L906" s="1230"/>
      <c r="M906" s="1230"/>
      <c r="N906" s="1230"/>
      <c r="O906" s="1232"/>
      <c r="P906" s="1230"/>
      <c r="Q906" s="1230"/>
      <c r="R906" s="1230"/>
      <c r="S906" s="1230"/>
      <c r="T906" s="1230"/>
      <c r="U906" s="1230"/>
      <c r="V906" s="1230"/>
      <c r="W906" s="1230"/>
      <c r="X906" s="1231"/>
      <c r="Y906" s="1230"/>
    </row>
    <row r="907">
      <c r="A907" s="1234"/>
      <c r="B907" s="1230"/>
      <c r="C907" s="1230"/>
      <c r="D907" s="1230"/>
      <c r="E907" s="1230"/>
      <c r="F907" s="1233"/>
      <c r="G907" s="1230"/>
      <c r="H907" s="1230"/>
      <c r="I907" s="1231"/>
      <c r="J907" s="1230"/>
      <c r="K907" s="1230"/>
      <c r="L907" s="1230"/>
      <c r="M907" s="1230"/>
      <c r="N907" s="1230"/>
      <c r="O907" s="1232"/>
      <c r="P907" s="1230"/>
      <c r="Q907" s="1230"/>
      <c r="R907" s="1230"/>
      <c r="S907" s="1230"/>
      <c r="T907" s="1230"/>
      <c r="U907" s="1230"/>
      <c r="V907" s="1230"/>
      <c r="W907" s="1230"/>
      <c r="X907" s="1231"/>
      <c r="Y907" s="1230"/>
    </row>
    <row r="908">
      <c r="A908" s="1234"/>
      <c r="B908" s="1230"/>
      <c r="C908" s="1230"/>
      <c r="D908" s="1230"/>
      <c r="E908" s="1230"/>
      <c r="F908" s="1233"/>
      <c r="G908" s="1230"/>
      <c r="H908" s="1230"/>
      <c r="I908" s="1231"/>
      <c r="J908" s="1230"/>
      <c r="K908" s="1230"/>
      <c r="L908" s="1230"/>
      <c r="M908" s="1230"/>
      <c r="N908" s="1230"/>
      <c r="O908" s="1232"/>
      <c r="P908" s="1230"/>
      <c r="Q908" s="1230"/>
      <c r="R908" s="1230"/>
      <c r="S908" s="1230"/>
      <c r="T908" s="1230"/>
      <c r="U908" s="1230"/>
      <c r="V908" s="1230"/>
      <c r="W908" s="1230"/>
      <c r="X908" s="1231"/>
      <c r="Y908" s="1230"/>
    </row>
    <row r="909">
      <c r="A909" s="1234"/>
      <c r="B909" s="1230"/>
      <c r="C909" s="1230"/>
      <c r="D909" s="1230"/>
      <c r="E909" s="1230"/>
      <c r="F909" s="1233"/>
      <c r="G909" s="1230"/>
      <c r="H909" s="1230"/>
      <c r="I909" s="1231"/>
      <c r="J909" s="1230"/>
      <c r="K909" s="1230"/>
      <c r="L909" s="1230"/>
      <c r="M909" s="1230"/>
      <c r="N909" s="1230"/>
      <c r="O909" s="1232"/>
      <c r="P909" s="1230"/>
      <c r="Q909" s="1230"/>
      <c r="R909" s="1230"/>
      <c r="S909" s="1230"/>
      <c r="T909" s="1230"/>
      <c r="U909" s="1230"/>
      <c r="V909" s="1230"/>
      <c r="W909" s="1230"/>
      <c r="X909" s="1231"/>
      <c r="Y909" s="1230"/>
    </row>
    <row r="910">
      <c r="A910" s="1234"/>
      <c r="B910" s="1230"/>
      <c r="C910" s="1230"/>
      <c r="D910" s="1230"/>
      <c r="E910" s="1230"/>
      <c r="F910" s="1233"/>
      <c r="G910" s="1230"/>
      <c r="H910" s="1230"/>
      <c r="I910" s="1231"/>
      <c r="J910" s="1230"/>
      <c r="K910" s="1230"/>
      <c r="L910" s="1230"/>
      <c r="M910" s="1230"/>
      <c r="N910" s="1230"/>
      <c r="O910" s="1232"/>
      <c r="P910" s="1230"/>
      <c r="Q910" s="1230"/>
      <c r="R910" s="1230"/>
      <c r="S910" s="1230"/>
      <c r="T910" s="1230"/>
      <c r="U910" s="1230"/>
      <c r="V910" s="1230"/>
      <c r="W910" s="1230"/>
      <c r="X910" s="1231"/>
      <c r="Y910" s="1230"/>
    </row>
    <row r="911">
      <c r="A911" s="1234"/>
      <c r="B911" s="1230"/>
      <c r="C911" s="1230"/>
      <c r="D911" s="1230"/>
      <c r="E911" s="1230"/>
      <c r="F911" s="1233"/>
      <c r="G911" s="1230"/>
      <c r="H911" s="1230"/>
      <c r="I911" s="1231"/>
      <c r="J911" s="1230"/>
      <c r="K911" s="1230"/>
      <c r="L911" s="1230"/>
      <c r="M911" s="1230"/>
      <c r="N911" s="1230"/>
      <c r="O911" s="1232"/>
      <c r="P911" s="1230"/>
      <c r="Q911" s="1230"/>
      <c r="R911" s="1230"/>
      <c r="S911" s="1230"/>
      <c r="T911" s="1230"/>
      <c r="U911" s="1230"/>
      <c r="V911" s="1230"/>
      <c r="W911" s="1230"/>
      <c r="X911" s="1231"/>
      <c r="Y911" s="1230"/>
    </row>
    <row r="912">
      <c r="A912" s="1234"/>
      <c r="B912" s="1230"/>
      <c r="C912" s="1230"/>
      <c r="D912" s="1230"/>
      <c r="E912" s="1230"/>
      <c r="F912" s="1233"/>
      <c r="G912" s="1230"/>
      <c r="H912" s="1230"/>
      <c r="I912" s="1231"/>
      <c r="J912" s="1230"/>
      <c r="K912" s="1230"/>
      <c r="L912" s="1230"/>
      <c r="M912" s="1230"/>
      <c r="N912" s="1230"/>
      <c r="O912" s="1232"/>
      <c r="P912" s="1230"/>
      <c r="Q912" s="1230"/>
      <c r="R912" s="1230"/>
      <c r="S912" s="1230"/>
      <c r="T912" s="1230"/>
      <c r="U912" s="1230"/>
      <c r="V912" s="1230"/>
      <c r="W912" s="1230"/>
      <c r="X912" s="1231"/>
      <c r="Y912" s="1230"/>
    </row>
    <row r="913">
      <c r="A913" s="1234"/>
      <c r="B913" s="1230"/>
      <c r="C913" s="1230"/>
      <c r="D913" s="1230"/>
      <c r="E913" s="1230"/>
      <c r="F913" s="1233"/>
      <c r="G913" s="1230"/>
      <c r="H913" s="1230"/>
      <c r="I913" s="1231"/>
      <c r="J913" s="1230"/>
      <c r="K913" s="1230"/>
      <c r="L913" s="1230"/>
      <c r="M913" s="1230"/>
      <c r="N913" s="1230"/>
      <c r="O913" s="1232"/>
      <c r="P913" s="1230"/>
      <c r="Q913" s="1230"/>
      <c r="R913" s="1230"/>
      <c r="S913" s="1230"/>
      <c r="T913" s="1230"/>
      <c r="U913" s="1230"/>
      <c r="V913" s="1230"/>
      <c r="W913" s="1230"/>
      <c r="X913" s="1231"/>
      <c r="Y913" s="1230"/>
    </row>
    <row r="914">
      <c r="A914" s="1234"/>
      <c r="B914" s="1230"/>
      <c r="C914" s="1230"/>
      <c r="D914" s="1230"/>
      <c r="E914" s="1230"/>
      <c r="F914" s="1233"/>
      <c r="G914" s="1230"/>
      <c r="H914" s="1230"/>
      <c r="I914" s="1231"/>
      <c r="J914" s="1230"/>
      <c r="K914" s="1230"/>
      <c r="L914" s="1230"/>
      <c r="M914" s="1230"/>
      <c r="N914" s="1230"/>
      <c r="O914" s="1232"/>
      <c r="P914" s="1230"/>
      <c r="Q914" s="1230"/>
      <c r="R914" s="1230"/>
      <c r="S914" s="1230"/>
      <c r="T914" s="1230"/>
      <c r="U914" s="1230"/>
      <c r="V914" s="1230"/>
      <c r="W914" s="1230"/>
      <c r="X914" s="1231"/>
      <c r="Y914" s="1230"/>
    </row>
    <row r="915">
      <c r="A915" s="1234"/>
      <c r="B915" s="1230"/>
      <c r="C915" s="1230"/>
      <c r="D915" s="1230"/>
      <c r="E915" s="1230"/>
      <c r="F915" s="1233"/>
      <c r="G915" s="1230"/>
      <c r="H915" s="1230"/>
      <c r="I915" s="1231"/>
      <c r="J915" s="1230"/>
      <c r="K915" s="1230"/>
      <c r="L915" s="1230"/>
      <c r="M915" s="1230"/>
      <c r="N915" s="1230"/>
      <c r="O915" s="1232"/>
      <c r="P915" s="1230"/>
      <c r="Q915" s="1230"/>
      <c r="R915" s="1230"/>
      <c r="S915" s="1230"/>
      <c r="T915" s="1230"/>
      <c r="U915" s="1230"/>
      <c r="V915" s="1230"/>
      <c r="W915" s="1230"/>
      <c r="X915" s="1231"/>
      <c r="Y915" s="1230"/>
    </row>
    <row r="916">
      <c r="A916" s="1234"/>
      <c r="B916" s="1230"/>
      <c r="C916" s="1230"/>
      <c r="D916" s="1230"/>
      <c r="E916" s="1230"/>
      <c r="F916" s="1233"/>
      <c r="G916" s="1230"/>
      <c r="H916" s="1230"/>
      <c r="I916" s="1231"/>
      <c r="J916" s="1230"/>
      <c r="K916" s="1230"/>
      <c r="L916" s="1230"/>
      <c r="M916" s="1230"/>
      <c r="N916" s="1230"/>
      <c r="O916" s="1232"/>
      <c r="P916" s="1230"/>
      <c r="Q916" s="1230"/>
      <c r="R916" s="1230"/>
      <c r="S916" s="1230"/>
      <c r="T916" s="1230"/>
      <c r="U916" s="1230"/>
      <c r="V916" s="1230"/>
      <c r="W916" s="1230"/>
      <c r="X916" s="1231"/>
      <c r="Y916" s="1230"/>
    </row>
    <row r="917">
      <c r="A917" s="1234"/>
      <c r="B917" s="1230"/>
      <c r="C917" s="1230"/>
      <c r="D917" s="1230"/>
      <c r="E917" s="1230"/>
      <c r="F917" s="1233"/>
      <c r="G917" s="1230"/>
      <c r="H917" s="1230"/>
      <c r="I917" s="1231"/>
      <c r="J917" s="1230"/>
      <c r="K917" s="1230"/>
      <c r="L917" s="1230"/>
      <c r="M917" s="1230"/>
      <c r="N917" s="1230"/>
      <c r="O917" s="1232"/>
      <c r="P917" s="1230"/>
      <c r="Q917" s="1230"/>
      <c r="R917" s="1230"/>
      <c r="S917" s="1230"/>
      <c r="T917" s="1230"/>
      <c r="U917" s="1230"/>
      <c r="V917" s="1230"/>
      <c r="W917" s="1230"/>
      <c r="X917" s="1231"/>
      <c r="Y917" s="1230"/>
    </row>
    <row r="918">
      <c r="A918" s="1234"/>
      <c r="B918" s="1230"/>
      <c r="C918" s="1230"/>
      <c r="D918" s="1230"/>
      <c r="E918" s="1230"/>
      <c r="F918" s="1233"/>
      <c r="G918" s="1230"/>
      <c r="H918" s="1230"/>
      <c r="I918" s="1231"/>
      <c r="J918" s="1230"/>
      <c r="K918" s="1230"/>
      <c r="L918" s="1230"/>
      <c r="M918" s="1230"/>
      <c r="N918" s="1230"/>
      <c r="O918" s="1232"/>
      <c r="P918" s="1230"/>
      <c r="Q918" s="1230"/>
      <c r="R918" s="1230"/>
      <c r="S918" s="1230"/>
      <c r="T918" s="1230"/>
      <c r="U918" s="1230"/>
      <c r="V918" s="1230"/>
      <c r="W918" s="1230"/>
      <c r="X918" s="1231"/>
      <c r="Y918" s="1230"/>
    </row>
    <row r="919">
      <c r="A919" s="1234"/>
      <c r="B919" s="1230"/>
      <c r="C919" s="1230"/>
      <c r="D919" s="1230"/>
      <c r="E919" s="1230"/>
      <c r="F919" s="1233"/>
      <c r="G919" s="1230"/>
      <c r="H919" s="1230"/>
      <c r="I919" s="1231"/>
      <c r="J919" s="1230"/>
      <c r="K919" s="1230"/>
      <c r="L919" s="1230"/>
      <c r="M919" s="1230"/>
      <c r="N919" s="1230"/>
      <c r="O919" s="1232"/>
      <c r="P919" s="1230"/>
      <c r="Q919" s="1230"/>
      <c r="R919" s="1230"/>
      <c r="S919" s="1230"/>
      <c r="T919" s="1230"/>
      <c r="U919" s="1230"/>
      <c r="V919" s="1230"/>
      <c r="W919" s="1230"/>
      <c r="X919" s="1231"/>
      <c r="Y919" s="1230"/>
    </row>
    <row r="920">
      <c r="A920" s="1234"/>
      <c r="B920" s="1230"/>
      <c r="C920" s="1230"/>
      <c r="D920" s="1230"/>
      <c r="E920" s="1230"/>
      <c r="F920" s="1233"/>
      <c r="G920" s="1230"/>
      <c r="H920" s="1230"/>
      <c r="I920" s="1231"/>
      <c r="J920" s="1230"/>
      <c r="K920" s="1230"/>
      <c r="L920" s="1230"/>
      <c r="M920" s="1230"/>
      <c r="N920" s="1230"/>
      <c r="O920" s="1232"/>
      <c r="P920" s="1230"/>
      <c r="Q920" s="1230"/>
      <c r="R920" s="1230"/>
      <c r="S920" s="1230"/>
      <c r="T920" s="1230"/>
      <c r="U920" s="1230"/>
      <c r="V920" s="1230"/>
      <c r="W920" s="1230"/>
      <c r="X920" s="1231"/>
      <c r="Y920" s="1230"/>
    </row>
    <row r="921">
      <c r="A921" s="1234"/>
      <c r="B921" s="1230"/>
      <c r="C921" s="1230"/>
      <c r="D921" s="1230"/>
      <c r="E921" s="1230"/>
      <c r="F921" s="1233"/>
      <c r="G921" s="1230"/>
      <c r="H921" s="1230"/>
      <c r="I921" s="1231"/>
      <c r="J921" s="1230"/>
      <c r="K921" s="1230"/>
      <c r="L921" s="1230"/>
      <c r="M921" s="1230"/>
      <c r="N921" s="1230"/>
      <c r="O921" s="1232"/>
      <c r="P921" s="1230"/>
      <c r="Q921" s="1230"/>
      <c r="R921" s="1230"/>
      <c r="S921" s="1230"/>
      <c r="T921" s="1230"/>
      <c r="U921" s="1230"/>
      <c r="V921" s="1230"/>
      <c r="W921" s="1230"/>
      <c r="X921" s="1231"/>
      <c r="Y921" s="1230"/>
    </row>
    <row r="922">
      <c r="A922" s="1234"/>
      <c r="B922" s="1230"/>
      <c r="C922" s="1230"/>
      <c r="D922" s="1230"/>
      <c r="E922" s="1230"/>
      <c r="F922" s="1233"/>
      <c r="G922" s="1230"/>
      <c r="H922" s="1230"/>
      <c r="I922" s="1231"/>
      <c r="J922" s="1230"/>
      <c r="K922" s="1230"/>
      <c r="L922" s="1230"/>
      <c r="M922" s="1230"/>
      <c r="N922" s="1230"/>
      <c r="O922" s="1232"/>
      <c r="P922" s="1230"/>
      <c r="Q922" s="1230"/>
      <c r="R922" s="1230"/>
      <c r="S922" s="1230"/>
      <c r="T922" s="1230"/>
      <c r="U922" s="1230"/>
      <c r="V922" s="1230"/>
      <c r="W922" s="1230"/>
      <c r="X922" s="1231"/>
      <c r="Y922" s="1230"/>
    </row>
    <row r="923">
      <c r="A923" s="1234"/>
      <c r="B923" s="1230"/>
      <c r="C923" s="1230"/>
      <c r="D923" s="1230"/>
      <c r="E923" s="1230"/>
      <c r="F923" s="1233"/>
      <c r="G923" s="1230"/>
      <c r="H923" s="1230"/>
      <c r="I923" s="1231"/>
      <c r="J923" s="1230"/>
      <c r="K923" s="1230"/>
      <c r="L923" s="1230"/>
      <c r="M923" s="1230"/>
      <c r="N923" s="1230"/>
      <c r="O923" s="1232"/>
      <c r="P923" s="1230"/>
      <c r="Q923" s="1230"/>
      <c r="R923" s="1230"/>
      <c r="S923" s="1230"/>
      <c r="T923" s="1230"/>
      <c r="U923" s="1230"/>
      <c r="V923" s="1230"/>
      <c r="W923" s="1230"/>
      <c r="X923" s="1231"/>
      <c r="Y923" s="1230"/>
    </row>
    <row r="924">
      <c r="A924" s="1234"/>
      <c r="B924" s="1230"/>
      <c r="C924" s="1230"/>
      <c r="D924" s="1230"/>
      <c r="E924" s="1230"/>
      <c r="F924" s="1233"/>
      <c r="G924" s="1230"/>
      <c r="H924" s="1230"/>
      <c r="I924" s="1231"/>
      <c r="J924" s="1230"/>
      <c r="K924" s="1230"/>
      <c r="L924" s="1230"/>
      <c r="M924" s="1230"/>
      <c r="N924" s="1230"/>
      <c r="O924" s="1232"/>
      <c r="P924" s="1230"/>
      <c r="Q924" s="1230"/>
      <c r="R924" s="1230"/>
      <c r="S924" s="1230"/>
      <c r="T924" s="1230"/>
      <c r="U924" s="1230"/>
      <c r="V924" s="1230"/>
      <c r="W924" s="1230"/>
      <c r="X924" s="1231"/>
      <c r="Y924" s="1230"/>
    </row>
    <row r="925">
      <c r="A925" s="1234"/>
      <c r="B925" s="1230"/>
      <c r="C925" s="1230"/>
      <c r="D925" s="1230"/>
      <c r="E925" s="1230"/>
      <c r="F925" s="1233"/>
      <c r="G925" s="1230"/>
      <c r="H925" s="1230"/>
      <c r="I925" s="1231"/>
      <c r="J925" s="1230"/>
      <c r="K925" s="1230"/>
      <c r="L925" s="1230"/>
      <c r="M925" s="1230"/>
      <c r="N925" s="1230"/>
      <c r="O925" s="1232"/>
      <c r="P925" s="1230"/>
      <c r="Q925" s="1230"/>
      <c r="R925" s="1230"/>
      <c r="S925" s="1230"/>
      <c r="T925" s="1230"/>
      <c r="U925" s="1230"/>
      <c r="V925" s="1230"/>
      <c r="W925" s="1230"/>
      <c r="X925" s="1231"/>
      <c r="Y925" s="1230"/>
    </row>
    <row r="926">
      <c r="A926" s="1234"/>
      <c r="B926" s="1230"/>
      <c r="C926" s="1230"/>
      <c r="D926" s="1230"/>
      <c r="E926" s="1230"/>
      <c r="F926" s="1233"/>
      <c r="G926" s="1230"/>
      <c r="H926" s="1230"/>
      <c r="I926" s="1231"/>
      <c r="J926" s="1230"/>
      <c r="K926" s="1230"/>
      <c r="L926" s="1230"/>
      <c r="M926" s="1230"/>
      <c r="N926" s="1230"/>
      <c r="O926" s="1232"/>
      <c r="P926" s="1230"/>
      <c r="Q926" s="1230"/>
      <c r="R926" s="1230"/>
      <c r="S926" s="1230"/>
      <c r="T926" s="1230"/>
      <c r="U926" s="1230"/>
      <c r="V926" s="1230"/>
      <c r="W926" s="1230"/>
      <c r="X926" s="1231"/>
      <c r="Y926" s="1230"/>
    </row>
    <row r="927">
      <c r="A927" s="1234"/>
      <c r="B927" s="1230"/>
      <c r="C927" s="1230"/>
      <c r="D927" s="1230"/>
      <c r="E927" s="1230"/>
      <c r="F927" s="1233"/>
      <c r="G927" s="1230"/>
      <c r="H927" s="1230"/>
      <c r="I927" s="1231"/>
      <c r="J927" s="1230"/>
      <c r="K927" s="1230"/>
      <c r="L927" s="1230"/>
      <c r="M927" s="1230"/>
      <c r="N927" s="1230"/>
      <c r="O927" s="1232"/>
      <c r="P927" s="1230"/>
      <c r="Q927" s="1230"/>
      <c r="R927" s="1230"/>
      <c r="S927" s="1230"/>
      <c r="T927" s="1230"/>
      <c r="U927" s="1230"/>
      <c r="V927" s="1230"/>
      <c r="W927" s="1230"/>
      <c r="X927" s="1231"/>
      <c r="Y927" s="1230"/>
    </row>
    <row r="928">
      <c r="A928" s="1234"/>
      <c r="B928" s="1230"/>
      <c r="C928" s="1230"/>
      <c r="D928" s="1230"/>
      <c r="E928" s="1230"/>
      <c r="F928" s="1233"/>
      <c r="G928" s="1230"/>
      <c r="H928" s="1230"/>
      <c r="I928" s="1231"/>
      <c r="J928" s="1230"/>
      <c r="K928" s="1230"/>
      <c r="L928" s="1230"/>
      <c r="M928" s="1230"/>
      <c r="N928" s="1230"/>
      <c r="O928" s="1232"/>
      <c r="P928" s="1230"/>
      <c r="Q928" s="1230"/>
      <c r="R928" s="1230"/>
      <c r="S928" s="1230"/>
      <c r="T928" s="1230"/>
      <c r="U928" s="1230"/>
      <c r="V928" s="1230"/>
      <c r="W928" s="1230"/>
      <c r="X928" s="1231"/>
      <c r="Y928" s="1230"/>
    </row>
    <row r="929">
      <c r="A929" s="1234"/>
      <c r="B929" s="1230"/>
      <c r="C929" s="1230"/>
      <c r="D929" s="1230"/>
      <c r="E929" s="1230"/>
      <c r="F929" s="1233"/>
      <c r="G929" s="1230"/>
      <c r="H929" s="1230"/>
      <c r="I929" s="1231"/>
      <c r="J929" s="1230"/>
      <c r="K929" s="1230"/>
      <c r="L929" s="1230"/>
      <c r="M929" s="1230"/>
      <c r="N929" s="1230"/>
      <c r="O929" s="1232"/>
      <c r="P929" s="1230"/>
      <c r="Q929" s="1230"/>
      <c r="R929" s="1230"/>
      <c r="S929" s="1230"/>
      <c r="T929" s="1230"/>
      <c r="U929" s="1230"/>
      <c r="V929" s="1230"/>
      <c r="W929" s="1230"/>
      <c r="X929" s="1231"/>
      <c r="Y929" s="1230"/>
    </row>
    <row r="930">
      <c r="A930" s="1234"/>
      <c r="B930" s="1230"/>
      <c r="C930" s="1230"/>
      <c r="D930" s="1230"/>
      <c r="E930" s="1230"/>
      <c r="F930" s="1233"/>
      <c r="G930" s="1230"/>
      <c r="H930" s="1230"/>
      <c r="I930" s="1231"/>
      <c r="J930" s="1230"/>
      <c r="K930" s="1230"/>
      <c r="L930" s="1230"/>
      <c r="M930" s="1230"/>
      <c r="N930" s="1230"/>
      <c r="O930" s="1232"/>
      <c r="P930" s="1230"/>
      <c r="Q930" s="1230"/>
      <c r="R930" s="1230"/>
      <c r="S930" s="1230"/>
      <c r="T930" s="1230"/>
      <c r="U930" s="1230"/>
      <c r="V930" s="1230"/>
      <c r="W930" s="1230"/>
      <c r="X930" s="1231"/>
      <c r="Y930" s="1230"/>
    </row>
    <row r="931">
      <c r="A931" s="1234"/>
      <c r="B931" s="1230"/>
      <c r="C931" s="1230"/>
      <c r="D931" s="1230"/>
      <c r="E931" s="1230"/>
      <c r="F931" s="1233"/>
      <c r="G931" s="1230"/>
      <c r="H931" s="1230"/>
      <c r="I931" s="1231"/>
      <c r="J931" s="1230"/>
      <c r="K931" s="1230"/>
      <c r="L931" s="1230"/>
      <c r="M931" s="1230"/>
      <c r="N931" s="1230"/>
      <c r="O931" s="1232"/>
      <c r="P931" s="1230"/>
      <c r="Q931" s="1230"/>
      <c r="R931" s="1230"/>
      <c r="S931" s="1230"/>
      <c r="T931" s="1230"/>
      <c r="U931" s="1230"/>
      <c r="V931" s="1230"/>
      <c r="W931" s="1230"/>
      <c r="X931" s="1231"/>
      <c r="Y931" s="1230"/>
    </row>
    <row r="932">
      <c r="A932" s="1234"/>
      <c r="B932" s="1230"/>
      <c r="C932" s="1230"/>
      <c r="D932" s="1230"/>
      <c r="E932" s="1230"/>
      <c r="F932" s="1233"/>
      <c r="G932" s="1230"/>
      <c r="H932" s="1230"/>
      <c r="I932" s="1231"/>
      <c r="J932" s="1230"/>
      <c r="K932" s="1230"/>
      <c r="L932" s="1230"/>
      <c r="M932" s="1230"/>
      <c r="N932" s="1230"/>
      <c r="O932" s="1232"/>
      <c r="P932" s="1230"/>
      <c r="Q932" s="1230"/>
      <c r="R932" s="1230"/>
      <c r="S932" s="1230"/>
      <c r="T932" s="1230"/>
      <c r="U932" s="1230"/>
      <c r="V932" s="1230"/>
      <c r="W932" s="1230"/>
      <c r="X932" s="1231"/>
      <c r="Y932" s="1230"/>
    </row>
    <row r="933">
      <c r="A933" s="1234"/>
      <c r="B933" s="1230"/>
      <c r="C933" s="1230"/>
      <c r="D933" s="1230"/>
      <c r="E933" s="1230"/>
      <c r="F933" s="1233"/>
      <c r="G933" s="1230"/>
      <c r="H933" s="1230"/>
      <c r="I933" s="1231"/>
      <c r="J933" s="1230"/>
      <c r="K933" s="1230"/>
      <c r="L933" s="1230"/>
      <c r="M933" s="1230"/>
      <c r="N933" s="1230"/>
      <c r="O933" s="1232"/>
      <c r="P933" s="1230"/>
      <c r="Q933" s="1230"/>
      <c r="R933" s="1230"/>
      <c r="S933" s="1230"/>
      <c r="T933" s="1230"/>
      <c r="U933" s="1230"/>
      <c r="V933" s="1230"/>
      <c r="W933" s="1230"/>
      <c r="X933" s="1231"/>
      <c r="Y933" s="1230"/>
    </row>
    <row r="934">
      <c r="A934" s="1234"/>
      <c r="B934" s="1230"/>
      <c r="C934" s="1230"/>
      <c r="D934" s="1230"/>
      <c r="E934" s="1230"/>
      <c r="F934" s="1233"/>
      <c r="G934" s="1230"/>
      <c r="H934" s="1230"/>
      <c r="I934" s="1231"/>
      <c r="J934" s="1230"/>
      <c r="K934" s="1230"/>
      <c r="L934" s="1230"/>
      <c r="M934" s="1230"/>
      <c r="N934" s="1230"/>
      <c r="O934" s="1232"/>
      <c r="P934" s="1230"/>
      <c r="Q934" s="1230"/>
      <c r="R934" s="1230"/>
      <c r="S934" s="1230"/>
      <c r="T934" s="1230"/>
      <c r="U934" s="1230"/>
      <c r="V934" s="1230"/>
      <c r="W934" s="1230"/>
      <c r="X934" s="1231"/>
      <c r="Y934" s="1230"/>
    </row>
    <row r="935">
      <c r="A935" s="1234"/>
      <c r="B935" s="1230"/>
      <c r="C935" s="1230"/>
      <c r="D935" s="1230"/>
      <c r="E935" s="1230"/>
      <c r="F935" s="1233"/>
      <c r="G935" s="1230"/>
      <c r="H935" s="1230"/>
      <c r="I935" s="1231"/>
      <c r="J935" s="1230"/>
      <c r="K935" s="1230"/>
      <c r="L935" s="1230"/>
      <c r="M935" s="1230"/>
      <c r="N935" s="1230"/>
      <c r="O935" s="1232"/>
      <c r="P935" s="1230"/>
      <c r="Q935" s="1230"/>
      <c r="R935" s="1230"/>
      <c r="S935" s="1230"/>
      <c r="T935" s="1230"/>
      <c r="U935" s="1230"/>
      <c r="V935" s="1230"/>
      <c r="W935" s="1230"/>
      <c r="X935" s="1231"/>
      <c r="Y935" s="1230"/>
    </row>
    <row r="936">
      <c r="A936" s="1234"/>
      <c r="B936" s="1230"/>
      <c r="C936" s="1230"/>
      <c r="D936" s="1230"/>
      <c r="E936" s="1230"/>
      <c r="F936" s="1233"/>
      <c r="G936" s="1230"/>
      <c r="H936" s="1230"/>
      <c r="I936" s="1231"/>
      <c r="J936" s="1230"/>
      <c r="K936" s="1230"/>
      <c r="L936" s="1230"/>
      <c r="M936" s="1230"/>
      <c r="N936" s="1230"/>
      <c r="O936" s="1232"/>
      <c r="P936" s="1230"/>
      <c r="Q936" s="1230"/>
      <c r="R936" s="1230"/>
      <c r="S936" s="1230"/>
      <c r="T936" s="1230"/>
      <c r="U936" s="1230"/>
      <c r="V936" s="1230"/>
      <c r="W936" s="1230"/>
      <c r="X936" s="1231"/>
      <c r="Y936" s="1230"/>
    </row>
    <row r="937">
      <c r="A937" s="1234"/>
      <c r="B937" s="1230"/>
      <c r="C937" s="1230"/>
      <c r="D937" s="1230"/>
      <c r="E937" s="1230"/>
      <c r="F937" s="1233"/>
      <c r="G937" s="1230"/>
      <c r="H937" s="1230"/>
      <c r="I937" s="1231"/>
      <c r="J937" s="1230"/>
      <c r="K937" s="1230"/>
      <c r="L937" s="1230"/>
      <c r="M937" s="1230"/>
      <c r="N937" s="1230"/>
      <c r="O937" s="1232"/>
      <c r="P937" s="1230"/>
      <c r="Q937" s="1230"/>
      <c r="R937" s="1230"/>
      <c r="S937" s="1230"/>
      <c r="T937" s="1230"/>
      <c r="U937" s="1230"/>
      <c r="V937" s="1230"/>
      <c r="W937" s="1230"/>
      <c r="X937" s="1231"/>
      <c r="Y937" s="1230"/>
    </row>
    <row r="938">
      <c r="A938" s="1234"/>
      <c r="B938" s="1230"/>
      <c r="C938" s="1230"/>
      <c r="D938" s="1230"/>
      <c r="E938" s="1230"/>
      <c r="F938" s="1233"/>
      <c r="G938" s="1230"/>
      <c r="H938" s="1230"/>
      <c r="I938" s="1231"/>
      <c r="J938" s="1230"/>
      <c r="K938" s="1230"/>
      <c r="L938" s="1230"/>
      <c r="M938" s="1230"/>
      <c r="N938" s="1230"/>
      <c r="O938" s="1232"/>
      <c r="P938" s="1230"/>
      <c r="Q938" s="1230"/>
      <c r="R938" s="1230"/>
      <c r="S938" s="1230"/>
      <c r="T938" s="1230"/>
      <c r="U938" s="1230"/>
      <c r="V938" s="1230"/>
      <c r="W938" s="1230"/>
      <c r="X938" s="1231"/>
      <c r="Y938" s="1230"/>
    </row>
    <row r="939">
      <c r="A939" s="1234"/>
      <c r="B939" s="1230"/>
      <c r="C939" s="1230"/>
      <c r="D939" s="1230"/>
      <c r="E939" s="1230"/>
      <c r="F939" s="1233"/>
      <c r="G939" s="1230"/>
      <c r="H939" s="1230"/>
      <c r="I939" s="1231"/>
      <c r="J939" s="1230"/>
      <c r="K939" s="1230"/>
      <c r="L939" s="1230"/>
      <c r="M939" s="1230"/>
      <c r="N939" s="1230"/>
      <c r="O939" s="1232"/>
      <c r="P939" s="1230"/>
      <c r="Q939" s="1230"/>
      <c r="R939" s="1230"/>
      <c r="S939" s="1230"/>
      <c r="T939" s="1230"/>
      <c r="U939" s="1230"/>
      <c r="V939" s="1230"/>
      <c r="W939" s="1230"/>
      <c r="X939" s="1231"/>
      <c r="Y939" s="1230"/>
    </row>
    <row r="940">
      <c r="A940" s="1234"/>
      <c r="B940" s="1230"/>
      <c r="C940" s="1230"/>
      <c r="D940" s="1230"/>
      <c r="E940" s="1230"/>
      <c r="F940" s="1233"/>
      <c r="G940" s="1230"/>
      <c r="H940" s="1230"/>
      <c r="I940" s="1231"/>
      <c r="J940" s="1230"/>
      <c r="K940" s="1230"/>
      <c r="L940" s="1230"/>
      <c r="M940" s="1230"/>
      <c r="N940" s="1230"/>
      <c r="O940" s="1232"/>
      <c r="P940" s="1230"/>
      <c r="Q940" s="1230"/>
      <c r="R940" s="1230"/>
      <c r="S940" s="1230"/>
      <c r="T940" s="1230"/>
      <c r="U940" s="1230"/>
      <c r="V940" s="1230"/>
      <c r="W940" s="1230"/>
      <c r="X940" s="1231"/>
      <c r="Y940" s="1230"/>
    </row>
    <row r="941">
      <c r="A941" s="1234"/>
      <c r="B941" s="1230"/>
      <c r="C941" s="1230"/>
      <c r="D941" s="1230"/>
      <c r="E941" s="1230"/>
      <c r="F941" s="1233"/>
      <c r="G941" s="1230"/>
      <c r="H941" s="1230"/>
      <c r="I941" s="1231"/>
      <c r="J941" s="1230"/>
      <c r="K941" s="1230"/>
      <c r="L941" s="1230"/>
      <c r="M941" s="1230"/>
      <c r="N941" s="1230"/>
      <c r="O941" s="1232"/>
      <c r="P941" s="1230"/>
      <c r="Q941" s="1230"/>
      <c r="R941" s="1230"/>
      <c r="S941" s="1230"/>
      <c r="T941" s="1230"/>
      <c r="U941" s="1230"/>
      <c r="V941" s="1230"/>
      <c r="W941" s="1230"/>
      <c r="X941" s="1231"/>
      <c r="Y941" s="1230"/>
    </row>
    <row r="942">
      <c r="A942" s="1234"/>
      <c r="B942" s="1230"/>
      <c r="C942" s="1230"/>
      <c r="D942" s="1230"/>
      <c r="E942" s="1230"/>
      <c r="F942" s="1233"/>
      <c r="G942" s="1230"/>
      <c r="H942" s="1230"/>
      <c r="I942" s="1231"/>
      <c r="J942" s="1230"/>
      <c r="K942" s="1230"/>
      <c r="L942" s="1230"/>
      <c r="M942" s="1230"/>
      <c r="N942" s="1230"/>
      <c r="O942" s="1232"/>
      <c r="P942" s="1230"/>
      <c r="Q942" s="1230"/>
      <c r="R942" s="1230"/>
      <c r="S942" s="1230"/>
      <c r="T942" s="1230"/>
      <c r="U942" s="1230"/>
      <c r="V942" s="1230"/>
      <c r="W942" s="1230"/>
      <c r="X942" s="1231"/>
      <c r="Y942" s="1230"/>
    </row>
    <row r="943">
      <c r="A943" s="1234"/>
      <c r="B943" s="1230"/>
      <c r="C943" s="1230"/>
      <c r="D943" s="1230"/>
      <c r="E943" s="1230"/>
      <c r="F943" s="1233"/>
      <c r="G943" s="1230"/>
      <c r="H943" s="1230"/>
      <c r="I943" s="1231"/>
      <c r="J943" s="1230"/>
      <c r="K943" s="1230"/>
      <c r="L943" s="1230"/>
      <c r="M943" s="1230"/>
      <c r="N943" s="1230"/>
      <c r="O943" s="1232"/>
      <c r="P943" s="1230"/>
      <c r="Q943" s="1230"/>
      <c r="R943" s="1230"/>
      <c r="S943" s="1230"/>
      <c r="T943" s="1230"/>
      <c r="U943" s="1230"/>
      <c r="V943" s="1230"/>
      <c r="W943" s="1230"/>
      <c r="X943" s="1231"/>
      <c r="Y943" s="1230"/>
    </row>
    <row r="944">
      <c r="A944" s="1234"/>
      <c r="B944" s="1230"/>
      <c r="C944" s="1230"/>
      <c r="D944" s="1230"/>
      <c r="E944" s="1230"/>
      <c r="F944" s="1233"/>
      <c r="G944" s="1230"/>
      <c r="H944" s="1230"/>
      <c r="I944" s="1231"/>
      <c r="J944" s="1230"/>
      <c r="K944" s="1230"/>
      <c r="L944" s="1230"/>
      <c r="M944" s="1230"/>
      <c r="N944" s="1230"/>
      <c r="O944" s="1232"/>
      <c r="P944" s="1230"/>
      <c r="Q944" s="1230"/>
      <c r="R944" s="1230"/>
      <c r="S944" s="1230"/>
      <c r="T944" s="1230"/>
      <c r="U944" s="1230"/>
      <c r="V944" s="1230"/>
      <c r="W944" s="1230"/>
      <c r="X944" s="1231"/>
      <c r="Y944" s="1230"/>
    </row>
    <row r="945">
      <c r="A945" s="1234"/>
      <c r="B945" s="1230"/>
      <c r="C945" s="1230"/>
      <c r="D945" s="1230"/>
      <c r="E945" s="1230"/>
      <c r="F945" s="1233"/>
      <c r="G945" s="1230"/>
      <c r="H945" s="1230"/>
      <c r="I945" s="1231"/>
      <c r="J945" s="1230"/>
      <c r="K945" s="1230"/>
      <c r="L945" s="1230"/>
      <c r="M945" s="1230"/>
      <c r="N945" s="1230"/>
      <c r="O945" s="1232"/>
      <c r="P945" s="1230"/>
      <c r="Q945" s="1230"/>
      <c r="R945" s="1230"/>
      <c r="S945" s="1230"/>
      <c r="T945" s="1230"/>
      <c r="U945" s="1230"/>
      <c r="V945" s="1230"/>
      <c r="W945" s="1230"/>
      <c r="X945" s="1231"/>
      <c r="Y945" s="1230"/>
    </row>
    <row r="946">
      <c r="A946" s="1234"/>
      <c r="B946" s="1230"/>
      <c r="C946" s="1230"/>
      <c r="D946" s="1230"/>
      <c r="E946" s="1230"/>
      <c r="F946" s="1233"/>
      <c r="G946" s="1230"/>
      <c r="H946" s="1230"/>
      <c r="I946" s="1231"/>
      <c r="J946" s="1230"/>
      <c r="K946" s="1230"/>
      <c r="L946" s="1230"/>
      <c r="M946" s="1230"/>
      <c r="N946" s="1230"/>
      <c r="O946" s="1232"/>
      <c r="P946" s="1230"/>
      <c r="Q946" s="1230"/>
      <c r="R946" s="1230"/>
      <c r="S946" s="1230"/>
      <c r="T946" s="1230"/>
      <c r="U946" s="1230"/>
      <c r="V946" s="1230"/>
      <c r="W946" s="1230"/>
      <c r="X946" s="1231"/>
      <c r="Y946" s="1230"/>
    </row>
    <row r="947">
      <c r="A947" s="1234"/>
      <c r="B947" s="1230"/>
      <c r="C947" s="1230"/>
      <c r="D947" s="1230"/>
      <c r="E947" s="1230"/>
      <c r="F947" s="1233"/>
      <c r="G947" s="1230"/>
      <c r="H947" s="1230"/>
      <c r="I947" s="1231"/>
      <c r="J947" s="1230"/>
      <c r="K947" s="1230"/>
      <c r="L947" s="1230"/>
      <c r="M947" s="1230"/>
      <c r="N947" s="1230"/>
      <c r="O947" s="1232"/>
      <c r="P947" s="1230"/>
      <c r="Q947" s="1230"/>
      <c r="R947" s="1230"/>
      <c r="S947" s="1230"/>
      <c r="T947" s="1230"/>
      <c r="U947" s="1230"/>
      <c r="V947" s="1230"/>
      <c r="W947" s="1230"/>
      <c r="X947" s="1231"/>
      <c r="Y947" s="1230"/>
    </row>
    <row r="948">
      <c r="A948" s="1234"/>
      <c r="B948" s="1230"/>
      <c r="C948" s="1230"/>
      <c r="D948" s="1230"/>
      <c r="E948" s="1230"/>
      <c r="F948" s="1233"/>
      <c r="G948" s="1230"/>
      <c r="H948" s="1230"/>
      <c r="I948" s="1231"/>
      <c r="J948" s="1230"/>
      <c r="K948" s="1230"/>
      <c r="L948" s="1230"/>
      <c r="M948" s="1230"/>
      <c r="N948" s="1230"/>
      <c r="O948" s="1232"/>
      <c r="P948" s="1230"/>
      <c r="Q948" s="1230"/>
      <c r="R948" s="1230"/>
      <c r="S948" s="1230"/>
      <c r="T948" s="1230"/>
      <c r="U948" s="1230"/>
      <c r="V948" s="1230"/>
      <c r="W948" s="1230"/>
      <c r="X948" s="1231"/>
      <c r="Y948" s="1230"/>
    </row>
    <row r="949">
      <c r="A949" s="1234"/>
      <c r="B949" s="1230"/>
      <c r="C949" s="1230"/>
      <c r="D949" s="1230"/>
      <c r="E949" s="1230"/>
      <c r="F949" s="1233"/>
      <c r="G949" s="1230"/>
      <c r="H949" s="1230"/>
      <c r="I949" s="1231"/>
      <c r="J949" s="1230"/>
      <c r="K949" s="1230"/>
      <c r="L949" s="1230"/>
      <c r="M949" s="1230"/>
      <c r="N949" s="1230"/>
      <c r="O949" s="1232"/>
      <c r="P949" s="1230"/>
      <c r="Q949" s="1230"/>
      <c r="R949" s="1230"/>
      <c r="S949" s="1230"/>
      <c r="T949" s="1230"/>
      <c r="U949" s="1230"/>
      <c r="V949" s="1230"/>
      <c r="W949" s="1230"/>
      <c r="X949" s="1231"/>
      <c r="Y949" s="1230"/>
    </row>
    <row r="950">
      <c r="A950" s="1234"/>
      <c r="B950" s="1230"/>
      <c r="C950" s="1230"/>
      <c r="D950" s="1230"/>
      <c r="E950" s="1230"/>
      <c r="F950" s="1233"/>
      <c r="G950" s="1230"/>
      <c r="H950" s="1230"/>
      <c r="I950" s="1231"/>
      <c r="J950" s="1230"/>
      <c r="K950" s="1230"/>
      <c r="L950" s="1230"/>
      <c r="M950" s="1230"/>
      <c r="N950" s="1230"/>
      <c r="O950" s="1232"/>
      <c r="P950" s="1230"/>
      <c r="Q950" s="1230"/>
      <c r="R950" s="1230"/>
      <c r="S950" s="1230"/>
      <c r="T950" s="1230"/>
      <c r="U950" s="1230"/>
      <c r="V950" s="1230"/>
      <c r="W950" s="1230"/>
      <c r="X950" s="1231"/>
      <c r="Y950" s="1230"/>
    </row>
    <row r="951">
      <c r="A951" s="1234"/>
      <c r="B951" s="1230"/>
      <c r="C951" s="1230"/>
      <c r="D951" s="1230"/>
      <c r="E951" s="1230"/>
      <c r="F951" s="1233"/>
      <c r="G951" s="1230"/>
      <c r="H951" s="1230"/>
      <c r="I951" s="1231"/>
      <c r="J951" s="1230"/>
      <c r="K951" s="1230"/>
      <c r="L951" s="1230"/>
      <c r="M951" s="1230"/>
      <c r="N951" s="1230"/>
      <c r="O951" s="1232"/>
      <c r="P951" s="1230"/>
      <c r="Q951" s="1230"/>
      <c r="R951" s="1230"/>
      <c r="S951" s="1230"/>
      <c r="T951" s="1230"/>
      <c r="U951" s="1230"/>
      <c r="V951" s="1230"/>
      <c r="W951" s="1230"/>
      <c r="X951" s="1231"/>
      <c r="Y951" s="1230"/>
    </row>
    <row r="952">
      <c r="A952" s="1234"/>
      <c r="B952" s="1230"/>
      <c r="C952" s="1230"/>
      <c r="D952" s="1230"/>
      <c r="E952" s="1230"/>
      <c r="F952" s="1233"/>
      <c r="G952" s="1230"/>
      <c r="H952" s="1230"/>
      <c r="I952" s="1231"/>
      <c r="J952" s="1230"/>
      <c r="K952" s="1230"/>
      <c r="L952" s="1230"/>
      <c r="M952" s="1230"/>
      <c r="N952" s="1230"/>
      <c r="O952" s="1232"/>
      <c r="P952" s="1230"/>
      <c r="Q952" s="1230"/>
      <c r="R952" s="1230"/>
      <c r="S952" s="1230"/>
      <c r="T952" s="1230"/>
      <c r="U952" s="1230"/>
      <c r="V952" s="1230"/>
      <c r="W952" s="1230"/>
      <c r="X952" s="1231"/>
      <c r="Y952" s="1230"/>
    </row>
    <row r="953">
      <c r="A953" s="1234"/>
      <c r="B953" s="1230"/>
      <c r="C953" s="1230"/>
      <c r="D953" s="1230"/>
      <c r="E953" s="1230"/>
      <c r="F953" s="1233"/>
      <c r="G953" s="1230"/>
      <c r="H953" s="1230"/>
      <c r="I953" s="1231"/>
      <c r="J953" s="1230"/>
      <c r="K953" s="1230"/>
      <c r="L953" s="1230"/>
      <c r="M953" s="1230"/>
      <c r="N953" s="1230"/>
      <c r="O953" s="1232"/>
      <c r="P953" s="1230"/>
      <c r="Q953" s="1230"/>
      <c r="R953" s="1230"/>
      <c r="S953" s="1230"/>
      <c r="T953" s="1230"/>
      <c r="U953" s="1230"/>
      <c r="V953" s="1230"/>
      <c r="W953" s="1230"/>
      <c r="X953" s="1231"/>
      <c r="Y953" s="1230"/>
    </row>
    <row r="954">
      <c r="A954" s="1234"/>
      <c r="B954" s="1230"/>
      <c r="C954" s="1230"/>
      <c r="D954" s="1230"/>
      <c r="E954" s="1230"/>
      <c r="F954" s="1233"/>
      <c r="G954" s="1230"/>
      <c r="H954" s="1230"/>
      <c r="I954" s="1231"/>
      <c r="J954" s="1230"/>
      <c r="K954" s="1230"/>
      <c r="L954" s="1230"/>
      <c r="M954" s="1230"/>
      <c r="N954" s="1230"/>
      <c r="O954" s="1232"/>
      <c r="P954" s="1230"/>
      <c r="Q954" s="1230"/>
      <c r="R954" s="1230"/>
      <c r="S954" s="1230"/>
      <c r="T954" s="1230"/>
      <c r="U954" s="1230"/>
      <c r="V954" s="1230"/>
      <c r="W954" s="1230"/>
      <c r="X954" s="1231"/>
      <c r="Y954" s="1230"/>
    </row>
    <row r="955">
      <c r="A955" s="1234"/>
      <c r="B955" s="1230"/>
      <c r="C955" s="1230"/>
      <c r="D955" s="1230"/>
      <c r="E955" s="1230"/>
      <c r="F955" s="1233"/>
      <c r="G955" s="1230"/>
      <c r="H955" s="1230"/>
      <c r="I955" s="1231"/>
      <c r="J955" s="1230"/>
      <c r="K955" s="1230"/>
      <c r="L955" s="1230"/>
      <c r="M955" s="1230"/>
      <c r="N955" s="1230"/>
      <c r="O955" s="1232"/>
      <c r="P955" s="1230"/>
      <c r="Q955" s="1230"/>
      <c r="R955" s="1230"/>
      <c r="S955" s="1230"/>
      <c r="T955" s="1230"/>
      <c r="U955" s="1230"/>
      <c r="V955" s="1230"/>
      <c r="W955" s="1230"/>
      <c r="X955" s="1231"/>
      <c r="Y955" s="1230"/>
    </row>
    <row r="956">
      <c r="A956" s="1234"/>
      <c r="B956" s="1230"/>
      <c r="C956" s="1230"/>
      <c r="D956" s="1230"/>
      <c r="E956" s="1230"/>
      <c r="F956" s="1233"/>
      <c r="G956" s="1230"/>
      <c r="H956" s="1230"/>
      <c r="I956" s="1231"/>
      <c r="J956" s="1230"/>
      <c r="K956" s="1230"/>
      <c r="L956" s="1230"/>
      <c r="M956" s="1230"/>
      <c r="N956" s="1230"/>
      <c r="O956" s="1232"/>
      <c r="P956" s="1230"/>
      <c r="Q956" s="1230"/>
      <c r="R956" s="1230"/>
      <c r="S956" s="1230"/>
      <c r="T956" s="1230"/>
      <c r="U956" s="1230"/>
      <c r="V956" s="1230"/>
      <c r="W956" s="1230"/>
      <c r="X956" s="1231"/>
      <c r="Y956" s="1230"/>
    </row>
    <row r="957">
      <c r="A957" s="1234"/>
      <c r="B957" s="1230"/>
      <c r="C957" s="1230"/>
      <c r="D957" s="1230"/>
      <c r="E957" s="1230"/>
      <c r="F957" s="1233"/>
      <c r="G957" s="1230"/>
      <c r="H957" s="1230"/>
      <c r="I957" s="1231"/>
      <c r="J957" s="1230"/>
      <c r="K957" s="1230"/>
      <c r="L957" s="1230"/>
      <c r="M957" s="1230"/>
      <c r="N957" s="1230"/>
      <c r="O957" s="1232"/>
      <c r="P957" s="1230"/>
      <c r="Q957" s="1230"/>
      <c r="R957" s="1230"/>
      <c r="S957" s="1230"/>
      <c r="T957" s="1230"/>
      <c r="U957" s="1230"/>
      <c r="V957" s="1230"/>
      <c r="W957" s="1230"/>
      <c r="X957" s="1231"/>
      <c r="Y957" s="1230"/>
    </row>
    <row r="958">
      <c r="A958" s="1234"/>
      <c r="B958" s="1230"/>
      <c r="C958" s="1230"/>
      <c r="D958" s="1230"/>
      <c r="E958" s="1230"/>
      <c r="F958" s="1233"/>
      <c r="G958" s="1230"/>
      <c r="H958" s="1230"/>
      <c r="I958" s="1231"/>
      <c r="J958" s="1230"/>
      <c r="K958" s="1230"/>
      <c r="L958" s="1230"/>
      <c r="M958" s="1230"/>
      <c r="N958" s="1230"/>
      <c r="O958" s="1232"/>
      <c r="P958" s="1230"/>
      <c r="Q958" s="1230"/>
      <c r="R958" s="1230"/>
      <c r="S958" s="1230"/>
      <c r="T958" s="1230"/>
      <c r="U958" s="1230"/>
      <c r="V958" s="1230"/>
      <c r="W958" s="1230"/>
      <c r="X958" s="1231"/>
      <c r="Y958" s="1230"/>
    </row>
    <row r="959">
      <c r="A959" s="1234"/>
      <c r="B959" s="1230"/>
      <c r="C959" s="1230"/>
      <c r="D959" s="1230"/>
      <c r="E959" s="1230"/>
      <c r="F959" s="1233"/>
      <c r="G959" s="1230"/>
      <c r="H959" s="1230"/>
      <c r="I959" s="1231"/>
      <c r="J959" s="1230"/>
      <c r="K959" s="1230"/>
      <c r="L959" s="1230"/>
      <c r="M959" s="1230"/>
      <c r="N959" s="1230"/>
      <c r="O959" s="1232"/>
      <c r="P959" s="1230"/>
      <c r="Q959" s="1230"/>
      <c r="R959" s="1230"/>
      <c r="S959" s="1230"/>
      <c r="T959" s="1230"/>
      <c r="U959" s="1230"/>
      <c r="V959" s="1230"/>
      <c r="W959" s="1230"/>
      <c r="X959" s="1231"/>
      <c r="Y959" s="1230"/>
    </row>
    <row r="960">
      <c r="A960" s="1234"/>
      <c r="B960" s="1230"/>
      <c r="C960" s="1230"/>
      <c r="D960" s="1230"/>
      <c r="E960" s="1230"/>
      <c r="F960" s="1233"/>
      <c r="G960" s="1230"/>
      <c r="H960" s="1230"/>
      <c r="I960" s="1231"/>
      <c r="J960" s="1230"/>
      <c r="K960" s="1230"/>
      <c r="L960" s="1230"/>
      <c r="M960" s="1230"/>
      <c r="N960" s="1230"/>
      <c r="O960" s="1232"/>
      <c r="P960" s="1230"/>
      <c r="Q960" s="1230"/>
      <c r="R960" s="1230"/>
      <c r="S960" s="1230"/>
      <c r="T960" s="1230"/>
      <c r="U960" s="1230"/>
      <c r="V960" s="1230"/>
      <c r="W960" s="1230"/>
      <c r="X960" s="1231"/>
      <c r="Y960" s="1230"/>
    </row>
    <row r="961">
      <c r="A961" s="1234"/>
      <c r="B961" s="1230"/>
      <c r="C961" s="1230"/>
      <c r="D961" s="1230"/>
      <c r="E961" s="1230"/>
      <c r="F961" s="1233"/>
      <c r="G961" s="1230"/>
      <c r="H961" s="1230"/>
      <c r="I961" s="1231"/>
      <c r="J961" s="1230"/>
      <c r="K961" s="1230"/>
      <c r="L961" s="1230"/>
      <c r="M961" s="1230"/>
      <c r="N961" s="1230"/>
      <c r="O961" s="1232"/>
      <c r="P961" s="1230"/>
      <c r="Q961" s="1230"/>
      <c r="R961" s="1230"/>
      <c r="S961" s="1230"/>
      <c r="T961" s="1230"/>
      <c r="U961" s="1230"/>
      <c r="V961" s="1230"/>
      <c r="W961" s="1230"/>
      <c r="X961" s="1231"/>
      <c r="Y961" s="1230"/>
    </row>
    <row r="962">
      <c r="A962" s="1234"/>
      <c r="B962" s="1230"/>
      <c r="C962" s="1230"/>
      <c r="D962" s="1230"/>
      <c r="E962" s="1230"/>
      <c r="F962" s="1233"/>
      <c r="G962" s="1230"/>
      <c r="H962" s="1230"/>
      <c r="I962" s="1231"/>
      <c r="J962" s="1230"/>
      <c r="K962" s="1230"/>
      <c r="L962" s="1230"/>
      <c r="M962" s="1230"/>
      <c r="N962" s="1230"/>
      <c r="O962" s="1232"/>
      <c r="P962" s="1230"/>
      <c r="Q962" s="1230"/>
      <c r="R962" s="1230"/>
      <c r="S962" s="1230"/>
      <c r="T962" s="1230"/>
      <c r="U962" s="1230"/>
      <c r="V962" s="1230"/>
      <c r="W962" s="1230"/>
      <c r="X962" s="1231"/>
      <c r="Y962" s="1230"/>
    </row>
    <row r="963">
      <c r="A963" s="1234"/>
      <c r="B963" s="1230"/>
      <c r="C963" s="1230"/>
      <c r="D963" s="1230"/>
      <c r="E963" s="1230"/>
      <c r="F963" s="1233"/>
      <c r="G963" s="1230"/>
      <c r="H963" s="1230"/>
      <c r="I963" s="1231"/>
      <c r="J963" s="1230"/>
      <c r="K963" s="1230"/>
      <c r="L963" s="1230"/>
      <c r="M963" s="1230"/>
      <c r="N963" s="1230"/>
      <c r="O963" s="1232"/>
      <c r="P963" s="1230"/>
      <c r="Q963" s="1230"/>
      <c r="R963" s="1230"/>
      <c r="S963" s="1230"/>
      <c r="T963" s="1230"/>
      <c r="U963" s="1230"/>
      <c r="V963" s="1230"/>
      <c r="W963" s="1230"/>
      <c r="X963" s="1231"/>
      <c r="Y963" s="1230"/>
    </row>
    <row r="964">
      <c r="A964" s="1234"/>
      <c r="B964" s="1230"/>
      <c r="C964" s="1230"/>
      <c r="D964" s="1230"/>
      <c r="E964" s="1230"/>
      <c r="F964" s="1233"/>
      <c r="G964" s="1230"/>
      <c r="H964" s="1230"/>
      <c r="I964" s="1231"/>
      <c r="J964" s="1230"/>
      <c r="K964" s="1230"/>
      <c r="L964" s="1230"/>
      <c r="M964" s="1230"/>
      <c r="N964" s="1230"/>
      <c r="O964" s="1232"/>
      <c r="P964" s="1230"/>
      <c r="Q964" s="1230"/>
      <c r="R964" s="1230"/>
      <c r="S964" s="1230"/>
      <c r="T964" s="1230"/>
      <c r="U964" s="1230"/>
      <c r="V964" s="1230"/>
      <c r="W964" s="1230"/>
      <c r="X964" s="1231"/>
      <c r="Y964" s="1230"/>
    </row>
    <row r="965">
      <c r="A965" s="1234"/>
      <c r="B965" s="1230"/>
      <c r="C965" s="1230"/>
      <c r="D965" s="1230"/>
      <c r="E965" s="1230"/>
      <c r="F965" s="1233"/>
      <c r="G965" s="1230"/>
      <c r="H965" s="1230"/>
      <c r="I965" s="1231"/>
      <c r="J965" s="1230"/>
      <c r="K965" s="1230"/>
      <c r="L965" s="1230"/>
      <c r="M965" s="1230"/>
      <c r="N965" s="1230"/>
      <c r="O965" s="1232"/>
      <c r="P965" s="1230"/>
      <c r="Q965" s="1230"/>
      <c r="R965" s="1230"/>
      <c r="S965" s="1230"/>
      <c r="T965" s="1230"/>
      <c r="U965" s="1230"/>
      <c r="V965" s="1230"/>
      <c r="W965" s="1230"/>
      <c r="X965" s="1231"/>
      <c r="Y965" s="1230"/>
    </row>
    <row r="966">
      <c r="A966" s="1234"/>
      <c r="B966" s="1230"/>
      <c r="C966" s="1230"/>
      <c r="D966" s="1230"/>
      <c r="E966" s="1230"/>
      <c r="F966" s="1233"/>
      <c r="G966" s="1230"/>
      <c r="H966" s="1230"/>
      <c r="I966" s="1231"/>
      <c r="J966" s="1230"/>
      <c r="K966" s="1230"/>
      <c r="L966" s="1230"/>
      <c r="M966" s="1230"/>
      <c r="N966" s="1230"/>
      <c r="O966" s="1232"/>
      <c r="P966" s="1230"/>
      <c r="Q966" s="1230"/>
      <c r="R966" s="1230"/>
      <c r="S966" s="1230"/>
      <c r="T966" s="1230"/>
      <c r="U966" s="1230"/>
      <c r="V966" s="1230"/>
      <c r="W966" s="1230"/>
      <c r="X966" s="1231"/>
      <c r="Y966" s="1230"/>
    </row>
    <row r="967">
      <c r="A967" s="1234"/>
      <c r="B967" s="1230"/>
      <c r="C967" s="1230"/>
      <c r="D967" s="1230"/>
      <c r="E967" s="1230"/>
      <c r="F967" s="1233"/>
      <c r="G967" s="1230"/>
      <c r="H967" s="1230"/>
      <c r="I967" s="1231"/>
      <c r="J967" s="1230"/>
      <c r="K967" s="1230"/>
      <c r="L967" s="1230"/>
      <c r="M967" s="1230"/>
      <c r="N967" s="1230"/>
      <c r="O967" s="1232"/>
      <c r="P967" s="1230"/>
      <c r="Q967" s="1230"/>
      <c r="R967" s="1230"/>
      <c r="S967" s="1230"/>
      <c r="T967" s="1230"/>
      <c r="U967" s="1230"/>
      <c r="V967" s="1230"/>
      <c r="W967" s="1230"/>
      <c r="X967" s="1231"/>
      <c r="Y967" s="1230"/>
    </row>
    <row r="968">
      <c r="A968" s="1234"/>
      <c r="B968" s="1230"/>
      <c r="C968" s="1230"/>
      <c r="D968" s="1230"/>
      <c r="E968" s="1230"/>
      <c r="F968" s="1233"/>
      <c r="G968" s="1230"/>
      <c r="H968" s="1230"/>
      <c r="I968" s="1231"/>
      <c r="J968" s="1230"/>
      <c r="K968" s="1230"/>
      <c r="L968" s="1230"/>
      <c r="M968" s="1230"/>
      <c r="N968" s="1230"/>
      <c r="O968" s="1232"/>
      <c r="P968" s="1230"/>
      <c r="Q968" s="1230"/>
      <c r="R968" s="1230"/>
      <c r="S968" s="1230"/>
      <c r="T968" s="1230"/>
      <c r="U968" s="1230"/>
      <c r="V968" s="1230"/>
      <c r="W968" s="1230"/>
      <c r="X968" s="1231"/>
      <c r="Y968" s="1230"/>
    </row>
    <row r="969">
      <c r="A969" s="1234"/>
      <c r="B969" s="1230"/>
      <c r="C969" s="1230"/>
      <c r="D969" s="1230"/>
      <c r="E969" s="1230"/>
      <c r="F969" s="1233"/>
      <c r="G969" s="1230"/>
      <c r="H969" s="1230"/>
      <c r="I969" s="1231"/>
      <c r="J969" s="1230"/>
      <c r="K969" s="1230"/>
      <c r="L969" s="1230"/>
      <c r="M969" s="1230"/>
      <c r="N969" s="1230"/>
      <c r="O969" s="1232"/>
      <c r="P969" s="1230"/>
      <c r="Q969" s="1230"/>
      <c r="R969" s="1230"/>
      <c r="S969" s="1230"/>
      <c r="T969" s="1230"/>
      <c r="U969" s="1230"/>
      <c r="V969" s="1230"/>
      <c r="W969" s="1230"/>
      <c r="X969" s="1231"/>
      <c r="Y969" s="1230"/>
    </row>
    <row r="970">
      <c r="A970" s="1234"/>
      <c r="B970" s="1230"/>
      <c r="C970" s="1230"/>
      <c r="D970" s="1230"/>
      <c r="E970" s="1230"/>
      <c r="F970" s="1233"/>
      <c r="G970" s="1230"/>
      <c r="H970" s="1230"/>
      <c r="I970" s="1231"/>
      <c r="J970" s="1230"/>
      <c r="K970" s="1230"/>
      <c r="L970" s="1230"/>
      <c r="M970" s="1230"/>
      <c r="N970" s="1230"/>
      <c r="O970" s="1232"/>
      <c r="P970" s="1230"/>
      <c r="Q970" s="1230"/>
      <c r="R970" s="1230"/>
      <c r="S970" s="1230"/>
      <c r="T970" s="1230"/>
      <c r="U970" s="1230"/>
      <c r="V970" s="1230"/>
      <c r="W970" s="1230"/>
      <c r="X970" s="1231"/>
      <c r="Y970" s="1230"/>
    </row>
    <row r="971">
      <c r="A971" s="1234"/>
      <c r="B971" s="1230"/>
      <c r="C971" s="1230"/>
      <c r="D971" s="1230"/>
      <c r="E971" s="1230"/>
      <c r="F971" s="1233"/>
      <c r="G971" s="1230"/>
      <c r="H971" s="1230"/>
      <c r="I971" s="1231"/>
      <c r="J971" s="1230"/>
      <c r="K971" s="1230"/>
      <c r="L971" s="1230"/>
      <c r="M971" s="1230"/>
      <c r="N971" s="1230"/>
      <c r="O971" s="1232"/>
      <c r="P971" s="1230"/>
      <c r="Q971" s="1230"/>
      <c r="R971" s="1230"/>
      <c r="S971" s="1230"/>
      <c r="T971" s="1230"/>
      <c r="U971" s="1230"/>
      <c r="V971" s="1230"/>
      <c r="W971" s="1230"/>
      <c r="X971" s="1231"/>
      <c r="Y971" s="1230"/>
    </row>
    <row r="972">
      <c r="A972" s="1234"/>
      <c r="B972" s="1230"/>
      <c r="C972" s="1230"/>
      <c r="D972" s="1230"/>
      <c r="E972" s="1230"/>
      <c r="F972" s="1233"/>
      <c r="G972" s="1230"/>
      <c r="H972" s="1230"/>
      <c r="I972" s="1231"/>
      <c r="J972" s="1230"/>
      <c r="K972" s="1230"/>
      <c r="L972" s="1230"/>
      <c r="M972" s="1230"/>
      <c r="N972" s="1230"/>
      <c r="O972" s="1232"/>
      <c r="P972" s="1230"/>
      <c r="Q972" s="1230"/>
      <c r="R972" s="1230"/>
      <c r="S972" s="1230"/>
      <c r="T972" s="1230"/>
      <c r="U972" s="1230"/>
      <c r="V972" s="1230"/>
      <c r="W972" s="1230"/>
      <c r="X972" s="1231"/>
      <c r="Y972" s="1230"/>
    </row>
    <row r="973">
      <c r="A973" s="1234"/>
      <c r="B973" s="1230"/>
      <c r="C973" s="1230"/>
      <c r="D973" s="1230"/>
      <c r="E973" s="1230"/>
      <c r="F973" s="1233"/>
      <c r="G973" s="1230"/>
      <c r="H973" s="1230"/>
      <c r="I973" s="1231"/>
      <c r="J973" s="1230"/>
      <c r="K973" s="1230"/>
      <c r="L973" s="1230"/>
      <c r="M973" s="1230"/>
      <c r="N973" s="1230"/>
      <c r="O973" s="1232"/>
      <c r="P973" s="1230"/>
      <c r="Q973" s="1230"/>
      <c r="R973" s="1230"/>
      <c r="S973" s="1230"/>
      <c r="T973" s="1230"/>
      <c r="U973" s="1230"/>
      <c r="V973" s="1230"/>
      <c r="W973" s="1230"/>
      <c r="X973" s="1231"/>
      <c r="Y973" s="1230"/>
    </row>
    <row r="974">
      <c r="A974" s="1234"/>
      <c r="B974" s="1230"/>
      <c r="C974" s="1230"/>
      <c r="D974" s="1230"/>
      <c r="E974" s="1230"/>
      <c r="F974" s="1233"/>
      <c r="G974" s="1230"/>
      <c r="H974" s="1230"/>
      <c r="I974" s="1231"/>
      <c r="J974" s="1230"/>
      <c r="K974" s="1230"/>
      <c r="L974" s="1230"/>
      <c r="M974" s="1230"/>
      <c r="N974" s="1230"/>
      <c r="O974" s="1232"/>
      <c r="P974" s="1230"/>
      <c r="Q974" s="1230"/>
      <c r="R974" s="1230"/>
      <c r="S974" s="1230"/>
      <c r="T974" s="1230"/>
      <c r="U974" s="1230"/>
      <c r="V974" s="1230"/>
      <c r="W974" s="1230"/>
      <c r="X974" s="1231"/>
      <c r="Y974" s="1230"/>
    </row>
    <row r="975">
      <c r="A975" s="1234"/>
      <c r="B975" s="1230"/>
      <c r="C975" s="1230"/>
      <c r="D975" s="1230"/>
      <c r="E975" s="1230"/>
      <c r="F975" s="1233"/>
      <c r="G975" s="1230"/>
      <c r="H975" s="1230"/>
      <c r="I975" s="1231"/>
      <c r="J975" s="1230"/>
      <c r="K975" s="1230"/>
      <c r="L975" s="1230"/>
      <c r="M975" s="1230"/>
      <c r="N975" s="1230"/>
      <c r="O975" s="1232"/>
      <c r="P975" s="1230"/>
      <c r="Q975" s="1230"/>
      <c r="R975" s="1230"/>
      <c r="S975" s="1230"/>
      <c r="T975" s="1230"/>
      <c r="U975" s="1230"/>
      <c r="V975" s="1230"/>
      <c r="W975" s="1230"/>
      <c r="X975" s="1231"/>
      <c r="Y975" s="1230"/>
    </row>
    <row r="976">
      <c r="A976" s="1234"/>
      <c r="B976" s="1230"/>
      <c r="C976" s="1230"/>
      <c r="D976" s="1230"/>
      <c r="E976" s="1230"/>
      <c r="F976" s="1233"/>
      <c r="G976" s="1230"/>
      <c r="H976" s="1230"/>
      <c r="I976" s="1231"/>
      <c r="J976" s="1230"/>
      <c r="K976" s="1230"/>
      <c r="L976" s="1230"/>
      <c r="M976" s="1230"/>
      <c r="N976" s="1230"/>
      <c r="O976" s="1232"/>
      <c r="P976" s="1230"/>
      <c r="Q976" s="1230"/>
      <c r="R976" s="1230"/>
      <c r="S976" s="1230"/>
      <c r="T976" s="1230"/>
      <c r="U976" s="1230"/>
      <c r="V976" s="1230"/>
      <c r="W976" s="1230"/>
      <c r="X976" s="1231"/>
      <c r="Y976" s="1230"/>
    </row>
    <row r="977">
      <c r="A977" s="1234"/>
      <c r="B977" s="1230"/>
      <c r="C977" s="1230"/>
      <c r="D977" s="1230"/>
      <c r="E977" s="1230"/>
      <c r="F977" s="1233"/>
      <c r="G977" s="1230"/>
      <c r="H977" s="1230"/>
      <c r="I977" s="1231"/>
      <c r="J977" s="1230"/>
      <c r="K977" s="1230"/>
      <c r="L977" s="1230"/>
      <c r="M977" s="1230"/>
      <c r="N977" s="1230"/>
      <c r="O977" s="1232"/>
      <c r="P977" s="1230"/>
      <c r="Q977" s="1230"/>
      <c r="R977" s="1230"/>
      <c r="S977" s="1230"/>
      <c r="T977" s="1230"/>
      <c r="U977" s="1230"/>
      <c r="V977" s="1230"/>
      <c r="W977" s="1230"/>
      <c r="X977" s="1231"/>
      <c r="Y977" s="1230"/>
    </row>
    <row r="978">
      <c r="A978" s="1234"/>
      <c r="B978" s="1230"/>
      <c r="C978" s="1230"/>
      <c r="D978" s="1230"/>
      <c r="E978" s="1230"/>
      <c r="F978" s="1233"/>
      <c r="G978" s="1230"/>
      <c r="H978" s="1230"/>
      <c r="I978" s="1231"/>
      <c r="J978" s="1230"/>
      <c r="K978" s="1230"/>
      <c r="L978" s="1230"/>
      <c r="M978" s="1230"/>
      <c r="N978" s="1230"/>
      <c r="O978" s="1232"/>
      <c r="P978" s="1230"/>
      <c r="Q978" s="1230"/>
      <c r="R978" s="1230"/>
      <c r="S978" s="1230"/>
      <c r="T978" s="1230"/>
      <c r="U978" s="1230"/>
      <c r="V978" s="1230"/>
      <c r="W978" s="1230"/>
      <c r="X978" s="1231"/>
      <c r="Y978" s="1230"/>
    </row>
    <row r="979">
      <c r="A979" s="1234"/>
      <c r="B979" s="1230"/>
      <c r="C979" s="1230"/>
      <c r="D979" s="1230"/>
      <c r="E979" s="1230"/>
      <c r="F979" s="1233"/>
      <c r="G979" s="1230"/>
      <c r="H979" s="1230"/>
      <c r="I979" s="1231"/>
      <c r="J979" s="1230"/>
      <c r="K979" s="1230"/>
      <c r="L979" s="1230"/>
      <c r="M979" s="1230"/>
      <c r="N979" s="1230"/>
      <c r="O979" s="1232"/>
      <c r="P979" s="1230"/>
      <c r="Q979" s="1230"/>
      <c r="R979" s="1230"/>
      <c r="S979" s="1230"/>
      <c r="T979" s="1230"/>
      <c r="U979" s="1230"/>
      <c r="V979" s="1230"/>
      <c r="W979" s="1230"/>
      <c r="X979" s="1231"/>
      <c r="Y979" s="1230"/>
    </row>
    <row r="980">
      <c r="A980" s="1234"/>
      <c r="B980" s="1230"/>
      <c r="C980" s="1230"/>
      <c r="D980" s="1230"/>
      <c r="E980" s="1230"/>
      <c r="F980" s="1233"/>
      <c r="G980" s="1230"/>
      <c r="H980" s="1230"/>
      <c r="I980" s="1231"/>
      <c r="J980" s="1230"/>
      <c r="K980" s="1230"/>
      <c r="L980" s="1230"/>
      <c r="M980" s="1230"/>
      <c r="N980" s="1230"/>
      <c r="O980" s="1232"/>
      <c r="P980" s="1230"/>
      <c r="Q980" s="1230"/>
      <c r="R980" s="1230"/>
      <c r="S980" s="1230"/>
      <c r="T980" s="1230"/>
      <c r="U980" s="1230"/>
      <c r="V980" s="1230"/>
      <c r="W980" s="1230"/>
      <c r="X980" s="1231"/>
      <c r="Y980" s="1230"/>
    </row>
    <row r="981">
      <c r="A981" s="1234"/>
      <c r="B981" s="1230"/>
      <c r="C981" s="1230"/>
      <c r="D981" s="1230"/>
      <c r="E981" s="1230"/>
      <c r="F981" s="1233"/>
      <c r="G981" s="1230"/>
      <c r="H981" s="1230"/>
      <c r="I981" s="1231"/>
      <c r="J981" s="1230"/>
      <c r="K981" s="1230"/>
      <c r="L981" s="1230"/>
      <c r="M981" s="1230"/>
      <c r="N981" s="1230"/>
      <c r="O981" s="1232"/>
      <c r="P981" s="1230"/>
      <c r="Q981" s="1230"/>
      <c r="R981" s="1230"/>
      <c r="S981" s="1230"/>
      <c r="T981" s="1230"/>
      <c r="U981" s="1230"/>
      <c r="V981" s="1230"/>
      <c r="W981" s="1230"/>
      <c r="X981" s="1231"/>
      <c r="Y981" s="1230"/>
    </row>
    <row r="982">
      <c r="A982" s="1234"/>
      <c r="B982" s="1230"/>
      <c r="C982" s="1230"/>
      <c r="D982" s="1230"/>
      <c r="E982" s="1230"/>
      <c r="F982" s="1233"/>
      <c r="G982" s="1230"/>
      <c r="H982" s="1230"/>
      <c r="I982" s="1231"/>
      <c r="J982" s="1230"/>
      <c r="K982" s="1230"/>
      <c r="L982" s="1230"/>
      <c r="M982" s="1230"/>
      <c r="N982" s="1230"/>
      <c r="O982" s="1232"/>
      <c r="P982" s="1230"/>
      <c r="Q982" s="1230"/>
      <c r="R982" s="1230"/>
      <c r="S982" s="1230"/>
      <c r="T982" s="1230"/>
      <c r="U982" s="1230"/>
      <c r="V982" s="1230"/>
      <c r="W982" s="1230"/>
      <c r="X982" s="1231"/>
      <c r="Y982" s="1230"/>
    </row>
    <row r="983">
      <c r="A983" s="1234"/>
      <c r="B983" s="1230"/>
      <c r="C983" s="1230"/>
      <c r="D983" s="1230"/>
      <c r="E983" s="1230"/>
      <c r="F983" s="1233"/>
      <c r="G983" s="1230"/>
      <c r="H983" s="1230"/>
      <c r="I983" s="1231"/>
      <c r="J983" s="1230"/>
      <c r="K983" s="1230"/>
      <c r="L983" s="1230"/>
      <c r="M983" s="1230"/>
      <c r="N983" s="1230"/>
      <c r="O983" s="1232"/>
      <c r="P983" s="1230"/>
      <c r="Q983" s="1230"/>
      <c r="R983" s="1230"/>
      <c r="S983" s="1230"/>
      <c r="T983" s="1230"/>
      <c r="U983" s="1230"/>
      <c r="V983" s="1230"/>
      <c r="W983" s="1230"/>
      <c r="X983" s="1231"/>
      <c r="Y983" s="1230"/>
    </row>
    <row r="984">
      <c r="A984" s="1234"/>
      <c r="B984" s="1230"/>
      <c r="C984" s="1230"/>
      <c r="D984" s="1230"/>
      <c r="E984" s="1230"/>
      <c r="F984" s="1233"/>
      <c r="G984" s="1230"/>
      <c r="H984" s="1230"/>
      <c r="I984" s="1231"/>
      <c r="J984" s="1230"/>
      <c r="K984" s="1230"/>
      <c r="L984" s="1230"/>
      <c r="M984" s="1230"/>
      <c r="N984" s="1230"/>
      <c r="O984" s="1232"/>
      <c r="P984" s="1230"/>
      <c r="Q984" s="1230"/>
      <c r="R984" s="1230"/>
      <c r="S984" s="1230"/>
      <c r="T984" s="1230"/>
      <c r="U984" s="1230"/>
      <c r="V984" s="1230"/>
      <c r="W984" s="1230"/>
      <c r="X984" s="1231"/>
      <c r="Y984" s="1230"/>
    </row>
    <row r="985">
      <c r="A985" s="1234"/>
      <c r="B985" s="1230"/>
      <c r="C985" s="1230"/>
      <c r="D985" s="1230"/>
      <c r="E985" s="1230"/>
      <c r="F985" s="1233"/>
      <c r="G985" s="1230"/>
      <c r="H985" s="1230"/>
      <c r="I985" s="1231"/>
      <c r="J985" s="1230"/>
      <c r="K985" s="1230"/>
      <c r="L985" s="1230"/>
      <c r="M985" s="1230"/>
      <c r="N985" s="1230"/>
      <c r="O985" s="1232"/>
      <c r="P985" s="1230"/>
      <c r="Q985" s="1230"/>
      <c r="R985" s="1230"/>
      <c r="S985" s="1230"/>
      <c r="T985" s="1230"/>
      <c r="U985" s="1230"/>
      <c r="V985" s="1230"/>
      <c r="W985" s="1230"/>
      <c r="X985" s="1231"/>
      <c r="Y985" s="1230"/>
    </row>
    <row r="986">
      <c r="A986" s="1234"/>
      <c r="B986" s="1230"/>
      <c r="C986" s="1230"/>
      <c r="D986" s="1230"/>
      <c r="E986" s="1230"/>
      <c r="F986" s="1233"/>
      <c r="G986" s="1230"/>
      <c r="H986" s="1230"/>
      <c r="I986" s="1231"/>
      <c r="J986" s="1230"/>
      <c r="K986" s="1230"/>
      <c r="L986" s="1230"/>
      <c r="M986" s="1230"/>
      <c r="N986" s="1230"/>
      <c r="O986" s="1232"/>
      <c r="P986" s="1230"/>
      <c r="Q986" s="1230"/>
      <c r="R986" s="1230"/>
      <c r="S986" s="1230"/>
      <c r="T986" s="1230"/>
      <c r="U986" s="1230"/>
      <c r="V986" s="1230"/>
      <c r="W986" s="1230"/>
      <c r="X986" s="1231"/>
      <c r="Y986" s="1230"/>
    </row>
    <row r="987">
      <c r="A987" s="1234"/>
      <c r="B987" s="1230"/>
      <c r="C987" s="1230"/>
      <c r="D987" s="1230"/>
      <c r="E987" s="1230"/>
      <c r="F987" s="1233"/>
      <c r="G987" s="1230"/>
      <c r="H987" s="1230"/>
      <c r="I987" s="1231"/>
      <c r="J987" s="1230"/>
      <c r="K987" s="1230"/>
      <c r="L987" s="1230"/>
      <c r="M987" s="1230"/>
      <c r="N987" s="1230"/>
      <c r="O987" s="1232"/>
      <c r="P987" s="1230"/>
      <c r="Q987" s="1230"/>
      <c r="R987" s="1230"/>
      <c r="S987" s="1230"/>
      <c r="T987" s="1230"/>
      <c r="U987" s="1230"/>
      <c r="V987" s="1230"/>
      <c r="W987" s="1230"/>
      <c r="X987" s="1231"/>
      <c r="Y987" s="1230"/>
    </row>
    <row r="988">
      <c r="A988" s="1234"/>
      <c r="B988" s="1230"/>
      <c r="C988" s="1230"/>
      <c r="D988" s="1230"/>
      <c r="E988" s="1230"/>
      <c r="F988" s="1233"/>
      <c r="G988" s="1230"/>
      <c r="H988" s="1230"/>
      <c r="I988" s="1231"/>
      <c r="J988" s="1230"/>
      <c r="K988" s="1230"/>
      <c r="L988" s="1230"/>
      <c r="M988" s="1230"/>
      <c r="N988" s="1230"/>
      <c r="O988" s="1232"/>
      <c r="P988" s="1230"/>
      <c r="Q988" s="1230"/>
      <c r="R988" s="1230"/>
      <c r="S988" s="1230"/>
      <c r="T988" s="1230"/>
      <c r="U988" s="1230"/>
      <c r="V988" s="1230"/>
      <c r="W988" s="1230"/>
      <c r="X988" s="1231"/>
      <c r="Y988" s="1230"/>
    </row>
    <row r="989">
      <c r="A989" s="1234"/>
      <c r="B989" s="1230"/>
      <c r="C989" s="1230"/>
      <c r="D989" s="1230"/>
      <c r="E989" s="1230"/>
      <c r="F989" s="1233"/>
      <c r="G989" s="1230"/>
      <c r="H989" s="1230"/>
      <c r="I989" s="1231"/>
      <c r="J989" s="1230"/>
      <c r="K989" s="1230"/>
      <c r="L989" s="1230"/>
      <c r="M989" s="1230"/>
      <c r="N989" s="1230"/>
      <c r="O989" s="1232"/>
      <c r="P989" s="1230"/>
      <c r="Q989" s="1230"/>
      <c r="R989" s="1230"/>
      <c r="S989" s="1230"/>
      <c r="T989" s="1230"/>
      <c r="U989" s="1230"/>
      <c r="V989" s="1230"/>
      <c r="W989" s="1230"/>
      <c r="X989" s="1231"/>
      <c r="Y989" s="1230"/>
    </row>
    <row r="990">
      <c r="A990" s="1234"/>
      <c r="B990" s="1230"/>
      <c r="C990" s="1230"/>
      <c r="D990" s="1230"/>
      <c r="E990" s="1230"/>
      <c r="F990" s="1233"/>
      <c r="G990" s="1230"/>
      <c r="H990" s="1230"/>
      <c r="I990" s="1231"/>
      <c r="J990" s="1230"/>
      <c r="K990" s="1230"/>
      <c r="L990" s="1230"/>
      <c r="M990" s="1230"/>
      <c r="N990" s="1230"/>
      <c r="O990" s="1232"/>
      <c r="P990" s="1230"/>
      <c r="Q990" s="1230"/>
      <c r="R990" s="1230"/>
      <c r="S990" s="1230"/>
      <c r="T990" s="1230"/>
      <c r="U990" s="1230"/>
      <c r="V990" s="1230"/>
      <c r="W990" s="1230"/>
      <c r="X990" s="1231"/>
      <c r="Y990" s="1230"/>
    </row>
    <row r="991">
      <c r="A991" s="1234"/>
      <c r="B991" s="1230"/>
      <c r="C991" s="1230"/>
      <c r="D991" s="1230"/>
      <c r="E991" s="1230"/>
      <c r="F991" s="1233"/>
      <c r="G991" s="1230"/>
      <c r="H991" s="1230"/>
      <c r="I991" s="1231"/>
      <c r="J991" s="1230"/>
      <c r="K991" s="1230"/>
      <c r="L991" s="1230"/>
      <c r="M991" s="1230"/>
      <c r="N991" s="1230"/>
      <c r="O991" s="1232"/>
      <c r="P991" s="1230"/>
      <c r="Q991" s="1230"/>
      <c r="R991" s="1230"/>
      <c r="S991" s="1230"/>
      <c r="T991" s="1230"/>
      <c r="U991" s="1230"/>
      <c r="V991" s="1230"/>
      <c r="W991" s="1230"/>
      <c r="X991" s="1231"/>
      <c r="Y991" s="1230"/>
    </row>
    <row r="992">
      <c r="A992" s="1234"/>
      <c r="B992" s="1230"/>
      <c r="C992" s="1230"/>
      <c r="D992" s="1230"/>
      <c r="E992" s="1230"/>
      <c r="F992" s="1233"/>
      <c r="G992" s="1230"/>
      <c r="H992" s="1230"/>
      <c r="I992" s="1231"/>
      <c r="J992" s="1230"/>
      <c r="K992" s="1230"/>
      <c r="L992" s="1230"/>
      <c r="M992" s="1230"/>
      <c r="N992" s="1230"/>
      <c r="O992" s="1232"/>
      <c r="P992" s="1230"/>
      <c r="Q992" s="1230"/>
      <c r="R992" s="1230"/>
      <c r="S992" s="1230"/>
      <c r="T992" s="1230"/>
      <c r="U992" s="1230"/>
      <c r="V992" s="1230"/>
      <c r="W992" s="1230"/>
      <c r="X992" s="1231"/>
      <c r="Y992" s="1230"/>
    </row>
    <row r="993">
      <c r="A993" s="1234"/>
      <c r="B993" s="1230"/>
      <c r="C993" s="1230"/>
      <c r="D993" s="1230"/>
      <c r="E993" s="1230"/>
      <c r="F993" s="1233"/>
      <c r="G993" s="1230"/>
      <c r="H993" s="1230"/>
      <c r="I993" s="1231"/>
      <c r="J993" s="1230"/>
      <c r="K993" s="1230"/>
      <c r="L993" s="1230"/>
      <c r="M993" s="1230"/>
      <c r="N993" s="1230"/>
      <c r="O993" s="1232"/>
      <c r="P993" s="1230"/>
      <c r="Q993" s="1230"/>
      <c r="R993" s="1230"/>
      <c r="S993" s="1230"/>
      <c r="T993" s="1230"/>
      <c r="U993" s="1230"/>
      <c r="V993" s="1230"/>
      <c r="W993" s="1230"/>
      <c r="X993" s="1231"/>
      <c r="Y993" s="1230"/>
    </row>
    <row r="994">
      <c r="A994" s="1234"/>
      <c r="B994" s="1230"/>
      <c r="C994" s="1230"/>
      <c r="D994" s="1230"/>
      <c r="E994" s="1230"/>
      <c r="F994" s="1233"/>
      <c r="G994" s="1230"/>
      <c r="H994" s="1230"/>
      <c r="I994" s="1231"/>
      <c r="J994" s="1230"/>
      <c r="K994" s="1230"/>
      <c r="L994" s="1230"/>
      <c r="M994" s="1230"/>
      <c r="N994" s="1230"/>
      <c r="O994" s="1232"/>
      <c r="P994" s="1230"/>
      <c r="Q994" s="1230"/>
      <c r="R994" s="1230"/>
      <c r="S994" s="1230"/>
      <c r="T994" s="1230"/>
      <c r="U994" s="1230"/>
      <c r="V994" s="1230"/>
      <c r="W994" s="1230"/>
      <c r="X994" s="1231"/>
      <c r="Y994" s="1230"/>
    </row>
    <row r="995">
      <c r="A995" s="1234"/>
      <c r="B995" s="1230"/>
      <c r="C995" s="1230"/>
      <c r="D995" s="1230"/>
      <c r="E995" s="1230"/>
      <c r="F995" s="1233"/>
      <c r="G995" s="1230"/>
      <c r="H995" s="1230"/>
      <c r="I995" s="1231"/>
      <c r="J995" s="1230"/>
      <c r="K995" s="1230"/>
      <c r="L995" s="1230"/>
      <c r="M995" s="1230"/>
      <c r="N995" s="1230"/>
      <c r="O995" s="1232"/>
      <c r="P995" s="1230"/>
      <c r="Q995" s="1230"/>
      <c r="R995" s="1230"/>
      <c r="S995" s="1230"/>
      <c r="T995" s="1230"/>
      <c r="U995" s="1230"/>
      <c r="V995" s="1230"/>
      <c r="W995" s="1230"/>
      <c r="X995" s="1231"/>
      <c r="Y995" s="1230"/>
    </row>
    <row r="996">
      <c r="A996" s="1234"/>
      <c r="B996" s="1230"/>
      <c r="C996" s="1230"/>
      <c r="D996" s="1230"/>
      <c r="E996" s="1230"/>
      <c r="F996" s="1233"/>
      <c r="G996" s="1230"/>
      <c r="H996" s="1230"/>
      <c r="I996" s="1231"/>
      <c r="J996" s="1230"/>
      <c r="K996" s="1230"/>
      <c r="L996" s="1230"/>
      <c r="M996" s="1230"/>
      <c r="N996" s="1230"/>
      <c r="O996" s="1232"/>
      <c r="P996" s="1230"/>
      <c r="Q996" s="1230"/>
      <c r="R996" s="1230"/>
      <c r="S996" s="1230"/>
      <c r="T996" s="1230"/>
      <c r="U996" s="1230"/>
      <c r="V996" s="1230"/>
      <c r="W996" s="1230"/>
      <c r="X996" s="1231"/>
      <c r="Y996" s="1230"/>
    </row>
    <row r="997">
      <c r="A997" s="1234"/>
      <c r="B997" s="1230"/>
      <c r="C997" s="1230"/>
      <c r="D997" s="1230"/>
      <c r="E997" s="1230"/>
      <c r="F997" s="1233"/>
      <c r="G997" s="1230"/>
      <c r="H997" s="1230"/>
      <c r="I997" s="1231"/>
      <c r="J997" s="1230"/>
      <c r="K997" s="1230"/>
      <c r="L997" s="1230"/>
      <c r="M997" s="1230"/>
      <c r="N997" s="1230"/>
      <c r="O997" s="1232"/>
      <c r="P997" s="1230"/>
      <c r="Q997" s="1230"/>
      <c r="R997" s="1230"/>
      <c r="S997" s="1230"/>
      <c r="T997" s="1230"/>
      <c r="U997" s="1230"/>
      <c r="V997" s="1230"/>
      <c r="W997" s="1230"/>
      <c r="X997" s="1231"/>
      <c r="Y997" s="1230"/>
    </row>
    <row r="998">
      <c r="A998" s="1234"/>
      <c r="B998" s="1230"/>
      <c r="C998" s="1230"/>
      <c r="D998" s="1230"/>
      <c r="E998" s="1230"/>
      <c r="F998" s="1233"/>
      <c r="G998" s="1230"/>
      <c r="H998" s="1230"/>
      <c r="I998" s="1231"/>
      <c r="J998" s="1230"/>
      <c r="K998" s="1230"/>
      <c r="L998" s="1230"/>
      <c r="M998" s="1230"/>
      <c r="N998" s="1230"/>
      <c r="O998" s="1232"/>
      <c r="P998" s="1230"/>
      <c r="Q998" s="1230"/>
      <c r="R998" s="1230"/>
      <c r="S998" s="1230"/>
      <c r="T998" s="1230"/>
      <c r="U998" s="1230"/>
      <c r="V998" s="1230"/>
      <c r="W998" s="1230"/>
      <c r="X998" s="1231"/>
      <c r="Y998" s="1230"/>
    </row>
    <row r="999">
      <c r="A999" s="1234"/>
      <c r="B999" s="1230"/>
      <c r="C999" s="1230"/>
      <c r="D999" s="1230"/>
      <c r="E999" s="1230"/>
      <c r="F999" s="1233"/>
      <c r="G999" s="1230"/>
      <c r="H999" s="1230"/>
      <c r="I999" s="1231"/>
      <c r="J999" s="1230"/>
      <c r="K999" s="1230"/>
      <c r="L999" s="1230"/>
      <c r="M999" s="1230"/>
      <c r="N999" s="1230"/>
      <c r="O999" s="1232"/>
      <c r="P999" s="1230"/>
      <c r="Q999" s="1230"/>
      <c r="R999" s="1230"/>
      <c r="S999" s="1230"/>
      <c r="T999" s="1230"/>
      <c r="U999" s="1230"/>
      <c r="V999" s="1230"/>
      <c r="W999" s="1230"/>
      <c r="X999" s="1231"/>
      <c r="Y999" s="1230"/>
    </row>
    <row r="1000">
      <c r="A1000" s="1234"/>
      <c r="B1000" s="1230"/>
      <c r="C1000" s="1230"/>
      <c r="D1000" s="1230"/>
      <c r="E1000" s="1230"/>
      <c r="F1000" s="1233"/>
      <c r="G1000" s="1230"/>
      <c r="H1000" s="1230"/>
      <c r="I1000" s="1231"/>
      <c r="J1000" s="1230"/>
      <c r="K1000" s="1230"/>
      <c r="L1000" s="1230"/>
      <c r="M1000" s="1230"/>
      <c r="N1000" s="1230"/>
      <c r="O1000" s="1232"/>
      <c r="P1000" s="1230"/>
      <c r="Q1000" s="1230"/>
      <c r="R1000" s="1230"/>
      <c r="S1000" s="1230"/>
      <c r="T1000" s="1230"/>
      <c r="U1000" s="1230"/>
      <c r="V1000" s="1230"/>
      <c r="W1000" s="1230"/>
      <c r="X1000" s="1231"/>
      <c r="Y1000" s="1230"/>
    </row>
    <row r="1001">
      <c r="A1001" s="1234"/>
      <c r="B1001" s="1230"/>
      <c r="C1001" s="1230"/>
      <c r="D1001" s="1230"/>
      <c r="E1001" s="1230"/>
      <c r="F1001" s="1233"/>
      <c r="G1001" s="1230"/>
      <c r="H1001" s="1230"/>
      <c r="I1001" s="1231"/>
      <c r="J1001" s="1230"/>
      <c r="K1001" s="1230"/>
      <c r="L1001" s="1230"/>
      <c r="M1001" s="1230"/>
      <c r="N1001" s="1230"/>
      <c r="O1001" s="1232"/>
      <c r="P1001" s="1230"/>
      <c r="Q1001" s="1230"/>
      <c r="R1001" s="1230"/>
      <c r="S1001" s="1230"/>
      <c r="T1001" s="1230"/>
      <c r="U1001" s="1230"/>
      <c r="V1001" s="1230"/>
      <c r="W1001" s="1230"/>
      <c r="X1001" s="1231"/>
      <c r="Y1001" s="1230"/>
    </row>
    <row r="1002">
      <c r="A1002" s="1234"/>
      <c r="B1002" s="1230"/>
      <c r="C1002" s="1230"/>
      <c r="D1002" s="1230"/>
      <c r="E1002" s="1230"/>
      <c r="F1002" s="1233"/>
      <c r="G1002" s="1230"/>
      <c r="H1002" s="1230"/>
      <c r="I1002" s="1231"/>
      <c r="J1002" s="1230"/>
      <c r="K1002" s="1230"/>
      <c r="L1002" s="1230"/>
      <c r="M1002" s="1230"/>
      <c r="N1002" s="1230"/>
      <c r="O1002" s="1232"/>
      <c r="P1002" s="1230"/>
      <c r="Q1002" s="1230"/>
      <c r="R1002" s="1230"/>
      <c r="S1002" s="1230"/>
      <c r="T1002" s="1230"/>
      <c r="U1002" s="1230"/>
      <c r="V1002" s="1230"/>
      <c r="W1002" s="1230"/>
      <c r="X1002" s="1231"/>
      <c r="Y1002" s="1230"/>
    </row>
    <row r="1003">
      <c r="A1003" s="1234"/>
      <c r="B1003" s="1230"/>
      <c r="C1003" s="1230"/>
      <c r="D1003" s="1230"/>
      <c r="E1003" s="1230"/>
      <c r="F1003" s="1233"/>
      <c r="G1003" s="1230"/>
      <c r="H1003" s="1230"/>
      <c r="I1003" s="1231"/>
      <c r="J1003" s="1230"/>
      <c r="K1003" s="1230"/>
      <c r="L1003" s="1230"/>
      <c r="M1003" s="1230"/>
      <c r="N1003" s="1230"/>
      <c r="O1003" s="1232"/>
      <c r="P1003" s="1230"/>
      <c r="Q1003" s="1230"/>
      <c r="R1003" s="1230"/>
      <c r="S1003" s="1230"/>
      <c r="T1003" s="1230"/>
      <c r="U1003" s="1230"/>
      <c r="V1003" s="1230"/>
      <c r="W1003" s="1230"/>
      <c r="X1003" s="1231"/>
      <c r="Y1003" s="1230"/>
    </row>
    <row r="1004">
      <c r="A1004" s="1234"/>
      <c r="B1004" s="1230"/>
      <c r="C1004" s="1230"/>
      <c r="D1004" s="1230"/>
      <c r="E1004" s="1230"/>
      <c r="F1004" s="1233"/>
      <c r="G1004" s="1230"/>
      <c r="H1004" s="1230"/>
      <c r="I1004" s="1231"/>
      <c r="J1004" s="1230"/>
      <c r="K1004" s="1230"/>
      <c r="L1004" s="1230"/>
      <c r="M1004" s="1230"/>
      <c r="N1004" s="1230"/>
      <c r="O1004" s="1232"/>
      <c r="P1004" s="1230"/>
      <c r="Q1004" s="1230"/>
      <c r="R1004" s="1230"/>
      <c r="S1004" s="1230"/>
      <c r="T1004" s="1230"/>
      <c r="U1004" s="1230"/>
      <c r="V1004" s="1230"/>
      <c r="W1004" s="1230"/>
      <c r="X1004" s="1231"/>
      <c r="Y1004" s="1230"/>
    </row>
    <row r="1005">
      <c r="A1005" s="1234"/>
      <c r="B1005" s="1230"/>
      <c r="C1005" s="1230"/>
      <c r="D1005" s="1230"/>
      <c r="E1005" s="1230"/>
      <c r="F1005" s="1233"/>
      <c r="G1005" s="1230"/>
      <c r="H1005" s="1230"/>
      <c r="I1005" s="1231"/>
      <c r="J1005" s="1230"/>
      <c r="K1005" s="1230"/>
      <c r="L1005" s="1230"/>
      <c r="M1005" s="1230"/>
      <c r="N1005" s="1230"/>
      <c r="O1005" s="1232"/>
      <c r="P1005" s="1230"/>
      <c r="Q1005" s="1230"/>
      <c r="R1005" s="1230"/>
      <c r="S1005" s="1230"/>
      <c r="T1005" s="1230"/>
      <c r="U1005" s="1230"/>
      <c r="V1005" s="1230"/>
      <c r="W1005" s="1230"/>
      <c r="X1005" s="1231"/>
      <c r="Y1005" s="1230"/>
    </row>
    <row r="1006">
      <c r="A1006" s="1234"/>
      <c r="B1006" s="1230"/>
      <c r="C1006" s="1230"/>
      <c r="D1006" s="1230"/>
      <c r="E1006" s="1230"/>
      <c r="F1006" s="1233"/>
      <c r="G1006" s="1230"/>
      <c r="H1006" s="1230"/>
      <c r="I1006" s="1231"/>
      <c r="J1006" s="1230"/>
      <c r="K1006" s="1230"/>
      <c r="L1006" s="1230"/>
      <c r="M1006" s="1230"/>
      <c r="N1006" s="1230"/>
      <c r="O1006" s="1232"/>
      <c r="P1006" s="1230"/>
      <c r="Q1006" s="1230"/>
      <c r="R1006" s="1230"/>
      <c r="S1006" s="1230"/>
      <c r="T1006" s="1230"/>
      <c r="U1006" s="1230"/>
      <c r="V1006" s="1230"/>
      <c r="W1006" s="1230"/>
      <c r="X1006" s="1231"/>
      <c r="Y1006" s="1230"/>
    </row>
    <row r="1007">
      <c r="A1007" s="1234"/>
      <c r="B1007" s="1230"/>
      <c r="C1007" s="1230"/>
      <c r="D1007" s="1230"/>
      <c r="E1007" s="1230"/>
      <c r="F1007" s="1233"/>
      <c r="G1007" s="1230"/>
      <c r="H1007" s="1230"/>
      <c r="I1007" s="1231"/>
      <c r="J1007" s="1230"/>
      <c r="K1007" s="1230"/>
      <c r="L1007" s="1230"/>
      <c r="M1007" s="1230"/>
      <c r="N1007" s="1230"/>
      <c r="O1007" s="1232"/>
      <c r="P1007" s="1230"/>
      <c r="Q1007" s="1230"/>
      <c r="R1007" s="1230"/>
      <c r="S1007" s="1230"/>
      <c r="T1007" s="1230"/>
      <c r="U1007" s="1230"/>
      <c r="V1007" s="1230"/>
      <c r="W1007" s="1230"/>
      <c r="X1007" s="1231"/>
      <c r="Y1007" s="1230"/>
    </row>
    <row r="1008">
      <c r="A1008" s="1234"/>
      <c r="B1008" s="1230"/>
      <c r="C1008" s="1230"/>
      <c r="D1008" s="1230"/>
      <c r="E1008" s="1230"/>
      <c r="F1008" s="1233"/>
      <c r="G1008" s="1230"/>
      <c r="H1008" s="1230"/>
      <c r="I1008" s="1231"/>
      <c r="J1008" s="1230"/>
      <c r="K1008" s="1230"/>
      <c r="L1008" s="1230"/>
      <c r="M1008" s="1230"/>
      <c r="N1008" s="1230"/>
      <c r="O1008" s="1232"/>
      <c r="P1008" s="1230"/>
      <c r="Q1008" s="1230"/>
      <c r="R1008" s="1230"/>
      <c r="S1008" s="1230"/>
      <c r="T1008" s="1230"/>
      <c r="U1008" s="1230"/>
      <c r="V1008" s="1230"/>
      <c r="W1008" s="1230"/>
      <c r="X1008" s="1231"/>
      <c r="Y1008" s="1230"/>
    </row>
    <row r="1009">
      <c r="A1009" s="1234"/>
      <c r="B1009" s="1230"/>
      <c r="C1009" s="1230"/>
      <c r="D1009" s="1230"/>
      <c r="E1009" s="1230"/>
      <c r="F1009" s="1233"/>
      <c r="G1009" s="1230"/>
      <c r="H1009" s="1230"/>
      <c r="I1009" s="1231"/>
      <c r="J1009" s="1230"/>
      <c r="K1009" s="1230"/>
      <c r="L1009" s="1230"/>
      <c r="M1009" s="1230"/>
      <c r="N1009" s="1230"/>
      <c r="O1009" s="1232"/>
      <c r="P1009" s="1230"/>
      <c r="Q1009" s="1230"/>
      <c r="R1009" s="1230"/>
      <c r="S1009" s="1230"/>
      <c r="T1009" s="1230"/>
      <c r="U1009" s="1230"/>
      <c r="V1009" s="1230"/>
      <c r="W1009" s="1230"/>
      <c r="X1009" s="1231"/>
      <c r="Y1009" s="1230"/>
    </row>
    <row r="1010">
      <c r="A1010" s="1234"/>
      <c r="B1010" s="1230"/>
      <c r="C1010" s="1230"/>
      <c r="D1010" s="1230"/>
      <c r="E1010" s="1230"/>
      <c r="F1010" s="1233"/>
      <c r="G1010" s="1230"/>
      <c r="H1010" s="1230"/>
      <c r="I1010" s="1231"/>
      <c r="J1010" s="1230"/>
      <c r="K1010" s="1230"/>
      <c r="L1010" s="1230"/>
      <c r="M1010" s="1230"/>
      <c r="N1010" s="1230"/>
      <c r="O1010" s="1232"/>
      <c r="P1010" s="1230"/>
      <c r="Q1010" s="1230"/>
      <c r="R1010" s="1230"/>
      <c r="S1010" s="1230"/>
      <c r="T1010" s="1230"/>
      <c r="U1010" s="1230"/>
      <c r="V1010" s="1230"/>
      <c r="W1010" s="1230"/>
      <c r="X1010" s="1231"/>
      <c r="Y1010" s="1230"/>
    </row>
    <row r="1011">
      <c r="A1011" s="1234"/>
      <c r="B1011" s="1230"/>
      <c r="C1011" s="1230"/>
      <c r="D1011" s="1230"/>
      <c r="E1011" s="1230"/>
      <c r="F1011" s="1233"/>
      <c r="G1011" s="1230"/>
      <c r="H1011" s="1230"/>
      <c r="I1011" s="1231"/>
      <c r="J1011" s="1230"/>
      <c r="K1011" s="1230"/>
      <c r="L1011" s="1230"/>
      <c r="M1011" s="1230"/>
      <c r="N1011" s="1230"/>
      <c r="O1011" s="1232"/>
      <c r="P1011" s="1230"/>
      <c r="Q1011" s="1230"/>
      <c r="R1011" s="1230"/>
      <c r="S1011" s="1230"/>
      <c r="T1011" s="1230"/>
      <c r="U1011" s="1230"/>
      <c r="V1011" s="1230"/>
      <c r="W1011" s="1230"/>
      <c r="X1011" s="1231"/>
      <c r="Y1011" s="1230"/>
    </row>
    <row r="1012">
      <c r="A1012" s="1234"/>
      <c r="B1012" s="1230"/>
      <c r="C1012" s="1230"/>
      <c r="D1012" s="1230"/>
      <c r="E1012" s="1230"/>
      <c r="F1012" s="1233"/>
      <c r="G1012" s="1230"/>
      <c r="H1012" s="1230"/>
      <c r="I1012" s="1231"/>
      <c r="J1012" s="1230"/>
      <c r="K1012" s="1230"/>
      <c r="L1012" s="1230"/>
      <c r="M1012" s="1230"/>
      <c r="N1012" s="1230"/>
      <c r="O1012" s="1232"/>
      <c r="P1012" s="1230"/>
      <c r="Q1012" s="1230"/>
      <c r="R1012" s="1230"/>
      <c r="S1012" s="1230"/>
      <c r="T1012" s="1230"/>
      <c r="U1012" s="1230"/>
      <c r="V1012" s="1230"/>
      <c r="W1012" s="1230"/>
      <c r="X1012" s="1231"/>
      <c r="Y1012" s="1230"/>
    </row>
    <row r="1013">
      <c r="A1013" s="1234"/>
      <c r="B1013" s="1230"/>
      <c r="C1013" s="1230"/>
      <c r="D1013" s="1230"/>
      <c r="E1013" s="1230"/>
      <c r="F1013" s="1233"/>
      <c r="G1013" s="1230"/>
      <c r="H1013" s="1230"/>
      <c r="I1013" s="1231"/>
      <c r="J1013" s="1230"/>
      <c r="K1013" s="1230"/>
      <c r="L1013" s="1230"/>
      <c r="M1013" s="1230"/>
      <c r="N1013" s="1230"/>
      <c r="O1013" s="1232"/>
      <c r="P1013" s="1230"/>
      <c r="Q1013" s="1230"/>
      <c r="R1013" s="1230"/>
      <c r="S1013" s="1230"/>
      <c r="T1013" s="1230"/>
      <c r="U1013" s="1230"/>
      <c r="V1013" s="1230"/>
      <c r="W1013" s="1230"/>
      <c r="X1013" s="1231"/>
      <c r="Y1013" s="1230"/>
    </row>
    <row r="1014">
      <c r="A1014" s="1234"/>
      <c r="B1014" s="1230"/>
      <c r="C1014" s="1230"/>
      <c r="D1014" s="1230"/>
      <c r="E1014" s="1230"/>
      <c r="F1014" s="1233"/>
      <c r="G1014" s="1230"/>
      <c r="H1014" s="1230"/>
      <c r="I1014" s="1231"/>
      <c r="J1014" s="1230"/>
      <c r="K1014" s="1230"/>
      <c r="L1014" s="1230"/>
      <c r="M1014" s="1230"/>
      <c r="N1014" s="1230"/>
      <c r="O1014" s="1232"/>
      <c r="P1014" s="1230"/>
      <c r="Q1014" s="1230"/>
      <c r="R1014" s="1230"/>
      <c r="S1014" s="1230"/>
      <c r="T1014" s="1230"/>
      <c r="U1014" s="1230"/>
      <c r="V1014" s="1230"/>
      <c r="W1014" s="1230"/>
      <c r="X1014" s="1231"/>
      <c r="Y1014" s="1230"/>
    </row>
    <row r="1015">
      <c r="A1015" s="1234"/>
      <c r="B1015" s="1230"/>
      <c r="C1015" s="1230"/>
      <c r="D1015" s="1230"/>
      <c r="E1015" s="1230"/>
      <c r="F1015" s="1233"/>
      <c r="G1015" s="1230"/>
      <c r="H1015" s="1230"/>
      <c r="I1015" s="1231"/>
      <c r="J1015" s="1230"/>
      <c r="K1015" s="1230"/>
      <c r="L1015" s="1230"/>
      <c r="M1015" s="1230"/>
      <c r="N1015" s="1230"/>
      <c r="O1015" s="1232"/>
      <c r="P1015" s="1230"/>
      <c r="Q1015" s="1230"/>
      <c r="R1015" s="1230"/>
      <c r="S1015" s="1230"/>
      <c r="T1015" s="1230"/>
      <c r="U1015" s="1230"/>
      <c r="V1015" s="1230"/>
      <c r="W1015" s="1230"/>
      <c r="X1015" s="1231"/>
      <c r="Y1015" s="1230"/>
    </row>
    <row r="1016">
      <c r="A1016" s="1234"/>
      <c r="B1016" s="1230"/>
      <c r="C1016" s="1230"/>
      <c r="D1016" s="1230"/>
      <c r="E1016" s="1230"/>
      <c r="F1016" s="1233"/>
      <c r="G1016" s="1230"/>
      <c r="H1016" s="1230"/>
      <c r="I1016" s="1231"/>
      <c r="J1016" s="1230"/>
      <c r="K1016" s="1230"/>
      <c r="L1016" s="1230"/>
      <c r="M1016" s="1230"/>
      <c r="N1016" s="1230"/>
      <c r="O1016" s="1232"/>
      <c r="P1016" s="1230"/>
      <c r="Q1016" s="1230"/>
      <c r="R1016" s="1230"/>
      <c r="S1016" s="1230"/>
      <c r="T1016" s="1230"/>
      <c r="U1016" s="1230"/>
      <c r="V1016" s="1230"/>
      <c r="W1016" s="1230"/>
      <c r="X1016" s="1231"/>
      <c r="Y1016" s="1230"/>
    </row>
    <row r="1017">
      <c r="A1017" s="1234"/>
      <c r="B1017" s="1230"/>
      <c r="C1017" s="1230"/>
      <c r="D1017" s="1230"/>
      <c r="E1017" s="1230"/>
      <c r="F1017" s="1233"/>
      <c r="G1017" s="1230"/>
      <c r="H1017" s="1230"/>
      <c r="I1017" s="1231"/>
      <c r="J1017" s="1230"/>
      <c r="K1017" s="1230"/>
      <c r="L1017" s="1230"/>
      <c r="M1017" s="1230"/>
      <c r="N1017" s="1230"/>
      <c r="O1017" s="1232"/>
      <c r="P1017" s="1230"/>
      <c r="Q1017" s="1230"/>
      <c r="R1017" s="1230"/>
      <c r="S1017" s="1230"/>
      <c r="T1017" s="1230"/>
      <c r="U1017" s="1230"/>
      <c r="V1017" s="1230"/>
      <c r="W1017" s="1230"/>
      <c r="X1017" s="1231"/>
      <c r="Y1017" s="1230"/>
    </row>
    <row r="1018">
      <c r="A1018" s="1234"/>
      <c r="B1018" s="1230"/>
      <c r="C1018" s="1230"/>
      <c r="D1018" s="1230"/>
      <c r="E1018" s="1230"/>
      <c r="F1018" s="1233"/>
      <c r="G1018" s="1230"/>
      <c r="H1018" s="1230"/>
      <c r="I1018" s="1231"/>
      <c r="J1018" s="1230"/>
      <c r="K1018" s="1230"/>
      <c r="L1018" s="1230"/>
      <c r="M1018" s="1230"/>
      <c r="N1018" s="1230"/>
      <c r="O1018" s="1232"/>
      <c r="P1018" s="1230"/>
      <c r="Q1018" s="1230"/>
      <c r="R1018" s="1230"/>
      <c r="S1018" s="1230"/>
      <c r="T1018" s="1230"/>
      <c r="U1018" s="1230"/>
      <c r="V1018" s="1230"/>
      <c r="W1018" s="1230"/>
      <c r="X1018" s="1231"/>
      <c r="Y1018" s="1230"/>
    </row>
    <row r="1019">
      <c r="A1019" s="1234"/>
      <c r="B1019" s="1230"/>
      <c r="C1019" s="1230"/>
      <c r="D1019" s="1230"/>
      <c r="E1019" s="1230"/>
      <c r="F1019" s="1233"/>
      <c r="G1019" s="1230"/>
      <c r="H1019" s="1230"/>
      <c r="I1019" s="1231"/>
      <c r="J1019" s="1230"/>
      <c r="K1019" s="1230"/>
      <c r="L1019" s="1230"/>
      <c r="M1019" s="1230"/>
      <c r="N1019" s="1230"/>
      <c r="O1019" s="1232"/>
      <c r="P1019" s="1230"/>
      <c r="Q1019" s="1230"/>
      <c r="R1019" s="1230"/>
      <c r="S1019" s="1230"/>
      <c r="T1019" s="1230"/>
      <c r="U1019" s="1230"/>
      <c r="V1019" s="1230"/>
      <c r="W1019" s="1230"/>
      <c r="X1019" s="1231"/>
      <c r="Y1019" s="1230"/>
    </row>
    <row r="1020">
      <c r="A1020" s="1234"/>
      <c r="B1020" s="1230"/>
      <c r="C1020" s="1230"/>
      <c r="D1020" s="1230"/>
      <c r="E1020" s="1230"/>
      <c r="F1020" s="1233"/>
      <c r="G1020" s="1230"/>
      <c r="H1020" s="1230"/>
      <c r="I1020" s="1231"/>
      <c r="J1020" s="1230"/>
      <c r="K1020" s="1230"/>
      <c r="L1020" s="1230"/>
      <c r="M1020" s="1230"/>
      <c r="N1020" s="1230"/>
      <c r="O1020" s="1232"/>
      <c r="P1020" s="1230"/>
      <c r="Q1020" s="1230"/>
      <c r="R1020" s="1230"/>
      <c r="S1020" s="1230"/>
      <c r="T1020" s="1230"/>
      <c r="U1020" s="1230"/>
      <c r="V1020" s="1230"/>
      <c r="W1020" s="1230"/>
      <c r="X1020" s="1231"/>
      <c r="Y1020" s="1230"/>
    </row>
    <row r="1021">
      <c r="A1021" s="1234"/>
      <c r="B1021" s="1230"/>
      <c r="C1021" s="1230"/>
      <c r="D1021" s="1230"/>
      <c r="E1021" s="1230"/>
      <c r="F1021" s="1233"/>
      <c r="G1021" s="1230"/>
      <c r="H1021" s="1230"/>
      <c r="I1021" s="1231"/>
      <c r="J1021" s="1230"/>
      <c r="K1021" s="1230"/>
      <c r="L1021" s="1230"/>
      <c r="M1021" s="1230"/>
      <c r="N1021" s="1230"/>
      <c r="O1021" s="1232"/>
      <c r="P1021" s="1230"/>
      <c r="Q1021" s="1230"/>
      <c r="R1021" s="1230"/>
      <c r="S1021" s="1230"/>
      <c r="T1021" s="1230"/>
      <c r="U1021" s="1230"/>
      <c r="V1021" s="1230"/>
      <c r="W1021" s="1230"/>
      <c r="X1021" s="1231"/>
      <c r="Y1021" s="1230"/>
    </row>
    <row r="1022">
      <c r="A1022" s="1234"/>
      <c r="B1022" s="1230"/>
      <c r="C1022" s="1230"/>
      <c r="D1022" s="1230"/>
      <c r="E1022" s="1230"/>
      <c r="F1022" s="1233"/>
      <c r="G1022" s="1230"/>
      <c r="H1022" s="1230"/>
      <c r="I1022" s="1231"/>
      <c r="J1022" s="1230"/>
      <c r="K1022" s="1230"/>
      <c r="L1022" s="1230"/>
      <c r="M1022" s="1230"/>
      <c r="N1022" s="1230"/>
      <c r="O1022" s="1232"/>
      <c r="P1022" s="1230"/>
      <c r="Q1022" s="1230"/>
      <c r="R1022" s="1230"/>
      <c r="S1022" s="1230"/>
      <c r="T1022" s="1230"/>
      <c r="U1022" s="1230"/>
      <c r="V1022" s="1230"/>
      <c r="W1022" s="1230"/>
      <c r="X1022" s="1231"/>
      <c r="Y1022" s="1230"/>
    </row>
    <row r="1023">
      <c r="A1023" s="1234"/>
      <c r="B1023" s="1230"/>
      <c r="C1023" s="1230"/>
      <c r="D1023" s="1230"/>
      <c r="E1023" s="1230"/>
      <c r="F1023" s="1233"/>
      <c r="G1023" s="1230"/>
      <c r="H1023" s="1230"/>
      <c r="I1023" s="1231"/>
      <c r="J1023" s="1230"/>
      <c r="K1023" s="1230"/>
      <c r="L1023" s="1230"/>
      <c r="M1023" s="1230"/>
      <c r="N1023" s="1230"/>
      <c r="O1023" s="1232"/>
      <c r="P1023" s="1230"/>
      <c r="Q1023" s="1230"/>
      <c r="R1023" s="1230"/>
      <c r="S1023" s="1230"/>
      <c r="T1023" s="1230"/>
      <c r="U1023" s="1230"/>
      <c r="V1023" s="1230"/>
      <c r="W1023" s="1230"/>
      <c r="X1023" s="1231"/>
      <c r="Y1023" s="1230"/>
    </row>
    <row r="1024">
      <c r="A1024" s="1234"/>
      <c r="B1024" s="1230"/>
      <c r="C1024" s="1230"/>
      <c r="D1024" s="1230"/>
      <c r="E1024" s="1230"/>
      <c r="F1024" s="1233"/>
      <c r="G1024" s="1230"/>
      <c r="H1024" s="1230"/>
      <c r="I1024" s="1231"/>
      <c r="J1024" s="1230"/>
      <c r="K1024" s="1230"/>
      <c r="L1024" s="1230"/>
      <c r="M1024" s="1230"/>
      <c r="N1024" s="1230"/>
      <c r="O1024" s="1232"/>
      <c r="P1024" s="1230"/>
      <c r="Q1024" s="1230"/>
      <c r="R1024" s="1230"/>
      <c r="S1024" s="1230"/>
      <c r="T1024" s="1230"/>
      <c r="U1024" s="1230"/>
      <c r="V1024" s="1230"/>
      <c r="W1024" s="1230"/>
      <c r="X1024" s="1231"/>
      <c r="Y1024" s="1230"/>
    </row>
    <row r="1025">
      <c r="A1025" s="1234"/>
      <c r="B1025" s="1230"/>
      <c r="C1025" s="1230"/>
      <c r="D1025" s="1230"/>
      <c r="E1025" s="1230"/>
      <c r="F1025" s="1233"/>
      <c r="G1025" s="1230"/>
      <c r="H1025" s="1230"/>
      <c r="I1025" s="1231"/>
      <c r="J1025" s="1230"/>
      <c r="K1025" s="1230"/>
      <c r="L1025" s="1230"/>
      <c r="M1025" s="1230"/>
      <c r="N1025" s="1230"/>
      <c r="O1025" s="1232"/>
      <c r="P1025" s="1230"/>
      <c r="Q1025" s="1230"/>
      <c r="R1025" s="1230"/>
      <c r="S1025" s="1230"/>
      <c r="T1025" s="1230"/>
      <c r="U1025" s="1230"/>
      <c r="V1025" s="1230"/>
      <c r="W1025" s="1230"/>
      <c r="X1025" s="1231"/>
      <c r="Y1025" s="1230"/>
    </row>
    <row r="1026">
      <c r="A1026" s="1234"/>
      <c r="B1026" s="1230"/>
      <c r="C1026" s="1230"/>
      <c r="D1026" s="1230"/>
      <c r="E1026" s="1230"/>
      <c r="F1026" s="1233"/>
      <c r="G1026" s="1230"/>
      <c r="H1026" s="1230"/>
      <c r="I1026" s="1231"/>
      <c r="J1026" s="1230"/>
      <c r="K1026" s="1230"/>
      <c r="L1026" s="1230"/>
      <c r="M1026" s="1230"/>
      <c r="N1026" s="1230"/>
      <c r="O1026" s="1232"/>
      <c r="P1026" s="1230"/>
      <c r="Q1026" s="1230"/>
      <c r="R1026" s="1230"/>
      <c r="S1026" s="1230"/>
      <c r="T1026" s="1230"/>
      <c r="U1026" s="1230"/>
      <c r="V1026" s="1230"/>
      <c r="W1026" s="1230"/>
      <c r="X1026" s="1231"/>
      <c r="Y1026" s="1230"/>
    </row>
    <row r="1027">
      <c r="A1027" s="1234"/>
      <c r="B1027" s="1230"/>
      <c r="C1027" s="1230"/>
      <c r="D1027" s="1230"/>
      <c r="E1027" s="1230"/>
      <c r="F1027" s="1233"/>
      <c r="G1027" s="1230"/>
      <c r="H1027" s="1230"/>
      <c r="I1027" s="1231"/>
      <c r="J1027" s="1230"/>
      <c r="K1027" s="1230"/>
      <c r="L1027" s="1230"/>
      <c r="M1027" s="1230"/>
      <c r="N1027" s="1230"/>
      <c r="O1027" s="1232"/>
      <c r="P1027" s="1230"/>
      <c r="Q1027" s="1230"/>
      <c r="R1027" s="1230"/>
      <c r="S1027" s="1230"/>
      <c r="T1027" s="1230"/>
      <c r="U1027" s="1230"/>
      <c r="V1027" s="1230"/>
      <c r="W1027" s="1230"/>
      <c r="X1027" s="1231"/>
      <c r="Y1027" s="1230"/>
    </row>
    <row r="1028">
      <c r="A1028" s="1234"/>
      <c r="B1028" s="1230"/>
      <c r="C1028" s="1230"/>
      <c r="D1028" s="1230"/>
      <c r="E1028" s="1230"/>
      <c r="F1028" s="1233"/>
      <c r="G1028" s="1230"/>
      <c r="H1028" s="1230"/>
      <c r="I1028" s="1231"/>
      <c r="J1028" s="1230"/>
      <c r="K1028" s="1230"/>
      <c r="L1028" s="1230"/>
      <c r="M1028" s="1230"/>
      <c r="N1028" s="1230"/>
      <c r="O1028" s="1232"/>
      <c r="P1028" s="1230"/>
      <c r="Q1028" s="1230"/>
      <c r="R1028" s="1230"/>
      <c r="S1028" s="1230"/>
      <c r="T1028" s="1230"/>
      <c r="U1028" s="1230"/>
      <c r="V1028" s="1230"/>
      <c r="W1028" s="1230"/>
      <c r="X1028" s="1231"/>
      <c r="Y1028" s="1230"/>
    </row>
    <row r="1029">
      <c r="A1029" s="1234"/>
      <c r="B1029" s="1230"/>
      <c r="C1029" s="1230"/>
      <c r="D1029" s="1230"/>
      <c r="E1029" s="1230"/>
      <c r="F1029" s="1233"/>
      <c r="G1029" s="1230"/>
      <c r="H1029" s="1230"/>
      <c r="I1029" s="1231"/>
      <c r="J1029" s="1230"/>
      <c r="K1029" s="1230"/>
      <c r="L1029" s="1230"/>
      <c r="M1029" s="1230"/>
      <c r="N1029" s="1230"/>
      <c r="O1029" s="1232"/>
      <c r="P1029" s="1230"/>
      <c r="Q1029" s="1230"/>
      <c r="R1029" s="1230"/>
      <c r="S1029" s="1230"/>
      <c r="T1029" s="1230"/>
      <c r="U1029" s="1230"/>
      <c r="V1029" s="1230"/>
      <c r="W1029" s="1230"/>
      <c r="X1029" s="1231"/>
      <c r="Y1029" s="1230"/>
    </row>
    <row r="1030">
      <c r="A1030" s="1234"/>
      <c r="B1030" s="1230"/>
      <c r="C1030" s="1230"/>
      <c r="D1030" s="1230"/>
      <c r="E1030" s="1230"/>
      <c r="F1030" s="1233"/>
      <c r="G1030" s="1230"/>
      <c r="H1030" s="1230"/>
      <c r="I1030" s="1231"/>
      <c r="J1030" s="1230"/>
      <c r="K1030" s="1230"/>
      <c r="L1030" s="1230"/>
      <c r="M1030" s="1230"/>
      <c r="N1030" s="1230"/>
      <c r="O1030" s="1232"/>
      <c r="P1030" s="1230"/>
      <c r="Q1030" s="1230"/>
      <c r="R1030" s="1230"/>
      <c r="S1030" s="1230"/>
      <c r="T1030" s="1230"/>
      <c r="U1030" s="1230"/>
      <c r="V1030" s="1230"/>
      <c r="W1030" s="1230"/>
      <c r="X1030" s="1231"/>
      <c r="Y1030" s="1230"/>
    </row>
    <row r="1031">
      <c r="A1031" s="1234"/>
      <c r="B1031" s="1230"/>
      <c r="C1031" s="1230"/>
      <c r="D1031" s="1230"/>
      <c r="E1031" s="1230"/>
      <c r="F1031" s="1233"/>
      <c r="G1031" s="1230"/>
      <c r="H1031" s="1230"/>
      <c r="I1031" s="1231"/>
      <c r="J1031" s="1230"/>
      <c r="K1031" s="1230"/>
      <c r="L1031" s="1230"/>
      <c r="M1031" s="1230"/>
      <c r="N1031" s="1230"/>
      <c r="O1031" s="1232"/>
      <c r="P1031" s="1230"/>
      <c r="Q1031" s="1230"/>
      <c r="R1031" s="1230"/>
      <c r="S1031" s="1230"/>
      <c r="T1031" s="1230"/>
      <c r="U1031" s="1230"/>
      <c r="V1031" s="1230"/>
      <c r="W1031" s="1230"/>
      <c r="X1031" s="1231"/>
      <c r="Y1031" s="1230"/>
    </row>
    <row r="1032">
      <c r="A1032" s="1234"/>
      <c r="B1032" s="1230"/>
      <c r="C1032" s="1230"/>
      <c r="D1032" s="1230"/>
      <c r="E1032" s="1230"/>
      <c r="F1032" s="1233"/>
      <c r="G1032" s="1230"/>
      <c r="H1032" s="1230"/>
      <c r="I1032" s="1231"/>
      <c r="J1032" s="1230"/>
      <c r="K1032" s="1230"/>
      <c r="L1032" s="1230"/>
      <c r="M1032" s="1230"/>
      <c r="N1032" s="1230"/>
      <c r="O1032" s="1232"/>
      <c r="P1032" s="1230"/>
      <c r="Q1032" s="1230"/>
      <c r="R1032" s="1230"/>
      <c r="S1032" s="1230"/>
      <c r="T1032" s="1230"/>
      <c r="U1032" s="1230"/>
      <c r="V1032" s="1230"/>
      <c r="W1032" s="1230"/>
      <c r="X1032" s="1231"/>
      <c r="Y1032" s="1230"/>
    </row>
    <row r="1033">
      <c r="A1033" s="1234"/>
      <c r="B1033" s="1230"/>
      <c r="C1033" s="1230"/>
      <c r="D1033" s="1230"/>
      <c r="E1033" s="1230"/>
      <c r="F1033" s="1233"/>
      <c r="G1033" s="1230"/>
      <c r="H1033" s="1230"/>
      <c r="I1033" s="1231"/>
      <c r="J1033" s="1230"/>
      <c r="K1033" s="1230"/>
      <c r="L1033" s="1230"/>
      <c r="M1033" s="1230"/>
      <c r="N1033" s="1230"/>
      <c r="O1033" s="1232"/>
      <c r="P1033" s="1230"/>
      <c r="Q1033" s="1230"/>
      <c r="R1033" s="1230"/>
      <c r="S1033" s="1230"/>
      <c r="T1033" s="1230"/>
      <c r="U1033" s="1230"/>
      <c r="V1033" s="1230"/>
      <c r="W1033" s="1230"/>
      <c r="X1033" s="1231"/>
      <c r="Y1033" s="1230"/>
    </row>
    <row r="1034">
      <c r="A1034" s="1234"/>
      <c r="B1034" s="1230"/>
      <c r="C1034" s="1230"/>
      <c r="D1034" s="1230"/>
      <c r="E1034" s="1230"/>
      <c r="F1034" s="1233"/>
      <c r="G1034" s="1230"/>
      <c r="H1034" s="1230"/>
      <c r="I1034" s="1231"/>
      <c r="J1034" s="1230"/>
      <c r="K1034" s="1230"/>
      <c r="L1034" s="1230"/>
      <c r="M1034" s="1230"/>
      <c r="N1034" s="1230"/>
      <c r="O1034" s="1232"/>
      <c r="P1034" s="1230"/>
      <c r="Q1034" s="1230"/>
      <c r="R1034" s="1230"/>
      <c r="S1034" s="1230"/>
      <c r="T1034" s="1230"/>
      <c r="U1034" s="1230"/>
      <c r="V1034" s="1230"/>
      <c r="W1034" s="1230"/>
      <c r="X1034" s="1231"/>
      <c r="Y1034" s="1230"/>
    </row>
    <row r="1035">
      <c r="A1035" s="1234"/>
      <c r="B1035" s="1230"/>
      <c r="C1035" s="1230"/>
      <c r="D1035" s="1230"/>
      <c r="E1035" s="1230"/>
      <c r="F1035" s="1233"/>
      <c r="G1035" s="1230"/>
      <c r="H1035" s="1230"/>
      <c r="I1035" s="1231"/>
      <c r="J1035" s="1230"/>
      <c r="K1035" s="1230"/>
      <c r="L1035" s="1230"/>
      <c r="M1035" s="1230"/>
      <c r="N1035" s="1230"/>
      <c r="O1035" s="1232"/>
      <c r="P1035" s="1230"/>
      <c r="Q1035" s="1230"/>
      <c r="R1035" s="1230"/>
      <c r="S1035" s="1230"/>
      <c r="T1035" s="1230"/>
      <c r="U1035" s="1230"/>
      <c r="V1035" s="1230"/>
      <c r="W1035" s="1230"/>
      <c r="X1035" s="1231"/>
      <c r="Y1035" s="1230"/>
    </row>
    <row r="1036">
      <c r="A1036" s="1234"/>
      <c r="B1036" s="1230"/>
      <c r="C1036" s="1230"/>
      <c r="D1036" s="1230"/>
      <c r="E1036" s="1230"/>
      <c r="F1036" s="1233"/>
      <c r="G1036" s="1230"/>
      <c r="H1036" s="1230"/>
      <c r="I1036" s="1231"/>
      <c r="J1036" s="1230"/>
      <c r="K1036" s="1230"/>
      <c r="L1036" s="1230"/>
      <c r="M1036" s="1230"/>
      <c r="N1036" s="1230"/>
      <c r="O1036" s="1232"/>
      <c r="P1036" s="1230"/>
      <c r="Q1036" s="1230"/>
      <c r="R1036" s="1230"/>
      <c r="S1036" s="1230"/>
      <c r="T1036" s="1230"/>
      <c r="U1036" s="1230"/>
      <c r="V1036" s="1230"/>
      <c r="W1036" s="1230"/>
      <c r="X1036" s="1231"/>
      <c r="Y1036" s="1230"/>
    </row>
    <row r="1037">
      <c r="A1037" s="1234"/>
      <c r="B1037" s="1230"/>
      <c r="C1037" s="1230"/>
      <c r="D1037" s="1230"/>
      <c r="E1037" s="1230"/>
      <c r="F1037" s="1233"/>
      <c r="G1037" s="1230"/>
      <c r="H1037" s="1230"/>
      <c r="I1037" s="1231"/>
      <c r="J1037" s="1230"/>
      <c r="K1037" s="1230"/>
      <c r="L1037" s="1230"/>
      <c r="M1037" s="1230"/>
      <c r="N1037" s="1230"/>
      <c r="O1037" s="1232"/>
      <c r="P1037" s="1230"/>
      <c r="Q1037" s="1230"/>
      <c r="R1037" s="1230"/>
      <c r="S1037" s="1230"/>
      <c r="T1037" s="1230"/>
      <c r="U1037" s="1230"/>
      <c r="V1037" s="1230"/>
      <c r="W1037" s="1230"/>
      <c r="X1037" s="1231"/>
      <c r="Y1037" s="1230"/>
    </row>
    <row r="1038">
      <c r="A1038" s="1234"/>
      <c r="B1038" s="1230"/>
      <c r="C1038" s="1230"/>
      <c r="D1038" s="1230"/>
      <c r="E1038" s="1230"/>
      <c r="F1038" s="1233"/>
      <c r="G1038" s="1230"/>
      <c r="H1038" s="1230"/>
      <c r="I1038" s="1231"/>
      <c r="J1038" s="1230"/>
      <c r="K1038" s="1230"/>
      <c r="L1038" s="1230"/>
      <c r="M1038" s="1230"/>
      <c r="N1038" s="1230"/>
      <c r="O1038" s="1232"/>
      <c r="P1038" s="1230"/>
      <c r="Q1038" s="1230"/>
      <c r="R1038" s="1230"/>
      <c r="S1038" s="1230"/>
      <c r="T1038" s="1230"/>
      <c r="U1038" s="1230"/>
      <c r="V1038" s="1230"/>
      <c r="W1038" s="1230"/>
      <c r="X1038" s="1231"/>
      <c r="Y1038" s="1230"/>
    </row>
    <row r="1039">
      <c r="A1039" s="1234"/>
      <c r="B1039" s="1230"/>
      <c r="C1039" s="1230"/>
      <c r="D1039" s="1230"/>
      <c r="E1039" s="1230"/>
      <c r="F1039" s="1233"/>
      <c r="G1039" s="1230"/>
      <c r="H1039" s="1230"/>
      <c r="I1039" s="1231"/>
      <c r="J1039" s="1230"/>
      <c r="K1039" s="1230"/>
      <c r="L1039" s="1230"/>
      <c r="M1039" s="1230"/>
      <c r="N1039" s="1230"/>
      <c r="O1039" s="1232"/>
      <c r="P1039" s="1230"/>
      <c r="Q1039" s="1230"/>
      <c r="R1039" s="1230"/>
      <c r="S1039" s="1230"/>
      <c r="T1039" s="1230"/>
      <c r="U1039" s="1230"/>
      <c r="V1039" s="1230"/>
      <c r="W1039" s="1230"/>
      <c r="X1039" s="1231"/>
      <c r="Y1039" s="1230"/>
    </row>
    <row r="1040">
      <c r="A1040" s="1234"/>
      <c r="B1040" s="1230"/>
      <c r="C1040" s="1230"/>
      <c r="D1040" s="1230"/>
      <c r="E1040" s="1230"/>
      <c r="F1040" s="1233"/>
      <c r="G1040" s="1230"/>
      <c r="H1040" s="1230"/>
      <c r="I1040" s="1231"/>
      <c r="J1040" s="1230"/>
      <c r="K1040" s="1230"/>
      <c r="L1040" s="1230"/>
      <c r="M1040" s="1230"/>
      <c r="N1040" s="1230"/>
      <c r="O1040" s="1232"/>
      <c r="P1040" s="1230"/>
      <c r="Q1040" s="1230"/>
      <c r="R1040" s="1230"/>
      <c r="S1040" s="1230"/>
      <c r="T1040" s="1230"/>
      <c r="U1040" s="1230"/>
      <c r="V1040" s="1230"/>
      <c r="W1040" s="1230"/>
      <c r="X1040" s="1231"/>
      <c r="Y1040" s="1230"/>
    </row>
    <row r="1041">
      <c r="A1041" s="1234"/>
      <c r="B1041" s="1230"/>
      <c r="C1041" s="1230"/>
      <c r="D1041" s="1230"/>
      <c r="E1041" s="1230"/>
      <c r="F1041" s="1233"/>
      <c r="G1041" s="1230"/>
      <c r="H1041" s="1230"/>
      <c r="I1041" s="1231"/>
      <c r="J1041" s="1230"/>
      <c r="K1041" s="1230"/>
      <c r="L1041" s="1230"/>
      <c r="M1041" s="1230"/>
      <c r="N1041" s="1230"/>
      <c r="O1041" s="1232"/>
      <c r="P1041" s="1230"/>
      <c r="Q1041" s="1230"/>
      <c r="R1041" s="1230"/>
      <c r="S1041" s="1230"/>
      <c r="T1041" s="1230"/>
      <c r="U1041" s="1230"/>
      <c r="V1041" s="1230"/>
      <c r="W1041" s="1230"/>
      <c r="X1041" s="1231"/>
      <c r="Y1041" s="1230"/>
    </row>
    <row r="1042">
      <c r="A1042" s="1234"/>
      <c r="B1042" s="1230"/>
      <c r="C1042" s="1230"/>
      <c r="D1042" s="1230"/>
      <c r="E1042" s="1230"/>
      <c r="F1042" s="1233"/>
      <c r="G1042" s="1230"/>
      <c r="H1042" s="1230"/>
      <c r="I1042" s="1231"/>
      <c r="J1042" s="1230"/>
      <c r="K1042" s="1230"/>
      <c r="L1042" s="1230"/>
      <c r="M1042" s="1230"/>
      <c r="N1042" s="1230"/>
      <c r="O1042" s="1232"/>
      <c r="P1042" s="1230"/>
      <c r="Q1042" s="1230"/>
      <c r="R1042" s="1230"/>
      <c r="S1042" s="1230"/>
      <c r="T1042" s="1230"/>
      <c r="U1042" s="1230"/>
      <c r="V1042" s="1230"/>
      <c r="W1042" s="1230"/>
      <c r="X1042" s="1231"/>
      <c r="Y1042" s="1230"/>
    </row>
    <row r="1043">
      <c r="A1043" s="1234"/>
      <c r="B1043" s="1230"/>
      <c r="C1043" s="1230"/>
      <c r="D1043" s="1230"/>
      <c r="E1043" s="1230"/>
      <c r="F1043" s="1233"/>
      <c r="G1043" s="1230"/>
      <c r="H1043" s="1230"/>
      <c r="I1043" s="1231"/>
      <c r="J1043" s="1230"/>
      <c r="K1043" s="1230"/>
      <c r="L1043" s="1230"/>
      <c r="M1043" s="1230"/>
      <c r="N1043" s="1230"/>
      <c r="O1043" s="1232"/>
      <c r="P1043" s="1230"/>
      <c r="Q1043" s="1230"/>
      <c r="R1043" s="1230"/>
      <c r="S1043" s="1230"/>
      <c r="T1043" s="1230"/>
      <c r="U1043" s="1230"/>
      <c r="V1043" s="1230"/>
      <c r="W1043" s="1230"/>
      <c r="X1043" s="1231"/>
      <c r="Y1043" s="123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0"/>
    <col customWidth="1" min="2" max="2" width="24.57"/>
    <col customWidth="1" min="4" max="4" width="63.57"/>
    <col customWidth="1" min="5" max="6" width="17.29"/>
    <col customWidth="1" min="7" max="7" width="17.71"/>
    <col customWidth="1" min="9" max="9" width="2.86"/>
    <col customWidth="1" min="10" max="10" width="16.14"/>
    <col customWidth="1" min="11" max="11" width="14.57"/>
    <col customWidth="1" min="13" max="13" width="39.14"/>
    <col customWidth="1" min="14" max="14" width="24.0"/>
    <col customWidth="1" min="15" max="15" width="24.14"/>
    <col customWidth="1" min="17" max="17" width="3.43"/>
    <col customWidth="1" min="18" max="18" width="16.0"/>
  </cols>
  <sheetData>
    <row r="1">
      <c r="A1" s="1235"/>
      <c r="B1" s="1236" t="s">
        <v>856</v>
      </c>
      <c r="C1" s="1237" t="s">
        <v>15</v>
      </c>
      <c r="D1" s="1238" t="s">
        <v>7</v>
      </c>
      <c r="E1" s="1239" t="s">
        <v>693</v>
      </c>
      <c r="F1" s="1239" t="s">
        <v>857</v>
      </c>
      <c r="G1" s="1240" t="s">
        <v>858</v>
      </c>
      <c r="H1" s="1240" t="s">
        <v>15</v>
      </c>
      <c r="I1" s="1241"/>
      <c r="J1" s="1242" t="s">
        <v>859</v>
      </c>
      <c r="K1" s="1242" t="s">
        <v>860</v>
      </c>
      <c r="L1" s="1243" t="s">
        <v>861</v>
      </c>
      <c r="M1" s="1244"/>
      <c r="N1" s="1239" t="s">
        <v>862</v>
      </c>
      <c r="O1" s="1239" t="s">
        <v>863</v>
      </c>
      <c r="P1" s="1244"/>
      <c r="Q1" s="1244"/>
      <c r="R1" s="1239" t="s">
        <v>864</v>
      </c>
      <c r="S1" s="1239" t="s">
        <v>865</v>
      </c>
      <c r="T1" s="1244"/>
      <c r="U1" s="1244"/>
    </row>
    <row r="2" ht="34.5" customHeight="1">
      <c r="A2" s="1235"/>
      <c r="B2" s="1245" t="str">
        <f>IFERROR(__xludf.DUMMYFUNCTION("UNIQUE(
  FILTER(
    Pricing!B13:B182,
    (Pricing!B13:B182 &lt;&gt; """") *
    ISNA(MATCH(Pricing!B13:B182, {""B"",""TB""}, 0))
  )
)"),"Alternative")</f>
        <v>Alternative</v>
      </c>
      <c r="C2" s="1246" t="str">
        <f t="shared" ref="C2:C60" si="2">H2</f>
        <v/>
      </c>
      <c r="D2" s="1247" t="str">
        <f>iferror(VLOOKUP(B2,Pricing!B15:C182,2,false),"")</f>
        <v>Velux Fixed skylight (pitched roofs) 780 x 1180</v>
      </c>
      <c r="E2" s="1248" t="str">
        <f>IFERROR(__xludf.DUMMYFUNCTION("IF(
  B2="""",
  """",
  IFERROR(
    VLOOKUP(
      B2,
      QUERY(
        {IMPORTRANGE(""1Ag27m9YF5mMfJh2E6NipJDFvPLlDI1p-s_1XEnzMHcc"",""Merge!F2:R"")},
        ""select Col1, Col10"",
        0
      ),
      2,
      FALSE
    ),
    """"
  )
)
"),"")</f>
        <v/>
      </c>
      <c r="F2" s="1248" t="str">
        <f>IFERROR(__xludf.DUMMYFUNCTION("IF(
  B2="""",
  """",
  IFERROR(
    VLOOKUP(
      B2,
      QUERY(
        {IMPORTRANGE(""1Ag27m9YF5mMfJh2E6NipJDFvPLlDI1p-s_1XEnzMHcc"",""Merge!F2:R"")},
        ""select Col1, Col12"",
        0
      ),2,FALSE),""""))"),"")</f>
        <v/>
      </c>
      <c r="G2" s="1249" t="str">
        <f>IFERROR(__xludf.DUMMYFUNCTION("IF(
  B2="""",
  """",
  IFERROR(
    VLOOKUP(
      B2,
      QUERY(
        {IMPORTRANGE(""1Ag27m9YF5mMfJh2E6NipJDFvPLlDI1p-s_1XEnzMHcc"",""Merge!F2:R"")},
        ""select Col1, Col11"",
        0
      ),
      2,
      FALSE
    ),""""))
"),"")</f>
        <v/>
      </c>
      <c r="H2" s="1250" t="str">
        <f>IFERROR(__xludf.DUMMYFUNCTION("IF(
  B2="""",
  """",
  IFERROR(
    VLOOKUP(
      B2,
      QUERY(
        {IMPORTRANGE(""1Ag27m9YF5mMfJh2E6NipJDFvPLlDI1p-s_1XEnzMHcc"",""Merge!F2:R"")},
        ""select Col1, Col9"",
        0
      ),
      2,
      FALSE
    ),""""))
"),"")</f>
        <v/>
      </c>
      <c r="I2" s="1251"/>
      <c r="J2" s="1252" t="str">
        <f t="shared" ref="J2:K2" si="1">E2</f>
        <v/>
      </c>
      <c r="K2" s="1253" t="str">
        <f t="shared" si="1"/>
        <v/>
      </c>
      <c r="L2" s="1254"/>
      <c r="M2" s="1244"/>
      <c r="N2" s="1255" t="str">
        <f t="array" ref="N2:N431">if(B2:B431="",,if(E2:E431=J2:J431,"Match","POA Price"))</f>
        <v>Match</v>
      </c>
      <c r="O2" s="1255" t="str">
        <f t="array" ref="O2:O431">if(C2:C431="",,if(F2:F431=K2:K431,"Match","POA Price"))</f>
        <v/>
      </c>
      <c r="P2" s="1254"/>
      <c r="Q2" s="1254"/>
      <c r="R2" s="1256" t="s">
        <v>856</v>
      </c>
      <c r="S2" s="1257" t="s">
        <v>866</v>
      </c>
      <c r="T2" s="1244"/>
      <c r="U2" s="1244"/>
    </row>
    <row r="3" ht="34.5" customHeight="1">
      <c r="A3" s="1235"/>
      <c r="B3" s="1245"/>
      <c r="C3" s="1246" t="str">
        <f t="shared" si="2"/>
        <v/>
      </c>
      <c r="D3" s="1247" t="str">
        <f>iferror(VLOOKUP(B3,Pricing!B16:C183,2,false),"")</f>
        <v/>
      </c>
      <c r="E3" s="1248" t="str">
        <f>IFERROR(__xludf.DUMMYFUNCTION("IF(
  B3="""",
  """",
  IFERROR(
    VLOOKUP(
      B3,
      QUERY(
        {IMPORTRANGE(""1Ag27m9YF5mMfJh2E6NipJDFvPLlDI1p-s_1XEnzMHcc"",""Merge!F2:R"")},
        ""select Col1, Col10"",
        0
      ),
      2,
      FALSE
    ),
    """"
  )
)
"),"")</f>
        <v/>
      </c>
      <c r="F3" s="1248" t="str">
        <f>IFERROR(__xludf.DUMMYFUNCTION("IF(
  B3="""",
  """",
  IFERROR(
    VLOOKUP(
      B3,
      QUERY(
        {IMPORTRANGE(""1Ag27m9YF5mMfJh2E6NipJDFvPLlDI1p-s_1XEnzMHcc"",""Merge!F2:R"")},
        ""select Col1, Col12"",
        0
      ),2,FALSE),""""))"),"")</f>
        <v/>
      </c>
      <c r="G3" s="1249" t="str">
        <f>IFERROR(__xludf.DUMMYFUNCTION("IF(
  B3="""",
  """",
  IFERROR(
    VLOOKUP(
      B3,
      QUERY(
        {IMPORTRANGE(""1Ag27m9YF5mMfJh2E6NipJDFvPLlDI1p-s_1XEnzMHcc"",""Merge!F2:R"")},
        ""select Col1, Col11"",
        0
      ),
      2,
      FALSE
    ),""""))
"),"")</f>
        <v/>
      </c>
      <c r="H3" s="1250" t="str">
        <f>IFERROR(__xludf.DUMMYFUNCTION("IF(
  B3="""",
  """",
  IFERROR(
    VLOOKUP(
      B3,
      QUERY(
        {IMPORTRANGE(""1Ag27m9YF5mMfJh2E6NipJDFvPLlDI1p-s_1XEnzMHcc"",""Merge!F2:R"")},
        ""select Col1, Col9"",
        0
      ),
      2,
      FALSE
    ),""""))
"),"")</f>
        <v/>
      </c>
      <c r="I3" s="1258"/>
      <c r="J3" s="1252" t="str">
        <f t="shared" ref="J3:J98" si="3">E3</f>
        <v/>
      </c>
      <c r="K3" s="1253"/>
      <c r="L3" s="1254"/>
      <c r="M3" s="1244"/>
      <c r="N3" s="1259"/>
      <c r="O3" s="1259"/>
      <c r="P3" s="1260"/>
      <c r="Q3" s="1260"/>
      <c r="R3" s="1261" t="s">
        <v>7</v>
      </c>
      <c r="S3" s="1257" t="s">
        <v>867</v>
      </c>
      <c r="T3" s="1262" t="s">
        <v>868</v>
      </c>
      <c r="U3" s="1244"/>
    </row>
    <row r="4" ht="34.5" customHeight="1">
      <c r="A4" s="1235"/>
      <c r="B4" s="1245"/>
      <c r="C4" s="1246" t="str">
        <f t="shared" si="2"/>
        <v/>
      </c>
      <c r="D4" s="1247" t="str">
        <f>iferror(VLOOKUP(B4,Pricing!B16:C184,2,false),"")</f>
        <v/>
      </c>
      <c r="E4" s="1248" t="str">
        <f>IFERROR(__xludf.DUMMYFUNCTION("IF(
  B4="""",
  """",
  IFERROR(
    VLOOKUP(
      B4,
      QUERY(
        {IMPORTRANGE(""1Ag27m9YF5mMfJh2E6NipJDFvPLlDI1p-s_1XEnzMHcc"",""Merge!F2:R"")},
        ""select Col1, Col10"",
        0
      ),
      2,
      FALSE
    ),
    """"
  )
)
"),"")</f>
        <v/>
      </c>
      <c r="F4" s="1248" t="str">
        <f>IFERROR(__xludf.DUMMYFUNCTION("IF(
  B4="""",
  """",
  IFERROR(
    VLOOKUP(
      B4,
      QUERY(
        {IMPORTRANGE(""1Ag27m9YF5mMfJh2E6NipJDFvPLlDI1p-s_1XEnzMHcc"",""Merge!F2:R"")},
        ""select Col1, Col12"",
        0
      ),2,FALSE),""""))"),"")</f>
        <v/>
      </c>
      <c r="G4" s="1249" t="str">
        <f>IFERROR(__xludf.DUMMYFUNCTION("IF(
  B4="""",
  """",
  IFERROR(
    VLOOKUP(
      B4,
      QUERY(
        {IMPORTRANGE(""1Ag27m9YF5mMfJh2E6NipJDFvPLlDI1p-s_1XEnzMHcc"",""Merge!F2:R"")},
        ""select Col1, Col11"",
        0
      ),
      2,
      FALSE
    ),""""))
"),"")</f>
        <v/>
      </c>
      <c r="H4" s="1250" t="str">
        <f>IFERROR(__xludf.DUMMYFUNCTION("IF(
  B4="""",
  """",
  IFERROR(
    VLOOKUP(
      B4,
      QUERY(
        {IMPORTRANGE(""1Ag27m9YF5mMfJh2E6NipJDFvPLlDI1p-s_1XEnzMHcc"",""Merge!F2:R"")},
        ""select Col1, Col9"",
        0
      ),
      2,
      FALSE
    ),""""))
"),"")</f>
        <v/>
      </c>
      <c r="I4" s="1251"/>
      <c r="J4" s="1252" t="str">
        <f t="shared" si="3"/>
        <v/>
      </c>
      <c r="K4" s="1253"/>
      <c r="L4" s="1254"/>
      <c r="M4" s="1244"/>
      <c r="N4" s="1259"/>
      <c r="O4" s="1259"/>
      <c r="P4" s="1263"/>
      <c r="Q4" s="1263"/>
      <c r="R4" s="1264" t="s">
        <v>693</v>
      </c>
      <c r="S4" s="1257" t="s">
        <v>869</v>
      </c>
      <c r="T4" s="1244"/>
      <c r="U4" s="1244"/>
    </row>
    <row r="5" ht="34.5" customHeight="1">
      <c r="A5" s="1235"/>
      <c r="B5" s="1245"/>
      <c r="C5" s="1246" t="str">
        <f t="shared" si="2"/>
        <v/>
      </c>
      <c r="D5" s="1247" t="str">
        <f>iferror(VLOOKUP(B5,Pricing!B16:C185,2,false),"")</f>
        <v/>
      </c>
      <c r="E5" s="1248" t="str">
        <f>IFERROR(__xludf.DUMMYFUNCTION("IF(
  B5="""",
  """",
  IFERROR(
    VLOOKUP(
      B5,
      QUERY(
        {IMPORTRANGE(""1Ag27m9YF5mMfJh2E6NipJDFvPLlDI1p-s_1XEnzMHcc"",""Merge!F2:R"")},
        ""select Col1, Col10"",
        0
      ),
      2,
      FALSE
    ),
    """"
  )
)
"),"")</f>
        <v/>
      </c>
      <c r="F5" s="1248" t="str">
        <f>IFERROR(__xludf.DUMMYFUNCTION("IF(
  B5="""",
  """",
  IFERROR(
    VLOOKUP(
      B5,
      QUERY(
        {IMPORTRANGE(""1Ag27m9YF5mMfJh2E6NipJDFvPLlDI1p-s_1XEnzMHcc"",""Merge!F2:R"")},
        ""select Col1, Col12"",
        0
      ),2,FALSE),""""))"),"")</f>
        <v/>
      </c>
      <c r="G5" s="1249" t="str">
        <f>IFERROR(__xludf.DUMMYFUNCTION("IF(
  B5="""",
  """",
  IFERROR(
    VLOOKUP(
      B5,
      QUERY(
        {IMPORTRANGE(""1Ag27m9YF5mMfJh2E6NipJDFvPLlDI1p-s_1XEnzMHcc"",""Merge!F2:R"")},
        ""select Col1, Col11"",
        0
      ),
      2,
      FALSE
    ),""""))
"),"")</f>
        <v/>
      </c>
      <c r="H5" s="1250" t="str">
        <f>IFERROR(__xludf.DUMMYFUNCTION("IF(
  B5="""",
  """",
  IFERROR(
    VLOOKUP(
      B5,
      QUERY(
        {IMPORTRANGE(""1Ag27m9YF5mMfJh2E6NipJDFvPLlDI1p-s_1XEnzMHcc"",""Merge!F2:R"")},
        ""select Col1, Col9"",
        0
      ),
      2,
      FALSE
    ),""""))
"),"")</f>
        <v/>
      </c>
      <c r="I5" s="1251"/>
      <c r="J5" s="1252" t="str">
        <f t="shared" si="3"/>
        <v/>
      </c>
      <c r="K5" s="1253"/>
      <c r="L5" s="1254"/>
      <c r="M5" s="1244"/>
      <c r="N5" s="1259"/>
      <c r="O5" s="1259"/>
      <c r="P5" s="1263"/>
      <c r="Q5" s="1263"/>
      <c r="R5" s="1264" t="s">
        <v>857</v>
      </c>
      <c r="S5" s="1257" t="s">
        <v>870</v>
      </c>
      <c r="T5" s="1244"/>
      <c r="U5" s="1244"/>
    </row>
    <row r="6" ht="34.5" customHeight="1">
      <c r="A6" s="1235"/>
      <c r="B6" s="1245"/>
      <c r="C6" s="1246" t="str">
        <f t="shared" si="2"/>
        <v/>
      </c>
      <c r="D6" s="1247" t="str">
        <f>iferror(VLOOKUP(B6,Pricing!B16:C186,2,false),"")</f>
        <v/>
      </c>
      <c r="E6" s="1248" t="str">
        <f>IFERROR(__xludf.DUMMYFUNCTION("IF(
  B6="""",
  """",
  IFERROR(
    VLOOKUP(
      B6,
      QUERY(
        {IMPORTRANGE(""1Ag27m9YF5mMfJh2E6NipJDFvPLlDI1p-s_1XEnzMHcc"",""Merge!F2:R"")},
        ""select Col1, Col10"",
        0
      ),
      2,
      FALSE
    ),
    """"
  )
)
"),"")</f>
        <v/>
      </c>
      <c r="F6" s="1248" t="str">
        <f>IFERROR(__xludf.DUMMYFUNCTION("IF(
  B6="""",
  """",
  IFERROR(
    VLOOKUP(
      B6,
      QUERY(
        {IMPORTRANGE(""1Ag27m9YF5mMfJh2E6NipJDFvPLlDI1p-s_1XEnzMHcc"",""Merge!F2:R"")},
        ""select Col1, Col12"",
        0
      ),2,FALSE),""""))"),"")</f>
        <v/>
      </c>
      <c r="G6" s="1249" t="str">
        <f>IFERROR(__xludf.DUMMYFUNCTION("IF(
  B6="""",
  """",
  IFERROR(
    VLOOKUP(
      B6,
      QUERY(
        {IMPORTRANGE(""1Ag27m9YF5mMfJh2E6NipJDFvPLlDI1p-s_1XEnzMHcc"",""Merge!F2:R"")},
        ""select Col1, Col11"",
        0
      ),
      2,
      FALSE
    ),""""))
"),"")</f>
        <v/>
      </c>
      <c r="H6" s="1250" t="str">
        <f>IFERROR(__xludf.DUMMYFUNCTION("IF(
  B6="""",
  """",
  IFERROR(
    VLOOKUP(
      B6,
      QUERY(
        {IMPORTRANGE(""1Ag27m9YF5mMfJh2E6NipJDFvPLlDI1p-s_1XEnzMHcc"",""Merge!F2:R"")},
        ""select Col1, Col9"",
        0
      ),
      2,
      FALSE
    ),""""))
"),"")</f>
        <v/>
      </c>
      <c r="I6" s="1251"/>
      <c r="J6" s="1252" t="str">
        <f t="shared" si="3"/>
        <v/>
      </c>
      <c r="K6" s="1253" t="str">
        <f t="shared" ref="K6:K98" si="4">F6</f>
        <v/>
      </c>
      <c r="L6" s="1254"/>
      <c r="M6" s="1244"/>
      <c r="N6" s="1259"/>
      <c r="O6" s="1259"/>
      <c r="P6" s="1254"/>
      <c r="Q6" s="1254"/>
      <c r="R6" s="1256" t="s">
        <v>858</v>
      </c>
      <c r="S6" s="1257" t="s">
        <v>871</v>
      </c>
      <c r="T6" s="1244"/>
      <c r="U6" s="1244"/>
    </row>
    <row r="7" ht="34.5" customHeight="1">
      <c r="A7" s="1235"/>
      <c r="B7" s="1235"/>
      <c r="C7" s="1246" t="str">
        <f t="shared" si="2"/>
        <v/>
      </c>
      <c r="D7" s="1247" t="str">
        <f>iferror(VLOOKUP(B7,Pricing!B16:C187,2,false),"")</f>
        <v/>
      </c>
      <c r="E7" s="1248" t="str">
        <f>IFERROR(__xludf.DUMMYFUNCTION("IF(
  B7="""",
  """",
  IFERROR(
    VLOOKUP(
      B7,
      QUERY(
        {IMPORTRANGE(""1Ag27m9YF5mMfJh2E6NipJDFvPLlDI1p-s_1XEnzMHcc"",""Merge!F2:R"")},
        ""select Col1, Col10"",
        0
      ),
      2,
      FALSE
    ),
    """"
  )
)
"),"")</f>
        <v/>
      </c>
      <c r="F7" s="1248" t="str">
        <f>IFERROR(__xludf.DUMMYFUNCTION("IF(
  B7="""",
  """",
  IFERROR(
    VLOOKUP(
      B7,
      QUERY(
        {IMPORTRANGE(""1Ag27m9YF5mMfJh2E6NipJDFvPLlDI1p-s_1XEnzMHcc"",""Merge!F2:R"")},
        ""select Col1, Col12"",
        0
      ),2,FALSE),""""))"),"")</f>
        <v/>
      </c>
      <c r="G7" s="1249" t="str">
        <f>IFERROR(__xludf.DUMMYFUNCTION("IF(
  B7="""",
  """",
  IFERROR(
    VLOOKUP(
      B7,
      QUERY(
        {IMPORTRANGE(""1Ag27m9YF5mMfJh2E6NipJDFvPLlDI1p-s_1XEnzMHcc"",""Merge!F2:R"")},
        ""select Col1, Col11"",
        0
      ),
      2,
      FALSE
    ),""""))
"),"")</f>
        <v/>
      </c>
      <c r="H7" s="1250" t="str">
        <f>IFERROR(__xludf.DUMMYFUNCTION("IF(
  B7="""",
  """",
  IFERROR(
    VLOOKUP(
      B7,
      QUERY(
        {IMPORTRANGE(""1Ag27m9YF5mMfJh2E6NipJDFvPLlDI1p-s_1XEnzMHcc"",""Merge!F2:R"")},
        ""select Col1, Col9"",
        0
      ),
      2,
      FALSE
    ),""""))
"),"")</f>
        <v/>
      </c>
      <c r="I7" s="1251"/>
      <c r="J7" s="1252" t="str">
        <f t="shared" si="3"/>
        <v/>
      </c>
      <c r="K7" s="1253" t="str">
        <f t="shared" si="4"/>
        <v/>
      </c>
      <c r="L7" s="1254"/>
      <c r="M7" s="1244"/>
      <c r="N7" s="1259"/>
      <c r="O7" s="1259"/>
      <c r="P7" s="1254"/>
      <c r="Q7" s="1254"/>
      <c r="R7" s="1256" t="s">
        <v>15</v>
      </c>
      <c r="S7" s="1257" t="s">
        <v>872</v>
      </c>
      <c r="T7" s="1244"/>
      <c r="U7" s="1244"/>
    </row>
    <row r="8">
      <c r="A8" s="1235"/>
      <c r="B8" s="1235"/>
      <c r="C8" s="1246" t="str">
        <f t="shared" si="2"/>
        <v/>
      </c>
      <c r="D8" s="1247" t="str">
        <f>iferror(VLOOKUP(B8,Pricing!B16:C188,2,false),"")</f>
        <v/>
      </c>
      <c r="E8" s="1248" t="str">
        <f>IFERROR(__xludf.DUMMYFUNCTION("IF(
  B8="""",
  """",
  IFERROR(
    VLOOKUP(
      B8,
      QUERY(
        {IMPORTRANGE(""1Ag27m9YF5mMfJh2E6NipJDFvPLlDI1p-s_1XEnzMHcc"",""Merge!F2:R"")},
        ""select Col1, Col10"",
        0
      ),
      2,
      FALSE
    ),
    """"
  )
)
"),"")</f>
        <v/>
      </c>
      <c r="F8" s="1248" t="str">
        <f>IFERROR(__xludf.DUMMYFUNCTION("IF(
  B8="""",
  """",
  IFERROR(
    VLOOKUP(
      B8,
      QUERY(
        {IMPORTRANGE(""1Ag27m9YF5mMfJh2E6NipJDFvPLlDI1p-s_1XEnzMHcc"",""Merge!F2:R"")},
        ""select Col1, Col12"",
        0
      ),2,FALSE),""""))"),"")</f>
        <v/>
      </c>
      <c r="G8" s="1249" t="str">
        <f>IFERROR(__xludf.DUMMYFUNCTION("IF(
  B8="""",
  """",
  IFERROR(
    VLOOKUP(
      B8,
      QUERY(
        {IMPORTRANGE(""1Ag27m9YF5mMfJh2E6NipJDFvPLlDI1p-s_1XEnzMHcc"",""Merge!F2:R"")},
        ""select Col1, Col11"",
        0
      ),
      2,
      FALSE
    ),""""))
"),"")</f>
        <v/>
      </c>
      <c r="H8" s="1250" t="str">
        <f>IFERROR(__xludf.DUMMYFUNCTION("IF(
  B8="""",
  """",
  IFERROR(
    VLOOKUP(
      B8,
      QUERY(
        {IMPORTRANGE(""1Ag27m9YF5mMfJh2E6NipJDFvPLlDI1p-s_1XEnzMHcc"",""Merge!F2:R"")},
        ""select Col1, Col9"",
        0
      ),
      2,
      FALSE
    ),""""))
"),"")</f>
        <v/>
      </c>
      <c r="I8" s="1251"/>
      <c r="J8" s="1252" t="str">
        <f t="shared" si="3"/>
        <v/>
      </c>
      <c r="K8" s="1253" t="str">
        <f t="shared" si="4"/>
        <v/>
      </c>
      <c r="L8" s="1254"/>
      <c r="M8" s="1244"/>
      <c r="N8" s="1259"/>
      <c r="O8" s="1259"/>
      <c r="P8" s="1244"/>
      <c r="Q8" s="1244"/>
      <c r="R8" s="1244"/>
      <c r="S8" s="1265"/>
      <c r="T8" s="1244"/>
      <c r="U8" s="1244"/>
    </row>
    <row r="9">
      <c r="A9" s="1235"/>
      <c r="B9" s="1235"/>
      <c r="C9" s="1246" t="str">
        <f t="shared" si="2"/>
        <v/>
      </c>
      <c r="D9" s="1247" t="str">
        <f>iferror(VLOOKUP(B9,Pricing!B16:C189,2,false),"")</f>
        <v/>
      </c>
      <c r="E9" s="1248" t="str">
        <f>IFERROR(__xludf.DUMMYFUNCTION("IF(
  B9="""",
  """",
  IFERROR(
    VLOOKUP(
      B9,
      QUERY(
        {IMPORTRANGE(""1Ag27m9YF5mMfJh2E6NipJDFvPLlDI1p-s_1XEnzMHcc"",""Merge!F2:R"")},
        ""select Col1, Col10"",
        0
      ),
      2,
      FALSE
    ),
    """"
  )
)
"),"")</f>
        <v/>
      </c>
      <c r="F9" s="1248" t="str">
        <f>IFERROR(__xludf.DUMMYFUNCTION("IF(
  B9="""",
  """",
  IFERROR(
    VLOOKUP(
      B9,
      QUERY(
        {IMPORTRANGE(""1Ag27m9YF5mMfJh2E6NipJDFvPLlDI1p-s_1XEnzMHcc"",""Merge!F2:R"")},
        ""select Col1, Col12"",
        0
      ),2,FALSE),""""))"),"")</f>
        <v/>
      </c>
      <c r="G9" s="1249" t="str">
        <f>IFERROR(__xludf.DUMMYFUNCTION("IF(
  B9="""",
  """",
  IFERROR(
    VLOOKUP(
      B9,
      QUERY(
        {IMPORTRANGE(""1Ag27m9YF5mMfJh2E6NipJDFvPLlDI1p-s_1XEnzMHcc"",""Merge!F2:R"")},
        ""select Col1, Col11"",
        0
      ),
      2,
      FALSE
    ),""""))
"),"")</f>
        <v/>
      </c>
      <c r="H9" s="1250" t="str">
        <f>IFERROR(__xludf.DUMMYFUNCTION("IF(
  B9="""",
  """",
  IFERROR(
    VLOOKUP(
      B9,
      QUERY(
        {IMPORTRANGE(""1Ag27m9YF5mMfJh2E6NipJDFvPLlDI1p-s_1XEnzMHcc"",""Merge!F2:R"")},
        ""select Col1, Col9"",
        0
      ),
      2,
      FALSE
    ),""""))
"),"")</f>
        <v/>
      </c>
      <c r="I9" s="1251"/>
      <c r="J9" s="1252" t="str">
        <f t="shared" si="3"/>
        <v/>
      </c>
      <c r="K9" s="1253" t="str">
        <f t="shared" si="4"/>
        <v/>
      </c>
      <c r="L9" s="1254"/>
      <c r="M9" s="1244"/>
      <c r="N9" s="1259"/>
      <c r="O9" s="1259"/>
      <c r="P9" s="1244"/>
      <c r="Q9" s="1244"/>
      <c r="R9" s="1244"/>
      <c r="S9" s="1265"/>
      <c r="T9" s="1244"/>
      <c r="U9" s="1244"/>
    </row>
    <row r="10">
      <c r="A10" s="1235"/>
      <c r="B10" s="1235"/>
      <c r="C10" s="1246" t="str">
        <f t="shared" si="2"/>
        <v/>
      </c>
      <c r="D10" s="1247" t="str">
        <f>iferror(VLOOKUP(B10,Pricing!B16:C190,2,false),"")</f>
        <v/>
      </c>
      <c r="E10" s="1248" t="str">
        <f>IFERROR(__xludf.DUMMYFUNCTION("IF(
  B10="""",
  """",
  IFERROR(
    VLOOKUP(
      B10,
      QUERY(
        {IMPORTRANGE(""1Ag27m9YF5mMfJh2E6NipJDFvPLlDI1p-s_1XEnzMHcc"",""Merge!F2:R"")},
        ""select Col1, Col10"",
        0
      ),
      2,
      FALSE
    ),
    """"
  )
)
"),"")</f>
        <v/>
      </c>
      <c r="F10" s="1248" t="str">
        <f>IFERROR(__xludf.DUMMYFUNCTION("IF(
  B10="""",
  """",
  IFERROR(
    VLOOKUP(
      B10,
      QUERY(
        {IMPORTRANGE(""1Ag27m9YF5mMfJh2E6NipJDFvPLlDI1p-s_1XEnzMHcc"",""Merge!F2:R"")},
        ""select Col1, Col12"",
        0
      ),2,FALSE),""""))"),"")</f>
        <v/>
      </c>
      <c r="G10" s="1249" t="str">
        <f>IFERROR(__xludf.DUMMYFUNCTION("IF(
  B10="""",
  """",
  IFERROR(
    VLOOKUP(
      B10,
      QUERY(
        {IMPORTRANGE(""1Ag27m9YF5mMfJh2E6NipJDFvPLlDI1p-s_1XEnzMHcc"",""Merge!F2:R"")},
        ""select Col1, Col11"",
        0
      ),
      2,
      FALSE
    ),""""))
"),"")</f>
        <v/>
      </c>
      <c r="H10" s="1250" t="str">
        <f>IFERROR(__xludf.DUMMYFUNCTION("IF(
  B10="""",
  """",
  IFERROR(
    VLOOKUP(
      B10,
      QUERY(
        {IMPORTRANGE(""1Ag27m9YF5mMfJh2E6NipJDFvPLlDI1p-s_1XEnzMHcc"",""Merge!F2:R"")},
        ""select Col1, Col9"",
        0
      ),
      2,
      FALSE
    ),""""))
"),"")</f>
        <v/>
      </c>
      <c r="I10" s="1251"/>
      <c r="J10" s="1252" t="str">
        <f t="shared" si="3"/>
        <v/>
      </c>
      <c r="K10" s="1253" t="str">
        <f t="shared" si="4"/>
        <v/>
      </c>
      <c r="L10" s="1254"/>
      <c r="M10" s="1244"/>
      <c r="N10" s="1259"/>
      <c r="O10" s="1259"/>
      <c r="P10" s="1244"/>
      <c r="Q10" s="1244"/>
      <c r="R10" s="1244"/>
      <c r="S10" s="1265"/>
      <c r="T10" s="1244"/>
      <c r="U10" s="1244"/>
    </row>
    <row r="11">
      <c r="A11" s="1235"/>
      <c r="B11" s="1235"/>
      <c r="C11" s="1246" t="str">
        <f t="shared" si="2"/>
        <v/>
      </c>
      <c r="D11" s="1247" t="str">
        <f>iferror(VLOOKUP(B11,Pricing!B16:C191,2,false),"")</f>
        <v/>
      </c>
      <c r="E11" s="1248" t="str">
        <f>IFERROR(__xludf.DUMMYFUNCTION("IF(
  B11="""",
  """",
  IFERROR(
    VLOOKUP(
      B11,
      QUERY(
        {IMPORTRANGE(""1Ag27m9YF5mMfJh2E6NipJDFvPLlDI1p-s_1XEnzMHcc"",""Merge!F2:R"")},
        ""select Col1, Col10"",
        0
      ),
      2,
      FALSE
    ),
    """"
  )
)
"),"")</f>
        <v/>
      </c>
      <c r="F11" s="1248" t="str">
        <f>IFERROR(__xludf.DUMMYFUNCTION("IF(
  B11="""",
  """",
  IFERROR(
    VLOOKUP(
      B11,
      QUERY(
        {IMPORTRANGE(""1Ag27m9YF5mMfJh2E6NipJDFvPLlDI1p-s_1XEnzMHcc"",""Merge!F2:R"")},
        ""select Col1, Col12"",
        0
      ),2,FALSE),""""))"),"")</f>
        <v/>
      </c>
      <c r="G11" s="1249" t="str">
        <f>IFERROR(__xludf.DUMMYFUNCTION("IF(
  B11="""",
  """",
  IFERROR(
    VLOOKUP(
      B11,
      QUERY(
        {IMPORTRANGE(""1Ag27m9YF5mMfJh2E6NipJDFvPLlDI1p-s_1XEnzMHcc"",""Merge!F2:R"")},
        ""select Col1, Col11"",
        0
      ),
      2,
      FALSE
    ),""""))
"),"")</f>
        <v/>
      </c>
      <c r="H11" s="1250" t="str">
        <f>IFERROR(__xludf.DUMMYFUNCTION("IF(
  B11="""",
  """",
  IFERROR(
    VLOOKUP(
      B11,
      QUERY(
        {IMPORTRANGE(""1Ag27m9YF5mMfJh2E6NipJDFvPLlDI1p-s_1XEnzMHcc"",""Merge!F2:R"")},
        ""select Col1, Col9"",
        0
      ),
      2,
      FALSE
    ),""""))
"),"")</f>
        <v/>
      </c>
      <c r="I11" s="1251"/>
      <c r="J11" s="1252" t="str">
        <f t="shared" si="3"/>
        <v/>
      </c>
      <c r="K11" s="1253" t="str">
        <f t="shared" si="4"/>
        <v/>
      </c>
      <c r="L11" s="1254"/>
      <c r="M11" s="1244"/>
      <c r="N11" s="1259"/>
      <c r="O11" s="1259"/>
      <c r="P11" s="1244"/>
      <c r="Q11" s="1244"/>
      <c r="R11" s="1244"/>
      <c r="S11" s="1265"/>
      <c r="T11" s="1244"/>
      <c r="U11" s="1244"/>
    </row>
    <row r="12">
      <c r="A12" s="1235"/>
      <c r="B12" s="1235"/>
      <c r="C12" s="1246" t="str">
        <f t="shared" si="2"/>
        <v/>
      </c>
      <c r="D12" s="1247" t="str">
        <f>iferror(VLOOKUP(B12,Pricing!B17:C192,2,false),"")</f>
        <v/>
      </c>
      <c r="E12" s="1248" t="str">
        <f>IFERROR(__xludf.DUMMYFUNCTION("IF(
  B12="""",
  """",
  IFERROR(
    VLOOKUP(
      B12,
      QUERY(
        {IMPORTRANGE(""1Ag27m9YF5mMfJh2E6NipJDFvPLlDI1p-s_1XEnzMHcc"",""Merge!F2:R"")},
        ""select Col1, Col10"",
        0
      ),
      2,
      FALSE
    ),
    """"
  )
)
"),"")</f>
        <v/>
      </c>
      <c r="F12" s="1248" t="str">
        <f>IFERROR(__xludf.DUMMYFUNCTION("IF(
  B12="""",
  """",
  IFERROR(
    VLOOKUP(
      B12,
      QUERY(
        {IMPORTRANGE(""1Ag27m9YF5mMfJh2E6NipJDFvPLlDI1p-s_1XEnzMHcc"",""Merge!F2:R"")},
        ""select Col1, Col12"",
        0
      ),2,FALSE),""""))"),"")</f>
        <v/>
      </c>
      <c r="G12" s="1249" t="str">
        <f>IFERROR(__xludf.DUMMYFUNCTION("IF(
  B12="""",
  """",
  IFERROR(
    VLOOKUP(
      B12,
      QUERY(
        {IMPORTRANGE(""1Ag27m9YF5mMfJh2E6NipJDFvPLlDI1p-s_1XEnzMHcc"",""Merge!F2:R"")},
        ""select Col1, Col11"",
        0
      ),
      2,
      FALSE
    ),""""))
"),"")</f>
        <v/>
      </c>
      <c r="H12" s="1250" t="str">
        <f>IFERROR(__xludf.DUMMYFUNCTION("IF(
  B12="""",
  """",
  IFERROR(
    VLOOKUP(
      B12,
      QUERY(
        {IMPORTRANGE(""1Ag27m9YF5mMfJh2E6NipJDFvPLlDI1p-s_1XEnzMHcc"",""Merge!F2:R"")},
        ""select Col1, Col9"",
        0
      ),
      2,
      FALSE
    ),""""))
"),"")</f>
        <v/>
      </c>
      <c r="I12" s="1251"/>
      <c r="J12" s="1252" t="str">
        <f t="shared" si="3"/>
        <v/>
      </c>
      <c r="K12" s="1253" t="str">
        <f t="shared" si="4"/>
        <v/>
      </c>
      <c r="L12" s="1254"/>
      <c r="M12" s="1244"/>
      <c r="N12" s="1259"/>
      <c r="O12" s="1259"/>
      <c r="P12" s="1244"/>
      <c r="Q12" s="1244"/>
      <c r="R12" s="1244"/>
      <c r="S12" s="1265"/>
      <c r="T12" s="1244"/>
      <c r="U12" s="1244"/>
    </row>
    <row r="13">
      <c r="A13" s="1235"/>
      <c r="B13" s="1235"/>
      <c r="C13" s="1246" t="str">
        <f t="shared" si="2"/>
        <v/>
      </c>
      <c r="D13" s="1247" t="str">
        <f>iferror(VLOOKUP(B13,Pricing!B18:C193,2,false),"")</f>
        <v/>
      </c>
      <c r="E13" s="1248" t="str">
        <f>IFERROR(__xludf.DUMMYFUNCTION("IF(
  B13="""",
  """",
  IFERROR(
    VLOOKUP(
      B13,
      QUERY(
        {IMPORTRANGE(""1Ag27m9YF5mMfJh2E6NipJDFvPLlDI1p-s_1XEnzMHcc"",""Merge!F2:R"")},
        ""select Col1, Col10"",
        0
      ),
      2,
      FALSE
    ),
    """"
  )
)
"),"")</f>
        <v/>
      </c>
      <c r="F13" s="1248" t="str">
        <f>IFERROR(__xludf.DUMMYFUNCTION("IF(
  B13="""",
  """",
  IFERROR(
    VLOOKUP(
      B13,
      QUERY(
        {IMPORTRANGE(""1Ag27m9YF5mMfJh2E6NipJDFvPLlDI1p-s_1XEnzMHcc"",""Merge!F2:R"")},
        ""select Col1, Col12"",
        0
      ),2,FALSE),""""))"),"")</f>
        <v/>
      </c>
      <c r="G13" s="1249" t="str">
        <f>IFERROR(__xludf.DUMMYFUNCTION("IF(
  B13="""",
  """",
  IFERROR(
    VLOOKUP(
      B13,
      QUERY(
        {IMPORTRANGE(""1Ag27m9YF5mMfJh2E6NipJDFvPLlDI1p-s_1XEnzMHcc"",""Merge!F2:R"")},
        ""select Col1, Col11"",
        0
      ),
      2,
      FALSE
    ),""""))
"),"")</f>
        <v/>
      </c>
      <c r="H13" s="1250" t="str">
        <f>IFERROR(__xludf.DUMMYFUNCTION("IF(
  B13="""",
  """",
  IFERROR(
    VLOOKUP(
      B13,
      QUERY(
        {IMPORTRANGE(""1Ag27m9YF5mMfJh2E6NipJDFvPLlDI1p-s_1XEnzMHcc"",""Merge!F2:R"")},
        ""select Col1, Col9"",
        0
      ),
      2,
      FALSE
    ),""""))
"),"")</f>
        <v/>
      </c>
      <c r="I13" s="1251"/>
      <c r="J13" s="1252" t="str">
        <f t="shared" si="3"/>
        <v/>
      </c>
      <c r="K13" s="1253" t="str">
        <f t="shared" si="4"/>
        <v/>
      </c>
      <c r="L13" s="1254"/>
      <c r="M13" s="1244"/>
      <c r="N13" s="1259"/>
      <c r="O13" s="1259"/>
      <c r="P13" s="1244"/>
      <c r="Q13" s="1244"/>
      <c r="R13" s="1244"/>
      <c r="S13" s="1265"/>
      <c r="T13" s="1244"/>
      <c r="U13" s="1244"/>
    </row>
    <row r="14">
      <c r="A14" s="1235"/>
      <c r="B14" s="1235"/>
      <c r="C14" s="1246" t="str">
        <f t="shared" si="2"/>
        <v/>
      </c>
      <c r="D14" s="1247" t="str">
        <f>iferror(VLOOKUP(B14,Pricing!B19:C194,2,false),"")</f>
        <v/>
      </c>
      <c r="E14" s="1248" t="str">
        <f>IFERROR(__xludf.DUMMYFUNCTION("IF(
  B14="""",
  """",
  IFERROR(
    VLOOKUP(
      B14,
      QUERY(
        {IMPORTRANGE(""1Ag27m9YF5mMfJh2E6NipJDFvPLlDI1p-s_1XEnzMHcc"",""Merge!F2:R"")},
        ""select Col1, Col10"",
        0
      ),
      2,
      FALSE
    ),
    """"
  )
)
"),"")</f>
        <v/>
      </c>
      <c r="F14" s="1248" t="str">
        <f>IFERROR(__xludf.DUMMYFUNCTION("IF(
  B14="""",
  """",
  IFERROR(
    VLOOKUP(
      B14,
      QUERY(
        {IMPORTRANGE(""1Ag27m9YF5mMfJh2E6NipJDFvPLlDI1p-s_1XEnzMHcc"",""Merge!F2:R"")},
        ""select Col1, Col12"",
        0
      ),2,FALSE),""""))"),"")</f>
        <v/>
      </c>
      <c r="G14" s="1249" t="str">
        <f>IFERROR(__xludf.DUMMYFUNCTION("IF(
  B14="""",
  """",
  IFERROR(
    VLOOKUP(
      B14,
      QUERY(
        {IMPORTRANGE(""1Ag27m9YF5mMfJh2E6NipJDFvPLlDI1p-s_1XEnzMHcc"",""Merge!F2:R"")},
        ""select Col1, Col11"",
        0
      ),
      2,
      FALSE
    ),""""))
"),"")</f>
        <v/>
      </c>
      <c r="H14" s="1250" t="str">
        <f>IFERROR(__xludf.DUMMYFUNCTION("IF(
  B14="""",
  """",
  IFERROR(
    VLOOKUP(
      B14,
      QUERY(
        {IMPORTRANGE(""1Ag27m9YF5mMfJh2E6NipJDFvPLlDI1p-s_1XEnzMHcc"",""Merge!F2:R"")},
        ""select Col1, Col9"",
        0
      ),
      2,
      FALSE
    ),""""))
"),"")</f>
        <v/>
      </c>
      <c r="I14" s="1251"/>
      <c r="J14" s="1252" t="str">
        <f t="shared" si="3"/>
        <v/>
      </c>
      <c r="K14" s="1253" t="str">
        <f t="shared" si="4"/>
        <v/>
      </c>
      <c r="L14" s="1254"/>
      <c r="M14" s="1244"/>
      <c r="N14" s="1259"/>
      <c r="O14" s="1259"/>
      <c r="P14" s="1244"/>
      <c r="Q14" s="1244"/>
      <c r="R14" s="1244"/>
      <c r="S14" s="1265"/>
      <c r="T14" s="1244"/>
      <c r="U14" s="1244"/>
    </row>
    <row r="15">
      <c r="A15" s="1235"/>
      <c r="B15" s="1245"/>
      <c r="C15" s="1246" t="str">
        <f t="shared" si="2"/>
        <v/>
      </c>
      <c r="D15" s="1247" t="str">
        <f>iferror(VLOOKUP(B15,Pricing!B20:C195,2,false),"")</f>
        <v/>
      </c>
      <c r="E15" s="1248" t="str">
        <f>IFERROR(__xludf.DUMMYFUNCTION("IF(
  B15="""",
  """",
  IFERROR(
    VLOOKUP(
      B15,
      QUERY(
        {IMPORTRANGE(""1Ag27m9YF5mMfJh2E6NipJDFvPLlDI1p-s_1XEnzMHcc"",""Merge!F2:R"")},
        ""select Col1, Col10"",
        0
      ),
      2,
      FALSE
    ),
    """"
  )
)
"),"")</f>
        <v/>
      </c>
      <c r="F15" s="1248" t="str">
        <f>IFERROR(__xludf.DUMMYFUNCTION("IF(
  B15="""",
  """",
  IFERROR(
    VLOOKUP(
      B15,
      QUERY(
        {IMPORTRANGE(""1Ag27m9YF5mMfJh2E6NipJDFvPLlDI1p-s_1XEnzMHcc"",""Merge!F2:R"")},
        ""select Col1, Col12"",
        0
      ),2,FALSE),""""))"),"")</f>
        <v/>
      </c>
      <c r="G15" s="1249" t="str">
        <f>IFERROR(__xludf.DUMMYFUNCTION("IF(
  B15="""",
  """",
  IFERROR(
    VLOOKUP(
      B15,
      QUERY(
        {IMPORTRANGE(""1Ag27m9YF5mMfJh2E6NipJDFvPLlDI1p-s_1XEnzMHcc"",""Merge!F2:R"")},
        ""select Col1, Col11"",
        0
      ),
      2,
      FALSE
    ),""""))
"),"")</f>
        <v/>
      </c>
      <c r="H15" s="1250" t="str">
        <f>IFERROR(__xludf.DUMMYFUNCTION("IF(
  B15="""",
  """",
  IFERROR(
    VLOOKUP(
      B15,
      QUERY(
        {IMPORTRANGE(""1Ag27m9YF5mMfJh2E6NipJDFvPLlDI1p-s_1XEnzMHcc"",""Merge!F2:R"")},
        ""select Col1, Col9"",
        0
      ),
      2,
      FALSE
    ),""""))
"),"")</f>
        <v/>
      </c>
      <c r="I15" s="1251"/>
      <c r="J15" s="1252" t="str">
        <f t="shared" si="3"/>
        <v/>
      </c>
      <c r="K15" s="1253" t="str">
        <f t="shared" si="4"/>
        <v/>
      </c>
      <c r="L15" s="1254"/>
      <c r="M15" s="1244"/>
      <c r="N15" s="1259"/>
      <c r="O15" s="1259"/>
      <c r="P15" s="1244"/>
      <c r="Q15" s="1244"/>
      <c r="R15" s="1244"/>
      <c r="S15" s="1265"/>
      <c r="T15" s="1244"/>
      <c r="U15" s="1244"/>
    </row>
    <row r="16">
      <c r="A16" s="1235"/>
      <c r="B16" s="1245"/>
      <c r="C16" s="1246" t="str">
        <f t="shared" si="2"/>
        <v/>
      </c>
      <c r="D16" s="1247" t="str">
        <f>iferror(VLOOKUP(B16,Pricing!B27:C196,2,false),"")</f>
        <v/>
      </c>
      <c r="E16" s="1248" t="str">
        <f>IFERROR(__xludf.DUMMYFUNCTION("IF(
  B16="""",
  """",
  IFERROR(
    VLOOKUP(
      B16,
      QUERY(
        {IMPORTRANGE(""1Ag27m9YF5mMfJh2E6NipJDFvPLlDI1p-s_1XEnzMHcc"",""Merge!F2:R"")},
        ""select Col1, Col10"",
        0
      ),
      2,
      FALSE
    ),
    """"
  )
)
"),"")</f>
        <v/>
      </c>
      <c r="F16" s="1248" t="str">
        <f>IFERROR(__xludf.DUMMYFUNCTION("IF(
  B16="""",
  """",
  IFERROR(
    VLOOKUP(
      B16,
      QUERY(
        {IMPORTRANGE(""1Ag27m9YF5mMfJh2E6NipJDFvPLlDI1p-s_1XEnzMHcc"",""Merge!F2:R"")},
        ""select Col1, Col12"",
        0
      ),2,FALSE),""""))"),"")</f>
        <v/>
      </c>
      <c r="G16" s="1249" t="str">
        <f>IFERROR(__xludf.DUMMYFUNCTION("IF(
  B16="""",
  """",
  IFERROR(
    VLOOKUP(
      B16,
      QUERY(
        {IMPORTRANGE(""1Ag27m9YF5mMfJh2E6NipJDFvPLlDI1p-s_1XEnzMHcc"",""Merge!F2:R"")},
        ""select Col1, Col11"",
        0
      ),
      2,
      FALSE
    ),""""))
"),"")</f>
        <v/>
      </c>
      <c r="H16" s="1250" t="str">
        <f>IFERROR(__xludf.DUMMYFUNCTION("IF(
  B16="""",
  """",
  IFERROR(
    VLOOKUP(
      B16,
      QUERY(
        {IMPORTRANGE(""1Ag27m9YF5mMfJh2E6NipJDFvPLlDI1p-s_1XEnzMHcc"",""Merge!F2:R"")},
        ""select Col1, Col9"",
        0
      ),
      2,
      FALSE
    ),""""))
"),"")</f>
        <v/>
      </c>
      <c r="I16" s="1251"/>
      <c r="J16" s="1252" t="str">
        <f t="shared" si="3"/>
        <v/>
      </c>
      <c r="K16" s="1253" t="str">
        <f t="shared" si="4"/>
        <v/>
      </c>
      <c r="L16" s="1254"/>
      <c r="M16" s="1244"/>
      <c r="N16" s="1259"/>
      <c r="O16" s="1259"/>
      <c r="P16" s="1244"/>
      <c r="Q16" s="1244"/>
      <c r="R16" s="1244"/>
      <c r="S16" s="1265"/>
      <c r="T16" s="1244"/>
      <c r="U16" s="1244"/>
    </row>
    <row r="17">
      <c r="A17" s="1235"/>
      <c r="B17" s="1235"/>
      <c r="C17" s="1246" t="str">
        <f t="shared" si="2"/>
        <v/>
      </c>
      <c r="D17" s="1247" t="str">
        <f>iferror(VLOOKUP(B17,Pricing!B27:C197,2,false),"")</f>
        <v/>
      </c>
      <c r="E17" s="1248" t="str">
        <f>IFERROR(__xludf.DUMMYFUNCTION("IF(
  B17="""",
  """",
  IFERROR(
    VLOOKUP(
      B17,
      QUERY(
        {IMPORTRANGE(""1Ag27m9YF5mMfJh2E6NipJDFvPLlDI1p-s_1XEnzMHcc"",""Merge!F2:R"")},
        ""select Col1, Col10"",
        0
      ),
      2,
      FALSE
    ),
    """"
  )
)
"),"")</f>
        <v/>
      </c>
      <c r="F17" s="1248" t="str">
        <f>IFERROR(__xludf.DUMMYFUNCTION("IF(
  B17="""",
  """",
  IFERROR(
    VLOOKUP(
      B17,
      QUERY(
        {IMPORTRANGE(""1Ag27m9YF5mMfJh2E6NipJDFvPLlDI1p-s_1XEnzMHcc"",""Merge!F2:R"")},
        ""select Col1, Col12"",
        0
      ),2,FALSE),""""))"),"")</f>
        <v/>
      </c>
      <c r="G17" s="1249" t="str">
        <f>IFERROR(__xludf.DUMMYFUNCTION("IF(
  B17="""",
  """",
  IFERROR(
    VLOOKUP(
      B17,
      QUERY(
        {IMPORTRANGE(""1Ag27m9YF5mMfJh2E6NipJDFvPLlDI1p-s_1XEnzMHcc"",""Merge!F2:R"")},
        ""select Col1, Col11"",
        0
      ),
      2,
      FALSE
    ),""""))
"),"")</f>
        <v/>
      </c>
      <c r="H17" s="1250" t="str">
        <f>IFERROR(__xludf.DUMMYFUNCTION("IF(
  B17="""",
  """",
  IFERROR(
    VLOOKUP(
      B17,
      QUERY(
        {IMPORTRANGE(""1Ag27m9YF5mMfJh2E6NipJDFvPLlDI1p-s_1XEnzMHcc"",""Merge!F2:R"")},
        ""select Col1, Col9"",
        0
      ),
      2,
      FALSE
    ),""""))
"),"")</f>
        <v/>
      </c>
      <c r="I17" s="1251"/>
      <c r="J17" s="1252" t="str">
        <f t="shared" si="3"/>
        <v/>
      </c>
      <c r="K17" s="1253" t="str">
        <f t="shared" si="4"/>
        <v/>
      </c>
      <c r="L17" s="1254"/>
      <c r="M17" s="1244"/>
      <c r="N17" s="1259"/>
      <c r="O17" s="1259"/>
      <c r="P17" s="1244"/>
      <c r="Q17" s="1244"/>
      <c r="R17" s="1244"/>
      <c r="S17" s="1265"/>
      <c r="T17" s="1244"/>
      <c r="U17" s="1244"/>
    </row>
    <row r="18">
      <c r="A18" s="1235"/>
      <c r="B18" s="1235"/>
      <c r="C18" s="1246" t="str">
        <f t="shared" si="2"/>
        <v/>
      </c>
      <c r="D18" s="1247" t="str">
        <f>iferror(VLOOKUP(B18,Pricing!B28:C198,2,false),"")</f>
        <v/>
      </c>
      <c r="E18" s="1248" t="str">
        <f>IFERROR(__xludf.DUMMYFUNCTION("IF(
  B18="""",
  """",
  IFERROR(
    VLOOKUP(
      B18,
      QUERY(
        {IMPORTRANGE(""1Ag27m9YF5mMfJh2E6NipJDFvPLlDI1p-s_1XEnzMHcc"",""Merge!F2:R"")},
        ""select Col1, Col10"",
        0
      ),
      2,
      FALSE
    ),
    """"
  )
)
"),"")</f>
        <v/>
      </c>
      <c r="F18" s="1248" t="str">
        <f>IFERROR(__xludf.DUMMYFUNCTION("IF(
  B18="""",
  """",
  IFERROR(
    VLOOKUP(
      B18,
      QUERY(
        {IMPORTRANGE(""1Ag27m9YF5mMfJh2E6NipJDFvPLlDI1p-s_1XEnzMHcc"",""Merge!F2:R"")},
        ""select Col1, Col12"",
        0
      ),2,FALSE),""""))"),"")</f>
        <v/>
      </c>
      <c r="G18" s="1249" t="str">
        <f>IFERROR(__xludf.DUMMYFUNCTION("IF(
  B18="""",
  """",
  IFERROR(
    VLOOKUP(
      B18,
      QUERY(
        {IMPORTRANGE(""1Ag27m9YF5mMfJh2E6NipJDFvPLlDI1p-s_1XEnzMHcc"",""Merge!F2:R"")},
        ""select Col1, Col11"",
        0
      ),
      2,
      FALSE
    ),""""))
"),"")</f>
        <v/>
      </c>
      <c r="H18" s="1250" t="str">
        <f>IFERROR(__xludf.DUMMYFUNCTION("IF(
  B18="""",
  """",
  IFERROR(
    VLOOKUP(
      B18,
      QUERY(
        {IMPORTRANGE(""1Ag27m9YF5mMfJh2E6NipJDFvPLlDI1p-s_1XEnzMHcc"",""Merge!F2:R"")},
        ""select Col1, Col9"",
        0
      ),
      2,
      FALSE
    ),""""))
"),"")</f>
        <v/>
      </c>
      <c r="I18" s="1251"/>
      <c r="J18" s="1252" t="str">
        <f t="shared" si="3"/>
        <v/>
      </c>
      <c r="K18" s="1253" t="str">
        <f t="shared" si="4"/>
        <v/>
      </c>
      <c r="L18" s="1254"/>
      <c r="M18" s="1244"/>
      <c r="N18" s="1259"/>
      <c r="O18" s="1259"/>
      <c r="P18" s="1244"/>
      <c r="Q18" s="1244"/>
      <c r="R18" s="1244"/>
      <c r="S18" s="1265"/>
      <c r="T18" s="1244"/>
      <c r="U18" s="1244"/>
    </row>
    <row r="19">
      <c r="A19" s="1235"/>
      <c r="B19" s="1235"/>
      <c r="C19" s="1246" t="str">
        <f t="shared" si="2"/>
        <v/>
      </c>
      <c r="D19" s="1247" t="str">
        <f>iferror(VLOOKUP(B19,Pricing!B29:C199,2,false),"")</f>
        <v/>
      </c>
      <c r="E19" s="1248" t="str">
        <f>IFERROR(__xludf.DUMMYFUNCTION("IF(
  B19="""",
  """",
  IFERROR(
    VLOOKUP(
      B19,
      QUERY(
        {IMPORTRANGE(""1Ag27m9YF5mMfJh2E6NipJDFvPLlDI1p-s_1XEnzMHcc"",""Merge!F2:R"")},
        ""select Col1, Col10"",
        0
      ),
      2,
      FALSE
    ),
    """"
  )
)
"),"")</f>
        <v/>
      </c>
      <c r="F19" s="1248" t="str">
        <f>IFERROR(__xludf.DUMMYFUNCTION("IF(
  B19="""",
  """",
  IFERROR(
    VLOOKUP(
      B19,
      QUERY(
        {IMPORTRANGE(""1Ag27m9YF5mMfJh2E6NipJDFvPLlDI1p-s_1XEnzMHcc"",""Merge!F2:R"")},
        ""select Col1, Col12"",
        0
      ),2,FALSE),""""))"),"")</f>
        <v/>
      </c>
      <c r="G19" s="1249" t="str">
        <f>IFERROR(__xludf.DUMMYFUNCTION("IF(
  B19="""",
  """",
  IFERROR(
    VLOOKUP(
      B19,
      QUERY(
        {IMPORTRANGE(""1Ag27m9YF5mMfJh2E6NipJDFvPLlDI1p-s_1XEnzMHcc"",""Merge!F2:R"")},
        ""select Col1, Col11"",
        0
      ),
      2,
      FALSE
    ),""""))
"),"")</f>
        <v/>
      </c>
      <c r="H19" s="1250" t="str">
        <f>IFERROR(__xludf.DUMMYFUNCTION("IF(
  B19="""",
  """",
  IFERROR(
    VLOOKUP(
      B19,
      QUERY(
        {IMPORTRANGE(""1Ag27m9YF5mMfJh2E6NipJDFvPLlDI1p-s_1XEnzMHcc"",""Merge!F2:R"")},
        ""select Col1, Col9"",
        0
      ),
      2,
      FALSE
    ),""""))
"),"")</f>
        <v/>
      </c>
      <c r="I19" s="1251"/>
      <c r="J19" s="1252" t="str">
        <f t="shared" si="3"/>
        <v/>
      </c>
      <c r="K19" s="1253" t="str">
        <f t="shared" si="4"/>
        <v/>
      </c>
      <c r="L19" s="1254"/>
      <c r="M19" s="1244"/>
      <c r="N19" s="1259"/>
      <c r="O19" s="1259"/>
      <c r="P19" s="1244"/>
      <c r="Q19" s="1244"/>
      <c r="R19" s="1244"/>
      <c r="S19" s="1265"/>
      <c r="T19" s="1244"/>
      <c r="U19" s="1244"/>
    </row>
    <row r="20">
      <c r="A20" s="1235"/>
      <c r="B20" s="1235"/>
      <c r="C20" s="1246" t="str">
        <f t="shared" si="2"/>
        <v/>
      </c>
      <c r="D20" s="1247" t="str">
        <f>iferror(VLOOKUP(B20,Pricing!B30:C200,2,false),"")</f>
        <v/>
      </c>
      <c r="E20" s="1248" t="str">
        <f>IFERROR(__xludf.DUMMYFUNCTION("IF(
  B20="""",
  """",
  IFERROR(
    VLOOKUP(
      B20,
      QUERY(
        {IMPORTRANGE(""1Ag27m9YF5mMfJh2E6NipJDFvPLlDI1p-s_1XEnzMHcc"",""Merge!F2:R"")},
        ""select Col1, Col10"",
        0
      ),
      2,
      FALSE
    ),
    """"
  )
)
"),"")</f>
        <v/>
      </c>
      <c r="F20" s="1248" t="str">
        <f>IFERROR(__xludf.DUMMYFUNCTION("IF(
  B20="""",
  """",
  IFERROR(
    VLOOKUP(
      B20,
      QUERY(
        {IMPORTRANGE(""1Ag27m9YF5mMfJh2E6NipJDFvPLlDI1p-s_1XEnzMHcc"",""Merge!F2:R"")},
        ""select Col1, Col12"",
        0
      ),2,FALSE),""""))"),"")</f>
        <v/>
      </c>
      <c r="G20" s="1249" t="str">
        <f>IFERROR(__xludf.DUMMYFUNCTION("IF(
  B20="""",
  """",
  IFERROR(
    VLOOKUP(
      B20,
      QUERY(
        {IMPORTRANGE(""1Ag27m9YF5mMfJh2E6NipJDFvPLlDI1p-s_1XEnzMHcc"",""Merge!F2:R"")},
        ""select Col1, Col11"",
        0
      ),
      2,
      FALSE
    ),""""))
"),"")</f>
        <v/>
      </c>
      <c r="H20" s="1250" t="str">
        <f>IFERROR(__xludf.DUMMYFUNCTION("IF(
  B20="""",
  """",
  IFERROR(
    VLOOKUP(
      B20,
      QUERY(
        {IMPORTRANGE(""1Ag27m9YF5mMfJh2E6NipJDFvPLlDI1p-s_1XEnzMHcc"",""Merge!F2:R"")},
        ""select Col1, Col9"",
        0
      ),
      2,
      FALSE
    ),""""))
"),"")</f>
        <v/>
      </c>
      <c r="I20" s="1251"/>
      <c r="J20" s="1252" t="str">
        <f t="shared" si="3"/>
        <v/>
      </c>
      <c r="K20" s="1253" t="str">
        <f t="shared" si="4"/>
        <v/>
      </c>
      <c r="L20" s="1254"/>
      <c r="M20" s="1244"/>
      <c r="N20" s="1259"/>
      <c r="O20" s="1259"/>
      <c r="P20" s="1244"/>
      <c r="Q20" s="1244"/>
      <c r="R20" s="1244"/>
      <c r="S20" s="1265"/>
      <c r="T20" s="1244"/>
      <c r="U20" s="1244"/>
    </row>
    <row r="21">
      <c r="A21" s="1235"/>
      <c r="B21" s="1235"/>
      <c r="C21" s="1246" t="str">
        <f t="shared" si="2"/>
        <v/>
      </c>
      <c r="D21" s="1247" t="str">
        <f>iferror(VLOOKUP(B21,Pricing!B31:C201,2,false),"")</f>
        <v/>
      </c>
      <c r="E21" s="1248" t="str">
        <f>IFERROR(__xludf.DUMMYFUNCTION("IF(
  B21="""",
  """",
  IFERROR(
    VLOOKUP(
      B21,
      QUERY(
        {IMPORTRANGE(""1Ag27m9YF5mMfJh2E6NipJDFvPLlDI1p-s_1XEnzMHcc"",""Merge!F2:R"")},
        ""select Col1, Col10"",
        0
      ),
      2,
      FALSE
    ),
    """"
  )
)
"),"")</f>
        <v/>
      </c>
      <c r="F21" s="1248" t="str">
        <f>IFERROR(__xludf.DUMMYFUNCTION("IF(
  B21="""",
  """",
  IFERROR(
    VLOOKUP(
      B21,
      QUERY(
        {IMPORTRANGE(""1Ag27m9YF5mMfJh2E6NipJDFvPLlDI1p-s_1XEnzMHcc"",""Merge!F2:R"")},
        ""select Col1, Col12"",
        0
      ),2,FALSE),""""))"),"")</f>
        <v/>
      </c>
      <c r="G21" s="1249" t="str">
        <f>IFERROR(__xludf.DUMMYFUNCTION("IF(
  B21="""",
  """",
  IFERROR(
    VLOOKUP(
      B21,
      QUERY(
        {IMPORTRANGE(""1Ag27m9YF5mMfJh2E6NipJDFvPLlDI1p-s_1XEnzMHcc"",""Merge!F2:R"")},
        ""select Col1, Col11"",
        0
      ),
      2,
      FALSE
    ),""""))
"),"")</f>
        <v/>
      </c>
      <c r="H21" s="1250" t="str">
        <f>IFERROR(__xludf.DUMMYFUNCTION("IF(
  B21="""",
  """",
  IFERROR(
    VLOOKUP(
      B21,
      QUERY(
        {IMPORTRANGE(""1Ag27m9YF5mMfJh2E6NipJDFvPLlDI1p-s_1XEnzMHcc"",""Merge!F2:R"")},
        ""select Col1, Col9"",
        0
      ),
      2,
      FALSE
    ),""""))
"),"")</f>
        <v/>
      </c>
      <c r="I21" s="1251"/>
      <c r="J21" s="1252" t="str">
        <f t="shared" si="3"/>
        <v/>
      </c>
      <c r="K21" s="1253" t="str">
        <f t="shared" si="4"/>
        <v/>
      </c>
      <c r="L21" s="1254"/>
      <c r="M21" s="1244"/>
      <c r="N21" s="1259"/>
      <c r="O21" s="1259"/>
      <c r="P21" s="1244"/>
      <c r="Q21" s="1244"/>
      <c r="R21" s="1244"/>
      <c r="S21" s="1265"/>
      <c r="T21" s="1244"/>
      <c r="U21" s="1244"/>
    </row>
    <row r="22">
      <c r="A22" s="1235"/>
      <c r="B22" s="1235"/>
      <c r="C22" s="1246" t="str">
        <f t="shared" si="2"/>
        <v/>
      </c>
      <c r="D22" s="1247" t="str">
        <f>iferror(VLOOKUP(B22,Pricing!B36:C202,2,false),"")</f>
        <v/>
      </c>
      <c r="E22" s="1248" t="str">
        <f>IFERROR(__xludf.DUMMYFUNCTION("IF(
  B22="""",
  """",
  IFERROR(
    VLOOKUP(
      B22,
      QUERY(
        {IMPORTRANGE(""1Ag27m9YF5mMfJh2E6NipJDFvPLlDI1p-s_1XEnzMHcc"",""Merge!F2:R"")},
        ""select Col1, Col10"",
        0
      ),
      2,
      FALSE
    ),
    """"
  )
)
"),"")</f>
        <v/>
      </c>
      <c r="F22" s="1248" t="str">
        <f>IFERROR(__xludf.DUMMYFUNCTION("IF(
  B22="""",
  """",
  IFERROR(
    VLOOKUP(
      B22,
      QUERY(
        {IMPORTRANGE(""1Ag27m9YF5mMfJh2E6NipJDFvPLlDI1p-s_1XEnzMHcc"",""Merge!F2:R"")},
        ""select Col1, Col12"",
        0
      ),2,FALSE),""""))"),"")</f>
        <v/>
      </c>
      <c r="G22" s="1249" t="str">
        <f>IFERROR(__xludf.DUMMYFUNCTION("IF(
  B22="""",
  """",
  IFERROR(
    VLOOKUP(
      B22,
      QUERY(
        {IMPORTRANGE(""1Ag27m9YF5mMfJh2E6NipJDFvPLlDI1p-s_1XEnzMHcc"",""Merge!F2:R"")},
        ""select Col1, Col11"",
        0
      ),
      2,
      FALSE
    ),""""))
"),"")</f>
        <v/>
      </c>
      <c r="H22" s="1250" t="str">
        <f>IFERROR(__xludf.DUMMYFUNCTION("IF(
  B22="""",
  """",
  IFERROR(
    VLOOKUP(
      B22,
      QUERY(
        {IMPORTRANGE(""1Ag27m9YF5mMfJh2E6NipJDFvPLlDI1p-s_1XEnzMHcc"",""Merge!F2:R"")},
        ""select Col1, Col9"",
        0
      ),
      2,
      FALSE
    ),""""))
"),"")</f>
        <v/>
      </c>
      <c r="I22" s="1251"/>
      <c r="J22" s="1252" t="str">
        <f t="shared" si="3"/>
        <v/>
      </c>
      <c r="K22" s="1253" t="str">
        <f t="shared" si="4"/>
        <v/>
      </c>
      <c r="L22" s="1254"/>
      <c r="M22" s="1244"/>
      <c r="N22" s="1259"/>
      <c r="O22" s="1259"/>
      <c r="P22" s="1244"/>
      <c r="Q22" s="1244"/>
      <c r="R22" s="1244"/>
      <c r="S22" s="1265"/>
      <c r="T22" s="1244"/>
      <c r="U22" s="1244"/>
    </row>
    <row r="23">
      <c r="A23" s="1235"/>
      <c r="B23" s="1235"/>
      <c r="C23" s="1246" t="str">
        <f t="shared" si="2"/>
        <v/>
      </c>
      <c r="D23" s="1247" t="str">
        <f>iferror(VLOOKUP(B23,Pricing!B83:C203,2,false),"")</f>
        <v/>
      </c>
      <c r="E23" s="1248" t="str">
        <f>IFERROR(__xludf.DUMMYFUNCTION("IF(
  B23="""",
  """",
  IFERROR(
    VLOOKUP(
      B23,
      QUERY(
        {IMPORTRANGE(""1Ag27m9YF5mMfJh2E6NipJDFvPLlDI1p-s_1XEnzMHcc"",""Merge!F2:R"")},
        ""select Col1, Col10"",
        0
      ),
      2,
      FALSE
    ),
    """"
  )
)
"),"")</f>
        <v/>
      </c>
      <c r="F23" s="1248" t="str">
        <f>IFERROR(__xludf.DUMMYFUNCTION("IF(
  B23="""",
  """",
  IFERROR(
    VLOOKUP(
      B23,
      QUERY(
        {IMPORTRANGE(""1Ag27m9YF5mMfJh2E6NipJDFvPLlDI1p-s_1XEnzMHcc"",""Merge!F2:R"")},
        ""select Col1, Col12"",
        0
      ),2,FALSE),""""))"),"")</f>
        <v/>
      </c>
      <c r="G23" s="1249" t="str">
        <f>IFERROR(__xludf.DUMMYFUNCTION("IF(
  B23="""",
  """",
  IFERROR(
    VLOOKUP(
      B23,
      QUERY(
        {IMPORTRANGE(""1Ag27m9YF5mMfJh2E6NipJDFvPLlDI1p-s_1XEnzMHcc"",""Merge!F2:R"")},
        ""select Col1, Col11"",
        0
      ),
      2,
      FALSE
    ),""""))
"),"")</f>
        <v/>
      </c>
      <c r="H23" s="1250" t="str">
        <f>IFERROR(__xludf.DUMMYFUNCTION("IF(
  B23="""",
  """",
  IFERROR(
    VLOOKUP(
      B23,
      QUERY(
        {IMPORTRANGE(""1Ag27m9YF5mMfJh2E6NipJDFvPLlDI1p-s_1XEnzMHcc"",""Merge!F2:R"")},
        ""select Col1, Col9"",
        0
      ),
      2,
      FALSE
    ),""""))
"),"")</f>
        <v/>
      </c>
      <c r="I23" s="1251"/>
      <c r="J23" s="1252" t="str">
        <f t="shared" si="3"/>
        <v/>
      </c>
      <c r="K23" s="1253" t="str">
        <f t="shared" si="4"/>
        <v/>
      </c>
      <c r="L23" s="1254"/>
      <c r="M23" s="1244"/>
      <c r="N23" s="1259"/>
      <c r="O23" s="1259"/>
      <c r="P23" s="1244"/>
      <c r="Q23" s="1244"/>
      <c r="R23" s="1244"/>
      <c r="S23" s="1265"/>
      <c r="T23" s="1244"/>
      <c r="U23" s="1244"/>
    </row>
    <row r="24">
      <c r="A24" s="1235"/>
      <c r="B24" s="1235"/>
      <c r="C24" s="1246" t="str">
        <f t="shared" si="2"/>
        <v/>
      </c>
      <c r="D24" s="1247" t="str">
        <f>iferror(VLOOKUP(B24,Pricing!B83:C204,2,false),"")</f>
        <v/>
      </c>
      <c r="E24" s="1248" t="str">
        <f>IFERROR(__xludf.DUMMYFUNCTION("IF(
  B24="""",
  """",
  IFERROR(
    VLOOKUP(
      B24,
      QUERY(
        {IMPORTRANGE(""1Ag27m9YF5mMfJh2E6NipJDFvPLlDI1p-s_1XEnzMHcc"",""Merge!F2:R"")},
        ""select Col1, Col10"",
        0
      ),
      2,
      FALSE
    ),
    """"
  )
)
"),"")</f>
        <v/>
      </c>
      <c r="F24" s="1248" t="str">
        <f>IFERROR(__xludf.DUMMYFUNCTION("IF(
  B24="""",
  """",
  IFERROR(
    VLOOKUP(
      B24,
      QUERY(
        {IMPORTRANGE(""1Ag27m9YF5mMfJh2E6NipJDFvPLlDI1p-s_1XEnzMHcc"",""Merge!F2:R"")},
        ""select Col1, Col12"",
        0
      ),2,FALSE),""""))"),"")</f>
        <v/>
      </c>
      <c r="G24" s="1249" t="str">
        <f>IFERROR(__xludf.DUMMYFUNCTION("IF(
  B24="""",
  """",
  IFERROR(
    VLOOKUP(
      B24,
      QUERY(
        {IMPORTRANGE(""1Ag27m9YF5mMfJh2E6NipJDFvPLlDI1p-s_1XEnzMHcc"",""Merge!F2:R"")},
        ""select Col1, Col11"",
        0
      ),
      2,
      FALSE
    ),""""))
"),"")</f>
        <v/>
      </c>
      <c r="H24" s="1250" t="str">
        <f>IFERROR(__xludf.DUMMYFUNCTION("IF(
  B24="""",
  """",
  IFERROR(
    VLOOKUP(
      B24,
      QUERY(
        {IMPORTRANGE(""1Ag27m9YF5mMfJh2E6NipJDFvPLlDI1p-s_1XEnzMHcc"",""Merge!F2:R"")},
        ""select Col1, Col9"",
        0
      ),
      2,
      FALSE
    ),""""))
"),"")</f>
        <v/>
      </c>
      <c r="I24" s="1251"/>
      <c r="J24" s="1252" t="str">
        <f t="shared" si="3"/>
        <v/>
      </c>
      <c r="K24" s="1253" t="str">
        <f t="shared" si="4"/>
        <v/>
      </c>
      <c r="L24" s="1254"/>
      <c r="M24" s="1244"/>
      <c r="N24" s="1259"/>
      <c r="O24" s="1259"/>
      <c r="P24" s="1244"/>
      <c r="Q24" s="1244"/>
      <c r="R24" s="1244"/>
      <c r="S24" s="1265"/>
      <c r="T24" s="1244"/>
      <c r="U24" s="1244"/>
    </row>
    <row r="25">
      <c r="A25" s="1235"/>
      <c r="B25" s="1235"/>
      <c r="C25" s="1246" t="str">
        <f t="shared" si="2"/>
        <v/>
      </c>
      <c r="D25" s="1247" t="str">
        <f>iferror(VLOOKUP(B25,Pricing!B83:C205,2,false),"")</f>
        <v/>
      </c>
      <c r="E25" s="1248" t="str">
        <f>IFERROR(__xludf.DUMMYFUNCTION("IF(
  B25="""",
  """",
  IFERROR(
    VLOOKUP(
      B25,
      QUERY(
        {IMPORTRANGE(""1Ag27m9YF5mMfJh2E6NipJDFvPLlDI1p-s_1XEnzMHcc"",""Merge!F2:R"")},
        ""select Col1, Col10"",
        0
      ),
      2,
      FALSE
    ),
    """"
  )
)
"),"")</f>
        <v/>
      </c>
      <c r="F25" s="1248" t="str">
        <f>IFERROR(__xludf.DUMMYFUNCTION("IF(
  B25="""",
  """",
  IFERROR(
    VLOOKUP(
      B25,
      QUERY(
        {IMPORTRANGE(""1Ag27m9YF5mMfJh2E6NipJDFvPLlDI1p-s_1XEnzMHcc"",""Merge!F2:R"")},
        ""select Col1, Col12"",
        0
      ),2,FALSE),""""))"),"")</f>
        <v/>
      </c>
      <c r="G25" s="1249" t="str">
        <f>IFERROR(__xludf.DUMMYFUNCTION("IF(
  B25="""",
  """",
  IFERROR(
    VLOOKUP(
      B25,
      QUERY(
        {IMPORTRANGE(""1Ag27m9YF5mMfJh2E6NipJDFvPLlDI1p-s_1XEnzMHcc"",""Merge!F2:R"")},
        ""select Col1, Col11"",
        0
      ),
      2,
      FALSE
    ),""""))
"),"")</f>
        <v/>
      </c>
      <c r="H25" s="1250" t="str">
        <f>IFERROR(__xludf.DUMMYFUNCTION("IF(
  B25="""",
  """",
  IFERROR(
    VLOOKUP(
      B25,
      QUERY(
        {IMPORTRANGE(""1Ag27m9YF5mMfJh2E6NipJDFvPLlDI1p-s_1XEnzMHcc"",""Merge!F2:R"")},
        ""select Col1, Col9"",
        0
      ),
      2,
      FALSE
    ),""""))
"),"")</f>
        <v/>
      </c>
      <c r="I25" s="1251"/>
      <c r="J25" s="1252" t="str">
        <f t="shared" si="3"/>
        <v/>
      </c>
      <c r="K25" s="1253" t="str">
        <f t="shared" si="4"/>
        <v/>
      </c>
      <c r="L25" s="1254"/>
      <c r="M25" s="1244"/>
      <c r="N25" s="1259"/>
      <c r="O25" s="1259"/>
      <c r="P25" s="1244"/>
      <c r="Q25" s="1244"/>
      <c r="R25" s="1244"/>
      <c r="S25" s="1265"/>
      <c r="T25" s="1244"/>
      <c r="U25" s="1244"/>
    </row>
    <row r="26">
      <c r="A26" s="1235"/>
      <c r="B26" s="1235"/>
      <c r="C26" s="1246" t="str">
        <f t="shared" si="2"/>
        <v/>
      </c>
      <c r="D26" s="1247" t="str">
        <f>iferror(VLOOKUP(B26,Pricing!B83:C206,2,false),"")</f>
        <v/>
      </c>
      <c r="E26" s="1248" t="str">
        <f>IFERROR(__xludf.DUMMYFUNCTION("IF(
  B26="""",
  """",
  IFERROR(
    VLOOKUP(
      B26,
      QUERY(
        {IMPORTRANGE(""1Ag27m9YF5mMfJh2E6NipJDFvPLlDI1p-s_1XEnzMHcc"",""Merge!F2:R"")},
        ""select Col1, Col10"",
        0
      ),
      2,
      FALSE
    ),
    """"
  )
)
"),"")</f>
        <v/>
      </c>
      <c r="F26" s="1248" t="str">
        <f>IFERROR(__xludf.DUMMYFUNCTION("IF(
  B26="""",
  """",
  IFERROR(
    VLOOKUP(
      B26,
      QUERY(
        {IMPORTRANGE(""1Ag27m9YF5mMfJh2E6NipJDFvPLlDI1p-s_1XEnzMHcc"",""Merge!F2:R"")},
        ""select Col1, Col12"",
        0
      ),2,FALSE),""""))"),"")</f>
        <v/>
      </c>
      <c r="G26" s="1249" t="str">
        <f>IFERROR(__xludf.DUMMYFUNCTION("IF(
  B26="""",
  """",
  IFERROR(
    VLOOKUP(
      B26,
      QUERY(
        {IMPORTRANGE(""1Ag27m9YF5mMfJh2E6NipJDFvPLlDI1p-s_1XEnzMHcc"",""Merge!F2:R"")},
        ""select Col1, Col11"",
        0
      ),
      2,
      FALSE
    ),""""))
"),"")</f>
        <v/>
      </c>
      <c r="H26" s="1250" t="str">
        <f>IFERROR(__xludf.DUMMYFUNCTION("IF(
  B26="""",
  """",
  IFERROR(
    VLOOKUP(
      B26,
      QUERY(
        {IMPORTRANGE(""1Ag27m9YF5mMfJh2E6NipJDFvPLlDI1p-s_1XEnzMHcc"",""Merge!F2:R"")},
        ""select Col1, Col9"",
        0
      ),
      2,
      FALSE
    ),""""))
"),"")</f>
        <v/>
      </c>
      <c r="I26" s="1251"/>
      <c r="J26" s="1252" t="str">
        <f t="shared" si="3"/>
        <v/>
      </c>
      <c r="K26" s="1253" t="str">
        <f t="shared" si="4"/>
        <v/>
      </c>
      <c r="L26" s="1254"/>
      <c r="M26" s="1244"/>
      <c r="N26" s="1259"/>
      <c r="O26" s="1259"/>
      <c r="P26" s="1244"/>
      <c r="Q26" s="1244"/>
      <c r="R26" s="1244"/>
      <c r="S26" s="1265"/>
      <c r="T26" s="1244"/>
      <c r="U26" s="1244"/>
    </row>
    <row r="27">
      <c r="A27" s="1235"/>
      <c r="B27" s="1235"/>
      <c r="C27" s="1246" t="str">
        <f t="shared" si="2"/>
        <v/>
      </c>
      <c r="D27" s="1247" t="str">
        <f>iferror(VLOOKUP(B27,Pricing!B83:C207,2,false),"")</f>
        <v/>
      </c>
      <c r="E27" s="1248" t="str">
        <f>IFERROR(__xludf.DUMMYFUNCTION("IF(
  B27="""",
  """",
  IFERROR(
    VLOOKUP(
      B27,
      QUERY(
        {IMPORTRANGE(""1Ag27m9YF5mMfJh2E6NipJDFvPLlDI1p-s_1XEnzMHcc"",""Merge!F2:R"")},
        ""select Col1, Col10"",
        0
      ),
      2,
      FALSE
    ),
    """"
  )
)
"),"")</f>
        <v/>
      </c>
      <c r="F27" s="1248" t="str">
        <f>IFERROR(__xludf.DUMMYFUNCTION("IF(
  B27="""",
  """",
  IFERROR(
    VLOOKUP(
      B27,
      QUERY(
        {IMPORTRANGE(""1Ag27m9YF5mMfJh2E6NipJDFvPLlDI1p-s_1XEnzMHcc"",""Merge!F2:R"")},
        ""select Col1, Col12"",
        0
      ),2,FALSE),""""))"),"")</f>
        <v/>
      </c>
      <c r="G27" s="1249" t="str">
        <f>IFERROR(__xludf.DUMMYFUNCTION("IF(
  B27="""",
  """",
  IFERROR(
    VLOOKUP(
      B27,
      QUERY(
        {IMPORTRANGE(""1Ag27m9YF5mMfJh2E6NipJDFvPLlDI1p-s_1XEnzMHcc"",""Merge!F2:R"")},
        ""select Col1, Col11"",
        0
      ),
      2,
      FALSE
    ),""""))
"),"")</f>
        <v/>
      </c>
      <c r="H27" s="1250" t="str">
        <f>IFERROR(__xludf.DUMMYFUNCTION("IF(
  B27="""",
  """",
  IFERROR(
    VLOOKUP(
      B27,
      QUERY(
        {IMPORTRANGE(""1Ag27m9YF5mMfJh2E6NipJDFvPLlDI1p-s_1XEnzMHcc"",""Merge!F2:R"")},
        ""select Col1, Col9"",
        0
      ),
      2,
      FALSE
    ),""""))
"),"")</f>
        <v/>
      </c>
      <c r="I27" s="1251"/>
      <c r="J27" s="1252" t="str">
        <f t="shared" si="3"/>
        <v/>
      </c>
      <c r="K27" s="1253" t="str">
        <f t="shared" si="4"/>
        <v/>
      </c>
      <c r="L27" s="1254"/>
      <c r="M27" s="1244"/>
      <c r="N27" s="1259"/>
      <c r="O27" s="1259"/>
      <c r="P27" s="1244"/>
      <c r="Q27" s="1244"/>
      <c r="R27" s="1244"/>
      <c r="S27" s="1265"/>
      <c r="T27" s="1244"/>
      <c r="U27" s="1244"/>
    </row>
    <row r="28">
      <c r="A28" s="1235"/>
      <c r="B28" s="1235"/>
      <c r="C28" s="1246" t="str">
        <f t="shared" si="2"/>
        <v/>
      </c>
      <c r="D28" s="1247" t="str">
        <f>iferror(VLOOKUP(B28,Pricing!B83:C208,2,false),"")</f>
        <v/>
      </c>
      <c r="E28" s="1248" t="str">
        <f>IFERROR(__xludf.DUMMYFUNCTION("IF(
  B28="""",
  """",
  IFERROR(
    VLOOKUP(
      B28,
      QUERY(
        {IMPORTRANGE(""1Ag27m9YF5mMfJh2E6NipJDFvPLlDI1p-s_1XEnzMHcc"",""Merge!F2:R"")},
        ""select Col1, Col10"",
        0
      ),
      2,
      FALSE
    ),
    """"
  )
)
"),"")</f>
        <v/>
      </c>
      <c r="F28" s="1248" t="str">
        <f>IFERROR(__xludf.DUMMYFUNCTION("IF(
  B28="""",
  """",
  IFERROR(
    VLOOKUP(
      B28,
      QUERY(
        {IMPORTRANGE(""1Ag27m9YF5mMfJh2E6NipJDFvPLlDI1p-s_1XEnzMHcc"",""Merge!F2:R"")},
        ""select Col1, Col12"",
        0
      ),2,FALSE),""""))"),"")</f>
        <v/>
      </c>
      <c r="G28" s="1249" t="str">
        <f>IFERROR(__xludf.DUMMYFUNCTION("IF(
  B28="""",
  """",
  IFERROR(
    VLOOKUP(
      B28,
      QUERY(
        {IMPORTRANGE(""1Ag27m9YF5mMfJh2E6NipJDFvPLlDI1p-s_1XEnzMHcc"",""Merge!F2:R"")},
        ""select Col1, Col11"",
        0
      ),
      2,
      FALSE
    ),""""))
"),"")</f>
        <v/>
      </c>
      <c r="H28" s="1250" t="str">
        <f>IFERROR(__xludf.DUMMYFUNCTION("IF(
  B28="""",
  """",
  IFERROR(
    VLOOKUP(
      B28,
      QUERY(
        {IMPORTRANGE(""1Ag27m9YF5mMfJh2E6NipJDFvPLlDI1p-s_1XEnzMHcc"",""Merge!F2:R"")},
        ""select Col1, Col9"",
        0
      ),
      2,
      FALSE
    ),""""))
"),"")</f>
        <v/>
      </c>
      <c r="I28" s="1251"/>
      <c r="J28" s="1252" t="str">
        <f t="shared" si="3"/>
        <v/>
      </c>
      <c r="K28" s="1253" t="str">
        <f t="shared" si="4"/>
        <v/>
      </c>
      <c r="L28" s="1254"/>
      <c r="M28" s="1244"/>
      <c r="N28" s="1259"/>
      <c r="O28" s="1259"/>
      <c r="P28" s="1244"/>
      <c r="Q28" s="1244"/>
      <c r="R28" s="1244"/>
      <c r="S28" s="1265"/>
      <c r="T28" s="1244"/>
      <c r="U28" s="1244"/>
    </row>
    <row r="29">
      <c r="A29" s="1235"/>
      <c r="B29" s="1235"/>
      <c r="C29" s="1246" t="str">
        <f t="shared" si="2"/>
        <v/>
      </c>
      <c r="D29" s="1247" t="str">
        <f>iferror(VLOOKUP(B29,Pricing!B83:C209,2,false),"")</f>
        <v/>
      </c>
      <c r="E29" s="1248" t="str">
        <f>IFERROR(__xludf.DUMMYFUNCTION("IF(
  B29="""",
  """",
  IFERROR(
    VLOOKUP(
      B29,
      QUERY(
        {IMPORTRANGE(""1Ag27m9YF5mMfJh2E6NipJDFvPLlDI1p-s_1XEnzMHcc"",""Merge!F2:R"")},
        ""select Col1, Col10"",
        0
      ),
      2,
      FALSE
    ),
    """"
  )
)
"),"")</f>
        <v/>
      </c>
      <c r="F29" s="1248" t="str">
        <f>IFERROR(__xludf.DUMMYFUNCTION("IF(
  B29="""",
  """",
  IFERROR(
    VLOOKUP(
      B29,
      QUERY(
        {IMPORTRANGE(""1Ag27m9YF5mMfJh2E6NipJDFvPLlDI1p-s_1XEnzMHcc"",""Merge!F2:R"")},
        ""select Col1, Col12"",
        0
      ),2,FALSE),""""))"),"")</f>
        <v/>
      </c>
      <c r="G29" s="1249" t="str">
        <f>IFERROR(__xludf.DUMMYFUNCTION("IF(
  B29="""",
  """",
  IFERROR(
    VLOOKUP(
      B29,
      QUERY(
        {IMPORTRANGE(""1Ag27m9YF5mMfJh2E6NipJDFvPLlDI1p-s_1XEnzMHcc"",""Merge!F2:R"")},
        ""select Col1, Col11"",
        0
      ),
      2,
      FALSE
    ),""""))
"),"")</f>
        <v/>
      </c>
      <c r="H29" s="1250" t="str">
        <f>IFERROR(__xludf.DUMMYFUNCTION("IF(
  B29="""",
  """",
  IFERROR(
    VLOOKUP(
      B29,
      QUERY(
        {IMPORTRANGE(""1Ag27m9YF5mMfJh2E6NipJDFvPLlDI1p-s_1XEnzMHcc"",""Merge!F2:R"")},
        ""select Col1, Col9"",
        0
      ),
      2,
      FALSE
    ),""""))
"),"")</f>
        <v/>
      </c>
      <c r="I29" s="1251"/>
      <c r="J29" s="1252" t="str">
        <f t="shared" si="3"/>
        <v/>
      </c>
      <c r="K29" s="1253" t="str">
        <f t="shared" si="4"/>
        <v/>
      </c>
      <c r="L29" s="1254"/>
      <c r="M29" s="1244"/>
      <c r="N29" s="1259"/>
      <c r="O29" s="1259"/>
      <c r="P29" s="1244"/>
      <c r="Q29" s="1244"/>
      <c r="R29" s="1244"/>
      <c r="S29" s="1265"/>
      <c r="T29" s="1244"/>
      <c r="U29" s="1244"/>
    </row>
    <row r="30">
      <c r="A30" s="1235"/>
      <c r="B30" s="1235"/>
      <c r="C30" s="1246" t="str">
        <f t="shared" si="2"/>
        <v/>
      </c>
      <c r="D30" s="1247" t="str">
        <f>iferror(VLOOKUP(B30,Pricing!B152:C210,2,false),"")</f>
        <v/>
      </c>
      <c r="E30" s="1248" t="str">
        <f>IFERROR(__xludf.DUMMYFUNCTION("IF(
  B30="""",
  """",
  IFERROR(
    VLOOKUP(
      B30,
      QUERY(
        {IMPORTRANGE(""1Ag27m9YF5mMfJh2E6NipJDFvPLlDI1p-s_1XEnzMHcc"",""Merge!F2:R"")},
        ""select Col1, Col10"",
        0
      ),
      2,
      FALSE
    ),
    """"
  )
)
"),"")</f>
        <v/>
      </c>
      <c r="F30" s="1248" t="str">
        <f>IFERROR(__xludf.DUMMYFUNCTION("IF(
  B30="""",
  """",
  IFERROR(
    VLOOKUP(
      B30,
      QUERY(
        {IMPORTRANGE(""1Ag27m9YF5mMfJh2E6NipJDFvPLlDI1p-s_1XEnzMHcc"",""Merge!F2:R"")},
        ""select Col1, Col12"",
        0
      ),2,FALSE),""""))"),"")</f>
        <v/>
      </c>
      <c r="G30" s="1249" t="str">
        <f>IFERROR(__xludf.DUMMYFUNCTION("IF(
  B30="""",
  """",
  IFERROR(
    VLOOKUP(
      B30,
      QUERY(
        {IMPORTRANGE(""1Ag27m9YF5mMfJh2E6NipJDFvPLlDI1p-s_1XEnzMHcc"",""Merge!F2:R"")},
        ""select Col1, Col11"",
        0
      ),
      2,
      FALSE
    ),""""))
"),"")</f>
        <v/>
      </c>
      <c r="H30" s="1250" t="str">
        <f>IFERROR(__xludf.DUMMYFUNCTION("IF(
  B30="""",
  """",
  IFERROR(
    VLOOKUP(
      B30,
      QUERY(
        {IMPORTRANGE(""1Ag27m9YF5mMfJh2E6NipJDFvPLlDI1p-s_1XEnzMHcc"",""Merge!F2:R"")},
        ""select Col1, Col9"",
        0
      ),
      2,
      FALSE
    ),""""))
"),"")</f>
        <v/>
      </c>
      <c r="I30" s="1251"/>
      <c r="J30" s="1252" t="str">
        <f t="shared" si="3"/>
        <v/>
      </c>
      <c r="K30" s="1253" t="str">
        <f t="shared" si="4"/>
        <v/>
      </c>
      <c r="L30" s="1254"/>
      <c r="M30" s="1244"/>
      <c r="N30" s="1259"/>
      <c r="O30" s="1259"/>
      <c r="P30" s="1244"/>
      <c r="Q30" s="1244"/>
      <c r="R30" s="1244"/>
      <c r="S30" s="1265"/>
      <c r="T30" s="1244"/>
      <c r="U30" s="1244"/>
    </row>
    <row r="31">
      <c r="A31" s="1235"/>
      <c r="B31" s="1235"/>
      <c r="C31" s="1246" t="str">
        <f t="shared" si="2"/>
        <v/>
      </c>
      <c r="D31" s="1247" t="str">
        <f>iferror(VLOOKUP(B31,Pricing!B152:C211,2,false),"")</f>
        <v/>
      </c>
      <c r="E31" s="1248" t="str">
        <f>IFERROR(__xludf.DUMMYFUNCTION("IF(
  B31="""",
  """",
  IFERROR(
    VLOOKUP(
      B31,
      QUERY(
        {IMPORTRANGE(""1Ag27m9YF5mMfJh2E6NipJDFvPLlDI1p-s_1XEnzMHcc"",""Merge!F2:R"")},
        ""select Col1, Col10"",
        0
      ),
      2,
      FALSE
    ),
    """"
  )
)
"),"")</f>
        <v/>
      </c>
      <c r="F31" s="1248" t="str">
        <f>IFERROR(__xludf.DUMMYFUNCTION("IF(
  B31="""",
  """",
  IFERROR(
    VLOOKUP(
      B31,
      QUERY(
        {IMPORTRANGE(""1Ag27m9YF5mMfJh2E6NipJDFvPLlDI1p-s_1XEnzMHcc"",""Merge!F2:R"")},
        ""select Col1, Col12"",
        0
      ),2,FALSE),""""))"),"")</f>
        <v/>
      </c>
      <c r="G31" s="1249" t="str">
        <f>IFERROR(__xludf.DUMMYFUNCTION("IF(
  B31="""",
  """",
  IFERROR(
    VLOOKUP(
      B31,
      QUERY(
        {IMPORTRANGE(""1Ag27m9YF5mMfJh2E6NipJDFvPLlDI1p-s_1XEnzMHcc"",""Merge!F2:R"")},
        ""select Col1, Col11"",
        0
      ),
      2,
      FALSE
    ),""""))
"),"")</f>
        <v/>
      </c>
      <c r="H31" s="1250" t="str">
        <f>IFERROR(__xludf.DUMMYFUNCTION("IF(
  B31="""",
  """",
  IFERROR(
    VLOOKUP(
      B31,
      QUERY(
        {IMPORTRANGE(""1Ag27m9YF5mMfJh2E6NipJDFvPLlDI1p-s_1XEnzMHcc"",""Merge!F2:R"")},
        ""select Col1, Col9"",
        0
      ),
      2,
      FALSE
    ),""""))
"),"")</f>
        <v/>
      </c>
      <c r="I31" s="1251"/>
      <c r="J31" s="1252" t="str">
        <f t="shared" si="3"/>
        <v/>
      </c>
      <c r="K31" s="1253" t="str">
        <f t="shared" si="4"/>
        <v/>
      </c>
      <c r="L31" s="1254"/>
      <c r="M31" s="1244"/>
      <c r="N31" s="1259"/>
      <c r="O31" s="1259"/>
      <c r="P31" s="1244"/>
      <c r="Q31" s="1244"/>
      <c r="R31" s="1244"/>
      <c r="S31" s="1265"/>
      <c r="T31" s="1244"/>
      <c r="U31" s="1244"/>
    </row>
    <row r="32">
      <c r="A32" s="1235"/>
      <c r="B32" s="1235"/>
      <c r="C32" s="1246" t="str">
        <f t="shared" si="2"/>
        <v/>
      </c>
      <c r="D32" s="1247" t="str">
        <f>iferror(VLOOKUP(B32,Pricing!B152:C212,2,false),"")</f>
        <v/>
      </c>
      <c r="E32" s="1248" t="str">
        <f>IFERROR(__xludf.DUMMYFUNCTION("IF(
  B32="""",
  """",
  IFERROR(
    VLOOKUP(
      B32,
      QUERY(
        {IMPORTRANGE(""1Ag27m9YF5mMfJh2E6NipJDFvPLlDI1p-s_1XEnzMHcc"",""Merge!F2:R"")},
        ""select Col1, Col10"",
        0
      ),
      2,
      FALSE
    ),
    """"
  )
)
"),"")</f>
        <v/>
      </c>
      <c r="F32" s="1248" t="str">
        <f>IFERROR(__xludf.DUMMYFUNCTION("IF(
  B32="""",
  """",
  IFERROR(
    VLOOKUP(
      B32,
      QUERY(
        {IMPORTRANGE(""1Ag27m9YF5mMfJh2E6NipJDFvPLlDI1p-s_1XEnzMHcc"",""Merge!F2:R"")},
        ""select Col1, Col12"",
        0
      ),2,FALSE),""""))"),"")</f>
        <v/>
      </c>
      <c r="G32" s="1249" t="str">
        <f>IFERROR(__xludf.DUMMYFUNCTION("IF(
  B32="""",
  """",
  IFERROR(
    VLOOKUP(
      B32,
      QUERY(
        {IMPORTRANGE(""1Ag27m9YF5mMfJh2E6NipJDFvPLlDI1p-s_1XEnzMHcc"",""Merge!F2:R"")},
        ""select Col1, Col11"",
        0
      ),
      2,
      FALSE
    ),""""))
"),"")</f>
        <v/>
      </c>
      <c r="H32" s="1250" t="str">
        <f>IFERROR(__xludf.DUMMYFUNCTION("IF(
  B32="""",
  """",
  IFERROR(
    VLOOKUP(
      B32,
      QUERY(
        {IMPORTRANGE(""1Ag27m9YF5mMfJh2E6NipJDFvPLlDI1p-s_1XEnzMHcc"",""Merge!F2:R"")},
        ""select Col1, Col9"",
        0
      ),
      2,
      FALSE
    ),""""))
"),"")</f>
        <v/>
      </c>
      <c r="I32" s="1251"/>
      <c r="J32" s="1252" t="str">
        <f t="shared" si="3"/>
        <v/>
      </c>
      <c r="K32" s="1253" t="str">
        <f t="shared" si="4"/>
        <v/>
      </c>
      <c r="L32" s="1254"/>
      <c r="M32" s="1244"/>
      <c r="N32" s="1259"/>
      <c r="O32" s="1259"/>
      <c r="P32" s="1244"/>
      <c r="Q32" s="1244"/>
      <c r="R32" s="1244"/>
      <c r="S32" s="1265"/>
      <c r="T32" s="1244"/>
      <c r="U32" s="1244"/>
    </row>
    <row r="33">
      <c r="A33" s="1235"/>
      <c r="B33" s="1235"/>
      <c r="C33" s="1246" t="str">
        <f t="shared" si="2"/>
        <v/>
      </c>
      <c r="D33" s="1247" t="str">
        <f>iferror(VLOOKUP(B33,Pricing!B152:C213,2,false),"")</f>
        <v/>
      </c>
      <c r="E33" s="1248" t="str">
        <f>IFERROR(__xludf.DUMMYFUNCTION("IF(
  B33="""",
  """",
  IFERROR(
    VLOOKUP(
      B33,
      QUERY(
        {IMPORTRANGE(""1Ag27m9YF5mMfJh2E6NipJDFvPLlDI1p-s_1XEnzMHcc"",""Merge!F2:R"")},
        ""select Col1, Col10"",
        0
      ),
      2,
      FALSE
    ),
    """"
  )
)
"),"")</f>
        <v/>
      </c>
      <c r="F33" s="1248" t="str">
        <f>IFERROR(__xludf.DUMMYFUNCTION("IF(
  B33="""",
  """",
  IFERROR(
    VLOOKUP(
      B33,
      QUERY(
        {IMPORTRANGE(""1Ag27m9YF5mMfJh2E6NipJDFvPLlDI1p-s_1XEnzMHcc"",""Merge!F2:R"")},
        ""select Col1, Col12"",
        0
      ),2,FALSE),""""))"),"")</f>
        <v/>
      </c>
      <c r="G33" s="1249" t="str">
        <f>IFERROR(__xludf.DUMMYFUNCTION("IF(
  B33="""",
  """",
  IFERROR(
    VLOOKUP(
      B33,
      QUERY(
        {IMPORTRANGE(""1Ag27m9YF5mMfJh2E6NipJDFvPLlDI1p-s_1XEnzMHcc"",""Merge!F2:R"")},
        ""select Col1, Col11"",
        0
      ),
      2,
      FALSE
    ),""""))
"),"")</f>
        <v/>
      </c>
      <c r="H33" s="1250" t="str">
        <f>IFERROR(__xludf.DUMMYFUNCTION("IF(
  B33="""",
  """",
  IFERROR(
    VLOOKUP(
      B33,
      QUERY(
        {IMPORTRANGE(""1Ag27m9YF5mMfJh2E6NipJDFvPLlDI1p-s_1XEnzMHcc"",""Merge!F2:R"")},
        ""select Col1, Col9"",
        0
      ),
      2,
      FALSE
    ),""""))
"),"")</f>
        <v/>
      </c>
      <c r="I33" s="1251"/>
      <c r="J33" s="1252" t="str">
        <f t="shared" si="3"/>
        <v/>
      </c>
      <c r="K33" s="1253" t="str">
        <f t="shared" si="4"/>
        <v/>
      </c>
      <c r="L33" s="1254"/>
      <c r="M33" s="1244"/>
      <c r="N33" s="1259"/>
      <c r="O33" s="1259"/>
      <c r="P33" s="1244"/>
      <c r="Q33" s="1244"/>
      <c r="R33" s="1244"/>
      <c r="S33" s="1265"/>
      <c r="T33" s="1244"/>
      <c r="U33" s="1244"/>
    </row>
    <row r="34">
      <c r="A34" s="1235"/>
      <c r="B34" s="1235"/>
      <c r="C34" s="1246" t="str">
        <f t="shared" si="2"/>
        <v/>
      </c>
      <c r="D34" s="1247" t="str">
        <f>iferror(VLOOKUP(B34,Pricing!B152:C214,2,false),"")</f>
        <v/>
      </c>
      <c r="E34" s="1248" t="str">
        <f>IFERROR(__xludf.DUMMYFUNCTION("IF(
  B34="""",
  """",
  IFERROR(
    VLOOKUP(
      B34,
      QUERY(
        {IMPORTRANGE(""1Ag27m9YF5mMfJh2E6NipJDFvPLlDI1p-s_1XEnzMHcc"",""Merge!F2:R"")},
        ""select Col1, Col10"",
        0
      ),
      2,
      FALSE
    ),
    """"
  )
)
"),"")</f>
        <v/>
      </c>
      <c r="F34" s="1248" t="str">
        <f>IFERROR(__xludf.DUMMYFUNCTION("IF(
  B34="""",
  """",
  IFERROR(
    VLOOKUP(
      B34,
      QUERY(
        {IMPORTRANGE(""1Ag27m9YF5mMfJh2E6NipJDFvPLlDI1p-s_1XEnzMHcc"",""Merge!F2:R"")},
        ""select Col1, Col12"",
        0
      ),2,FALSE),""""))"),"")</f>
        <v/>
      </c>
      <c r="G34" s="1249" t="str">
        <f>IFERROR(__xludf.DUMMYFUNCTION("IF(
  B34="""",
  """",
  IFERROR(
    VLOOKUP(
      B34,
      QUERY(
        {IMPORTRANGE(""1Ag27m9YF5mMfJh2E6NipJDFvPLlDI1p-s_1XEnzMHcc"",""Merge!F2:R"")},
        ""select Col1, Col11"",
        0
      ),
      2,
      FALSE
    ),""""))
"),"")</f>
        <v/>
      </c>
      <c r="H34" s="1250" t="str">
        <f>IFERROR(__xludf.DUMMYFUNCTION("IF(
  B34="""",
  """",
  IFERROR(
    VLOOKUP(
      B34,
      QUERY(
        {IMPORTRANGE(""1Ag27m9YF5mMfJh2E6NipJDFvPLlDI1p-s_1XEnzMHcc"",""Merge!F2:R"")},
        ""select Col1, Col9"",
        0
      ),
      2,
      FALSE
    ),""""))
"),"")</f>
        <v/>
      </c>
      <c r="I34" s="1251"/>
      <c r="J34" s="1252" t="str">
        <f t="shared" si="3"/>
        <v/>
      </c>
      <c r="K34" s="1253" t="str">
        <f t="shared" si="4"/>
        <v/>
      </c>
      <c r="L34" s="1254"/>
      <c r="M34" s="1244"/>
      <c r="N34" s="1259"/>
      <c r="O34" s="1259"/>
      <c r="P34" s="1244"/>
      <c r="Q34" s="1244"/>
      <c r="R34" s="1244"/>
      <c r="S34" s="1265"/>
      <c r="T34" s="1244"/>
      <c r="U34" s="1244"/>
    </row>
    <row r="35">
      <c r="A35" s="1235"/>
      <c r="B35" s="1235"/>
      <c r="C35" s="1246" t="str">
        <f t="shared" si="2"/>
        <v/>
      </c>
      <c r="D35" s="1247" t="str">
        <f>iferror(VLOOKUP(B35,Pricing!B152:C215,2,false),"")</f>
        <v/>
      </c>
      <c r="E35" s="1248" t="str">
        <f>IFERROR(__xludf.DUMMYFUNCTION("IF(
  B35="""",
  """",
  IFERROR(
    VLOOKUP(
      B35,
      QUERY(
        {IMPORTRANGE(""1Ag27m9YF5mMfJh2E6NipJDFvPLlDI1p-s_1XEnzMHcc"",""Merge!F2:R"")},
        ""select Col1, Col10"",
        0
      ),
      2,
      FALSE
    ),
    """"
  )
)
"),"")</f>
        <v/>
      </c>
      <c r="F35" s="1248" t="str">
        <f>IFERROR(__xludf.DUMMYFUNCTION("IF(
  B35="""",
  """",
  IFERROR(
    VLOOKUP(
      B35,
      QUERY(
        {IMPORTRANGE(""1Ag27m9YF5mMfJh2E6NipJDFvPLlDI1p-s_1XEnzMHcc"",""Merge!F2:R"")},
        ""select Col1, Col12"",
        0
      ),2,FALSE),""""))"),"")</f>
        <v/>
      </c>
      <c r="G35" s="1249" t="str">
        <f>IFERROR(__xludf.DUMMYFUNCTION("IF(
  B35="""",
  """",
  IFERROR(
    VLOOKUP(
      B35,
      QUERY(
        {IMPORTRANGE(""1Ag27m9YF5mMfJh2E6NipJDFvPLlDI1p-s_1XEnzMHcc"",""Merge!F2:R"")},
        ""select Col1, Col11"",
        0
      ),
      2,
      FALSE
    ),""""))
"),"")</f>
        <v/>
      </c>
      <c r="H35" s="1250" t="str">
        <f>IFERROR(__xludf.DUMMYFUNCTION("IF(
  B35="""",
  """",
  IFERROR(
    VLOOKUP(
      B35,
      QUERY(
        {IMPORTRANGE(""1Ag27m9YF5mMfJh2E6NipJDFvPLlDI1p-s_1XEnzMHcc"",""Merge!F2:R"")},
        ""select Col1, Col9"",
        0
      ),
      2,
      FALSE
    ),""""))
"),"")</f>
        <v/>
      </c>
      <c r="I35" s="1251"/>
      <c r="J35" s="1252" t="str">
        <f t="shared" si="3"/>
        <v/>
      </c>
      <c r="K35" s="1253" t="str">
        <f t="shared" si="4"/>
        <v/>
      </c>
      <c r="L35" s="1254"/>
      <c r="M35" s="1244"/>
      <c r="N35" s="1259"/>
      <c r="O35" s="1259"/>
      <c r="P35" s="1244"/>
      <c r="Q35" s="1244"/>
      <c r="R35" s="1244"/>
      <c r="S35" s="1265"/>
      <c r="T35" s="1244"/>
      <c r="U35" s="1244"/>
    </row>
    <row r="36">
      <c r="A36" s="1235"/>
      <c r="B36" s="1266"/>
      <c r="C36" s="1246" t="str">
        <f t="shared" si="2"/>
        <v/>
      </c>
      <c r="D36" s="1247" t="str">
        <f>iferror(VLOOKUP(B36,Pricing!B152:C216,2,false),"")</f>
        <v/>
      </c>
      <c r="E36" s="1248" t="str">
        <f>IFERROR(__xludf.DUMMYFUNCTION("IF(
  B36="""",
  """",
  IFERROR(
    VLOOKUP(
      B36,
      QUERY(
        {IMPORTRANGE(""1Ag27m9YF5mMfJh2E6NipJDFvPLlDI1p-s_1XEnzMHcc"",""Merge!F2:R"")},
        ""select Col1, Col10"",
        0
      ),
      2,
      FALSE
    ),
    """"
  )
)
"),"")</f>
        <v/>
      </c>
      <c r="F36" s="1248" t="str">
        <f>IFERROR(__xludf.DUMMYFUNCTION("IF(
  B36="""",
  """",
  IFERROR(
    VLOOKUP(
      B36,
      QUERY(
        {IMPORTRANGE(""1Ag27m9YF5mMfJh2E6NipJDFvPLlDI1p-s_1XEnzMHcc"",""Merge!F2:R"")},
        ""select Col1, Col12"",
        0
      ),2,FALSE),""""))"),"")</f>
        <v/>
      </c>
      <c r="G36" s="1249" t="str">
        <f>IFERROR(__xludf.DUMMYFUNCTION("IF(
  B36="""",
  """",
  IFERROR(
    VLOOKUP(
      B36,
      QUERY(
        {IMPORTRANGE(""1Ag27m9YF5mMfJh2E6NipJDFvPLlDI1p-s_1XEnzMHcc"",""Merge!F2:R"")},
        ""select Col1, Col11"",
        0
      ),
      2,
      FALSE
    ),""""))
"),"")</f>
        <v/>
      </c>
      <c r="H36" s="1250" t="str">
        <f>IFERROR(__xludf.DUMMYFUNCTION("IF(
  B36="""",
  """",
  IFERROR(
    VLOOKUP(
      B36,
      QUERY(
        {IMPORTRANGE(""1Ag27m9YF5mMfJh2E6NipJDFvPLlDI1p-s_1XEnzMHcc"",""Merge!F2:R"")},
        ""select Col1, Col9"",
        0
      ),
      2,
      FALSE
    ),""""))
"),"")</f>
        <v/>
      </c>
      <c r="I36" s="1251"/>
      <c r="J36" s="1252" t="str">
        <f t="shared" si="3"/>
        <v/>
      </c>
      <c r="K36" s="1253" t="str">
        <f t="shared" si="4"/>
        <v/>
      </c>
      <c r="L36" s="1254"/>
      <c r="M36" s="1244"/>
      <c r="N36" s="1259"/>
      <c r="O36" s="1259"/>
      <c r="P36" s="1244"/>
      <c r="Q36" s="1244"/>
      <c r="R36" s="1244"/>
      <c r="S36" s="1265"/>
      <c r="T36" s="1244"/>
      <c r="U36" s="1244"/>
    </row>
    <row r="37">
      <c r="A37" s="1235"/>
      <c r="B37" s="1235"/>
      <c r="C37" s="1246" t="str">
        <f t="shared" si="2"/>
        <v/>
      </c>
      <c r="D37" s="1247" t="str">
        <f>iferror(VLOOKUP(B37,Pricing!B152:C217,2,false),"")</f>
        <v/>
      </c>
      <c r="E37" s="1248" t="str">
        <f>IFERROR(__xludf.DUMMYFUNCTION("IF(
  B37="""",
  """",
  IFERROR(
    VLOOKUP(
      B37,
      QUERY(
        {IMPORTRANGE(""1Ag27m9YF5mMfJh2E6NipJDFvPLlDI1p-s_1XEnzMHcc"",""Merge!F2:R"")},
        ""select Col1, Col10"",
        0
      ),
      2,
      FALSE
    ),
    """"
  )
)
"),"")</f>
        <v/>
      </c>
      <c r="F37" s="1248" t="str">
        <f>IFERROR(__xludf.DUMMYFUNCTION("IF(
  B37="""",
  """",
  IFERROR(
    VLOOKUP(
      B37,
      QUERY(
        {IMPORTRANGE(""1Ag27m9YF5mMfJh2E6NipJDFvPLlDI1p-s_1XEnzMHcc"",""Merge!F2:R"")},
        ""select Col1, Col12"",
        0
      ),2,FALSE),""""))"),"")</f>
        <v/>
      </c>
      <c r="G37" s="1249" t="str">
        <f>IFERROR(__xludf.DUMMYFUNCTION("IF(
  B37="""",
  """",
  IFERROR(
    VLOOKUP(
      B37,
      QUERY(
        {IMPORTRANGE(""1Ag27m9YF5mMfJh2E6NipJDFvPLlDI1p-s_1XEnzMHcc"",""Merge!F2:R"")},
        ""select Col1, Col11"",
        0
      ),
      2,
      FALSE
    ),""""))
"),"")</f>
        <v/>
      </c>
      <c r="H37" s="1250" t="str">
        <f>IFERROR(__xludf.DUMMYFUNCTION("IF(
  B37="""",
  """",
  IFERROR(
    VLOOKUP(
      B37,
      QUERY(
        {IMPORTRANGE(""1Ag27m9YF5mMfJh2E6NipJDFvPLlDI1p-s_1XEnzMHcc"",""Merge!F2:R"")},
        ""select Col1, Col9"",
        0
      ),
      2,
      FALSE
    ),""""))
"),"")</f>
        <v/>
      </c>
      <c r="I37" s="1251"/>
      <c r="J37" s="1252" t="str">
        <f t="shared" si="3"/>
        <v/>
      </c>
      <c r="K37" s="1253" t="str">
        <f t="shared" si="4"/>
        <v/>
      </c>
      <c r="L37" s="1254"/>
      <c r="M37" s="1244"/>
      <c r="N37" s="1259"/>
      <c r="O37" s="1259"/>
      <c r="P37" s="1244"/>
      <c r="Q37" s="1244"/>
      <c r="R37" s="1244"/>
      <c r="S37" s="1265"/>
      <c r="T37" s="1244"/>
      <c r="U37" s="1244"/>
    </row>
    <row r="38">
      <c r="A38" s="1235"/>
      <c r="B38" s="1235"/>
      <c r="C38" s="1246" t="str">
        <f t="shared" si="2"/>
        <v/>
      </c>
      <c r="D38" s="1247" t="str">
        <f>iferror(VLOOKUP(B38,Pricing!B152:C218,2,false),"")</f>
        <v/>
      </c>
      <c r="E38" s="1248" t="str">
        <f>IFERROR(__xludf.DUMMYFUNCTION("IF(
  B38="""",
  """",
  IFERROR(
    VLOOKUP(
      B38,
      QUERY(
        {IMPORTRANGE(""1Ag27m9YF5mMfJh2E6NipJDFvPLlDI1p-s_1XEnzMHcc"",""Merge!F2:R"")},
        ""select Col1, Col10"",
        0
      ),
      2,
      FALSE
    ),
    """"
  )
)
"),"")</f>
        <v/>
      </c>
      <c r="F38" s="1248" t="str">
        <f>IFERROR(__xludf.DUMMYFUNCTION("IF(
  B38="""",
  """",
  IFERROR(
    VLOOKUP(
      B38,
      QUERY(
        {IMPORTRANGE(""1Ag27m9YF5mMfJh2E6NipJDFvPLlDI1p-s_1XEnzMHcc"",""Merge!F2:R"")},
        ""select Col1, Col12"",
        0
      ),2,FALSE),""""))"),"")</f>
        <v/>
      </c>
      <c r="G38" s="1249" t="str">
        <f>IFERROR(__xludf.DUMMYFUNCTION("IF(
  B38="""",
  """",
  IFERROR(
    VLOOKUP(
      B38,
      QUERY(
        {IMPORTRANGE(""1Ag27m9YF5mMfJh2E6NipJDFvPLlDI1p-s_1XEnzMHcc"",""Merge!F2:R"")},
        ""select Col1, Col11"",
        0
      ),
      2,
      FALSE
    ),""""))
"),"")</f>
        <v/>
      </c>
      <c r="H38" s="1250" t="str">
        <f>IFERROR(__xludf.DUMMYFUNCTION("IF(
  B38="""",
  """",
  IFERROR(
    VLOOKUP(
      B38,
      QUERY(
        {IMPORTRANGE(""1Ag27m9YF5mMfJh2E6NipJDFvPLlDI1p-s_1XEnzMHcc"",""Merge!F2:R"")},
        ""select Col1, Col9"",
        0
      ),
      2,
      FALSE
    ),""""))
"),"")</f>
        <v/>
      </c>
      <c r="I38" s="1251"/>
      <c r="J38" s="1252" t="str">
        <f t="shared" si="3"/>
        <v/>
      </c>
      <c r="K38" s="1253" t="str">
        <f t="shared" si="4"/>
        <v/>
      </c>
      <c r="L38" s="1254"/>
      <c r="M38" s="1244"/>
      <c r="N38" s="1259"/>
      <c r="O38" s="1259"/>
      <c r="P38" s="1244"/>
      <c r="Q38" s="1244"/>
      <c r="R38" s="1244"/>
      <c r="S38" s="1265"/>
      <c r="T38" s="1244"/>
      <c r="U38" s="1244"/>
    </row>
    <row r="39">
      <c r="A39" s="1235"/>
      <c r="B39" s="1235"/>
      <c r="C39" s="1246" t="str">
        <f t="shared" si="2"/>
        <v/>
      </c>
      <c r="D39" s="1247" t="str">
        <f>iferror(VLOOKUP(B39,Pricing!B152:C219,2,false),"")</f>
        <v/>
      </c>
      <c r="E39" s="1248" t="str">
        <f>IFERROR(__xludf.DUMMYFUNCTION("IF(
  B39="""",
  """",
  IFERROR(
    VLOOKUP(
      B39,
      QUERY(
        {IMPORTRANGE(""1Ag27m9YF5mMfJh2E6NipJDFvPLlDI1p-s_1XEnzMHcc"",""Merge!F2:R"")},
        ""select Col1, Col10"",
        0
      ),
      2,
      FALSE
    ),
    """"
  )
)
"),"")</f>
        <v/>
      </c>
      <c r="F39" s="1248" t="str">
        <f>IFERROR(__xludf.DUMMYFUNCTION("IF(
  B39="""",
  """",
  IFERROR(
    VLOOKUP(
      B39,
      QUERY(
        {IMPORTRANGE(""1Ag27m9YF5mMfJh2E6NipJDFvPLlDI1p-s_1XEnzMHcc"",""Merge!F2:R"")},
        ""select Col1, Col12"",
        0
      ),2,FALSE),""""))"),"")</f>
        <v/>
      </c>
      <c r="G39" s="1249" t="str">
        <f>IFERROR(__xludf.DUMMYFUNCTION("IF(
  B39="""",
  """",
  IFERROR(
    VLOOKUP(
      B39,
      QUERY(
        {IMPORTRANGE(""1Ag27m9YF5mMfJh2E6NipJDFvPLlDI1p-s_1XEnzMHcc"",""Merge!F2:R"")},
        ""select Col1, Col11"",
        0
      ),
      2,
      FALSE
    ),""""))
"),"")</f>
        <v/>
      </c>
      <c r="H39" s="1250" t="str">
        <f>IFERROR(__xludf.DUMMYFUNCTION("IF(
  B39="""",
  """",
  IFERROR(
    VLOOKUP(
      B39,
      QUERY(
        {IMPORTRANGE(""1Ag27m9YF5mMfJh2E6NipJDFvPLlDI1p-s_1XEnzMHcc"",""Merge!F2:R"")},
        ""select Col1, Col9"",
        0
      ),
      2,
      FALSE
    ),""""))
"),"")</f>
        <v/>
      </c>
      <c r="I39" s="1251"/>
      <c r="J39" s="1252" t="str">
        <f t="shared" si="3"/>
        <v/>
      </c>
      <c r="K39" s="1253" t="str">
        <f t="shared" si="4"/>
        <v/>
      </c>
      <c r="L39" s="1254"/>
      <c r="M39" s="1244"/>
      <c r="N39" s="1259"/>
      <c r="O39" s="1259"/>
      <c r="P39" s="1244"/>
      <c r="Q39" s="1244"/>
      <c r="R39" s="1244"/>
      <c r="S39" s="1265"/>
      <c r="T39" s="1244"/>
      <c r="U39" s="1244"/>
    </row>
    <row r="40">
      <c r="A40" s="1235"/>
      <c r="B40" s="1266"/>
      <c r="C40" s="1246" t="str">
        <f t="shared" si="2"/>
        <v/>
      </c>
      <c r="D40" s="1247" t="str">
        <f>iferror(VLOOKUP(B40,Pricing!B152:C220,2,false),"")</f>
        <v/>
      </c>
      <c r="E40" s="1248" t="str">
        <f>IFERROR(__xludf.DUMMYFUNCTION("IF(
  B40="""",
  """",
  IFERROR(
    VLOOKUP(
      B40,
      QUERY(
        {IMPORTRANGE(""1Ag27m9YF5mMfJh2E6NipJDFvPLlDI1p-s_1XEnzMHcc"",""Merge!F2:R"")},
        ""select Col1, Col10"",
        0
      ),
      2,
      FALSE
    ),
    """"
  )
)
"),"")</f>
        <v/>
      </c>
      <c r="F40" s="1248" t="str">
        <f>IFERROR(__xludf.DUMMYFUNCTION("IF(
  B40="""",
  """",
  IFERROR(
    VLOOKUP(
      B40,
      QUERY(
        {IMPORTRANGE(""1Ag27m9YF5mMfJh2E6NipJDFvPLlDI1p-s_1XEnzMHcc"",""Merge!F2:R"")},
        ""select Col1, Col12"",
        0
      ),2,FALSE),""""))"),"")</f>
        <v/>
      </c>
      <c r="G40" s="1249" t="str">
        <f>IFERROR(__xludf.DUMMYFUNCTION("IF(
  B40="""",
  """",
  IFERROR(
    VLOOKUP(
      B40,
      QUERY(
        {IMPORTRANGE(""1Ag27m9YF5mMfJh2E6NipJDFvPLlDI1p-s_1XEnzMHcc"",""Merge!F2:R"")},
        ""select Col1, Col11"",
        0
      ),
      2,
      FALSE
    ),""""))
"),"")</f>
        <v/>
      </c>
      <c r="H40" s="1250" t="str">
        <f>IFERROR(__xludf.DUMMYFUNCTION("IF(
  B40="""",
  """",
  IFERROR(
    VLOOKUP(
      B40,
      QUERY(
        {IMPORTRANGE(""1Ag27m9YF5mMfJh2E6NipJDFvPLlDI1p-s_1XEnzMHcc"",""Merge!F2:R"")},
        ""select Col1, Col9"",
        0
      ),
      2,
      FALSE
    ),""""))
"),"")</f>
        <v/>
      </c>
      <c r="I40" s="1251"/>
      <c r="J40" s="1252" t="str">
        <f t="shared" si="3"/>
        <v/>
      </c>
      <c r="K40" s="1253" t="str">
        <f t="shared" si="4"/>
        <v/>
      </c>
      <c r="L40" s="1254"/>
      <c r="M40" s="1244"/>
      <c r="N40" s="1259"/>
      <c r="O40" s="1259"/>
      <c r="P40" s="1244"/>
      <c r="Q40" s="1244"/>
      <c r="R40" s="1244"/>
      <c r="S40" s="1265"/>
      <c r="T40" s="1244"/>
      <c r="U40" s="1244"/>
    </row>
    <row r="41">
      <c r="A41" s="1235"/>
      <c r="B41" s="1235"/>
      <c r="C41" s="1246" t="str">
        <f t="shared" si="2"/>
        <v/>
      </c>
      <c r="D41" s="1247" t="str">
        <f>iferror(VLOOKUP(B41,Pricing!B152:C221,2,false),"")</f>
        <v/>
      </c>
      <c r="E41" s="1248" t="str">
        <f>IFERROR(__xludf.DUMMYFUNCTION("IF(
  B41="""",
  """",
  IFERROR(
    VLOOKUP(
      B41,
      QUERY(
        {IMPORTRANGE(""1Ag27m9YF5mMfJh2E6NipJDFvPLlDI1p-s_1XEnzMHcc"",""Merge!F2:R"")},
        ""select Col1, Col10"",
        0
      ),
      2,
      FALSE
    ),
    """"
  )
)
"),"")</f>
        <v/>
      </c>
      <c r="F41" s="1248" t="str">
        <f>IFERROR(__xludf.DUMMYFUNCTION("IF(
  B41="""",
  """",
  IFERROR(
    VLOOKUP(
      B41,
      QUERY(
        {IMPORTRANGE(""1Ag27m9YF5mMfJh2E6NipJDFvPLlDI1p-s_1XEnzMHcc"",""Merge!F2:R"")},
        ""select Col1, Col12"",
        0
      ),2,FALSE),""""))"),"")</f>
        <v/>
      </c>
      <c r="G41" s="1249" t="str">
        <f>IFERROR(__xludf.DUMMYFUNCTION("IF(
  B41="""",
  """",
  IFERROR(
    VLOOKUP(
      B41,
      QUERY(
        {IMPORTRANGE(""1Ag27m9YF5mMfJh2E6NipJDFvPLlDI1p-s_1XEnzMHcc"",""Merge!F2:R"")},
        ""select Col1, Col11"",
        0
      ),
      2,
      FALSE
    ),""""))
"),"")</f>
        <v/>
      </c>
      <c r="H41" s="1250" t="str">
        <f>IFERROR(__xludf.DUMMYFUNCTION("IF(
  B41="""",
  """",
  IFERROR(
    VLOOKUP(
      B41,
      QUERY(
        {IMPORTRANGE(""1Ag27m9YF5mMfJh2E6NipJDFvPLlDI1p-s_1XEnzMHcc"",""Merge!F2:R"")},
        ""select Col1, Col9"",
        0
      ),
      2,
      FALSE
    ),""""))
"),"")</f>
        <v/>
      </c>
      <c r="I41" s="1251"/>
      <c r="J41" s="1252" t="str">
        <f t="shared" si="3"/>
        <v/>
      </c>
      <c r="K41" s="1253" t="str">
        <f t="shared" si="4"/>
        <v/>
      </c>
      <c r="L41" s="1254"/>
      <c r="M41" s="1244"/>
      <c r="N41" s="1259"/>
      <c r="O41" s="1259"/>
      <c r="P41" s="1244"/>
      <c r="Q41" s="1244"/>
      <c r="R41" s="1244"/>
      <c r="S41" s="1265"/>
      <c r="T41" s="1244"/>
      <c r="U41" s="1244"/>
    </row>
    <row r="42">
      <c r="A42" s="1235"/>
      <c r="B42" s="1266"/>
      <c r="C42" s="1246" t="str">
        <f t="shared" si="2"/>
        <v/>
      </c>
      <c r="D42" s="1247" t="str">
        <f>iferror(VLOOKUP(B42,Pricing!B152:C222,2,false),"")</f>
        <v/>
      </c>
      <c r="E42" s="1248" t="str">
        <f>IFERROR(__xludf.DUMMYFUNCTION("IF(
  B42="""",
  """",
  IFERROR(
    VLOOKUP(
      B42,
      QUERY(
        {IMPORTRANGE(""1Ag27m9YF5mMfJh2E6NipJDFvPLlDI1p-s_1XEnzMHcc"",""Merge!F2:R"")},
        ""select Col1, Col10"",
        0
      ),
      2,
      FALSE
    ),
    """"
  )
)
"),"")</f>
        <v/>
      </c>
      <c r="F42" s="1248" t="str">
        <f>IFERROR(__xludf.DUMMYFUNCTION("IF(
  B42="""",
  """",
  IFERROR(
    VLOOKUP(
      B42,
      QUERY(
        {IMPORTRANGE(""1Ag27m9YF5mMfJh2E6NipJDFvPLlDI1p-s_1XEnzMHcc"",""Merge!F2:R"")},
        ""select Col1, Col12"",
        0
      ),2,FALSE),""""))"),"")</f>
        <v/>
      </c>
      <c r="G42" s="1249" t="str">
        <f>IFERROR(__xludf.DUMMYFUNCTION("IF(
  B42="""",
  """",
  IFERROR(
    VLOOKUP(
      B42,
      QUERY(
        {IMPORTRANGE(""1Ag27m9YF5mMfJh2E6NipJDFvPLlDI1p-s_1XEnzMHcc"",""Merge!F2:R"")},
        ""select Col1, Col11"",
        0
      ),
      2,
      FALSE
    ),""""))
"),"")</f>
        <v/>
      </c>
      <c r="H42" s="1250" t="str">
        <f>IFERROR(__xludf.DUMMYFUNCTION("IF(
  B42="""",
  """",
  IFERROR(
    VLOOKUP(
      B42,
      QUERY(
        {IMPORTRANGE(""1Ag27m9YF5mMfJh2E6NipJDFvPLlDI1p-s_1XEnzMHcc"",""Merge!F2:R"")},
        ""select Col1, Col9"",
        0
      ),
      2,
      FALSE
    ),""""))
"),"")</f>
        <v/>
      </c>
      <c r="I42" s="1251"/>
      <c r="J42" s="1252" t="str">
        <f t="shared" si="3"/>
        <v/>
      </c>
      <c r="K42" s="1253" t="str">
        <f t="shared" si="4"/>
        <v/>
      </c>
      <c r="L42" s="1254"/>
      <c r="M42" s="1244"/>
      <c r="N42" s="1259"/>
      <c r="O42" s="1259"/>
      <c r="P42" s="1244"/>
      <c r="Q42" s="1244"/>
      <c r="R42" s="1244"/>
      <c r="S42" s="1265"/>
      <c r="T42" s="1244"/>
      <c r="U42" s="1244"/>
    </row>
    <row r="43">
      <c r="A43" s="1235"/>
      <c r="B43" s="1266"/>
      <c r="C43" s="1246" t="str">
        <f t="shared" si="2"/>
        <v/>
      </c>
      <c r="D43" s="1247" t="str">
        <f>iferror(VLOOKUP(B43,Pricing!B152:C223,2,false),"")</f>
        <v/>
      </c>
      <c r="E43" s="1248" t="str">
        <f>IFERROR(__xludf.DUMMYFUNCTION("IF(
  B43="""",
  """",
  IFERROR(
    VLOOKUP(
      B43,
      QUERY(
        {IMPORTRANGE(""1Ag27m9YF5mMfJh2E6NipJDFvPLlDI1p-s_1XEnzMHcc"",""Merge!F2:R"")},
        ""select Col1, Col10"",
        0
      ),
      2,
      FALSE
    ),
    """"
  )
)
"),"")</f>
        <v/>
      </c>
      <c r="F43" s="1248" t="str">
        <f>IFERROR(__xludf.DUMMYFUNCTION("IF(
  B43="""",
  """",
  IFERROR(
    VLOOKUP(
      B43,
      QUERY(
        {IMPORTRANGE(""1Ag27m9YF5mMfJh2E6NipJDFvPLlDI1p-s_1XEnzMHcc"",""Merge!F2:R"")},
        ""select Col1, Col12"",
        0
      ),2,FALSE),""""))"),"")</f>
        <v/>
      </c>
      <c r="G43" s="1249" t="str">
        <f>IFERROR(__xludf.DUMMYFUNCTION("IF(
  B43="""",
  """",
  IFERROR(
    VLOOKUP(
      B43,
      QUERY(
        {IMPORTRANGE(""1Ag27m9YF5mMfJh2E6NipJDFvPLlDI1p-s_1XEnzMHcc"",""Merge!F2:R"")},
        ""select Col1, Col11"",
        0
      ),
      2,
      FALSE
    ),""""))
"),"")</f>
        <v/>
      </c>
      <c r="H43" s="1250" t="str">
        <f>IFERROR(__xludf.DUMMYFUNCTION("IF(
  B43="""",
  """",
  IFERROR(
    VLOOKUP(
      B43,
      QUERY(
        {IMPORTRANGE(""1Ag27m9YF5mMfJh2E6NipJDFvPLlDI1p-s_1XEnzMHcc"",""Merge!F2:R"")},
        ""select Col1, Col9"",
        0
      ),
      2,
      FALSE
    ),""""))
"),"")</f>
        <v/>
      </c>
      <c r="I43" s="1251"/>
      <c r="J43" s="1252" t="str">
        <f t="shared" si="3"/>
        <v/>
      </c>
      <c r="K43" s="1253" t="str">
        <f t="shared" si="4"/>
        <v/>
      </c>
      <c r="L43" s="1254"/>
      <c r="M43" s="1244"/>
      <c r="N43" s="1259"/>
      <c r="O43" s="1259"/>
      <c r="P43" s="1244"/>
      <c r="Q43" s="1244"/>
      <c r="R43" s="1244"/>
      <c r="S43" s="1265"/>
      <c r="T43" s="1244"/>
      <c r="U43" s="1244"/>
    </row>
    <row r="44">
      <c r="A44" s="1235"/>
      <c r="B44" s="1266"/>
      <c r="C44" s="1246" t="str">
        <f t="shared" si="2"/>
        <v/>
      </c>
      <c r="D44" s="1247" t="str">
        <f>iferror(VLOOKUP(B44,Pricing!B16:C224,2,false),"")</f>
        <v/>
      </c>
      <c r="E44" s="1248" t="str">
        <f>IFERROR(__xludf.DUMMYFUNCTION("IF(
  B44="""",
  """",
  IFERROR(
    VLOOKUP(
      B44,
      QUERY(
        {IMPORTRANGE(""1Ag27m9YF5mMfJh2E6NipJDFvPLlDI1p-s_1XEnzMHcc"",""Merge!F2:R"")},
        ""select Col1, Col10"",
        0
      ),
      2,
      FALSE
    ),
    """"
  )
)
"),"")</f>
        <v/>
      </c>
      <c r="F44" s="1248" t="str">
        <f>IFERROR(__xludf.DUMMYFUNCTION("IF(
  B44="""",
  """",
  IFERROR(
    VLOOKUP(
      B44,
      QUERY(
        {IMPORTRANGE(""1Ag27m9YF5mMfJh2E6NipJDFvPLlDI1p-s_1XEnzMHcc"",""Merge!F2:R"")},
        ""select Col1, Col12"",
        0
      ),2,FALSE),""""))"),"")</f>
        <v/>
      </c>
      <c r="G44" s="1249" t="str">
        <f>IFERROR(__xludf.DUMMYFUNCTION("IF(
  B44="""",
  """",
  IFERROR(
    VLOOKUP(
      B44,
      QUERY(
        {IMPORTRANGE(""1Ag27m9YF5mMfJh2E6NipJDFvPLlDI1p-s_1XEnzMHcc"",""Merge!F2:R"")},
        ""select Col1, Col11"",
        0
      ),
      2,
      FALSE
    ),""""))
"),"")</f>
        <v/>
      </c>
      <c r="H44" s="1250" t="str">
        <f>IFERROR(__xludf.DUMMYFUNCTION("IF(
  B44="""",
  """",
  IFERROR(
    VLOOKUP(
      B44,
      QUERY(
        {IMPORTRANGE(""1Ag27m9YF5mMfJh2E6NipJDFvPLlDI1p-s_1XEnzMHcc"",""Merge!F2:R"")},
        ""select Col1, Col9"",
        0
      ),
      2,
      FALSE
    ),""""))
"),"")</f>
        <v/>
      </c>
      <c r="I44" s="1251"/>
      <c r="J44" s="1252" t="str">
        <f t="shared" si="3"/>
        <v/>
      </c>
      <c r="K44" s="1253" t="str">
        <f t="shared" si="4"/>
        <v/>
      </c>
      <c r="L44" s="1254"/>
      <c r="M44" s="1244"/>
      <c r="N44" s="1259"/>
      <c r="O44" s="1259"/>
      <c r="P44" s="1244"/>
      <c r="Q44" s="1244"/>
      <c r="R44" s="1244"/>
      <c r="S44" s="1265"/>
      <c r="T44" s="1244"/>
      <c r="U44" s="1244"/>
    </row>
    <row r="45">
      <c r="A45" s="1235"/>
      <c r="B45" s="1266"/>
      <c r="C45" s="1246" t="str">
        <f t="shared" si="2"/>
        <v/>
      </c>
      <c r="D45" s="1247" t="str">
        <f>iferror(VLOOKUP(B45,Pricing!B16:C225,2,false),"")</f>
        <v/>
      </c>
      <c r="E45" s="1248" t="str">
        <f>IFERROR(__xludf.DUMMYFUNCTION("IF(
  B45="""",
  """",
  IFERROR(
    VLOOKUP(
      B45,
      QUERY(
        {IMPORTRANGE(""1Ag27m9YF5mMfJh2E6NipJDFvPLlDI1p-s_1XEnzMHcc"",""Merge!F2:R"")},
        ""select Col1, Col10"",
        0
      ),
      2,
      FALSE
    ),
    """"
  )
)
"),"")</f>
        <v/>
      </c>
      <c r="F45" s="1248" t="str">
        <f>IFERROR(__xludf.DUMMYFUNCTION("IF(
  B45="""",
  """",
  IFERROR(
    VLOOKUP(
      B45,
      QUERY(
        {IMPORTRANGE(""1Ag27m9YF5mMfJh2E6NipJDFvPLlDI1p-s_1XEnzMHcc"",""Merge!F2:R"")},
        ""select Col1, Col12"",
        0
      ),2,FALSE),""""))"),"")</f>
        <v/>
      </c>
      <c r="G45" s="1249" t="str">
        <f>IFERROR(__xludf.DUMMYFUNCTION("IF(
  B45="""",
  """",
  IFERROR(
    VLOOKUP(
      B45,
      QUERY(
        {IMPORTRANGE(""1Ag27m9YF5mMfJh2E6NipJDFvPLlDI1p-s_1XEnzMHcc"",""Merge!F2:R"")},
        ""select Col1, Col11"",
        0
      ),
      2,
      FALSE
    ),""""))
"),"")</f>
        <v/>
      </c>
      <c r="H45" s="1250" t="str">
        <f>IFERROR(__xludf.DUMMYFUNCTION("IF(
  B45="""",
  """",
  IFERROR(
    VLOOKUP(
      B45,
      QUERY(
        {IMPORTRANGE(""1Ag27m9YF5mMfJh2E6NipJDFvPLlDI1p-s_1XEnzMHcc"",""Merge!F2:R"")},
        ""select Col1, Col9"",
        0
      ),
      2,
      FALSE
    ),""""))
"),"")</f>
        <v/>
      </c>
      <c r="I45" s="1251"/>
      <c r="J45" s="1252" t="str">
        <f t="shared" si="3"/>
        <v/>
      </c>
      <c r="K45" s="1253" t="str">
        <f t="shared" si="4"/>
        <v/>
      </c>
      <c r="L45" s="1254"/>
      <c r="M45" s="1244"/>
      <c r="N45" s="1259"/>
      <c r="O45" s="1259"/>
      <c r="P45" s="1244"/>
      <c r="Q45" s="1244"/>
      <c r="R45" s="1244"/>
      <c r="S45" s="1265"/>
      <c r="T45" s="1244"/>
      <c r="U45" s="1244"/>
    </row>
    <row r="46">
      <c r="A46" s="1235"/>
      <c r="B46" s="1266"/>
      <c r="C46" s="1246" t="str">
        <f t="shared" si="2"/>
        <v/>
      </c>
      <c r="D46" s="1247" t="str">
        <f>iferror(VLOOKUP(B46,Pricing!B16:C226,2,false),"")</f>
        <v/>
      </c>
      <c r="E46" s="1248" t="str">
        <f>IFERROR(__xludf.DUMMYFUNCTION("IF(
  B46="""",
  """",
  IFERROR(
    VLOOKUP(
      B46,
      QUERY(
        {IMPORTRANGE(""1Ag27m9YF5mMfJh2E6NipJDFvPLlDI1p-s_1XEnzMHcc"",""Merge!F2:R"")},
        ""select Col1, Col10"",
        0
      ),
      2,
      FALSE
    ),
    """"
  )
)
"),"")</f>
        <v/>
      </c>
      <c r="F46" s="1248" t="str">
        <f>IFERROR(__xludf.DUMMYFUNCTION("IF(
  B46="""",
  """",
  IFERROR(
    VLOOKUP(
      B46,
      QUERY(
        {IMPORTRANGE(""1Ag27m9YF5mMfJh2E6NipJDFvPLlDI1p-s_1XEnzMHcc"",""Merge!F2:R"")},
        ""select Col1, Col12"",
        0
      ),2,FALSE),""""))"),"")</f>
        <v/>
      </c>
      <c r="G46" s="1249" t="str">
        <f>IFERROR(__xludf.DUMMYFUNCTION("IF(
  B46="""",
  """",
  IFERROR(
    VLOOKUP(
      B46,
      QUERY(
        {IMPORTRANGE(""1Ag27m9YF5mMfJh2E6NipJDFvPLlDI1p-s_1XEnzMHcc"",""Merge!F2:R"")},
        ""select Col1, Col11"",
        0
      ),
      2,
      FALSE
    ),""""))
"),"")</f>
        <v/>
      </c>
      <c r="H46" s="1250" t="str">
        <f>IFERROR(__xludf.DUMMYFUNCTION("IF(
  B46="""",
  """",
  IFERROR(
    VLOOKUP(
      B46,
      QUERY(
        {IMPORTRANGE(""1Ag27m9YF5mMfJh2E6NipJDFvPLlDI1p-s_1XEnzMHcc"",""Merge!F2:R"")},
        ""select Col1, Col9"",
        0
      ),
      2,
      FALSE
    ),""""))
"),"")</f>
        <v/>
      </c>
      <c r="I46" s="1251"/>
      <c r="J46" s="1252" t="str">
        <f t="shared" si="3"/>
        <v/>
      </c>
      <c r="K46" s="1253" t="str">
        <f t="shared" si="4"/>
        <v/>
      </c>
      <c r="L46" s="1254"/>
      <c r="M46" s="1244"/>
      <c r="N46" s="1259"/>
      <c r="O46" s="1259"/>
      <c r="P46" s="1244"/>
      <c r="Q46" s="1244"/>
      <c r="R46" s="1244"/>
      <c r="S46" s="1265"/>
      <c r="T46" s="1244"/>
      <c r="U46" s="1244"/>
    </row>
    <row r="47">
      <c r="A47" s="1235"/>
      <c r="B47" s="1266"/>
      <c r="C47" s="1246" t="str">
        <f t="shared" si="2"/>
        <v/>
      </c>
      <c r="D47" s="1247" t="str">
        <f>iferror(VLOOKUP(B47,Pricing!B16:C227,2,false),"")</f>
        <v/>
      </c>
      <c r="E47" s="1248" t="str">
        <f>IFERROR(__xludf.DUMMYFUNCTION("IF(
  B47="""",
  """",
  IFERROR(
    VLOOKUP(
      B47,
      QUERY(
        {IMPORTRANGE(""1Ag27m9YF5mMfJh2E6NipJDFvPLlDI1p-s_1XEnzMHcc"",""Merge!F2:R"")},
        ""select Col1, Col10"",
        0
      ),
      2,
      FALSE
    ),
    """"
  )
)
"),"")</f>
        <v/>
      </c>
      <c r="F47" s="1248" t="str">
        <f>IFERROR(__xludf.DUMMYFUNCTION("IF(
  B47="""",
  """",
  IFERROR(
    VLOOKUP(
      B47,
      QUERY(
        {IMPORTRANGE(""1Ag27m9YF5mMfJh2E6NipJDFvPLlDI1p-s_1XEnzMHcc"",""Merge!F2:R"")},
        ""select Col1, Col12"",
        0
      ),2,FALSE),""""))"),"")</f>
        <v/>
      </c>
      <c r="G47" s="1249" t="str">
        <f>IFERROR(__xludf.DUMMYFUNCTION("IF(
  B47="""",
  """",
  IFERROR(
    VLOOKUP(
      B47,
      QUERY(
        {IMPORTRANGE(""1Ag27m9YF5mMfJh2E6NipJDFvPLlDI1p-s_1XEnzMHcc"",""Merge!F2:R"")},
        ""select Col1, Col11"",
        0
      ),
      2,
      FALSE
    ),""""))
"),"")</f>
        <v/>
      </c>
      <c r="H47" s="1250" t="str">
        <f>IFERROR(__xludf.DUMMYFUNCTION("IF(
  B47="""",
  """",
  IFERROR(
    VLOOKUP(
      B47,
      QUERY(
        {IMPORTRANGE(""1Ag27m9YF5mMfJh2E6NipJDFvPLlDI1p-s_1XEnzMHcc"",""Merge!F2:R"")},
        ""select Col1, Col9"",
        0
      ),
      2,
      FALSE
    ),""""))
"),"")</f>
        <v/>
      </c>
      <c r="I47" s="1251"/>
      <c r="J47" s="1252" t="str">
        <f t="shared" si="3"/>
        <v/>
      </c>
      <c r="K47" s="1253" t="str">
        <f t="shared" si="4"/>
        <v/>
      </c>
      <c r="L47" s="1254"/>
      <c r="M47" s="1244"/>
      <c r="N47" s="1259"/>
      <c r="O47" s="1259"/>
      <c r="P47" s="1244"/>
      <c r="Q47" s="1244"/>
      <c r="R47" s="1244"/>
      <c r="S47" s="1265"/>
      <c r="T47" s="1244"/>
      <c r="U47" s="1244"/>
    </row>
    <row r="48">
      <c r="A48" s="1235"/>
      <c r="B48" s="1266"/>
      <c r="C48" s="1246" t="str">
        <f t="shared" si="2"/>
        <v/>
      </c>
      <c r="D48" s="1247" t="str">
        <f>iferror(VLOOKUP(B48,Pricing!B16:C228,2,false),"")</f>
        <v/>
      </c>
      <c r="E48" s="1248" t="str">
        <f>IFERROR(__xludf.DUMMYFUNCTION("IF(
  B48="""",
  """",
  IFERROR(
    VLOOKUP(
      B48,
      QUERY(
        {IMPORTRANGE(""1Ag27m9YF5mMfJh2E6NipJDFvPLlDI1p-s_1XEnzMHcc"",""Merge!F2:R"")},
        ""select Col1, Col10"",
        0
      ),
      2,
      FALSE
    ),
    """"
  )
)
"),"")</f>
        <v/>
      </c>
      <c r="F48" s="1248" t="str">
        <f>IFERROR(__xludf.DUMMYFUNCTION("IF(
  B48="""",
  """",
  IFERROR(
    VLOOKUP(
      B48,
      QUERY(
        {IMPORTRANGE(""1Ag27m9YF5mMfJh2E6NipJDFvPLlDI1p-s_1XEnzMHcc"",""Merge!F2:R"")},
        ""select Col1, Col12"",
        0
      ),2,FALSE),""""))"),"")</f>
        <v/>
      </c>
      <c r="G48" s="1249" t="str">
        <f>IFERROR(__xludf.DUMMYFUNCTION("IF(
  B48="""",
  """",
  IFERROR(
    VLOOKUP(
      B48,
      QUERY(
        {IMPORTRANGE(""1Ag27m9YF5mMfJh2E6NipJDFvPLlDI1p-s_1XEnzMHcc"",""Merge!F2:R"")},
        ""select Col1, Col11"",
        0
      ),
      2,
      FALSE
    ),""""))
"),"")</f>
        <v/>
      </c>
      <c r="H48" s="1250" t="str">
        <f>IFERROR(__xludf.DUMMYFUNCTION("IF(
  B48="""",
  """",
  IFERROR(
    VLOOKUP(
      B48,
      QUERY(
        {IMPORTRANGE(""1Ag27m9YF5mMfJh2E6NipJDFvPLlDI1p-s_1XEnzMHcc"",""Merge!F2:R"")},
        ""select Col1, Col9"",
        0
      ),
      2,
      FALSE
    ),""""))
"),"")</f>
        <v/>
      </c>
      <c r="I48" s="1251"/>
      <c r="J48" s="1252" t="str">
        <f t="shared" si="3"/>
        <v/>
      </c>
      <c r="K48" s="1253" t="str">
        <f t="shared" si="4"/>
        <v/>
      </c>
      <c r="L48" s="1254"/>
      <c r="M48" s="1244"/>
      <c r="N48" s="1259"/>
      <c r="O48" s="1259"/>
      <c r="P48" s="1244"/>
      <c r="Q48" s="1244"/>
      <c r="R48" s="1244"/>
      <c r="S48" s="1265"/>
      <c r="T48" s="1244"/>
      <c r="U48" s="1244"/>
    </row>
    <row r="49">
      <c r="A49" s="1235"/>
      <c r="B49" s="1267"/>
      <c r="C49" s="1246" t="str">
        <f t="shared" si="2"/>
        <v/>
      </c>
      <c r="D49" s="1247" t="str">
        <f>iferror(VLOOKUP(B49,Pricing!B16:C229,2,false),"")</f>
        <v/>
      </c>
      <c r="E49" s="1248" t="str">
        <f>IFERROR(__xludf.DUMMYFUNCTION("IF(
  B49="""",
  """",
  IFERROR(
    VLOOKUP(
      B49,
      QUERY(
        {IMPORTRANGE(""1Ag27m9YF5mMfJh2E6NipJDFvPLlDI1p-s_1XEnzMHcc"",""Merge!F2:R"")},
        ""select Col1, Col10"",
        0
      ),
      2,
      FALSE
    ),
    """"
  )
)
"),"")</f>
        <v/>
      </c>
      <c r="F49" s="1248" t="str">
        <f>IFERROR(__xludf.DUMMYFUNCTION("IF(
  B49="""",
  """",
  IFERROR(
    VLOOKUP(
      B49,
      QUERY(
        {IMPORTRANGE(""1Ag27m9YF5mMfJh2E6NipJDFvPLlDI1p-s_1XEnzMHcc"",""Merge!F2:R"")},
        ""select Col1, Col12"",
        0
      ),2,FALSE),""""))"),"")</f>
        <v/>
      </c>
      <c r="G49" s="1249" t="str">
        <f>IFERROR(__xludf.DUMMYFUNCTION("IF(
  B49="""",
  """",
  IFERROR(
    VLOOKUP(
      B49,
      QUERY(
        {IMPORTRANGE(""1Ag27m9YF5mMfJh2E6NipJDFvPLlDI1p-s_1XEnzMHcc"",""Merge!F2:R"")},
        ""select Col1, Col11"",
        0
      ),
      2,
      FALSE
    ),""""))
"),"")</f>
        <v/>
      </c>
      <c r="H49" s="1250" t="str">
        <f>IFERROR(__xludf.DUMMYFUNCTION("IF(
  B49="""",
  """",
  IFERROR(
    VLOOKUP(
      B49,
      QUERY(
        {IMPORTRANGE(""1Ag27m9YF5mMfJh2E6NipJDFvPLlDI1p-s_1XEnzMHcc"",""Merge!F2:R"")},
        ""select Col1, Col9"",
        0
      ),
      2,
      FALSE
    ),""""))
"),"")</f>
        <v/>
      </c>
      <c r="I49" s="1251"/>
      <c r="J49" s="1252" t="str">
        <f t="shared" si="3"/>
        <v/>
      </c>
      <c r="K49" s="1253" t="str">
        <f t="shared" si="4"/>
        <v/>
      </c>
      <c r="L49" s="1254"/>
      <c r="M49" s="1244"/>
      <c r="N49" s="1259"/>
      <c r="O49" s="1259"/>
      <c r="P49" s="1244"/>
      <c r="Q49" s="1244"/>
      <c r="R49" s="1244"/>
      <c r="S49" s="1265"/>
      <c r="T49" s="1244"/>
      <c r="U49" s="1244"/>
    </row>
    <row r="50">
      <c r="A50" s="1235"/>
      <c r="B50" s="1235"/>
      <c r="C50" s="1246" t="str">
        <f t="shared" si="2"/>
        <v/>
      </c>
      <c r="D50" s="1247" t="str">
        <f>iferror(VLOOKUP(B50,Pricing!B16:C230,2,false),"")</f>
        <v/>
      </c>
      <c r="E50" s="1248" t="str">
        <f>IFERROR(__xludf.DUMMYFUNCTION("IF(
  B50="""",
  """",
  IFERROR(
    VLOOKUP(
      B50,
      QUERY(
        {IMPORTRANGE(""1Ag27m9YF5mMfJh2E6NipJDFvPLlDI1p-s_1XEnzMHcc"",""Merge!F2:R"")},
        ""select Col1, Col10"",
        0
      ),
      2,
      FALSE
    ),
    """"
  )
)
"),"")</f>
        <v/>
      </c>
      <c r="F50" s="1248" t="str">
        <f>IFERROR(__xludf.DUMMYFUNCTION("IF(
  B50="""",
  """",
  IFERROR(
    VLOOKUP(
      B50,
      QUERY(
        {IMPORTRANGE(""1Ag27m9YF5mMfJh2E6NipJDFvPLlDI1p-s_1XEnzMHcc"",""Merge!F2:R"")},
        ""select Col1, Col12"",
        0
      ),2,FALSE),""""))"),"")</f>
        <v/>
      </c>
      <c r="G50" s="1249" t="str">
        <f>IFERROR(__xludf.DUMMYFUNCTION("IF(
  B50="""",
  """",
  IFERROR(
    VLOOKUP(
      B50,
      QUERY(
        {IMPORTRANGE(""1Ag27m9YF5mMfJh2E6NipJDFvPLlDI1p-s_1XEnzMHcc"",""Merge!F2:R"")},
        ""select Col1, Col11"",
        0
      ),
      2,
      FALSE
    ),""""))
"),"")</f>
        <v/>
      </c>
      <c r="H50" s="1250" t="str">
        <f>IFERROR(__xludf.DUMMYFUNCTION("IF(
  B50="""",
  """",
  IFERROR(
    VLOOKUP(
      B50,
      QUERY(
        {IMPORTRANGE(""1Ag27m9YF5mMfJh2E6NipJDFvPLlDI1p-s_1XEnzMHcc"",""Merge!F2:R"")},
        ""select Col1, Col9"",
        0
      ),
      2,
      FALSE
    ),""""))
"),"")</f>
        <v/>
      </c>
      <c r="I50" s="1251"/>
      <c r="J50" s="1252" t="str">
        <f t="shared" si="3"/>
        <v/>
      </c>
      <c r="K50" s="1253" t="str">
        <f t="shared" si="4"/>
        <v/>
      </c>
      <c r="L50" s="1254"/>
      <c r="M50" s="1244"/>
      <c r="N50" s="1259"/>
      <c r="O50" s="1259"/>
      <c r="P50" s="1244"/>
      <c r="Q50" s="1244"/>
      <c r="R50" s="1244"/>
      <c r="S50" s="1265"/>
      <c r="T50" s="1244"/>
      <c r="U50" s="1244"/>
    </row>
    <row r="51">
      <c r="A51" s="1235"/>
      <c r="B51" s="1235"/>
      <c r="C51" s="1246" t="str">
        <f t="shared" si="2"/>
        <v/>
      </c>
      <c r="D51" s="1247" t="str">
        <f>iferror(VLOOKUP(B51,Pricing!B16:C231,2,false),"")</f>
        <v/>
      </c>
      <c r="E51" s="1248" t="str">
        <f>IFERROR(__xludf.DUMMYFUNCTION("IF(
  B51="""",
  """",
  IFERROR(
    VLOOKUP(
      B51,
      QUERY(
        {IMPORTRANGE(""1Ag27m9YF5mMfJh2E6NipJDFvPLlDI1p-s_1XEnzMHcc"",""Merge!F2:R"")},
        ""select Col1, Col10"",
        0
      ),
      2,
      FALSE
    ),
    """"
  )
)
"),"")</f>
        <v/>
      </c>
      <c r="F51" s="1248" t="str">
        <f>IFERROR(__xludf.DUMMYFUNCTION("IF(
  B51="""",
  """",
  IFERROR(
    VLOOKUP(
      B51,
      QUERY(
        {IMPORTRANGE(""1Ag27m9YF5mMfJh2E6NipJDFvPLlDI1p-s_1XEnzMHcc"",""Merge!F2:R"")},
        ""select Col1, Col12"",
        0
      ),2,FALSE),""""))"),"")</f>
        <v/>
      </c>
      <c r="G51" s="1249" t="str">
        <f>IFERROR(__xludf.DUMMYFUNCTION("IF(
  B51="""",
  """",
  IFERROR(
    VLOOKUP(
      B51,
      QUERY(
        {IMPORTRANGE(""1Ag27m9YF5mMfJh2E6NipJDFvPLlDI1p-s_1XEnzMHcc"",""Merge!F2:R"")},
        ""select Col1, Col11"",
        0
      ),
      2,
      FALSE
    ),""""))
"),"")</f>
        <v/>
      </c>
      <c r="H51" s="1250" t="str">
        <f>IFERROR(__xludf.DUMMYFUNCTION("IF(
  B51="""",
  """",
  IFERROR(
    VLOOKUP(
      B51,
      QUERY(
        {IMPORTRANGE(""1Ag27m9YF5mMfJh2E6NipJDFvPLlDI1p-s_1XEnzMHcc"",""Merge!F2:R"")},
        ""select Col1, Col9"",
        0
      ),
      2,
      FALSE
    ),""""))
"),"")</f>
        <v/>
      </c>
      <c r="I51" s="1251"/>
      <c r="J51" s="1252" t="str">
        <f t="shared" si="3"/>
        <v/>
      </c>
      <c r="K51" s="1253" t="str">
        <f t="shared" si="4"/>
        <v/>
      </c>
      <c r="L51" s="1254"/>
      <c r="M51" s="1244"/>
      <c r="N51" s="1259"/>
      <c r="O51" s="1259"/>
      <c r="P51" s="1244"/>
      <c r="Q51" s="1244"/>
      <c r="R51" s="1244"/>
      <c r="S51" s="1265"/>
      <c r="T51" s="1244"/>
      <c r="U51" s="1244"/>
    </row>
    <row r="52">
      <c r="A52" s="1235"/>
      <c r="B52" s="1235"/>
      <c r="C52" s="1246" t="str">
        <f t="shared" si="2"/>
        <v/>
      </c>
      <c r="D52" s="1247" t="str">
        <f>iferror(VLOOKUP(B52,Pricing!B16:C232,2,false),"")</f>
        <v/>
      </c>
      <c r="E52" s="1248" t="str">
        <f>IFERROR(__xludf.DUMMYFUNCTION("IF(
  B52="""",
  """",
  IFERROR(
    VLOOKUP(
      B52,
      QUERY(
        {IMPORTRANGE(""1Ag27m9YF5mMfJh2E6NipJDFvPLlDI1p-s_1XEnzMHcc"",""Merge!F2:R"")},
        ""select Col1, Col10"",
        0
      ),
      2,
      FALSE
    ),
    """"
  )
)
"),"")</f>
        <v/>
      </c>
      <c r="F52" s="1248" t="str">
        <f>IFERROR(__xludf.DUMMYFUNCTION("IF(
  B52="""",
  """",
  IFERROR(
    VLOOKUP(
      B52,
      QUERY(
        {IMPORTRANGE(""1Ag27m9YF5mMfJh2E6NipJDFvPLlDI1p-s_1XEnzMHcc"",""Merge!F2:R"")},
        ""select Col1, Col12"",
        0
      ),2,FALSE),""""))"),"")</f>
        <v/>
      </c>
      <c r="G52" s="1249" t="str">
        <f>IFERROR(__xludf.DUMMYFUNCTION("IF(
  B52="""",
  """",
  IFERROR(
    VLOOKUP(
      B52,
      QUERY(
        {IMPORTRANGE(""1Ag27m9YF5mMfJh2E6NipJDFvPLlDI1p-s_1XEnzMHcc"",""Merge!F2:R"")},
        ""select Col1, Col11"",
        0
      ),
      2,
      FALSE
    ),""""))
"),"")</f>
        <v/>
      </c>
      <c r="H52" s="1250" t="str">
        <f>IFERROR(__xludf.DUMMYFUNCTION("IF(
  B52="""",
  """",
  IFERROR(
    VLOOKUP(
      B52,
      QUERY(
        {IMPORTRANGE(""1Ag27m9YF5mMfJh2E6NipJDFvPLlDI1p-s_1XEnzMHcc"",""Merge!F2:R"")},
        ""select Col1, Col9"",
        0
      ),
      2,
      FALSE
    ),""""))
"),"")</f>
        <v/>
      </c>
      <c r="I52" s="1251"/>
      <c r="J52" s="1252" t="str">
        <f t="shared" si="3"/>
        <v/>
      </c>
      <c r="K52" s="1253" t="str">
        <f t="shared" si="4"/>
        <v/>
      </c>
      <c r="L52" s="1254"/>
      <c r="M52" s="1244"/>
      <c r="N52" s="1259"/>
      <c r="O52" s="1259"/>
      <c r="P52" s="1244"/>
      <c r="Q52" s="1244"/>
      <c r="R52" s="1244"/>
      <c r="S52" s="1265"/>
      <c r="T52" s="1244"/>
      <c r="U52" s="1244"/>
    </row>
    <row r="53">
      <c r="A53" s="1235"/>
      <c r="B53" s="1235"/>
      <c r="C53" s="1246" t="str">
        <f t="shared" si="2"/>
        <v/>
      </c>
      <c r="D53" s="1247" t="str">
        <f>iferror(VLOOKUP(B53,Pricing!B16:C233,2,false),"")</f>
        <v/>
      </c>
      <c r="E53" s="1248" t="str">
        <f>IFERROR(__xludf.DUMMYFUNCTION("IF(
  B53="""",
  """",
  IFERROR(
    VLOOKUP(
      B53,
      QUERY(
        {IMPORTRANGE(""1Ag27m9YF5mMfJh2E6NipJDFvPLlDI1p-s_1XEnzMHcc"",""Merge!F2:R"")},
        ""select Col1, Col10"",
        0
      ),
      2,
      FALSE
    ),
    """"
  )
)
"),"")</f>
        <v/>
      </c>
      <c r="F53" s="1248" t="str">
        <f>IFERROR(__xludf.DUMMYFUNCTION("IF(
  B53="""",
  """",
  IFERROR(
    VLOOKUP(
      B53,
      QUERY(
        {IMPORTRANGE(""1Ag27m9YF5mMfJh2E6NipJDFvPLlDI1p-s_1XEnzMHcc"",""Merge!F2:R"")},
        ""select Col1, Col12"",
        0
      ),2,FALSE),""""))"),"")</f>
        <v/>
      </c>
      <c r="G53" s="1249" t="str">
        <f>IFERROR(__xludf.DUMMYFUNCTION("IF(
  B53="""",
  """",
  IFERROR(
    VLOOKUP(
      B53,
      QUERY(
        {IMPORTRANGE(""1Ag27m9YF5mMfJh2E6NipJDFvPLlDI1p-s_1XEnzMHcc"",""Merge!F2:R"")},
        ""select Col1, Col11"",
        0
      ),
      2,
      FALSE
    ),""""))
"),"")</f>
        <v/>
      </c>
      <c r="H53" s="1250" t="str">
        <f>IFERROR(__xludf.DUMMYFUNCTION("IF(
  B53="""",
  """",
  IFERROR(
    VLOOKUP(
      B53,
      QUERY(
        {IMPORTRANGE(""1Ag27m9YF5mMfJh2E6NipJDFvPLlDI1p-s_1XEnzMHcc"",""Merge!F2:R"")},
        ""select Col1, Col9"",
        0
      ),
      2,
      FALSE
    ),""""))
"),"")</f>
        <v/>
      </c>
      <c r="I53" s="1251"/>
      <c r="J53" s="1252" t="str">
        <f t="shared" si="3"/>
        <v/>
      </c>
      <c r="K53" s="1253" t="str">
        <f t="shared" si="4"/>
        <v/>
      </c>
      <c r="L53" s="1254"/>
      <c r="M53" s="1244"/>
      <c r="N53" s="1259"/>
      <c r="O53" s="1259"/>
      <c r="P53" s="1244"/>
      <c r="Q53" s="1244"/>
      <c r="R53" s="1244"/>
      <c r="S53" s="1265"/>
      <c r="T53" s="1244"/>
      <c r="U53" s="1244"/>
    </row>
    <row r="54">
      <c r="A54" s="1235"/>
      <c r="B54" s="1235"/>
      <c r="C54" s="1246" t="str">
        <f t="shared" si="2"/>
        <v/>
      </c>
      <c r="D54" s="1247" t="str">
        <f>iferror(VLOOKUP(B54,Pricing!B16:C234,2,false),"")</f>
        <v/>
      </c>
      <c r="E54" s="1248" t="str">
        <f>IFERROR(__xludf.DUMMYFUNCTION("IF(
  B54="""",
  """",
  IFERROR(
    VLOOKUP(
      B54,
      QUERY(
        {IMPORTRANGE(""1Ag27m9YF5mMfJh2E6NipJDFvPLlDI1p-s_1XEnzMHcc"",""Merge!F2:R"")},
        ""select Col1, Col10"",
        0
      ),
      2,
      FALSE
    ),
    """"
  )
)
"),"")</f>
        <v/>
      </c>
      <c r="F54" s="1248" t="str">
        <f>IFERROR(__xludf.DUMMYFUNCTION("IF(
  B54="""",
  """",
  IFERROR(
    VLOOKUP(
      B54,
      QUERY(
        {IMPORTRANGE(""1Ag27m9YF5mMfJh2E6NipJDFvPLlDI1p-s_1XEnzMHcc"",""Merge!F2:R"")},
        ""select Col1, Col12"",
        0
      ),2,FALSE),""""))"),"")</f>
        <v/>
      </c>
      <c r="G54" s="1249" t="str">
        <f>IFERROR(__xludf.DUMMYFUNCTION("IF(
  B54="""",
  """",
  IFERROR(
    VLOOKUP(
      B54,
      QUERY(
        {IMPORTRANGE(""1Ag27m9YF5mMfJh2E6NipJDFvPLlDI1p-s_1XEnzMHcc"",""Merge!F2:R"")},
        ""select Col1, Col11"",
        0
      ),
      2,
      FALSE
    ),""""))
"),"")</f>
        <v/>
      </c>
      <c r="H54" s="1250" t="str">
        <f>IFERROR(__xludf.DUMMYFUNCTION("IF(
  B54="""",
  """",
  IFERROR(
    VLOOKUP(
      B54,
      QUERY(
        {IMPORTRANGE(""1Ag27m9YF5mMfJh2E6NipJDFvPLlDI1p-s_1XEnzMHcc"",""Merge!F2:R"")},
        ""select Col1, Col9"",
        0
      ),
      2,
      FALSE
    ),""""))
"),"")</f>
        <v/>
      </c>
      <c r="I54" s="1251"/>
      <c r="J54" s="1252" t="str">
        <f t="shared" si="3"/>
        <v/>
      </c>
      <c r="K54" s="1253" t="str">
        <f t="shared" si="4"/>
        <v/>
      </c>
      <c r="L54" s="1254"/>
      <c r="M54" s="1244"/>
      <c r="N54" s="1259"/>
      <c r="O54" s="1259"/>
      <c r="P54" s="1244"/>
      <c r="Q54" s="1244"/>
      <c r="R54" s="1244"/>
      <c r="S54" s="1265"/>
      <c r="T54" s="1244"/>
      <c r="U54" s="1244"/>
    </row>
    <row r="55">
      <c r="A55" s="1235"/>
      <c r="B55" s="1235"/>
      <c r="C55" s="1246" t="str">
        <f t="shared" si="2"/>
        <v/>
      </c>
      <c r="D55" s="1247" t="str">
        <f>iferror(VLOOKUP(B55,Pricing!B16:C235,2,false),"")</f>
        <v/>
      </c>
      <c r="E55" s="1248" t="str">
        <f>IFERROR(__xludf.DUMMYFUNCTION("IF(
  B55="""",
  """",
  IFERROR(
    VLOOKUP(
      B55,
      QUERY(
        {IMPORTRANGE(""1Ag27m9YF5mMfJh2E6NipJDFvPLlDI1p-s_1XEnzMHcc"",""Merge!F2:R"")},
        ""select Col1, Col10"",
        0
      ),
      2,
      FALSE
    ),
    """"
  )
)
"),"")</f>
        <v/>
      </c>
      <c r="F55" s="1248" t="str">
        <f>IFERROR(__xludf.DUMMYFUNCTION("IF(
  B55="""",
  """",
  IFERROR(
    VLOOKUP(
      B55,
      QUERY(
        {IMPORTRANGE(""1Ag27m9YF5mMfJh2E6NipJDFvPLlDI1p-s_1XEnzMHcc"",""Merge!F2:R"")},
        ""select Col1, Col12"",
        0
      ),2,FALSE),""""))"),"")</f>
        <v/>
      </c>
      <c r="G55" s="1249" t="str">
        <f>IFERROR(__xludf.DUMMYFUNCTION("IF(
  B55="""",
  """",
  IFERROR(
    VLOOKUP(
      B55,
      QUERY(
        {IMPORTRANGE(""1Ag27m9YF5mMfJh2E6NipJDFvPLlDI1p-s_1XEnzMHcc"",""Merge!F2:R"")},
        ""select Col1, Col11"",
        0
      ),
      2,
      FALSE
    ),""""))
"),"")</f>
        <v/>
      </c>
      <c r="H55" s="1250" t="str">
        <f>IFERROR(__xludf.DUMMYFUNCTION("IF(
  B55="""",
  """",
  IFERROR(
    VLOOKUP(
      B55,
      QUERY(
        {IMPORTRANGE(""1Ag27m9YF5mMfJh2E6NipJDFvPLlDI1p-s_1XEnzMHcc"",""Merge!F2:R"")},
        ""select Col1, Col9"",
        0
      ),
      2,
      FALSE
    ),""""))
"),"")</f>
        <v/>
      </c>
      <c r="I55" s="1251"/>
      <c r="J55" s="1252" t="str">
        <f t="shared" si="3"/>
        <v/>
      </c>
      <c r="K55" s="1253" t="str">
        <f t="shared" si="4"/>
        <v/>
      </c>
      <c r="L55" s="1254"/>
      <c r="M55" s="1244"/>
      <c r="N55" s="1259"/>
      <c r="O55" s="1259"/>
      <c r="P55" s="1244"/>
      <c r="Q55" s="1244"/>
      <c r="R55" s="1244"/>
      <c r="S55" s="1265"/>
      <c r="T55" s="1244"/>
      <c r="U55" s="1244"/>
    </row>
    <row r="56">
      <c r="A56" s="1235"/>
      <c r="B56" s="1235"/>
      <c r="C56" s="1246" t="str">
        <f t="shared" si="2"/>
        <v/>
      </c>
      <c r="D56" s="1247" t="str">
        <f>iferror(VLOOKUP(B56,Pricing!B16:C236,2,false),"")</f>
        <v/>
      </c>
      <c r="E56" s="1248" t="str">
        <f>IFERROR(__xludf.DUMMYFUNCTION("IF(
  B56="""",
  """",
  IFERROR(
    VLOOKUP(
      B56,
      QUERY(
        {IMPORTRANGE(""1Ag27m9YF5mMfJh2E6NipJDFvPLlDI1p-s_1XEnzMHcc"",""Merge!F2:R"")},
        ""select Col1, Col10"",
        0
      ),
      2,
      FALSE
    ),
    """"
  )
)
"),"")</f>
        <v/>
      </c>
      <c r="F56" s="1248" t="str">
        <f>IFERROR(__xludf.DUMMYFUNCTION("IF(
  B56="""",
  """",
  IFERROR(
    VLOOKUP(
      B56,
      QUERY(
        {IMPORTRANGE(""1Ag27m9YF5mMfJh2E6NipJDFvPLlDI1p-s_1XEnzMHcc"",""Merge!F2:R"")},
        ""select Col1, Col12"",
        0
      ),2,FALSE),""""))"),"")</f>
        <v/>
      </c>
      <c r="G56" s="1249" t="str">
        <f>IFERROR(__xludf.DUMMYFUNCTION("IF(
  B56="""",
  """",
  IFERROR(
    VLOOKUP(
      B56,
      QUERY(
        {IMPORTRANGE(""1Ag27m9YF5mMfJh2E6NipJDFvPLlDI1p-s_1XEnzMHcc"",""Merge!F2:R"")},
        ""select Col1, Col11"",
        0
      ),
      2,
      FALSE
    ),""""))
"),"")</f>
        <v/>
      </c>
      <c r="H56" s="1250" t="str">
        <f>IFERROR(__xludf.DUMMYFUNCTION("IF(
  B56="""",
  """",
  IFERROR(
    VLOOKUP(
      B56,
      QUERY(
        {IMPORTRANGE(""1Ag27m9YF5mMfJh2E6NipJDFvPLlDI1p-s_1XEnzMHcc"",""Merge!F2:R"")},
        ""select Col1, Col9"",
        0
      ),
      2,
      FALSE
    ),""""))
"),"")</f>
        <v/>
      </c>
      <c r="I56" s="1251"/>
      <c r="J56" s="1252" t="str">
        <f t="shared" si="3"/>
        <v/>
      </c>
      <c r="K56" s="1253" t="str">
        <f t="shared" si="4"/>
        <v/>
      </c>
      <c r="L56" s="1254"/>
      <c r="M56" s="1244"/>
      <c r="N56" s="1259"/>
      <c r="O56" s="1259"/>
      <c r="P56" s="1244"/>
      <c r="Q56" s="1244"/>
      <c r="R56" s="1244"/>
      <c r="S56" s="1265"/>
      <c r="T56" s="1244"/>
      <c r="U56" s="1244"/>
    </row>
    <row r="57">
      <c r="A57" s="1235"/>
      <c r="B57" s="1235"/>
      <c r="C57" s="1246" t="str">
        <f t="shared" si="2"/>
        <v/>
      </c>
      <c r="D57" s="1247" t="str">
        <f>iferror(VLOOKUP(B57,Pricing!B16:C237,2,false),"")</f>
        <v/>
      </c>
      <c r="E57" s="1248" t="str">
        <f>IFERROR(__xludf.DUMMYFUNCTION("IF(
  B57="""",
  """",
  IFERROR(
    VLOOKUP(
      B57,
      QUERY(
        {IMPORTRANGE(""1Ag27m9YF5mMfJh2E6NipJDFvPLlDI1p-s_1XEnzMHcc"",""Merge!F2:R"")},
        ""select Col1, Col10"",
        0
      ),
      2,
      FALSE
    ),
    """"
  )
)
"),"")</f>
        <v/>
      </c>
      <c r="F57" s="1248" t="str">
        <f>IFERROR(__xludf.DUMMYFUNCTION("IF(
  B57="""",
  """",
  IFERROR(
    VLOOKUP(
      B57,
      QUERY(
        {IMPORTRANGE(""1Ag27m9YF5mMfJh2E6NipJDFvPLlDI1p-s_1XEnzMHcc"",""Merge!F2:R"")},
        ""select Col1, Col12"",
        0
      ),2,FALSE),""""))"),"")</f>
        <v/>
      </c>
      <c r="G57" s="1249" t="str">
        <f>IFERROR(__xludf.DUMMYFUNCTION("IF(
  B57="""",
  """",
  IFERROR(
    VLOOKUP(
      B57,
      QUERY(
        {IMPORTRANGE(""1Ag27m9YF5mMfJh2E6NipJDFvPLlDI1p-s_1XEnzMHcc"",""Merge!F2:R"")},
        ""select Col1, Col11"",
        0
      ),
      2,
      FALSE
    ),""""))
"),"")</f>
        <v/>
      </c>
      <c r="H57" s="1250" t="str">
        <f>IFERROR(__xludf.DUMMYFUNCTION("IF(
  B57="""",
  """",
  IFERROR(
    VLOOKUP(
      B57,
      QUERY(
        {IMPORTRANGE(""1Ag27m9YF5mMfJh2E6NipJDFvPLlDI1p-s_1XEnzMHcc"",""Merge!F2:R"")},
        ""select Col1, Col9"",
        0
      ),
      2,
      FALSE
    ),""""))
"),"")</f>
        <v/>
      </c>
      <c r="I57" s="1251"/>
      <c r="J57" s="1252" t="str">
        <f t="shared" si="3"/>
        <v/>
      </c>
      <c r="K57" s="1253" t="str">
        <f t="shared" si="4"/>
        <v/>
      </c>
      <c r="L57" s="1254"/>
      <c r="M57" s="1244"/>
      <c r="N57" s="1259"/>
      <c r="O57" s="1259"/>
      <c r="P57" s="1244"/>
      <c r="Q57" s="1244"/>
      <c r="R57" s="1244"/>
      <c r="S57" s="1265"/>
      <c r="T57" s="1244"/>
      <c r="U57" s="1244"/>
    </row>
    <row r="58">
      <c r="A58" s="1235"/>
      <c r="B58" s="1235"/>
      <c r="C58" s="1246" t="str">
        <f t="shared" si="2"/>
        <v/>
      </c>
      <c r="D58" s="1247" t="str">
        <f>iferror(VLOOKUP(B58,Pricing!B16:C238,2,false),"")</f>
        <v/>
      </c>
      <c r="E58" s="1248" t="str">
        <f>IFERROR(__xludf.DUMMYFUNCTION("IF(
  B58="""",
  """",
  IFERROR(
    VLOOKUP(
      B58,
      QUERY(
        {IMPORTRANGE(""1Ag27m9YF5mMfJh2E6NipJDFvPLlDI1p-s_1XEnzMHcc"",""Merge!F2:R"")},
        ""select Col1, Col10"",
        0
      ),
      2,
      FALSE
    ),
    """"
  )
)
"),"")</f>
        <v/>
      </c>
      <c r="F58" s="1248" t="str">
        <f>IFERROR(__xludf.DUMMYFUNCTION("IF(
  B58="""",
  """",
  IFERROR(
    VLOOKUP(
      B58,
      QUERY(
        {IMPORTRANGE(""1Ag27m9YF5mMfJh2E6NipJDFvPLlDI1p-s_1XEnzMHcc"",""Merge!F2:R"")},
        ""select Col1, Col12"",
        0
      ),2,FALSE),""""))"),"")</f>
        <v/>
      </c>
      <c r="G58" s="1249" t="str">
        <f>IFERROR(__xludf.DUMMYFUNCTION("IF(
  B58="""",
  """",
  IFERROR(
    VLOOKUP(
      B58,
      QUERY(
        {IMPORTRANGE(""1Ag27m9YF5mMfJh2E6NipJDFvPLlDI1p-s_1XEnzMHcc"",""Merge!F2:R"")},
        ""select Col1, Col11"",
        0
      ),
      2,
      FALSE
    ),""""))
"),"")</f>
        <v/>
      </c>
      <c r="H58" s="1250" t="str">
        <f>IFERROR(__xludf.DUMMYFUNCTION("IF(
  B58="""",
  """",
  IFERROR(
    VLOOKUP(
      B58,
      QUERY(
        {IMPORTRANGE(""1Ag27m9YF5mMfJh2E6NipJDFvPLlDI1p-s_1XEnzMHcc"",""Merge!F2:R"")},
        ""select Col1, Col9"",
        0
      ),
      2,
      FALSE
    ),""""))
"),"")</f>
        <v/>
      </c>
      <c r="I58" s="1251"/>
      <c r="J58" s="1252" t="str">
        <f t="shared" si="3"/>
        <v/>
      </c>
      <c r="K58" s="1253" t="str">
        <f t="shared" si="4"/>
        <v/>
      </c>
      <c r="L58" s="1254"/>
      <c r="M58" s="1244"/>
      <c r="N58" s="1259"/>
      <c r="O58" s="1259"/>
      <c r="P58" s="1244"/>
      <c r="Q58" s="1244"/>
      <c r="R58" s="1244"/>
      <c r="S58" s="1265"/>
      <c r="T58" s="1244"/>
      <c r="U58" s="1244"/>
    </row>
    <row r="59">
      <c r="A59" s="1235"/>
      <c r="B59" s="1235"/>
      <c r="C59" s="1246" t="str">
        <f t="shared" si="2"/>
        <v/>
      </c>
      <c r="D59" s="1247" t="str">
        <f>iferror(VLOOKUP(B59,Pricing!B16:C239,2,false),"")</f>
        <v/>
      </c>
      <c r="E59" s="1248" t="str">
        <f>IFERROR(__xludf.DUMMYFUNCTION("IF(
  B59="""",
  """",
  IFERROR(
    VLOOKUP(
      B59,
      QUERY(
        {IMPORTRANGE(""1Ag27m9YF5mMfJh2E6NipJDFvPLlDI1p-s_1XEnzMHcc"",""Merge!F2:R"")},
        ""select Col1, Col10"",
        0
      ),
      2,
      FALSE
    ),
    """"
  )
)
"),"")</f>
        <v/>
      </c>
      <c r="F59" s="1248" t="str">
        <f>IFERROR(__xludf.DUMMYFUNCTION("IF(
  B59="""",
  """",
  IFERROR(
    VLOOKUP(
      B59,
      QUERY(
        {IMPORTRANGE(""1Ag27m9YF5mMfJh2E6NipJDFvPLlDI1p-s_1XEnzMHcc"",""Merge!F2:R"")},
        ""select Col1, Col12"",
        0
      ),2,FALSE),""""))"),"")</f>
        <v/>
      </c>
      <c r="G59" s="1249" t="str">
        <f>IFERROR(__xludf.DUMMYFUNCTION("IF(
  B59="""",
  """",
  IFERROR(
    VLOOKUP(
      B59,
      QUERY(
        {IMPORTRANGE(""1Ag27m9YF5mMfJh2E6NipJDFvPLlDI1p-s_1XEnzMHcc"",""Merge!F2:R"")},
        ""select Col1, Col11"",
        0
      ),
      2,
      FALSE
    ),""""))
"),"")</f>
        <v/>
      </c>
      <c r="H59" s="1250" t="str">
        <f>IFERROR(__xludf.DUMMYFUNCTION("IF(
  B59="""",
  """",
  IFERROR(
    VLOOKUP(
      B59,
      QUERY(
        {IMPORTRANGE(""1Ag27m9YF5mMfJh2E6NipJDFvPLlDI1p-s_1XEnzMHcc"",""Merge!F2:R"")},
        ""select Col1, Col9"",
        0
      ),
      2,
      FALSE
    ),""""))
"),"")</f>
        <v/>
      </c>
      <c r="I59" s="1251"/>
      <c r="J59" s="1252" t="str">
        <f t="shared" si="3"/>
        <v/>
      </c>
      <c r="K59" s="1253" t="str">
        <f t="shared" si="4"/>
        <v/>
      </c>
      <c r="L59" s="1254"/>
      <c r="M59" s="1244"/>
      <c r="N59" s="1259"/>
      <c r="O59" s="1259"/>
      <c r="P59" s="1244"/>
      <c r="Q59" s="1244"/>
      <c r="R59" s="1244"/>
      <c r="S59" s="1265"/>
      <c r="T59" s="1244"/>
      <c r="U59" s="1244"/>
    </row>
    <row r="60">
      <c r="A60" s="1235"/>
      <c r="B60" s="1235"/>
      <c r="C60" s="1246" t="str">
        <f t="shared" si="2"/>
        <v/>
      </c>
      <c r="D60" s="1247" t="str">
        <f>iferror(VLOOKUP(B60,Pricing!B16:C240,2,false),"")</f>
        <v/>
      </c>
      <c r="E60" s="1248" t="str">
        <f>IFERROR(__xludf.DUMMYFUNCTION("IF(
  B60="""",
  """",
  IFERROR(
    VLOOKUP(
      B60,
      QUERY(
        {IMPORTRANGE(""1Ag27m9YF5mMfJh2E6NipJDFvPLlDI1p-s_1XEnzMHcc"",""Merge!F2:R"")},
        ""select Col1, Col10"",
        0
      ),
      2,
      FALSE
    ),
    """"
  )
)
"),"")</f>
        <v/>
      </c>
      <c r="F60" s="1248" t="str">
        <f>IFERROR(__xludf.DUMMYFUNCTION("IF(
  B60="""",
  """",
  IFERROR(
    VLOOKUP(
      B60,
      QUERY(
        {IMPORTRANGE(""1Ag27m9YF5mMfJh2E6NipJDFvPLlDI1p-s_1XEnzMHcc"",""Merge!F2:R"")},
        ""select Col1, Col12"",
        0
      ),2,FALSE),""""))"),"")</f>
        <v/>
      </c>
      <c r="G60" s="1249" t="str">
        <f>IFERROR(__xludf.DUMMYFUNCTION("IF(
  B60="""",
  """",
  IFERROR(
    VLOOKUP(
      B60,
      QUERY(
        {IMPORTRANGE(""1Ag27m9YF5mMfJh2E6NipJDFvPLlDI1p-s_1XEnzMHcc"",""Merge!F2:R"")},
        ""select Col1, Col11"",
        0
      ),
      2,
      FALSE
    ),""""))
"),"")</f>
        <v/>
      </c>
      <c r="H60" s="1250" t="str">
        <f>IFERROR(__xludf.DUMMYFUNCTION("IF(
  B60="""",
  """",
  IFERROR(
    VLOOKUP(
      B60,
      QUERY(
        {IMPORTRANGE(""1Ag27m9YF5mMfJh2E6NipJDFvPLlDI1p-s_1XEnzMHcc"",""Merge!F2:R"")},
        ""select Col1, Col9"",
        0
      ),
      2,
      FALSE
    ),""""))
"),"")</f>
        <v/>
      </c>
      <c r="I60" s="1251"/>
      <c r="J60" s="1252" t="str">
        <f t="shared" si="3"/>
        <v/>
      </c>
      <c r="K60" s="1253" t="str">
        <f t="shared" si="4"/>
        <v/>
      </c>
      <c r="L60" s="1254"/>
      <c r="M60" s="1244"/>
      <c r="N60" s="1259"/>
      <c r="O60" s="1259"/>
      <c r="P60" s="1244"/>
      <c r="Q60" s="1244"/>
      <c r="R60" s="1244"/>
      <c r="S60" s="1265"/>
      <c r="T60" s="1244"/>
      <c r="U60" s="1244"/>
    </row>
    <row r="61">
      <c r="A61" s="1235"/>
      <c r="B61" s="1235"/>
      <c r="C61" s="1268"/>
      <c r="D61" s="1247" t="str">
        <f>iferror(VLOOKUP(B61,Pricing!B16:C241,2,false),"")</f>
        <v/>
      </c>
      <c r="E61" s="1248" t="str">
        <f>IFERROR(__xludf.DUMMYFUNCTION("IF(
  B61="""",
  """",
  IFERROR(
    VLOOKUP(
      B61,
      QUERY(
        {IMPORTRANGE(""1Ag27m9YF5mMfJh2E6NipJDFvPLlDI1p-s_1XEnzMHcc"",""Merge!F2:R"")},
        ""select Col1, Col10"",
        0
      ),
      2,
      FALSE
    ),
    """"
  )
)
"),"")</f>
        <v/>
      </c>
      <c r="F61" s="1248" t="str">
        <f>IFERROR(__xludf.DUMMYFUNCTION("IF(
  B61="""",
  """",
  IFERROR(
    VLOOKUP(
      B61,
      QUERY(
        {IMPORTRANGE(""1Ag27m9YF5mMfJh2E6NipJDFvPLlDI1p-s_1XEnzMHcc"",""Merge!F2:R"")},
        ""select Col1, Col12"",
        0
      ),2,FALSE),""""))"),"")</f>
        <v/>
      </c>
      <c r="G61" s="1249" t="str">
        <f>IFERROR(__xludf.DUMMYFUNCTION("IF(
  B61="""",
  """",
  IFERROR(
    VLOOKUP(
      B61,
      QUERY(
        {IMPORTRANGE(""1Ag27m9YF5mMfJh2E6NipJDFvPLlDI1p-s_1XEnzMHcc"",""Merge!F2:R"")},
        ""select Col1, Col11"",
        0
      ),
      2,
      FALSE
    ),""""))
"),"")</f>
        <v/>
      </c>
      <c r="H61" s="1250" t="str">
        <f>IFERROR(__xludf.DUMMYFUNCTION("IF(
  B61="""",
  """",
  IFERROR(
    VLOOKUP(
      B61,
      QUERY(
        {IMPORTRANGE(""1Ag27m9YF5mMfJh2E6NipJDFvPLlDI1p-s_1XEnzMHcc"",""Merge!F2:R"")},
        ""select Col1, Col9"",
        0
      ),
      2,
      FALSE
    ),""""))
"),"")</f>
        <v/>
      </c>
      <c r="I61" s="1251"/>
      <c r="J61" s="1252" t="str">
        <f t="shared" si="3"/>
        <v/>
      </c>
      <c r="K61" s="1253" t="str">
        <f t="shared" si="4"/>
        <v/>
      </c>
      <c r="L61" s="1254"/>
      <c r="M61" s="1244"/>
      <c r="N61" s="1259"/>
      <c r="O61" s="1259"/>
      <c r="P61" s="1244"/>
      <c r="Q61" s="1244"/>
      <c r="R61" s="1244"/>
      <c r="S61" s="1265"/>
      <c r="T61" s="1244"/>
      <c r="U61" s="1244"/>
    </row>
    <row r="62">
      <c r="A62" s="1235"/>
      <c r="B62" s="1266"/>
      <c r="C62" s="1268"/>
      <c r="D62" s="1247" t="str">
        <f>iferror(VLOOKUP(B62,Pricing!B16:C242,2,false),"")</f>
        <v/>
      </c>
      <c r="E62" s="1248" t="str">
        <f>IFERROR(__xludf.DUMMYFUNCTION("IF(
  B62="""",
  """",
  IFERROR(
    VLOOKUP(
      B62,
      QUERY(
        {IMPORTRANGE(""1Ag27m9YF5mMfJh2E6NipJDFvPLlDI1p-s_1XEnzMHcc"",""Merge!F2:R"")},
        ""select Col1, Col10"",
        0
      ),
      2,
      FALSE
    ),
    """"
  )
)
"),"")</f>
        <v/>
      </c>
      <c r="F62" s="1248" t="str">
        <f>IFERROR(__xludf.DUMMYFUNCTION("IF(
  B62="""",
  """",
  IFERROR(
    VLOOKUP(
      B62,
      QUERY(
        {IMPORTRANGE(""1Ag27m9YF5mMfJh2E6NipJDFvPLlDI1p-s_1XEnzMHcc"",""Merge!F2:R"")},
        ""select Col1, Col12"",
        0
      ),2,FALSE),""""))"),"")</f>
        <v/>
      </c>
      <c r="G62" s="1249" t="str">
        <f>IFERROR(__xludf.DUMMYFUNCTION("IF(
  B62="""",
  """",
  IFERROR(
    VLOOKUP(
      B62,
      QUERY(
        {IMPORTRANGE(""1Ag27m9YF5mMfJh2E6NipJDFvPLlDI1p-s_1XEnzMHcc"",""Merge!F2:R"")},
        ""select Col1, Col11"",
        0
      ),
      2,
      FALSE
    ),""""))
"),"")</f>
        <v/>
      </c>
      <c r="H62" s="1250" t="str">
        <f>IFERROR(__xludf.DUMMYFUNCTION("IF(
  B62="""",
  """",
  IFERROR(
    VLOOKUP(
      B62,
      QUERY(
        {IMPORTRANGE(""1Ag27m9YF5mMfJh2E6NipJDFvPLlDI1p-s_1XEnzMHcc"",""Merge!F2:R"")},
        ""select Col1, Col9"",
        0
      ),
      2,
      FALSE
    ),""""))
"),"")</f>
        <v/>
      </c>
      <c r="I62" s="1251"/>
      <c r="J62" s="1252" t="str">
        <f t="shared" si="3"/>
        <v/>
      </c>
      <c r="K62" s="1253" t="str">
        <f t="shared" si="4"/>
        <v/>
      </c>
      <c r="L62" s="1254"/>
      <c r="M62" s="1244"/>
      <c r="N62" s="1259"/>
      <c r="O62" s="1259"/>
      <c r="P62" s="1244"/>
      <c r="Q62" s="1244"/>
      <c r="R62" s="1244"/>
      <c r="S62" s="1265"/>
      <c r="T62" s="1244"/>
      <c r="U62" s="1244"/>
    </row>
    <row r="63">
      <c r="A63" s="1235"/>
      <c r="B63" s="1235"/>
      <c r="C63" s="1246"/>
      <c r="D63" s="1247" t="str">
        <f>iferror(VLOOKUP(B63,Pricing!B16:C243,2,false),"")</f>
        <v/>
      </c>
      <c r="E63" s="1248" t="str">
        <f>IFERROR(__xludf.DUMMYFUNCTION("IF(
  B63="""",
  """",
  IFERROR(
    VLOOKUP(
      B63,
      QUERY(
        {IMPORTRANGE(""1Ag27m9YF5mMfJh2E6NipJDFvPLlDI1p-s_1XEnzMHcc"",""Merge!F2:R"")},
        ""select Col1, Col10"",
        0
      ),
      2,
      FALSE
    ),
    """"
  )
)
"),"")</f>
        <v/>
      </c>
      <c r="F63" s="1248" t="str">
        <f>IFERROR(__xludf.DUMMYFUNCTION("IF(
  B63="""",
  """",
  IFERROR(
    VLOOKUP(
      B63,
      QUERY(
        {IMPORTRANGE(""1Ag27m9YF5mMfJh2E6NipJDFvPLlDI1p-s_1XEnzMHcc"",""Merge!F2:R"")},
        ""select Col1, Col12"",
        0
      ),2,FALSE),""""))"),"")</f>
        <v/>
      </c>
      <c r="G63" s="1249" t="str">
        <f>IFERROR(__xludf.DUMMYFUNCTION("IF(
  B63="""",
  """",
  IFERROR(
    VLOOKUP(
      B63,
      QUERY(
        {IMPORTRANGE(""1Ag27m9YF5mMfJh2E6NipJDFvPLlDI1p-s_1XEnzMHcc"",""Merge!F2:R"")},
        ""select Col1, Col11"",
        0
      ),
      2,
      FALSE
    ),""""))
"),"")</f>
        <v/>
      </c>
      <c r="H63" s="1250" t="str">
        <f>IFERROR(__xludf.DUMMYFUNCTION("IF(
  B63="""",
  """",
  IFERROR(
    VLOOKUP(
      B63,
      QUERY(
        {IMPORTRANGE(""1Ag27m9YF5mMfJh2E6NipJDFvPLlDI1p-s_1XEnzMHcc"",""Merge!F2:R"")},
        ""select Col1, Col9"",
        0
      ),
      2,
      FALSE
    ),""""))
"),"")</f>
        <v/>
      </c>
      <c r="I63" s="1251"/>
      <c r="J63" s="1252" t="str">
        <f t="shared" si="3"/>
        <v/>
      </c>
      <c r="K63" s="1253" t="str">
        <f t="shared" si="4"/>
        <v/>
      </c>
      <c r="L63" s="1254"/>
      <c r="M63" s="1244"/>
      <c r="N63" s="1259"/>
      <c r="O63" s="1259"/>
      <c r="P63" s="1244"/>
      <c r="Q63" s="1244"/>
      <c r="R63" s="1244"/>
      <c r="S63" s="1265"/>
      <c r="T63" s="1244"/>
      <c r="U63" s="1244"/>
    </row>
    <row r="64">
      <c r="A64" s="1235"/>
      <c r="B64" s="1235"/>
      <c r="C64" s="1246"/>
      <c r="D64" s="1247" t="str">
        <f>iferror(VLOOKUP(B64,Pricing!B16:C244,2,false),"")</f>
        <v/>
      </c>
      <c r="E64" s="1248" t="str">
        <f>IFERROR(__xludf.DUMMYFUNCTION("IF(
  B64="""",
  """",
  IFERROR(
    VLOOKUP(
      B64,
      QUERY(
        {IMPORTRANGE(""1Ag27m9YF5mMfJh2E6NipJDFvPLlDI1p-s_1XEnzMHcc"",""Merge!F2:R"")},
        ""select Col1, Col10"",
        0
      ),
      2,
      FALSE
    ),
    """"
  )
)
"),"")</f>
        <v/>
      </c>
      <c r="F64" s="1248" t="str">
        <f>IFERROR(__xludf.DUMMYFUNCTION("IF(
  B64="""",
  """",
  IFERROR(
    VLOOKUP(
      B64,
      QUERY(
        {IMPORTRANGE(""1Ag27m9YF5mMfJh2E6NipJDFvPLlDI1p-s_1XEnzMHcc"",""Merge!F2:R"")},
        ""select Col1, Col12"",
        0
      ),2,FALSE),""""))"),"")</f>
        <v/>
      </c>
      <c r="G64" s="1249" t="str">
        <f>IFERROR(__xludf.DUMMYFUNCTION("IF(
  B64="""",
  """",
  IFERROR(
    VLOOKUP(
      B64,
      QUERY(
        {IMPORTRANGE(""1Ag27m9YF5mMfJh2E6NipJDFvPLlDI1p-s_1XEnzMHcc"",""Merge!F2:R"")},
        ""select Col1, Col11"",
        0
      ),
      2,
      FALSE
    ),""""))
"),"")</f>
        <v/>
      </c>
      <c r="H64" s="1250" t="str">
        <f>IFERROR(__xludf.DUMMYFUNCTION("IF(
  B64="""",
  """",
  IFERROR(
    VLOOKUP(
      B64,
      QUERY(
        {IMPORTRANGE(""1Ag27m9YF5mMfJh2E6NipJDFvPLlDI1p-s_1XEnzMHcc"",""Merge!F2:R"")},
        ""select Col1, Col9"",
        0
      ),
      2,
      FALSE
    ),""""))
"),"")</f>
        <v/>
      </c>
      <c r="I64" s="1251"/>
      <c r="J64" s="1252" t="str">
        <f t="shared" si="3"/>
        <v/>
      </c>
      <c r="K64" s="1253" t="str">
        <f t="shared" si="4"/>
        <v/>
      </c>
      <c r="L64" s="1254"/>
      <c r="M64" s="1244"/>
      <c r="N64" s="1259"/>
      <c r="O64" s="1259"/>
      <c r="P64" s="1244"/>
      <c r="Q64" s="1244"/>
      <c r="R64" s="1244"/>
      <c r="S64" s="1265"/>
      <c r="T64" s="1244"/>
      <c r="U64" s="1244"/>
    </row>
    <row r="65">
      <c r="A65" s="1235"/>
      <c r="B65" s="1266"/>
      <c r="C65" s="1269"/>
      <c r="D65" s="1247" t="str">
        <f>iferror(VLOOKUP(B65,Pricing!B16:C245,2,false),"")</f>
        <v/>
      </c>
      <c r="E65" s="1248" t="str">
        <f>IFERROR(__xludf.DUMMYFUNCTION("IF(
  B65="""",
  """",
  IFERROR(
    VLOOKUP(
      B65,
      QUERY(
        {IMPORTRANGE(""1Ag27m9YF5mMfJh2E6NipJDFvPLlDI1p-s_1XEnzMHcc"",""Merge!F2:R"")},
        ""select Col1, Col10"",
        0
      ),
      2,
      FALSE
    ),
    """"
  )
)
"),"")</f>
        <v/>
      </c>
      <c r="F65" s="1248" t="str">
        <f>IFERROR(__xludf.DUMMYFUNCTION("IF(
  B65="""",
  """",
  IFERROR(
    VLOOKUP(
      B65,
      QUERY(
        {IMPORTRANGE(""1Ag27m9YF5mMfJh2E6NipJDFvPLlDI1p-s_1XEnzMHcc"",""Merge!F2:R"")},
        ""select Col1, Col12"",
        0
      ),2,FALSE),""""))"),"")</f>
        <v/>
      </c>
      <c r="G65" s="1249" t="str">
        <f>IFERROR(__xludf.DUMMYFUNCTION("IF(
  B65="""",
  """",
  IFERROR(
    VLOOKUP(
      B65,
      QUERY(
        {IMPORTRANGE(""1Ag27m9YF5mMfJh2E6NipJDFvPLlDI1p-s_1XEnzMHcc"",""Merge!F2:R"")},
        ""select Col1, Col11"",
        0
      ),
      2,
      FALSE
    ),""""))
"),"")</f>
        <v/>
      </c>
      <c r="H65" s="1250" t="str">
        <f>IFERROR(__xludf.DUMMYFUNCTION("IF(
  B65="""",
  """",
  IFERROR(
    VLOOKUP(
      B65,
      QUERY(
        {IMPORTRANGE(""1Ag27m9YF5mMfJh2E6NipJDFvPLlDI1p-s_1XEnzMHcc"",""Merge!F2:R"")},
        ""select Col1, Col9"",
        0
      ),
      2,
      FALSE
    ),""""))
"),"")</f>
        <v/>
      </c>
      <c r="I65" s="1251"/>
      <c r="J65" s="1252" t="str">
        <f t="shared" si="3"/>
        <v/>
      </c>
      <c r="K65" s="1253" t="str">
        <f t="shared" si="4"/>
        <v/>
      </c>
      <c r="L65" s="1254"/>
      <c r="M65" s="1244"/>
      <c r="N65" s="1259"/>
      <c r="O65" s="1259"/>
      <c r="P65" s="1244"/>
      <c r="Q65" s="1244"/>
      <c r="R65" s="1244"/>
      <c r="S65" s="1265"/>
      <c r="T65" s="1244"/>
      <c r="U65" s="1244"/>
    </row>
    <row r="66">
      <c r="A66" s="1235"/>
      <c r="B66" s="1266"/>
      <c r="C66" s="1246"/>
      <c r="D66" s="1247" t="str">
        <f>iferror(VLOOKUP(B66,Pricing!B16:C246,2,false),"")</f>
        <v/>
      </c>
      <c r="E66" s="1248" t="str">
        <f>IFERROR(__xludf.DUMMYFUNCTION("IF(
  B66="""",
  """",
  IFERROR(
    VLOOKUP(
      B66,
      QUERY(
        {IMPORTRANGE(""1Ag27m9YF5mMfJh2E6NipJDFvPLlDI1p-s_1XEnzMHcc"",""Merge!F2:R"")},
        ""select Col1, Col10"",
        0
      ),
      2,
      FALSE
    ),
    """"
  )
)
"),"")</f>
        <v/>
      </c>
      <c r="F66" s="1248" t="str">
        <f>IFERROR(__xludf.DUMMYFUNCTION("IF(
  B66="""",
  """",
  IFERROR(
    VLOOKUP(
      B66,
      QUERY(
        {IMPORTRANGE(""1Ag27m9YF5mMfJh2E6NipJDFvPLlDI1p-s_1XEnzMHcc"",""Merge!F2:R"")},
        ""select Col1, Col12"",
        0
      ),2,FALSE),""""))"),"")</f>
        <v/>
      </c>
      <c r="G66" s="1249" t="str">
        <f>IFERROR(__xludf.DUMMYFUNCTION("IF(
  B66="""",
  """",
  IFERROR(
    VLOOKUP(
      B66,
      QUERY(
        {IMPORTRANGE(""1Ag27m9YF5mMfJh2E6NipJDFvPLlDI1p-s_1XEnzMHcc"",""Merge!F2:R"")},
        ""select Col1, Col11"",
        0
      ),
      2,
      FALSE
    ),""""))
"),"")</f>
        <v/>
      </c>
      <c r="H66" s="1250" t="str">
        <f>IFERROR(__xludf.DUMMYFUNCTION("IF(
  B66="""",
  """",
  IFERROR(
    VLOOKUP(
      B66,
      QUERY(
        {IMPORTRANGE(""1Ag27m9YF5mMfJh2E6NipJDFvPLlDI1p-s_1XEnzMHcc"",""Merge!F2:R"")},
        ""select Col1, Col9"",
        0
      ),
      2,
      FALSE
    ),""""))
"),"")</f>
        <v/>
      </c>
      <c r="I66" s="1251"/>
      <c r="J66" s="1252" t="str">
        <f t="shared" si="3"/>
        <v/>
      </c>
      <c r="K66" s="1253" t="str">
        <f t="shared" si="4"/>
        <v/>
      </c>
      <c r="L66" s="1254"/>
      <c r="M66" s="1244"/>
      <c r="N66" s="1259"/>
      <c r="O66" s="1259"/>
      <c r="P66" s="1244"/>
      <c r="Q66" s="1244"/>
      <c r="R66" s="1244"/>
      <c r="S66" s="1265"/>
      <c r="T66" s="1244"/>
      <c r="U66" s="1244"/>
    </row>
    <row r="67">
      <c r="A67" s="1235"/>
      <c r="B67" s="1266"/>
      <c r="C67" s="1268"/>
      <c r="D67" s="1247" t="str">
        <f>iferror(VLOOKUP(B67,Pricing!B16:C247,2,false),"")</f>
        <v/>
      </c>
      <c r="E67" s="1248" t="str">
        <f>IFERROR(__xludf.DUMMYFUNCTION("IF(
  B67="""",
  """",
  IFERROR(
    VLOOKUP(
      B67,
      QUERY(
        {IMPORTRANGE(""1Ag27m9YF5mMfJh2E6NipJDFvPLlDI1p-s_1XEnzMHcc"",""Merge!F2:R"")},
        ""select Col1, Col10"",
        0
      ),
      2,
      FALSE
    ),
    """"
  )
)
"),"")</f>
        <v/>
      </c>
      <c r="F67" s="1248" t="str">
        <f>IFERROR(__xludf.DUMMYFUNCTION("IF(
  B67="""",
  """",
  IFERROR(
    VLOOKUP(
      B67,
      QUERY(
        {IMPORTRANGE(""1Ag27m9YF5mMfJh2E6NipJDFvPLlDI1p-s_1XEnzMHcc"",""Merge!F2:R"")},
        ""select Col1, Col12"",
        0
      ),2,FALSE),""""))"),"")</f>
        <v/>
      </c>
      <c r="G67" s="1249" t="str">
        <f>IFERROR(__xludf.DUMMYFUNCTION("IF(
  B67="""",
  """",
  IFERROR(
    VLOOKUP(
      B67,
      QUERY(
        {IMPORTRANGE(""1Ag27m9YF5mMfJh2E6NipJDFvPLlDI1p-s_1XEnzMHcc"",""Merge!F2:R"")},
        ""select Col1, Col11"",
        0
      ),
      2,
      FALSE
    ),""""))
"),"")</f>
        <v/>
      </c>
      <c r="H67" s="1250" t="str">
        <f>IFERROR(__xludf.DUMMYFUNCTION("IF(
  B67="""",
  """",
  IFERROR(
    VLOOKUP(
      B67,
      QUERY(
        {IMPORTRANGE(""1Ag27m9YF5mMfJh2E6NipJDFvPLlDI1p-s_1XEnzMHcc"",""Merge!F2:R"")},
        ""select Col1, Col9"",
        0
      ),
      2,
      FALSE
    ),""""))
"),"")</f>
        <v/>
      </c>
      <c r="I67" s="1251"/>
      <c r="J67" s="1252" t="str">
        <f t="shared" si="3"/>
        <v/>
      </c>
      <c r="K67" s="1253" t="str">
        <f t="shared" si="4"/>
        <v/>
      </c>
      <c r="L67" s="1254"/>
      <c r="M67" s="1244"/>
      <c r="N67" s="1259"/>
      <c r="O67" s="1259"/>
      <c r="P67" s="1244"/>
      <c r="Q67" s="1244"/>
      <c r="R67" s="1244"/>
      <c r="S67" s="1265"/>
      <c r="T67" s="1244"/>
      <c r="U67" s="1244"/>
    </row>
    <row r="68">
      <c r="A68" s="1235"/>
      <c r="B68" s="1266"/>
      <c r="C68" s="1268"/>
      <c r="D68" s="1247" t="str">
        <f>iferror(VLOOKUP(B68,Pricing!B16:C248,2,false),"")</f>
        <v/>
      </c>
      <c r="E68" s="1248" t="str">
        <f>IFERROR(__xludf.DUMMYFUNCTION("IF(
  B68="""",
  """",
  IFERROR(
    VLOOKUP(
      B68,
      QUERY(
        {IMPORTRANGE(""1Ag27m9YF5mMfJh2E6NipJDFvPLlDI1p-s_1XEnzMHcc"",""Merge!F2:R"")},
        ""select Col1, Col10"",
        0
      ),
      2,
      FALSE
    ),
    """"
  )
)
"),"")</f>
        <v/>
      </c>
      <c r="F68" s="1248" t="str">
        <f>IFERROR(__xludf.DUMMYFUNCTION("IF(
  B68="""",
  """",
  IFERROR(
    VLOOKUP(
      B68,
      QUERY(
        {IMPORTRANGE(""1Ag27m9YF5mMfJh2E6NipJDFvPLlDI1p-s_1XEnzMHcc"",""Merge!F2:R"")},
        ""select Col1, Col12"",
        0
      ),2,FALSE),""""))"),"")</f>
        <v/>
      </c>
      <c r="G68" s="1249" t="str">
        <f>IFERROR(__xludf.DUMMYFUNCTION("IF(
  B68="""",
  """",
  IFERROR(
    VLOOKUP(
      B68,
      QUERY(
        {IMPORTRANGE(""1Ag27m9YF5mMfJh2E6NipJDFvPLlDI1p-s_1XEnzMHcc"",""Merge!F2:R"")},
        ""select Col1, Col11"",
        0
      ),
      2,
      FALSE
    ),""""))
"),"")</f>
        <v/>
      </c>
      <c r="H68" s="1250" t="str">
        <f>IFERROR(__xludf.DUMMYFUNCTION("IF(
  B68="""",
  """",
  IFERROR(
    VLOOKUP(
      B68,
      QUERY(
        {IMPORTRANGE(""1Ag27m9YF5mMfJh2E6NipJDFvPLlDI1p-s_1XEnzMHcc"",""Merge!F2:R"")},
        ""select Col1, Col9"",
        0
      ),
      2,
      FALSE
    ),""""))
"),"")</f>
        <v/>
      </c>
      <c r="I68" s="1251"/>
      <c r="J68" s="1252" t="str">
        <f t="shared" si="3"/>
        <v/>
      </c>
      <c r="K68" s="1253" t="str">
        <f t="shared" si="4"/>
        <v/>
      </c>
      <c r="L68" s="1254"/>
      <c r="M68" s="1244"/>
      <c r="N68" s="1259"/>
      <c r="O68" s="1259"/>
      <c r="P68" s="1244"/>
      <c r="Q68" s="1244"/>
      <c r="R68" s="1244"/>
      <c r="S68" s="1265"/>
      <c r="T68" s="1244"/>
      <c r="U68" s="1244"/>
    </row>
    <row r="69">
      <c r="A69" s="1235"/>
      <c r="B69" s="1235"/>
      <c r="C69" s="1246"/>
      <c r="D69" s="1247" t="str">
        <f>iferror(VLOOKUP(B69,Pricing!B16:C249,2,false),"")</f>
        <v/>
      </c>
      <c r="E69" s="1248" t="str">
        <f>IFERROR(__xludf.DUMMYFUNCTION("IF(
  B69="""",
  """",
  IFERROR(
    VLOOKUP(
      B69,
      QUERY(
        {IMPORTRANGE(""1Ag27m9YF5mMfJh2E6NipJDFvPLlDI1p-s_1XEnzMHcc"",""Merge!F2:R"")},
        ""select Col1, Col10"",
        0
      ),
      2,
      FALSE
    ),
    """"
  )
)
"),"")</f>
        <v/>
      </c>
      <c r="F69" s="1248" t="str">
        <f>IFERROR(__xludf.DUMMYFUNCTION("IF(
  B69="""",
  """",
  IFERROR(
    VLOOKUP(
      B69,
      QUERY(
        {IMPORTRANGE(""1Ag27m9YF5mMfJh2E6NipJDFvPLlDI1p-s_1XEnzMHcc"",""Merge!F2:R"")},
        ""select Col1, Col12"",
        0
      ),2,FALSE),""""))"),"")</f>
        <v/>
      </c>
      <c r="G69" s="1249" t="str">
        <f>IFERROR(__xludf.DUMMYFUNCTION("IF(
  B69="""",
  """",
  IFERROR(
    VLOOKUP(
      B69,
      QUERY(
        {IMPORTRANGE(""1Ag27m9YF5mMfJh2E6NipJDFvPLlDI1p-s_1XEnzMHcc"",""Merge!F2:R"")},
        ""select Col1, Col11"",
        0
      ),
      2,
      FALSE
    ),""""))
"),"")</f>
        <v/>
      </c>
      <c r="H69" s="1250" t="str">
        <f>IFERROR(__xludf.DUMMYFUNCTION("IF(
  B69="""",
  """",
  IFERROR(
    VLOOKUP(
      B69,
      QUERY(
        {IMPORTRANGE(""1Ag27m9YF5mMfJh2E6NipJDFvPLlDI1p-s_1XEnzMHcc"",""Merge!F2:R"")},
        ""select Col1, Col9"",
        0
      ),
      2,
      FALSE
    ),""""))
"),"")</f>
        <v/>
      </c>
      <c r="I69" s="1251"/>
      <c r="J69" s="1252" t="str">
        <f t="shared" si="3"/>
        <v/>
      </c>
      <c r="K69" s="1253" t="str">
        <f t="shared" si="4"/>
        <v/>
      </c>
      <c r="L69" s="1254"/>
      <c r="M69" s="1244"/>
      <c r="N69" s="1259"/>
      <c r="O69" s="1259"/>
      <c r="P69" s="1244"/>
      <c r="Q69" s="1244"/>
      <c r="R69" s="1244"/>
      <c r="S69" s="1265"/>
      <c r="T69" s="1244"/>
      <c r="U69" s="1244"/>
    </row>
    <row r="70">
      <c r="A70" s="1235"/>
      <c r="B70" s="1235"/>
      <c r="C70" s="1246"/>
      <c r="D70" s="1247" t="str">
        <f>iferror(VLOOKUP(B70,Pricing!B16:C250,2,false),"")</f>
        <v/>
      </c>
      <c r="E70" s="1248" t="str">
        <f>IFERROR(__xludf.DUMMYFUNCTION("IF(
  B70="""",
  """",
  IFERROR(
    VLOOKUP(
      B70,
      QUERY(
        {IMPORTRANGE(""1Ag27m9YF5mMfJh2E6NipJDFvPLlDI1p-s_1XEnzMHcc"",""Merge!F2:R"")},
        ""select Col1, Col10"",
        0
      ),
      2,
      FALSE
    ),
    """"
  )
)
"),"")</f>
        <v/>
      </c>
      <c r="F70" s="1248" t="str">
        <f>IFERROR(__xludf.DUMMYFUNCTION("IF(
  B70="""",
  """",
  IFERROR(
    VLOOKUP(
      B70,
      QUERY(
        {IMPORTRANGE(""1Ag27m9YF5mMfJh2E6NipJDFvPLlDI1p-s_1XEnzMHcc"",""Merge!F2:R"")},
        ""select Col1, Col12"",
        0
      ),2,FALSE),""""))"),"")</f>
        <v/>
      </c>
      <c r="G70" s="1249" t="str">
        <f>IFERROR(__xludf.DUMMYFUNCTION("IF(
  B70="""",
  """",
  IFERROR(
    VLOOKUP(
      B70,
      QUERY(
        {IMPORTRANGE(""1Ag27m9YF5mMfJh2E6NipJDFvPLlDI1p-s_1XEnzMHcc"",""Merge!F2:R"")},
        ""select Col1, Col11"",
        0
      ),
      2,
      FALSE
    ),""""))
"),"")</f>
        <v/>
      </c>
      <c r="H70" s="1250" t="str">
        <f>IFERROR(__xludf.DUMMYFUNCTION("IF(
  B70="""",
  """",
  IFERROR(
    VLOOKUP(
      B70,
      QUERY(
        {IMPORTRANGE(""1Ag27m9YF5mMfJh2E6NipJDFvPLlDI1p-s_1XEnzMHcc"",""Merge!F2:R"")},
        ""select Col1, Col9"",
        0
      ),
      2,
      FALSE
    ),""""))
"),"")</f>
        <v/>
      </c>
      <c r="I70" s="1251"/>
      <c r="J70" s="1252" t="str">
        <f t="shared" si="3"/>
        <v/>
      </c>
      <c r="K70" s="1253" t="str">
        <f t="shared" si="4"/>
        <v/>
      </c>
      <c r="L70" s="1254"/>
      <c r="M70" s="1244"/>
      <c r="N70" s="1259"/>
      <c r="O70" s="1259"/>
      <c r="P70" s="1244"/>
      <c r="Q70" s="1244"/>
      <c r="R70" s="1244"/>
      <c r="S70" s="1265"/>
      <c r="T70" s="1244"/>
      <c r="U70" s="1244"/>
    </row>
    <row r="71">
      <c r="A71" s="1235"/>
      <c r="B71" s="1235"/>
      <c r="C71" s="1246" t="str">
        <f t="shared" ref="C71:C98" si="5">H71</f>
        <v/>
      </c>
      <c r="D71" s="1247" t="str">
        <f>iferror(VLOOKUP(B71,Pricing!B16:C251,2,false),"")</f>
        <v/>
      </c>
      <c r="E71" s="1248" t="str">
        <f>IFERROR(__xludf.DUMMYFUNCTION("IF(
  B71="""",
  """",
  IFERROR(
    VLOOKUP(
      B71,
      QUERY(
        {IMPORTRANGE(""1Ag27m9YF5mMfJh2E6NipJDFvPLlDI1p-s_1XEnzMHcc"",""Merge!F2:R"")},
        ""select Col1, Col10"",
        0
      ),
      2,
      FALSE
    ),
    """"
  )
)
"),"")</f>
        <v/>
      </c>
      <c r="F71" s="1248" t="str">
        <f>IFERROR(__xludf.DUMMYFUNCTION("IF(
  B71="""",
  """",
  IFERROR(
    VLOOKUP(
      B71,
      QUERY(
        {IMPORTRANGE(""1Ag27m9YF5mMfJh2E6NipJDFvPLlDI1p-s_1XEnzMHcc"",""Merge!F2:R"")},
        ""select Col1, Col12"",
        0
      ),2,FALSE),""""))"),"")</f>
        <v/>
      </c>
      <c r="G71" s="1249" t="str">
        <f>IFERROR(__xludf.DUMMYFUNCTION("IF(
  B71="""",
  """",
  IFERROR(
    VLOOKUP(
      B71,
      QUERY(
        {IMPORTRANGE(""1Ag27m9YF5mMfJh2E6NipJDFvPLlDI1p-s_1XEnzMHcc"",""Merge!F2:R"")},
        ""select Col1, Col11"",
        0
      ),
      2,
      FALSE
    ),""""))
"),"")</f>
        <v/>
      </c>
      <c r="H71" s="1250" t="str">
        <f>IFERROR(__xludf.DUMMYFUNCTION("IF(
  B71="""",
  """",
  IFERROR(
    VLOOKUP(
      B71,
      QUERY(
        {IMPORTRANGE(""1Ag27m9YF5mMfJh2E6NipJDFvPLlDI1p-s_1XEnzMHcc"",""Merge!F2:R"")},
        ""select Col1, Col9"",
        0
      ),
      2,
      FALSE
    ),""""))
"),"")</f>
        <v/>
      </c>
      <c r="I71" s="1251"/>
      <c r="J71" s="1270" t="str">
        <f t="shared" si="3"/>
        <v/>
      </c>
      <c r="K71" s="1253" t="str">
        <f t="shared" si="4"/>
        <v/>
      </c>
      <c r="L71" s="1254"/>
      <c r="M71" s="1244"/>
      <c r="N71" s="1259"/>
      <c r="O71" s="1259"/>
      <c r="P71" s="1244"/>
      <c r="Q71" s="1244"/>
      <c r="R71" s="1244"/>
      <c r="S71" s="1265"/>
      <c r="T71" s="1244"/>
      <c r="U71" s="1244"/>
    </row>
    <row r="72">
      <c r="A72" s="1235"/>
      <c r="B72" s="1235"/>
      <c r="C72" s="1246" t="str">
        <f t="shared" si="5"/>
        <v/>
      </c>
      <c r="D72" s="1247" t="str">
        <f>iferror(VLOOKUP(B72,Pricing!B16:C252,2,false),"")</f>
        <v/>
      </c>
      <c r="E72" s="1248" t="str">
        <f>IFERROR(__xludf.DUMMYFUNCTION("IF(
  B72="""",
  """",
  IFERROR(
    VLOOKUP(
      B72,
      QUERY(
        {IMPORTRANGE(""1Ag27m9YF5mMfJh2E6NipJDFvPLlDI1p-s_1XEnzMHcc"",""Merge!F2:R"")},
        ""select Col1, Col10"",
        0
      ),
      2,
      FALSE
    ),
    """"
  )
)
"),"")</f>
        <v/>
      </c>
      <c r="F72" s="1248" t="str">
        <f>IFERROR(__xludf.DUMMYFUNCTION("IF(
  B72="""",
  """",
  IFERROR(
    VLOOKUP(
      B72,
      QUERY(
        {IMPORTRANGE(""1Ag27m9YF5mMfJh2E6NipJDFvPLlDI1p-s_1XEnzMHcc"",""Merge!F2:R"")},
        ""select Col1, Col12"",
        0
      ),2,FALSE),""""))"),"")</f>
        <v/>
      </c>
      <c r="G72" s="1249" t="str">
        <f>IFERROR(__xludf.DUMMYFUNCTION("IF(
  B72="""",
  """",
  IFERROR(
    VLOOKUP(
      B72,
      QUERY(
        {IMPORTRANGE(""1Ag27m9YF5mMfJh2E6NipJDFvPLlDI1p-s_1XEnzMHcc"",""Merge!F2:R"")},
        ""select Col1, Col11"",
        0
      ),
      2,
      FALSE
    ),""""))
"),"")</f>
        <v/>
      </c>
      <c r="H72" s="1250" t="str">
        <f>IFERROR(__xludf.DUMMYFUNCTION("IF(
  B72="""",
  """",
  IFERROR(
    VLOOKUP(
      B72,
      QUERY(
        {IMPORTRANGE(""1Ag27m9YF5mMfJh2E6NipJDFvPLlDI1p-s_1XEnzMHcc"",""Merge!F2:R"")},
        ""select Col1, Col9"",
        0
      ),
      2,
      FALSE
    ),""""))
"),"")</f>
        <v/>
      </c>
      <c r="I72" s="1251"/>
      <c r="J72" s="1270" t="str">
        <f t="shared" si="3"/>
        <v/>
      </c>
      <c r="K72" s="1253" t="str">
        <f t="shared" si="4"/>
        <v/>
      </c>
      <c r="L72" s="1254"/>
      <c r="M72" s="1244"/>
      <c r="N72" s="1259"/>
      <c r="O72" s="1259"/>
      <c r="P72" s="1244"/>
      <c r="Q72" s="1244"/>
      <c r="R72" s="1244"/>
      <c r="S72" s="1265"/>
      <c r="T72" s="1244"/>
      <c r="U72" s="1244"/>
    </row>
    <row r="73">
      <c r="A73" s="1235"/>
      <c r="B73" s="1235"/>
      <c r="C73" s="1246" t="str">
        <f t="shared" si="5"/>
        <v/>
      </c>
      <c r="D73" s="1247" t="str">
        <f>iferror(VLOOKUP(B73,Pricing!B16:C253,2,false),"")</f>
        <v/>
      </c>
      <c r="E73" s="1248" t="str">
        <f>IFERROR(__xludf.DUMMYFUNCTION("IF(
  B73="""",
  """",
  IFERROR(
    VLOOKUP(
      B73,
      QUERY(
        {IMPORTRANGE(""1Ag27m9YF5mMfJh2E6NipJDFvPLlDI1p-s_1XEnzMHcc"",""Merge!F2:R"")},
        ""select Col1, Col10"",
        0
      ),
      2,
      FALSE
    ),
    """"
  )
)
"),"")</f>
        <v/>
      </c>
      <c r="F73" s="1248" t="str">
        <f>IFERROR(__xludf.DUMMYFUNCTION("IF(
  B73="""",
  """",
  IFERROR(
    VLOOKUP(
      B73,
      QUERY(
        {IMPORTRANGE(""1Ag27m9YF5mMfJh2E6NipJDFvPLlDI1p-s_1XEnzMHcc"",""Merge!F2:R"")},
        ""select Col1, Col12"",
        0
      ),2,FALSE),""""))"),"")</f>
        <v/>
      </c>
      <c r="G73" s="1249" t="str">
        <f>IFERROR(__xludf.DUMMYFUNCTION("IF(
  B73="""",
  """",
  IFERROR(
    VLOOKUP(
      B73,
      QUERY(
        {IMPORTRANGE(""1Ag27m9YF5mMfJh2E6NipJDFvPLlDI1p-s_1XEnzMHcc"",""Merge!F2:R"")},
        ""select Col1, Col11"",
        0
      ),
      2,
      FALSE
    ),""""))
"),"")</f>
        <v/>
      </c>
      <c r="H73" s="1250" t="str">
        <f>IFERROR(__xludf.DUMMYFUNCTION("IF(
  B73="""",
  """",
  IFERROR(
    VLOOKUP(
      B73,
      QUERY(
        {IMPORTRANGE(""1Ag27m9YF5mMfJh2E6NipJDFvPLlDI1p-s_1XEnzMHcc"",""Merge!F2:R"")},
        ""select Col1, Col9"",
        0
      ),
      2,
      FALSE
    ),""""))
"),"")</f>
        <v/>
      </c>
      <c r="I73" s="1251"/>
      <c r="J73" s="1270" t="str">
        <f t="shared" si="3"/>
        <v/>
      </c>
      <c r="K73" s="1253" t="str">
        <f t="shared" si="4"/>
        <v/>
      </c>
      <c r="L73" s="1254"/>
      <c r="M73" s="1244"/>
      <c r="N73" s="1259"/>
      <c r="O73" s="1259"/>
      <c r="P73" s="1244"/>
      <c r="Q73" s="1244"/>
      <c r="R73" s="1244"/>
      <c r="S73" s="1265"/>
      <c r="T73" s="1244"/>
      <c r="U73" s="1244"/>
    </row>
    <row r="74">
      <c r="A74" s="1235"/>
      <c r="B74" s="1235"/>
      <c r="C74" s="1246" t="str">
        <f t="shared" si="5"/>
        <v/>
      </c>
      <c r="D74" s="1247" t="str">
        <f>iferror(VLOOKUP(B74,Pricing!B16:C254,2,false),"")</f>
        <v/>
      </c>
      <c r="E74" s="1248" t="str">
        <f>IFERROR(__xludf.DUMMYFUNCTION("IF(
  B74="""",
  """",
  IFERROR(
    VLOOKUP(
      B74,
      QUERY(
        {IMPORTRANGE(""1Ag27m9YF5mMfJh2E6NipJDFvPLlDI1p-s_1XEnzMHcc"",""Merge!F2:R"")},
        ""select Col1, Col10"",
        0
      ),
      2,
      FALSE
    ),
    """"
  )
)
"),"")</f>
        <v/>
      </c>
      <c r="F74" s="1248" t="str">
        <f>IFERROR(__xludf.DUMMYFUNCTION("IF(
  B74="""",
  """",
  IFERROR(
    VLOOKUP(
      B74,
      QUERY(
        {IMPORTRANGE(""1Ag27m9YF5mMfJh2E6NipJDFvPLlDI1p-s_1XEnzMHcc"",""Merge!F2:R"")},
        ""select Col1, Col12"",
        0
      ),2,FALSE),""""))"),"")</f>
        <v/>
      </c>
      <c r="G74" s="1249" t="str">
        <f>IFERROR(__xludf.DUMMYFUNCTION("IF(
  B74="""",
  """",
  IFERROR(
    VLOOKUP(
      B74,
      QUERY(
        {IMPORTRANGE(""1Ag27m9YF5mMfJh2E6NipJDFvPLlDI1p-s_1XEnzMHcc"",""Merge!F2:R"")},
        ""select Col1, Col11"",
        0
      ),
      2,
      FALSE
    ),""""))
"),"")</f>
        <v/>
      </c>
      <c r="H74" s="1250" t="str">
        <f>IFERROR(__xludf.DUMMYFUNCTION("IF(
  B74="""",
  """",
  IFERROR(
    VLOOKUP(
      B74,
      QUERY(
        {IMPORTRANGE(""1Ag27m9YF5mMfJh2E6NipJDFvPLlDI1p-s_1XEnzMHcc"",""Merge!F2:R"")},
        ""select Col1, Col9"",
        0
      ),
      2,
      FALSE
    ),""""))
"),"")</f>
        <v/>
      </c>
      <c r="I74" s="1251"/>
      <c r="J74" s="1270" t="str">
        <f t="shared" si="3"/>
        <v/>
      </c>
      <c r="K74" s="1253" t="str">
        <f t="shared" si="4"/>
        <v/>
      </c>
      <c r="L74" s="1254"/>
      <c r="M74" s="1244"/>
      <c r="N74" s="1259"/>
      <c r="O74" s="1259"/>
      <c r="P74" s="1244"/>
      <c r="Q74" s="1244"/>
      <c r="R74" s="1244"/>
      <c r="S74" s="1265"/>
      <c r="T74" s="1244"/>
      <c r="U74" s="1244"/>
    </row>
    <row r="75">
      <c r="A75" s="1235"/>
      <c r="B75" s="1235"/>
      <c r="C75" s="1246" t="str">
        <f t="shared" si="5"/>
        <v/>
      </c>
      <c r="D75" s="1247" t="str">
        <f>iferror(VLOOKUP(B75,Pricing!B16:C255,2,false),"")</f>
        <v/>
      </c>
      <c r="E75" s="1248" t="str">
        <f>IFERROR(__xludf.DUMMYFUNCTION("IF(
  B75="""",
  """",
  IFERROR(
    VLOOKUP(
      B75,
      QUERY(
        {IMPORTRANGE(""1Ag27m9YF5mMfJh2E6NipJDFvPLlDI1p-s_1XEnzMHcc"",""Merge!F2:R"")},
        ""select Col1, Col10"",
        0
      ),
      2,
      FALSE
    ),
    """"
  )
)
"),"")</f>
        <v/>
      </c>
      <c r="F75" s="1248" t="str">
        <f>IFERROR(__xludf.DUMMYFUNCTION("IF(
  B75="""",
  """",
  IFERROR(
    VLOOKUP(
      B75,
      QUERY(
        {IMPORTRANGE(""1Ag27m9YF5mMfJh2E6NipJDFvPLlDI1p-s_1XEnzMHcc"",""Merge!F2:R"")},
        ""select Col1, Col12"",
        0
      ),2,FALSE),""""))"),"")</f>
        <v/>
      </c>
      <c r="G75" s="1249" t="str">
        <f>IFERROR(__xludf.DUMMYFUNCTION("IF(
  B75="""",
  """",
  IFERROR(
    VLOOKUP(
      B75,
      QUERY(
        {IMPORTRANGE(""1Ag27m9YF5mMfJh2E6NipJDFvPLlDI1p-s_1XEnzMHcc"",""Merge!F2:R"")},
        ""select Col1, Col11"",
        0
      ),
      2,
      FALSE
    ),""""))
"),"")</f>
        <v/>
      </c>
      <c r="H75" s="1250" t="str">
        <f>IFERROR(__xludf.DUMMYFUNCTION("IF(
  B75="""",
  """",
  IFERROR(
    VLOOKUP(
      B75,
      QUERY(
        {IMPORTRANGE(""1Ag27m9YF5mMfJh2E6NipJDFvPLlDI1p-s_1XEnzMHcc"",""Merge!F2:R"")},
        ""select Col1, Col9"",
        0
      ),
      2,
      FALSE
    ),""""))
"),"")</f>
        <v/>
      </c>
      <c r="I75" s="1251"/>
      <c r="J75" s="1270" t="str">
        <f t="shared" si="3"/>
        <v/>
      </c>
      <c r="K75" s="1253" t="str">
        <f t="shared" si="4"/>
        <v/>
      </c>
      <c r="L75" s="1254"/>
      <c r="M75" s="1244"/>
      <c r="N75" s="1259"/>
      <c r="O75" s="1259"/>
      <c r="P75" s="1244"/>
      <c r="Q75" s="1244"/>
      <c r="R75" s="1244"/>
      <c r="S75" s="1265"/>
      <c r="T75" s="1244"/>
      <c r="U75" s="1244"/>
    </row>
    <row r="76">
      <c r="A76" s="1235"/>
      <c r="B76" s="1235"/>
      <c r="C76" s="1246" t="str">
        <f t="shared" si="5"/>
        <v/>
      </c>
      <c r="D76" s="1247" t="str">
        <f>iferror(VLOOKUP(B76,Pricing!B16:C256,2,false),"")</f>
        <v/>
      </c>
      <c r="E76" s="1248" t="str">
        <f>IFERROR(__xludf.DUMMYFUNCTION("IF(
  B76="""",
  """",
  IFERROR(
    VLOOKUP(
      B76,
      QUERY(
        {IMPORTRANGE(""1Ag27m9YF5mMfJh2E6NipJDFvPLlDI1p-s_1XEnzMHcc"",""Merge!F2:R"")},
        ""select Col1, Col10"",
        0
      ),
      2,
      FALSE
    ),
    """"
  )
)
"),"")</f>
        <v/>
      </c>
      <c r="F76" s="1248" t="str">
        <f>IFERROR(__xludf.DUMMYFUNCTION("IF(
  B76="""",
  """",
  IFERROR(
    VLOOKUP(
      B76,
      QUERY(
        {IMPORTRANGE(""1Ag27m9YF5mMfJh2E6NipJDFvPLlDI1p-s_1XEnzMHcc"",""Merge!F2:R"")},
        ""select Col1, Col12"",
        0
      ),2,FALSE),""""))"),"")</f>
        <v/>
      </c>
      <c r="G76" s="1249" t="str">
        <f>IFERROR(__xludf.DUMMYFUNCTION("IF(
  B76="""",
  """",
  IFERROR(
    VLOOKUP(
      B76,
      QUERY(
        {IMPORTRANGE(""1Ag27m9YF5mMfJh2E6NipJDFvPLlDI1p-s_1XEnzMHcc"",""Merge!F2:R"")},
        ""select Col1, Col11"",
        0
      ),
      2,
      FALSE
    ),""""))
"),"")</f>
        <v/>
      </c>
      <c r="H76" s="1250" t="str">
        <f>IFERROR(__xludf.DUMMYFUNCTION("IF(
  B76="""",
  """",
  IFERROR(
    VLOOKUP(
      B76,
      QUERY(
        {IMPORTRANGE(""1Ag27m9YF5mMfJh2E6NipJDFvPLlDI1p-s_1XEnzMHcc"",""Merge!F2:R"")},
        ""select Col1, Col9"",
        0
      ),
      2,
      FALSE
    ),""""))
"),"")</f>
        <v/>
      </c>
      <c r="I76" s="1251"/>
      <c r="J76" s="1270" t="str">
        <f t="shared" si="3"/>
        <v/>
      </c>
      <c r="K76" s="1253" t="str">
        <f t="shared" si="4"/>
        <v/>
      </c>
      <c r="L76" s="1254"/>
      <c r="M76" s="1244"/>
      <c r="N76" s="1259"/>
      <c r="O76" s="1259"/>
      <c r="P76" s="1244"/>
      <c r="Q76" s="1244"/>
      <c r="R76" s="1244"/>
      <c r="S76" s="1265"/>
      <c r="T76" s="1244"/>
      <c r="U76" s="1244"/>
    </row>
    <row r="77">
      <c r="A77" s="1235"/>
      <c r="B77" s="1235"/>
      <c r="C77" s="1246" t="str">
        <f t="shared" si="5"/>
        <v/>
      </c>
      <c r="D77" s="1247" t="str">
        <f>iferror(VLOOKUP(B77,Pricing!B16:C257,2,false),"")</f>
        <v/>
      </c>
      <c r="E77" s="1248" t="str">
        <f>IFERROR(__xludf.DUMMYFUNCTION("IF(
  B77="""",
  """",
  IFERROR(
    VLOOKUP(
      B77,
      QUERY(
        {IMPORTRANGE(""1Ag27m9YF5mMfJh2E6NipJDFvPLlDI1p-s_1XEnzMHcc"",""Merge!F2:R"")},
        ""select Col1, Col10"",
        0
      ),
      2,
      FALSE
    ),
    """"
  )
)
"),"")</f>
        <v/>
      </c>
      <c r="F77" s="1248" t="str">
        <f>IFERROR(__xludf.DUMMYFUNCTION("IF(
  B77="""",
  """",
  IFERROR(
    VLOOKUP(
      B77,
      QUERY(
        {IMPORTRANGE(""1Ag27m9YF5mMfJh2E6NipJDFvPLlDI1p-s_1XEnzMHcc"",""Merge!F2:R"")},
        ""select Col1, Col12"",
        0
      ),2,FALSE),""""))"),"")</f>
        <v/>
      </c>
      <c r="G77" s="1249" t="str">
        <f>IFERROR(__xludf.DUMMYFUNCTION("IF(
  B77="""",
  """",
  IFERROR(
    VLOOKUP(
      B77,
      QUERY(
        {IMPORTRANGE(""1Ag27m9YF5mMfJh2E6NipJDFvPLlDI1p-s_1XEnzMHcc"",""Merge!F2:R"")},
        ""select Col1, Col11"",
        0
      ),
      2,
      FALSE
    ),""""))
"),"")</f>
        <v/>
      </c>
      <c r="H77" s="1250" t="str">
        <f>IFERROR(__xludf.DUMMYFUNCTION("IF(
  B77="""",
  """",
  IFERROR(
    VLOOKUP(
      B77,
      QUERY(
        {IMPORTRANGE(""1Ag27m9YF5mMfJh2E6NipJDFvPLlDI1p-s_1XEnzMHcc"",""Merge!F2:R"")},
        ""select Col1, Col9"",
        0
      ),
      2,
      FALSE
    ),""""))
"),"")</f>
        <v/>
      </c>
      <c r="I77" s="1251"/>
      <c r="J77" s="1270" t="str">
        <f t="shared" si="3"/>
        <v/>
      </c>
      <c r="K77" s="1253" t="str">
        <f t="shared" si="4"/>
        <v/>
      </c>
      <c r="L77" s="1254"/>
      <c r="M77" s="1244"/>
      <c r="N77" s="1259"/>
      <c r="O77" s="1259"/>
      <c r="P77" s="1244"/>
      <c r="Q77" s="1244"/>
      <c r="R77" s="1244"/>
      <c r="S77" s="1265"/>
      <c r="T77" s="1244"/>
      <c r="U77" s="1244"/>
    </row>
    <row r="78">
      <c r="A78" s="1235"/>
      <c r="B78" s="1235"/>
      <c r="C78" s="1246" t="str">
        <f t="shared" si="5"/>
        <v/>
      </c>
      <c r="D78" s="1247" t="str">
        <f>iferror(VLOOKUP(B78,Pricing!B16:C258,2,false),"")</f>
        <v/>
      </c>
      <c r="E78" s="1248" t="str">
        <f>IFERROR(__xludf.DUMMYFUNCTION("IF(
  B78="""",
  """",
  IFERROR(
    VLOOKUP(
      B78,
      QUERY(
        {IMPORTRANGE(""1Ag27m9YF5mMfJh2E6NipJDFvPLlDI1p-s_1XEnzMHcc"",""Merge!F2:R"")},
        ""select Col1, Col10"",
        0
      ),
      2,
      FALSE
    ),
    """"
  )
)
"),"")</f>
        <v/>
      </c>
      <c r="F78" s="1248" t="str">
        <f>IFERROR(__xludf.DUMMYFUNCTION("IF(
  B78="""",
  """",
  IFERROR(
    VLOOKUP(
      B78,
      QUERY(
        {IMPORTRANGE(""1Ag27m9YF5mMfJh2E6NipJDFvPLlDI1p-s_1XEnzMHcc"",""Merge!F2:R"")},
        ""select Col1, Col12"",
        0
      ),2,FALSE),""""))"),"")</f>
        <v/>
      </c>
      <c r="G78" s="1249" t="str">
        <f>IFERROR(__xludf.DUMMYFUNCTION("IF(
  B78="""",
  """",
  IFERROR(
    VLOOKUP(
      B78,
      QUERY(
        {IMPORTRANGE(""1Ag27m9YF5mMfJh2E6NipJDFvPLlDI1p-s_1XEnzMHcc"",""Merge!F2:R"")},
        ""select Col1, Col11"",
        0
      ),
      2,
      FALSE
    ),""""))
"),"")</f>
        <v/>
      </c>
      <c r="H78" s="1250" t="str">
        <f>IFERROR(__xludf.DUMMYFUNCTION("IF(
  B78="""",
  """",
  IFERROR(
    VLOOKUP(
      B78,
      QUERY(
        {IMPORTRANGE(""1Ag27m9YF5mMfJh2E6NipJDFvPLlDI1p-s_1XEnzMHcc"",""Merge!F2:R"")},
        ""select Col1, Col9"",
        0
      ),
      2,
      FALSE
    ),""""))
"),"")</f>
        <v/>
      </c>
      <c r="I78" s="1251"/>
      <c r="J78" s="1270" t="str">
        <f t="shared" si="3"/>
        <v/>
      </c>
      <c r="K78" s="1253" t="str">
        <f t="shared" si="4"/>
        <v/>
      </c>
      <c r="L78" s="1254"/>
      <c r="M78" s="1244"/>
      <c r="N78" s="1259"/>
      <c r="O78" s="1259"/>
      <c r="P78" s="1244"/>
      <c r="Q78" s="1244"/>
      <c r="R78" s="1244"/>
      <c r="S78" s="1265"/>
      <c r="T78" s="1244"/>
      <c r="U78" s="1244"/>
    </row>
    <row r="79">
      <c r="A79" s="1235"/>
      <c r="B79" s="1235"/>
      <c r="C79" s="1246" t="str">
        <f t="shared" si="5"/>
        <v/>
      </c>
      <c r="D79" s="1247" t="str">
        <f>iferror(VLOOKUP(B79,Pricing!B15:C259,2,false),"")</f>
        <v/>
      </c>
      <c r="E79" s="1248" t="str">
        <f>IFERROR(__xludf.DUMMYFUNCTION("IF(
  B79="""",
  """",
  IFERROR(
    VLOOKUP(
      B79,
      QUERY(
        {IMPORTRANGE(""1Ag27m9YF5mMfJh2E6NipJDFvPLlDI1p-s_1XEnzMHcc"",""Merge!F2:R"")},
        ""select Col1, Col10"",
        0
      ),
      2,
      FALSE
    ),
    """"
  )
)
"),"")</f>
        <v/>
      </c>
      <c r="F79" s="1248" t="str">
        <f>IFERROR(__xludf.DUMMYFUNCTION("IF(
  B79="""",
  """",
  IFERROR(
    VLOOKUP(
      B79,
      QUERY(
        {IMPORTRANGE(""1Ag27m9YF5mMfJh2E6NipJDFvPLlDI1p-s_1XEnzMHcc"",""Merge!F2:R"")},
        ""select Col1, Col12"",
        0
      ),2,FALSE),""""))"),"")</f>
        <v/>
      </c>
      <c r="G79" s="1249" t="str">
        <f>IFERROR(__xludf.DUMMYFUNCTION("IF(
  B79="""",
  """",
  IFERROR(
    VLOOKUP(
      B79,
      QUERY(
        {IMPORTRANGE(""1Ag27m9YF5mMfJh2E6NipJDFvPLlDI1p-s_1XEnzMHcc"",""Merge!F2:R"")},
        ""select Col1, Col11"",
        0
      ),
      2,
      FALSE
    ),""""))
"),"")</f>
        <v/>
      </c>
      <c r="H79" s="1250" t="str">
        <f>IFERROR(__xludf.DUMMYFUNCTION("IF(
  B79="""",
  """",
  IFERROR(
    VLOOKUP(
      B79,
      QUERY(
        {IMPORTRANGE(""1Ag27m9YF5mMfJh2E6NipJDFvPLlDI1p-s_1XEnzMHcc"",""Merge!F2:R"")},
        ""select Col1, Col9"",
        0
      ),
      2,
      FALSE
    ),""""))
"),"")</f>
        <v/>
      </c>
      <c r="I79" s="1251"/>
      <c r="J79" s="1270" t="str">
        <f t="shared" si="3"/>
        <v/>
      </c>
      <c r="K79" s="1253" t="str">
        <f t="shared" si="4"/>
        <v/>
      </c>
      <c r="L79" s="1254"/>
      <c r="M79" s="1244"/>
      <c r="N79" s="1259"/>
      <c r="O79" s="1259"/>
      <c r="P79" s="1244"/>
      <c r="Q79" s="1244"/>
      <c r="R79" s="1244"/>
      <c r="S79" s="1265"/>
      <c r="T79" s="1244"/>
      <c r="U79" s="1244"/>
    </row>
    <row r="80">
      <c r="A80" s="1235"/>
      <c r="B80" s="1235"/>
      <c r="C80" s="1246" t="str">
        <f t="shared" si="5"/>
        <v/>
      </c>
      <c r="D80" s="1247" t="str">
        <f>iferror(VLOOKUP(B80,Pricing!B15:C260,2,false),"")</f>
        <v/>
      </c>
      <c r="E80" s="1248" t="str">
        <f>IFERROR(__xludf.DUMMYFUNCTION("IF(
  B80="""",
  """",
  IFERROR(
    VLOOKUP(
      B80,
      QUERY(
        {IMPORTRANGE(""1Ag27m9YF5mMfJh2E6NipJDFvPLlDI1p-s_1XEnzMHcc"",""Merge!F2:R"")},
        ""select Col1, Col10"",
        0
      ),
      2,
      FALSE
    ),
    """"
  )
)
"),"")</f>
        <v/>
      </c>
      <c r="F80" s="1248" t="str">
        <f>IFERROR(__xludf.DUMMYFUNCTION("IF(
  B80="""",
  """",
  IFERROR(
    VLOOKUP(
      B80,
      QUERY(
        {IMPORTRANGE(""1Ag27m9YF5mMfJh2E6NipJDFvPLlDI1p-s_1XEnzMHcc"",""Merge!F2:R"")},
        ""select Col1, Col12"",
        0
      ),2,FALSE),""""))"),"")</f>
        <v/>
      </c>
      <c r="G80" s="1249" t="str">
        <f>IFERROR(__xludf.DUMMYFUNCTION("IF(
  B80="""",
  """",
  IFERROR(
    VLOOKUP(
      B80,
      QUERY(
        {IMPORTRANGE(""1Ag27m9YF5mMfJh2E6NipJDFvPLlDI1p-s_1XEnzMHcc"",""Merge!F2:R"")},
        ""select Col1, Col11"",
        0
      ),
      2,
      FALSE
    ),""""))
"),"")</f>
        <v/>
      </c>
      <c r="H80" s="1250" t="str">
        <f>IFERROR(__xludf.DUMMYFUNCTION("IF(
  B80="""",
  """",
  IFERROR(
    VLOOKUP(
      B80,
      QUERY(
        {IMPORTRANGE(""1Ag27m9YF5mMfJh2E6NipJDFvPLlDI1p-s_1XEnzMHcc"",""Merge!F2:R"")},
        ""select Col1, Col9"",
        0
      ),
      2,
      FALSE
    ),""""))
"),"")</f>
        <v/>
      </c>
      <c r="I80" s="1251"/>
      <c r="J80" s="1270" t="str">
        <f t="shared" si="3"/>
        <v/>
      </c>
      <c r="K80" s="1253" t="str">
        <f t="shared" si="4"/>
        <v/>
      </c>
      <c r="L80" s="1254"/>
      <c r="M80" s="1244"/>
      <c r="N80" s="1259"/>
      <c r="O80" s="1259"/>
      <c r="P80" s="1244"/>
      <c r="Q80" s="1244"/>
      <c r="R80" s="1244"/>
      <c r="S80" s="1265"/>
      <c r="T80" s="1244"/>
      <c r="U80" s="1244"/>
    </row>
    <row r="81">
      <c r="A81" s="1235"/>
      <c r="B81" s="1235"/>
      <c r="C81" s="1246" t="str">
        <f t="shared" si="5"/>
        <v/>
      </c>
      <c r="D81" s="1247" t="str">
        <f>iferror(VLOOKUP(B81,Pricing!B15:C261,2,false),"")</f>
        <v/>
      </c>
      <c r="E81" s="1248" t="str">
        <f>IFERROR(__xludf.DUMMYFUNCTION("IF(
  B81="""",
  """",
  IFERROR(
    VLOOKUP(
      B81,
      QUERY(
        {IMPORTRANGE(""1Ag27m9YF5mMfJh2E6NipJDFvPLlDI1p-s_1XEnzMHcc"",""Merge!F2:R"")},
        ""select Col1, Col10"",
        0
      ),
      2,
      FALSE
    ),
    """"
  )
)
"),"")</f>
        <v/>
      </c>
      <c r="F81" s="1248" t="str">
        <f>IFERROR(__xludf.DUMMYFUNCTION("IF(
  B81="""",
  """",
  IFERROR(
    VLOOKUP(
      B81,
      QUERY(
        {IMPORTRANGE(""1Ag27m9YF5mMfJh2E6NipJDFvPLlDI1p-s_1XEnzMHcc"",""Merge!F2:R"")},
        ""select Col1, Col12"",
        0
      ),2,FALSE),""""))"),"")</f>
        <v/>
      </c>
      <c r="G81" s="1249" t="str">
        <f>IFERROR(__xludf.DUMMYFUNCTION("IF(
  B81="""",
  """",
  IFERROR(
    VLOOKUP(
      B81,
      QUERY(
        {IMPORTRANGE(""1Ag27m9YF5mMfJh2E6NipJDFvPLlDI1p-s_1XEnzMHcc"",""Merge!F2:R"")},
        ""select Col1, Col11"",
        0
      ),
      2,
      FALSE
    ),""""))
"),"")</f>
        <v/>
      </c>
      <c r="H81" s="1250" t="str">
        <f>IFERROR(__xludf.DUMMYFUNCTION("IF(
  B81="""",
  """",
  IFERROR(
    VLOOKUP(
      B81,
      QUERY(
        {IMPORTRANGE(""1Ag27m9YF5mMfJh2E6NipJDFvPLlDI1p-s_1XEnzMHcc"",""Merge!F2:R"")},
        ""select Col1, Col9"",
        0
      ),
      2,
      FALSE
    ),""""))
"),"")</f>
        <v/>
      </c>
      <c r="I81" s="1251"/>
      <c r="J81" s="1270" t="str">
        <f t="shared" si="3"/>
        <v/>
      </c>
      <c r="K81" s="1253" t="str">
        <f t="shared" si="4"/>
        <v/>
      </c>
      <c r="L81" s="1254"/>
      <c r="M81" s="1244"/>
      <c r="N81" s="1259"/>
      <c r="O81" s="1259"/>
      <c r="P81" s="1244"/>
      <c r="Q81" s="1244"/>
      <c r="R81" s="1244"/>
      <c r="S81" s="1265"/>
      <c r="T81" s="1244"/>
      <c r="U81" s="1244"/>
    </row>
    <row r="82">
      <c r="A82" s="1235"/>
      <c r="B82" s="1235"/>
      <c r="C82" s="1246" t="str">
        <f t="shared" si="5"/>
        <v/>
      </c>
      <c r="D82" s="1247" t="str">
        <f>iferror(VLOOKUP(B82,Pricing!B15:C262,2,false),"")</f>
        <v/>
      </c>
      <c r="E82" s="1248" t="str">
        <f>IFERROR(__xludf.DUMMYFUNCTION("IF(
  B82="""",
  """",
  IFERROR(
    VLOOKUP(
      B82,
      QUERY(
        {IMPORTRANGE(""1Ag27m9YF5mMfJh2E6NipJDFvPLlDI1p-s_1XEnzMHcc"",""Merge!F2:R"")},
        ""select Col1, Col10"",
        0
      ),
      2,
      FALSE
    ),
    """"
  )
)
"),"")</f>
        <v/>
      </c>
      <c r="F82" s="1248" t="str">
        <f>IFERROR(__xludf.DUMMYFUNCTION("IF(
  B82="""",
  """",
  IFERROR(
    VLOOKUP(
      B82,
      QUERY(
        {IMPORTRANGE(""1Ag27m9YF5mMfJh2E6NipJDFvPLlDI1p-s_1XEnzMHcc"",""Merge!F2:R"")},
        ""select Col1, Col12"",
        0
      ),2,FALSE),""""))"),"")</f>
        <v/>
      </c>
      <c r="G82" s="1249" t="str">
        <f>IFERROR(__xludf.DUMMYFUNCTION("IF(
  B82="""",
  """",
  IFERROR(
    VLOOKUP(
      B82,
      QUERY(
        {IMPORTRANGE(""1Ag27m9YF5mMfJh2E6NipJDFvPLlDI1p-s_1XEnzMHcc"",""Merge!F2:R"")},
        ""select Col1, Col11"",
        0
      ),
      2,
      FALSE
    ),""""))
"),"")</f>
        <v/>
      </c>
      <c r="H82" s="1250" t="str">
        <f>IFERROR(__xludf.DUMMYFUNCTION("IF(
  B82="""",
  """",
  IFERROR(
    VLOOKUP(
      B82,
      QUERY(
        {IMPORTRANGE(""1Ag27m9YF5mMfJh2E6NipJDFvPLlDI1p-s_1XEnzMHcc"",""Merge!F2:R"")},
        ""select Col1, Col9"",
        0
      ),
      2,
      FALSE
    ),""""))
"),"")</f>
        <v/>
      </c>
      <c r="I82" s="1251"/>
      <c r="J82" s="1270" t="str">
        <f t="shared" si="3"/>
        <v/>
      </c>
      <c r="K82" s="1253" t="str">
        <f t="shared" si="4"/>
        <v/>
      </c>
      <c r="L82" s="1254"/>
      <c r="M82" s="1244"/>
      <c r="N82" s="1259"/>
      <c r="O82" s="1259"/>
      <c r="P82" s="1244"/>
      <c r="Q82" s="1244"/>
      <c r="R82" s="1244"/>
      <c r="S82" s="1265"/>
      <c r="T82" s="1244"/>
      <c r="U82" s="1244"/>
    </row>
    <row r="83">
      <c r="A83" s="1235"/>
      <c r="B83" s="1235"/>
      <c r="C83" s="1246" t="str">
        <f t="shared" si="5"/>
        <v/>
      </c>
      <c r="D83" s="1247" t="str">
        <f>iferror(VLOOKUP(B83,Pricing!B15:C263,2,false),"")</f>
        <v/>
      </c>
      <c r="E83" s="1248" t="str">
        <f>IFERROR(__xludf.DUMMYFUNCTION("IF(
  B83="""",
  """",
  IFERROR(
    VLOOKUP(
      B83,
      QUERY(
        {IMPORTRANGE(""1Ag27m9YF5mMfJh2E6NipJDFvPLlDI1p-s_1XEnzMHcc"",""Merge!F2:R"")},
        ""select Col1, Col10"",
        0
      ),
      2,
      FALSE
    ),
    """"
  )
)
"),"")</f>
        <v/>
      </c>
      <c r="F83" s="1248" t="str">
        <f>IFERROR(__xludf.DUMMYFUNCTION("IF(
  B83="""",
  """",
  IFERROR(
    VLOOKUP(
      B83,
      QUERY(
        {IMPORTRANGE(""1Ag27m9YF5mMfJh2E6NipJDFvPLlDI1p-s_1XEnzMHcc"",""Merge!F2:R"")},
        ""select Col1, Col12"",
        0
      ),2,FALSE),""""))"),"")</f>
        <v/>
      </c>
      <c r="G83" s="1249" t="str">
        <f>IFERROR(__xludf.DUMMYFUNCTION("IF(
  B83="""",
  """",
  IFERROR(
    VLOOKUP(
      B83,
      QUERY(
        {IMPORTRANGE(""1Ag27m9YF5mMfJh2E6NipJDFvPLlDI1p-s_1XEnzMHcc"",""Merge!F2:R"")},
        ""select Col1, Col11"",
        0
      ),
      2,
      FALSE
    ),""""))
"),"")</f>
        <v/>
      </c>
      <c r="H83" s="1250" t="str">
        <f>IFERROR(__xludf.DUMMYFUNCTION("IF(
  B83="""",
  """",
  IFERROR(
    VLOOKUP(
      B83,
      QUERY(
        {IMPORTRANGE(""1Ag27m9YF5mMfJh2E6NipJDFvPLlDI1p-s_1XEnzMHcc"",""Merge!F2:R"")},
        ""select Col1, Col9"",
        0
      ),
      2,
      FALSE
    ),""""))
"),"")</f>
        <v/>
      </c>
      <c r="I83" s="1251"/>
      <c r="J83" s="1270" t="str">
        <f t="shared" si="3"/>
        <v/>
      </c>
      <c r="K83" s="1253" t="str">
        <f t="shared" si="4"/>
        <v/>
      </c>
      <c r="L83" s="1254"/>
      <c r="M83" s="1244"/>
      <c r="N83" s="1259"/>
      <c r="O83" s="1259"/>
      <c r="P83" s="1244"/>
      <c r="Q83" s="1244"/>
      <c r="R83" s="1244"/>
      <c r="S83" s="1265"/>
      <c r="T83" s="1244"/>
      <c r="U83" s="1244"/>
    </row>
    <row r="84">
      <c r="A84" s="1235"/>
      <c r="B84" s="1235"/>
      <c r="C84" s="1246" t="str">
        <f t="shared" si="5"/>
        <v/>
      </c>
      <c r="D84" s="1247" t="str">
        <f>iferror(VLOOKUP(B84,Pricing!B15:C264,2,false),"")</f>
        <v/>
      </c>
      <c r="E84" s="1248" t="str">
        <f>IFERROR(__xludf.DUMMYFUNCTION("IF(
  B84="""",
  """",
  IFERROR(
    VLOOKUP(
      B84,
      QUERY(
        {IMPORTRANGE(""1Ag27m9YF5mMfJh2E6NipJDFvPLlDI1p-s_1XEnzMHcc"",""Merge!F2:R"")},
        ""select Col1, Col10"",
        0
      ),
      2,
      FALSE
    ),
    """"
  )
)
"),"")</f>
        <v/>
      </c>
      <c r="F84" s="1248" t="str">
        <f>IFERROR(__xludf.DUMMYFUNCTION("IF(
  B84="""",
  """",
  IFERROR(
    VLOOKUP(
      B84,
      QUERY(
        {IMPORTRANGE(""1Ag27m9YF5mMfJh2E6NipJDFvPLlDI1p-s_1XEnzMHcc"",""Merge!F2:R"")},
        ""select Col1, Col12"",
        0
      ),2,FALSE),""""))"),"")</f>
        <v/>
      </c>
      <c r="G84" s="1271"/>
      <c r="H84" s="1250" t="str">
        <f>IFERROR(__xludf.DUMMYFUNCTION("IF(
  B84="""",
  """",
  IFERROR(
    VLOOKUP(
      B84,
      QUERY(
        {IMPORTRANGE(""1Ag27m9YF5mMfJh2E6NipJDFvPLlDI1p-s_1XEnzMHcc"",""Merge!F2:R"")},
        ""select Col1, Col9"",
        0
      ),
      2,
      FALSE
    ),""""))
"),"")</f>
        <v/>
      </c>
      <c r="I84" s="1251"/>
      <c r="J84" s="1270" t="str">
        <f t="shared" si="3"/>
        <v/>
      </c>
      <c r="K84" s="1253" t="str">
        <f t="shared" si="4"/>
        <v/>
      </c>
      <c r="L84" s="1254"/>
      <c r="M84" s="1244"/>
      <c r="N84" s="1259"/>
      <c r="O84" s="1259"/>
      <c r="P84" s="1244"/>
      <c r="Q84" s="1244"/>
      <c r="R84" s="1244"/>
      <c r="S84" s="1265"/>
      <c r="T84" s="1244"/>
      <c r="U84" s="1244"/>
    </row>
    <row r="85">
      <c r="A85" s="1235"/>
      <c r="B85" s="1235"/>
      <c r="C85" s="1246" t="str">
        <f t="shared" si="5"/>
        <v/>
      </c>
      <c r="D85" s="1247" t="str">
        <f>iferror(VLOOKUP(B85,Pricing!B15:C265,2,false),"")</f>
        <v/>
      </c>
      <c r="E85" s="1248" t="str">
        <f>IFERROR(__xludf.DUMMYFUNCTION("IF(
  B85="""",
  """",
  IFERROR(
    VLOOKUP(
      B85,
      QUERY(
        {IMPORTRANGE(""1Ag27m9YF5mMfJh2E6NipJDFvPLlDI1p-s_1XEnzMHcc"",""Merge!F2:R"")},
        ""select Col1, Col10"",
        0
      ),
      2,
      FALSE
    ),
    """"
  )
)
"),"")</f>
        <v/>
      </c>
      <c r="F85" s="1248" t="str">
        <f>IFERROR(__xludf.DUMMYFUNCTION("IF(
  B85="""",
  """",
  IFERROR(
    VLOOKUP(
      B85,
      QUERY(
        {IMPORTRANGE(""1Ag27m9YF5mMfJh2E6NipJDFvPLlDI1p-s_1XEnzMHcc"",""Merge!F2:R"")},
        ""select Col1, Col12"",
        0
      ),2,FALSE),""""))"),"")</f>
        <v/>
      </c>
      <c r="G85" s="1271"/>
      <c r="H85" s="1250" t="str">
        <f>IFERROR(__xludf.DUMMYFUNCTION("IF(
  B85="""",
  """",
  IFERROR(
    VLOOKUP(
      B85,
      QUERY(
        {IMPORTRANGE(""1Ag27m9YF5mMfJh2E6NipJDFvPLlDI1p-s_1XEnzMHcc"",""Merge!F2:R"")},
        ""select Col1, Col9"",
        0
      ),
      2,
      FALSE
    ),""""))
"),"")</f>
        <v/>
      </c>
      <c r="I85" s="1251"/>
      <c r="J85" s="1270" t="str">
        <f t="shared" si="3"/>
        <v/>
      </c>
      <c r="K85" s="1253" t="str">
        <f t="shared" si="4"/>
        <v/>
      </c>
      <c r="L85" s="1254"/>
      <c r="M85" s="1244"/>
      <c r="N85" s="1259"/>
      <c r="O85" s="1259"/>
      <c r="P85" s="1244"/>
      <c r="Q85" s="1244"/>
      <c r="R85" s="1244"/>
      <c r="S85" s="1265"/>
      <c r="T85" s="1244"/>
      <c r="U85" s="1244"/>
    </row>
    <row r="86">
      <c r="A86" s="1235"/>
      <c r="B86" s="1235"/>
      <c r="C86" s="1246" t="str">
        <f t="shared" si="5"/>
        <v/>
      </c>
      <c r="D86" s="1247" t="str">
        <f>iferror(VLOOKUP(B86,Pricing!B15:C266,2,false),"")</f>
        <v/>
      </c>
      <c r="E86" s="1248" t="str">
        <f>IFERROR(__xludf.DUMMYFUNCTION("IF(
  B86="""",
  """",
  IFERROR(
    VLOOKUP(
      B86,
      QUERY(
        {IMPORTRANGE(""1Ag27m9YF5mMfJh2E6NipJDFvPLlDI1p-s_1XEnzMHcc"",""Merge!F2:R"")},
        ""select Col1, Col10"",
        0
      ),
      2,
      FALSE
    ),
    """"
  )
)
"),"")</f>
        <v/>
      </c>
      <c r="F86" s="1248" t="str">
        <f>IFERROR(__xludf.DUMMYFUNCTION("IF(
  B86="""",
  """",
  IFERROR(
    VLOOKUP(
      B86,
      QUERY(
        {IMPORTRANGE(""1Ag27m9YF5mMfJh2E6NipJDFvPLlDI1p-s_1XEnzMHcc"",""Merge!F2:R"")},
        ""select Col1, Col12"",
        0
      ),2,FALSE),""""))"),"")</f>
        <v/>
      </c>
      <c r="G86" s="1271"/>
      <c r="H86" s="1250" t="str">
        <f>IFERROR(__xludf.DUMMYFUNCTION("IF(
  B86="""",
  """",
  IFERROR(
    VLOOKUP(
      B86,
      QUERY(
        {IMPORTRANGE(""1Ag27m9YF5mMfJh2E6NipJDFvPLlDI1p-s_1XEnzMHcc"",""Merge!F2:R"")},
        ""select Col1, Col9"",
        0
      ),
      2,
      FALSE
    ),""""))
"),"")</f>
        <v/>
      </c>
      <c r="I86" s="1251"/>
      <c r="J86" s="1270" t="str">
        <f t="shared" si="3"/>
        <v/>
      </c>
      <c r="K86" s="1253" t="str">
        <f t="shared" si="4"/>
        <v/>
      </c>
      <c r="L86" s="1254"/>
      <c r="M86" s="1244"/>
      <c r="N86" s="1259"/>
      <c r="O86" s="1259"/>
      <c r="P86" s="1244"/>
      <c r="Q86" s="1244"/>
      <c r="R86" s="1244"/>
      <c r="S86" s="1265"/>
      <c r="T86" s="1244"/>
      <c r="U86" s="1244"/>
    </row>
    <row r="87">
      <c r="A87" s="1235"/>
      <c r="B87" s="1235"/>
      <c r="C87" s="1246" t="str">
        <f t="shared" si="5"/>
        <v/>
      </c>
      <c r="D87" s="1247" t="str">
        <f>iferror(VLOOKUP(B87,Pricing!B15:C267,2,false),"")</f>
        <v/>
      </c>
      <c r="E87" s="1248" t="str">
        <f>IFERROR(__xludf.DUMMYFUNCTION("IF(
  B87="""",
  """",
  IFERROR(
    VLOOKUP(
      B87,
      QUERY(
        {IMPORTRANGE(""1Ag27m9YF5mMfJh2E6NipJDFvPLlDI1p-s_1XEnzMHcc"",""Merge!F2:R"")},
        ""select Col1, Col10"",
        0
      ),
      2,
      FALSE
    ),
    """"
  )
)
"),"")</f>
        <v/>
      </c>
      <c r="F87" s="1248" t="str">
        <f>IFERROR(__xludf.DUMMYFUNCTION("IF(
  B87="""",
  """",
  IFERROR(
    VLOOKUP(
      B87,
      QUERY(
        {IMPORTRANGE(""1Ag27m9YF5mMfJh2E6NipJDFvPLlDI1p-s_1XEnzMHcc"",""Merge!F2:R"")},
        ""select Col1, Col12"",
        0
      ),2,FALSE),""""))"),"")</f>
        <v/>
      </c>
      <c r="G87" s="1271"/>
      <c r="H87" s="1250" t="str">
        <f>IFERROR(__xludf.DUMMYFUNCTION("IF(
  B87="""",
  """",
  IFERROR(
    VLOOKUP(
      B87,
      QUERY(
        {IMPORTRANGE(""1Ag27m9YF5mMfJh2E6NipJDFvPLlDI1p-s_1XEnzMHcc"",""Merge!F2:R"")},
        ""select Col1, Col9"",
        0
      ),
      2,
      FALSE
    ),""""))
"),"")</f>
        <v/>
      </c>
      <c r="I87" s="1251"/>
      <c r="J87" s="1270" t="str">
        <f t="shared" si="3"/>
        <v/>
      </c>
      <c r="K87" s="1253" t="str">
        <f t="shared" si="4"/>
        <v/>
      </c>
      <c r="L87" s="1254"/>
      <c r="M87" s="1244"/>
      <c r="N87" s="1259"/>
      <c r="O87" s="1259"/>
      <c r="P87" s="1244"/>
      <c r="Q87" s="1244"/>
      <c r="R87" s="1244"/>
      <c r="S87" s="1265"/>
      <c r="T87" s="1244"/>
      <c r="U87" s="1244"/>
    </row>
    <row r="88">
      <c r="A88" s="1235"/>
      <c r="B88" s="1235"/>
      <c r="C88" s="1246" t="str">
        <f t="shared" si="5"/>
        <v/>
      </c>
      <c r="D88" s="1247" t="str">
        <f>iferror(VLOOKUP(B88,Pricing!B15:C268,2,false),"")</f>
        <v/>
      </c>
      <c r="E88" s="1248" t="str">
        <f>IFERROR(__xludf.DUMMYFUNCTION("IF(
  B88="""",
  """",
  IFERROR(
    VLOOKUP(
      B88,
      QUERY(
        {IMPORTRANGE(""1Ag27m9YF5mMfJh2E6NipJDFvPLlDI1p-s_1XEnzMHcc"",""Merge!F2:R"")},
        ""select Col1, Col10"",
        0
      ),
      2,
      FALSE
    ),
    """"
  )
)
"),"")</f>
        <v/>
      </c>
      <c r="F88" s="1248" t="str">
        <f>IFERROR(__xludf.DUMMYFUNCTION("IF(
  B88="""",
  """",
  IFERROR(
    VLOOKUP(
      B88,
      QUERY(
        {IMPORTRANGE(""1Ag27m9YF5mMfJh2E6NipJDFvPLlDI1p-s_1XEnzMHcc"",""Merge!F2:R"")},
        ""select Col1, Col12"",
        0
      ),2,FALSE),""""))"),"")</f>
        <v/>
      </c>
      <c r="G88" s="1271"/>
      <c r="H88" s="1250" t="str">
        <f>IFERROR(__xludf.DUMMYFUNCTION("IF(
  B88="""",
  """",
  IFERROR(
    VLOOKUP(
      B88,
      QUERY(
        {IMPORTRANGE(""1Ag27m9YF5mMfJh2E6NipJDFvPLlDI1p-s_1XEnzMHcc"",""Merge!F2:R"")},
        ""select Col1, Col9"",
        0
      ),
      2,
      FALSE
    ),""""))
"),"")</f>
        <v/>
      </c>
      <c r="I88" s="1251"/>
      <c r="J88" s="1270" t="str">
        <f t="shared" si="3"/>
        <v/>
      </c>
      <c r="K88" s="1253" t="str">
        <f t="shared" si="4"/>
        <v/>
      </c>
      <c r="L88" s="1254"/>
      <c r="M88" s="1244"/>
      <c r="N88" s="1259"/>
      <c r="O88" s="1259"/>
      <c r="P88" s="1244"/>
      <c r="Q88" s="1244"/>
      <c r="R88" s="1244"/>
      <c r="S88" s="1265"/>
      <c r="T88" s="1244"/>
      <c r="U88" s="1244"/>
    </row>
    <row r="89">
      <c r="A89" s="1235"/>
      <c r="B89" s="1235"/>
      <c r="C89" s="1246" t="str">
        <f t="shared" si="5"/>
        <v/>
      </c>
      <c r="D89" s="1247" t="str">
        <f>iferror(VLOOKUP(B89,Pricing!B15:C269,2,false),"")</f>
        <v/>
      </c>
      <c r="E89" s="1248" t="str">
        <f>IFERROR(__xludf.DUMMYFUNCTION("IF(
  B89="""",
  """",
  IFERROR(
    VLOOKUP(
      B89,
      QUERY(
        {IMPORTRANGE(""1Ag27m9YF5mMfJh2E6NipJDFvPLlDI1p-s_1XEnzMHcc"",""Merge!F2:R"")},
        ""select Col1, Col10"",
        0
      ),
      2,
      FALSE
    ),
    """"
  )
)
"),"")</f>
        <v/>
      </c>
      <c r="F89" s="1248" t="str">
        <f>IFERROR(__xludf.DUMMYFUNCTION("IF(
  B89="""",
  """",
  IFERROR(
    VLOOKUP(
      B89,
      QUERY(
        {IMPORTRANGE(""1Ag27m9YF5mMfJh2E6NipJDFvPLlDI1p-s_1XEnzMHcc"",""Merge!F2:R"")},
        ""select Col1, Col12"",
        0
      ),2,FALSE),""""))"),"")</f>
        <v/>
      </c>
      <c r="G89" s="1271"/>
      <c r="H89" s="1250" t="str">
        <f>IFERROR(__xludf.DUMMYFUNCTION("IF(
  B89="""",
  """",
  IFERROR(
    VLOOKUP(
      B89,
      QUERY(
        {IMPORTRANGE(""1Ag27m9YF5mMfJh2E6NipJDFvPLlDI1p-s_1XEnzMHcc"",""Merge!F2:R"")},
        ""select Col1, Col9"",
        0
      ),
      2,
      FALSE
    ),""""))
"),"")</f>
        <v/>
      </c>
      <c r="I89" s="1251"/>
      <c r="J89" s="1270" t="str">
        <f t="shared" si="3"/>
        <v/>
      </c>
      <c r="K89" s="1253" t="str">
        <f t="shared" si="4"/>
        <v/>
      </c>
      <c r="L89" s="1254"/>
      <c r="M89" s="1244"/>
      <c r="N89" s="1259"/>
      <c r="O89" s="1259"/>
      <c r="P89" s="1244"/>
      <c r="Q89" s="1244"/>
      <c r="R89" s="1244"/>
      <c r="S89" s="1265"/>
      <c r="T89" s="1244"/>
      <c r="U89" s="1244"/>
    </row>
    <row r="90">
      <c r="A90" s="1235"/>
      <c r="B90" s="1235"/>
      <c r="C90" s="1246" t="str">
        <f t="shared" si="5"/>
        <v/>
      </c>
      <c r="D90" s="1247" t="str">
        <f>iferror(VLOOKUP(B90,Pricing!B15:C270,2,false),"")</f>
        <v/>
      </c>
      <c r="E90" s="1248" t="str">
        <f>IFERROR(__xludf.DUMMYFUNCTION("IF(
  B90="""",
  """",
  IFERROR(
    VLOOKUP(
      B90,
      QUERY(
        {IMPORTRANGE(""1Ag27m9YF5mMfJh2E6NipJDFvPLlDI1p-s_1XEnzMHcc"",""Merge!F2:R"")},
        ""select Col1, Col10"",
        0
      ),
      2,
      FALSE
    ),
    """"
  )
)
"),"")</f>
        <v/>
      </c>
      <c r="F90" s="1248" t="str">
        <f>IFERROR(__xludf.DUMMYFUNCTION("IF(
  B90="""",
  """",
  IFERROR(
    VLOOKUP(
      B90,
      QUERY(
        {IMPORTRANGE(""1Ag27m9YF5mMfJh2E6NipJDFvPLlDI1p-s_1XEnzMHcc"",""Merge!F2:R"")},
        ""select Col1, Col12"",
        0
      ),2,FALSE),""""))"),"")</f>
        <v/>
      </c>
      <c r="G90" s="1271"/>
      <c r="H90" s="1250" t="str">
        <f>IFERROR(__xludf.DUMMYFUNCTION("IF(
  B90="""",
  """",
  IFERROR(
    VLOOKUP(
      B90,
      QUERY(
        {IMPORTRANGE(""1Ag27m9YF5mMfJh2E6NipJDFvPLlDI1p-s_1XEnzMHcc"",""Merge!F2:R"")},
        ""select Col1, Col9"",
        0
      ),
      2,
      FALSE
    ),""""))
"),"")</f>
        <v/>
      </c>
      <c r="I90" s="1251"/>
      <c r="J90" s="1270" t="str">
        <f t="shared" si="3"/>
        <v/>
      </c>
      <c r="K90" s="1253" t="str">
        <f t="shared" si="4"/>
        <v/>
      </c>
      <c r="L90" s="1254"/>
      <c r="M90" s="1244"/>
      <c r="N90" s="1259"/>
      <c r="O90" s="1259"/>
      <c r="P90" s="1244"/>
      <c r="Q90" s="1244"/>
      <c r="R90" s="1244"/>
      <c r="S90" s="1265"/>
      <c r="T90" s="1244"/>
      <c r="U90" s="1244"/>
    </row>
    <row r="91">
      <c r="A91" s="1235"/>
      <c r="B91" s="1235"/>
      <c r="C91" s="1246" t="str">
        <f t="shared" si="5"/>
        <v/>
      </c>
      <c r="D91" s="1247" t="str">
        <f>iferror(VLOOKUP(B91,Pricing!B15:C271,2,false),"")</f>
        <v/>
      </c>
      <c r="E91" s="1248" t="str">
        <f>IFERROR(__xludf.DUMMYFUNCTION("IF(
  B91="""",
  """",
  IFERROR(
    VLOOKUP(
      B91,
      QUERY(
        {IMPORTRANGE(""1Ag27m9YF5mMfJh2E6NipJDFvPLlDI1p-s_1XEnzMHcc"",""Merge!F2:R"")},
        ""select Col1, Col10"",
        0
      ),
      2,
      FALSE
    ),
    """"
  )
)
"),"")</f>
        <v/>
      </c>
      <c r="F91" s="1248" t="str">
        <f>IFERROR(__xludf.DUMMYFUNCTION("IF(
  B91="""",
  """",
  IFERROR(
    VLOOKUP(
      B91,
      QUERY(
        {IMPORTRANGE(""1Ag27m9YF5mMfJh2E6NipJDFvPLlDI1p-s_1XEnzMHcc"",""Merge!F2:R"")},
        ""select Col1, Col12"",
        0
      ),2,FALSE),""""))"),"")</f>
        <v/>
      </c>
      <c r="G91" s="1271"/>
      <c r="H91" s="1250" t="str">
        <f>IFERROR(__xludf.DUMMYFUNCTION("IF(
  B91="""",
  """",
  IFERROR(
    VLOOKUP(
      B91,
      QUERY(
        {IMPORTRANGE(""1Ag27m9YF5mMfJh2E6NipJDFvPLlDI1p-s_1XEnzMHcc"",""Merge!F2:R"")},
        ""select Col1, Col9"",
        0
      ),
      2,
      FALSE
    ),""""))
"),"")</f>
        <v/>
      </c>
      <c r="I91" s="1251"/>
      <c r="J91" s="1270" t="str">
        <f t="shared" si="3"/>
        <v/>
      </c>
      <c r="K91" s="1253" t="str">
        <f t="shared" si="4"/>
        <v/>
      </c>
      <c r="L91" s="1254"/>
      <c r="M91" s="1244"/>
      <c r="N91" s="1259"/>
      <c r="O91" s="1259"/>
      <c r="P91" s="1244"/>
      <c r="Q91" s="1244"/>
      <c r="R91" s="1244"/>
      <c r="S91" s="1265"/>
      <c r="T91" s="1244"/>
      <c r="U91" s="1244"/>
    </row>
    <row r="92">
      <c r="A92" s="1235"/>
      <c r="B92" s="1235"/>
      <c r="C92" s="1246" t="str">
        <f t="shared" si="5"/>
        <v/>
      </c>
      <c r="D92" s="1247" t="str">
        <f>iferror(VLOOKUP(B92,Pricing!B15:C272,2,false),"")</f>
        <v/>
      </c>
      <c r="E92" s="1248" t="str">
        <f>IFERROR(__xludf.DUMMYFUNCTION("IF(
  B92="""",
  """",
  IFERROR(
    VLOOKUP(
      B92,
      QUERY(
        {IMPORTRANGE(""1Ag27m9YF5mMfJh2E6NipJDFvPLlDI1p-s_1XEnzMHcc"",""Merge!F2:R"")},
        ""select Col1, Col10"",
        0
      ),
      2,
      FALSE
    ),
    """"
  )
)
"),"")</f>
        <v/>
      </c>
      <c r="F92" s="1248" t="str">
        <f>IFERROR(__xludf.DUMMYFUNCTION("IF(
  B92="""",
  """",
  IFERROR(
    VLOOKUP(
      B92,
      QUERY(
        {IMPORTRANGE(""1Ag27m9YF5mMfJh2E6NipJDFvPLlDI1p-s_1XEnzMHcc"",""Merge!F2:R"")},
        ""select Col1, Col12"",
        0
      ),2,FALSE),""""))"),"")</f>
        <v/>
      </c>
      <c r="G92" s="1271"/>
      <c r="H92" s="1250" t="str">
        <f>IFERROR(__xludf.DUMMYFUNCTION("IF(
  B92="""",
  """",
  IFERROR(
    VLOOKUP(
      B92,
      QUERY(
        {IMPORTRANGE(""1Ag27m9YF5mMfJh2E6NipJDFvPLlDI1p-s_1XEnzMHcc"",""Merge!F2:R"")},
        ""select Col1, Col9"",
        0
      ),
      2,
      FALSE
    ),""""))
"),"")</f>
        <v/>
      </c>
      <c r="I92" s="1251"/>
      <c r="J92" s="1270" t="str">
        <f t="shared" si="3"/>
        <v/>
      </c>
      <c r="K92" s="1253" t="str">
        <f t="shared" si="4"/>
        <v/>
      </c>
      <c r="L92" s="1254"/>
      <c r="M92" s="1244"/>
      <c r="N92" s="1259"/>
      <c r="O92" s="1259"/>
      <c r="P92" s="1244"/>
      <c r="Q92" s="1244"/>
      <c r="R92" s="1244"/>
      <c r="S92" s="1265"/>
      <c r="T92" s="1244"/>
      <c r="U92" s="1244"/>
    </row>
    <row r="93">
      <c r="A93" s="1235"/>
      <c r="B93" s="1235"/>
      <c r="C93" s="1246" t="str">
        <f t="shared" si="5"/>
        <v/>
      </c>
      <c r="D93" s="1247" t="str">
        <f>iferror(VLOOKUP(B93,Pricing!B15:C273,2,false),"")</f>
        <v/>
      </c>
      <c r="E93" s="1248" t="str">
        <f>IFERROR(__xludf.DUMMYFUNCTION("IF(
  B93="""",
  """",
  IFERROR(
    VLOOKUP(
      B93,
      QUERY(
        {IMPORTRANGE(""1Ag27m9YF5mMfJh2E6NipJDFvPLlDI1p-s_1XEnzMHcc"",""Merge!F2:R"")},
        ""select Col1, Col10"",
        0
      ),
      2,
      FALSE
    ),
    """"
  )
)
"),"")</f>
        <v/>
      </c>
      <c r="F93" s="1248" t="str">
        <f>IFERROR(__xludf.DUMMYFUNCTION("IF(
  B93="""",
  """",
  IFERROR(
    VLOOKUP(
      B93,
      QUERY(
        {IMPORTRANGE(""1Ag27m9YF5mMfJh2E6NipJDFvPLlDI1p-s_1XEnzMHcc"",""Merge!F2:R"")},
        ""select Col1, Col12"",
        0
      ),2,FALSE),""""))"),"")</f>
        <v/>
      </c>
      <c r="G93" s="1271"/>
      <c r="H93" s="1250" t="str">
        <f>IFERROR(__xludf.DUMMYFUNCTION("IF(
  B93="""",
  """",
  IFERROR(
    VLOOKUP(
      B93,
      QUERY(
        {IMPORTRANGE(""1Ag27m9YF5mMfJh2E6NipJDFvPLlDI1p-s_1XEnzMHcc"",""Merge!F2:R"")},
        ""select Col1, Col9"",
        0
      ),
      2,
      FALSE
    ),""""))
"),"")</f>
        <v/>
      </c>
      <c r="I93" s="1251"/>
      <c r="J93" s="1270" t="str">
        <f t="shared" si="3"/>
        <v/>
      </c>
      <c r="K93" s="1253" t="str">
        <f t="shared" si="4"/>
        <v/>
      </c>
      <c r="L93" s="1254"/>
      <c r="M93" s="1244"/>
      <c r="N93" s="1259"/>
      <c r="O93" s="1259"/>
      <c r="P93" s="1244"/>
      <c r="Q93" s="1244"/>
      <c r="R93" s="1244"/>
      <c r="S93" s="1265"/>
      <c r="T93" s="1244"/>
      <c r="U93" s="1244"/>
    </row>
    <row r="94">
      <c r="A94" s="1235"/>
      <c r="B94" s="1235"/>
      <c r="C94" s="1246" t="str">
        <f t="shared" si="5"/>
        <v/>
      </c>
      <c r="D94" s="1247" t="str">
        <f>IFERROR(__xludf.DUMMYFUNCTION("IF(
  B94="""",
  """",
  IFERROR(
    VLOOKUP(
      B94,
      QUERY(
        {IMPORTRANGE(""1Ag27m9YF5mMfJh2E6NipJDFvPLlDI1p-s_1XEnzMHcc"",""Merge!F2:R"")},
        ""select Col1, Col4"",
        0),2,FALSE),""""))"),"")</f>
        <v/>
      </c>
      <c r="E94" s="1248" t="str">
        <f>IFERROR(__xludf.DUMMYFUNCTION("IF(
  B94="""",
  """",
  IFERROR(
    VLOOKUP(
      B94,
      QUERY(
        {IMPORTRANGE(""1Ag27m9YF5mMfJh2E6NipJDFvPLlDI1p-s_1XEnzMHcc"",""Merge!F2:R"")},
        ""select Col1, Col10"",
        0
      ),
      2,
      FALSE
    ),
    """"
  )
)
"),"")</f>
        <v/>
      </c>
      <c r="F94" s="1248" t="str">
        <f>IFERROR(__xludf.DUMMYFUNCTION("IF(
  B94="""",
  """",
  IFERROR(
    VLOOKUP(
      B94,
      QUERY(
        {IMPORTRANGE(""1Ag27m9YF5mMfJh2E6NipJDFvPLlDI1p-s_1XEnzMHcc"",""Merge!F2:R"")},
        ""select Col1, Col12"",
        0
      ),2,FALSE),""""))"),"")</f>
        <v/>
      </c>
      <c r="G94" s="1271"/>
      <c r="H94" s="1250" t="str">
        <f>IFERROR(__xludf.DUMMYFUNCTION("IF(
  B94="""",
  """",
  IFERROR(
    VLOOKUP(
      B94,
      QUERY(
        {IMPORTRANGE(""1Ag27m9YF5mMfJh2E6NipJDFvPLlDI1p-s_1XEnzMHcc"",""Merge!F2:R"")},
        ""select Col1, Col9"",
        0
      ),
      2,
      FALSE
    ),""""))
"),"")</f>
        <v/>
      </c>
      <c r="I94" s="1251"/>
      <c r="J94" s="1270" t="str">
        <f t="shared" si="3"/>
        <v/>
      </c>
      <c r="K94" s="1253" t="str">
        <f t="shared" si="4"/>
        <v/>
      </c>
      <c r="L94" s="1254"/>
      <c r="M94" s="1244"/>
      <c r="N94" s="1259"/>
      <c r="O94" s="1259"/>
      <c r="P94" s="1244"/>
      <c r="Q94" s="1244"/>
      <c r="R94" s="1244"/>
      <c r="S94" s="1265"/>
      <c r="T94" s="1244"/>
      <c r="U94" s="1244"/>
    </row>
    <row r="95">
      <c r="A95" s="1235"/>
      <c r="B95" s="1235"/>
      <c r="C95" s="1246" t="str">
        <f t="shared" si="5"/>
        <v/>
      </c>
      <c r="D95" s="1247" t="str">
        <f>IFERROR(__xludf.DUMMYFUNCTION("IF(
  B95="""",
  """",
  IFERROR(
    VLOOKUP(
      B95,
      QUERY(
        {IMPORTRANGE(""1Ag27m9YF5mMfJh2E6NipJDFvPLlDI1p-s_1XEnzMHcc"",""Merge!F2:R"")},
        ""select Col1, Col4"",
        0),2,FALSE),""""))"),"")</f>
        <v/>
      </c>
      <c r="E95" s="1248" t="str">
        <f>IFERROR(__xludf.DUMMYFUNCTION("IF(
  B95="""",
  """",
  IFERROR(
    VLOOKUP(
      B95,
      QUERY(
        {IMPORTRANGE(""1Ag27m9YF5mMfJh2E6NipJDFvPLlDI1p-s_1XEnzMHcc"",""Merge!F2:R"")},
        ""select Col1, Col10"",
        0
      ),
      2,
      FALSE
    ),
    """"
  )
)
"),"")</f>
        <v/>
      </c>
      <c r="F95" s="1248" t="str">
        <f>IFERROR(__xludf.DUMMYFUNCTION("IF(
  B95="""",
  """",
  IFERROR(
    VLOOKUP(
      B95,
      QUERY(
        {IMPORTRANGE(""1Ag27m9YF5mMfJh2E6NipJDFvPLlDI1p-s_1XEnzMHcc"",""Merge!F2:R"")},
        ""select Col1, Col12"",
        0
      ),2,FALSE),""""))"),"")</f>
        <v/>
      </c>
      <c r="G95" s="1271"/>
      <c r="H95" s="1250" t="str">
        <f>IFERROR(__xludf.DUMMYFUNCTION("IF(
  B95="""",
  """",
  IFERROR(
    VLOOKUP(
      B95,
      QUERY(
        {IMPORTRANGE(""1Ag27m9YF5mMfJh2E6NipJDFvPLlDI1p-s_1XEnzMHcc"",""Merge!F2:R"")},
        ""select Col1, Col9"",
        0
      ),
      2,
      FALSE
    ),""""))
"),"")</f>
        <v/>
      </c>
      <c r="I95" s="1251"/>
      <c r="J95" s="1270" t="str">
        <f t="shared" si="3"/>
        <v/>
      </c>
      <c r="K95" s="1253" t="str">
        <f t="shared" si="4"/>
        <v/>
      </c>
      <c r="L95" s="1254"/>
      <c r="M95" s="1244"/>
      <c r="N95" s="1259"/>
      <c r="O95" s="1259"/>
      <c r="P95" s="1244"/>
      <c r="Q95" s="1244"/>
      <c r="R95" s="1244"/>
      <c r="S95" s="1265"/>
      <c r="T95" s="1244"/>
      <c r="U95" s="1244"/>
    </row>
    <row r="96">
      <c r="A96" s="1235"/>
      <c r="B96" s="1235"/>
      <c r="C96" s="1246" t="str">
        <f t="shared" si="5"/>
        <v/>
      </c>
      <c r="D96" s="1247" t="str">
        <f>IFERROR(__xludf.DUMMYFUNCTION("IF(
  B96="""",
  """",
  IFERROR(
    VLOOKUP(
      B96,
      QUERY(
        {IMPORTRANGE(""1Ag27m9YF5mMfJh2E6NipJDFvPLlDI1p-s_1XEnzMHcc"",""Merge!F2:R"")},
        ""select Col1, Col4"",
        0),2,FALSE),""""))"),"")</f>
        <v/>
      </c>
      <c r="E96" s="1248" t="str">
        <f>IFERROR(__xludf.DUMMYFUNCTION("IF(
  B96="""",
  """",
  IFERROR(
    VLOOKUP(
      B96,
      QUERY(
        {IMPORTRANGE(""1Ag27m9YF5mMfJh2E6NipJDFvPLlDI1p-s_1XEnzMHcc"",""Merge!F2:R"")},
        ""select Col1, Col10"",
        0
      ),
      2,
      FALSE
    ),
    """"
  )
)
"),"")</f>
        <v/>
      </c>
      <c r="F96" s="1248" t="str">
        <f>IFERROR(__xludf.DUMMYFUNCTION("IF(
  B96="""",
  """",
  IFERROR(
    VLOOKUP(
      B96,
      QUERY(
        {IMPORTRANGE(""1Ag27m9YF5mMfJh2E6NipJDFvPLlDI1p-s_1XEnzMHcc"",""Merge!F2:R"")},
        ""select Col1, Col12"",
        0
      ),2,FALSE),""""))"),"")</f>
        <v/>
      </c>
      <c r="G96" s="1271"/>
      <c r="H96" s="1250" t="str">
        <f>IFERROR(__xludf.DUMMYFUNCTION("IF(
  B96="""",
  """",
  IFERROR(
    VLOOKUP(
      B96,
      QUERY(
        {IMPORTRANGE(""1Ag27m9YF5mMfJh2E6NipJDFvPLlDI1p-s_1XEnzMHcc"",""Merge!F2:R"")},
        ""select Col1, Col9"",
        0
      ),
      2,
      FALSE
    ),""""))
"),"")</f>
        <v/>
      </c>
      <c r="I96" s="1251"/>
      <c r="J96" s="1270" t="str">
        <f t="shared" si="3"/>
        <v/>
      </c>
      <c r="K96" s="1253" t="str">
        <f t="shared" si="4"/>
        <v/>
      </c>
      <c r="L96" s="464"/>
      <c r="M96" s="1272"/>
      <c r="N96" s="1259"/>
      <c r="O96" s="1259"/>
      <c r="P96" s="1244"/>
      <c r="Q96" s="1244"/>
      <c r="R96" s="1244"/>
      <c r="S96" s="1265"/>
      <c r="T96" s="1244"/>
      <c r="U96" s="1244"/>
    </row>
    <row r="97">
      <c r="A97" s="1235"/>
      <c r="B97" s="1235"/>
      <c r="C97" s="1246" t="str">
        <f t="shared" si="5"/>
        <v/>
      </c>
      <c r="D97" s="1247" t="str">
        <f>IFERROR(__xludf.DUMMYFUNCTION("IF(
  B97="""",
  """",
  IFERROR(
    VLOOKUP(
      B97,
      QUERY(
        {IMPORTRANGE(""1Ag27m9YF5mMfJh2E6NipJDFvPLlDI1p-s_1XEnzMHcc"",""Merge!F2:R"")},
        ""select Col1, Col4"",
        0),2,FALSE),""""))"),"")</f>
        <v/>
      </c>
      <c r="E97" s="1248" t="str">
        <f>IFERROR(__xludf.DUMMYFUNCTION("IF(
  B97="""",
  """",
  IFERROR(
    VLOOKUP(
      B97,
      QUERY(
        {IMPORTRANGE(""1Ag27m9YF5mMfJh2E6NipJDFvPLlDI1p-s_1XEnzMHcc"",""Merge!F2:R"")},
        ""select Col1, Col10"",
        0
      ),
      2,
      FALSE
    ),
    """"
  )
)
"),"")</f>
        <v/>
      </c>
      <c r="F97" s="1248" t="str">
        <f>IFERROR(__xludf.DUMMYFUNCTION("IF(
  B97="""",
  """",
  IFERROR(
    VLOOKUP(
      B97,
      QUERY(
        {IMPORTRANGE(""1Ag27m9YF5mMfJh2E6NipJDFvPLlDI1p-s_1XEnzMHcc"",""Merge!F2:R"")},
        ""select Col1, Col12"",
        0
      ),2,FALSE),""""))"),"")</f>
        <v/>
      </c>
      <c r="G97" s="1271"/>
      <c r="H97" s="1250" t="str">
        <f>IFERROR(__xludf.DUMMYFUNCTION("IF(
  B97="""",
  """",
  IFERROR(
    VLOOKUP(
      B97,
      QUERY(
        {IMPORTRANGE(""1Ag27m9YF5mMfJh2E6NipJDFvPLlDI1p-s_1XEnzMHcc"",""Merge!F2:R"")},
        ""select Col1, Col9"",
        0
      ),
      2,
      FALSE
    ),""""))
"),"")</f>
        <v/>
      </c>
      <c r="I97" s="1251"/>
      <c r="J97" s="1270" t="str">
        <f t="shared" si="3"/>
        <v/>
      </c>
      <c r="K97" s="1253" t="str">
        <f t="shared" si="4"/>
        <v/>
      </c>
      <c r="L97" s="464"/>
      <c r="M97" s="1272"/>
      <c r="N97" s="1259"/>
      <c r="O97" s="1259"/>
      <c r="P97" s="1244"/>
      <c r="Q97" s="1244"/>
      <c r="R97" s="1244"/>
      <c r="S97" s="1265"/>
      <c r="T97" s="1244"/>
      <c r="U97" s="1244"/>
    </row>
    <row r="98">
      <c r="A98" s="1235"/>
      <c r="B98" s="1235"/>
      <c r="C98" s="1246" t="str">
        <f t="shared" si="5"/>
        <v/>
      </c>
      <c r="D98" s="1247" t="str">
        <f>IFERROR(__xludf.DUMMYFUNCTION("IF(
  B98="""",
  """",
  IFERROR(
    VLOOKUP(
      B98,
      QUERY(
        {IMPORTRANGE(""1Ag27m9YF5mMfJh2E6NipJDFvPLlDI1p-s_1XEnzMHcc"",""Merge!F2:R"")},
        ""select Col1, Col4"",
        0),2,FALSE),""""))"),"")</f>
        <v/>
      </c>
      <c r="E98" s="1248" t="str">
        <f>IFERROR(__xludf.DUMMYFUNCTION("IF(
  B98="""",
  """",
  IFERROR(
    VLOOKUP(
      B98,
      QUERY(
        {IMPORTRANGE(""1Ag27m9YF5mMfJh2E6NipJDFvPLlDI1p-s_1XEnzMHcc"",""Merge!F2:R"")},
        ""select Col1, Col10"",
        0
      ),
      2,
      FALSE
    ),
    """"
  )
)
"),"")</f>
        <v/>
      </c>
      <c r="F98" s="1248" t="str">
        <f>IFERROR(__xludf.DUMMYFUNCTION("IF(
  B98="""",
  """",
  IFERROR(
    VLOOKUP(
      B98,
      QUERY(
        {IMPORTRANGE(""1Ag27m9YF5mMfJh2E6NipJDFvPLlDI1p-s_1XEnzMHcc"",""Merge!F2:R"")},
        ""select Col1, Col12"",
        0
      ),2,FALSE),""""))"),"")</f>
        <v/>
      </c>
      <c r="G98" s="1271"/>
      <c r="H98" s="1250" t="str">
        <f>IFERROR(__xludf.DUMMYFUNCTION("IF(
  B98="""",
  """",
  IFERROR(
    VLOOKUP(
      B98,
      QUERY(
        {IMPORTRANGE(""1Ag27m9YF5mMfJh2E6NipJDFvPLlDI1p-s_1XEnzMHcc"",""Merge!F2:R"")},
        ""select Col1, Col9"",
        0
      ),
      2,
      FALSE
    ),""""))
"),"")</f>
        <v/>
      </c>
      <c r="I98" s="1251"/>
      <c r="J98" s="1270" t="str">
        <f t="shared" si="3"/>
        <v/>
      </c>
      <c r="K98" s="1253" t="str">
        <f t="shared" si="4"/>
        <v/>
      </c>
      <c r="L98" s="1254"/>
      <c r="M98" s="1244"/>
      <c r="N98" s="1259"/>
      <c r="O98" s="1259"/>
      <c r="P98" s="1244"/>
      <c r="Q98" s="1244"/>
      <c r="R98" s="1244"/>
      <c r="S98" s="1265"/>
      <c r="T98" s="1244"/>
      <c r="U98" s="1244"/>
    </row>
    <row r="99">
      <c r="A99" s="1235"/>
      <c r="B99" s="1235"/>
      <c r="C99" s="1246"/>
      <c r="D99" s="1247" t="str">
        <f>IFERROR(__xludf.DUMMYFUNCTION("IF(
  B99="""",
  """",
  IFERROR(
    VLOOKUP(
      B99,
      QUERY(
        {IMPORTRANGE(""1Ag27m9YF5mMfJh2E6NipJDFvPLlDI1p-s_1XEnzMHcc"",""Merge!F2:R"")},
        ""select Col1, Col4"",
        0),2,FALSE),""""))"),"")</f>
        <v/>
      </c>
      <c r="E99" s="1248"/>
      <c r="F99" s="1248"/>
      <c r="G99" s="1271"/>
      <c r="H99" s="1250" t="str">
        <f>IFERROR(__xludf.DUMMYFUNCTION("IF(
  B99="""",
  """",
  IFERROR(
    VLOOKUP(
      B99,
      QUERY(
        {IMPORTRANGE(""1Ag27m9YF5mMfJh2E6NipJDFvPLlDI1p-s_1XEnzMHcc"",""Merge!F2:R"")},
        ""select Col1, Col9"",
        0
      ),
      2,
      FALSE
    ),""""))
"),"")</f>
        <v/>
      </c>
      <c r="I99" s="1251"/>
      <c r="J99" s="1270"/>
      <c r="K99" s="1253"/>
      <c r="L99" s="1254"/>
      <c r="M99" s="1244"/>
      <c r="N99" s="1259"/>
      <c r="O99" s="1259"/>
      <c r="P99" s="1244"/>
      <c r="Q99" s="1244"/>
      <c r="R99" s="1244"/>
      <c r="S99" s="1265"/>
      <c r="T99" s="1244"/>
      <c r="U99" s="1244"/>
    </row>
    <row r="100">
      <c r="A100" s="1235"/>
      <c r="B100" s="1235"/>
      <c r="C100" s="1246" t="str">
        <f t="shared" ref="C100:C142" si="7">H100</f>
        <v/>
      </c>
      <c r="D100" s="1247" t="str">
        <f>IFERROR(__xludf.DUMMYFUNCTION("IF(
  B100="""",
  """",
  IFERROR(
    VLOOKUP(
      B100,
      QUERY(
        {IMPORTRANGE(""1Ag27m9YF5mMfJh2E6NipJDFvPLlDI1p-s_1XEnzMHcc"",""Merge!F2:R"")},
        ""select Col1, Col4"",
        0),2,FALSE),""""))"),"")</f>
        <v/>
      </c>
      <c r="E100" s="1248" t="str">
        <f>IFERROR(__xludf.DUMMYFUNCTION("IF(
  B100="""",
  """",
  IFERROR(
    VLOOKUP(
      B100,
      QUERY(
        {IMPORTRANGE(""1Ag27m9YF5mMfJh2E6NipJDFvPLlDI1p-s_1XEnzMHcc"",""Merge!F2:R"")},
        ""select Col1, Col10"",
        0
      ),
      2,
      FALSE
    ),
    """"
  )
)"&amp;"
"),"")</f>
        <v/>
      </c>
      <c r="F100" s="1248" t="str">
        <f>IFERROR(__xludf.DUMMYFUNCTION("IF(
  B100="""",
  """",
  IFERROR(
    VLOOKUP(
      B100,
      QUERY(
        {IMPORTRANGE(""1Ag27m9YF5mMfJh2E6NipJDFvPLlDI1p-s_1XEnzMHcc"",""Merge!F2:R"")},
        ""select Col1, Col12"",
        0
      ),2,FALSE),""""))"),"")</f>
        <v/>
      </c>
      <c r="G100" s="1271"/>
      <c r="H100" s="1250" t="str">
        <f>IFERROR(__xludf.DUMMYFUNCTION("IF(
  B100="""",
  """",
  IFERROR(
    VLOOKUP(
      B100,
      QUERY(
        {IMPORTRANGE(""1Ag27m9YF5mMfJh2E6NipJDFvPLlDI1p-s_1XEnzMHcc"",""Merge!F2:R"")},
        ""select Col1, Col9"",
        0
      ),
      2,
      FALSE
    ),""""))
"),"")</f>
        <v/>
      </c>
      <c r="I100" s="1251"/>
      <c r="J100" s="1270" t="str">
        <f t="shared" ref="J100:K100" si="6">E100</f>
        <v/>
      </c>
      <c r="K100" s="1253" t="str">
        <f t="shared" si="6"/>
        <v/>
      </c>
      <c r="L100" s="1254"/>
      <c r="M100" s="1244"/>
      <c r="N100" s="1259"/>
      <c r="O100" s="1259"/>
      <c r="P100" s="1244"/>
      <c r="Q100" s="1244"/>
      <c r="R100" s="1244"/>
      <c r="S100" s="1265"/>
      <c r="T100" s="1244"/>
      <c r="U100" s="1244"/>
    </row>
    <row r="101">
      <c r="A101" s="1235"/>
      <c r="B101" s="1235"/>
      <c r="C101" s="1246" t="str">
        <f t="shared" si="7"/>
        <v/>
      </c>
      <c r="D101" s="1247" t="str">
        <f>IFERROR(__xludf.DUMMYFUNCTION("IF(
  B101="""",
  """",
  IFERROR(
    VLOOKUP(
      B101,
      QUERY(
        {IMPORTRANGE(""1Ag27m9YF5mMfJh2E6NipJDFvPLlDI1p-s_1XEnzMHcc"",""Merge!F2:R"")},
        ""select Col1, Col4"",
        0),2,FALSE),""""))"),"")</f>
        <v/>
      </c>
      <c r="E101" s="1248" t="str">
        <f>IFERROR(__xludf.DUMMYFUNCTION("IF(
  B101="""",
  """",
  IFERROR(
    VLOOKUP(
      B101,
      QUERY(
        {IMPORTRANGE(""1Ag27m9YF5mMfJh2E6NipJDFvPLlDI1p-s_1XEnzMHcc"",""Merge!F2:R"")},
        ""select Col1, Col10"",
        0
      ),
      2,
      FALSE
    ),
    """"
  )
)"&amp;"
"),"")</f>
        <v/>
      </c>
      <c r="F101" s="1248" t="str">
        <f>IFERROR(__xludf.DUMMYFUNCTION("IF(
  B101="""",
  """",
  IFERROR(
    VLOOKUP(
      B101,
      QUERY(
        {IMPORTRANGE(""1Ag27m9YF5mMfJh2E6NipJDFvPLlDI1p-s_1XEnzMHcc"",""Merge!F2:R"")},
        ""select Col1, Col12"",
        0
      ),2,FALSE),""""))"),"")</f>
        <v/>
      </c>
      <c r="G101" s="1271"/>
      <c r="H101" s="1250" t="str">
        <f>IFERROR(__xludf.DUMMYFUNCTION("IF(
  B101="""",
  """",
  IFERROR(
    VLOOKUP(
      B101,
      QUERY(
        {IMPORTRANGE(""1Ag27m9YF5mMfJh2E6NipJDFvPLlDI1p-s_1XEnzMHcc"",""Merge!F2:R"")},
        ""select Col1, Col9"",
        0
      ),
      2,
      FALSE
    ),""""))
"),"")</f>
        <v/>
      </c>
      <c r="I101" s="1251"/>
      <c r="J101" s="1270" t="str">
        <f t="shared" ref="J101:K101" si="8">E101</f>
        <v/>
      </c>
      <c r="K101" s="1253" t="str">
        <f t="shared" si="8"/>
        <v/>
      </c>
      <c r="L101" s="1254"/>
      <c r="M101" s="1244"/>
      <c r="N101" s="1259"/>
      <c r="O101" s="1259"/>
      <c r="P101" s="1244"/>
      <c r="Q101" s="1244"/>
      <c r="R101" s="1244"/>
      <c r="S101" s="1265"/>
      <c r="T101" s="1244"/>
      <c r="U101" s="1244"/>
    </row>
    <row r="102">
      <c r="A102" s="1235"/>
      <c r="B102" s="1235"/>
      <c r="C102" s="1246" t="str">
        <f t="shared" si="7"/>
        <v/>
      </c>
      <c r="D102" s="1247" t="str">
        <f>IFERROR(__xludf.DUMMYFUNCTION("IF(
  B102="""",
  """",
  IFERROR(
    VLOOKUP(
      B102,
      QUERY(
        {IMPORTRANGE(""1Ag27m9YF5mMfJh2E6NipJDFvPLlDI1p-s_1XEnzMHcc"",""Merge!F2:R"")},
        ""select Col1, Col4"",
        0),2,FALSE),""""))"),"")</f>
        <v/>
      </c>
      <c r="E102" s="1248" t="str">
        <f>IFERROR(__xludf.DUMMYFUNCTION("IF(
  B102="""",
  """",
  IFERROR(
    VLOOKUP(
      B102,
      QUERY(
        {IMPORTRANGE(""1Ag27m9YF5mMfJh2E6NipJDFvPLlDI1p-s_1XEnzMHcc"",""Merge!F2:R"")},
        ""select Col1, Col10"",
        0
      ),
      2,
      FALSE
    ),
    """"
  )
)"&amp;"
"),"")</f>
        <v/>
      </c>
      <c r="F102" s="1248" t="str">
        <f>IFERROR(__xludf.DUMMYFUNCTION("IF(
  B102="""",
  """",
  IFERROR(
    VLOOKUP(
      B102,
      QUERY(
        {IMPORTRANGE(""1Ag27m9YF5mMfJh2E6NipJDFvPLlDI1p-s_1XEnzMHcc"",""Merge!F2:R"")},
        ""select Col1, Col12"",
        0
      ),2,FALSE),""""))"),"")</f>
        <v/>
      </c>
      <c r="G102" s="1271"/>
      <c r="H102" s="1250" t="str">
        <f>IFERROR(__xludf.DUMMYFUNCTION("IF(
  B102="""",
  """",
  IFERROR(
    VLOOKUP(
      B102,
      QUERY(
        {IMPORTRANGE(""1Ag27m9YF5mMfJh2E6NipJDFvPLlDI1p-s_1XEnzMHcc"",""Merge!F2:R"")},
        ""select Col1, Col9"",
        0
      ),
      2,
      FALSE
    ),""""))
"),"")</f>
        <v/>
      </c>
      <c r="I102" s="1251"/>
      <c r="J102" s="1270" t="str">
        <f t="shared" ref="J102:K102" si="9">E102</f>
        <v/>
      </c>
      <c r="K102" s="1253" t="str">
        <f t="shared" si="9"/>
        <v/>
      </c>
      <c r="L102" s="1254"/>
      <c r="M102" s="1244"/>
      <c r="N102" s="1259"/>
      <c r="O102" s="1259"/>
      <c r="P102" s="1244"/>
      <c r="Q102" s="1244"/>
      <c r="R102" s="1244"/>
      <c r="S102" s="1265"/>
      <c r="T102" s="1244"/>
      <c r="U102" s="1244"/>
    </row>
    <row r="103">
      <c r="A103" s="1235"/>
      <c r="B103" s="1235"/>
      <c r="C103" s="1246" t="str">
        <f t="shared" si="7"/>
        <v/>
      </c>
      <c r="D103" s="1247" t="str">
        <f>IFERROR(__xludf.DUMMYFUNCTION("IF(
  B103="""",
  """",
  IFERROR(
    VLOOKUP(
      B103,
      QUERY(
        {IMPORTRANGE(""1Ag27m9YF5mMfJh2E6NipJDFvPLlDI1p-s_1XEnzMHcc"",""Merge!F2:R"")},
        ""select Col1, Col4"",
        0),2,FALSE),""""))"),"")</f>
        <v/>
      </c>
      <c r="E103" s="1248" t="str">
        <f>IFERROR(__xludf.DUMMYFUNCTION("IF(
  B103="""",
  """",
  IFERROR(
    VLOOKUP(
      B103,
      QUERY(
        {IMPORTRANGE(""1Ag27m9YF5mMfJh2E6NipJDFvPLlDI1p-s_1XEnzMHcc"",""Merge!F2:R"")},
        ""select Col1, Col10"",
        0
      ),
      2,
      FALSE
    ),
    """"
  )
)"&amp;"
"),"")</f>
        <v/>
      </c>
      <c r="F103" s="1248" t="str">
        <f>IFERROR(__xludf.DUMMYFUNCTION("IF(
  B103="""",
  """",
  IFERROR(
    VLOOKUP(
      B103,
      QUERY(
        {IMPORTRANGE(""1Ag27m9YF5mMfJh2E6NipJDFvPLlDI1p-s_1XEnzMHcc"",""Merge!F2:R"")},
        ""select Col1, Col12"",
        0
      ),2,FALSE),""""))"),"")</f>
        <v/>
      </c>
      <c r="G103" s="1271"/>
      <c r="H103" s="1250" t="str">
        <f>IFERROR(__xludf.DUMMYFUNCTION("IF(
  B103="""",
  """",
  IFERROR(
    VLOOKUP(
      B103,
      QUERY(
        {IMPORTRANGE(""1Ag27m9YF5mMfJh2E6NipJDFvPLlDI1p-s_1XEnzMHcc"",""Merge!F2:R"")},
        ""select Col1, Col9"",
        0
      ),
      2,
      FALSE
    ),""""))
"),"")</f>
        <v/>
      </c>
      <c r="I103" s="1251"/>
      <c r="J103" s="1270" t="str">
        <f t="shared" ref="J103:K103" si="10">E103</f>
        <v/>
      </c>
      <c r="K103" s="1253" t="str">
        <f t="shared" si="10"/>
        <v/>
      </c>
      <c r="L103" s="1254"/>
      <c r="M103" s="1244"/>
      <c r="N103" s="1259"/>
      <c r="O103" s="1259"/>
      <c r="P103" s="1244"/>
      <c r="Q103" s="1244"/>
      <c r="R103" s="1244"/>
      <c r="S103" s="1265"/>
      <c r="T103" s="1244"/>
      <c r="U103" s="1244"/>
    </row>
    <row r="104">
      <c r="A104" s="1235"/>
      <c r="B104" s="1235"/>
      <c r="C104" s="1246" t="str">
        <f t="shared" si="7"/>
        <v/>
      </c>
      <c r="D104" s="1247" t="str">
        <f>IFERROR(__xludf.DUMMYFUNCTION("IF(
  B104="""",
  """",
  IFERROR(
    VLOOKUP(
      B104,
      QUERY(
        {IMPORTRANGE(""1Ag27m9YF5mMfJh2E6NipJDFvPLlDI1p-s_1XEnzMHcc"",""Merge!F2:R"")},
        ""select Col1, Col4"",
        0),2,FALSE),""""))"),"")</f>
        <v/>
      </c>
      <c r="E104" s="1248" t="str">
        <f>IFERROR(__xludf.DUMMYFUNCTION("IF(
  B104="""",
  """",
  IFERROR(
    VLOOKUP(
      B104,
      QUERY(
        {IMPORTRANGE(""1Ag27m9YF5mMfJh2E6NipJDFvPLlDI1p-s_1XEnzMHcc"",""Merge!F2:R"")},
        ""select Col1, Col10"",
        0
      ),
      2,
      FALSE
    ),
    """"
  )
)"&amp;"
"),"")</f>
        <v/>
      </c>
      <c r="F104" s="1248" t="str">
        <f>IFERROR(__xludf.DUMMYFUNCTION("IF(
  B104="""",
  """",
  IFERROR(
    VLOOKUP(
      B104,
      QUERY(
        {IMPORTRANGE(""1Ag27m9YF5mMfJh2E6NipJDFvPLlDI1p-s_1XEnzMHcc"",""Merge!F2:R"")},
        ""select Col1, Col12"",
        0
      ),2,FALSE),""""))"),"")</f>
        <v/>
      </c>
      <c r="G104" s="1271"/>
      <c r="H104" s="1250" t="str">
        <f>IFERROR(__xludf.DUMMYFUNCTION("IF(
  B104="""",
  """",
  IFERROR(
    VLOOKUP(
      B104,
      QUERY(
        {IMPORTRANGE(""1Ag27m9YF5mMfJh2E6NipJDFvPLlDI1p-s_1XEnzMHcc"",""Merge!F2:R"")},
        ""select Col1, Col9"",
        0
      ),
      2,
      FALSE
    ),""""))
"),"")</f>
        <v/>
      </c>
      <c r="I104" s="1251"/>
      <c r="J104" s="1270" t="str">
        <f t="shared" ref="J104:K104" si="11">E104</f>
        <v/>
      </c>
      <c r="K104" s="1253" t="str">
        <f t="shared" si="11"/>
        <v/>
      </c>
      <c r="L104" s="1254"/>
      <c r="M104" s="1244"/>
      <c r="N104" s="1259"/>
      <c r="O104" s="1259"/>
      <c r="P104" s="1244"/>
      <c r="Q104" s="1244"/>
      <c r="R104" s="1244"/>
      <c r="S104" s="1265"/>
      <c r="T104" s="1244"/>
      <c r="U104" s="1244"/>
    </row>
    <row r="105">
      <c r="A105" s="1235"/>
      <c r="B105" s="1235"/>
      <c r="C105" s="1246" t="str">
        <f t="shared" si="7"/>
        <v/>
      </c>
      <c r="D105" s="1247" t="str">
        <f>IFERROR(__xludf.DUMMYFUNCTION("IF(
  B105="""",
  """",
  IFERROR(
    VLOOKUP(
      B105,
      QUERY(
        {IMPORTRANGE(""1Ag27m9YF5mMfJh2E6NipJDFvPLlDI1p-s_1XEnzMHcc"",""Merge!F2:R"")},
        ""select Col1, Col4"",
        0),2,FALSE),""""))"),"")</f>
        <v/>
      </c>
      <c r="E105" s="1248" t="str">
        <f>IFERROR(__xludf.DUMMYFUNCTION("IF(
  B105="""",
  """",
  IFERROR(
    VLOOKUP(
      B105,
      QUERY(
        {IMPORTRANGE(""1Ag27m9YF5mMfJh2E6NipJDFvPLlDI1p-s_1XEnzMHcc"",""Merge!F2:R"")},
        ""select Col1, Col10"",
        0
      ),
      2,
      FALSE
    ),
    """"
  )
)"&amp;"
"),"")</f>
        <v/>
      </c>
      <c r="F105" s="1248" t="str">
        <f>IFERROR(__xludf.DUMMYFUNCTION("IF(
  B105="""",
  """",
  IFERROR(
    VLOOKUP(
      B105,
      QUERY(
        {IMPORTRANGE(""1Ag27m9YF5mMfJh2E6NipJDFvPLlDI1p-s_1XEnzMHcc"",""Merge!F2:R"")},
        ""select Col1, Col12"",
        0
      ),2,FALSE),""""))"),"")</f>
        <v/>
      </c>
      <c r="G105" s="1271"/>
      <c r="H105" s="1250" t="str">
        <f>IFERROR(__xludf.DUMMYFUNCTION("IF(
  B105="""",
  """",
  IFERROR(
    VLOOKUP(
      B105,
      QUERY(
        {IMPORTRANGE(""1Ag27m9YF5mMfJh2E6NipJDFvPLlDI1p-s_1XEnzMHcc"",""Merge!F2:R"")},
        ""select Col1, Col9"",
        0
      ),
      2,
      FALSE
    ),""""))
"),"")</f>
        <v/>
      </c>
      <c r="I105" s="1251"/>
      <c r="J105" s="1270" t="str">
        <f t="shared" ref="J105:K105" si="12">E105</f>
        <v/>
      </c>
      <c r="K105" s="1253" t="str">
        <f t="shared" si="12"/>
        <v/>
      </c>
      <c r="L105" s="1254"/>
      <c r="M105" s="1244"/>
      <c r="N105" s="1259"/>
      <c r="O105" s="1259"/>
      <c r="P105" s="1244"/>
      <c r="Q105" s="1244"/>
      <c r="R105" s="1244"/>
      <c r="S105" s="1265"/>
      <c r="T105" s="1244"/>
      <c r="U105" s="1244"/>
    </row>
    <row r="106">
      <c r="A106" s="1235"/>
      <c r="B106" s="1235"/>
      <c r="C106" s="1246" t="str">
        <f t="shared" si="7"/>
        <v/>
      </c>
      <c r="D106" s="1247" t="str">
        <f>IFERROR(__xludf.DUMMYFUNCTION("IF(
  B106="""",
  """",
  IFERROR(
    VLOOKUP(
      B106,
      QUERY(
        {IMPORTRANGE(""1Ag27m9YF5mMfJh2E6NipJDFvPLlDI1p-s_1XEnzMHcc"",""Merge!F2:R"")},
        ""select Col1, Col4"",
        0),2,FALSE),""""))"),"")</f>
        <v/>
      </c>
      <c r="E106" s="1248" t="str">
        <f>IFERROR(__xludf.DUMMYFUNCTION("IF(
  B106="""",
  """",
  IFERROR(
    VLOOKUP(
      B106,
      QUERY(
        {IMPORTRANGE(""1Ag27m9YF5mMfJh2E6NipJDFvPLlDI1p-s_1XEnzMHcc"",""Merge!F2:R"")},
        ""select Col1, Col10"",
        0
      ),
      2,
      FALSE
    ),
    """"
  )
)"&amp;"
"),"")</f>
        <v/>
      </c>
      <c r="F106" s="1248" t="str">
        <f>IFERROR(__xludf.DUMMYFUNCTION("IF(
  B106="""",
  """",
  IFERROR(
    VLOOKUP(
      B106,
      QUERY(
        {IMPORTRANGE(""1Ag27m9YF5mMfJh2E6NipJDFvPLlDI1p-s_1XEnzMHcc"",""Merge!F2:R"")},
        ""select Col1, Col12"",
        0
      ),2,FALSE),""""))"),"")</f>
        <v/>
      </c>
      <c r="G106" s="1271"/>
      <c r="H106" s="1250" t="str">
        <f>IFERROR(__xludf.DUMMYFUNCTION("IF(
  B106="""",
  """",
  IFERROR(
    VLOOKUP(
      B106,
      QUERY(
        {IMPORTRANGE(""1Ag27m9YF5mMfJh2E6NipJDFvPLlDI1p-s_1XEnzMHcc"",""Merge!F2:R"")},
        ""select Col1, Col9"",
        0
      ),
      2,
      FALSE
    ),""""))
"),"")</f>
        <v/>
      </c>
      <c r="I106" s="1251"/>
      <c r="J106" s="1270" t="str">
        <f t="shared" ref="J106:K106" si="13">E106</f>
        <v/>
      </c>
      <c r="K106" s="1253" t="str">
        <f t="shared" si="13"/>
        <v/>
      </c>
      <c r="L106" s="1254"/>
      <c r="M106" s="1244"/>
      <c r="N106" s="1259"/>
      <c r="O106" s="1259"/>
      <c r="P106" s="1244"/>
      <c r="Q106" s="1244"/>
      <c r="R106" s="1244"/>
      <c r="S106" s="1265"/>
      <c r="T106" s="1244"/>
      <c r="U106" s="1244"/>
    </row>
    <row r="107">
      <c r="A107" s="1235"/>
      <c r="B107" s="1235"/>
      <c r="C107" s="1246" t="str">
        <f t="shared" si="7"/>
        <v/>
      </c>
      <c r="D107" s="1247" t="str">
        <f>IFERROR(__xludf.DUMMYFUNCTION("IF(
  B107="""",
  """",
  IFERROR(
    VLOOKUP(
      B107,
      QUERY(
        {IMPORTRANGE(""1Ag27m9YF5mMfJh2E6NipJDFvPLlDI1p-s_1XEnzMHcc"",""Merge!F2:R"")},
        ""select Col1, Col4"",
        0),2,FALSE),""""))"),"")</f>
        <v/>
      </c>
      <c r="E107" s="1248" t="str">
        <f>IFERROR(__xludf.DUMMYFUNCTION("IF(
  B107="""",
  """",
  IFERROR(
    VLOOKUP(
      B107,
      QUERY(
        {IMPORTRANGE(""1Ag27m9YF5mMfJh2E6NipJDFvPLlDI1p-s_1XEnzMHcc"",""Merge!F2:R"")},
        ""select Col1, Col10"",
        0
      ),
      2,
      FALSE
    ),
    """"
  )
)"&amp;"
"),"")</f>
        <v/>
      </c>
      <c r="F107" s="1248" t="str">
        <f>IFERROR(__xludf.DUMMYFUNCTION("IF(
  B107="""",
  """",
  IFERROR(
    VLOOKUP(
      B107,
      QUERY(
        {IMPORTRANGE(""1Ag27m9YF5mMfJh2E6NipJDFvPLlDI1p-s_1XEnzMHcc"",""Merge!F2:R"")},
        ""select Col1, Col12"",
        0
      ),2,FALSE),""""))"),"")</f>
        <v/>
      </c>
      <c r="G107" s="1271"/>
      <c r="H107" s="1250" t="str">
        <f>IFERROR(__xludf.DUMMYFUNCTION("IF(
  B107="""",
  """",
  IFERROR(
    VLOOKUP(
      B107,
      QUERY(
        {IMPORTRANGE(""1Ag27m9YF5mMfJh2E6NipJDFvPLlDI1p-s_1XEnzMHcc"",""Merge!F2:R"")},
        ""select Col1, Col9"",
        0
      ),
      2,
      FALSE
    ),""""))
"),"")</f>
        <v/>
      </c>
      <c r="I107" s="1251"/>
      <c r="J107" s="1270" t="str">
        <f t="shared" ref="J107:K107" si="14">E107</f>
        <v/>
      </c>
      <c r="K107" s="1253" t="str">
        <f t="shared" si="14"/>
        <v/>
      </c>
      <c r="L107" s="1254"/>
      <c r="M107" s="1244"/>
      <c r="N107" s="1259"/>
      <c r="O107" s="1259"/>
      <c r="P107" s="1244"/>
      <c r="Q107" s="1244"/>
      <c r="R107" s="1244"/>
      <c r="S107" s="1265"/>
      <c r="T107" s="1244"/>
      <c r="U107" s="1244"/>
    </row>
    <row r="108">
      <c r="A108" s="1235"/>
      <c r="B108" s="1235"/>
      <c r="C108" s="1246" t="str">
        <f t="shared" si="7"/>
        <v/>
      </c>
      <c r="D108" s="1247" t="str">
        <f>IFERROR(__xludf.DUMMYFUNCTION("IF(
  B108="""",
  """",
  IFERROR(
    VLOOKUP(
      B108,
      QUERY(
        {IMPORTRANGE(""1Ag27m9YF5mMfJh2E6NipJDFvPLlDI1p-s_1XEnzMHcc"",""Merge!F2:R"")},
        ""select Col1, Col4"",
        0),2,FALSE),""""))"),"")</f>
        <v/>
      </c>
      <c r="E108" s="1248" t="str">
        <f>IFERROR(__xludf.DUMMYFUNCTION("IF(
  B108="""",
  """",
  IFERROR(
    VLOOKUP(
      B108,
      QUERY(
        {IMPORTRANGE(""1Ag27m9YF5mMfJh2E6NipJDFvPLlDI1p-s_1XEnzMHcc"",""Merge!F2:R"")},
        ""select Col1, Col10"",
        0
      ),
      2,
      FALSE
    ),
    """"
  )
)"&amp;"
"),"")</f>
        <v/>
      </c>
      <c r="F108" s="1248" t="str">
        <f>IFERROR(__xludf.DUMMYFUNCTION("IF(
  B108="""",
  """",
  IFERROR(
    VLOOKUP(
      B108,
      QUERY(
        {IMPORTRANGE(""1Ag27m9YF5mMfJh2E6NipJDFvPLlDI1p-s_1XEnzMHcc"",""Merge!F2:R"")},
        ""select Col1, Col12"",
        0
      ),2,FALSE),""""))"),"")</f>
        <v/>
      </c>
      <c r="G108" s="1271"/>
      <c r="H108" s="1250" t="str">
        <f>IFERROR(__xludf.DUMMYFUNCTION("IF(
  B108="""",
  """",
  IFERROR(
    VLOOKUP(
      B108,
      QUERY(
        {IMPORTRANGE(""1Ag27m9YF5mMfJh2E6NipJDFvPLlDI1p-s_1XEnzMHcc"",""Merge!F2:R"")},
        ""select Col1, Col9"",
        0
      ),
      2,
      FALSE
    ),""""))
"),"")</f>
        <v/>
      </c>
      <c r="I108" s="1251"/>
      <c r="J108" s="1270" t="str">
        <f t="shared" ref="J108:K108" si="15">E108</f>
        <v/>
      </c>
      <c r="K108" s="1253" t="str">
        <f t="shared" si="15"/>
        <v/>
      </c>
      <c r="L108" s="1254"/>
      <c r="M108" s="1244"/>
      <c r="N108" s="1259"/>
      <c r="O108" s="1259"/>
      <c r="P108" s="1244"/>
      <c r="Q108" s="1244"/>
      <c r="R108" s="1244"/>
      <c r="S108" s="1265"/>
      <c r="T108" s="1244"/>
      <c r="U108" s="1244"/>
    </row>
    <row r="109">
      <c r="A109" s="1235"/>
      <c r="B109" s="1235"/>
      <c r="C109" s="1246" t="str">
        <f t="shared" si="7"/>
        <v/>
      </c>
      <c r="D109" s="1247" t="str">
        <f>IFERROR(__xludf.DUMMYFUNCTION("IF(
  B109="""",
  """",
  IFERROR(
    VLOOKUP(
      B109,
      QUERY(
        {IMPORTRANGE(""1Ag27m9YF5mMfJh2E6NipJDFvPLlDI1p-s_1XEnzMHcc"",""Merge!F2:R"")},
        ""select Col1, Col4"",
        0),2,FALSE),""""))"),"")</f>
        <v/>
      </c>
      <c r="E109" s="1248" t="str">
        <f>IFERROR(__xludf.DUMMYFUNCTION("IF(
  B109="""",
  """",
  IFERROR(
    VLOOKUP(
      B109,
      QUERY(
        {IMPORTRANGE(""1Ag27m9YF5mMfJh2E6NipJDFvPLlDI1p-s_1XEnzMHcc"",""Merge!F2:R"")},
        ""select Col1, Col10"",
        0
      ),
      2,
      FALSE
    ),
    """"
  )
)"&amp;"
"),"")</f>
        <v/>
      </c>
      <c r="F109" s="1248" t="str">
        <f>IFERROR(__xludf.DUMMYFUNCTION("IF(
  B109="""",
  """",
  IFERROR(
    VLOOKUP(
      B109,
      QUERY(
        {IMPORTRANGE(""1Ag27m9YF5mMfJh2E6NipJDFvPLlDI1p-s_1XEnzMHcc"",""Merge!F2:R"")},
        ""select Col1, Col12"",
        0
      ),2,FALSE),""""))"),"")</f>
        <v/>
      </c>
      <c r="G109" s="1271"/>
      <c r="H109" s="1250" t="str">
        <f>IFERROR(__xludf.DUMMYFUNCTION("IF(
  B109="""",
  """",
  IFERROR(
    VLOOKUP(
      B109,
      QUERY(
        {IMPORTRANGE(""1Ag27m9YF5mMfJh2E6NipJDFvPLlDI1p-s_1XEnzMHcc"",""Merge!F2:R"")},
        ""select Col1, Col9"",
        0
      ),
      2,
      FALSE
    ),""""))
"),"")</f>
        <v/>
      </c>
      <c r="I109" s="1251"/>
      <c r="J109" s="1270" t="str">
        <f t="shared" ref="J109:K109" si="16">E109</f>
        <v/>
      </c>
      <c r="K109" s="1253" t="str">
        <f t="shared" si="16"/>
        <v/>
      </c>
      <c r="L109" s="1254"/>
      <c r="M109" s="1244"/>
      <c r="N109" s="1259"/>
      <c r="O109" s="1259"/>
      <c r="P109" s="1244"/>
      <c r="Q109" s="1244"/>
      <c r="R109" s="1244"/>
      <c r="S109" s="1265"/>
      <c r="T109" s="1244"/>
      <c r="U109" s="1244"/>
    </row>
    <row r="110">
      <c r="A110" s="1235"/>
      <c r="B110" s="1235"/>
      <c r="C110" s="1246" t="str">
        <f t="shared" si="7"/>
        <v/>
      </c>
      <c r="D110" s="1247" t="str">
        <f>IFERROR(__xludf.DUMMYFUNCTION("IF(
  B110="""",
  """",
  IFERROR(
    VLOOKUP(
      B110,
      QUERY(
        {IMPORTRANGE(""1Ag27m9YF5mMfJh2E6NipJDFvPLlDI1p-s_1XEnzMHcc"",""Merge!F2:R"")},
        ""select Col1, Col4"",
        0),2,FALSE),""""))"),"")</f>
        <v/>
      </c>
      <c r="E110" s="1248" t="str">
        <f>IFERROR(__xludf.DUMMYFUNCTION("IF(
  B110="""",
  """",
  IFERROR(
    VLOOKUP(
      B110,
      QUERY(
        {IMPORTRANGE(""1Ag27m9YF5mMfJh2E6NipJDFvPLlDI1p-s_1XEnzMHcc"",""Merge!F2:R"")},
        ""select Col1, Col10"",
        0
      ),
      2,
      FALSE
    ),
    """"
  )
)"&amp;"
"),"")</f>
        <v/>
      </c>
      <c r="F110" s="1248" t="str">
        <f>IFERROR(__xludf.DUMMYFUNCTION("IF(
  B110="""",
  """",
  IFERROR(
    VLOOKUP(
      B110,
      QUERY(
        {IMPORTRANGE(""1Ag27m9YF5mMfJh2E6NipJDFvPLlDI1p-s_1XEnzMHcc"",""Merge!F2:R"")},
        ""select Col1, Col12"",
        0
      ),2,FALSE),""""))"),"")</f>
        <v/>
      </c>
      <c r="G110" s="1271"/>
      <c r="H110" s="1250" t="str">
        <f>IFERROR(__xludf.DUMMYFUNCTION("IF(
  B110="""",
  """",
  IFERROR(
    VLOOKUP(
      B110,
      QUERY(
        {IMPORTRANGE(""1Ag27m9YF5mMfJh2E6NipJDFvPLlDI1p-s_1XEnzMHcc"",""Merge!F2:R"")},
        ""select Col1, Col9"",
        0
      ),
      2,
      FALSE
    ),""""))
"),"")</f>
        <v/>
      </c>
      <c r="I110" s="1251"/>
      <c r="J110" s="1270" t="str">
        <f t="shared" ref="J110:K110" si="17">E110</f>
        <v/>
      </c>
      <c r="K110" s="1253" t="str">
        <f t="shared" si="17"/>
        <v/>
      </c>
      <c r="L110" s="1254"/>
      <c r="M110" s="1244"/>
      <c r="N110" s="1273"/>
      <c r="O110" s="1273"/>
      <c r="P110" s="1244"/>
      <c r="Q110" s="1244"/>
      <c r="R110" s="1244"/>
      <c r="S110" s="1265"/>
      <c r="T110" s="1244"/>
      <c r="U110" s="1244"/>
    </row>
    <row r="111">
      <c r="A111" s="1235"/>
      <c r="B111" s="1235"/>
      <c r="C111" s="1246" t="str">
        <f t="shared" si="7"/>
        <v/>
      </c>
      <c r="D111" s="1247" t="str">
        <f>IFERROR(__xludf.DUMMYFUNCTION("IF(
  B111="""",
  """",
  IFERROR(
    VLOOKUP(
      B111,
      QUERY(
        {IMPORTRANGE(""1Ag27m9YF5mMfJh2E6NipJDFvPLlDI1p-s_1XEnzMHcc"",""Merge!F2:R"")},
        ""select Col1, Col4"",
        0),2,FALSE),""""))"),"")</f>
        <v/>
      </c>
      <c r="E111" s="1248" t="str">
        <f>IFERROR(__xludf.DUMMYFUNCTION("IF(
  B111="""",
  """",
  IFERROR(
    VLOOKUP(
      B111,
      QUERY(
        {IMPORTRANGE(""1Ag27m9YF5mMfJh2E6NipJDFvPLlDI1p-s_1XEnzMHcc"",""Merge!F2:R"")},
        ""select Col1, Col10"",
        0
      ),
      2,
      FALSE
    ),
    """"
  )
)"&amp;"
"),"")</f>
        <v/>
      </c>
      <c r="F111" s="1248" t="str">
        <f>IFERROR(__xludf.DUMMYFUNCTION("IF(
  B111="""",
  """",
  IFERROR(
    VLOOKUP(
      B111,
      QUERY(
        {IMPORTRANGE(""1Ag27m9YF5mMfJh2E6NipJDFvPLlDI1p-s_1XEnzMHcc"",""Merge!F2:R"")},
        ""select Col1, Col12"",
        0
      ),2,FALSE),""""))"),"")</f>
        <v/>
      </c>
      <c r="G111" s="1271"/>
      <c r="H111" s="1250" t="str">
        <f>IFERROR(__xludf.DUMMYFUNCTION("IF(
  B111="""",
  """",
  IFERROR(
    VLOOKUP(
      B111,
      QUERY(
        {IMPORTRANGE(""1Ag27m9YF5mMfJh2E6NipJDFvPLlDI1p-s_1XEnzMHcc"",""Merge!F2:R"")},
        ""select Col1, Col9"",
        0
      ),
      2,
      FALSE
    ),""""))
"),"")</f>
        <v/>
      </c>
      <c r="I111" s="1251"/>
      <c r="J111" s="1270" t="str">
        <f t="shared" ref="J111:K111" si="18">E111</f>
        <v/>
      </c>
      <c r="K111" s="1253" t="str">
        <f t="shared" si="18"/>
        <v/>
      </c>
      <c r="L111" s="1254"/>
      <c r="M111" s="1244"/>
      <c r="N111" s="1273"/>
      <c r="O111" s="1273"/>
      <c r="P111" s="1244"/>
      <c r="Q111" s="1244"/>
      <c r="R111" s="1244"/>
      <c r="S111" s="1265"/>
      <c r="T111" s="1244"/>
      <c r="U111" s="1244"/>
    </row>
    <row r="112">
      <c r="A112" s="1235"/>
      <c r="B112" s="1235"/>
      <c r="C112" s="1246" t="str">
        <f t="shared" si="7"/>
        <v/>
      </c>
      <c r="D112" s="1247" t="str">
        <f>IFERROR(__xludf.DUMMYFUNCTION("IF(
  B112="""",
  """",
  IFERROR(
    VLOOKUP(
      B112,
      QUERY(
        {IMPORTRANGE(""1Ag27m9YF5mMfJh2E6NipJDFvPLlDI1p-s_1XEnzMHcc"",""Merge!F2:R"")},
        ""select Col1, Col4"",
        0),2,FALSE),""""))"),"")</f>
        <v/>
      </c>
      <c r="E112" s="1248" t="str">
        <f>IFERROR(__xludf.DUMMYFUNCTION("IF(
  B112="""",
  """",
  IFERROR(
    VLOOKUP(
      B112,
      QUERY(
        {IMPORTRANGE(""1Ag27m9YF5mMfJh2E6NipJDFvPLlDI1p-s_1XEnzMHcc"",""Merge!F2:R"")},
        ""select Col1, Col10"",
        0
      ),
      2,
      FALSE
    ),
    """"
  )
)"&amp;"
"),"")</f>
        <v/>
      </c>
      <c r="F112" s="1248" t="str">
        <f>IFERROR(__xludf.DUMMYFUNCTION("IF(
  B112="""",
  """",
  IFERROR(
    VLOOKUP(
      B112,
      QUERY(
        {IMPORTRANGE(""1Ag27m9YF5mMfJh2E6NipJDFvPLlDI1p-s_1XEnzMHcc"",""Merge!F2:R"")},
        ""select Col1, Col12"",
        0
      ),2,FALSE),""""))"),"")</f>
        <v/>
      </c>
      <c r="G112" s="1271"/>
      <c r="H112" s="1250" t="str">
        <f>IFERROR(__xludf.DUMMYFUNCTION("IF(
  B112="""",
  """",
  IFERROR(
    VLOOKUP(
      B112,
      QUERY(
        {IMPORTRANGE(""1Ag27m9YF5mMfJh2E6NipJDFvPLlDI1p-s_1XEnzMHcc"",""Merge!F2:R"")},
        ""select Col1, Col9"",
        0
      ),
      2,
      FALSE
    ),""""))
"),"")</f>
        <v/>
      </c>
      <c r="I112" s="1251"/>
      <c r="J112" s="1270" t="str">
        <f t="shared" ref="J112:K112" si="19">E112</f>
        <v/>
      </c>
      <c r="K112" s="1253" t="str">
        <f t="shared" si="19"/>
        <v/>
      </c>
      <c r="L112" s="1254"/>
      <c r="M112" s="1244"/>
      <c r="N112" s="1273"/>
      <c r="O112" s="1273"/>
      <c r="P112" s="1244"/>
      <c r="Q112" s="1244"/>
      <c r="R112" s="1244"/>
      <c r="S112" s="1265"/>
      <c r="T112" s="1244"/>
      <c r="U112" s="1244"/>
    </row>
    <row r="113">
      <c r="A113" s="1235"/>
      <c r="B113" s="1235"/>
      <c r="C113" s="1246" t="str">
        <f t="shared" si="7"/>
        <v/>
      </c>
      <c r="D113" s="1247" t="str">
        <f>IFERROR(__xludf.DUMMYFUNCTION("IF(
  B113="""",
  """",
  IFERROR(
    VLOOKUP(
      B113,
      QUERY(
        {IMPORTRANGE(""1Ag27m9YF5mMfJh2E6NipJDFvPLlDI1p-s_1XEnzMHcc"",""Merge!F2:R"")},
        ""select Col1, Col4"",
        0),2,FALSE),""""))"),"")</f>
        <v/>
      </c>
      <c r="E113" s="1248" t="str">
        <f>IFERROR(__xludf.DUMMYFUNCTION("IF(
  B113="""",
  """",
  IFERROR(
    VLOOKUP(
      B113,
      QUERY(
        {IMPORTRANGE(""1Ag27m9YF5mMfJh2E6NipJDFvPLlDI1p-s_1XEnzMHcc"",""Merge!F2:R"")},
        ""select Col1, Col10"",
        0
      ),
      2,
      FALSE
    ),
    """"
  )
)"&amp;"
"),"")</f>
        <v/>
      </c>
      <c r="F113" s="1248" t="str">
        <f>IFERROR(__xludf.DUMMYFUNCTION("IF(
  B113="""",
  """",
  IFERROR(
    VLOOKUP(
      B113,
      QUERY(
        {IMPORTRANGE(""1Ag27m9YF5mMfJh2E6NipJDFvPLlDI1p-s_1XEnzMHcc"",""Merge!F2:R"")},
        ""select Col1, Col12"",
        0
      ),2,FALSE),""""))"),"")</f>
        <v/>
      </c>
      <c r="G113" s="1271"/>
      <c r="H113" s="1250" t="str">
        <f>IFERROR(__xludf.DUMMYFUNCTION("IF(
  B113="""",
  """",
  IFERROR(
    VLOOKUP(
      B113,
      QUERY(
        {IMPORTRANGE(""1Ag27m9YF5mMfJh2E6NipJDFvPLlDI1p-s_1XEnzMHcc"",""Merge!F2:R"")},
        ""select Col1, Col9"",
        0
      ),
      2,
      FALSE
    ),""""))
"),"")</f>
        <v/>
      </c>
      <c r="I113" s="1251"/>
      <c r="J113" s="1270" t="str">
        <f t="shared" ref="J113:K113" si="20">E113</f>
        <v/>
      </c>
      <c r="K113" s="1253" t="str">
        <f t="shared" si="20"/>
        <v/>
      </c>
      <c r="L113" s="1254"/>
      <c r="M113" s="1244"/>
      <c r="N113" s="1273"/>
      <c r="O113" s="1273"/>
      <c r="P113" s="1244"/>
      <c r="Q113" s="1244"/>
      <c r="R113" s="1244"/>
      <c r="S113" s="1265"/>
      <c r="T113" s="1244"/>
      <c r="U113" s="1244"/>
    </row>
    <row r="114">
      <c r="A114" s="1235"/>
      <c r="B114" s="1235"/>
      <c r="C114" s="1246" t="str">
        <f t="shared" si="7"/>
        <v/>
      </c>
      <c r="D114" s="1247" t="str">
        <f>IFERROR(__xludf.DUMMYFUNCTION("IF(
  B114="""",
  """",
  IFERROR(
    VLOOKUP(
      B114,
      QUERY(
        {IMPORTRANGE(""1Ag27m9YF5mMfJh2E6NipJDFvPLlDI1p-s_1XEnzMHcc"",""Merge!F2:R"")},
        ""select Col1, Col4"",
        0),2,FALSE),""""))"),"")</f>
        <v/>
      </c>
      <c r="E114" s="1248" t="str">
        <f>IFERROR(__xludf.DUMMYFUNCTION("IF(
  B114="""",
  """",
  IFERROR(
    VLOOKUP(
      B114,
      QUERY(
        {IMPORTRANGE(""1Ag27m9YF5mMfJh2E6NipJDFvPLlDI1p-s_1XEnzMHcc"",""Merge!F2:R"")},
        ""select Col1, Col10"",
        0
      ),
      2,
      FALSE
    ),
    """"
  )
)"&amp;"
"),"")</f>
        <v/>
      </c>
      <c r="F114" s="1248" t="str">
        <f>IFERROR(__xludf.DUMMYFUNCTION("IF(
  B114="""",
  """",
  IFERROR(
    VLOOKUP(
      B114,
      QUERY(
        {IMPORTRANGE(""1Ag27m9YF5mMfJh2E6NipJDFvPLlDI1p-s_1XEnzMHcc"",""Merge!F2:R"")},
        ""select Col1, Col12"",
        0
      ),2,FALSE),""""))"),"")</f>
        <v/>
      </c>
      <c r="G114" s="1271"/>
      <c r="H114" s="1250" t="str">
        <f>IFERROR(__xludf.DUMMYFUNCTION("IF(
  B114="""",
  """",
  IFERROR(
    VLOOKUP(
      B114,
      QUERY(
        {IMPORTRANGE(""1Ag27m9YF5mMfJh2E6NipJDFvPLlDI1p-s_1XEnzMHcc"",""Merge!F2:R"")},
        ""select Col1, Col9"",
        0
      ),
      2,
      FALSE
    ),""""))
"),"")</f>
        <v/>
      </c>
      <c r="I114" s="1251"/>
      <c r="J114" s="1270" t="str">
        <f t="shared" ref="J114:K114" si="21">E114</f>
        <v/>
      </c>
      <c r="K114" s="1253" t="str">
        <f t="shared" si="21"/>
        <v/>
      </c>
      <c r="L114" s="1254"/>
      <c r="M114" s="1244"/>
      <c r="N114" s="1273"/>
      <c r="O114" s="1273"/>
      <c r="P114" s="1244"/>
      <c r="Q114" s="1244"/>
      <c r="R114" s="1244"/>
      <c r="S114" s="1265"/>
      <c r="T114" s="1244"/>
      <c r="U114" s="1244"/>
    </row>
    <row r="115">
      <c r="A115" s="1235"/>
      <c r="B115" s="1235"/>
      <c r="C115" s="1246" t="str">
        <f t="shared" si="7"/>
        <v/>
      </c>
      <c r="D115" s="1274"/>
      <c r="E115" s="1248"/>
      <c r="F115" s="1248"/>
      <c r="G115" s="1271"/>
      <c r="H115" s="1250" t="str">
        <f>IFERROR(__xludf.DUMMYFUNCTION("IF(
  B115="""",
  """",
  IFERROR(
    VLOOKUP(
      B115,
      QUERY(
        {IMPORTRANGE(""1Ag27m9YF5mMfJh2E6NipJDFvPLlDI1p-s_1XEnzMHcc"",""Merge!F2:R"")},
        ""select Col1, Col9"",
        0
      ),
      2,
      FALSE
    ),""""))
"),"")</f>
        <v/>
      </c>
      <c r="I115" s="1251"/>
      <c r="J115" s="1270" t="str">
        <f t="shared" ref="J115:K115" si="22">E115</f>
        <v/>
      </c>
      <c r="K115" s="1253" t="str">
        <f t="shared" si="22"/>
        <v/>
      </c>
      <c r="L115" s="1254"/>
      <c r="M115" s="1244"/>
      <c r="N115" s="1273"/>
      <c r="O115" s="1273"/>
      <c r="P115" s="1244"/>
      <c r="Q115" s="1244"/>
      <c r="R115" s="1244"/>
      <c r="S115" s="1265"/>
      <c r="T115" s="1244"/>
      <c r="U115" s="1244"/>
    </row>
    <row r="116">
      <c r="A116" s="1235"/>
      <c r="B116" s="1235"/>
      <c r="C116" s="1246" t="str">
        <f t="shared" si="7"/>
        <v/>
      </c>
      <c r="D116" s="1274"/>
      <c r="E116" s="1248"/>
      <c r="F116" s="1248"/>
      <c r="G116" s="1271"/>
      <c r="H116" s="1250" t="str">
        <f>IFERROR(__xludf.DUMMYFUNCTION("IF(
  B116="""",
  """",
  IFERROR(
    VLOOKUP(
      B116,
      QUERY(
        {IMPORTRANGE(""1Ag27m9YF5mMfJh2E6NipJDFvPLlDI1p-s_1XEnzMHcc"",""Merge!F2:R"")},
        ""select Col1, Col9"",
        0
      ),
      2,
      FALSE
    ),""""))
"),"")</f>
        <v/>
      </c>
      <c r="I116" s="1251"/>
      <c r="J116" s="1270" t="str">
        <f t="shared" ref="J116:K116" si="23">E116</f>
        <v/>
      </c>
      <c r="K116" s="1253" t="str">
        <f t="shared" si="23"/>
        <v/>
      </c>
      <c r="L116" s="1254"/>
      <c r="M116" s="1244"/>
      <c r="N116" s="1273"/>
      <c r="O116" s="1273"/>
      <c r="P116" s="1244"/>
      <c r="Q116" s="1244"/>
      <c r="R116" s="1244"/>
      <c r="S116" s="1265"/>
      <c r="T116" s="1244"/>
      <c r="U116" s="1244"/>
    </row>
    <row r="117">
      <c r="A117" s="1235"/>
      <c r="B117" s="1235"/>
      <c r="C117" s="1246" t="str">
        <f t="shared" si="7"/>
        <v/>
      </c>
      <c r="D117" s="1274"/>
      <c r="E117" s="1248"/>
      <c r="F117" s="1248"/>
      <c r="G117" s="1271"/>
      <c r="H117" s="1250" t="str">
        <f>IFERROR(__xludf.DUMMYFUNCTION("IF(
  B117="""",
  """",
  IFERROR(
    VLOOKUP(
      B117,
      QUERY(
        {IMPORTRANGE(""1Ag27m9YF5mMfJh2E6NipJDFvPLlDI1p-s_1XEnzMHcc"",""Merge!F2:R"")},
        ""select Col1, Col9"",
        0
      ),
      2,
      FALSE
    ),""""))
"),"")</f>
        <v/>
      </c>
      <c r="I117" s="1251"/>
      <c r="J117" s="1270" t="str">
        <f t="shared" ref="J117:K117" si="24">E117</f>
        <v/>
      </c>
      <c r="K117" s="1253" t="str">
        <f t="shared" si="24"/>
        <v/>
      </c>
      <c r="L117" s="1254"/>
      <c r="M117" s="1244"/>
      <c r="N117" s="1273"/>
      <c r="O117" s="1273"/>
      <c r="P117" s="1244"/>
      <c r="Q117" s="1244"/>
      <c r="R117" s="1244"/>
      <c r="S117" s="1265"/>
      <c r="T117" s="1244"/>
      <c r="U117" s="1244"/>
    </row>
    <row r="118">
      <c r="A118" s="1235"/>
      <c r="B118" s="1235"/>
      <c r="C118" s="1246" t="str">
        <f t="shared" si="7"/>
        <v/>
      </c>
      <c r="D118" s="1274"/>
      <c r="E118" s="1248"/>
      <c r="F118" s="1248"/>
      <c r="G118" s="1271"/>
      <c r="H118" s="1250" t="str">
        <f>IFERROR(__xludf.DUMMYFUNCTION("IF(
  B118="""",
  """",
  IFERROR(
    VLOOKUP(
      B118,
      QUERY(
        {IMPORTRANGE(""1Ag27m9YF5mMfJh2E6NipJDFvPLlDI1p-s_1XEnzMHcc"",""Merge!F2:R"")},
        ""select Col1, Col9"",
        0
      ),
      2,
      FALSE
    ),""""))
"),"")</f>
        <v/>
      </c>
      <c r="I118" s="1251"/>
      <c r="J118" s="1270" t="str">
        <f t="shared" ref="J118:K118" si="25">E118</f>
        <v/>
      </c>
      <c r="K118" s="1253" t="str">
        <f t="shared" si="25"/>
        <v/>
      </c>
      <c r="L118" s="1254"/>
      <c r="M118" s="1244"/>
      <c r="N118" s="1273"/>
      <c r="O118" s="1273"/>
      <c r="P118" s="1244"/>
      <c r="Q118" s="1244"/>
      <c r="R118" s="1244"/>
      <c r="S118" s="1265"/>
      <c r="T118" s="1244"/>
      <c r="U118" s="1244"/>
    </row>
    <row r="119">
      <c r="A119" s="1235"/>
      <c r="B119" s="1235"/>
      <c r="C119" s="1246" t="str">
        <f t="shared" si="7"/>
        <v/>
      </c>
      <c r="D119" s="1274"/>
      <c r="E119" s="1248"/>
      <c r="F119" s="1248"/>
      <c r="G119" s="1271"/>
      <c r="H119" s="1250" t="str">
        <f>IFERROR(__xludf.DUMMYFUNCTION("IF(
  B119="""",
  """",
  IFERROR(
    VLOOKUP(
      B119,
      QUERY(
        {IMPORTRANGE(""1Ag27m9YF5mMfJh2E6NipJDFvPLlDI1p-s_1XEnzMHcc"",""Merge!F2:R"")},
        ""select Col1, Col9"",
        0
      ),
      2,
      FALSE
    ),""""))
"),"")</f>
        <v/>
      </c>
      <c r="I119" s="1251"/>
      <c r="J119" s="1270" t="str">
        <f t="shared" ref="J119:K119" si="26">E119</f>
        <v/>
      </c>
      <c r="K119" s="1253" t="str">
        <f t="shared" si="26"/>
        <v/>
      </c>
      <c r="L119" s="1254"/>
      <c r="M119" s="1244"/>
      <c r="N119" s="1273"/>
      <c r="O119" s="1273"/>
      <c r="P119" s="1244"/>
      <c r="Q119" s="1244"/>
      <c r="R119" s="1244"/>
      <c r="S119" s="1265"/>
      <c r="T119" s="1244"/>
      <c r="U119" s="1244"/>
    </row>
    <row r="120">
      <c r="A120" s="1235"/>
      <c r="B120" s="1235"/>
      <c r="C120" s="1246" t="str">
        <f t="shared" si="7"/>
        <v/>
      </c>
      <c r="D120" s="1274"/>
      <c r="E120" s="1248"/>
      <c r="F120" s="1248"/>
      <c r="G120" s="1271"/>
      <c r="H120" s="1250" t="str">
        <f>IFERROR(__xludf.DUMMYFUNCTION("IF(
  B120="""",
  """",
  IFERROR(
    VLOOKUP(
      B120,
      QUERY(
        {IMPORTRANGE(""1Ag27m9YF5mMfJh2E6NipJDFvPLlDI1p-s_1XEnzMHcc"",""Merge!F2:R"")},
        ""select Col1, Col9"",
        0
      ),
      2,
      FALSE
    ),""""))
"),"")</f>
        <v/>
      </c>
      <c r="I120" s="1251"/>
      <c r="J120" s="1270" t="str">
        <f t="shared" ref="J120:K120" si="27">E120</f>
        <v/>
      </c>
      <c r="K120" s="1253" t="str">
        <f t="shared" si="27"/>
        <v/>
      </c>
      <c r="L120" s="1254"/>
      <c r="M120" s="1244"/>
      <c r="N120" s="1273"/>
      <c r="O120" s="1273"/>
      <c r="P120" s="1244"/>
      <c r="Q120" s="1244"/>
      <c r="R120" s="1244"/>
      <c r="S120" s="1265"/>
      <c r="T120" s="1244"/>
      <c r="U120" s="1244"/>
    </row>
    <row r="121">
      <c r="A121" s="1235"/>
      <c r="B121" s="1235"/>
      <c r="C121" s="1246" t="str">
        <f t="shared" si="7"/>
        <v/>
      </c>
      <c r="D121" s="1274"/>
      <c r="E121" s="1248"/>
      <c r="F121" s="1248"/>
      <c r="G121" s="1271"/>
      <c r="H121" s="1250" t="str">
        <f>IFERROR(__xludf.DUMMYFUNCTION("IF(
  B121="""",
  """",
  IFERROR(
    VLOOKUP(
      B121,
      QUERY(
        {IMPORTRANGE(""1Ag27m9YF5mMfJh2E6NipJDFvPLlDI1p-s_1XEnzMHcc"",""Merge!F2:R"")},
        ""select Col1, Col9"",
        0
      ),
      2,
      FALSE
    ),""""))
"),"")</f>
        <v/>
      </c>
      <c r="I121" s="1251"/>
      <c r="J121" s="1270" t="str">
        <f t="shared" ref="J121:K121" si="28">E121</f>
        <v/>
      </c>
      <c r="K121" s="1253" t="str">
        <f t="shared" si="28"/>
        <v/>
      </c>
      <c r="L121" s="1254"/>
      <c r="M121" s="1244"/>
      <c r="N121" s="1273"/>
      <c r="O121" s="1273"/>
      <c r="P121" s="1244"/>
      <c r="Q121" s="1244"/>
      <c r="R121" s="1244"/>
      <c r="S121" s="1265"/>
      <c r="T121" s="1244"/>
      <c r="U121" s="1244"/>
    </row>
    <row r="122">
      <c r="A122" s="1235"/>
      <c r="B122" s="1235"/>
      <c r="C122" s="1246" t="str">
        <f t="shared" si="7"/>
        <v/>
      </c>
      <c r="D122" s="1274"/>
      <c r="E122" s="1248"/>
      <c r="F122" s="1248"/>
      <c r="G122" s="1271"/>
      <c r="H122" s="1250" t="str">
        <f>IFERROR(__xludf.DUMMYFUNCTION("IF(
  B122="""",
  """",
  IFERROR(
    VLOOKUP(
      B122,
      QUERY(
        {IMPORTRANGE(""1Ag27m9YF5mMfJh2E6NipJDFvPLlDI1p-s_1XEnzMHcc"",""Merge!F2:R"")},
        ""select Col1, Col9"",
        0
      ),
      2,
      FALSE
    ),""""))
"),"")</f>
        <v/>
      </c>
      <c r="I122" s="1251"/>
      <c r="J122" s="1270" t="str">
        <f t="shared" ref="J122:K122" si="29">E122</f>
        <v/>
      </c>
      <c r="K122" s="1253" t="str">
        <f t="shared" si="29"/>
        <v/>
      </c>
      <c r="L122" s="1254"/>
      <c r="M122" s="1244"/>
      <c r="N122" s="1273"/>
      <c r="O122" s="1273"/>
      <c r="P122" s="1244"/>
      <c r="Q122" s="1244"/>
      <c r="R122" s="1244"/>
      <c r="S122" s="1265"/>
      <c r="T122" s="1244"/>
      <c r="U122" s="1244"/>
    </row>
    <row r="123">
      <c r="A123" s="1235"/>
      <c r="B123" s="1235"/>
      <c r="C123" s="1246" t="str">
        <f t="shared" si="7"/>
        <v/>
      </c>
      <c r="D123" s="1274"/>
      <c r="E123" s="1248"/>
      <c r="F123" s="1248"/>
      <c r="G123" s="1271"/>
      <c r="H123" s="1250" t="str">
        <f>IFERROR(__xludf.DUMMYFUNCTION("IF(
  B123="""",
  """",
  IFERROR(
    VLOOKUP(
      B123,
      QUERY(
        {IMPORTRANGE(""1Ag27m9YF5mMfJh2E6NipJDFvPLlDI1p-s_1XEnzMHcc"",""Merge!F2:R"")},
        ""select Col1, Col9"",
        0
      ),
      2,
      FALSE
    ),""""))
"),"")</f>
        <v/>
      </c>
      <c r="I123" s="1251"/>
      <c r="J123" s="1270" t="str">
        <f t="shared" ref="J123:K123" si="30">E123</f>
        <v/>
      </c>
      <c r="K123" s="1253" t="str">
        <f t="shared" si="30"/>
        <v/>
      </c>
      <c r="L123" s="1254"/>
      <c r="M123" s="1244"/>
      <c r="N123" s="1273"/>
      <c r="O123" s="1273"/>
      <c r="P123" s="1244"/>
      <c r="Q123" s="1244"/>
      <c r="R123" s="1244"/>
      <c r="S123" s="1265"/>
      <c r="T123" s="1244"/>
      <c r="U123" s="1244"/>
    </row>
    <row r="124">
      <c r="A124" s="1235"/>
      <c r="B124" s="1235"/>
      <c r="C124" s="1246" t="str">
        <f t="shared" si="7"/>
        <v/>
      </c>
      <c r="D124" s="1274"/>
      <c r="E124" s="1248"/>
      <c r="F124" s="1248"/>
      <c r="G124" s="1271"/>
      <c r="H124" s="1250" t="str">
        <f>IFERROR(__xludf.DUMMYFUNCTION("IF(
  B124="""",
  """",
  IFERROR(
    VLOOKUP(
      B124,
      QUERY(
        {IMPORTRANGE(""1Ag27m9YF5mMfJh2E6NipJDFvPLlDI1p-s_1XEnzMHcc"",""Merge!F2:R"")},
        ""select Col1, Col9"",
        0
      ),
      2,
      FALSE
    ),""""))
"),"")</f>
        <v/>
      </c>
      <c r="I124" s="1251"/>
      <c r="J124" s="1270" t="str">
        <f t="shared" ref="J124:K124" si="31">E124</f>
        <v/>
      </c>
      <c r="K124" s="1253" t="str">
        <f t="shared" si="31"/>
        <v/>
      </c>
      <c r="L124" s="1254"/>
      <c r="M124" s="1244"/>
      <c r="N124" s="1273"/>
      <c r="O124" s="1273"/>
      <c r="P124" s="1244"/>
      <c r="Q124" s="1244"/>
      <c r="R124" s="1244"/>
      <c r="S124" s="1265"/>
      <c r="T124" s="1244"/>
      <c r="U124" s="1244"/>
    </row>
    <row r="125">
      <c r="A125" s="1235"/>
      <c r="B125" s="1235"/>
      <c r="C125" s="1246" t="str">
        <f t="shared" si="7"/>
        <v/>
      </c>
      <c r="D125" s="1274"/>
      <c r="E125" s="1248"/>
      <c r="F125" s="1248"/>
      <c r="G125" s="1271"/>
      <c r="H125" s="1250" t="str">
        <f>IFERROR(__xludf.DUMMYFUNCTION("IF(
  B125="""",
  """",
  IFERROR(
    VLOOKUP(
      B125,
      QUERY(
        {IMPORTRANGE(""1Ag27m9YF5mMfJh2E6NipJDFvPLlDI1p-s_1XEnzMHcc"",""Merge!F2:R"")},
        ""select Col1, Col9"",
        0
      ),
      2,
      FALSE
    ),""""))
"),"")</f>
        <v/>
      </c>
      <c r="I125" s="1251"/>
      <c r="J125" s="1270" t="str">
        <f t="shared" ref="J125:K125" si="32">E125</f>
        <v/>
      </c>
      <c r="K125" s="1253" t="str">
        <f t="shared" si="32"/>
        <v/>
      </c>
      <c r="L125" s="1254"/>
      <c r="M125" s="1244"/>
      <c r="N125" s="1273"/>
      <c r="O125" s="1273"/>
      <c r="P125" s="1244"/>
      <c r="Q125" s="1244"/>
      <c r="R125" s="1244"/>
      <c r="S125" s="1265"/>
      <c r="T125" s="1244"/>
      <c r="U125" s="1244"/>
    </row>
    <row r="126">
      <c r="A126" s="1235"/>
      <c r="B126" s="1235"/>
      <c r="C126" s="1246" t="str">
        <f t="shared" si="7"/>
        <v/>
      </c>
      <c r="D126" s="1274"/>
      <c r="E126" s="1248"/>
      <c r="F126" s="1248"/>
      <c r="G126" s="1271"/>
      <c r="H126" s="1250" t="str">
        <f>IFERROR(__xludf.DUMMYFUNCTION("IF(
  B126="""",
  """",
  IFERROR(
    VLOOKUP(
      B126,
      QUERY(
        {IMPORTRANGE(""1Ag27m9YF5mMfJh2E6NipJDFvPLlDI1p-s_1XEnzMHcc"",""Merge!F2:R"")},
        ""select Col1, Col9"",
        0
      ),
      2,
      FALSE
    ),""""))
"),"")</f>
        <v/>
      </c>
      <c r="I126" s="1251"/>
      <c r="J126" s="1270" t="str">
        <f t="shared" ref="J126:K126" si="33">E126</f>
        <v/>
      </c>
      <c r="K126" s="1253" t="str">
        <f t="shared" si="33"/>
        <v/>
      </c>
      <c r="L126" s="1254"/>
      <c r="M126" s="1244"/>
      <c r="N126" s="1273"/>
      <c r="O126" s="1273"/>
      <c r="P126" s="1244"/>
      <c r="Q126" s="1244"/>
      <c r="R126" s="1244"/>
      <c r="S126" s="1265"/>
      <c r="T126" s="1244"/>
      <c r="U126" s="1244"/>
    </row>
    <row r="127">
      <c r="A127" s="1235"/>
      <c r="B127" s="1235"/>
      <c r="C127" s="1246" t="str">
        <f t="shared" si="7"/>
        <v/>
      </c>
      <c r="D127" s="1274"/>
      <c r="E127" s="1248"/>
      <c r="F127" s="1248"/>
      <c r="G127" s="1271"/>
      <c r="H127" s="1250" t="str">
        <f>IFERROR(__xludf.DUMMYFUNCTION("IF(
  B127="""",
  """",
  IFERROR(
    VLOOKUP(
      B127,
      QUERY(
        {IMPORTRANGE(""1Ag27m9YF5mMfJh2E6NipJDFvPLlDI1p-s_1XEnzMHcc"",""Merge!F2:R"")},
        ""select Col1, Col9"",
        0
      ),
      2,
      FALSE
    ),""""))
"),"")</f>
        <v/>
      </c>
      <c r="I127" s="1251"/>
      <c r="J127" s="1270" t="str">
        <f t="shared" ref="J127:K127" si="34">E127</f>
        <v/>
      </c>
      <c r="K127" s="1253" t="str">
        <f t="shared" si="34"/>
        <v/>
      </c>
      <c r="L127" s="1254"/>
      <c r="M127" s="1244"/>
      <c r="N127" s="1273"/>
      <c r="O127" s="1273"/>
      <c r="P127" s="1244"/>
      <c r="Q127" s="1244"/>
      <c r="R127" s="1244"/>
      <c r="S127" s="1265"/>
      <c r="T127" s="1244"/>
      <c r="U127" s="1244"/>
    </row>
    <row r="128">
      <c r="A128" s="1235"/>
      <c r="B128" s="1235"/>
      <c r="C128" s="1246" t="str">
        <f t="shared" si="7"/>
        <v/>
      </c>
      <c r="D128" s="1274"/>
      <c r="E128" s="1248"/>
      <c r="F128" s="1248"/>
      <c r="G128" s="1271"/>
      <c r="H128" s="1250" t="str">
        <f>IFERROR(__xludf.DUMMYFUNCTION("IF(
  B128="""",
  """",
  IFERROR(
    VLOOKUP(
      B128,
      QUERY(
        {IMPORTRANGE(""1Ag27m9YF5mMfJh2E6NipJDFvPLlDI1p-s_1XEnzMHcc"",""Merge!F2:R"")},
        ""select Col1, Col9"",
        0
      ),
      2,
      FALSE
    ),""""))
"),"")</f>
        <v/>
      </c>
      <c r="I128" s="1251"/>
      <c r="J128" s="1270" t="str">
        <f t="shared" ref="J128:K128" si="35">E128</f>
        <v/>
      </c>
      <c r="K128" s="1253" t="str">
        <f t="shared" si="35"/>
        <v/>
      </c>
      <c r="L128" s="1254"/>
      <c r="M128" s="1244"/>
      <c r="N128" s="1273"/>
      <c r="O128" s="1273"/>
      <c r="P128" s="1244"/>
      <c r="Q128" s="1244"/>
      <c r="R128" s="1244"/>
      <c r="S128" s="1265"/>
      <c r="T128" s="1244"/>
      <c r="U128" s="1244"/>
    </row>
    <row r="129">
      <c r="A129" s="1235"/>
      <c r="B129" s="1235"/>
      <c r="C129" s="1246" t="str">
        <f t="shared" si="7"/>
        <v/>
      </c>
      <c r="D129" s="1274"/>
      <c r="E129" s="1248"/>
      <c r="F129" s="1248"/>
      <c r="G129" s="1271"/>
      <c r="H129" s="1250" t="str">
        <f>IFERROR(__xludf.DUMMYFUNCTION("IF(
  B129="""",
  """",
  IFERROR(
    VLOOKUP(
      B129,
      QUERY(
        {IMPORTRANGE(""1Ag27m9YF5mMfJh2E6NipJDFvPLlDI1p-s_1XEnzMHcc"",""Merge!F2:R"")},
        ""select Col1, Col9"",
        0
      ),
      2,
      FALSE
    ),""""))
"),"")</f>
        <v/>
      </c>
      <c r="I129" s="1251"/>
      <c r="J129" s="1270" t="str">
        <f t="shared" ref="J129:K129" si="36">E129</f>
        <v/>
      </c>
      <c r="K129" s="1253" t="str">
        <f t="shared" si="36"/>
        <v/>
      </c>
      <c r="L129" s="1254"/>
      <c r="M129" s="1244"/>
      <c r="N129" s="1273"/>
      <c r="O129" s="1273"/>
      <c r="P129" s="1244"/>
      <c r="Q129" s="1244"/>
      <c r="R129" s="1244"/>
      <c r="S129" s="1265"/>
      <c r="T129" s="1244"/>
      <c r="U129" s="1244"/>
    </row>
    <row r="130">
      <c r="A130" s="1235"/>
      <c r="B130" s="1235"/>
      <c r="C130" s="1246" t="str">
        <f t="shared" si="7"/>
        <v/>
      </c>
      <c r="D130" s="1274"/>
      <c r="E130" s="1248"/>
      <c r="F130" s="1248"/>
      <c r="G130" s="1271"/>
      <c r="H130" s="1250" t="str">
        <f>IFERROR(__xludf.DUMMYFUNCTION("IF(
  B130="""",
  """",
  IFERROR(
    VLOOKUP(
      B130,
      QUERY(
        {IMPORTRANGE(""1Ag27m9YF5mMfJh2E6NipJDFvPLlDI1p-s_1XEnzMHcc"",""Merge!F2:R"")},
        ""select Col1, Col9"",
        0
      ),
      2,
      FALSE
    ),""""))
"),"")</f>
        <v/>
      </c>
      <c r="I130" s="1251"/>
      <c r="J130" s="1270" t="str">
        <f t="shared" ref="J130:K130" si="37">E130</f>
        <v/>
      </c>
      <c r="K130" s="1253" t="str">
        <f t="shared" si="37"/>
        <v/>
      </c>
      <c r="L130" s="1254"/>
      <c r="M130" s="1244"/>
      <c r="N130" s="1273"/>
      <c r="O130" s="1273"/>
      <c r="P130" s="1244"/>
      <c r="Q130" s="1244"/>
      <c r="R130" s="1244"/>
      <c r="S130" s="1265"/>
      <c r="T130" s="1244"/>
      <c r="U130" s="1244"/>
    </row>
    <row r="131">
      <c r="A131" s="1235"/>
      <c r="B131" s="1235"/>
      <c r="C131" s="1246" t="str">
        <f t="shared" si="7"/>
        <v/>
      </c>
      <c r="D131" s="1274"/>
      <c r="E131" s="1248"/>
      <c r="F131" s="1248"/>
      <c r="G131" s="1271"/>
      <c r="H131" s="1250" t="str">
        <f>IFERROR(__xludf.DUMMYFUNCTION("IF(
  B131="""",
  """",
  IFERROR(
    VLOOKUP(
      B131,
      QUERY(
        {IMPORTRANGE(""1Ag27m9YF5mMfJh2E6NipJDFvPLlDI1p-s_1XEnzMHcc"",""Merge!F2:R"")},
        ""select Col1, Col9"",
        0
      ),
      2,
      FALSE
    ),""""))
"),"")</f>
        <v/>
      </c>
      <c r="I131" s="1251"/>
      <c r="J131" s="1270" t="str">
        <f t="shared" ref="J131:K131" si="38">E131</f>
        <v/>
      </c>
      <c r="K131" s="1253" t="str">
        <f t="shared" si="38"/>
        <v/>
      </c>
      <c r="L131" s="1254"/>
      <c r="M131" s="1244"/>
      <c r="N131" s="1273"/>
      <c r="O131" s="1273"/>
      <c r="P131" s="1244"/>
      <c r="Q131" s="1244"/>
      <c r="R131" s="1244"/>
      <c r="S131" s="1265"/>
      <c r="T131" s="1244"/>
      <c r="U131" s="1244"/>
    </row>
    <row r="132">
      <c r="A132" s="1235"/>
      <c r="B132" s="1235"/>
      <c r="C132" s="1246" t="str">
        <f t="shared" si="7"/>
        <v/>
      </c>
      <c r="D132" s="1274"/>
      <c r="E132" s="1248"/>
      <c r="F132" s="1248"/>
      <c r="G132" s="1271"/>
      <c r="H132" s="1250" t="str">
        <f>IFERROR(__xludf.DUMMYFUNCTION("IF(
  B132="""",
  """",
  IFERROR(
    VLOOKUP(
      B132,
      QUERY(
        {IMPORTRANGE(""1Ag27m9YF5mMfJh2E6NipJDFvPLlDI1p-s_1XEnzMHcc"",""Merge!F2:R"")},
        ""select Col1, Col9"",
        0
      ),
      2,
      FALSE
    ),""""))
"),"")</f>
        <v/>
      </c>
      <c r="I132" s="1251"/>
      <c r="J132" s="1270" t="str">
        <f t="shared" ref="J132:K132" si="39">E132</f>
        <v/>
      </c>
      <c r="K132" s="1253" t="str">
        <f t="shared" si="39"/>
        <v/>
      </c>
      <c r="L132" s="1254"/>
      <c r="M132" s="1244"/>
      <c r="N132" s="1273"/>
      <c r="O132" s="1273"/>
      <c r="P132" s="1244"/>
      <c r="Q132" s="1244"/>
      <c r="R132" s="1244"/>
      <c r="S132" s="1265"/>
      <c r="T132" s="1244"/>
      <c r="U132" s="1244"/>
    </row>
    <row r="133">
      <c r="A133" s="1235"/>
      <c r="B133" s="1235"/>
      <c r="C133" s="1246" t="str">
        <f t="shared" si="7"/>
        <v/>
      </c>
      <c r="D133" s="1274"/>
      <c r="E133" s="1248"/>
      <c r="F133" s="1248"/>
      <c r="G133" s="1271"/>
      <c r="H133" s="1250" t="str">
        <f>IFERROR(__xludf.DUMMYFUNCTION("IF(
  B133="""",
  """",
  IFERROR(
    VLOOKUP(
      B133,
      QUERY(
        {IMPORTRANGE(""1Ag27m9YF5mMfJh2E6NipJDFvPLlDI1p-s_1XEnzMHcc"",""Merge!F2:R"")},
        ""select Col1, Col9"",
        0
      ),
      2,
      FALSE
    ),""""))
"),"")</f>
        <v/>
      </c>
      <c r="I133" s="1251"/>
      <c r="J133" s="1270" t="str">
        <f t="shared" ref="J133:K133" si="40">E133</f>
        <v/>
      </c>
      <c r="K133" s="1253" t="str">
        <f t="shared" si="40"/>
        <v/>
      </c>
      <c r="L133" s="1254"/>
      <c r="M133" s="1244"/>
      <c r="N133" s="1273"/>
      <c r="O133" s="1273"/>
      <c r="P133" s="1244"/>
      <c r="Q133" s="1244"/>
      <c r="R133" s="1244"/>
      <c r="S133" s="1265"/>
      <c r="T133" s="1244"/>
      <c r="U133" s="1244"/>
    </row>
    <row r="134">
      <c r="A134" s="1235"/>
      <c r="B134" s="1235"/>
      <c r="C134" s="1246" t="str">
        <f t="shared" si="7"/>
        <v/>
      </c>
      <c r="D134" s="1274"/>
      <c r="E134" s="1248"/>
      <c r="F134" s="1248"/>
      <c r="G134" s="1271"/>
      <c r="H134" s="1250"/>
      <c r="I134" s="1251"/>
      <c r="J134" s="1270" t="str">
        <f t="shared" ref="J134:K134" si="41">E134</f>
        <v/>
      </c>
      <c r="K134" s="1253" t="str">
        <f t="shared" si="41"/>
        <v/>
      </c>
      <c r="L134" s="1254"/>
      <c r="M134" s="1244"/>
      <c r="N134" s="1273"/>
      <c r="O134" s="1273"/>
      <c r="P134" s="1244"/>
      <c r="Q134" s="1244"/>
      <c r="R134" s="1244"/>
      <c r="S134" s="1265"/>
      <c r="T134" s="1244"/>
      <c r="U134" s="1244"/>
    </row>
    <row r="135">
      <c r="A135" s="1235"/>
      <c r="B135" s="1235"/>
      <c r="C135" s="1246" t="str">
        <f t="shared" si="7"/>
        <v/>
      </c>
      <c r="D135" s="1274"/>
      <c r="E135" s="1248"/>
      <c r="F135" s="1248"/>
      <c r="G135" s="1271"/>
      <c r="H135" s="1250"/>
      <c r="I135" s="1251"/>
      <c r="J135" s="1270" t="str">
        <f t="shared" ref="J135:K135" si="42">E135</f>
        <v/>
      </c>
      <c r="K135" s="1253" t="str">
        <f t="shared" si="42"/>
        <v/>
      </c>
      <c r="L135" s="1254"/>
      <c r="M135" s="1244"/>
      <c r="N135" s="1273"/>
      <c r="O135" s="1273"/>
      <c r="P135" s="1244"/>
      <c r="Q135" s="1244"/>
      <c r="R135" s="1244"/>
      <c r="S135" s="1265"/>
      <c r="T135" s="1244"/>
      <c r="U135" s="1244"/>
    </row>
    <row r="136">
      <c r="A136" s="1235"/>
      <c r="B136" s="1235"/>
      <c r="C136" s="1246" t="str">
        <f t="shared" si="7"/>
        <v/>
      </c>
      <c r="D136" s="1274"/>
      <c r="E136" s="1248"/>
      <c r="F136" s="1248"/>
      <c r="G136" s="1271"/>
      <c r="H136" s="1250"/>
      <c r="I136" s="1251"/>
      <c r="J136" s="1270" t="str">
        <f t="shared" ref="J136:K136" si="43">E136</f>
        <v/>
      </c>
      <c r="K136" s="1253" t="str">
        <f t="shared" si="43"/>
        <v/>
      </c>
      <c r="L136" s="1254"/>
      <c r="M136" s="1244"/>
      <c r="N136" s="1273"/>
      <c r="O136" s="1273"/>
      <c r="P136" s="1244"/>
      <c r="Q136" s="1244"/>
      <c r="R136" s="1244"/>
      <c r="S136" s="1265"/>
      <c r="T136" s="1244"/>
      <c r="U136" s="1244"/>
    </row>
    <row r="137">
      <c r="A137" s="1235"/>
      <c r="B137" s="1235"/>
      <c r="C137" s="1246" t="str">
        <f t="shared" si="7"/>
        <v/>
      </c>
      <c r="D137" s="1274"/>
      <c r="E137" s="1248"/>
      <c r="F137" s="1248"/>
      <c r="G137" s="1271"/>
      <c r="H137" s="1250"/>
      <c r="I137" s="1251"/>
      <c r="J137" s="1270" t="str">
        <f t="shared" ref="J137:K137" si="44">E137</f>
        <v/>
      </c>
      <c r="K137" s="1253" t="str">
        <f t="shared" si="44"/>
        <v/>
      </c>
      <c r="L137" s="1254"/>
      <c r="M137" s="1244"/>
      <c r="N137" s="1273"/>
      <c r="O137" s="1273"/>
      <c r="P137" s="1244"/>
      <c r="Q137" s="1244"/>
      <c r="R137" s="1244"/>
      <c r="S137" s="1265"/>
      <c r="T137" s="1244"/>
      <c r="U137" s="1244"/>
    </row>
    <row r="138">
      <c r="A138" s="1235"/>
      <c r="B138" s="1235"/>
      <c r="C138" s="1246" t="str">
        <f t="shared" si="7"/>
        <v/>
      </c>
      <c r="D138" s="1274"/>
      <c r="E138" s="1248"/>
      <c r="F138" s="1248"/>
      <c r="G138" s="1271"/>
      <c r="H138" s="1250"/>
      <c r="I138" s="1251"/>
      <c r="J138" s="1270" t="str">
        <f t="shared" ref="J138:K138" si="45">E138</f>
        <v/>
      </c>
      <c r="K138" s="1253" t="str">
        <f t="shared" si="45"/>
        <v/>
      </c>
      <c r="L138" s="1254"/>
      <c r="M138" s="1244"/>
      <c r="N138" s="1273"/>
      <c r="O138" s="1273"/>
      <c r="P138" s="1244"/>
      <c r="Q138" s="1244"/>
      <c r="R138" s="1244"/>
      <c r="S138" s="1265"/>
      <c r="T138" s="1244"/>
      <c r="U138" s="1244"/>
    </row>
    <row r="139">
      <c r="A139" s="1235"/>
      <c r="B139" s="1235"/>
      <c r="C139" s="1246" t="str">
        <f t="shared" si="7"/>
        <v/>
      </c>
      <c r="D139" s="1274"/>
      <c r="E139" s="1248"/>
      <c r="F139" s="1248"/>
      <c r="G139" s="1271"/>
      <c r="H139" s="1250"/>
      <c r="I139" s="1251"/>
      <c r="J139" s="1270" t="str">
        <f t="shared" ref="J139:K139" si="46">E139</f>
        <v/>
      </c>
      <c r="K139" s="1253" t="str">
        <f t="shared" si="46"/>
        <v/>
      </c>
      <c r="L139" s="1254"/>
      <c r="M139" s="1244"/>
      <c r="N139" s="1273"/>
      <c r="O139" s="1273"/>
      <c r="P139" s="1244"/>
      <c r="Q139" s="1244"/>
      <c r="R139" s="1244"/>
      <c r="S139" s="1265"/>
      <c r="T139" s="1244"/>
      <c r="U139" s="1244"/>
    </row>
    <row r="140">
      <c r="A140" s="1235"/>
      <c r="B140" s="1235"/>
      <c r="C140" s="1246" t="str">
        <f t="shared" si="7"/>
        <v/>
      </c>
      <c r="D140" s="1274"/>
      <c r="E140" s="1248"/>
      <c r="F140" s="1248"/>
      <c r="G140" s="1271"/>
      <c r="H140" s="1250"/>
      <c r="I140" s="1251"/>
      <c r="J140" s="1270" t="str">
        <f t="shared" ref="J140:K140" si="47">E140</f>
        <v/>
      </c>
      <c r="K140" s="1253" t="str">
        <f t="shared" si="47"/>
        <v/>
      </c>
      <c r="L140" s="1254"/>
      <c r="M140" s="1244"/>
      <c r="N140" s="1273"/>
      <c r="O140" s="1273"/>
      <c r="P140" s="1244"/>
      <c r="Q140" s="1244"/>
      <c r="R140" s="1244"/>
      <c r="S140" s="1265"/>
      <c r="T140" s="1244"/>
      <c r="U140" s="1244"/>
    </row>
    <row r="141">
      <c r="A141" s="1235"/>
      <c r="B141" s="1235"/>
      <c r="C141" s="1246" t="str">
        <f t="shared" si="7"/>
        <v/>
      </c>
      <c r="D141" s="1274"/>
      <c r="E141" s="1248"/>
      <c r="F141" s="1248"/>
      <c r="G141" s="1271"/>
      <c r="H141" s="1250"/>
      <c r="I141" s="1251"/>
      <c r="J141" s="1270" t="str">
        <f t="shared" ref="J141:K141" si="48">E141</f>
        <v/>
      </c>
      <c r="K141" s="1253" t="str">
        <f t="shared" si="48"/>
        <v/>
      </c>
      <c r="L141" s="1254"/>
      <c r="M141" s="1244"/>
      <c r="N141" s="1273"/>
      <c r="O141" s="1273"/>
      <c r="P141" s="1244"/>
      <c r="Q141" s="1244"/>
      <c r="R141" s="1244"/>
      <c r="S141" s="1265"/>
      <c r="T141" s="1244"/>
      <c r="U141" s="1244"/>
    </row>
    <row r="142">
      <c r="A142" s="1235"/>
      <c r="B142" s="1235"/>
      <c r="C142" s="1246" t="str">
        <f t="shared" si="7"/>
        <v/>
      </c>
      <c r="D142" s="1274"/>
      <c r="E142" s="1248"/>
      <c r="F142" s="1248"/>
      <c r="G142" s="1271"/>
      <c r="H142" s="1250"/>
      <c r="I142" s="1251"/>
      <c r="J142" s="1270" t="str">
        <f t="shared" ref="J142:K142" si="49">E142</f>
        <v/>
      </c>
      <c r="K142" s="1253" t="str">
        <f t="shared" si="49"/>
        <v/>
      </c>
      <c r="L142" s="1254"/>
      <c r="M142" s="1244"/>
      <c r="N142" s="1273"/>
      <c r="O142" s="1273"/>
      <c r="P142" s="1244"/>
      <c r="Q142" s="1244"/>
      <c r="R142" s="1244"/>
      <c r="S142" s="1265"/>
      <c r="T142" s="1244"/>
      <c r="U142" s="1244"/>
    </row>
    <row r="143">
      <c r="A143" s="1235"/>
      <c r="B143" s="1235"/>
      <c r="C143" s="1246"/>
      <c r="D143" s="1274"/>
      <c r="E143" s="1248"/>
      <c r="F143" s="1248"/>
      <c r="G143" s="1271"/>
      <c r="H143" s="1250"/>
      <c r="I143" s="1251"/>
      <c r="J143" s="1270" t="str">
        <f t="shared" ref="J143:K143" si="50">E143</f>
        <v/>
      </c>
      <c r="K143" s="1253" t="str">
        <f t="shared" si="50"/>
        <v/>
      </c>
      <c r="L143" s="1254"/>
      <c r="M143" s="1244"/>
      <c r="N143" s="1273"/>
      <c r="O143" s="1273"/>
      <c r="P143" s="1244"/>
      <c r="Q143" s="1244"/>
      <c r="R143" s="1244"/>
      <c r="S143" s="1265"/>
      <c r="T143" s="1244"/>
      <c r="U143" s="1244"/>
    </row>
    <row r="144">
      <c r="A144" s="1235"/>
      <c r="B144" s="1235"/>
      <c r="C144" s="1246"/>
      <c r="D144" s="1274"/>
      <c r="E144" s="1248"/>
      <c r="F144" s="1248"/>
      <c r="G144" s="1271"/>
      <c r="H144" s="1250"/>
      <c r="I144" s="1251"/>
      <c r="J144" s="1270" t="str">
        <f t="shared" ref="J144:K144" si="51">E144</f>
        <v/>
      </c>
      <c r="K144" s="1253" t="str">
        <f t="shared" si="51"/>
        <v/>
      </c>
      <c r="L144" s="1254"/>
      <c r="M144" s="1244"/>
      <c r="N144" s="1273"/>
      <c r="O144" s="1273"/>
      <c r="P144" s="1244"/>
      <c r="Q144" s="1244"/>
      <c r="R144" s="1244"/>
      <c r="S144" s="1265"/>
      <c r="T144" s="1244"/>
      <c r="U144" s="1244"/>
    </row>
    <row r="145">
      <c r="A145" s="1235"/>
      <c r="B145" s="1235"/>
      <c r="C145" s="1246"/>
      <c r="D145" s="1274"/>
      <c r="E145" s="1248"/>
      <c r="F145" s="1248"/>
      <c r="G145" s="1271"/>
      <c r="H145" s="1250"/>
      <c r="I145" s="1251"/>
      <c r="J145" s="1270" t="str">
        <f t="shared" ref="J145:K145" si="52">E145</f>
        <v/>
      </c>
      <c r="K145" s="1253" t="str">
        <f t="shared" si="52"/>
        <v/>
      </c>
      <c r="L145" s="1254"/>
      <c r="M145" s="1244"/>
      <c r="N145" s="1273"/>
      <c r="O145" s="1273"/>
      <c r="P145" s="1244"/>
      <c r="Q145" s="1244"/>
      <c r="R145" s="1244"/>
      <c r="S145" s="1265"/>
      <c r="T145" s="1244"/>
      <c r="U145" s="1244"/>
    </row>
    <row r="146">
      <c r="A146" s="1235"/>
      <c r="B146" s="1235"/>
      <c r="C146" s="1246"/>
      <c r="D146" s="1274"/>
      <c r="E146" s="1248"/>
      <c r="F146" s="1248"/>
      <c r="G146" s="1271"/>
      <c r="H146" s="1250"/>
      <c r="I146" s="1251"/>
      <c r="J146" s="1270" t="str">
        <f t="shared" ref="J146:K146" si="53">E146</f>
        <v/>
      </c>
      <c r="K146" s="1253" t="str">
        <f t="shared" si="53"/>
        <v/>
      </c>
      <c r="L146" s="1254"/>
      <c r="M146" s="1244"/>
      <c r="N146" s="1273"/>
      <c r="O146" s="1273"/>
      <c r="P146" s="1244"/>
      <c r="Q146" s="1244"/>
      <c r="R146" s="1244"/>
      <c r="S146" s="1265"/>
      <c r="T146" s="1244"/>
      <c r="U146" s="1244"/>
    </row>
    <row r="147">
      <c r="A147" s="1235"/>
      <c r="B147" s="1235"/>
      <c r="C147" s="1246"/>
      <c r="D147" s="1274"/>
      <c r="E147" s="1248"/>
      <c r="F147" s="1248"/>
      <c r="G147" s="1271"/>
      <c r="H147" s="1250"/>
      <c r="I147" s="1251"/>
      <c r="J147" s="1270" t="str">
        <f t="shared" ref="J147:K147" si="54">E147</f>
        <v/>
      </c>
      <c r="K147" s="1253" t="str">
        <f t="shared" si="54"/>
        <v/>
      </c>
      <c r="L147" s="1254"/>
      <c r="M147" s="1244"/>
      <c r="N147" s="1273"/>
      <c r="O147" s="1273"/>
      <c r="P147" s="1244"/>
      <c r="Q147" s="1244"/>
      <c r="R147" s="1244"/>
      <c r="S147" s="1265"/>
      <c r="T147" s="1244"/>
      <c r="U147" s="1244"/>
    </row>
    <row r="148">
      <c r="A148" s="1235"/>
      <c r="B148" s="1235"/>
      <c r="C148" s="1246"/>
      <c r="D148" s="1274"/>
      <c r="E148" s="1248"/>
      <c r="F148" s="1248"/>
      <c r="G148" s="1271"/>
      <c r="H148" s="1250"/>
      <c r="I148" s="1251"/>
      <c r="J148" s="1270" t="str">
        <f t="shared" ref="J148:K148" si="55">E148</f>
        <v/>
      </c>
      <c r="K148" s="1253" t="str">
        <f t="shared" si="55"/>
        <v/>
      </c>
      <c r="L148" s="1254"/>
      <c r="M148" s="1244"/>
      <c r="N148" s="1273"/>
      <c r="O148" s="1273"/>
      <c r="P148" s="1244"/>
      <c r="Q148" s="1244"/>
      <c r="R148" s="1244"/>
      <c r="S148" s="1265"/>
      <c r="T148" s="1244"/>
      <c r="U148" s="1244"/>
    </row>
    <row r="149">
      <c r="A149" s="1235"/>
      <c r="B149" s="1235"/>
      <c r="C149" s="1246"/>
      <c r="D149" s="1274"/>
      <c r="E149" s="1248"/>
      <c r="F149" s="1248"/>
      <c r="G149" s="1271"/>
      <c r="H149" s="1250"/>
      <c r="I149" s="1251"/>
      <c r="J149" s="1270" t="str">
        <f t="shared" ref="J149:K149" si="56">E149</f>
        <v/>
      </c>
      <c r="K149" s="1253" t="str">
        <f t="shared" si="56"/>
        <v/>
      </c>
      <c r="L149" s="1254"/>
      <c r="M149" s="1244"/>
      <c r="N149" s="1273"/>
      <c r="O149" s="1273"/>
      <c r="P149" s="1244"/>
      <c r="Q149" s="1244"/>
      <c r="R149" s="1244"/>
      <c r="S149" s="1265"/>
      <c r="T149" s="1244"/>
      <c r="U149" s="1244"/>
    </row>
    <row r="150">
      <c r="A150" s="1235"/>
      <c r="B150" s="1235"/>
      <c r="C150" s="1246"/>
      <c r="D150" s="1274"/>
      <c r="E150" s="1248"/>
      <c r="F150" s="1248"/>
      <c r="G150" s="1271"/>
      <c r="H150" s="1250"/>
      <c r="I150" s="1251"/>
      <c r="J150" s="1270" t="str">
        <f t="shared" ref="J150:K150" si="57">E150</f>
        <v/>
      </c>
      <c r="K150" s="1253" t="str">
        <f t="shared" si="57"/>
        <v/>
      </c>
      <c r="L150" s="1254"/>
      <c r="M150" s="1244"/>
      <c r="N150" s="1273"/>
      <c r="O150" s="1273"/>
      <c r="P150" s="1244"/>
      <c r="Q150" s="1244"/>
      <c r="R150" s="1244"/>
      <c r="S150" s="1265"/>
      <c r="T150" s="1244"/>
      <c r="U150" s="1244"/>
    </row>
    <row r="151">
      <c r="A151" s="1235"/>
      <c r="B151" s="1235"/>
      <c r="C151" s="1246"/>
      <c r="D151" s="1274"/>
      <c r="E151" s="1248"/>
      <c r="F151" s="1248"/>
      <c r="G151" s="1271"/>
      <c r="H151" s="1250"/>
      <c r="I151" s="1251"/>
      <c r="J151" s="1270" t="str">
        <f t="shared" ref="J151:K151" si="58">E151</f>
        <v/>
      </c>
      <c r="K151" s="1253" t="str">
        <f t="shared" si="58"/>
        <v/>
      </c>
      <c r="L151" s="1254"/>
      <c r="M151" s="1244"/>
      <c r="N151" s="1273"/>
      <c r="O151" s="1273"/>
      <c r="P151" s="1244"/>
      <c r="Q151" s="1244"/>
      <c r="R151" s="1244"/>
      <c r="S151" s="1265"/>
      <c r="T151" s="1244"/>
      <c r="U151" s="1244"/>
    </row>
    <row r="152">
      <c r="A152" s="1235"/>
      <c r="B152" s="1235"/>
      <c r="C152" s="1246"/>
      <c r="D152" s="1274"/>
      <c r="E152" s="1248"/>
      <c r="F152" s="1248"/>
      <c r="G152" s="1271"/>
      <c r="H152" s="1250"/>
      <c r="I152" s="1251"/>
      <c r="J152" s="1270" t="str">
        <f t="shared" ref="J152:K152" si="59">E152</f>
        <v/>
      </c>
      <c r="K152" s="1253" t="str">
        <f t="shared" si="59"/>
        <v/>
      </c>
      <c r="L152" s="1254"/>
      <c r="M152" s="1244"/>
      <c r="N152" s="1273"/>
      <c r="O152" s="1273"/>
      <c r="P152" s="1244"/>
      <c r="Q152" s="1244"/>
      <c r="R152" s="1244"/>
      <c r="S152" s="1265"/>
      <c r="T152" s="1244"/>
      <c r="U152" s="1244"/>
    </row>
    <row r="153">
      <c r="A153" s="1235"/>
      <c r="B153" s="1235"/>
      <c r="C153" s="1246"/>
      <c r="D153" s="1274"/>
      <c r="E153" s="1248"/>
      <c r="F153" s="1248"/>
      <c r="G153" s="1271"/>
      <c r="H153" s="1250"/>
      <c r="I153" s="1251"/>
      <c r="J153" s="1270" t="str">
        <f t="shared" ref="J153:K153" si="60">E153</f>
        <v/>
      </c>
      <c r="K153" s="1253" t="str">
        <f t="shared" si="60"/>
        <v/>
      </c>
      <c r="L153" s="1254"/>
      <c r="M153" s="1244"/>
      <c r="N153" s="1273"/>
      <c r="O153" s="1273"/>
      <c r="P153" s="1244"/>
      <c r="Q153" s="1244"/>
      <c r="R153" s="1244"/>
      <c r="S153" s="1265"/>
      <c r="T153" s="1244"/>
      <c r="U153" s="1244"/>
    </row>
    <row r="154">
      <c r="A154" s="1235"/>
      <c r="B154" s="1235"/>
      <c r="C154" s="1246"/>
      <c r="D154" s="1274"/>
      <c r="E154" s="1248"/>
      <c r="F154" s="1248"/>
      <c r="G154" s="1271"/>
      <c r="H154" s="1250"/>
      <c r="I154" s="1251"/>
      <c r="J154" s="1270" t="str">
        <f t="shared" ref="J154:K154" si="61">E154</f>
        <v/>
      </c>
      <c r="K154" s="1253" t="str">
        <f t="shared" si="61"/>
        <v/>
      </c>
      <c r="L154" s="1254"/>
      <c r="M154" s="1244"/>
      <c r="N154" s="1273"/>
      <c r="O154" s="1273"/>
      <c r="P154" s="1244"/>
      <c r="Q154" s="1244"/>
      <c r="R154" s="1244"/>
      <c r="S154" s="1265"/>
      <c r="T154" s="1244"/>
      <c r="U154" s="1244"/>
    </row>
    <row r="155">
      <c r="A155" s="1235"/>
      <c r="B155" s="1235"/>
      <c r="C155" s="1246"/>
      <c r="D155" s="1274"/>
      <c r="E155" s="1248"/>
      <c r="F155" s="1248"/>
      <c r="G155" s="1271"/>
      <c r="H155" s="1250"/>
      <c r="I155" s="1251"/>
      <c r="J155" s="1270" t="str">
        <f t="shared" ref="J155:K155" si="62">E155</f>
        <v/>
      </c>
      <c r="K155" s="1253" t="str">
        <f t="shared" si="62"/>
        <v/>
      </c>
      <c r="L155" s="1254"/>
      <c r="M155" s="1244"/>
      <c r="N155" s="1273"/>
      <c r="O155" s="1273"/>
      <c r="P155" s="1244"/>
      <c r="Q155" s="1244"/>
      <c r="R155" s="1244"/>
      <c r="S155" s="1265"/>
      <c r="T155" s="1244"/>
      <c r="U155" s="1244"/>
    </row>
    <row r="156">
      <c r="A156" s="1235"/>
      <c r="B156" s="1235"/>
      <c r="C156" s="1246"/>
      <c r="D156" s="1274"/>
      <c r="E156" s="1248"/>
      <c r="F156" s="1248"/>
      <c r="G156" s="1271"/>
      <c r="H156" s="1250"/>
      <c r="I156" s="1251"/>
      <c r="J156" s="1270" t="str">
        <f t="shared" ref="J156:K156" si="63">E156</f>
        <v/>
      </c>
      <c r="K156" s="1253" t="str">
        <f t="shared" si="63"/>
        <v/>
      </c>
      <c r="L156" s="1254"/>
      <c r="M156" s="1244"/>
      <c r="N156" s="1273"/>
      <c r="O156" s="1273"/>
      <c r="P156" s="1244"/>
      <c r="Q156" s="1244"/>
      <c r="R156" s="1244"/>
      <c r="S156" s="1265"/>
      <c r="T156" s="1244"/>
      <c r="U156" s="1244"/>
    </row>
    <row r="157">
      <c r="A157" s="1235"/>
      <c r="B157" s="1235"/>
      <c r="C157" s="1246"/>
      <c r="D157" s="1274"/>
      <c r="E157" s="1248"/>
      <c r="F157" s="1248"/>
      <c r="G157" s="1271"/>
      <c r="H157" s="1250"/>
      <c r="I157" s="1251"/>
      <c r="J157" s="1270" t="str">
        <f t="shared" ref="J157:K157" si="64">E157</f>
        <v/>
      </c>
      <c r="K157" s="1253" t="str">
        <f t="shared" si="64"/>
        <v/>
      </c>
      <c r="L157" s="1254"/>
      <c r="M157" s="1244"/>
      <c r="N157" s="1273"/>
      <c r="O157" s="1273"/>
      <c r="P157" s="1244"/>
      <c r="Q157" s="1244"/>
      <c r="R157" s="1244"/>
      <c r="S157" s="1265"/>
      <c r="T157" s="1244"/>
      <c r="U157" s="1244"/>
    </row>
    <row r="158">
      <c r="A158" s="1235"/>
      <c r="B158" s="1235"/>
      <c r="C158" s="1246"/>
      <c r="D158" s="1274"/>
      <c r="E158" s="1248"/>
      <c r="F158" s="1248"/>
      <c r="G158" s="1271"/>
      <c r="H158" s="1250"/>
      <c r="I158" s="1251"/>
      <c r="J158" s="1270" t="str">
        <f t="shared" ref="J158:K158" si="65">E158</f>
        <v/>
      </c>
      <c r="K158" s="1253" t="str">
        <f t="shared" si="65"/>
        <v/>
      </c>
      <c r="L158" s="1254"/>
      <c r="M158" s="1244"/>
      <c r="N158" s="1273"/>
      <c r="O158" s="1273"/>
      <c r="P158" s="1244"/>
      <c r="Q158" s="1244"/>
      <c r="R158" s="1244"/>
      <c r="S158" s="1265"/>
      <c r="T158" s="1244"/>
      <c r="U158" s="1244"/>
    </row>
    <row r="159">
      <c r="A159" s="1235"/>
      <c r="B159" s="1235"/>
      <c r="C159" s="1246"/>
      <c r="D159" s="1274"/>
      <c r="E159" s="1248"/>
      <c r="F159" s="1248"/>
      <c r="G159" s="1271"/>
      <c r="H159" s="1250"/>
      <c r="I159" s="1251"/>
      <c r="J159" s="1270" t="str">
        <f t="shared" ref="J159:K159" si="66">E159</f>
        <v/>
      </c>
      <c r="K159" s="1253" t="str">
        <f t="shared" si="66"/>
        <v/>
      </c>
      <c r="L159" s="1254"/>
      <c r="M159" s="1244"/>
      <c r="N159" s="1273"/>
      <c r="O159" s="1273"/>
      <c r="P159" s="1244"/>
      <c r="Q159" s="1244"/>
      <c r="R159" s="1244"/>
      <c r="S159" s="1265"/>
      <c r="T159" s="1244"/>
      <c r="U159" s="1244"/>
    </row>
    <row r="160">
      <c r="A160" s="1235"/>
      <c r="B160" s="1235"/>
      <c r="C160" s="1246"/>
      <c r="D160" s="1274"/>
      <c r="E160" s="1248"/>
      <c r="F160" s="1248"/>
      <c r="G160" s="1271"/>
      <c r="H160" s="1250"/>
      <c r="I160" s="1251"/>
      <c r="J160" s="1270" t="str">
        <f t="shared" ref="J160:K160" si="67">E160</f>
        <v/>
      </c>
      <c r="K160" s="1253" t="str">
        <f t="shared" si="67"/>
        <v/>
      </c>
      <c r="L160" s="1254"/>
      <c r="M160" s="1244"/>
      <c r="N160" s="1273"/>
      <c r="O160" s="1273"/>
      <c r="P160" s="1244"/>
      <c r="Q160" s="1244"/>
      <c r="R160" s="1244"/>
      <c r="S160" s="1265"/>
      <c r="T160" s="1244"/>
      <c r="U160" s="1244"/>
    </row>
    <row r="161">
      <c r="A161" s="1235"/>
      <c r="B161" s="1235"/>
      <c r="C161" s="1246"/>
      <c r="D161" s="1274"/>
      <c r="E161" s="1248"/>
      <c r="F161" s="1248"/>
      <c r="G161" s="1271"/>
      <c r="H161" s="1250"/>
      <c r="I161" s="1251"/>
      <c r="J161" s="1270" t="str">
        <f t="shared" ref="J161:K161" si="68">E161</f>
        <v/>
      </c>
      <c r="K161" s="1253" t="str">
        <f t="shared" si="68"/>
        <v/>
      </c>
      <c r="L161" s="1254"/>
      <c r="M161" s="1244"/>
      <c r="N161" s="1273"/>
      <c r="O161" s="1273"/>
      <c r="P161" s="1244"/>
      <c r="Q161" s="1244"/>
      <c r="R161" s="1244"/>
      <c r="S161" s="1265"/>
      <c r="T161" s="1244"/>
      <c r="U161" s="1244"/>
    </row>
    <row r="162">
      <c r="A162" s="1235"/>
      <c r="B162" s="1235"/>
      <c r="C162" s="1246"/>
      <c r="D162" s="1274"/>
      <c r="E162" s="1248"/>
      <c r="F162" s="1248"/>
      <c r="G162" s="1271"/>
      <c r="H162" s="1250"/>
      <c r="I162" s="1251"/>
      <c r="J162" s="1270" t="str">
        <f t="shared" ref="J162:K162" si="69">E162</f>
        <v/>
      </c>
      <c r="K162" s="1253" t="str">
        <f t="shared" si="69"/>
        <v/>
      </c>
      <c r="L162" s="1254"/>
      <c r="M162" s="1244"/>
      <c r="N162" s="1273"/>
      <c r="O162" s="1273"/>
      <c r="P162" s="1244"/>
      <c r="Q162" s="1244"/>
      <c r="R162" s="1244"/>
      <c r="S162" s="1265"/>
      <c r="T162" s="1244"/>
      <c r="U162" s="1244"/>
    </row>
    <row r="163">
      <c r="A163" s="1235"/>
      <c r="B163" s="1235"/>
      <c r="C163" s="1246"/>
      <c r="D163" s="1274"/>
      <c r="E163" s="1248"/>
      <c r="F163" s="1248"/>
      <c r="G163" s="1271"/>
      <c r="H163" s="1250"/>
      <c r="I163" s="1251"/>
      <c r="J163" s="1270" t="str">
        <f t="shared" ref="J163:K163" si="70">E163</f>
        <v/>
      </c>
      <c r="K163" s="1253" t="str">
        <f t="shared" si="70"/>
        <v/>
      </c>
      <c r="L163" s="1254"/>
      <c r="M163" s="1244"/>
      <c r="N163" s="1273"/>
      <c r="O163" s="1273"/>
      <c r="P163" s="1244"/>
      <c r="Q163" s="1244"/>
      <c r="R163" s="1244"/>
      <c r="S163" s="1265"/>
      <c r="T163" s="1244"/>
      <c r="U163" s="1244"/>
    </row>
    <row r="164">
      <c r="A164" s="1235"/>
      <c r="B164" s="1235"/>
      <c r="C164" s="1246"/>
      <c r="D164" s="1274"/>
      <c r="E164" s="1248"/>
      <c r="F164" s="1248"/>
      <c r="G164" s="1271"/>
      <c r="H164" s="1250"/>
      <c r="I164" s="1251"/>
      <c r="J164" s="1270" t="str">
        <f t="shared" ref="J164:K164" si="71">E164</f>
        <v/>
      </c>
      <c r="K164" s="1253" t="str">
        <f t="shared" si="71"/>
        <v/>
      </c>
      <c r="L164" s="1254"/>
      <c r="M164" s="1244"/>
      <c r="N164" s="1273"/>
      <c r="O164" s="1273"/>
      <c r="P164" s="1244"/>
      <c r="Q164" s="1244"/>
      <c r="R164" s="1244"/>
      <c r="S164" s="1265"/>
      <c r="T164" s="1244"/>
      <c r="U164" s="1244"/>
    </row>
    <row r="165">
      <c r="A165" s="1235"/>
      <c r="B165" s="1235"/>
      <c r="C165" s="1246"/>
      <c r="D165" s="1274"/>
      <c r="E165" s="1248"/>
      <c r="F165" s="1248"/>
      <c r="G165" s="1271"/>
      <c r="H165" s="1250"/>
      <c r="I165" s="1251"/>
      <c r="J165" s="1270" t="str">
        <f t="shared" ref="J165:K165" si="72">E165</f>
        <v/>
      </c>
      <c r="K165" s="1253" t="str">
        <f t="shared" si="72"/>
        <v/>
      </c>
      <c r="L165" s="1254"/>
      <c r="M165" s="1244"/>
      <c r="N165" s="1273"/>
      <c r="O165" s="1273"/>
      <c r="P165" s="1244"/>
      <c r="Q165" s="1244"/>
      <c r="R165" s="1244"/>
      <c r="S165" s="1265"/>
      <c r="T165" s="1244"/>
      <c r="U165" s="1244"/>
    </row>
    <row r="166">
      <c r="A166" s="1235"/>
      <c r="B166" s="1235"/>
      <c r="C166" s="1246"/>
      <c r="D166" s="1274"/>
      <c r="E166" s="1248"/>
      <c r="F166" s="1248"/>
      <c r="G166" s="1271"/>
      <c r="H166" s="1250"/>
      <c r="I166" s="1251"/>
      <c r="J166" s="1270" t="str">
        <f t="shared" ref="J166:K166" si="73">E166</f>
        <v/>
      </c>
      <c r="K166" s="1253" t="str">
        <f t="shared" si="73"/>
        <v/>
      </c>
      <c r="L166" s="1254"/>
      <c r="M166" s="1244"/>
      <c r="N166" s="1273"/>
      <c r="O166" s="1273"/>
      <c r="P166" s="1244"/>
      <c r="Q166" s="1244"/>
      <c r="R166" s="1244"/>
      <c r="S166" s="1265"/>
      <c r="T166" s="1244"/>
      <c r="U166" s="1244"/>
    </row>
    <row r="167">
      <c r="A167" s="1235"/>
      <c r="B167" s="1235"/>
      <c r="C167" s="1246"/>
      <c r="D167" s="1274"/>
      <c r="E167" s="1248"/>
      <c r="F167" s="1248"/>
      <c r="G167" s="1271"/>
      <c r="H167" s="1250"/>
      <c r="I167" s="1251"/>
      <c r="J167" s="1270" t="str">
        <f t="shared" ref="J167:K167" si="74">E167</f>
        <v/>
      </c>
      <c r="K167" s="1253" t="str">
        <f t="shared" si="74"/>
        <v/>
      </c>
      <c r="L167" s="1254"/>
      <c r="M167" s="1244"/>
      <c r="N167" s="1273"/>
      <c r="O167" s="1273"/>
      <c r="P167" s="1244"/>
      <c r="Q167" s="1244"/>
      <c r="R167" s="1244"/>
      <c r="S167" s="1265"/>
      <c r="T167" s="1244"/>
      <c r="U167" s="1244"/>
    </row>
    <row r="168">
      <c r="A168" s="1235"/>
      <c r="B168" s="1235"/>
      <c r="C168" s="1246"/>
      <c r="D168" s="1274"/>
      <c r="E168" s="1248"/>
      <c r="F168" s="1248"/>
      <c r="G168" s="1271"/>
      <c r="H168" s="1250"/>
      <c r="I168" s="1251"/>
      <c r="J168" s="1270" t="str">
        <f t="shared" ref="J168:K168" si="75">E168</f>
        <v/>
      </c>
      <c r="K168" s="1253" t="str">
        <f t="shared" si="75"/>
        <v/>
      </c>
      <c r="L168" s="1254"/>
      <c r="M168" s="1244"/>
      <c r="N168" s="1273"/>
      <c r="O168" s="1273"/>
      <c r="P168" s="1244"/>
      <c r="Q168" s="1244"/>
      <c r="R168" s="1244"/>
      <c r="S168" s="1265"/>
      <c r="T168" s="1244"/>
      <c r="U168" s="1244"/>
    </row>
    <row r="169">
      <c r="A169" s="1235"/>
      <c r="B169" s="1235"/>
      <c r="C169" s="1246"/>
      <c r="D169" s="1274"/>
      <c r="E169" s="1248"/>
      <c r="F169" s="1248"/>
      <c r="G169" s="1271"/>
      <c r="H169" s="1250"/>
      <c r="I169" s="1251"/>
      <c r="J169" s="1270" t="str">
        <f t="shared" ref="J169:K169" si="76">E169</f>
        <v/>
      </c>
      <c r="K169" s="1253" t="str">
        <f t="shared" si="76"/>
        <v/>
      </c>
      <c r="L169" s="1254"/>
      <c r="M169" s="1244"/>
      <c r="N169" s="1273"/>
      <c r="O169" s="1273"/>
      <c r="P169" s="1244"/>
      <c r="Q169" s="1244"/>
      <c r="R169" s="1244"/>
      <c r="S169" s="1265"/>
      <c r="T169" s="1244"/>
      <c r="U169" s="1244"/>
    </row>
    <row r="170">
      <c r="A170" s="1235"/>
      <c r="B170" s="1235"/>
      <c r="C170" s="1246"/>
      <c r="D170" s="1274"/>
      <c r="E170" s="1248"/>
      <c r="F170" s="1248"/>
      <c r="G170" s="1271"/>
      <c r="H170" s="1250"/>
      <c r="I170" s="1251"/>
      <c r="J170" s="1270" t="str">
        <f t="shared" ref="J170:K170" si="77">E170</f>
        <v/>
      </c>
      <c r="K170" s="1253" t="str">
        <f t="shared" si="77"/>
        <v/>
      </c>
      <c r="L170" s="1254"/>
      <c r="M170" s="1244"/>
      <c r="N170" s="1273"/>
      <c r="O170" s="1273"/>
      <c r="P170" s="1244"/>
      <c r="Q170" s="1244"/>
      <c r="R170" s="1244"/>
      <c r="S170" s="1265"/>
      <c r="T170" s="1244"/>
      <c r="U170" s="1244"/>
    </row>
    <row r="171">
      <c r="A171" s="1235"/>
      <c r="B171" s="1235"/>
      <c r="C171" s="1246"/>
      <c r="D171" s="1274"/>
      <c r="E171" s="1248"/>
      <c r="F171" s="1248"/>
      <c r="G171" s="1271"/>
      <c r="H171" s="1250"/>
      <c r="I171" s="1251"/>
      <c r="J171" s="1270" t="str">
        <f t="shared" ref="J171:K171" si="78">E171</f>
        <v/>
      </c>
      <c r="K171" s="1253" t="str">
        <f t="shared" si="78"/>
        <v/>
      </c>
      <c r="L171" s="1254"/>
      <c r="M171" s="1244"/>
      <c r="N171" s="1273"/>
      <c r="O171" s="1273"/>
      <c r="P171" s="1244"/>
      <c r="Q171" s="1244"/>
      <c r="R171" s="1244"/>
      <c r="S171" s="1265"/>
      <c r="T171" s="1244"/>
      <c r="U171" s="1244"/>
    </row>
    <row r="172">
      <c r="A172" s="1235"/>
      <c r="B172" s="1235"/>
      <c r="C172" s="1246"/>
      <c r="D172" s="1274"/>
      <c r="E172" s="1248"/>
      <c r="F172" s="1248"/>
      <c r="G172" s="1271"/>
      <c r="H172" s="1250"/>
      <c r="I172" s="1251"/>
      <c r="J172" s="1270" t="str">
        <f t="shared" ref="J172:K172" si="79">E172</f>
        <v/>
      </c>
      <c r="K172" s="1253" t="str">
        <f t="shared" si="79"/>
        <v/>
      </c>
      <c r="L172" s="1254"/>
      <c r="M172" s="1244"/>
      <c r="N172" s="1273"/>
      <c r="O172" s="1273"/>
      <c r="P172" s="1244"/>
      <c r="Q172" s="1244"/>
      <c r="R172" s="1244"/>
      <c r="S172" s="1265"/>
      <c r="T172" s="1244"/>
      <c r="U172" s="1244"/>
    </row>
    <row r="173">
      <c r="A173" s="1235"/>
      <c r="B173" s="1235"/>
      <c r="C173" s="1246"/>
      <c r="D173" s="1274"/>
      <c r="E173" s="1248"/>
      <c r="F173" s="1248"/>
      <c r="G173" s="1271"/>
      <c r="H173" s="1250"/>
      <c r="I173" s="1251"/>
      <c r="J173" s="1270" t="str">
        <f t="shared" ref="J173:K173" si="80">E173</f>
        <v/>
      </c>
      <c r="K173" s="1253" t="str">
        <f t="shared" si="80"/>
        <v/>
      </c>
      <c r="L173" s="1254"/>
      <c r="M173" s="1244"/>
      <c r="N173" s="1273"/>
      <c r="O173" s="1273"/>
      <c r="P173" s="1244"/>
      <c r="Q173" s="1244"/>
      <c r="R173" s="1244"/>
      <c r="S173" s="1265"/>
      <c r="T173" s="1244"/>
      <c r="U173" s="1244"/>
    </row>
    <row r="174">
      <c r="A174" s="1235"/>
      <c r="B174" s="1235"/>
      <c r="C174" s="1246"/>
      <c r="D174" s="1274"/>
      <c r="E174" s="1248"/>
      <c r="F174" s="1248"/>
      <c r="G174" s="1271"/>
      <c r="H174" s="1250"/>
      <c r="I174" s="1251"/>
      <c r="J174" s="1270" t="str">
        <f t="shared" ref="J174:K174" si="81">E174</f>
        <v/>
      </c>
      <c r="K174" s="1253" t="str">
        <f t="shared" si="81"/>
        <v/>
      </c>
      <c r="L174" s="1254"/>
      <c r="M174" s="1244"/>
      <c r="N174" s="1273"/>
      <c r="O174" s="1273"/>
      <c r="P174" s="1244"/>
      <c r="Q174" s="1244"/>
      <c r="R174" s="1244"/>
      <c r="S174" s="1265"/>
      <c r="T174" s="1244"/>
      <c r="U174" s="1244"/>
    </row>
    <row r="175">
      <c r="A175" s="1235"/>
      <c r="B175" s="1235"/>
      <c r="C175" s="1246"/>
      <c r="D175" s="1274"/>
      <c r="E175" s="1248"/>
      <c r="F175" s="1248"/>
      <c r="G175" s="1271"/>
      <c r="H175" s="1250"/>
      <c r="I175" s="1251"/>
      <c r="J175" s="1270" t="str">
        <f t="shared" ref="J175:K175" si="82">E175</f>
        <v/>
      </c>
      <c r="K175" s="1253" t="str">
        <f t="shared" si="82"/>
        <v/>
      </c>
      <c r="L175" s="1254"/>
      <c r="M175" s="1244"/>
      <c r="N175" s="1273"/>
      <c r="O175" s="1273"/>
      <c r="P175" s="1244"/>
      <c r="Q175" s="1244"/>
      <c r="R175" s="1244"/>
      <c r="S175" s="1265"/>
      <c r="T175" s="1244"/>
      <c r="U175" s="1244"/>
    </row>
    <row r="176">
      <c r="A176" s="1235"/>
      <c r="B176" s="1235"/>
      <c r="C176" s="1246"/>
      <c r="D176" s="1274"/>
      <c r="E176" s="1248"/>
      <c r="F176" s="1248"/>
      <c r="G176" s="1271"/>
      <c r="H176" s="1250"/>
      <c r="I176" s="1251"/>
      <c r="J176" s="1270" t="str">
        <f t="shared" ref="J176:K176" si="83">E176</f>
        <v/>
      </c>
      <c r="K176" s="1253" t="str">
        <f t="shared" si="83"/>
        <v/>
      </c>
      <c r="L176" s="1254"/>
      <c r="M176" s="1244"/>
      <c r="N176" s="1273"/>
      <c r="O176" s="1273"/>
      <c r="P176" s="1244"/>
      <c r="Q176" s="1244"/>
      <c r="R176" s="1244"/>
      <c r="S176" s="1265"/>
      <c r="T176" s="1244"/>
      <c r="U176" s="1244"/>
    </row>
    <row r="177">
      <c r="A177" s="1235"/>
      <c r="B177" s="1235"/>
      <c r="C177" s="1246"/>
      <c r="D177" s="1274"/>
      <c r="E177" s="1248"/>
      <c r="F177" s="1248"/>
      <c r="G177" s="1271"/>
      <c r="H177" s="1250"/>
      <c r="I177" s="1251"/>
      <c r="J177" s="1270" t="str">
        <f t="shared" ref="J177:K177" si="84">E177</f>
        <v/>
      </c>
      <c r="K177" s="1253" t="str">
        <f t="shared" si="84"/>
        <v/>
      </c>
      <c r="L177" s="1254"/>
      <c r="M177" s="1244"/>
      <c r="N177" s="1273"/>
      <c r="O177" s="1273"/>
      <c r="P177" s="1244"/>
      <c r="Q177" s="1244"/>
      <c r="R177" s="1244"/>
      <c r="S177" s="1265"/>
      <c r="T177" s="1244"/>
      <c r="U177" s="1244"/>
    </row>
    <row r="178">
      <c r="A178" s="1235"/>
      <c r="B178" s="1235"/>
      <c r="C178" s="1246"/>
      <c r="D178" s="1274"/>
      <c r="E178" s="1248"/>
      <c r="F178" s="1248"/>
      <c r="G178" s="1271"/>
      <c r="H178" s="1250"/>
      <c r="I178" s="1251"/>
      <c r="J178" s="1270" t="str">
        <f t="shared" ref="J178:K178" si="85">E178</f>
        <v/>
      </c>
      <c r="K178" s="1253" t="str">
        <f t="shared" si="85"/>
        <v/>
      </c>
      <c r="L178" s="1254"/>
      <c r="M178" s="1244"/>
      <c r="N178" s="1273"/>
      <c r="O178" s="1273"/>
      <c r="P178" s="1244"/>
      <c r="Q178" s="1244"/>
      <c r="R178" s="1244"/>
      <c r="S178" s="1265"/>
      <c r="T178" s="1244"/>
      <c r="U178" s="1244"/>
    </row>
    <row r="179">
      <c r="A179" s="1235"/>
      <c r="B179" s="1235"/>
      <c r="C179" s="1246"/>
      <c r="D179" s="1274"/>
      <c r="E179" s="1248"/>
      <c r="F179" s="1248"/>
      <c r="G179" s="1271"/>
      <c r="H179" s="1250"/>
      <c r="I179" s="1251"/>
      <c r="J179" s="1270" t="str">
        <f t="shared" ref="J179:K179" si="86">E179</f>
        <v/>
      </c>
      <c r="K179" s="1253" t="str">
        <f t="shared" si="86"/>
        <v/>
      </c>
      <c r="L179" s="1254"/>
      <c r="M179" s="1244"/>
      <c r="N179" s="1273"/>
      <c r="O179" s="1273"/>
      <c r="P179" s="1244"/>
      <c r="Q179" s="1244"/>
      <c r="R179" s="1244"/>
      <c r="S179" s="1265"/>
      <c r="T179" s="1244"/>
      <c r="U179" s="1244"/>
    </row>
    <row r="180">
      <c r="A180" s="1235"/>
      <c r="B180" s="1235"/>
      <c r="C180" s="1246"/>
      <c r="D180" s="1274"/>
      <c r="E180" s="1248"/>
      <c r="F180" s="1248"/>
      <c r="G180" s="1271"/>
      <c r="H180" s="1250"/>
      <c r="I180" s="1251"/>
      <c r="J180" s="1270" t="str">
        <f t="shared" ref="J180:K180" si="87">E180</f>
        <v/>
      </c>
      <c r="K180" s="1253" t="str">
        <f t="shared" si="87"/>
        <v/>
      </c>
      <c r="L180" s="1254"/>
      <c r="M180" s="1244"/>
      <c r="N180" s="1273"/>
      <c r="O180" s="1273"/>
      <c r="P180" s="1244"/>
      <c r="Q180" s="1244"/>
      <c r="R180" s="1244"/>
      <c r="S180" s="1265"/>
      <c r="T180" s="1244"/>
      <c r="U180" s="1244"/>
    </row>
    <row r="181">
      <c r="A181" s="1235"/>
      <c r="B181" s="1235"/>
      <c r="C181" s="1246"/>
      <c r="D181" s="1274"/>
      <c r="E181" s="1248"/>
      <c r="F181" s="1248"/>
      <c r="G181" s="1271"/>
      <c r="H181" s="1250"/>
      <c r="I181" s="1251"/>
      <c r="J181" s="1270" t="str">
        <f t="shared" ref="J181:K181" si="88">E181</f>
        <v/>
      </c>
      <c r="K181" s="1253" t="str">
        <f t="shared" si="88"/>
        <v/>
      </c>
      <c r="L181" s="1254"/>
      <c r="M181" s="1244"/>
      <c r="N181" s="1273"/>
      <c r="O181" s="1273"/>
      <c r="P181" s="1244"/>
      <c r="Q181" s="1244"/>
      <c r="R181" s="1244"/>
      <c r="S181" s="1265"/>
      <c r="T181" s="1244"/>
      <c r="U181" s="1244"/>
    </row>
    <row r="182">
      <c r="A182" s="1235"/>
      <c r="B182" s="1235"/>
      <c r="C182" s="1246"/>
      <c r="D182" s="1274"/>
      <c r="E182" s="1248"/>
      <c r="F182" s="1248"/>
      <c r="G182" s="1271"/>
      <c r="H182" s="1250"/>
      <c r="I182" s="1251"/>
      <c r="J182" s="1270" t="str">
        <f t="shared" ref="J182:K182" si="89">E182</f>
        <v/>
      </c>
      <c r="K182" s="1253" t="str">
        <f t="shared" si="89"/>
        <v/>
      </c>
      <c r="L182" s="1254"/>
      <c r="M182" s="1244"/>
      <c r="N182" s="1273"/>
      <c r="O182" s="1273"/>
      <c r="P182" s="1244"/>
      <c r="Q182" s="1244"/>
      <c r="R182" s="1244"/>
      <c r="S182" s="1265"/>
      <c r="T182" s="1244"/>
      <c r="U182" s="1244"/>
    </row>
    <row r="183">
      <c r="A183" s="1235"/>
      <c r="B183" s="1235"/>
      <c r="C183" s="1246"/>
      <c r="D183" s="1274"/>
      <c r="E183" s="1248"/>
      <c r="F183" s="1248"/>
      <c r="G183" s="1271"/>
      <c r="H183" s="1250"/>
      <c r="I183" s="1251"/>
      <c r="J183" s="1270" t="str">
        <f t="shared" ref="J183:K183" si="90">E183</f>
        <v/>
      </c>
      <c r="K183" s="1253" t="str">
        <f t="shared" si="90"/>
        <v/>
      </c>
      <c r="L183" s="1254"/>
      <c r="M183" s="1244"/>
      <c r="N183" s="1273"/>
      <c r="O183" s="1273"/>
      <c r="P183" s="1244"/>
      <c r="Q183" s="1244"/>
      <c r="R183" s="1244"/>
      <c r="S183" s="1265"/>
      <c r="T183" s="1244"/>
      <c r="U183" s="1244"/>
    </row>
    <row r="184">
      <c r="A184" s="1235"/>
      <c r="B184" s="1235"/>
      <c r="C184" s="1246"/>
      <c r="D184" s="1274"/>
      <c r="E184" s="1248"/>
      <c r="F184" s="1248"/>
      <c r="G184" s="1271"/>
      <c r="H184" s="1250"/>
      <c r="I184" s="1251"/>
      <c r="J184" s="1270" t="str">
        <f t="shared" ref="J184:K184" si="91">E184</f>
        <v/>
      </c>
      <c r="K184" s="1253" t="str">
        <f t="shared" si="91"/>
        <v/>
      </c>
      <c r="L184" s="1254"/>
      <c r="M184" s="1244"/>
      <c r="N184" s="1273"/>
      <c r="O184" s="1273"/>
      <c r="P184" s="1244"/>
      <c r="Q184" s="1244"/>
      <c r="R184" s="1244"/>
      <c r="S184" s="1265"/>
      <c r="T184" s="1244"/>
      <c r="U184" s="1244"/>
    </row>
    <row r="185">
      <c r="A185" s="1235"/>
      <c r="B185" s="1235"/>
      <c r="C185" s="1246"/>
      <c r="D185" s="1274"/>
      <c r="E185" s="1248"/>
      <c r="F185" s="1248"/>
      <c r="G185" s="1271"/>
      <c r="H185" s="1250"/>
      <c r="I185" s="1251"/>
      <c r="J185" s="1270" t="str">
        <f t="shared" ref="J185:K185" si="92">E185</f>
        <v/>
      </c>
      <c r="K185" s="1253" t="str">
        <f t="shared" si="92"/>
        <v/>
      </c>
      <c r="L185" s="1254"/>
      <c r="M185" s="1244"/>
      <c r="N185" s="1273"/>
      <c r="O185" s="1273"/>
      <c r="P185" s="1244"/>
      <c r="Q185" s="1244"/>
      <c r="R185" s="1244"/>
      <c r="S185" s="1265"/>
      <c r="T185" s="1244"/>
      <c r="U185" s="1244"/>
    </row>
    <row r="186">
      <c r="A186" s="1235"/>
      <c r="B186" s="1235"/>
      <c r="C186" s="1246"/>
      <c r="D186" s="1274"/>
      <c r="E186" s="1248"/>
      <c r="F186" s="1248"/>
      <c r="G186" s="1271"/>
      <c r="H186" s="1250"/>
      <c r="I186" s="1251"/>
      <c r="J186" s="1271"/>
      <c r="K186" s="1271"/>
      <c r="L186" s="1254"/>
      <c r="M186" s="1244"/>
      <c r="N186" s="1273"/>
      <c r="O186" s="1273"/>
      <c r="P186" s="1244"/>
      <c r="Q186" s="1244"/>
      <c r="R186" s="1244"/>
      <c r="S186" s="1265"/>
      <c r="T186" s="1244"/>
      <c r="U186" s="1244"/>
    </row>
    <row r="187">
      <c r="A187" s="1235"/>
      <c r="B187" s="1235"/>
      <c r="C187" s="1246"/>
      <c r="D187" s="1274"/>
      <c r="E187" s="1248"/>
      <c r="F187" s="1248"/>
      <c r="G187" s="1271"/>
      <c r="H187" s="1250"/>
      <c r="I187" s="1251"/>
      <c r="J187" s="1271"/>
      <c r="K187" s="1271"/>
      <c r="L187" s="1254"/>
      <c r="M187" s="1244"/>
      <c r="N187" s="1273"/>
      <c r="O187" s="1273"/>
      <c r="P187" s="1244"/>
      <c r="Q187" s="1244"/>
      <c r="R187" s="1244"/>
      <c r="S187" s="1265"/>
      <c r="T187" s="1244"/>
      <c r="U187" s="1244"/>
    </row>
    <row r="188">
      <c r="A188" s="1235"/>
      <c r="B188" s="1235"/>
      <c r="C188" s="1246"/>
      <c r="D188" s="1274"/>
      <c r="E188" s="1248"/>
      <c r="F188" s="1248"/>
      <c r="G188" s="1271"/>
      <c r="H188" s="1250"/>
      <c r="I188" s="1251"/>
      <c r="J188" s="1271"/>
      <c r="K188" s="1271"/>
      <c r="L188" s="1254"/>
      <c r="M188" s="1244"/>
      <c r="N188" s="1273"/>
      <c r="O188" s="1273"/>
      <c r="P188" s="1244"/>
      <c r="Q188" s="1244"/>
      <c r="R188" s="1244"/>
      <c r="S188" s="1265"/>
      <c r="T188" s="1244"/>
      <c r="U188" s="1244"/>
    </row>
    <row r="189">
      <c r="A189" s="1235"/>
      <c r="B189" s="1235"/>
      <c r="C189" s="1246"/>
      <c r="D189" s="1274"/>
      <c r="E189" s="1248"/>
      <c r="F189" s="1248"/>
      <c r="G189" s="1271"/>
      <c r="H189" s="1250"/>
      <c r="I189" s="1251"/>
      <c r="J189" s="1271"/>
      <c r="K189" s="1271"/>
      <c r="L189" s="1254"/>
      <c r="M189" s="1244"/>
      <c r="N189" s="1273"/>
      <c r="O189" s="1273"/>
      <c r="P189" s="1244"/>
      <c r="Q189" s="1244"/>
      <c r="R189" s="1244"/>
      <c r="S189" s="1265"/>
      <c r="T189" s="1244"/>
      <c r="U189" s="1244"/>
    </row>
    <row r="190">
      <c r="A190" s="1235"/>
      <c r="B190" s="1235"/>
      <c r="C190" s="1246"/>
      <c r="D190" s="1274"/>
      <c r="E190" s="1248"/>
      <c r="F190" s="1248"/>
      <c r="G190" s="1271"/>
      <c r="H190" s="1250"/>
      <c r="I190" s="1251"/>
      <c r="J190" s="1271"/>
      <c r="K190" s="1271"/>
      <c r="L190" s="1254"/>
      <c r="M190" s="1244"/>
      <c r="N190" s="1273"/>
      <c r="O190" s="1273"/>
      <c r="P190" s="1244"/>
      <c r="Q190" s="1244"/>
      <c r="R190" s="1244"/>
      <c r="S190" s="1265"/>
      <c r="T190" s="1244"/>
      <c r="U190" s="1244"/>
    </row>
    <row r="191">
      <c r="A191" s="1235"/>
      <c r="B191" s="1235"/>
      <c r="C191" s="1246"/>
      <c r="D191" s="1274"/>
      <c r="E191" s="1248"/>
      <c r="F191" s="1248"/>
      <c r="G191" s="1271"/>
      <c r="H191" s="1250"/>
      <c r="I191" s="1251"/>
      <c r="J191" s="1271"/>
      <c r="K191" s="1271"/>
      <c r="L191" s="1254"/>
      <c r="M191" s="1244"/>
      <c r="N191" s="1273"/>
      <c r="O191" s="1273"/>
      <c r="P191" s="1244"/>
      <c r="Q191" s="1244"/>
      <c r="R191" s="1244"/>
      <c r="S191" s="1265"/>
      <c r="T191" s="1244"/>
      <c r="U191" s="1244"/>
    </row>
    <row r="192">
      <c r="A192" s="1235"/>
      <c r="B192" s="1235"/>
      <c r="C192" s="1246"/>
      <c r="D192" s="1274"/>
      <c r="E192" s="1248"/>
      <c r="F192" s="1248"/>
      <c r="G192" s="1271"/>
      <c r="H192" s="1250"/>
      <c r="I192" s="1251"/>
      <c r="J192" s="1271"/>
      <c r="K192" s="1271"/>
      <c r="L192" s="1254"/>
      <c r="M192" s="1244"/>
      <c r="N192" s="1273"/>
      <c r="O192" s="1273"/>
      <c r="P192" s="1244"/>
      <c r="Q192" s="1244"/>
      <c r="R192" s="1244"/>
      <c r="S192" s="1265"/>
      <c r="T192" s="1244"/>
      <c r="U192" s="1244"/>
    </row>
    <row r="193">
      <c r="A193" s="1235"/>
      <c r="B193" s="1235"/>
      <c r="C193" s="1246"/>
      <c r="D193" s="1274"/>
      <c r="E193" s="1248"/>
      <c r="F193" s="1248"/>
      <c r="G193" s="1271"/>
      <c r="H193" s="1250"/>
      <c r="I193" s="1251"/>
      <c r="J193" s="1271"/>
      <c r="K193" s="1271"/>
      <c r="L193" s="1254"/>
      <c r="M193" s="1244"/>
      <c r="N193" s="1273"/>
      <c r="O193" s="1273"/>
      <c r="P193" s="1244"/>
      <c r="Q193" s="1244"/>
      <c r="R193" s="1244"/>
      <c r="S193" s="1265"/>
      <c r="T193" s="1244"/>
      <c r="U193" s="1244"/>
    </row>
    <row r="194">
      <c r="A194" s="1235"/>
      <c r="B194" s="1235"/>
      <c r="C194" s="1246"/>
      <c r="D194" s="1274"/>
      <c r="E194" s="1248"/>
      <c r="F194" s="1248"/>
      <c r="G194" s="1271"/>
      <c r="H194" s="1250"/>
      <c r="I194" s="1251"/>
      <c r="J194" s="1271"/>
      <c r="K194" s="1271"/>
      <c r="L194" s="1254"/>
      <c r="M194" s="1244"/>
      <c r="N194" s="1273"/>
      <c r="O194" s="1273"/>
      <c r="P194" s="1244"/>
      <c r="Q194" s="1244"/>
      <c r="R194" s="1244"/>
      <c r="S194" s="1265"/>
      <c r="T194" s="1244"/>
      <c r="U194" s="1244"/>
    </row>
    <row r="195">
      <c r="A195" s="1235"/>
      <c r="B195" s="1235"/>
      <c r="C195" s="1246"/>
      <c r="D195" s="1274"/>
      <c r="E195" s="1248"/>
      <c r="F195" s="1248"/>
      <c r="G195" s="1271"/>
      <c r="H195" s="1250"/>
      <c r="I195" s="1251"/>
      <c r="J195" s="1271"/>
      <c r="K195" s="1271"/>
      <c r="L195" s="1254"/>
      <c r="M195" s="1244"/>
      <c r="N195" s="1273"/>
      <c r="O195" s="1273"/>
      <c r="P195" s="1244"/>
      <c r="Q195" s="1244"/>
      <c r="R195" s="1244"/>
      <c r="S195" s="1265"/>
      <c r="T195" s="1244"/>
      <c r="U195" s="1244"/>
    </row>
    <row r="196">
      <c r="A196" s="1235"/>
      <c r="B196" s="1235"/>
      <c r="C196" s="1246"/>
      <c r="D196" s="1274"/>
      <c r="E196" s="1248"/>
      <c r="F196" s="1248"/>
      <c r="G196" s="1271"/>
      <c r="H196" s="1250"/>
      <c r="I196" s="1251"/>
      <c r="J196" s="1271"/>
      <c r="K196" s="1271"/>
      <c r="L196" s="1254"/>
      <c r="M196" s="1244"/>
      <c r="N196" s="1273"/>
      <c r="O196" s="1273"/>
      <c r="P196" s="1244"/>
      <c r="Q196" s="1244"/>
      <c r="R196" s="1244"/>
      <c r="S196" s="1265"/>
      <c r="T196" s="1244"/>
      <c r="U196" s="1244"/>
    </row>
    <row r="197">
      <c r="A197" s="1235"/>
      <c r="B197" s="1235"/>
      <c r="C197" s="1246"/>
      <c r="D197" s="1274"/>
      <c r="E197" s="1248"/>
      <c r="F197" s="1248"/>
      <c r="G197" s="1271"/>
      <c r="H197" s="1250"/>
      <c r="I197" s="1251"/>
      <c r="J197" s="1271"/>
      <c r="K197" s="1271"/>
      <c r="L197" s="1254"/>
      <c r="M197" s="1244"/>
      <c r="N197" s="1273"/>
      <c r="O197" s="1273"/>
      <c r="P197" s="1244"/>
      <c r="Q197" s="1244"/>
      <c r="R197" s="1244"/>
      <c r="S197" s="1265"/>
      <c r="T197" s="1244"/>
      <c r="U197" s="1244"/>
    </row>
    <row r="198">
      <c r="A198" s="1235"/>
      <c r="B198" s="1235"/>
      <c r="C198" s="1246"/>
      <c r="D198" s="1274"/>
      <c r="E198" s="1248"/>
      <c r="F198" s="1248"/>
      <c r="G198" s="1271"/>
      <c r="H198" s="1250"/>
      <c r="I198" s="1251"/>
      <c r="J198" s="1271"/>
      <c r="K198" s="1271"/>
      <c r="L198" s="1254"/>
      <c r="M198" s="1244"/>
      <c r="N198" s="1273"/>
      <c r="O198" s="1273"/>
      <c r="P198" s="1244"/>
      <c r="Q198" s="1244"/>
      <c r="R198" s="1244"/>
      <c r="S198" s="1265"/>
      <c r="T198" s="1244"/>
      <c r="U198" s="1244"/>
    </row>
    <row r="199">
      <c r="A199" s="1235"/>
      <c r="B199" s="1235"/>
      <c r="C199" s="1246"/>
      <c r="D199" s="1274"/>
      <c r="E199" s="1248"/>
      <c r="F199" s="1248"/>
      <c r="G199" s="1271"/>
      <c r="H199" s="1250"/>
      <c r="I199" s="1251"/>
      <c r="J199" s="1271"/>
      <c r="K199" s="1271"/>
      <c r="L199" s="1254"/>
      <c r="M199" s="1244"/>
      <c r="N199" s="1273"/>
      <c r="O199" s="1273"/>
      <c r="P199" s="1244"/>
      <c r="Q199" s="1244"/>
      <c r="R199" s="1244"/>
      <c r="S199" s="1265"/>
      <c r="T199" s="1244"/>
      <c r="U199" s="1244"/>
    </row>
    <row r="200">
      <c r="A200" s="1235"/>
      <c r="B200" s="1235"/>
      <c r="C200" s="1246"/>
      <c r="D200" s="1274"/>
      <c r="E200" s="1248"/>
      <c r="F200" s="1248"/>
      <c r="G200" s="1271"/>
      <c r="H200" s="1250"/>
      <c r="I200" s="1251"/>
      <c r="J200" s="1271"/>
      <c r="K200" s="1271"/>
      <c r="L200" s="1254"/>
      <c r="M200" s="1244"/>
      <c r="N200" s="1273"/>
      <c r="O200" s="1273"/>
      <c r="P200" s="1244"/>
      <c r="Q200" s="1244"/>
      <c r="R200" s="1244"/>
      <c r="S200" s="1265"/>
      <c r="T200" s="1244"/>
      <c r="U200" s="1244"/>
    </row>
    <row r="201">
      <c r="A201" s="1235"/>
      <c r="B201" s="1235"/>
      <c r="C201" s="1246"/>
      <c r="D201" s="1274"/>
      <c r="E201" s="1248"/>
      <c r="F201" s="1248"/>
      <c r="G201" s="1271"/>
      <c r="H201" s="1250"/>
      <c r="I201" s="1251"/>
      <c r="J201" s="1271"/>
      <c r="K201" s="1271"/>
      <c r="L201" s="1254"/>
      <c r="M201" s="1244"/>
      <c r="N201" s="1273"/>
      <c r="O201" s="1273"/>
      <c r="P201" s="1244"/>
      <c r="Q201" s="1244"/>
      <c r="R201" s="1244"/>
      <c r="S201" s="1265"/>
      <c r="T201" s="1244"/>
      <c r="U201" s="1244"/>
    </row>
    <row r="202">
      <c r="A202" s="1235"/>
      <c r="B202" s="1235"/>
      <c r="C202" s="1246"/>
      <c r="D202" s="1274"/>
      <c r="E202" s="1248"/>
      <c r="F202" s="1248"/>
      <c r="G202" s="1271"/>
      <c r="H202" s="1250"/>
      <c r="I202" s="1251"/>
      <c r="J202" s="1271"/>
      <c r="K202" s="1271"/>
      <c r="L202" s="1254"/>
      <c r="M202" s="1244"/>
      <c r="N202" s="1273"/>
      <c r="O202" s="1273"/>
      <c r="P202" s="1244"/>
      <c r="Q202" s="1244"/>
      <c r="R202" s="1244"/>
      <c r="S202" s="1265"/>
      <c r="T202" s="1244"/>
      <c r="U202" s="1244"/>
    </row>
    <row r="203">
      <c r="A203" s="1235"/>
      <c r="B203" s="1235"/>
      <c r="C203" s="1246"/>
      <c r="D203" s="1274"/>
      <c r="E203" s="1248"/>
      <c r="F203" s="1248"/>
      <c r="G203" s="1271"/>
      <c r="H203" s="1250"/>
      <c r="I203" s="1251"/>
      <c r="J203" s="1271"/>
      <c r="K203" s="1271"/>
      <c r="L203" s="1254"/>
      <c r="M203" s="1244"/>
      <c r="N203" s="1273"/>
      <c r="O203" s="1273"/>
      <c r="P203" s="1244"/>
      <c r="Q203" s="1244"/>
      <c r="R203" s="1244"/>
      <c r="S203" s="1265"/>
      <c r="T203" s="1244"/>
      <c r="U203" s="1244"/>
    </row>
    <row r="204">
      <c r="A204" s="1235"/>
      <c r="B204" s="1235"/>
      <c r="C204" s="1246"/>
      <c r="D204" s="1274"/>
      <c r="E204" s="1248"/>
      <c r="F204" s="1248"/>
      <c r="G204" s="1271"/>
      <c r="H204" s="1250"/>
      <c r="I204" s="1251"/>
      <c r="J204" s="1271"/>
      <c r="K204" s="1271"/>
      <c r="L204" s="1254"/>
      <c r="M204" s="1244"/>
      <c r="N204" s="1273"/>
      <c r="O204" s="1273"/>
      <c r="P204" s="1244"/>
      <c r="Q204" s="1244"/>
      <c r="R204" s="1244"/>
      <c r="S204" s="1265"/>
      <c r="T204" s="1244"/>
      <c r="U204" s="1244"/>
    </row>
    <row r="205">
      <c r="A205" s="1235"/>
      <c r="B205" s="1235"/>
      <c r="C205" s="1246"/>
      <c r="D205" s="1274"/>
      <c r="E205" s="1248"/>
      <c r="F205" s="1248"/>
      <c r="G205" s="1271"/>
      <c r="H205" s="1250"/>
      <c r="I205" s="1251"/>
      <c r="J205" s="1271"/>
      <c r="K205" s="1271"/>
      <c r="L205" s="1254"/>
      <c r="M205" s="1244"/>
      <c r="N205" s="1273"/>
      <c r="O205" s="1273"/>
      <c r="P205" s="1244"/>
      <c r="Q205" s="1244"/>
      <c r="R205" s="1244"/>
      <c r="S205" s="1265"/>
      <c r="T205" s="1244"/>
      <c r="U205" s="1244"/>
    </row>
    <row r="206">
      <c r="A206" s="1235"/>
      <c r="B206" s="1235"/>
      <c r="C206" s="1246"/>
      <c r="D206" s="1274"/>
      <c r="E206" s="1248"/>
      <c r="F206" s="1248"/>
      <c r="G206" s="1271"/>
      <c r="H206" s="1250"/>
      <c r="I206" s="1251"/>
      <c r="J206" s="1271"/>
      <c r="K206" s="1271"/>
      <c r="L206" s="1254"/>
      <c r="M206" s="1244"/>
      <c r="N206" s="1273"/>
      <c r="O206" s="1273"/>
      <c r="P206" s="1244"/>
      <c r="Q206" s="1244"/>
      <c r="R206" s="1244"/>
      <c r="S206" s="1265"/>
      <c r="T206" s="1244"/>
      <c r="U206" s="1244"/>
    </row>
    <row r="207">
      <c r="A207" s="1235"/>
      <c r="B207" s="1235"/>
      <c r="C207" s="1246"/>
      <c r="D207" s="1274"/>
      <c r="E207" s="1248"/>
      <c r="F207" s="1248"/>
      <c r="G207" s="1271"/>
      <c r="H207" s="1250"/>
      <c r="I207" s="1251"/>
      <c r="J207" s="1271"/>
      <c r="K207" s="1271"/>
      <c r="L207" s="1254"/>
      <c r="M207" s="1244"/>
      <c r="N207" s="1273"/>
      <c r="O207" s="1273"/>
      <c r="P207" s="1244"/>
      <c r="Q207" s="1244"/>
      <c r="R207" s="1244"/>
      <c r="S207" s="1265"/>
      <c r="T207" s="1244"/>
      <c r="U207" s="1244"/>
    </row>
    <row r="208">
      <c r="A208" s="1235"/>
      <c r="B208" s="1235"/>
      <c r="C208" s="1246"/>
      <c r="D208" s="1274"/>
      <c r="E208" s="1248"/>
      <c r="F208" s="1248"/>
      <c r="G208" s="1271"/>
      <c r="H208" s="1250"/>
      <c r="I208" s="1251"/>
      <c r="J208" s="1271"/>
      <c r="K208" s="1271"/>
      <c r="L208" s="1254"/>
      <c r="M208" s="1244"/>
      <c r="N208" s="1273"/>
      <c r="O208" s="1273"/>
      <c r="P208" s="1244"/>
      <c r="Q208" s="1244"/>
      <c r="R208" s="1244"/>
      <c r="S208" s="1265"/>
      <c r="T208" s="1244"/>
      <c r="U208" s="1244"/>
    </row>
    <row r="209">
      <c r="A209" s="1235"/>
      <c r="B209" s="1235"/>
      <c r="C209" s="1246"/>
      <c r="D209" s="1274"/>
      <c r="E209" s="1248"/>
      <c r="F209" s="1248"/>
      <c r="G209" s="1271"/>
      <c r="H209" s="1250"/>
      <c r="I209" s="1251"/>
      <c r="J209" s="1271"/>
      <c r="K209" s="1271"/>
      <c r="L209" s="1254"/>
      <c r="M209" s="1244"/>
      <c r="N209" s="1273"/>
      <c r="O209" s="1273"/>
      <c r="P209" s="1244"/>
      <c r="Q209" s="1244"/>
      <c r="R209" s="1244"/>
      <c r="S209" s="1265"/>
      <c r="T209" s="1244"/>
      <c r="U209" s="1244"/>
    </row>
    <row r="210">
      <c r="A210" s="1235"/>
      <c r="B210" s="1235"/>
      <c r="C210" s="1246"/>
      <c r="D210" s="1274"/>
      <c r="E210" s="1248"/>
      <c r="F210" s="1248"/>
      <c r="G210" s="1271"/>
      <c r="H210" s="1250"/>
      <c r="I210" s="1251"/>
      <c r="J210" s="1271"/>
      <c r="K210" s="1271"/>
      <c r="L210" s="1254"/>
      <c r="M210" s="1244"/>
      <c r="N210" s="1273"/>
      <c r="O210" s="1273"/>
      <c r="P210" s="1244"/>
      <c r="Q210" s="1244"/>
      <c r="R210" s="1244"/>
      <c r="S210" s="1265"/>
      <c r="T210" s="1244"/>
      <c r="U210" s="1244"/>
    </row>
    <row r="211">
      <c r="A211" s="1235"/>
      <c r="B211" s="1235"/>
      <c r="C211" s="1246"/>
      <c r="D211" s="1274"/>
      <c r="E211" s="1248"/>
      <c r="F211" s="1248"/>
      <c r="G211" s="1271"/>
      <c r="H211" s="1250"/>
      <c r="I211" s="1251"/>
      <c r="J211" s="1271"/>
      <c r="K211" s="1271"/>
      <c r="L211" s="1254"/>
      <c r="M211" s="1244"/>
      <c r="N211" s="1273"/>
      <c r="O211" s="1273"/>
      <c r="P211" s="1244"/>
      <c r="Q211" s="1244"/>
      <c r="R211" s="1244"/>
      <c r="S211" s="1265"/>
      <c r="T211" s="1244"/>
      <c r="U211" s="1244"/>
    </row>
    <row r="212">
      <c r="A212" s="1235"/>
      <c r="B212" s="1235"/>
      <c r="C212" s="1246"/>
      <c r="D212" s="1274"/>
      <c r="E212" s="1248"/>
      <c r="F212" s="1248"/>
      <c r="G212" s="1271"/>
      <c r="H212" s="1250"/>
      <c r="I212" s="1251"/>
      <c r="J212" s="1271"/>
      <c r="K212" s="1271"/>
      <c r="L212" s="1254"/>
      <c r="M212" s="1244"/>
      <c r="N212" s="1273"/>
      <c r="O212" s="1273"/>
      <c r="P212" s="1244"/>
      <c r="Q212" s="1244"/>
      <c r="R212" s="1244"/>
      <c r="S212" s="1265"/>
      <c r="T212" s="1244"/>
      <c r="U212" s="1244"/>
    </row>
    <row r="213">
      <c r="A213" s="1235"/>
      <c r="B213" s="1235"/>
      <c r="C213" s="1246"/>
      <c r="D213" s="1274"/>
      <c r="E213" s="1248"/>
      <c r="F213" s="1248"/>
      <c r="G213" s="1271"/>
      <c r="H213" s="1250"/>
      <c r="I213" s="1251"/>
      <c r="J213" s="1271"/>
      <c r="K213" s="1271"/>
      <c r="L213" s="1254"/>
      <c r="M213" s="1244"/>
      <c r="N213" s="1273"/>
      <c r="O213" s="1273"/>
      <c r="P213" s="1244"/>
      <c r="Q213" s="1244"/>
      <c r="R213" s="1244"/>
      <c r="S213" s="1265"/>
      <c r="T213" s="1244"/>
      <c r="U213" s="1244"/>
    </row>
    <row r="214">
      <c r="A214" s="1235"/>
      <c r="B214" s="1235"/>
      <c r="C214" s="1246"/>
      <c r="D214" s="1274"/>
      <c r="E214" s="1248"/>
      <c r="F214" s="1248"/>
      <c r="G214" s="1271"/>
      <c r="H214" s="1250"/>
      <c r="I214" s="1251"/>
      <c r="J214" s="1271"/>
      <c r="K214" s="1271"/>
      <c r="L214" s="1254"/>
      <c r="M214" s="1244"/>
      <c r="N214" s="1273"/>
      <c r="O214" s="1273"/>
      <c r="P214" s="1244"/>
      <c r="Q214" s="1244"/>
      <c r="R214" s="1244"/>
      <c r="S214" s="1265"/>
      <c r="T214" s="1244"/>
      <c r="U214" s="1244"/>
    </row>
    <row r="215">
      <c r="A215" s="1235"/>
      <c r="B215" s="1235"/>
      <c r="C215" s="1246"/>
      <c r="D215" s="1274"/>
      <c r="E215" s="1248"/>
      <c r="F215" s="1248"/>
      <c r="G215" s="1271"/>
      <c r="H215" s="1250"/>
      <c r="I215" s="1251"/>
      <c r="J215" s="1271"/>
      <c r="K215" s="1271"/>
      <c r="L215" s="1254"/>
      <c r="M215" s="1244"/>
      <c r="N215" s="1273"/>
      <c r="O215" s="1273"/>
      <c r="P215" s="1244"/>
      <c r="Q215" s="1244"/>
      <c r="R215" s="1244"/>
      <c r="S215" s="1265"/>
      <c r="T215" s="1244"/>
      <c r="U215" s="1244"/>
    </row>
    <row r="216">
      <c r="A216" s="1235"/>
      <c r="B216" s="1235"/>
      <c r="C216" s="1246"/>
      <c r="D216" s="1274"/>
      <c r="E216" s="1248"/>
      <c r="F216" s="1248"/>
      <c r="G216" s="1271"/>
      <c r="H216" s="1250"/>
      <c r="I216" s="1251"/>
      <c r="J216" s="1271"/>
      <c r="K216" s="1271"/>
      <c r="L216" s="1254"/>
      <c r="M216" s="1244"/>
      <c r="N216" s="1273"/>
      <c r="O216" s="1273"/>
      <c r="P216" s="1244"/>
      <c r="Q216" s="1244"/>
      <c r="R216" s="1244"/>
      <c r="S216" s="1265"/>
      <c r="T216" s="1244"/>
      <c r="U216" s="1244"/>
    </row>
    <row r="217">
      <c r="A217" s="1235"/>
      <c r="B217" s="1235"/>
      <c r="C217" s="1246"/>
      <c r="D217" s="1274"/>
      <c r="E217" s="1248"/>
      <c r="F217" s="1248"/>
      <c r="G217" s="1271"/>
      <c r="H217" s="1250"/>
      <c r="I217" s="1251"/>
      <c r="J217" s="1271"/>
      <c r="K217" s="1271"/>
      <c r="L217" s="1254"/>
      <c r="M217" s="1244"/>
      <c r="N217" s="1273"/>
      <c r="O217" s="1273"/>
      <c r="P217" s="1244"/>
      <c r="Q217" s="1244"/>
      <c r="R217" s="1244"/>
      <c r="S217" s="1265"/>
      <c r="T217" s="1244"/>
      <c r="U217" s="1244"/>
    </row>
    <row r="218">
      <c r="A218" s="1235"/>
      <c r="B218" s="1235"/>
      <c r="C218" s="1246"/>
      <c r="D218" s="1274"/>
      <c r="E218" s="1248"/>
      <c r="F218" s="1248"/>
      <c r="G218" s="1271"/>
      <c r="H218" s="1250"/>
      <c r="I218" s="1251"/>
      <c r="J218" s="1271"/>
      <c r="K218" s="1271"/>
      <c r="L218" s="1254"/>
      <c r="M218" s="1244"/>
      <c r="N218" s="1273"/>
      <c r="O218" s="1273"/>
      <c r="P218" s="1244"/>
      <c r="Q218" s="1244"/>
      <c r="R218" s="1244"/>
      <c r="S218" s="1265"/>
      <c r="T218" s="1244"/>
      <c r="U218" s="1244"/>
    </row>
    <row r="219">
      <c r="A219" s="1235"/>
      <c r="B219" s="1235"/>
      <c r="C219" s="1246"/>
      <c r="D219" s="1274"/>
      <c r="E219" s="1248"/>
      <c r="F219" s="1248"/>
      <c r="G219" s="1271"/>
      <c r="H219" s="1250"/>
      <c r="I219" s="1251"/>
      <c r="J219" s="1271"/>
      <c r="K219" s="1271"/>
      <c r="L219" s="1254"/>
      <c r="M219" s="1244"/>
      <c r="N219" s="1273"/>
      <c r="O219" s="1273"/>
      <c r="P219" s="1244"/>
      <c r="Q219" s="1244"/>
      <c r="R219" s="1244"/>
      <c r="S219" s="1265"/>
      <c r="T219" s="1244"/>
      <c r="U219" s="1244"/>
    </row>
    <row r="220">
      <c r="A220" s="1235"/>
      <c r="B220" s="1235"/>
      <c r="C220" s="1246"/>
      <c r="D220" s="1274"/>
      <c r="E220" s="1248"/>
      <c r="F220" s="1248"/>
      <c r="G220" s="1271"/>
      <c r="H220" s="1250"/>
      <c r="I220" s="1251"/>
      <c r="J220" s="1271"/>
      <c r="K220" s="1271"/>
      <c r="L220" s="1254"/>
      <c r="M220" s="1244"/>
      <c r="N220" s="1273"/>
      <c r="O220" s="1273"/>
      <c r="P220" s="1244"/>
      <c r="Q220" s="1244"/>
      <c r="R220" s="1244"/>
      <c r="S220" s="1265"/>
      <c r="T220" s="1244"/>
      <c r="U220" s="1244"/>
    </row>
    <row r="221">
      <c r="A221" s="1235"/>
      <c r="B221" s="1235"/>
      <c r="C221" s="1246"/>
      <c r="D221" s="1274"/>
      <c r="E221" s="1248"/>
      <c r="F221" s="1248"/>
      <c r="G221" s="1271"/>
      <c r="H221" s="1250"/>
      <c r="I221" s="1251"/>
      <c r="J221" s="1271"/>
      <c r="K221" s="1271"/>
      <c r="L221" s="1254"/>
      <c r="M221" s="1244"/>
      <c r="N221" s="1273"/>
      <c r="O221" s="1273"/>
      <c r="P221" s="1244"/>
      <c r="Q221" s="1244"/>
      <c r="R221" s="1244"/>
      <c r="S221" s="1265"/>
      <c r="T221" s="1244"/>
      <c r="U221" s="1244"/>
    </row>
    <row r="222">
      <c r="A222" s="1235"/>
      <c r="B222" s="1235"/>
      <c r="C222" s="1246"/>
      <c r="D222" s="1274"/>
      <c r="E222" s="1248"/>
      <c r="F222" s="1248"/>
      <c r="G222" s="1271"/>
      <c r="H222" s="1250"/>
      <c r="I222" s="1251"/>
      <c r="J222" s="1271"/>
      <c r="K222" s="1271"/>
      <c r="L222" s="1254"/>
      <c r="M222" s="1244"/>
      <c r="N222" s="1273"/>
      <c r="O222" s="1273"/>
      <c r="P222" s="1244"/>
      <c r="Q222" s="1244"/>
      <c r="R222" s="1244"/>
      <c r="S222" s="1265"/>
      <c r="T222" s="1244"/>
      <c r="U222" s="1244"/>
    </row>
    <row r="223">
      <c r="A223" s="1235"/>
      <c r="B223" s="1235"/>
      <c r="C223" s="1246"/>
      <c r="D223" s="1274"/>
      <c r="E223" s="1248"/>
      <c r="F223" s="1248"/>
      <c r="G223" s="1271"/>
      <c r="H223" s="1250"/>
      <c r="I223" s="1251"/>
      <c r="J223" s="1271"/>
      <c r="K223" s="1271"/>
      <c r="L223" s="1254"/>
      <c r="M223" s="1244"/>
      <c r="N223" s="1273"/>
      <c r="O223" s="1273"/>
      <c r="P223" s="1244"/>
      <c r="Q223" s="1244"/>
      <c r="R223" s="1244"/>
      <c r="S223" s="1265"/>
      <c r="T223" s="1244"/>
      <c r="U223" s="1244"/>
    </row>
    <row r="224">
      <c r="A224" s="1235"/>
      <c r="B224" s="1235"/>
      <c r="C224" s="1246"/>
      <c r="D224" s="1274"/>
      <c r="E224" s="1248"/>
      <c r="F224" s="1248"/>
      <c r="G224" s="1271"/>
      <c r="H224" s="1250"/>
      <c r="I224" s="1251"/>
      <c r="J224" s="1271"/>
      <c r="K224" s="1271"/>
      <c r="L224" s="1254"/>
      <c r="M224" s="1244"/>
      <c r="N224" s="1273"/>
      <c r="O224" s="1273"/>
      <c r="P224" s="1244"/>
      <c r="Q224" s="1244"/>
      <c r="R224" s="1244"/>
      <c r="S224" s="1265"/>
      <c r="T224" s="1244"/>
      <c r="U224" s="1244"/>
    </row>
    <row r="225">
      <c r="A225" s="1235"/>
      <c r="B225" s="1235"/>
      <c r="C225" s="1246"/>
      <c r="D225" s="1274"/>
      <c r="E225" s="1248"/>
      <c r="F225" s="1248"/>
      <c r="G225" s="1271"/>
      <c r="H225" s="1250"/>
      <c r="I225" s="1251"/>
      <c r="J225" s="1271"/>
      <c r="K225" s="1271"/>
      <c r="L225" s="1254"/>
      <c r="M225" s="1244"/>
      <c r="N225" s="1273"/>
      <c r="O225" s="1273"/>
      <c r="P225" s="1244"/>
      <c r="Q225" s="1244"/>
      <c r="R225" s="1244"/>
      <c r="S225" s="1265"/>
      <c r="T225" s="1244"/>
      <c r="U225" s="1244"/>
    </row>
    <row r="226">
      <c r="A226" s="1235"/>
      <c r="B226" s="1235"/>
      <c r="C226" s="1246"/>
      <c r="D226" s="1274"/>
      <c r="E226" s="1248"/>
      <c r="F226" s="1248"/>
      <c r="G226" s="1271"/>
      <c r="H226" s="1250"/>
      <c r="I226" s="1251"/>
      <c r="J226" s="1271"/>
      <c r="K226" s="1271"/>
      <c r="L226" s="1254"/>
      <c r="M226" s="1244"/>
      <c r="N226" s="1273"/>
      <c r="O226" s="1273"/>
      <c r="P226" s="1244"/>
      <c r="Q226" s="1244"/>
      <c r="R226" s="1244"/>
      <c r="S226" s="1265"/>
      <c r="T226" s="1244"/>
      <c r="U226" s="1244"/>
    </row>
    <row r="227">
      <c r="A227" s="1235"/>
      <c r="B227" s="1235"/>
      <c r="C227" s="1246"/>
      <c r="D227" s="1274"/>
      <c r="E227" s="1248"/>
      <c r="F227" s="1248"/>
      <c r="G227" s="1271"/>
      <c r="H227" s="1250"/>
      <c r="I227" s="1251"/>
      <c r="J227" s="1271"/>
      <c r="K227" s="1271"/>
      <c r="L227" s="1254"/>
      <c r="M227" s="1244"/>
      <c r="N227" s="1273"/>
      <c r="O227" s="1273"/>
      <c r="P227" s="1244"/>
      <c r="Q227" s="1244"/>
      <c r="R227" s="1244"/>
      <c r="S227" s="1265"/>
      <c r="T227" s="1244"/>
      <c r="U227" s="1244"/>
    </row>
    <row r="228">
      <c r="A228" s="1235"/>
      <c r="B228" s="1235"/>
      <c r="C228" s="1246"/>
      <c r="D228" s="1274"/>
      <c r="E228" s="1248"/>
      <c r="F228" s="1248"/>
      <c r="G228" s="1271"/>
      <c r="H228" s="1250"/>
      <c r="I228" s="1251"/>
      <c r="J228" s="1271"/>
      <c r="K228" s="1271"/>
      <c r="L228" s="1254"/>
      <c r="M228" s="1244"/>
      <c r="N228" s="1273"/>
      <c r="O228" s="1273"/>
      <c r="P228" s="1244"/>
      <c r="Q228" s="1244"/>
      <c r="R228" s="1244"/>
      <c r="S228" s="1265"/>
      <c r="T228" s="1244"/>
      <c r="U228" s="1244"/>
    </row>
    <row r="229">
      <c r="A229" s="1235"/>
      <c r="B229" s="1235"/>
      <c r="C229" s="1246"/>
      <c r="D229" s="1274"/>
      <c r="E229" s="1248"/>
      <c r="F229" s="1248"/>
      <c r="G229" s="1271"/>
      <c r="H229" s="1250"/>
      <c r="I229" s="1251"/>
      <c r="J229" s="1271"/>
      <c r="K229" s="1271"/>
      <c r="L229" s="1254"/>
      <c r="M229" s="1244"/>
      <c r="N229" s="1273"/>
      <c r="O229" s="1273"/>
      <c r="P229" s="1244"/>
      <c r="Q229" s="1244"/>
      <c r="R229" s="1244"/>
      <c r="S229" s="1265"/>
      <c r="T229" s="1244"/>
      <c r="U229" s="1244"/>
    </row>
    <row r="230">
      <c r="A230" s="1235"/>
      <c r="B230" s="1235"/>
      <c r="C230" s="1246"/>
      <c r="D230" s="1274"/>
      <c r="E230" s="1248"/>
      <c r="F230" s="1248"/>
      <c r="G230" s="1271"/>
      <c r="H230" s="1250"/>
      <c r="I230" s="1251"/>
      <c r="J230" s="1271"/>
      <c r="K230" s="1271"/>
      <c r="L230" s="1254"/>
      <c r="M230" s="1244"/>
      <c r="N230" s="1273"/>
      <c r="O230" s="1273"/>
      <c r="P230" s="1244"/>
      <c r="Q230" s="1244"/>
      <c r="R230" s="1244"/>
      <c r="S230" s="1265"/>
      <c r="T230" s="1244"/>
      <c r="U230" s="1244"/>
    </row>
    <row r="231">
      <c r="A231" s="1235"/>
      <c r="B231" s="1235"/>
      <c r="C231" s="1246"/>
      <c r="D231" s="1274"/>
      <c r="E231" s="1248"/>
      <c r="F231" s="1248"/>
      <c r="G231" s="1271"/>
      <c r="H231" s="1250"/>
      <c r="I231" s="1251"/>
      <c r="J231" s="1271"/>
      <c r="K231" s="1271"/>
      <c r="L231" s="1254"/>
      <c r="M231" s="1244"/>
      <c r="N231" s="1273"/>
      <c r="O231" s="1273"/>
      <c r="P231" s="1244"/>
      <c r="Q231" s="1244"/>
      <c r="R231" s="1244"/>
      <c r="S231" s="1265"/>
      <c r="T231" s="1244"/>
      <c r="U231" s="1244"/>
    </row>
    <row r="232">
      <c r="A232" s="1235"/>
      <c r="B232" s="1235"/>
      <c r="C232" s="1246"/>
      <c r="D232" s="1274"/>
      <c r="E232" s="1248"/>
      <c r="F232" s="1248"/>
      <c r="G232" s="1271"/>
      <c r="H232" s="1250"/>
      <c r="I232" s="1251"/>
      <c r="J232" s="1271"/>
      <c r="K232" s="1271"/>
      <c r="L232" s="1254"/>
      <c r="M232" s="1244"/>
      <c r="N232" s="1273"/>
      <c r="O232" s="1273"/>
      <c r="P232" s="1244"/>
      <c r="Q232" s="1244"/>
      <c r="R232" s="1244"/>
      <c r="S232" s="1265"/>
      <c r="T232" s="1244"/>
      <c r="U232" s="1244"/>
    </row>
    <row r="233">
      <c r="A233" s="1235"/>
      <c r="B233" s="1235"/>
      <c r="C233" s="1246"/>
      <c r="D233" s="1274"/>
      <c r="E233" s="1248"/>
      <c r="F233" s="1248"/>
      <c r="G233" s="1271"/>
      <c r="H233" s="1250"/>
      <c r="I233" s="1251"/>
      <c r="J233" s="1271"/>
      <c r="K233" s="1271"/>
      <c r="L233" s="1254"/>
      <c r="M233" s="1244"/>
      <c r="N233" s="1273"/>
      <c r="O233" s="1273"/>
      <c r="P233" s="1244"/>
      <c r="Q233" s="1244"/>
      <c r="R233" s="1244"/>
      <c r="S233" s="1265"/>
      <c r="T233" s="1244"/>
      <c r="U233" s="1244"/>
    </row>
    <row r="234">
      <c r="A234" s="1235"/>
      <c r="B234" s="1235"/>
      <c r="C234" s="1246"/>
      <c r="D234" s="1274"/>
      <c r="E234" s="1248"/>
      <c r="F234" s="1248"/>
      <c r="G234" s="1271"/>
      <c r="H234" s="1250"/>
      <c r="I234" s="1251"/>
      <c r="J234" s="1271"/>
      <c r="K234" s="1271"/>
      <c r="L234" s="1254"/>
      <c r="M234" s="1244"/>
      <c r="N234" s="1273"/>
      <c r="O234" s="1273"/>
      <c r="P234" s="1244"/>
      <c r="Q234" s="1244"/>
      <c r="R234" s="1244"/>
      <c r="S234" s="1265"/>
      <c r="T234" s="1244"/>
      <c r="U234" s="1244"/>
    </row>
    <row r="235">
      <c r="A235" s="1235"/>
      <c r="B235" s="1235"/>
      <c r="C235" s="1246"/>
      <c r="D235" s="1274"/>
      <c r="E235" s="1248"/>
      <c r="F235" s="1248"/>
      <c r="G235" s="1271"/>
      <c r="H235" s="1250"/>
      <c r="I235" s="1251"/>
      <c r="J235" s="1271"/>
      <c r="K235" s="1271"/>
      <c r="L235" s="1254"/>
      <c r="M235" s="1244"/>
      <c r="N235" s="1273"/>
      <c r="O235" s="1273"/>
      <c r="P235" s="1244"/>
      <c r="Q235" s="1244"/>
      <c r="R235" s="1244"/>
      <c r="S235" s="1265"/>
      <c r="T235" s="1244"/>
      <c r="U235" s="1244"/>
    </row>
    <row r="236">
      <c r="A236" s="1235"/>
      <c r="B236" s="1235"/>
      <c r="C236" s="1246"/>
      <c r="D236" s="1274"/>
      <c r="E236" s="1248"/>
      <c r="F236" s="1248"/>
      <c r="G236" s="1271"/>
      <c r="H236" s="1250"/>
      <c r="I236" s="1251"/>
      <c r="J236" s="1271"/>
      <c r="K236" s="1271"/>
      <c r="L236" s="1254"/>
      <c r="M236" s="1244"/>
      <c r="N236" s="1273"/>
      <c r="O236" s="1273"/>
      <c r="P236" s="1244"/>
      <c r="Q236" s="1244"/>
      <c r="R236" s="1244"/>
      <c r="S236" s="1265"/>
      <c r="T236" s="1244"/>
      <c r="U236" s="1244"/>
    </row>
    <row r="237">
      <c r="A237" s="1235"/>
      <c r="B237" s="1235"/>
      <c r="C237" s="1246"/>
      <c r="D237" s="1274"/>
      <c r="E237" s="1248"/>
      <c r="F237" s="1248"/>
      <c r="G237" s="1271"/>
      <c r="H237" s="1250"/>
      <c r="I237" s="1251"/>
      <c r="J237" s="1271"/>
      <c r="K237" s="1271"/>
      <c r="L237" s="1254"/>
      <c r="M237" s="1244"/>
      <c r="N237" s="1273"/>
      <c r="O237" s="1273"/>
      <c r="P237" s="1244"/>
      <c r="Q237" s="1244"/>
      <c r="R237" s="1244"/>
      <c r="S237" s="1265"/>
      <c r="T237" s="1244"/>
      <c r="U237" s="1244"/>
    </row>
    <row r="238">
      <c r="A238" s="1235"/>
      <c r="B238" s="1235"/>
      <c r="C238" s="1246"/>
      <c r="D238" s="1274"/>
      <c r="E238" s="1248"/>
      <c r="F238" s="1248"/>
      <c r="G238" s="1271"/>
      <c r="H238" s="1250"/>
      <c r="I238" s="1251"/>
      <c r="J238" s="1271"/>
      <c r="K238" s="1271"/>
      <c r="L238" s="1254"/>
      <c r="M238" s="1244"/>
      <c r="N238" s="1273"/>
      <c r="O238" s="1273"/>
      <c r="P238" s="1244"/>
      <c r="Q238" s="1244"/>
      <c r="R238" s="1244"/>
      <c r="S238" s="1265"/>
      <c r="T238" s="1244"/>
      <c r="U238" s="1244"/>
    </row>
    <row r="239">
      <c r="A239" s="1235"/>
      <c r="B239" s="1235"/>
      <c r="C239" s="1246"/>
      <c r="D239" s="1274"/>
      <c r="E239" s="1248"/>
      <c r="F239" s="1248"/>
      <c r="G239" s="1271"/>
      <c r="H239" s="1250"/>
      <c r="I239" s="1251"/>
      <c r="J239" s="1271"/>
      <c r="K239" s="1271"/>
      <c r="L239" s="1254"/>
      <c r="M239" s="1244"/>
      <c r="N239" s="1273"/>
      <c r="O239" s="1273"/>
      <c r="P239" s="1244"/>
      <c r="Q239" s="1244"/>
      <c r="R239" s="1244"/>
      <c r="S239" s="1265"/>
      <c r="T239" s="1244"/>
      <c r="U239" s="1244"/>
    </row>
    <row r="240">
      <c r="A240" s="1235"/>
      <c r="B240" s="1235"/>
      <c r="C240" s="1246"/>
      <c r="D240" s="1274"/>
      <c r="E240" s="1248"/>
      <c r="F240" s="1248"/>
      <c r="G240" s="1271"/>
      <c r="H240" s="1250"/>
      <c r="I240" s="1251"/>
      <c r="J240" s="1271"/>
      <c r="K240" s="1271"/>
      <c r="L240" s="1254"/>
      <c r="M240" s="1244"/>
      <c r="N240" s="1273"/>
      <c r="O240" s="1273"/>
      <c r="P240" s="1244"/>
      <c r="Q240" s="1244"/>
      <c r="R240" s="1244"/>
      <c r="S240" s="1265"/>
      <c r="T240" s="1244"/>
      <c r="U240" s="1244"/>
    </row>
    <row r="241">
      <c r="A241" s="1235"/>
      <c r="B241" s="1235"/>
      <c r="C241" s="1246"/>
      <c r="D241" s="1274"/>
      <c r="E241" s="1248"/>
      <c r="F241" s="1248"/>
      <c r="G241" s="1271"/>
      <c r="H241" s="1250"/>
      <c r="I241" s="1251"/>
      <c r="J241" s="1271"/>
      <c r="K241" s="1271"/>
      <c r="L241" s="1254"/>
      <c r="M241" s="1244"/>
      <c r="N241" s="1273"/>
      <c r="O241" s="1273"/>
      <c r="P241" s="1244"/>
      <c r="Q241" s="1244"/>
      <c r="R241" s="1244"/>
      <c r="S241" s="1265"/>
      <c r="T241" s="1244"/>
      <c r="U241" s="1244"/>
    </row>
    <row r="242">
      <c r="A242" s="1235"/>
      <c r="B242" s="1235"/>
      <c r="C242" s="1246"/>
      <c r="D242" s="1274"/>
      <c r="E242" s="1248"/>
      <c r="F242" s="1248"/>
      <c r="G242" s="1271"/>
      <c r="H242" s="1250"/>
      <c r="I242" s="1251"/>
      <c r="J242" s="1271"/>
      <c r="K242" s="1271"/>
      <c r="L242" s="1254"/>
      <c r="M242" s="1244"/>
      <c r="N242" s="1273"/>
      <c r="O242" s="1273"/>
      <c r="P242" s="1244"/>
      <c r="Q242" s="1244"/>
      <c r="R242" s="1244"/>
      <c r="S242" s="1265"/>
      <c r="T242" s="1244"/>
      <c r="U242" s="1244"/>
    </row>
    <row r="243">
      <c r="A243" s="1235"/>
      <c r="B243" s="1235"/>
      <c r="C243" s="1246"/>
      <c r="D243" s="1274"/>
      <c r="E243" s="1248"/>
      <c r="F243" s="1248"/>
      <c r="G243" s="1271"/>
      <c r="H243" s="1250"/>
      <c r="I243" s="1251"/>
      <c r="J243" s="1271"/>
      <c r="K243" s="1271"/>
      <c r="L243" s="1254"/>
      <c r="M243" s="1244"/>
      <c r="N243" s="1273"/>
      <c r="O243" s="1273"/>
      <c r="P243" s="1244"/>
      <c r="Q243" s="1244"/>
      <c r="R243" s="1244"/>
      <c r="S243" s="1265"/>
      <c r="T243" s="1244"/>
      <c r="U243" s="1244"/>
    </row>
    <row r="244">
      <c r="A244" s="1235"/>
      <c r="B244" s="1235"/>
      <c r="C244" s="1246"/>
      <c r="D244" s="1274"/>
      <c r="E244" s="1248"/>
      <c r="F244" s="1248"/>
      <c r="G244" s="1271"/>
      <c r="H244" s="1250"/>
      <c r="I244" s="1251"/>
      <c r="J244" s="1271"/>
      <c r="K244" s="1271"/>
      <c r="L244" s="1254"/>
      <c r="M244" s="1244"/>
      <c r="N244" s="1273"/>
      <c r="O244" s="1273"/>
      <c r="P244" s="1244"/>
      <c r="Q244" s="1244"/>
      <c r="R244" s="1244"/>
      <c r="S244" s="1265"/>
      <c r="T244" s="1244"/>
      <c r="U244" s="1244"/>
    </row>
    <row r="245">
      <c r="A245" s="1235"/>
      <c r="B245" s="1235"/>
      <c r="C245" s="1246"/>
      <c r="D245" s="1274"/>
      <c r="E245" s="1248"/>
      <c r="F245" s="1248"/>
      <c r="G245" s="1271"/>
      <c r="H245" s="1250"/>
      <c r="I245" s="1251"/>
      <c r="J245" s="1271"/>
      <c r="K245" s="1271"/>
      <c r="L245" s="1254"/>
      <c r="M245" s="1244"/>
      <c r="N245" s="1273"/>
      <c r="O245" s="1273"/>
      <c r="P245" s="1244"/>
      <c r="Q245" s="1244"/>
      <c r="R245" s="1244"/>
      <c r="S245" s="1265"/>
      <c r="T245" s="1244"/>
      <c r="U245" s="1244"/>
    </row>
    <row r="246">
      <c r="A246" s="1235"/>
      <c r="B246" s="1235"/>
      <c r="C246" s="1246"/>
      <c r="D246" s="1274"/>
      <c r="E246" s="1248"/>
      <c r="F246" s="1248"/>
      <c r="G246" s="1271"/>
      <c r="H246" s="1250"/>
      <c r="I246" s="1251"/>
      <c r="J246" s="1271"/>
      <c r="K246" s="1271"/>
      <c r="L246" s="1254"/>
      <c r="M246" s="1244"/>
      <c r="N246" s="1273"/>
      <c r="O246" s="1273"/>
      <c r="P246" s="1244"/>
      <c r="Q246" s="1244"/>
      <c r="R246" s="1244"/>
      <c r="S246" s="1265"/>
      <c r="T246" s="1244"/>
      <c r="U246" s="1244"/>
    </row>
    <row r="247">
      <c r="A247" s="1235"/>
      <c r="B247" s="1235"/>
      <c r="C247" s="1246"/>
      <c r="D247" s="1274"/>
      <c r="E247" s="1248"/>
      <c r="F247" s="1248"/>
      <c r="G247" s="1271"/>
      <c r="H247" s="1250"/>
      <c r="I247" s="1251"/>
      <c r="J247" s="1271"/>
      <c r="K247" s="1271"/>
      <c r="L247" s="1254"/>
      <c r="M247" s="1244"/>
      <c r="N247" s="1273"/>
      <c r="O247" s="1273"/>
      <c r="P247" s="1244"/>
      <c r="Q247" s="1244"/>
      <c r="R247" s="1244"/>
      <c r="S247" s="1265"/>
      <c r="T247" s="1244"/>
      <c r="U247" s="1244"/>
    </row>
    <row r="248">
      <c r="A248" s="1235"/>
      <c r="B248" s="1235"/>
      <c r="C248" s="1246"/>
      <c r="D248" s="1274"/>
      <c r="E248" s="1248"/>
      <c r="F248" s="1248"/>
      <c r="G248" s="1271"/>
      <c r="H248" s="1250"/>
      <c r="I248" s="1251"/>
      <c r="J248" s="1271"/>
      <c r="K248" s="1271"/>
      <c r="L248" s="1254"/>
      <c r="M248" s="1244"/>
      <c r="N248" s="1273"/>
      <c r="O248" s="1273"/>
      <c r="P248" s="1244"/>
      <c r="Q248" s="1244"/>
      <c r="R248" s="1244"/>
      <c r="S248" s="1265"/>
      <c r="T248" s="1244"/>
      <c r="U248" s="1244"/>
    </row>
    <row r="249">
      <c r="A249" s="1235"/>
      <c r="B249" s="1235"/>
      <c r="C249" s="1246"/>
      <c r="D249" s="1274"/>
      <c r="E249" s="1248"/>
      <c r="F249" s="1248"/>
      <c r="G249" s="1271"/>
      <c r="H249" s="1250"/>
      <c r="I249" s="1251"/>
      <c r="J249" s="1271"/>
      <c r="K249" s="1271"/>
      <c r="L249" s="1254"/>
      <c r="M249" s="1244"/>
      <c r="N249" s="1273"/>
      <c r="O249" s="1273"/>
      <c r="P249" s="1244"/>
      <c r="Q249" s="1244"/>
      <c r="R249" s="1244"/>
      <c r="S249" s="1265"/>
      <c r="T249" s="1244"/>
      <c r="U249" s="1244"/>
    </row>
    <row r="250">
      <c r="A250" s="1235"/>
      <c r="B250" s="1235"/>
      <c r="C250" s="1246"/>
      <c r="D250" s="1274"/>
      <c r="E250" s="1248"/>
      <c r="F250" s="1248"/>
      <c r="G250" s="1271"/>
      <c r="H250" s="1250"/>
      <c r="I250" s="1251"/>
      <c r="J250" s="1271"/>
      <c r="K250" s="1271"/>
      <c r="L250" s="1254"/>
      <c r="M250" s="1244"/>
      <c r="N250" s="1273"/>
      <c r="O250" s="1273"/>
      <c r="P250" s="1244"/>
      <c r="Q250" s="1244"/>
      <c r="R250" s="1244"/>
      <c r="S250" s="1265"/>
      <c r="T250" s="1244"/>
      <c r="U250" s="1244"/>
    </row>
    <row r="251">
      <c r="A251" s="1235"/>
      <c r="B251" s="1235"/>
      <c r="C251" s="1246"/>
      <c r="D251" s="1274"/>
      <c r="E251" s="1248"/>
      <c r="F251" s="1248"/>
      <c r="G251" s="1271"/>
      <c r="H251" s="1250"/>
      <c r="I251" s="1251"/>
      <c r="J251" s="1271"/>
      <c r="K251" s="1271"/>
      <c r="L251" s="1254"/>
      <c r="M251" s="1244"/>
      <c r="N251" s="1273"/>
      <c r="O251" s="1273"/>
      <c r="P251" s="1244"/>
      <c r="Q251" s="1244"/>
      <c r="R251" s="1244"/>
      <c r="S251" s="1265"/>
      <c r="T251" s="1244"/>
      <c r="U251" s="1244"/>
    </row>
    <row r="252">
      <c r="A252" s="1235"/>
      <c r="B252" s="1235"/>
      <c r="C252" s="1246"/>
      <c r="D252" s="1274"/>
      <c r="E252" s="1248"/>
      <c r="F252" s="1248"/>
      <c r="G252" s="1271"/>
      <c r="H252" s="1250"/>
      <c r="I252" s="1251"/>
      <c r="J252" s="1271"/>
      <c r="K252" s="1271"/>
      <c r="L252" s="1254"/>
      <c r="M252" s="1244"/>
      <c r="N252" s="1273"/>
      <c r="O252" s="1273"/>
      <c r="P252" s="1244"/>
      <c r="Q252" s="1244"/>
      <c r="R252" s="1244"/>
      <c r="S252" s="1265"/>
      <c r="T252" s="1244"/>
      <c r="U252" s="1244"/>
    </row>
    <row r="253">
      <c r="A253" s="1235"/>
      <c r="B253" s="1235"/>
      <c r="C253" s="1246"/>
      <c r="D253" s="1274"/>
      <c r="E253" s="1248"/>
      <c r="F253" s="1248"/>
      <c r="G253" s="1271"/>
      <c r="H253" s="1250"/>
      <c r="I253" s="1251"/>
      <c r="J253" s="1271"/>
      <c r="K253" s="1271"/>
      <c r="L253" s="1254"/>
      <c r="M253" s="1244"/>
      <c r="N253" s="1273"/>
      <c r="O253" s="1273"/>
      <c r="P253" s="1244"/>
      <c r="Q253" s="1244"/>
      <c r="R253" s="1244"/>
      <c r="S253" s="1265"/>
      <c r="T253" s="1244"/>
      <c r="U253" s="1244"/>
    </row>
    <row r="254">
      <c r="A254" s="1235"/>
      <c r="B254" s="1235"/>
      <c r="C254" s="1246"/>
      <c r="D254" s="1274"/>
      <c r="E254" s="1248"/>
      <c r="F254" s="1248"/>
      <c r="G254" s="1271"/>
      <c r="H254" s="1250"/>
      <c r="I254" s="1251"/>
      <c r="J254" s="1271"/>
      <c r="K254" s="1271"/>
      <c r="L254" s="1254"/>
      <c r="M254" s="1244"/>
      <c r="N254" s="1273"/>
      <c r="O254" s="1273"/>
      <c r="P254" s="1244"/>
      <c r="Q254" s="1244"/>
      <c r="R254" s="1244"/>
      <c r="S254" s="1265"/>
      <c r="T254" s="1244"/>
      <c r="U254" s="1244"/>
    </row>
    <row r="255">
      <c r="A255" s="1235"/>
      <c r="B255" s="1235"/>
      <c r="C255" s="1246"/>
      <c r="D255" s="1274"/>
      <c r="E255" s="1248"/>
      <c r="F255" s="1248"/>
      <c r="G255" s="1271"/>
      <c r="H255" s="1250"/>
      <c r="I255" s="1251"/>
      <c r="J255" s="1271"/>
      <c r="K255" s="1271"/>
      <c r="L255" s="1254"/>
      <c r="M255" s="1244"/>
      <c r="N255" s="1273"/>
      <c r="O255" s="1273"/>
      <c r="P255" s="1244"/>
      <c r="Q255" s="1244"/>
      <c r="R255" s="1244"/>
      <c r="S255" s="1265"/>
      <c r="T255" s="1244"/>
      <c r="U255" s="1244"/>
    </row>
    <row r="256">
      <c r="A256" s="1235"/>
      <c r="B256" s="1235"/>
      <c r="C256" s="1246"/>
      <c r="D256" s="1274"/>
      <c r="E256" s="1248"/>
      <c r="F256" s="1248"/>
      <c r="G256" s="1271"/>
      <c r="H256" s="1250"/>
      <c r="I256" s="1251"/>
      <c r="J256" s="1271"/>
      <c r="K256" s="1271"/>
      <c r="L256" s="1254"/>
      <c r="M256" s="1244"/>
      <c r="N256" s="1273"/>
      <c r="O256" s="1273"/>
      <c r="P256" s="1244"/>
      <c r="Q256" s="1244"/>
      <c r="R256" s="1244"/>
      <c r="S256" s="1265"/>
      <c r="T256" s="1244"/>
      <c r="U256" s="1244"/>
    </row>
    <row r="257">
      <c r="A257" s="1235"/>
      <c r="B257" s="1235"/>
      <c r="C257" s="1246"/>
      <c r="D257" s="1274"/>
      <c r="E257" s="1248"/>
      <c r="F257" s="1248"/>
      <c r="G257" s="1271"/>
      <c r="H257" s="1250"/>
      <c r="I257" s="1251"/>
      <c r="J257" s="1271"/>
      <c r="K257" s="1271"/>
      <c r="L257" s="1254"/>
      <c r="M257" s="1244"/>
      <c r="N257" s="1273"/>
      <c r="O257" s="1273"/>
      <c r="P257" s="1244"/>
      <c r="Q257" s="1244"/>
      <c r="R257" s="1244"/>
      <c r="S257" s="1265"/>
      <c r="T257" s="1244"/>
      <c r="U257" s="1244"/>
    </row>
    <row r="258">
      <c r="A258" s="1235"/>
      <c r="B258" s="1235"/>
      <c r="C258" s="1246"/>
      <c r="D258" s="1274"/>
      <c r="E258" s="1248"/>
      <c r="F258" s="1248"/>
      <c r="G258" s="1271"/>
      <c r="H258" s="1250"/>
      <c r="I258" s="1251"/>
      <c r="J258" s="1271"/>
      <c r="K258" s="1271"/>
      <c r="L258" s="1254"/>
      <c r="M258" s="1244"/>
      <c r="N258" s="1273"/>
      <c r="O258" s="1273"/>
      <c r="P258" s="1244"/>
      <c r="Q258" s="1244"/>
      <c r="R258" s="1244"/>
      <c r="S258" s="1265"/>
      <c r="T258" s="1244"/>
      <c r="U258" s="1244"/>
    </row>
    <row r="259">
      <c r="A259" s="1235"/>
      <c r="B259" s="1235"/>
      <c r="C259" s="1246"/>
      <c r="D259" s="1274"/>
      <c r="E259" s="1248"/>
      <c r="F259" s="1248"/>
      <c r="G259" s="1271"/>
      <c r="H259" s="1250"/>
      <c r="I259" s="1251"/>
      <c r="J259" s="1271"/>
      <c r="K259" s="1271"/>
      <c r="L259" s="1254"/>
      <c r="M259" s="1244"/>
      <c r="N259" s="1273"/>
      <c r="O259" s="1273"/>
      <c r="P259" s="1244"/>
      <c r="Q259" s="1244"/>
      <c r="R259" s="1244"/>
      <c r="S259" s="1265"/>
      <c r="T259" s="1244"/>
      <c r="U259" s="1244"/>
    </row>
    <row r="260">
      <c r="A260" s="1235"/>
      <c r="B260" s="1235"/>
      <c r="C260" s="1246"/>
      <c r="D260" s="1274"/>
      <c r="E260" s="1248"/>
      <c r="F260" s="1248"/>
      <c r="G260" s="1271"/>
      <c r="H260" s="1250"/>
      <c r="I260" s="1251"/>
      <c r="J260" s="1271"/>
      <c r="K260" s="1271"/>
      <c r="L260" s="1254"/>
      <c r="M260" s="1244"/>
      <c r="N260" s="1273"/>
      <c r="O260" s="1273"/>
      <c r="P260" s="1244"/>
      <c r="Q260" s="1244"/>
      <c r="R260" s="1244"/>
      <c r="S260" s="1265"/>
      <c r="T260" s="1244"/>
      <c r="U260" s="1244"/>
    </row>
    <row r="261">
      <c r="A261" s="1235"/>
      <c r="B261" s="1235"/>
      <c r="C261" s="1246"/>
      <c r="D261" s="1274"/>
      <c r="E261" s="1248"/>
      <c r="F261" s="1248"/>
      <c r="G261" s="1271"/>
      <c r="H261" s="1250"/>
      <c r="I261" s="1251"/>
      <c r="J261" s="1271"/>
      <c r="K261" s="1271"/>
      <c r="L261" s="1254"/>
      <c r="M261" s="1244"/>
      <c r="N261" s="1273"/>
      <c r="O261" s="1273"/>
      <c r="P261" s="1244"/>
      <c r="Q261" s="1244"/>
      <c r="R261" s="1244"/>
      <c r="S261" s="1265"/>
      <c r="T261" s="1244"/>
      <c r="U261" s="1244"/>
    </row>
    <row r="262">
      <c r="A262" s="1235"/>
      <c r="B262" s="1235"/>
      <c r="C262" s="1246"/>
      <c r="D262" s="1274"/>
      <c r="E262" s="1248"/>
      <c r="F262" s="1248"/>
      <c r="G262" s="1271"/>
      <c r="H262" s="1250"/>
      <c r="I262" s="1251"/>
      <c r="J262" s="1271"/>
      <c r="K262" s="1271"/>
      <c r="L262" s="1254"/>
      <c r="M262" s="1244"/>
      <c r="N262" s="1273"/>
      <c r="O262" s="1273"/>
      <c r="P262" s="1244"/>
      <c r="Q262" s="1244"/>
      <c r="R262" s="1244"/>
      <c r="S262" s="1265"/>
      <c r="T262" s="1244"/>
      <c r="U262" s="1244"/>
    </row>
    <row r="263">
      <c r="A263" s="1235"/>
      <c r="B263" s="1235"/>
      <c r="C263" s="1246"/>
      <c r="D263" s="1274"/>
      <c r="E263" s="1248"/>
      <c r="F263" s="1248"/>
      <c r="G263" s="1271"/>
      <c r="H263" s="1250"/>
      <c r="I263" s="1251"/>
      <c r="J263" s="1271"/>
      <c r="K263" s="1271"/>
      <c r="L263" s="1254"/>
      <c r="M263" s="1244"/>
      <c r="N263" s="1273"/>
      <c r="O263" s="1273"/>
      <c r="P263" s="1244"/>
      <c r="Q263" s="1244"/>
      <c r="R263" s="1244"/>
      <c r="S263" s="1265"/>
      <c r="T263" s="1244"/>
      <c r="U263" s="1244"/>
    </row>
    <row r="264">
      <c r="A264" s="1235"/>
      <c r="B264" s="1235"/>
      <c r="C264" s="1246"/>
      <c r="D264" s="1274"/>
      <c r="E264" s="1248"/>
      <c r="F264" s="1248"/>
      <c r="G264" s="1271"/>
      <c r="H264" s="1250"/>
      <c r="I264" s="1251"/>
      <c r="J264" s="1271"/>
      <c r="K264" s="1271"/>
      <c r="L264" s="1254"/>
      <c r="M264" s="1244"/>
      <c r="N264" s="1273"/>
      <c r="O264" s="1273"/>
      <c r="P264" s="1244"/>
      <c r="Q264" s="1244"/>
      <c r="R264" s="1244"/>
      <c r="S264" s="1265"/>
      <c r="T264" s="1244"/>
      <c r="U264" s="1244"/>
    </row>
    <row r="265">
      <c r="A265" s="1235"/>
      <c r="B265" s="1235"/>
      <c r="C265" s="1246"/>
      <c r="D265" s="1274"/>
      <c r="E265" s="1248"/>
      <c r="F265" s="1248"/>
      <c r="G265" s="1271"/>
      <c r="H265" s="1250"/>
      <c r="I265" s="1251"/>
      <c r="J265" s="1271"/>
      <c r="K265" s="1271"/>
      <c r="L265" s="1254"/>
      <c r="M265" s="1244"/>
      <c r="N265" s="1273"/>
      <c r="O265" s="1273"/>
      <c r="P265" s="1244"/>
      <c r="Q265" s="1244"/>
      <c r="R265" s="1244"/>
      <c r="S265" s="1265"/>
      <c r="T265" s="1244"/>
      <c r="U265" s="1244"/>
    </row>
    <row r="266">
      <c r="A266" s="1235"/>
      <c r="B266" s="1235"/>
      <c r="C266" s="1246"/>
      <c r="D266" s="1274"/>
      <c r="E266" s="1248"/>
      <c r="F266" s="1248"/>
      <c r="G266" s="1271"/>
      <c r="H266" s="1250"/>
      <c r="I266" s="1251"/>
      <c r="J266" s="1271"/>
      <c r="K266" s="1271"/>
      <c r="L266" s="1254"/>
      <c r="M266" s="1244"/>
      <c r="N266" s="1273"/>
      <c r="O266" s="1273"/>
      <c r="P266" s="1244"/>
      <c r="Q266" s="1244"/>
      <c r="R266" s="1244"/>
      <c r="S266" s="1265"/>
      <c r="T266" s="1244"/>
      <c r="U266" s="1244"/>
    </row>
    <row r="267">
      <c r="A267" s="1235"/>
      <c r="B267" s="1235"/>
      <c r="C267" s="1246"/>
      <c r="D267" s="1274"/>
      <c r="E267" s="1248"/>
      <c r="F267" s="1248"/>
      <c r="G267" s="1271"/>
      <c r="H267" s="1250"/>
      <c r="I267" s="1251"/>
      <c r="J267" s="1271"/>
      <c r="K267" s="1271"/>
      <c r="L267" s="1254"/>
      <c r="M267" s="1244"/>
      <c r="N267" s="1273"/>
      <c r="O267" s="1273"/>
      <c r="P267" s="1244"/>
      <c r="Q267" s="1244"/>
      <c r="R267" s="1244"/>
      <c r="S267" s="1265"/>
      <c r="T267" s="1244"/>
      <c r="U267" s="1244"/>
    </row>
    <row r="268">
      <c r="A268" s="1235"/>
      <c r="B268" s="1235"/>
      <c r="C268" s="1246"/>
      <c r="D268" s="1274"/>
      <c r="E268" s="1248"/>
      <c r="F268" s="1248"/>
      <c r="G268" s="1271"/>
      <c r="H268" s="1250"/>
      <c r="I268" s="1251"/>
      <c r="J268" s="1271"/>
      <c r="K268" s="1271"/>
      <c r="L268" s="1254"/>
      <c r="M268" s="1244"/>
      <c r="N268" s="1273"/>
      <c r="O268" s="1273"/>
      <c r="P268" s="1244"/>
      <c r="Q268" s="1244"/>
      <c r="R268" s="1244"/>
      <c r="S268" s="1265"/>
      <c r="T268" s="1244"/>
      <c r="U268" s="1244"/>
    </row>
    <row r="269">
      <c r="A269" s="1235"/>
      <c r="B269" s="1235"/>
      <c r="C269" s="1246"/>
      <c r="D269" s="1274"/>
      <c r="E269" s="1248"/>
      <c r="F269" s="1248"/>
      <c r="G269" s="1271"/>
      <c r="H269" s="1250"/>
      <c r="I269" s="1251"/>
      <c r="J269" s="1271"/>
      <c r="K269" s="1271"/>
      <c r="L269" s="1254"/>
      <c r="M269" s="1244"/>
      <c r="N269" s="1273"/>
      <c r="O269" s="1273"/>
      <c r="P269" s="1244"/>
      <c r="Q269" s="1244"/>
      <c r="R269" s="1244"/>
      <c r="S269" s="1265"/>
      <c r="T269" s="1244"/>
      <c r="U269" s="1244"/>
    </row>
    <row r="270">
      <c r="A270" s="1235"/>
      <c r="B270" s="1235"/>
      <c r="C270" s="1246"/>
      <c r="D270" s="1274"/>
      <c r="E270" s="1248"/>
      <c r="F270" s="1248"/>
      <c r="G270" s="1271"/>
      <c r="H270" s="1250"/>
      <c r="I270" s="1251"/>
      <c r="J270" s="1271"/>
      <c r="K270" s="1271"/>
      <c r="L270" s="1254"/>
      <c r="M270" s="1244"/>
      <c r="N270" s="1273"/>
      <c r="O270" s="1273"/>
      <c r="P270" s="1244"/>
      <c r="Q270" s="1244"/>
      <c r="R270" s="1244"/>
      <c r="S270" s="1265"/>
      <c r="T270" s="1244"/>
      <c r="U270" s="1244"/>
    </row>
    <row r="271">
      <c r="A271" s="1235"/>
      <c r="B271" s="1235"/>
      <c r="C271" s="1246"/>
      <c r="D271" s="1274"/>
      <c r="E271" s="1248"/>
      <c r="F271" s="1248"/>
      <c r="G271" s="1271"/>
      <c r="H271" s="1250"/>
      <c r="I271" s="1251"/>
      <c r="J271" s="1271"/>
      <c r="K271" s="1271"/>
      <c r="L271" s="1254"/>
      <c r="M271" s="1244"/>
      <c r="N271" s="1273"/>
      <c r="O271" s="1273"/>
      <c r="P271" s="1244"/>
      <c r="Q271" s="1244"/>
      <c r="R271" s="1244"/>
      <c r="S271" s="1265"/>
      <c r="T271" s="1244"/>
      <c r="U271" s="1244"/>
    </row>
    <row r="272">
      <c r="A272" s="1235"/>
      <c r="B272" s="1235"/>
      <c r="C272" s="1246"/>
      <c r="D272" s="1274"/>
      <c r="E272" s="1248"/>
      <c r="F272" s="1248"/>
      <c r="G272" s="1271"/>
      <c r="H272" s="1250"/>
      <c r="I272" s="1251"/>
      <c r="J272" s="1271"/>
      <c r="K272" s="1271"/>
      <c r="L272" s="1254"/>
      <c r="M272" s="1244"/>
      <c r="N272" s="1273"/>
      <c r="O272" s="1273"/>
      <c r="P272" s="1244"/>
      <c r="Q272" s="1244"/>
      <c r="R272" s="1244"/>
      <c r="S272" s="1265"/>
      <c r="T272" s="1244"/>
      <c r="U272" s="1244"/>
    </row>
    <row r="273">
      <c r="A273" s="1235"/>
      <c r="B273" s="1235"/>
      <c r="C273" s="1246"/>
      <c r="D273" s="1274"/>
      <c r="E273" s="1248"/>
      <c r="F273" s="1248"/>
      <c r="G273" s="1271"/>
      <c r="H273" s="1250"/>
      <c r="I273" s="1251"/>
      <c r="J273" s="1271"/>
      <c r="K273" s="1271"/>
      <c r="L273" s="1254"/>
      <c r="M273" s="1244"/>
      <c r="N273" s="1273"/>
      <c r="O273" s="1273"/>
      <c r="P273" s="1244"/>
      <c r="Q273" s="1244"/>
      <c r="R273" s="1244"/>
      <c r="S273" s="1265"/>
      <c r="T273" s="1244"/>
      <c r="U273" s="1244"/>
    </row>
    <row r="274">
      <c r="A274" s="1235"/>
      <c r="B274" s="1235"/>
      <c r="C274" s="1246"/>
      <c r="D274" s="1274"/>
      <c r="E274" s="1248"/>
      <c r="F274" s="1248"/>
      <c r="G274" s="1271"/>
      <c r="H274" s="1250"/>
      <c r="I274" s="1251"/>
      <c r="J274" s="1271"/>
      <c r="K274" s="1271"/>
      <c r="L274" s="1254"/>
      <c r="M274" s="1244"/>
      <c r="N274" s="1273"/>
      <c r="O274" s="1273"/>
      <c r="P274" s="1244"/>
      <c r="Q274" s="1244"/>
      <c r="R274" s="1244"/>
      <c r="S274" s="1265"/>
      <c r="T274" s="1244"/>
      <c r="U274" s="1244"/>
    </row>
    <row r="275">
      <c r="A275" s="1235"/>
      <c r="B275" s="1235"/>
      <c r="C275" s="1246"/>
      <c r="D275" s="1274"/>
      <c r="E275" s="1248"/>
      <c r="F275" s="1248"/>
      <c r="G275" s="1271"/>
      <c r="H275" s="1250"/>
      <c r="I275" s="1251"/>
      <c r="J275" s="1271"/>
      <c r="K275" s="1271"/>
      <c r="L275" s="1254"/>
      <c r="M275" s="1244"/>
      <c r="N275" s="1273"/>
      <c r="O275" s="1273"/>
      <c r="P275" s="1244"/>
      <c r="Q275" s="1244"/>
      <c r="R275" s="1244"/>
      <c r="S275" s="1265"/>
      <c r="T275" s="1244"/>
      <c r="U275" s="1244"/>
    </row>
    <row r="276">
      <c r="A276" s="1235"/>
      <c r="B276" s="1235"/>
      <c r="C276" s="1246"/>
      <c r="D276" s="1274"/>
      <c r="E276" s="1248"/>
      <c r="F276" s="1248"/>
      <c r="G276" s="1271"/>
      <c r="H276" s="1250"/>
      <c r="I276" s="1251"/>
      <c r="J276" s="1271"/>
      <c r="K276" s="1271"/>
      <c r="L276" s="1254"/>
      <c r="M276" s="1244"/>
      <c r="N276" s="1273"/>
      <c r="O276" s="1273"/>
      <c r="P276" s="1244"/>
      <c r="Q276" s="1244"/>
      <c r="R276" s="1244"/>
      <c r="S276" s="1265"/>
      <c r="T276" s="1244"/>
      <c r="U276" s="1244"/>
    </row>
    <row r="277">
      <c r="A277" s="1235"/>
      <c r="B277" s="1235"/>
      <c r="C277" s="1246"/>
      <c r="D277" s="1274"/>
      <c r="E277" s="1248"/>
      <c r="F277" s="1248"/>
      <c r="G277" s="1271"/>
      <c r="H277" s="1250"/>
      <c r="I277" s="1251"/>
      <c r="J277" s="1271"/>
      <c r="K277" s="1271"/>
      <c r="L277" s="1254"/>
      <c r="M277" s="1244"/>
      <c r="N277" s="1273"/>
      <c r="O277" s="1273"/>
      <c r="P277" s="1244"/>
      <c r="Q277" s="1244"/>
      <c r="R277" s="1244"/>
      <c r="S277" s="1265"/>
      <c r="T277" s="1244"/>
      <c r="U277" s="1244"/>
    </row>
    <row r="278">
      <c r="A278" s="1235"/>
      <c r="B278" s="1235"/>
      <c r="C278" s="1246"/>
      <c r="D278" s="1274"/>
      <c r="E278" s="1248"/>
      <c r="F278" s="1248"/>
      <c r="G278" s="1271"/>
      <c r="H278" s="1250"/>
      <c r="I278" s="1251"/>
      <c r="J278" s="1271"/>
      <c r="K278" s="1271"/>
      <c r="L278" s="1254"/>
      <c r="M278" s="1244"/>
      <c r="N278" s="1273"/>
      <c r="O278" s="1273"/>
      <c r="P278" s="1244"/>
      <c r="Q278" s="1244"/>
      <c r="R278" s="1244"/>
      <c r="S278" s="1265"/>
      <c r="T278" s="1244"/>
      <c r="U278" s="1244"/>
    </row>
    <row r="279">
      <c r="A279" s="1235"/>
      <c r="B279" s="1235"/>
      <c r="C279" s="1246"/>
      <c r="D279" s="1274"/>
      <c r="E279" s="1248"/>
      <c r="F279" s="1248"/>
      <c r="G279" s="1271"/>
      <c r="H279" s="1250"/>
      <c r="I279" s="1251"/>
      <c r="J279" s="1271"/>
      <c r="K279" s="1271"/>
      <c r="L279" s="1254"/>
      <c r="M279" s="1244"/>
      <c r="N279" s="1273"/>
      <c r="O279" s="1273"/>
      <c r="P279" s="1244"/>
      <c r="Q279" s="1244"/>
      <c r="R279" s="1244"/>
      <c r="S279" s="1265"/>
      <c r="T279" s="1244"/>
      <c r="U279" s="1244"/>
    </row>
    <row r="280">
      <c r="A280" s="1235"/>
      <c r="B280" s="1235"/>
      <c r="C280" s="1246"/>
      <c r="D280" s="1274"/>
      <c r="E280" s="1248"/>
      <c r="F280" s="1248"/>
      <c r="G280" s="1271"/>
      <c r="H280" s="1250"/>
      <c r="I280" s="1251"/>
      <c r="J280" s="1271"/>
      <c r="K280" s="1271"/>
      <c r="L280" s="1254"/>
      <c r="M280" s="1244"/>
      <c r="N280" s="1273"/>
      <c r="O280" s="1273"/>
      <c r="P280" s="1244"/>
      <c r="Q280" s="1244"/>
      <c r="R280" s="1244"/>
      <c r="S280" s="1265"/>
      <c r="T280" s="1244"/>
      <c r="U280" s="1244"/>
    </row>
    <row r="281">
      <c r="A281" s="1235"/>
      <c r="B281" s="1235"/>
      <c r="C281" s="1246"/>
      <c r="D281" s="1274"/>
      <c r="E281" s="1248"/>
      <c r="F281" s="1248"/>
      <c r="G281" s="1271"/>
      <c r="H281" s="1250"/>
      <c r="I281" s="1251"/>
      <c r="J281" s="1271"/>
      <c r="K281" s="1271"/>
      <c r="L281" s="1254"/>
      <c r="M281" s="1244"/>
      <c r="N281" s="1273"/>
      <c r="O281" s="1273"/>
      <c r="P281" s="1244"/>
      <c r="Q281" s="1244"/>
      <c r="R281" s="1244"/>
      <c r="S281" s="1265"/>
      <c r="T281" s="1244"/>
      <c r="U281" s="1244"/>
    </row>
    <row r="282">
      <c r="A282" s="1235"/>
      <c r="B282" s="1235"/>
      <c r="C282" s="1246"/>
      <c r="D282" s="1274"/>
      <c r="E282" s="1248"/>
      <c r="F282" s="1248"/>
      <c r="G282" s="1271"/>
      <c r="H282" s="1250"/>
      <c r="I282" s="1251"/>
      <c r="J282" s="1271"/>
      <c r="K282" s="1271"/>
      <c r="L282" s="1254"/>
      <c r="M282" s="1244"/>
      <c r="N282" s="1273"/>
      <c r="O282" s="1273"/>
      <c r="P282" s="1244"/>
      <c r="Q282" s="1244"/>
      <c r="R282" s="1244"/>
      <c r="S282" s="1265"/>
      <c r="T282" s="1244"/>
      <c r="U282" s="1244"/>
    </row>
    <row r="283">
      <c r="A283" s="1235"/>
      <c r="B283" s="1235"/>
      <c r="C283" s="1246"/>
      <c r="D283" s="1274"/>
      <c r="E283" s="1248"/>
      <c r="F283" s="1248"/>
      <c r="G283" s="1271"/>
      <c r="H283" s="1250"/>
      <c r="I283" s="1251"/>
      <c r="J283" s="1271"/>
      <c r="K283" s="1271"/>
      <c r="L283" s="1254"/>
      <c r="M283" s="1244"/>
      <c r="N283" s="1273"/>
      <c r="O283" s="1273"/>
      <c r="P283" s="1244"/>
      <c r="Q283" s="1244"/>
      <c r="R283" s="1244"/>
      <c r="S283" s="1265"/>
      <c r="T283" s="1244"/>
      <c r="U283" s="1244"/>
    </row>
    <row r="284">
      <c r="A284" s="1235"/>
      <c r="B284" s="1235"/>
      <c r="C284" s="1246"/>
      <c r="D284" s="1274"/>
      <c r="E284" s="1248"/>
      <c r="F284" s="1248"/>
      <c r="G284" s="1271"/>
      <c r="H284" s="1250"/>
      <c r="I284" s="1251"/>
      <c r="J284" s="1271"/>
      <c r="K284" s="1271"/>
      <c r="L284" s="1254"/>
      <c r="M284" s="1244"/>
      <c r="N284" s="1273"/>
      <c r="O284" s="1273"/>
      <c r="P284" s="1244"/>
      <c r="Q284" s="1244"/>
      <c r="R284" s="1244"/>
      <c r="S284" s="1265"/>
      <c r="T284" s="1244"/>
      <c r="U284" s="1244"/>
    </row>
    <row r="285">
      <c r="A285" s="1235"/>
      <c r="B285" s="1235"/>
      <c r="C285" s="1246"/>
      <c r="D285" s="1274"/>
      <c r="E285" s="1248"/>
      <c r="F285" s="1248"/>
      <c r="G285" s="1271"/>
      <c r="H285" s="1250"/>
      <c r="I285" s="1251"/>
      <c r="J285" s="1271"/>
      <c r="K285" s="1271"/>
      <c r="L285" s="1254"/>
      <c r="M285" s="1244"/>
      <c r="N285" s="1273"/>
      <c r="O285" s="1273"/>
      <c r="P285" s="1244"/>
      <c r="Q285" s="1244"/>
      <c r="R285" s="1244"/>
      <c r="S285" s="1265"/>
      <c r="T285" s="1244"/>
      <c r="U285" s="1244"/>
    </row>
    <row r="286">
      <c r="A286" s="1235"/>
      <c r="B286" s="1235"/>
      <c r="C286" s="1246"/>
      <c r="D286" s="1274"/>
      <c r="E286" s="1248"/>
      <c r="F286" s="1248"/>
      <c r="G286" s="1271"/>
      <c r="H286" s="1250"/>
      <c r="I286" s="1251"/>
      <c r="J286" s="1271"/>
      <c r="K286" s="1271"/>
      <c r="L286" s="1254"/>
      <c r="M286" s="1244"/>
      <c r="N286" s="1273"/>
      <c r="O286" s="1273"/>
      <c r="P286" s="1244"/>
      <c r="Q286" s="1244"/>
      <c r="R286" s="1244"/>
      <c r="S286" s="1265"/>
      <c r="T286" s="1244"/>
      <c r="U286" s="1244"/>
    </row>
    <row r="287">
      <c r="A287" s="1235"/>
      <c r="B287" s="1235"/>
      <c r="C287" s="1246"/>
      <c r="D287" s="1274"/>
      <c r="E287" s="1248"/>
      <c r="F287" s="1248"/>
      <c r="G287" s="1271"/>
      <c r="H287" s="1250"/>
      <c r="I287" s="1251"/>
      <c r="J287" s="1271"/>
      <c r="K287" s="1271"/>
      <c r="L287" s="1254"/>
      <c r="M287" s="1244"/>
      <c r="N287" s="1273"/>
      <c r="O287" s="1273"/>
      <c r="P287" s="1244"/>
      <c r="Q287" s="1244"/>
      <c r="R287" s="1244"/>
      <c r="S287" s="1265"/>
      <c r="T287" s="1244"/>
      <c r="U287" s="1244"/>
    </row>
    <row r="288">
      <c r="A288" s="1235"/>
      <c r="B288" s="1235"/>
      <c r="C288" s="1246"/>
      <c r="D288" s="1274"/>
      <c r="E288" s="1248"/>
      <c r="F288" s="1248"/>
      <c r="G288" s="1271"/>
      <c r="H288" s="1250"/>
      <c r="I288" s="1251"/>
      <c r="J288" s="1271"/>
      <c r="K288" s="1271"/>
      <c r="L288" s="1254"/>
      <c r="M288" s="1244"/>
      <c r="N288" s="1273"/>
      <c r="O288" s="1273"/>
      <c r="P288" s="1244"/>
      <c r="Q288" s="1244"/>
      <c r="R288" s="1244"/>
      <c r="S288" s="1265"/>
      <c r="T288" s="1244"/>
      <c r="U288" s="1244"/>
    </row>
    <row r="289">
      <c r="A289" s="1235"/>
      <c r="B289" s="1235"/>
      <c r="C289" s="1246"/>
      <c r="D289" s="1274"/>
      <c r="E289" s="1248"/>
      <c r="F289" s="1248"/>
      <c r="G289" s="1271"/>
      <c r="H289" s="1250"/>
      <c r="I289" s="1251"/>
      <c r="J289" s="1271"/>
      <c r="K289" s="1271"/>
      <c r="L289" s="1254"/>
      <c r="M289" s="1244"/>
      <c r="N289" s="1273"/>
      <c r="O289" s="1273"/>
      <c r="P289" s="1244"/>
      <c r="Q289" s="1244"/>
      <c r="R289" s="1244"/>
      <c r="S289" s="1265"/>
      <c r="T289" s="1244"/>
      <c r="U289" s="1244"/>
    </row>
    <row r="290">
      <c r="A290" s="1235"/>
      <c r="B290" s="1235"/>
      <c r="C290" s="1246"/>
      <c r="D290" s="1274"/>
      <c r="E290" s="1248"/>
      <c r="F290" s="1248"/>
      <c r="G290" s="1271"/>
      <c r="H290" s="1250"/>
      <c r="I290" s="1251"/>
      <c r="J290" s="1271"/>
      <c r="K290" s="1271"/>
      <c r="L290" s="1254"/>
      <c r="M290" s="1244"/>
      <c r="N290" s="1273"/>
      <c r="O290" s="1273"/>
      <c r="P290" s="1244"/>
      <c r="Q290" s="1244"/>
      <c r="R290" s="1244"/>
      <c r="S290" s="1265"/>
      <c r="T290" s="1244"/>
      <c r="U290" s="1244"/>
    </row>
    <row r="291">
      <c r="A291" s="1235"/>
      <c r="B291" s="1235"/>
      <c r="C291" s="1246"/>
      <c r="D291" s="1274"/>
      <c r="E291" s="1248"/>
      <c r="F291" s="1248"/>
      <c r="G291" s="1271"/>
      <c r="H291" s="1250"/>
      <c r="I291" s="1251"/>
      <c r="J291" s="1271"/>
      <c r="K291" s="1271"/>
      <c r="L291" s="1254"/>
      <c r="M291" s="1244"/>
      <c r="N291" s="1273"/>
      <c r="O291" s="1273"/>
      <c r="P291" s="1244"/>
      <c r="Q291" s="1244"/>
      <c r="R291" s="1244"/>
      <c r="S291" s="1265"/>
      <c r="T291" s="1244"/>
      <c r="U291" s="1244"/>
    </row>
    <row r="292">
      <c r="A292" s="1235"/>
      <c r="B292" s="1235"/>
      <c r="C292" s="1246"/>
      <c r="D292" s="1274"/>
      <c r="E292" s="1248"/>
      <c r="F292" s="1248"/>
      <c r="G292" s="1271"/>
      <c r="H292" s="1250"/>
      <c r="I292" s="1251"/>
      <c r="J292" s="1271"/>
      <c r="K292" s="1271"/>
      <c r="L292" s="1254"/>
      <c r="M292" s="1244"/>
      <c r="N292" s="1273"/>
      <c r="O292" s="1273"/>
      <c r="P292" s="1244"/>
      <c r="Q292" s="1244"/>
      <c r="R292" s="1244"/>
      <c r="S292" s="1265"/>
      <c r="T292" s="1244"/>
      <c r="U292" s="1244"/>
    </row>
    <row r="293">
      <c r="A293" s="1235"/>
      <c r="B293" s="1235"/>
      <c r="C293" s="1246"/>
      <c r="D293" s="1274"/>
      <c r="E293" s="1248"/>
      <c r="F293" s="1248"/>
      <c r="G293" s="1271"/>
      <c r="H293" s="1250"/>
      <c r="I293" s="1251"/>
      <c r="J293" s="1271"/>
      <c r="K293" s="1271"/>
      <c r="L293" s="1254"/>
      <c r="M293" s="1244"/>
      <c r="N293" s="1273"/>
      <c r="O293" s="1273"/>
      <c r="P293" s="1244"/>
      <c r="Q293" s="1244"/>
      <c r="R293" s="1244"/>
      <c r="S293" s="1265"/>
      <c r="T293" s="1244"/>
      <c r="U293" s="1244"/>
    </row>
    <row r="294">
      <c r="A294" s="1235"/>
      <c r="B294" s="1235"/>
      <c r="C294" s="1246"/>
      <c r="D294" s="1274"/>
      <c r="E294" s="1248"/>
      <c r="F294" s="1248"/>
      <c r="G294" s="1271"/>
      <c r="H294" s="1250"/>
      <c r="I294" s="1251"/>
      <c r="J294" s="1271"/>
      <c r="K294" s="1271"/>
      <c r="L294" s="1254"/>
      <c r="M294" s="1244"/>
      <c r="N294" s="1273"/>
      <c r="O294" s="1273"/>
      <c r="P294" s="1244"/>
      <c r="Q294" s="1244"/>
      <c r="R294" s="1244"/>
      <c r="S294" s="1265"/>
      <c r="T294" s="1244"/>
      <c r="U294" s="1244"/>
    </row>
    <row r="295">
      <c r="A295" s="1235"/>
      <c r="B295" s="1235"/>
      <c r="C295" s="1246"/>
      <c r="D295" s="1274"/>
      <c r="E295" s="1248"/>
      <c r="F295" s="1248"/>
      <c r="G295" s="1271"/>
      <c r="H295" s="1250"/>
      <c r="I295" s="1251"/>
      <c r="J295" s="1271"/>
      <c r="K295" s="1271"/>
      <c r="L295" s="1254"/>
      <c r="M295" s="1244"/>
      <c r="N295" s="1273"/>
      <c r="O295" s="1273"/>
      <c r="P295" s="1244"/>
      <c r="Q295" s="1244"/>
      <c r="R295" s="1244"/>
      <c r="S295" s="1265"/>
      <c r="T295" s="1244"/>
      <c r="U295" s="1244"/>
    </row>
    <row r="296">
      <c r="A296" s="1235"/>
      <c r="B296" s="1235"/>
      <c r="C296" s="1246"/>
      <c r="D296" s="1274"/>
      <c r="E296" s="1248"/>
      <c r="F296" s="1248"/>
      <c r="G296" s="1271"/>
      <c r="H296" s="1250"/>
      <c r="I296" s="1251"/>
      <c r="J296" s="1271"/>
      <c r="K296" s="1271"/>
      <c r="L296" s="1254"/>
      <c r="M296" s="1244"/>
      <c r="N296" s="1273"/>
      <c r="O296" s="1273"/>
      <c r="P296" s="1244"/>
      <c r="Q296" s="1244"/>
      <c r="R296" s="1244"/>
      <c r="S296" s="1265"/>
      <c r="T296" s="1244"/>
      <c r="U296" s="1244"/>
    </row>
    <row r="297">
      <c r="A297" s="1235"/>
      <c r="B297" s="1235"/>
      <c r="C297" s="1246"/>
      <c r="D297" s="1274"/>
      <c r="E297" s="1248"/>
      <c r="F297" s="1248"/>
      <c r="G297" s="1271"/>
      <c r="H297" s="1250"/>
      <c r="I297" s="1251"/>
      <c r="J297" s="1271"/>
      <c r="K297" s="1271"/>
      <c r="L297" s="1254"/>
      <c r="M297" s="1244"/>
      <c r="N297" s="1273"/>
      <c r="O297" s="1273"/>
      <c r="P297" s="1244"/>
      <c r="Q297" s="1244"/>
      <c r="R297" s="1244"/>
      <c r="S297" s="1265"/>
      <c r="T297" s="1244"/>
      <c r="U297" s="1244"/>
    </row>
    <row r="298">
      <c r="A298" s="1235"/>
      <c r="B298" s="1235"/>
      <c r="C298" s="1246"/>
      <c r="D298" s="1274"/>
      <c r="E298" s="1248"/>
      <c r="F298" s="1248"/>
      <c r="G298" s="1271"/>
      <c r="H298" s="1250"/>
      <c r="I298" s="1251"/>
      <c r="J298" s="1271"/>
      <c r="K298" s="1271"/>
      <c r="L298" s="1254"/>
      <c r="M298" s="1244"/>
      <c r="N298" s="1273"/>
      <c r="O298" s="1273"/>
      <c r="P298" s="1244"/>
      <c r="Q298" s="1244"/>
      <c r="R298" s="1244"/>
      <c r="S298" s="1265"/>
      <c r="T298" s="1244"/>
      <c r="U298" s="1244"/>
    </row>
    <row r="299">
      <c r="A299" s="1235"/>
      <c r="B299" s="1235"/>
      <c r="C299" s="1246"/>
      <c r="D299" s="1274"/>
      <c r="E299" s="1248"/>
      <c r="F299" s="1248"/>
      <c r="G299" s="1271"/>
      <c r="H299" s="1250"/>
      <c r="I299" s="1251"/>
      <c r="J299" s="1271"/>
      <c r="K299" s="1271"/>
      <c r="L299" s="1254"/>
      <c r="M299" s="1244"/>
      <c r="N299" s="1273"/>
      <c r="O299" s="1273"/>
      <c r="P299" s="1244"/>
      <c r="Q299" s="1244"/>
      <c r="R299" s="1244"/>
      <c r="S299" s="1265"/>
      <c r="T299" s="1244"/>
      <c r="U299" s="1244"/>
    </row>
    <row r="300">
      <c r="A300" s="1235"/>
      <c r="B300" s="1235"/>
      <c r="C300" s="1246"/>
      <c r="D300" s="1274"/>
      <c r="E300" s="1248"/>
      <c r="F300" s="1248"/>
      <c r="G300" s="1271"/>
      <c r="H300" s="1250"/>
      <c r="I300" s="1251"/>
      <c r="J300" s="1271"/>
      <c r="K300" s="1271"/>
      <c r="L300" s="1254"/>
      <c r="M300" s="1244"/>
      <c r="N300" s="1273"/>
      <c r="O300" s="1273"/>
      <c r="P300" s="1244"/>
      <c r="Q300" s="1244"/>
      <c r="R300" s="1244"/>
      <c r="S300" s="1265"/>
      <c r="T300" s="1244"/>
      <c r="U300" s="1244"/>
    </row>
    <row r="301">
      <c r="A301" s="1235"/>
      <c r="B301" s="1235"/>
      <c r="C301" s="1246"/>
      <c r="D301" s="1274"/>
      <c r="E301" s="1248"/>
      <c r="F301" s="1248"/>
      <c r="G301" s="1271"/>
      <c r="H301" s="1250"/>
      <c r="I301" s="1251"/>
      <c r="J301" s="1271"/>
      <c r="K301" s="1271"/>
      <c r="L301" s="1254"/>
      <c r="M301" s="1244"/>
      <c r="N301" s="1273"/>
      <c r="O301" s="1273"/>
      <c r="P301" s="1244"/>
      <c r="Q301" s="1244"/>
      <c r="R301" s="1244"/>
      <c r="S301" s="1265"/>
      <c r="T301" s="1244"/>
      <c r="U301" s="1244"/>
    </row>
    <row r="302">
      <c r="A302" s="1235"/>
      <c r="B302" s="1235"/>
      <c r="C302" s="1246"/>
      <c r="D302" s="1274"/>
      <c r="E302" s="1248"/>
      <c r="F302" s="1248"/>
      <c r="G302" s="1271"/>
      <c r="H302" s="1250"/>
      <c r="I302" s="1251"/>
      <c r="J302" s="1271"/>
      <c r="K302" s="1271"/>
      <c r="L302" s="1254"/>
      <c r="M302" s="1244"/>
      <c r="N302" s="1273"/>
      <c r="O302" s="1273"/>
      <c r="P302" s="1244"/>
      <c r="Q302" s="1244"/>
      <c r="R302" s="1244"/>
      <c r="S302" s="1265"/>
      <c r="T302" s="1244"/>
      <c r="U302" s="1244"/>
    </row>
    <row r="303">
      <c r="A303" s="1235"/>
      <c r="B303" s="1235"/>
      <c r="C303" s="1246"/>
      <c r="D303" s="1274"/>
      <c r="E303" s="1248"/>
      <c r="F303" s="1248"/>
      <c r="G303" s="1271"/>
      <c r="H303" s="1250"/>
      <c r="I303" s="1251"/>
      <c r="J303" s="1271"/>
      <c r="K303" s="1271"/>
      <c r="L303" s="1254"/>
      <c r="M303" s="1244"/>
      <c r="N303" s="1273"/>
      <c r="O303" s="1273"/>
      <c r="P303" s="1244"/>
      <c r="Q303" s="1244"/>
      <c r="R303" s="1244"/>
      <c r="S303" s="1265"/>
      <c r="T303" s="1244"/>
      <c r="U303" s="1244"/>
    </row>
    <row r="304">
      <c r="A304" s="1235"/>
      <c r="B304" s="1235"/>
      <c r="C304" s="1246"/>
      <c r="D304" s="1274"/>
      <c r="E304" s="1248"/>
      <c r="F304" s="1248"/>
      <c r="G304" s="1271"/>
      <c r="H304" s="1250"/>
      <c r="I304" s="1251"/>
      <c r="J304" s="1271"/>
      <c r="K304" s="1271"/>
      <c r="L304" s="1254"/>
      <c r="M304" s="1244"/>
      <c r="N304" s="1273"/>
      <c r="O304" s="1273"/>
      <c r="P304" s="1244"/>
      <c r="Q304" s="1244"/>
      <c r="R304" s="1244"/>
      <c r="S304" s="1265"/>
      <c r="T304" s="1244"/>
      <c r="U304" s="1244"/>
    </row>
    <row r="305">
      <c r="A305" s="1235"/>
      <c r="B305" s="1235"/>
      <c r="C305" s="1246"/>
      <c r="D305" s="1274"/>
      <c r="E305" s="1248"/>
      <c r="F305" s="1248"/>
      <c r="G305" s="1271"/>
      <c r="H305" s="1250"/>
      <c r="I305" s="1251"/>
      <c r="J305" s="1271"/>
      <c r="K305" s="1271"/>
      <c r="L305" s="1254"/>
      <c r="M305" s="1244"/>
      <c r="N305" s="1273"/>
      <c r="O305" s="1273"/>
      <c r="P305" s="1244"/>
      <c r="Q305" s="1244"/>
      <c r="R305" s="1244"/>
      <c r="S305" s="1265"/>
      <c r="T305" s="1244"/>
      <c r="U305" s="1244"/>
    </row>
    <row r="306">
      <c r="A306" s="1235"/>
      <c r="B306" s="1235"/>
      <c r="C306" s="1246"/>
      <c r="D306" s="1274"/>
      <c r="E306" s="1248"/>
      <c r="F306" s="1248"/>
      <c r="G306" s="1271"/>
      <c r="H306" s="1250"/>
      <c r="I306" s="1251"/>
      <c r="J306" s="1271"/>
      <c r="K306" s="1271"/>
      <c r="L306" s="1254"/>
      <c r="M306" s="1244"/>
      <c r="N306" s="1273"/>
      <c r="O306" s="1273"/>
      <c r="P306" s="1244"/>
      <c r="Q306" s="1244"/>
      <c r="R306" s="1244"/>
      <c r="S306" s="1265"/>
      <c r="T306" s="1244"/>
      <c r="U306" s="1244"/>
    </row>
    <row r="307">
      <c r="A307" s="1235"/>
      <c r="B307" s="1235"/>
      <c r="C307" s="1246"/>
      <c r="D307" s="1274"/>
      <c r="E307" s="1248"/>
      <c r="F307" s="1248"/>
      <c r="G307" s="1271"/>
      <c r="H307" s="1250"/>
      <c r="I307" s="1251"/>
      <c r="J307" s="1271"/>
      <c r="K307" s="1271"/>
      <c r="L307" s="1254"/>
      <c r="M307" s="1244"/>
      <c r="N307" s="1273"/>
      <c r="O307" s="1273"/>
      <c r="P307" s="1244"/>
      <c r="Q307" s="1244"/>
      <c r="R307" s="1244"/>
      <c r="S307" s="1265"/>
      <c r="T307" s="1244"/>
      <c r="U307" s="1244"/>
    </row>
    <row r="308">
      <c r="A308" s="1235"/>
      <c r="B308" s="1235"/>
      <c r="C308" s="1246"/>
      <c r="D308" s="1274"/>
      <c r="E308" s="1248"/>
      <c r="F308" s="1248"/>
      <c r="G308" s="1271"/>
      <c r="H308" s="1250"/>
      <c r="I308" s="1251"/>
      <c r="J308" s="1271"/>
      <c r="K308" s="1271"/>
      <c r="L308" s="1254"/>
      <c r="M308" s="1244"/>
      <c r="N308" s="1273"/>
      <c r="O308" s="1273"/>
      <c r="P308" s="1244"/>
      <c r="Q308" s="1244"/>
      <c r="R308" s="1244"/>
      <c r="S308" s="1265"/>
      <c r="T308" s="1244"/>
      <c r="U308" s="1244"/>
    </row>
    <row r="309">
      <c r="A309" s="1235"/>
      <c r="B309" s="1235"/>
      <c r="C309" s="1246"/>
      <c r="D309" s="1274"/>
      <c r="E309" s="1248"/>
      <c r="F309" s="1248"/>
      <c r="G309" s="1271"/>
      <c r="H309" s="1250"/>
      <c r="I309" s="1251"/>
      <c r="J309" s="1271"/>
      <c r="K309" s="1271"/>
      <c r="L309" s="1254"/>
      <c r="M309" s="1244"/>
      <c r="N309" s="1273"/>
      <c r="O309" s="1273"/>
      <c r="P309" s="1244"/>
      <c r="Q309" s="1244"/>
      <c r="R309" s="1244"/>
      <c r="S309" s="1265"/>
      <c r="T309" s="1244"/>
      <c r="U309" s="1244"/>
    </row>
    <row r="310">
      <c r="A310" s="1235"/>
      <c r="B310" s="1235"/>
      <c r="C310" s="1246"/>
      <c r="D310" s="1274"/>
      <c r="E310" s="1248"/>
      <c r="F310" s="1248"/>
      <c r="G310" s="1271"/>
      <c r="H310" s="1250"/>
      <c r="I310" s="1251"/>
      <c r="J310" s="1271"/>
      <c r="K310" s="1271"/>
      <c r="L310" s="1254"/>
      <c r="M310" s="1244"/>
      <c r="N310" s="1273"/>
      <c r="O310" s="1273"/>
      <c r="P310" s="1244"/>
      <c r="Q310" s="1244"/>
      <c r="R310" s="1244"/>
      <c r="S310" s="1265"/>
      <c r="T310" s="1244"/>
      <c r="U310" s="1244"/>
    </row>
    <row r="311">
      <c r="A311" s="1235"/>
      <c r="B311" s="1235"/>
      <c r="C311" s="1246"/>
      <c r="D311" s="1274"/>
      <c r="E311" s="1248"/>
      <c r="F311" s="1248"/>
      <c r="G311" s="1271"/>
      <c r="H311" s="1250"/>
      <c r="I311" s="1251"/>
      <c r="J311" s="1271"/>
      <c r="K311" s="1271"/>
      <c r="L311" s="1254"/>
      <c r="M311" s="1244"/>
      <c r="N311" s="1273"/>
      <c r="O311" s="1273"/>
      <c r="P311" s="1244"/>
      <c r="Q311" s="1244"/>
      <c r="R311" s="1244"/>
      <c r="S311" s="1265"/>
      <c r="T311" s="1244"/>
      <c r="U311" s="1244"/>
    </row>
    <row r="312">
      <c r="A312" s="1235"/>
      <c r="B312" s="1235"/>
      <c r="C312" s="1246"/>
      <c r="D312" s="1274"/>
      <c r="E312" s="1248"/>
      <c r="F312" s="1248"/>
      <c r="G312" s="1271"/>
      <c r="H312" s="1250"/>
      <c r="I312" s="1251"/>
      <c r="J312" s="1271"/>
      <c r="K312" s="1271"/>
      <c r="L312" s="1254"/>
      <c r="M312" s="1244"/>
      <c r="N312" s="1273"/>
      <c r="O312" s="1273"/>
      <c r="P312" s="1244"/>
      <c r="Q312" s="1244"/>
      <c r="R312" s="1244"/>
      <c r="S312" s="1265"/>
      <c r="T312" s="1244"/>
      <c r="U312" s="1244"/>
    </row>
    <row r="313">
      <c r="A313" s="1235"/>
      <c r="B313" s="1235"/>
      <c r="C313" s="1246"/>
      <c r="D313" s="1274"/>
      <c r="E313" s="1248"/>
      <c r="F313" s="1248"/>
      <c r="G313" s="1271"/>
      <c r="H313" s="1250"/>
      <c r="I313" s="1251"/>
      <c r="J313" s="1271"/>
      <c r="K313" s="1271"/>
      <c r="L313" s="1254"/>
      <c r="M313" s="1244"/>
      <c r="N313" s="1273"/>
      <c r="O313" s="1273"/>
      <c r="P313" s="1244"/>
      <c r="Q313" s="1244"/>
      <c r="R313" s="1244"/>
      <c r="S313" s="1265"/>
      <c r="T313" s="1244"/>
      <c r="U313" s="1244"/>
    </row>
    <row r="314">
      <c r="A314" s="1235"/>
      <c r="B314" s="1235"/>
      <c r="C314" s="1246"/>
      <c r="D314" s="1274"/>
      <c r="E314" s="1248"/>
      <c r="F314" s="1248"/>
      <c r="G314" s="1271"/>
      <c r="H314" s="1250"/>
      <c r="I314" s="1251"/>
      <c r="J314" s="1271"/>
      <c r="K314" s="1271"/>
      <c r="L314" s="1254"/>
      <c r="M314" s="1244"/>
      <c r="N314" s="1273"/>
      <c r="O314" s="1273"/>
      <c r="P314" s="1244"/>
      <c r="Q314" s="1244"/>
      <c r="R314" s="1244"/>
      <c r="S314" s="1265"/>
      <c r="T314" s="1244"/>
      <c r="U314" s="1244"/>
    </row>
    <row r="315">
      <c r="A315" s="1235"/>
      <c r="B315" s="1235"/>
      <c r="C315" s="1246"/>
      <c r="D315" s="1274"/>
      <c r="E315" s="1248"/>
      <c r="F315" s="1248"/>
      <c r="G315" s="1271"/>
      <c r="H315" s="1250"/>
      <c r="I315" s="1251"/>
      <c r="J315" s="1271"/>
      <c r="K315" s="1271"/>
      <c r="L315" s="1254"/>
      <c r="M315" s="1244"/>
      <c r="N315" s="1273"/>
      <c r="O315" s="1273"/>
      <c r="P315" s="1244"/>
      <c r="Q315" s="1244"/>
      <c r="R315" s="1244"/>
      <c r="S315" s="1265"/>
      <c r="T315" s="1244"/>
      <c r="U315" s="1244"/>
    </row>
    <row r="316">
      <c r="A316" s="1235"/>
      <c r="B316" s="1235"/>
      <c r="C316" s="1246"/>
      <c r="D316" s="1274"/>
      <c r="E316" s="1248"/>
      <c r="F316" s="1248"/>
      <c r="G316" s="1271"/>
      <c r="H316" s="1250"/>
      <c r="I316" s="1251"/>
      <c r="J316" s="1271"/>
      <c r="K316" s="1271"/>
      <c r="L316" s="1254"/>
      <c r="M316" s="1244"/>
      <c r="N316" s="1273"/>
      <c r="O316" s="1273"/>
      <c r="P316" s="1244"/>
      <c r="Q316" s="1244"/>
      <c r="R316" s="1244"/>
      <c r="S316" s="1265"/>
      <c r="T316" s="1244"/>
      <c r="U316" s="1244"/>
    </row>
    <row r="317">
      <c r="A317" s="1235"/>
      <c r="B317" s="1235"/>
      <c r="C317" s="1246"/>
      <c r="D317" s="1274"/>
      <c r="E317" s="1248"/>
      <c r="F317" s="1248"/>
      <c r="G317" s="1271"/>
      <c r="H317" s="1250"/>
      <c r="I317" s="1251"/>
      <c r="J317" s="1271"/>
      <c r="K317" s="1271"/>
      <c r="L317" s="1254"/>
      <c r="M317" s="1244"/>
      <c r="N317" s="1273"/>
      <c r="O317" s="1273"/>
      <c r="P317" s="1244"/>
      <c r="Q317" s="1244"/>
      <c r="R317" s="1244"/>
      <c r="S317" s="1265"/>
      <c r="T317" s="1244"/>
      <c r="U317" s="1244"/>
    </row>
    <row r="318">
      <c r="A318" s="1235"/>
      <c r="B318" s="1235"/>
      <c r="C318" s="1246"/>
      <c r="D318" s="1274"/>
      <c r="E318" s="1248"/>
      <c r="F318" s="1248"/>
      <c r="G318" s="1271"/>
      <c r="H318" s="1250"/>
      <c r="I318" s="1251"/>
      <c r="J318" s="1271"/>
      <c r="K318" s="1271"/>
      <c r="L318" s="1254"/>
      <c r="M318" s="1244"/>
      <c r="N318" s="1273"/>
      <c r="O318" s="1273"/>
      <c r="P318" s="1244"/>
      <c r="Q318" s="1244"/>
      <c r="R318" s="1244"/>
      <c r="S318" s="1265"/>
      <c r="T318" s="1244"/>
      <c r="U318" s="1244"/>
    </row>
    <row r="319">
      <c r="A319" s="1235"/>
      <c r="B319" s="1235"/>
      <c r="C319" s="1246"/>
      <c r="D319" s="1274"/>
      <c r="E319" s="1248"/>
      <c r="F319" s="1248"/>
      <c r="G319" s="1271"/>
      <c r="H319" s="1250"/>
      <c r="I319" s="1251"/>
      <c r="J319" s="1271"/>
      <c r="K319" s="1271"/>
      <c r="L319" s="1254"/>
      <c r="M319" s="1244"/>
      <c r="N319" s="1273"/>
      <c r="O319" s="1273"/>
      <c r="P319" s="1244"/>
      <c r="Q319" s="1244"/>
      <c r="R319" s="1244"/>
      <c r="S319" s="1265"/>
      <c r="T319" s="1244"/>
      <c r="U319" s="1244"/>
    </row>
    <row r="320">
      <c r="A320" s="1235"/>
      <c r="B320" s="1235"/>
      <c r="C320" s="1246"/>
      <c r="D320" s="1274"/>
      <c r="E320" s="1248"/>
      <c r="F320" s="1248"/>
      <c r="G320" s="1271"/>
      <c r="H320" s="1250"/>
      <c r="I320" s="1251"/>
      <c r="J320" s="1271"/>
      <c r="K320" s="1271"/>
      <c r="L320" s="1254"/>
      <c r="M320" s="1244"/>
      <c r="N320" s="1273"/>
      <c r="O320" s="1273"/>
      <c r="P320" s="1244"/>
      <c r="Q320" s="1244"/>
      <c r="R320" s="1244"/>
      <c r="S320" s="1265"/>
      <c r="T320" s="1244"/>
      <c r="U320" s="1244"/>
    </row>
    <row r="321">
      <c r="A321" s="1235"/>
      <c r="B321" s="1235"/>
      <c r="C321" s="1246"/>
      <c r="D321" s="1274"/>
      <c r="E321" s="1248"/>
      <c r="F321" s="1248"/>
      <c r="G321" s="1271"/>
      <c r="H321" s="1250"/>
      <c r="I321" s="1251"/>
      <c r="J321" s="1271"/>
      <c r="K321" s="1271"/>
      <c r="L321" s="1254"/>
      <c r="M321" s="1244"/>
      <c r="N321" s="1273"/>
      <c r="O321" s="1273"/>
      <c r="P321" s="1244"/>
      <c r="Q321" s="1244"/>
      <c r="R321" s="1244"/>
      <c r="S321" s="1265"/>
      <c r="T321" s="1244"/>
      <c r="U321" s="1244"/>
    </row>
    <row r="322">
      <c r="A322" s="1235"/>
      <c r="B322" s="1235"/>
      <c r="C322" s="1246"/>
      <c r="D322" s="1274"/>
      <c r="E322" s="1248"/>
      <c r="F322" s="1248"/>
      <c r="G322" s="1271"/>
      <c r="H322" s="1250"/>
      <c r="I322" s="1251"/>
      <c r="J322" s="1271"/>
      <c r="K322" s="1271"/>
      <c r="L322" s="1254"/>
      <c r="M322" s="1244"/>
      <c r="N322" s="1273"/>
      <c r="O322" s="1273"/>
      <c r="P322" s="1244"/>
      <c r="Q322" s="1244"/>
      <c r="R322" s="1244"/>
      <c r="S322" s="1265"/>
      <c r="T322" s="1244"/>
      <c r="U322" s="1244"/>
    </row>
    <row r="323">
      <c r="A323" s="1235"/>
      <c r="B323" s="1235"/>
      <c r="C323" s="1246"/>
      <c r="D323" s="1274"/>
      <c r="E323" s="1248"/>
      <c r="F323" s="1248"/>
      <c r="G323" s="1271"/>
      <c r="H323" s="1250"/>
      <c r="I323" s="1251"/>
      <c r="J323" s="1271"/>
      <c r="K323" s="1271"/>
      <c r="L323" s="1254"/>
      <c r="M323" s="1244"/>
      <c r="N323" s="1273"/>
      <c r="O323" s="1273"/>
      <c r="P323" s="1244"/>
      <c r="Q323" s="1244"/>
      <c r="R323" s="1244"/>
      <c r="S323" s="1265"/>
      <c r="T323" s="1244"/>
      <c r="U323" s="1244"/>
    </row>
    <row r="324">
      <c r="A324" s="1235"/>
      <c r="B324" s="1235"/>
      <c r="C324" s="1246"/>
      <c r="D324" s="1274"/>
      <c r="E324" s="1248"/>
      <c r="F324" s="1248"/>
      <c r="G324" s="1271"/>
      <c r="H324" s="1250"/>
      <c r="I324" s="1251"/>
      <c r="J324" s="1271"/>
      <c r="K324" s="1271"/>
      <c r="L324" s="1254"/>
      <c r="M324" s="1244"/>
      <c r="N324" s="1273"/>
      <c r="O324" s="1273"/>
      <c r="P324" s="1244"/>
      <c r="Q324" s="1244"/>
      <c r="R324" s="1244"/>
      <c r="S324" s="1265"/>
      <c r="T324" s="1244"/>
      <c r="U324" s="1244"/>
    </row>
    <row r="325">
      <c r="A325" s="1235"/>
      <c r="B325" s="1235"/>
      <c r="C325" s="1246"/>
      <c r="D325" s="1274"/>
      <c r="E325" s="1248"/>
      <c r="F325" s="1248"/>
      <c r="G325" s="1271"/>
      <c r="H325" s="1250"/>
      <c r="I325" s="1251"/>
      <c r="J325" s="1271"/>
      <c r="K325" s="1271"/>
      <c r="L325" s="1254"/>
      <c r="M325" s="1244"/>
      <c r="N325" s="1273"/>
      <c r="O325" s="1273"/>
      <c r="P325" s="1244"/>
      <c r="Q325" s="1244"/>
      <c r="R325" s="1244"/>
      <c r="S325" s="1265"/>
      <c r="T325" s="1244"/>
      <c r="U325" s="1244"/>
    </row>
    <row r="326">
      <c r="A326" s="1235"/>
      <c r="B326" s="1235"/>
      <c r="C326" s="1246"/>
      <c r="D326" s="1274"/>
      <c r="E326" s="1248"/>
      <c r="F326" s="1248"/>
      <c r="G326" s="1271"/>
      <c r="H326" s="1250"/>
      <c r="I326" s="1251"/>
      <c r="J326" s="1271"/>
      <c r="K326" s="1271"/>
      <c r="L326" s="1254"/>
      <c r="M326" s="1244"/>
      <c r="N326" s="1273"/>
      <c r="O326" s="1273"/>
      <c r="P326" s="1244"/>
      <c r="Q326" s="1244"/>
      <c r="R326" s="1244"/>
      <c r="S326" s="1265"/>
      <c r="T326" s="1244"/>
      <c r="U326" s="1244"/>
    </row>
    <row r="327">
      <c r="A327" s="1235"/>
      <c r="B327" s="1235"/>
      <c r="C327" s="1246"/>
      <c r="D327" s="1274"/>
      <c r="E327" s="1248"/>
      <c r="F327" s="1248"/>
      <c r="G327" s="1271"/>
      <c r="H327" s="1250"/>
      <c r="I327" s="1251"/>
      <c r="J327" s="1271"/>
      <c r="K327" s="1271"/>
      <c r="L327" s="1254"/>
      <c r="M327" s="1244"/>
      <c r="N327" s="1273"/>
      <c r="O327" s="1273"/>
      <c r="P327" s="1244"/>
      <c r="Q327" s="1244"/>
      <c r="R327" s="1244"/>
      <c r="S327" s="1265"/>
      <c r="T327" s="1244"/>
      <c r="U327" s="1244"/>
    </row>
    <row r="328">
      <c r="A328" s="1235"/>
      <c r="B328" s="1235"/>
      <c r="C328" s="1246"/>
      <c r="D328" s="1274"/>
      <c r="E328" s="1248"/>
      <c r="F328" s="1248"/>
      <c r="G328" s="1271"/>
      <c r="H328" s="1250"/>
      <c r="I328" s="1251"/>
      <c r="J328" s="1271"/>
      <c r="K328" s="1271"/>
      <c r="L328" s="1254"/>
      <c r="M328" s="1244"/>
      <c r="N328" s="1273"/>
      <c r="O328" s="1273"/>
      <c r="P328" s="1244"/>
      <c r="Q328" s="1244"/>
      <c r="R328" s="1244"/>
      <c r="S328" s="1265"/>
      <c r="T328" s="1244"/>
      <c r="U328" s="1244"/>
    </row>
    <row r="329">
      <c r="A329" s="1235"/>
      <c r="B329" s="1235"/>
      <c r="C329" s="1246"/>
      <c r="D329" s="1274"/>
      <c r="E329" s="1248"/>
      <c r="F329" s="1248"/>
      <c r="G329" s="1271"/>
      <c r="H329" s="1250"/>
      <c r="I329" s="1251"/>
      <c r="J329" s="1271"/>
      <c r="K329" s="1271"/>
      <c r="L329" s="1254"/>
      <c r="M329" s="1244"/>
      <c r="N329" s="1273"/>
      <c r="O329" s="1273"/>
      <c r="P329" s="1244"/>
      <c r="Q329" s="1244"/>
      <c r="R329" s="1244"/>
      <c r="S329" s="1265"/>
      <c r="T329" s="1244"/>
      <c r="U329" s="1244"/>
    </row>
    <row r="330">
      <c r="A330" s="1235"/>
      <c r="B330" s="1235"/>
      <c r="C330" s="1246"/>
      <c r="D330" s="1274"/>
      <c r="E330" s="1248"/>
      <c r="F330" s="1248"/>
      <c r="G330" s="1271"/>
      <c r="H330" s="1250"/>
      <c r="I330" s="1251"/>
      <c r="J330" s="1271"/>
      <c r="K330" s="1271"/>
      <c r="L330" s="1254"/>
      <c r="M330" s="1244"/>
      <c r="N330" s="1273"/>
      <c r="O330" s="1273"/>
      <c r="P330" s="1244"/>
      <c r="Q330" s="1244"/>
      <c r="R330" s="1244"/>
      <c r="S330" s="1265"/>
      <c r="T330" s="1244"/>
      <c r="U330" s="1244"/>
    </row>
    <row r="331">
      <c r="A331" s="1235"/>
      <c r="B331" s="1235"/>
      <c r="C331" s="1246"/>
      <c r="D331" s="1274"/>
      <c r="E331" s="1248"/>
      <c r="F331" s="1248"/>
      <c r="G331" s="1271"/>
      <c r="H331" s="1250"/>
      <c r="I331" s="1251"/>
      <c r="J331" s="1271"/>
      <c r="K331" s="1271"/>
      <c r="L331" s="1254"/>
      <c r="M331" s="1244"/>
      <c r="N331" s="1273"/>
      <c r="O331" s="1273"/>
      <c r="P331" s="1244"/>
      <c r="Q331" s="1244"/>
      <c r="R331" s="1244"/>
      <c r="S331" s="1265"/>
      <c r="T331" s="1244"/>
      <c r="U331" s="1244"/>
    </row>
    <row r="332">
      <c r="A332" s="1235"/>
      <c r="B332" s="1235"/>
      <c r="C332" s="1246"/>
      <c r="D332" s="1274"/>
      <c r="E332" s="1248"/>
      <c r="F332" s="1248"/>
      <c r="G332" s="1271"/>
      <c r="H332" s="1250"/>
      <c r="I332" s="1251"/>
      <c r="J332" s="1271"/>
      <c r="K332" s="1271"/>
      <c r="L332" s="1254"/>
      <c r="M332" s="1244"/>
      <c r="N332" s="1273"/>
      <c r="O332" s="1273"/>
      <c r="P332" s="1244"/>
      <c r="Q332" s="1244"/>
      <c r="R332" s="1244"/>
      <c r="S332" s="1265"/>
      <c r="T332" s="1244"/>
      <c r="U332" s="1244"/>
    </row>
    <row r="333">
      <c r="A333" s="1235"/>
      <c r="B333" s="1235"/>
      <c r="C333" s="1246"/>
      <c r="D333" s="1274"/>
      <c r="E333" s="1248"/>
      <c r="F333" s="1248"/>
      <c r="G333" s="1271"/>
      <c r="H333" s="1250"/>
      <c r="I333" s="1251"/>
      <c r="J333" s="1271"/>
      <c r="K333" s="1271"/>
      <c r="L333" s="1254"/>
      <c r="M333" s="1244"/>
      <c r="N333" s="1273"/>
      <c r="O333" s="1273"/>
      <c r="P333" s="1244"/>
      <c r="Q333" s="1244"/>
      <c r="R333" s="1244"/>
      <c r="S333" s="1265"/>
      <c r="T333" s="1244"/>
      <c r="U333" s="1244"/>
    </row>
    <row r="334">
      <c r="A334" s="1235"/>
      <c r="B334" s="1235"/>
      <c r="C334" s="1246"/>
      <c r="D334" s="1274"/>
      <c r="E334" s="1248"/>
      <c r="F334" s="1248"/>
      <c r="G334" s="1271"/>
      <c r="H334" s="1250"/>
      <c r="I334" s="1251"/>
      <c r="J334" s="1271"/>
      <c r="K334" s="1271"/>
      <c r="L334" s="1254"/>
      <c r="M334" s="1244"/>
      <c r="N334" s="1273"/>
      <c r="O334" s="1273"/>
      <c r="P334" s="1244"/>
      <c r="Q334" s="1244"/>
      <c r="R334" s="1244"/>
      <c r="S334" s="1265"/>
      <c r="T334" s="1244"/>
      <c r="U334" s="1244"/>
    </row>
    <row r="335">
      <c r="A335" s="1235"/>
      <c r="B335" s="1235"/>
      <c r="C335" s="1246"/>
      <c r="D335" s="1274"/>
      <c r="E335" s="1248"/>
      <c r="F335" s="1248"/>
      <c r="G335" s="1271"/>
      <c r="H335" s="1250"/>
      <c r="I335" s="1251"/>
      <c r="J335" s="1271"/>
      <c r="K335" s="1271"/>
      <c r="L335" s="1254"/>
      <c r="M335" s="1244"/>
      <c r="N335" s="1273"/>
      <c r="O335" s="1273"/>
      <c r="P335" s="1244"/>
      <c r="Q335" s="1244"/>
      <c r="R335" s="1244"/>
      <c r="S335" s="1265"/>
      <c r="T335" s="1244"/>
      <c r="U335" s="1244"/>
    </row>
    <row r="336">
      <c r="A336" s="1235"/>
      <c r="B336" s="1235"/>
      <c r="C336" s="1246"/>
      <c r="D336" s="1274"/>
      <c r="E336" s="1248"/>
      <c r="F336" s="1248"/>
      <c r="G336" s="1271"/>
      <c r="H336" s="1250"/>
      <c r="I336" s="1251"/>
      <c r="J336" s="1271"/>
      <c r="K336" s="1271"/>
      <c r="L336" s="1254"/>
      <c r="M336" s="1244"/>
      <c r="N336" s="1273"/>
      <c r="O336" s="1273"/>
      <c r="P336" s="1244"/>
      <c r="Q336" s="1244"/>
      <c r="R336" s="1244"/>
      <c r="S336" s="1265"/>
      <c r="T336" s="1244"/>
      <c r="U336" s="1244"/>
    </row>
    <row r="337">
      <c r="A337" s="1235"/>
      <c r="B337" s="1235"/>
      <c r="C337" s="1246"/>
      <c r="D337" s="1274"/>
      <c r="E337" s="1248"/>
      <c r="F337" s="1248"/>
      <c r="G337" s="1271"/>
      <c r="H337" s="1250"/>
      <c r="I337" s="1251"/>
      <c r="J337" s="1271"/>
      <c r="K337" s="1271"/>
      <c r="L337" s="1254"/>
      <c r="M337" s="1244"/>
      <c r="N337" s="1273"/>
      <c r="O337" s="1273"/>
      <c r="P337" s="1244"/>
      <c r="Q337" s="1244"/>
      <c r="R337" s="1244"/>
      <c r="S337" s="1265"/>
      <c r="T337" s="1244"/>
      <c r="U337" s="1244"/>
    </row>
    <row r="338">
      <c r="A338" s="1235"/>
      <c r="B338" s="1235"/>
      <c r="C338" s="1246"/>
      <c r="D338" s="1274"/>
      <c r="E338" s="1248"/>
      <c r="F338" s="1248"/>
      <c r="G338" s="1271"/>
      <c r="H338" s="1250"/>
      <c r="I338" s="1251"/>
      <c r="J338" s="1271"/>
      <c r="K338" s="1271"/>
      <c r="L338" s="1254"/>
      <c r="M338" s="1244"/>
      <c r="N338" s="1273"/>
      <c r="O338" s="1273"/>
      <c r="P338" s="1244"/>
      <c r="Q338" s="1244"/>
      <c r="R338" s="1244"/>
      <c r="S338" s="1265"/>
      <c r="T338" s="1244"/>
      <c r="U338" s="1244"/>
    </row>
    <row r="339">
      <c r="A339" s="1235"/>
      <c r="B339" s="1235"/>
      <c r="C339" s="1246"/>
      <c r="D339" s="1274"/>
      <c r="E339" s="1248"/>
      <c r="F339" s="1248"/>
      <c r="G339" s="1271"/>
      <c r="H339" s="1250"/>
      <c r="I339" s="1251"/>
      <c r="J339" s="1271"/>
      <c r="K339" s="1271"/>
      <c r="L339" s="1254"/>
      <c r="M339" s="1244"/>
      <c r="N339" s="1273"/>
      <c r="O339" s="1273"/>
      <c r="P339" s="1244"/>
      <c r="Q339" s="1244"/>
      <c r="R339" s="1244"/>
      <c r="S339" s="1265"/>
      <c r="T339" s="1244"/>
      <c r="U339" s="1244"/>
    </row>
    <row r="340">
      <c r="A340" s="1235"/>
      <c r="B340" s="1235"/>
      <c r="C340" s="1246"/>
      <c r="D340" s="1274"/>
      <c r="E340" s="1248"/>
      <c r="F340" s="1248"/>
      <c r="G340" s="1271"/>
      <c r="H340" s="1250"/>
      <c r="I340" s="1251"/>
      <c r="J340" s="1271"/>
      <c r="K340" s="1271"/>
      <c r="L340" s="1254"/>
      <c r="M340" s="1244"/>
      <c r="N340" s="1273"/>
      <c r="O340" s="1273"/>
      <c r="P340" s="1244"/>
      <c r="Q340" s="1244"/>
      <c r="R340" s="1244"/>
      <c r="S340" s="1265"/>
      <c r="T340" s="1244"/>
      <c r="U340" s="1244"/>
    </row>
    <row r="341">
      <c r="A341" s="1235"/>
      <c r="B341" s="1235"/>
      <c r="C341" s="1246"/>
      <c r="D341" s="1274"/>
      <c r="E341" s="1248"/>
      <c r="F341" s="1248"/>
      <c r="G341" s="1271"/>
      <c r="H341" s="1250"/>
      <c r="I341" s="1251"/>
      <c r="J341" s="1271"/>
      <c r="K341" s="1271"/>
      <c r="L341" s="1254"/>
      <c r="M341" s="1244"/>
      <c r="N341" s="1273"/>
      <c r="O341" s="1273"/>
      <c r="P341" s="1244"/>
      <c r="Q341" s="1244"/>
      <c r="R341" s="1244"/>
      <c r="S341" s="1265"/>
      <c r="T341" s="1244"/>
      <c r="U341" s="1244"/>
    </row>
    <row r="342">
      <c r="A342" s="1235"/>
      <c r="B342" s="1235"/>
      <c r="C342" s="1246"/>
      <c r="D342" s="1274"/>
      <c r="E342" s="1248"/>
      <c r="F342" s="1248"/>
      <c r="G342" s="1271"/>
      <c r="H342" s="1250"/>
      <c r="I342" s="1251"/>
      <c r="J342" s="1271"/>
      <c r="K342" s="1271"/>
      <c r="L342" s="1254"/>
      <c r="M342" s="1244"/>
      <c r="N342" s="1273"/>
      <c r="O342" s="1273"/>
      <c r="P342" s="1244"/>
      <c r="Q342" s="1244"/>
      <c r="R342" s="1244"/>
      <c r="S342" s="1265"/>
      <c r="T342" s="1244"/>
      <c r="U342" s="1244"/>
    </row>
    <row r="343">
      <c r="A343" s="1235"/>
      <c r="B343" s="1235"/>
      <c r="C343" s="1246"/>
      <c r="D343" s="1274"/>
      <c r="E343" s="1248"/>
      <c r="F343" s="1248"/>
      <c r="G343" s="1271"/>
      <c r="H343" s="1250"/>
      <c r="I343" s="1251"/>
      <c r="J343" s="1271"/>
      <c r="K343" s="1271"/>
      <c r="L343" s="1254"/>
      <c r="M343" s="1244"/>
      <c r="N343" s="1273"/>
      <c r="O343" s="1273"/>
      <c r="P343" s="1244"/>
      <c r="Q343" s="1244"/>
      <c r="R343" s="1244"/>
      <c r="S343" s="1265"/>
      <c r="T343" s="1244"/>
      <c r="U343" s="1244"/>
    </row>
    <row r="344">
      <c r="A344" s="1235"/>
      <c r="B344" s="1235"/>
      <c r="C344" s="1246"/>
      <c r="D344" s="1274"/>
      <c r="E344" s="1248"/>
      <c r="F344" s="1248"/>
      <c r="G344" s="1271"/>
      <c r="H344" s="1250"/>
      <c r="I344" s="1251"/>
      <c r="J344" s="1271"/>
      <c r="K344" s="1271"/>
      <c r="L344" s="1254"/>
      <c r="M344" s="1244"/>
      <c r="N344" s="1273"/>
      <c r="O344" s="1273"/>
      <c r="P344" s="1244"/>
      <c r="Q344" s="1244"/>
      <c r="R344" s="1244"/>
      <c r="S344" s="1265"/>
      <c r="T344" s="1244"/>
      <c r="U344" s="1244"/>
    </row>
    <row r="345">
      <c r="A345" s="1235"/>
      <c r="B345" s="1235"/>
      <c r="C345" s="1246"/>
      <c r="D345" s="1274"/>
      <c r="E345" s="1248"/>
      <c r="F345" s="1248"/>
      <c r="G345" s="1271"/>
      <c r="H345" s="1250"/>
      <c r="I345" s="1251"/>
      <c r="J345" s="1271"/>
      <c r="K345" s="1271"/>
      <c r="L345" s="1254"/>
      <c r="M345" s="1244"/>
      <c r="N345" s="1273"/>
      <c r="O345" s="1273"/>
      <c r="P345" s="1244"/>
      <c r="Q345" s="1244"/>
      <c r="R345" s="1244"/>
      <c r="S345" s="1265"/>
      <c r="T345" s="1244"/>
      <c r="U345" s="1244"/>
    </row>
    <row r="346">
      <c r="A346" s="1235"/>
      <c r="B346" s="1235"/>
      <c r="C346" s="1246"/>
      <c r="D346" s="1274"/>
      <c r="E346" s="1248"/>
      <c r="F346" s="1248"/>
      <c r="G346" s="1271"/>
      <c r="H346" s="1250"/>
      <c r="I346" s="1251"/>
      <c r="J346" s="1271"/>
      <c r="K346" s="1271"/>
      <c r="L346" s="1254"/>
      <c r="M346" s="1244"/>
      <c r="N346" s="1273"/>
      <c r="O346" s="1273"/>
      <c r="P346" s="1244"/>
      <c r="Q346" s="1244"/>
      <c r="R346" s="1244"/>
      <c r="S346" s="1265"/>
      <c r="T346" s="1244"/>
      <c r="U346" s="1244"/>
    </row>
    <row r="347">
      <c r="A347" s="1235"/>
      <c r="B347" s="1235"/>
      <c r="C347" s="1246"/>
      <c r="D347" s="1274"/>
      <c r="E347" s="1248"/>
      <c r="F347" s="1248"/>
      <c r="G347" s="1271"/>
      <c r="H347" s="1250"/>
      <c r="I347" s="1251"/>
      <c r="J347" s="1271"/>
      <c r="K347" s="1271"/>
      <c r="L347" s="1254"/>
      <c r="M347" s="1244"/>
      <c r="N347" s="1273"/>
      <c r="O347" s="1273"/>
      <c r="P347" s="1244"/>
      <c r="Q347" s="1244"/>
      <c r="R347" s="1244"/>
      <c r="S347" s="1265"/>
      <c r="T347" s="1244"/>
      <c r="U347" s="1244"/>
    </row>
    <row r="348">
      <c r="A348" s="1235"/>
      <c r="B348" s="1235"/>
      <c r="C348" s="1246"/>
      <c r="D348" s="1274"/>
      <c r="E348" s="1248"/>
      <c r="F348" s="1248"/>
      <c r="G348" s="1271"/>
      <c r="H348" s="1250"/>
      <c r="I348" s="1251"/>
      <c r="J348" s="1271"/>
      <c r="K348" s="1271"/>
      <c r="L348" s="1254"/>
      <c r="M348" s="1244"/>
      <c r="N348" s="1273"/>
      <c r="O348" s="1273"/>
      <c r="P348" s="1244"/>
      <c r="Q348" s="1244"/>
      <c r="R348" s="1244"/>
      <c r="S348" s="1265"/>
      <c r="T348" s="1244"/>
      <c r="U348" s="1244"/>
    </row>
    <row r="349">
      <c r="A349" s="1235"/>
      <c r="B349" s="1235"/>
      <c r="C349" s="1246"/>
      <c r="D349" s="1274"/>
      <c r="E349" s="1248"/>
      <c r="F349" s="1248"/>
      <c r="G349" s="1271"/>
      <c r="H349" s="1250"/>
      <c r="I349" s="1251"/>
      <c r="J349" s="1271"/>
      <c r="K349" s="1271"/>
      <c r="L349" s="1254"/>
      <c r="M349" s="1244"/>
      <c r="N349" s="1273"/>
      <c r="O349" s="1273"/>
      <c r="P349" s="1244"/>
      <c r="Q349" s="1244"/>
      <c r="R349" s="1244"/>
      <c r="S349" s="1265"/>
      <c r="T349" s="1244"/>
      <c r="U349" s="1244"/>
    </row>
    <row r="350">
      <c r="A350" s="1235"/>
      <c r="B350" s="1235"/>
      <c r="C350" s="1246"/>
      <c r="D350" s="1274"/>
      <c r="E350" s="1248"/>
      <c r="F350" s="1248"/>
      <c r="G350" s="1271"/>
      <c r="H350" s="1250"/>
      <c r="I350" s="1251"/>
      <c r="J350" s="1271"/>
      <c r="K350" s="1271"/>
      <c r="L350" s="1254"/>
      <c r="M350" s="1244"/>
      <c r="N350" s="1273"/>
      <c r="O350" s="1273"/>
      <c r="P350" s="1244"/>
      <c r="Q350" s="1244"/>
      <c r="R350" s="1244"/>
      <c r="S350" s="1265"/>
      <c r="T350" s="1244"/>
      <c r="U350" s="1244"/>
    </row>
    <row r="351">
      <c r="A351" s="1235"/>
      <c r="B351" s="1235"/>
      <c r="C351" s="1246"/>
      <c r="D351" s="1274"/>
      <c r="E351" s="1248"/>
      <c r="F351" s="1248"/>
      <c r="G351" s="1271"/>
      <c r="H351" s="1250"/>
      <c r="I351" s="1251"/>
      <c r="J351" s="1271"/>
      <c r="K351" s="1271"/>
      <c r="L351" s="1254"/>
      <c r="M351" s="1244"/>
      <c r="N351" s="1273"/>
      <c r="O351" s="1273"/>
      <c r="P351" s="1244"/>
      <c r="Q351" s="1244"/>
      <c r="R351" s="1244"/>
      <c r="S351" s="1265"/>
      <c r="T351" s="1244"/>
      <c r="U351" s="1244"/>
    </row>
    <row r="352">
      <c r="A352" s="1235"/>
      <c r="B352" s="1235"/>
      <c r="C352" s="1246"/>
      <c r="D352" s="1274"/>
      <c r="E352" s="1248"/>
      <c r="F352" s="1248"/>
      <c r="G352" s="1271"/>
      <c r="H352" s="1250"/>
      <c r="I352" s="1251"/>
      <c r="J352" s="1271"/>
      <c r="K352" s="1271"/>
      <c r="L352" s="1254"/>
      <c r="M352" s="1244"/>
      <c r="N352" s="1273"/>
      <c r="O352" s="1273"/>
      <c r="P352" s="1244"/>
      <c r="Q352" s="1244"/>
      <c r="R352" s="1244"/>
      <c r="S352" s="1265"/>
      <c r="T352" s="1244"/>
      <c r="U352" s="1244"/>
    </row>
    <row r="353">
      <c r="A353" s="1235"/>
      <c r="B353" s="1235"/>
      <c r="C353" s="1246"/>
      <c r="D353" s="1274"/>
      <c r="E353" s="1248"/>
      <c r="F353" s="1248"/>
      <c r="G353" s="1271"/>
      <c r="H353" s="1250"/>
      <c r="I353" s="1251"/>
      <c r="J353" s="1271"/>
      <c r="K353" s="1271"/>
      <c r="L353" s="1254"/>
      <c r="M353" s="1244"/>
      <c r="N353" s="1273"/>
      <c r="O353" s="1273"/>
      <c r="P353" s="1244"/>
      <c r="Q353" s="1244"/>
      <c r="R353" s="1244"/>
      <c r="S353" s="1265"/>
      <c r="T353" s="1244"/>
      <c r="U353" s="1244"/>
    </row>
    <row r="354">
      <c r="A354" s="1235"/>
      <c r="B354" s="1235"/>
      <c r="C354" s="1246"/>
      <c r="D354" s="1274"/>
      <c r="E354" s="1248"/>
      <c r="F354" s="1248"/>
      <c r="G354" s="1271"/>
      <c r="H354" s="1250"/>
      <c r="I354" s="1251"/>
      <c r="J354" s="1271"/>
      <c r="K354" s="1271"/>
      <c r="L354" s="1254"/>
      <c r="M354" s="1244"/>
      <c r="N354" s="1273"/>
      <c r="O354" s="1273"/>
      <c r="P354" s="1244"/>
      <c r="Q354" s="1244"/>
      <c r="R354" s="1244"/>
      <c r="S354" s="1265"/>
      <c r="T354" s="1244"/>
      <c r="U354" s="1244"/>
    </row>
    <row r="355">
      <c r="A355" s="1235"/>
      <c r="B355" s="1235"/>
      <c r="C355" s="1246"/>
      <c r="D355" s="1274"/>
      <c r="E355" s="1248"/>
      <c r="F355" s="1248"/>
      <c r="G355" s="1271"/>
      <c r="H355" s="1250"/>
      <c r="I355" s="1251"/>
      <c r="J355" s="1271"/>
      <c r="K355" s="1271"/>
      <c r="L355" s="1254"/>
      <c r="M355" s="1244"/>
      <c r="N355" s="1273"/>
      <c r="O355" s="1273"/>
      <c r="P355" s="1244"/>
      <c r="Q355" s="1244"/>
      <c r="R355" s="1244"/>
      <c r="S355" s="1265"/>
      <c r="T355" s="1244"/>
      <c r="U355" s="1244"/>
    </row>
    <row r="356">
      <c r="A356" s="1235"/>
      <c r="B356" s="1235"/>
      <c r="C356" s="1246"/>
      <c r="D356" s="1274"/>
      <c r="E356" s="1248"/>
      <c r="F356" s="1248"/>
      <c r="G356" s="1271"/>
      <c r="H356" s="1250"/>
      <c r="I356" s="1251"/>
      <c r="J356" s="1271"/>
      <c r="K356" s="1271"/>
      <c r="L356" s="1254"/>
      <c r="M356" s="1244"/>
      <c r="N356" s="1273"/>
      <c r="O356" s="1273"/>
      <c r="P356" s="1244"/>
      <c r="Q356" s="1244"/>
      <c r="R356" s="1244"/>
      <c r="S356" s="1265"/>
      <c r="T356" s="1244"/>
      <c r="U356" s="1244"/>
    </row>
    <row r="357">
      <c r="A357" s="1235"/>
      <c r="B357" s="1235"/>
      <c r="C357" s="1246"/>
      <c r="D357" s="1274"/>
      <c r="E357" s="1248"/>
      <c r="F357" s="1248"/>
      <c r="G357" s="1271"/>
      <c r="H357" s="1250"/>
      <c r="I357" s="1251"/>
      <c r="J357" s="1271"/>
      <c r="K357" s="1271"/>
      <c r="L357" s="1254"/>
      <c r="M357" s="1244"/>
      <c r="N357" s="1273"/>
      <c r="O357" s="1273"/>
      <c r="P357" s="1244"/>
      <c r="Q357" s="1244"/>
      <c r="R357" s="1244"/>
      <c r="S357" s="1265"/>
      <c r="T357" s="1244"/>
      <c r="U357" s="1244"/>
    </row>
    <row r="358">
      <c r="A358" s="1235"/>
      <c r="B358" s="1235"/>
      <c r="C358" s="1246"/>
      <c r="D358" s="1274"/>
      <c r="E358" s="1248"/>
      <c r="F358" s="1248"/>
      <c r="G358" s="1271"/>
      <c r="H358" s="1250"/>
      <c r="I358" s="1251"/>
      <c r="J358" s="1271"/>
      <c r="K358" s="1271"/>
      <c r="L358" s="1254"/>
      <c r="M358" s="1244"/>
      <c r="N358" s="1273"/>
      <c r="O358" s="1273"/>
      <c r="P358" s="1244"/>
      <c r="Q358" s="1244"/>
      <c r="R358" s="1244"/>
      <c r="S358" s="1265"/>
      <c r="T358" s="1244"/>
      <c r="U358" s="1244"/>
    </row>
    <row r="359">
      <c r="A359" s="1235"/>
      <c r="B359" s="1235"/>
      <c r="C359" s="1246"/>
      <c r="D359" s="1274"/>
      <c r="E359" s="1248"/>
      <c r="F359" s="1248"/>
      <c r="G359" s="1271"/>
      <c r="H359" s="1250"/>
      <c r="I359" s="1251"/>
      <c r="J359" s="1271"/>
      <c r="K359" s="1271"/>
      <c r="L359" s="1254"/>
      <c r="M359" s="1244"/>
      <c r="N359" s="1273"/>
      <c r="O359" s="1273"/>
      <c r="P359" s="1244"/>
      <c r="Q359" s="1244"/>
      <c r="R359" s="1244"/>
      <c r="S359" s="1265"/>
      <c r="T359" s="1244"/>
      <c r="U359" s="1244"/>
    </row>
    <row r="360">
      <c r="A360" s="1235"/>
      <c r="B360" s="1235"/>
      <c r="C360" s="1246"/>
      <c r="D360" s="1274"/>
      <c r="E360" s="1248"/>
      <c r="F360" s="1248"/>
      <c r="G360" s="1271"/>
      <c r="H360" s="1250"/>
      <c r="I360" s="1251"/>
      <c r="J360" s="1271"/>
      <c r="K360" s="1271"/>
      <c r="L360" s="1254"/>
      <c r="M360" s="1244"/>
      <c r="N360" s="1273"/>
      <c r="O360" s="1273"/>
      <c r="P360" s="1244"/>
      <c r="Q360" s="1244"/>
      <c r="R360" s="1244"/>
      <c r="S360" s="1265"/>
      <c r="T360" s="1244"/>
      <c r="U360" s="1244"/>
    </row>
    <row r="361">
      <c r="A361" s="1235"/>
      <c r="B361" s="1235"/>
      <c r="C361" s="1246"/>
      <c r="D361" s="1274"/>
      <c r="E361" s="1248"/>
      <c r="F361" s="1248"/>
      <c r="G361" s="1271"/>
      <c r="H361" s="1250"/>
      <c r="I361" s="1251"/>
      <c r="J361" s="1271"/>
      <c r="K361" s="1271"/>
      <c r="L361" s="1254"/>
      <c r="M361" s="1244"/>
      <c r="N361" s="1273"/>
      <c r="O361" s="1273"/>
      <c r="P361" s="1244"/>
      <c r="Q361" s="1244"/>
      <c r="R361" s="1244"/>
      <c r="S361" s="1265"/>
      <c r="T361" s="1244"/>
      <c r="U361" s="1244"/>
    </row>
    <row r="362">
      <c r="A362" s="1235"/>
      <c r="B362" s="1235"/>
      <c r="C362" s="1246"/>
      <c r="D362" s="1274"/>
      <c r="E362" s="1248"/>
      <c r="F362" s="1248"/>
      <c r="G362" s="1271"/>
      <c r="H362" s="1250"/>
      <c r="I362" s="1251"/>
      <c r="J362" s="1271"/>
      <c r="K362" s="1271"/>
      <c r="L362" s="1254"/>
      <c r="M362" s="1244"/>
      <c r="N362" s="1273"/>
      <c r="O362" s="1273"/>
      <c r="P362" s="1244"/>
      <c r="Q362" s="1244"/>
      <c r="R362" s="1244"/>
      <c r="S362" s="1265"/>
      <c r="T362" s="1244"/>
      <c r="U362" s="1244"/>
    </row>
    <row r="363">
      <c r="A363" s="1235"/>
      <c r="B363" s="1235"/>
      <c r="C363" s="1246"/>
      <c r="D363" s="1274"/>
      <c r="E363" s="1248"/>
      <c r="F363" s="1248"/>
      <c r="G363" s="1271"/>
      <c r="H363" s="1250"/>
      <c r="I363" s="1251"/>
      <c r="J363" s="1271"/>
      <c r="K363" s="1271"/>
      <c r="L363" s="1254"/>
      <c r="M363" s="1244"/>
      <c r="N363" s="1273"/>
      <c r="O363" s="1273"/>
      <c r="P363" s="1244"/>
      <c r="Q363" s="1244"/>
      <c r="R363" s="1244"/>
      <c r="S363" s="1265"/>
      <c r="T363" s="1244"/>
      <c r="U363" s="1244"/>
    </row>
    <row r="364">
      <c r="A364" s="1235"/>
      <c r="B364" s="1235"/>
      <c r="C364" s="1246"/>
      <c r="D364" s="1274"/>
      <c r="E364" s="1248"/>
      <c r="F364" s="1248"/>
      <c r="G364" s="1271"/>
      <c r="H364" s="1250"/>
      <c r="I364" s="1251"/>
      <c r="J364" s="1271"/>
      <c r="K364" s="1271"/>
      <c r="L364" s="1254"/>
      <c r="M364" s="1244"/>
      <c r="N364" s="1273"/>
      <c r="O364" s="1273"/>
      <c r="P364" s="1244"/>
      <c r="Q364" s="1244"/>
      <c r="R364" s="1244"/>
      <c r="S364" s="1265"/>
      <c r="T364" s="1244"/>
      <c r="U364" s="1244"/>
    </row>
    <row r="365">
      <c r="A365" s="1235"/>
      <c r="B365" s="1235"/>
      <c r="C365" s="1246"/>
      <c r="D365" s="1274"/>
      <c r="E365" s="1248"/>
      <c r="F365" s="1248"/>
      <c r="G365" s="1271"/>
      <c r="H365" s="1250"/>
      <c r="I365" s="1251"/>
      <c r="J365" s="1271"/>
      <c r="K365" s="1271"/>
      <c r="L365" s="1254"/>
      <c r="M365" s="1244"/>
      <c r="N365" s="1273"/>
      <c r="O365" s="1273"/>
      <c r="P365" s="1244"/>
      <c r="Q365" s="1244"/>
      <c r="R365" s="1244"/>
      <c r="S365" s="1265"/>
      <c r="T365" s="1244"/>
      <c r="U365" s="1244"/>
    </row>
    <row r="366">
      <c r="A366" s="1235"/>
      <c r="B366" s="1235"/>
      <c r="C366" s="1246"/>
      <c r="D366" s="1274"/>
      <c r="E366" s="1248"/>
      <c r="F366" s="1248"/>
      <c r="G366" s="1271"/>
      <c r="H366" s="1250"/>
      <c r="I366" s="1251"/>
      <c r="J366" s="1271"/>
      <c r="K366" s="1271"/>
      <c r="L366" s="1254"/>
      <c r="M366" s="1244"/>
      <c r="N366" s="1273"/>
      <c r="O366" s="1273"/>
      <c r="P366" s="1244"/>
      <c r="Q366" s="1244"/>
      <c r="R366" s="1244"/>
      <c r="S366" s="1265"/>
      <c r="T366" s="1244"/>
      <c r="U366" s="1244"/>
    </row>
    <row r="367">
      <c r="A367" s="1235"/>
      <c r="B367" s="1235"/>
      <c r="C367" s="1246"/>
      <c r="D367" s="1274"/>
      <c r="E367" s="1248"/>
      <c r="F367" s="1248"/>
      <c r="G367" s="1271"/>
      <c r="H367" s="1250"/>
      <c r="I367" s="1251"/>
      <c r="J367" s="1271"/>
      <c r="K367" s="1271"/>
      <c r="L367" s="1254"/>
      <c r="M367" s="1244"/>
      <c r="N367" s="1273"/>
      <c r="O367" s="1273"/>
      <c r="P367" s="1244"/>
      <c r="Q367" s="1244"/>
      <c r="R367" s="1244"/>
      <c r="S367" s="1265"/>
      <c r="T367" s="1244"/>
      <c r="U367" s="1244"/>
    </row>
    <row r="368">
      <c r="A368" s="1235"/>
      <c r="B368" s="1235"/>
      <c r="C368" s="1246"/>
      <c r="D368" s="1274"/>
      <c r="E368" s="1248"/>
      <c r="F368" s="1248"/>
      <c r="G368" s="1271"/>
      <c r="H368" s="1250"/>
      <c r="I368" s="1251"/>
      <c r="J368" s="1271"/>
      <c r="K368" s="1271"/>
      <c r="L368" s="1254"/>
      <c r="M368" s="1244"/>
      <c r="N368" s="1273"/>
      <c r="O368" s="1273"/>
      <c r="P368" s="1244"/>
      <c r="Q368" s="1244"/>
      <c r="R368" s="1244"/>
      <c r="S368" s="1265"/>
      <c r="T368" s="1244"/>
      <c r="U368" s="1244"/>
    </row>
    <row r="369">
      <c r="A369" s="1235"/>
      <c r="B369" s="1235"/>
      <c r="C369" s="1246"/>
      <c r="D369" s="1274"/>
      <c r="E369" s="1248"/>
      <c r="F369" s="1248"/>
      <c r="G369" s="1271"/>
      <c r="H369" s="1250"/>
      <c r="I369" s="1251"/>
      <c r="J369" s="1271"/>
      <c r="K369" s="1271"/>
      <c r="L369" s="1254"/>
      <c r="M369" s="1244"/>
      <c r="N369" s="1273"/>
      <c r="O369" s="1273"/>
      <c r="P369" s="1244"/>
      <c r="Q369" s="1244"/>
      <c r="R369" s="1244"/>
      <c r="S369" s="1265"/>
      <c r="T369" s="1244"/>
      <c r="U369" s="1244"/>
    </row>
    <row r="370">
      <c r="A370" s="1235"/>
      <c r="B370" s="1235"/>
      <c r="C370" s="1246"/>
      <c r="D370" s="1274"/>
      <c r="E370" s="1248"/>
      <c r="F370" s="1248"/>
      <c r="G370" s="1271"/>
      <c r="H370" s="1250"/>
      <c r="I370" s="1251"/>
      <c r="J370" s="1271"/>
      <c r="K370" s="1271"/>
      <c r="L370" s="1254"/>
      <c r="M370" s="1244"/>
      <c r="N370" s="1273"/>
      <c r="O370" s="1273"/>
      <c r="P370" s="1244"/>
      <c r="Q370" s="1244"/>
      <c r="R370" s="1244"/>
      <c r="S370" s="1265"/>
      <c r="T370" s="1244"/>
      <c r="U370" s="1244"/>
    </row>
    <row r="371">
      <c r="A371" s="1235"/>
      <c r="B371" s="1235"/>
      <c r="C371" s="1246"/>
      <c r="D371" s="1274"/>
      <c r="E371" s="1248"/>
      <c r="F371" s="1248"/>
      <c r="G371" s="1271"/>
      <c r="H371" s="1250"/>
      <c r="I371" s="1251"/>
      <c r="J371" s="1271"/>
      <c r="K371" s="1271"/>
      <c r="L371" s="1254"/>
      <c r="M371" s="1244"/>
      <c r="N371" s="1273"/>
      <c r="O371" s="1273"/>
      <c r="P371" s="1244"/>
      <c r="Q371" s="1244"/>
      <c r="R371" s="1244"/>
      <c r="S371" s="1265"/>
      <c r="T371" s="1244"/>
      <c r="U371" s="1244"/>
    </row>
    <row r="372">
      <c r="A372" s="1235"/>
      <c r="B372" s="1235"/>
      <c r="C372" s="1246"/>
      <c r="D372" s="1274"/>
      <c r="E372" s="1248"/>
      <c r="F372" s="1248"/>
      <c r="G372" s="1271"/>
      <c r="H372" s="1250"/>
      <c r="I372" s="1251"/>
      <c r="J372" s="1271"/>
      <c r="K372" s="1271"/>
      <c r="L372" s="1254"/>
      <c r="M372" s="1244"/>
      <c r="N372" s="1273"/>
      <c r="O372" s="1273"/>
      <c r="P372" s="1244"/>
      <c r="Q372" s="1244"/>
      <c r="R372" s="1244"/>
      <c r="S372" s="1265"/>
      <c r="T372" s="1244"/>
      <c r="U372" s="1244"/>
    </row>
    <row r="373">
      <c r="A373" s="1235"/>
      <c r="B373" s="1235"/>
      <c r="C373" s="1246"/>
      <c r="D373" s="1274"/>
      <c r="E373" s="1248"/>
      <c r="F373" s="1248"/>
      <c r="G373" s="1271"/>
      <c r="H373" s="1250"/>
      <c r="I373" s="1251"/>
      <c r="J373" s="1271"/>
      <c r="K373" s="1271"/>
      <c r="L373" s="1254"/>
      <c r="M373" s="1244"/>
      <c r="N373" s="1273"/>
      <c r="O373" s="1273"/>
      <c r="P373" s="1244"/>
      <c r="Q373" s="1244"/>
      <c r="R373" s="1244"/>
      <c r="S373" s="1265"/>
      <c r="T373" s="1244"/>
      <c r="U373" s="1244"/>
    </row>
    <row r="374">
      <c r="A374" s="1235"/>
      <c r="B374" s="1235"/>
      <c r="C374" s="1246"/>
      <c r="D374" s="1274"/>
      <c r="E374" s="1248"/>
      <c r="F374" s="1248"/>
      <c r="G374" s="1271"/>
      <c r="H374" s="1250"/>
      <c r="I374" s="1251"/>
      <c r="J374" s="1271"/>
      <c r="K374" s="1271"/>
      <c r="L374" s="1254"/>
      <c r="M374" s="1244"/>
      <c r="N374" s="1273"/>
      <c r="O374" s="1273"/>
      <c r="P374" s="1244"/>
      <c r="Q374" s="1244"/>
      <c r="R374" s="1244"/>
      <c r="S374" s="1265"/>
      <c r="T374" s="1244"/>
      <c r="U374" s="1244"/>
    </row>
    <row r="375">
      <c r="A375" s="1235"/>
      <c r="B375" s="1235"/>
      <c r="C375" s="1246"/>
      <c r="D375" s="1274"/>
      <c r="E375" s="1248"/>
      <c r="F375" s="1248"/>
      <c r="G375" s="1271"/>
      <c r="H375" s="1250"/>
      <c r="I375" s="1251"/>
      <c r="J375" s="1271"/>
      <c r="K375" s="1271"/>
      <c r="L375" s="1254"/>
      <c r="M375" s="1244"/>
      <c r="N375" s="1273"/>
      <c r="O375" s="1273"/>
      <c r="P375" s="1244"/>
      <c r="Q375" s="1244"/>
      <c r="R375" s="1244"/>
      <c r="S375" s="1265"/>
      <c r="T375" s="1244"/>
      <c r="U375" s="1244"/>
    </row>
    <row r="376">
      <c r="A376" s="1235"/>
      <c r="B376" s="1235"/>
      <c r="C376" s="1246"/>
      <c r="D376" s="1274"/>
      <c r="E376" s="1248"/>
      <c r="F376" s="1248"/>
      <c r="G376" s="1271"/>
      <c r="H376" s="1250"/>
      <c r="I376" s="1251"/>
      <c r="J376" s="1271"/>
      <c r="K376" s="1271"/>
      <c r="L376" s="1254"/>
      <c r="M376" s="1244"/>
      <c r="N376" s="1273"/>
      <c r="O376" s="1273"/>
      <c r="P376" s="1244"/>
      <c r="Q376" s="1244"/>
      <c r="R376" s="1244"/>
      <c r="S376" s="1265"/>
      <c r="T376" s="1244"/>
      <c r="U376" s="1244"/>
    </row>
    <row r="377">
      <c r="A377" s="1235"/>
      <c r="B377" s="1235"/>
      <c r="C377" s="1246"/>
      <c r="D377" s="1274"/>
      <c r="E377" s="1248"/>
      <c r="F377" s="1248"/>
      <c r="G377" s="1271"/>
      <c r="H377" s="1250"/>
      <c r="I377" s="1251"/>
      <c r="J377" s="1271"/>
      <c r="K377" s="1271"/>
      <c r="L377" s="1254"/>
      <c r="M377" s="1244"/>
      <c r="N377" s="1273"/>
      <c r="O377" s="1273"/>
      <c r="P377" s="1244"/>
      <c r="Q377" s="1244"/>
      <c r="R377" s="1244"/>
      <c r="S377" s="1265"/>
      <c r="T377" s="1244"/>
      <c r="U377" s="1244"/>
    </row>
    <row r="378">
      <c r="A378" s="1235"/>
      <c r="B378" s="1235"/>
      <c r="C378" s="1246"/>
      <c r="D378" s="1274"/>
      <c r="E378" s="1248"/>
      <c r="F378" s="1248"/>
      <c r="G378" s="1271"/>
      <c r="H378" s="1250"/>
      <c r="I378" s="1251"/>
      <c r="J378" s="1271"/>
      <c r="K378" s="1271"/>
      <c r="L378" s="1254"/>
      <c r="M378" s="1244"/>
      <c r="N378" s="1273"/>
      <c r="O378" s="1273"/>
      <c r="P378" s="1244"/>
      <c r="Q378" s="1244"/>
      <c r="R378" s="1244"/>
      <c r="S378" s="1265"/>
      <c r="T378" s="1244"/>
      <c r="U378" s="1244"/>
    </row>
    <row r="379">
      <c r="A379" s="1235"/>
      <c r="B379" s="1235"/>
      <c r="C379" s="1246"/>
      <c r="D379" s="1274"/>
      <c r="E379" s="1248"/>
      <c r="F379" s="1248"/>
      <c r="G379" s="1271"/>
      <c r="H379" s="1250"/>
      <c r="I379" s="1251"/>
      <c r="J379" s="1271"/>
      <c r="K379" s="1271"/>
      <c r="L379" s="1254"/>
      <c r="M379" s="1244"/>
      <c r="N379" s="1273"/>
      <c r="O379" s="1273"/>
      <c r="P379" s="1244"/>
      <c r="Q379" s="1244"/>
      <c r="R379" s="1244"/>
      <c r="S379" s="1265"/>
      <c r="T379" s="1244"/>
      <c r="U379" s="1244"/>
    </row>
    <row r="380">
      <c r="A380" s="1235"/>
      <c r="B380" s="1235"/>
      <c r="C380" s="1246"/>
      <c r="D380" s="1274"/>
      <c r="E380" s="1248"/>
      <c r="F380" s="1248"/>
      <c r="G380" s="1271"/>
      <c r="H380" s="1250"/>
      <c r="I380" s="1251"/>
      <c r="J380" s="1271"/>
      <c r="K380" s="1271"/>
      <c r="L380" s="1254"/>
      <c r="M380" s="1244"/>
      <c r="N380" s="1273"/>
      <c r="O380" s="1273"/>
      <c r="P380" s="1244"/>
      <c r="Q380" s="1244"/>
      <c r="R380" s="1244"/>
      <c r="S380" s="1265"/>
      <c r="T380" s="1244"/>
      <c r="U380" s="1244"/>
    </row>
    <row r="381">
      <c r="A381" s="1235"/>
      <c r="B381" s="1235"/>
      <c r="C381" s="1246"/>
      <c r="D381" s="1274"/>
      <c r="E381" s="1248"/>
      <c r="F381" s="1248"/>
      <c r="G381" s="1271"/>
      <c r="H381" s="1250"/>
      <c r="I381" s="1251"/>
      <c r="J381" s="1271"/>
      <c r="K381" s="1271"/>
      <c r="L381" s="1254"/>
      <c r="M381" s="1244"/>
      <c r="N381" s="1273"/>
      <c r="O381" s="1273"/>
      <c r="P381" s="1244"/>
      <c r="Q381" s="1244"/>
      <c r="R381" s="1244"/>
      <c r="S381" s="1265"/>
      <c r="T381" s="1244"/>
      <c r="U381" s="1244"/>
    </row>
    <row r="382">
      <c r="A382" s="1235"/>
      <c r="B382" s="1235"/>
      <c r="C382" s="1246"/>
      <c r="D382" s="1274"/>
      <c r="E382" s="1248"/>
      <c r="F382" s="1248"/>
      <c r="G382" s="1271"/>
      <c r="H382" s="1250"/>
      <c r="I382" s="1251"/>
      <c r="J382" s="1271"/>
      <c r="K382" s="1271"/>
      <c r="L382" s="1254"/>
      <c r="M382" s="1244"/>
      <c r="N382" s="1273"/>
      <c r="O382" s="1273"/>
      <c r="P382" s="1244"/>
      <c r="Q382" s="1244"/>
      <c r="R382" s="1244"/>
      <c r="S382" s="1265"/>
      <c r="T382" s="1244"/>
      <c r="U382" s="1244"/>
    </row>
    <row r="383">
      <c r="A383" s="1235"/>
      <c r="B383" s="1235"/>
      <c r="C383" s="1246"/>
      <c r="D383" s="1274"/>
      <c r="E383" s="1248"/>
      <c r="F383" s="1248"/>
      <c r="G383" s="1271"/>
      <c r="H383" s="1250"/>
      <c r="I383" s="1251"/>
      <c r="J383" s="1271"/>
      <c r="K383" s="1271"/>
      <c r="L383" s="1254"/>
      <c r="M383" s="1244"/>
      <c r="N383" s="1273"/>
      <c r="O383" s="1273"/>
      <c r="P383" s="1244"/>
      <c r="Q383" s="1244"/>
      <c r="R383" s="1244"/>
      <c r="S383" s="1265"/>
      <c r="T383" s="1244"/>
      <c r="U383" s="1244"/>
    </row>
    <row r="384">
      <c r="A384" s="1235"/>
      <c r="B384" s="1235"/>
      <c r="C384" s="1246"/>
      <c r="D384" s="1274"/>
      <c r="E384" s="1248"/>
      <c r="F384" s="1248"/>
      <c r="G384" s="1271"/>
      <c r="H384" s="1250"/>
      <c r="I384" s="1251"/>
      <c r="J384" s="1271"/>
      <c r="K384" s="1271"/>
      <c r="L384" s="1254"/>
      <c r="M384" s="1244"/>
      <c r="N384" s="1273"/>
      <c r="O384" s="1273"/>
      <c r="P384" s="1244"/>
      <c r="Q384" s="1244"/>
      <c r="R384" s="1244"/>
      <c r="S384" s="1265"/>
      <c r="T384" s="1244"/>
      <c r="U384" s="1244"/>
    </row>
    <row r="385">
      <c r="A385" s="1235"/>
      <c r="B385" s="1235"/>
      <c r="C385" s="1246"/>
      <c r="D385" s="1274"/>
      <c r="E385" s="1248"/>
      <c r="F385" s="1248"/>
      <c r="G385" s="1271"/>
      <c r="H385" s="1250"/>
      <c r="I385" s="1251"/>
      <c r="J385" s="1271"/>
      <c r="K385" s="1271"/>
      <c r="L385" s="1254"/>
      <c r="M385" s="1244"/>
      <c r="N385" s="1273"/>
      <c r="O385" s="1273"/>
      <c r="P385" s="1244"/>
      <c r="Q385" s="1244"/>
      <c r="R385" s="1244"/>
      <c r="S385" s="1265"/>
      <c r="T385" s="1244"/>
      <c r="U385" s="1244"/>
    </row>
    <row r="386">
      <c r="A386" s="1235"/>
      <c r="B386" s="1235"/>
      <c r="C386" s="1246"/>
      <c r="D386" s="1274"/>
      <c r="E386" s="1248"/>
      <c r="F386" s="1248"/>
      <c r="G386" s="1271"/>
      <c r="H386" s="1250"/>
      <c r="I386" s="1251"/>
      <c r="J386" s="1271"/>
      <c r="K386" s="1271"/>
      <c r="L386" s="1254"/>
      <c r="M386" s="1244"/>
      <c r="N386" s="1273"/>
      <c r="O386" s="1273"/>
      <c r="P386" s="1244"/>
      <c r="Q386" s="1244"/>
      <c r="R386" s="1244"/>
      <c r="S386" s="1265"/>
      <c r="T386" s="1244"/>
      <c r="U386" s="1244"/>
    </row>
    <row r="387">
      <c r="A387" s="1235"/>
      <c r="B387" s="1235"/>
      <c r="C387" s="1246"/>
      <c r="D387" s="1274"/>
      <c r="E387" s="1248"/>
      <c r="F387" s="1248"/>
      <c r="G387" s="1271"/>
      <c r="H387" s="1250"/>
      <c r="I387" s="1251"/>
      <c r="J387" s="1271"/>
      <c r="K387" s="1271"/>
      <c r="L387" s="1254"/>
      <c r="M387" s="1244"/>
      <c r="N387" s="1273"/>
      <c r="O387" s="1273"/>
      <c r="P387" s="1244"/>
      <c r="Q387" s="1244"/>
      <c r="R387" s="1244"/>
      <c r="S387" s="1265"/>
      <c r="T387" s="1244"/>
      <c r="U387" s="1244"/>
    </row>
    <row r="388">
      <c r="A388" s="1235"/>
      <c r="B388" s="1235"/>
      <c r="C388" s="1246"/>
      <c r="D388" s="1274"/>
      <c r="E388" s="1248"/>
      <c r="F388" s="1248"/>
      <c r="G388" s="1271"/>
      <c r="H388" s="1250"/>
      <c r="I388" s="1251"/>
      <c r="J388" s="1271"/>
      <c r="K388" s="1271"/>
      <c r="L388" s="1254"/>
      <c r="M388" s="1244"/>
      <c r="N388" s="1273"/>
      <c r="O388" s="1273"/>
      <c r="P388" s="1244"/>
      <c r="Q388" s="1244"/>
      <c r="R388" s="1244"/>
      <c r="S388" s="1265"/>
      <c r="T388" s="1244"/>
      <c r="U388" s="1244"/>
    </row>
    <row r="389">
      <c r="A389" s="1235"/>
      <c r="B389" s="1235"/>
      <c r="C389" s="1246"/>
      <c r="D389" s="1274"/>
      <c r="E389" s="1248"/>
      <c r="F389" s="1248"/>
      <c r="G389" s="1271"/>
      <c r="H389" s="1250"/>
      <c r="I389" s="1251"/>
      <c r="J389" s="1271"/>
      <c r="K389" s="1271"/>
      <c r="L389" s="1254"/>
      <c r="M389" s="1244"/>
      <c r="N389" s="1273"/>
      <c r="O389" s="1273"/>
      <c r="P389" s="1244"/>
      <c r="Q389" s="1244"/>
      <c r="R389" s="1244"/>
      <c r="S389" s="1265"/>
      <c r="T389" s="1244"/>
      <c r="U389" s="1244"/>
    </row>
    <row r="390">
      <c r="A390" s="1235"/>
      <c r="B390" s="1235"/>
      <c r="C390" s="1246"/>
      <c r="D390" s="1274"/>
      <c r="E390" s="1248"/>
      <c r="F390" s="1248"/>
      <c r="G390" s="1271"/>
      <c r="H390" s="1250"/>
      <c r="I390" s="1251"/>
      <c r="J390" s="1271"/>
      <c r="K390" s="1271"/>
      <c r="L390" s="1254"/>
      <c r="M390" s="1244"/>
      <c r="N390" s="1273"/>
      <c r="O390" s="1273"/>
      <c r="P390" s="1244"/>
      <c r="Q390" s="1244"/>
      <c r="R390" s="1244"/>
      <c r="S390" s="1265"/>
      <c r="T390" s="1244"/>
      <c r="U390" s="1244"/>
    </row>
    <row r="391">
      <c r="A391" s="1235"/>
      <c r="B391" s="1235"/>
      <c r="C391" s="1246"/>
      <c r="D391" s="1274"/>
      <c r="E391" s="1248"/>
      <c r="F391" s="1248"/>
      <c r="G391" s="1271"/>
      <c r="H391" s="1250"/>
      <c r="I391" s="1251"/>
      <c r="J391" s="1271"/>
      <c r="K391" s="1271"/>
      <c r="L391" s="1254"/>
      <c r="M391" s="1244"/>
      <c r="N391" s="1273"/>
      <c r="O391" s="1273"/>
      <c r="P391" s="1244"/>
      <c r="Q391" s="1244"/>
      <c r="R391" s="1244"/>
      <c r="S391" s="1265"/>
      <c r="T391" s="1244"/>
      <c r="U391" s="1244"/>
    </row>
    <row r="392">
      <c r="A392" s="1235"/>
      <c r="B392" s="1235"/>
      <c r="C392" s="1246"/>
      <c r="D392" s="1274"/>
      <c r="E392" s="1248"/>
      <c r="F392" s="1248"/>
      <c r="G392" s="1271"/>
      <c r="H392" s="1250"/>
      <c r="I392" s="1251"/>
      <c r="J392" s="1271"/>
      <c r="K392" s="1271"/>
      <c r="L392" s="1254"/>
      <c r="M392" s="1244"/>
      <c r="N392" s="1273"/>
      <c r="O392" s="1273"/>
      <c r="P392" s="1244"/>
      <c r="Q392" s="1244"/>
      <c r="R392" s="1244"/>
      <c r="S392" s="1265"/>
      <c r="T392" s="1244"/>
      <c r="U392" s="1244"/>
    </row>
    <row r="393">
      <c r="A393" s="1235"/>
      <c r="B393" s="1235"/>
      <c r="C393" s="1246"/>
      <c r="D393" s="1274"/>
      <c r="E393" s="1248"/>
      <c r="F393" s="1248"/>
      <c r="G393" s="1271"/>
      <c r="H393" s="1250"/>
      <c r="I393" s="1251"/>
      <c r="J393" s="1271"/>
      <c r="K393" s="1271"/>
      <c r="L393" s="1254"/>
      <c r="M393" s="1244"/>
      <c r="N393" s="1273"/>
      <c r="O393" s="1273"/>
      <c r="P393" s="1244"/>
      <c r="Q393" s="1244"/>
      <c r="R393" s="1244"/>
      <c r="S393" s="1265"/>
      <c r="T393" s="1244"/>
      <c r="U393" s="1244"/>
    </row>
    <row r="394">
      <c r="A394" s="1235"/>
      <c r="B394" s="1235"/>
      <c r="C394" s="1246"/>
      <c r="D394" s="1274"/>
      <c r="E394" s="1248"/>
      <c r="F394" s="1248"/>
      <c r="G394" s="1271"/>
      <c r="H394" s="1250"/>
      <c r="I394" s="1251"/>
      <c r="J394" s="1271"/>
      <c r="K394" s="1271"/>
      <c r="L394" s="1254"/>
      <c r="M394" s="1244"/>
      <c r="N394" s="1273"/>
      <c r="O394" s="1273"/>
      <c r="P394" s="1244"/>
      <c r="Q394" s="1244"/>
      <c r="R394" s="1244"/>
      <c r="S394" s="1265"/>
      <c r="T394" s="1244"/>
      <c r="U394" s="1244"/>
    </row>
    <row r="395">
      <c r="A395" s="1235"/>
      <c r="B395" s="1235"/>
      <c r="C395" s="1246"/>
      <c r="D395" s="1274"/>
      <c r="E395" s="1248"/>
      <c r="F395" s="1248"/>
      <c r="G395" s="1271"/>
      <c r="H395" s="1250"/>
      <c r="I395" s="1251"/>
      <c r="J395" s="1271"/>
      <c r="K395" s="1271"/>
      <c r="L395" s="1254"/>
      <c r="M395" s="1244"/>
      <c r="N395" s="1273"/>
      <c r="O395" s="1273"/>
      <c r="P395" s="1244"/>
      <c r="Q395" s="1244"/>
      <c r="R395" s="1244"/>
      <c r="S395" s="1265"/>
      <c r="T395" s="1244"/>
      <c r="U395" s="1244"/>
    </row>
    <row r="396">
      <c r="A396" s="1235"/>
      <c r="B396" s="1235"/>
      <c r="C396" s="1246"/>
      <c r="D396" s="1274"/>
      <c r="E396" s="1248"/>
      <c r="F396" s="1248"/>
      <c r="G396" s="1271"/>
      <c r="H396" s="1250"/>
      <c r="I396" s="1251"/>
      <c r="J396" s="1271"/>
      <c r="K396" s="1271"/>
      <c r="L396" s="1254"/>
      <c r="M396" s="1244"/>
      <c r="N396" s="1273"/>
      <c r="O396" s="1273"/>
      <c r="P396" s="1244"/>
      <c r="Q396" s="1244"/>
      <c r="R396" s="1244"/>
      <c r="S396" s="1265"/>
      <c r="T396" s="1244"/>
      <c r="U396" s="1244"/>
    </row>
    <row r="397">
      <c r="A397" s="1235"/>
      <c r="B397" s="1235"/>
      <c r="C397" s="1246"/>
      <c r="D397" s="1274"/>
      <c r="E397" s="1248"/>
      <c r="F397" s="1248"/>
      <c r="G397" s="1271"/>
      <c r="H397" s="1250"/>
      <c r="I397" s="1251"/>
      <c r="J397" s="1271"/>
      <c r="K397" s="1271"/>
      <c r="L397" s="1254"/>
      <c r="M397" s="1244"/>
      <c r="N397" s="1273"/>
      <c r="O397" s="1273"/>
      <c r="P397" s="1244"/>
      <c r="Q397" s="1244"/>
      <c r="R397" s="1244"/>
      <c r="S397" s="1265"/>
      <c r="T397" s="1244"/>
      <c r="U397" s="1244"/>
    </row>
    <row r="398">
      <c r="A398" s="1235"/>
      <c r="B398" s="1235"/>
      <c r="C398" s="1246"/>
      <c r="D398" s="1274"/>
      <c r="E398" s="1248"/>
      <c r="F398" s="1248"/>
      <c r="G398" s="1271"/>
      <c r="H398" s="1250"/>
      <c r="I398" s="1251"/>
      <c r="J398" s="1271"/>
      <c r="K398" s="1271"/>
      <c r="L398" s="1254"/>
      <c r="M398" s="1244"/>
      <c r="N398" s="1273"/>
      <c r="O398" s="1273"/>
      <c r="P398" s="1244"/>
      <c r="Q398" s="1244"/>
      <c r="R398" s="1244"/>
      <c r="S398" s="1265"/>
      <c r="T398" s="1244"/>
      <c r="U398" s="1244"/>
    </row>
    <row r="399">
      <c r="A399" s="1235"/>
      <c r="B399" s="1235"/>
      <c r="C399" s="1246"/>
      <c r="D399" s="1274"/>
      <c r="E399" s="1248"/>
      <c r="F399" s="1248"/>
      <c r="G399" s="1271"/>
      <c r="H399" s="1250"/>
      <c r="I399" s="1251"/>
      <c r="J399" s="1271"/>
      <c r="K399" s="1271"/>
      <c r="L399" s="1254"/>
      <c r="M399" s="1244"/>
      <c r="N399" s="1273"/>
      <c r="O399" s="1273"/>
      <c r="P399" s="1244"/>
      <c r="Q399" s="1244"/>
      <c r="R399" s="1244"/>
      <c r="S399" s="1265"/>
      <c r="T399" s="1244"/>
      <c r="U399" s="1244"/>
    </row>
    <row r="400">
      <c r="A400" s="1235"/>
      <c r="B400" s="1235"/>
      <c r="C400" s="1246"/>
      <c r="D400" s="1274"/>
      <c r="E400" s="1248"/>
      <c r="F400" s="1248"/>
      <c r="G400" s="1271"/>
      <c r="H400" s="1250"/>
      <c r="I400" s="1251"/>
      <c r="J400" s="1271"/>
      <c r="K400" s="1271"/>
      <c r="L400" s="1254"/>
      <c r="M400" s="1244"/>
      <c r="N400" s="1273"/>
      <c r="O400" s="1273"/>
      <c r="P400" s="1244"/>
      <c r="Q400" s="1244"/>
      <c r="R400" s="1244"/>
      <c r="S400" s="1265"/>
      <c r="T400" s="1244"/>
      <c r="U400" s="1244"/>
    </row>
    <row r="401">
      <c r="A401" s="1235"/>
      <c r="B401" s="1235"/>
      <c r="C401" s="1246"/>
      <c r="D401" s="1274"/>
      <c r="E401" s="1248"/>
      <c r="F401" s="1248"/>
      <c r="G401" s="1271"/>
      <c r="H401" s="1250"/>
      <c r="I401" s="1251"/>
      <c r="J401" s="1271"/>
      <c r="K401" s="1271"/>
      <c r="L401" s="1254"/>
      <c r="M401" s="1244"/>
      <c r="N401" s="1273"/>
      <c r="O401" s="1273"/>
      <c r="P401" s="1244"/>
      <c r="Q401" s="1244"/>
      <c r="R401" s="1244"/>
      <c r="S401" s="1265"/>
      <c r="T401" s="1244"/>
      <c r="U401" s="1244"/>
    </row>
    <row r="402">
      <c r="A402" s="1235"/>
      <c r="B402" s="1235"/>
      <c r="C402" s="1246"/>
      <c r="D402" s="1274"/>
      <c r="E402" s="1248"/>
      <c r="F402" s="1248"/>
      <c r="G402" s="1271"/>
      <c r="H402" s="1250"/>
      <c r="I402" s="1251"/>
      <c r="J402" s="1271"/>
      <c r="K402" s="1271"/>
      <c r="L402" s="1254"/>
      <c r="M402" s="1244"/>
      <c r="N402" s="1273"/>
      <c r="O402" s="1273"/>
      <c r="P402" s="1244"/>
      <c r="Q402" s="1244"/>
      <c r="R402" s="1244"/>
      <c r="S402" s="1265"/>
      <c r="T402" s="1244"/>
      <c r="U402" s="1244"/>
    </row>
    <row r="403">
      <c r="A403" s="1235"/>
      <c r="B403" s="1235"/>
      <c r="C403" s="1246"/>
      <c r="D403" s="1274"/>
      <c r="E403" s="1248"/>
      <c r="F403" s="1248"/>
      <c r="G403" s="1271"/>
      <c r="H403" s="1250"/>
      <c r="I403" s="1251"/>
      <c r="J403" s="1271"/>
      <c r="K403" s="1271"/>
      <c r="L403" s="1254"/>
      <c r="M403" s="1244"/>
      <c r="N403" s="1273"/>
      <c r="O403" s="1273"/>
      <c r="P403" s="1244"/>
      <c r="Q403" s="1244"/>
      <c r="R403" s="1244"/>
      <c r="S403" s="1265"/>
      <c r="T403" s="1244"/>
      <c r="U403" s="1244"/>
    </row>
    <row r="404">
      <c r="A404" s="1235"/>
      <c r="B404" s="1235"/>
      <c r="C404" s="1246"/>
      <c r="D404" s="1274"/>
      <c r="E404" s="1248"/>
      <c r="F404" s="1248"/>
      <c r="G404" s="1271"/>
      <c r="H404" s="1250"/>
      <c r="I404" s="1251"/>
      <c r="J404" s="1271"/>
      <c r="K404" s="1271"/>
      <c r="L404" s="1254"/>
      <c r="M404" s="1244"/>
      <c r="N404" s="1273"/>
      <c r="O404" s="1273"/>
      <c r="P404" s="1244"/>
      <c r="Q404" s="1244"/>
      <c r="R404" s="1244"/>
      <c r="S404" s="1265"/>
      <c r="T404" s="1244"/>
      <c r="U404" s="1244"/>
    </row>
    <row r="405">
      <c r="A405" s="1235"/>
      <c r="B405" s="1235"/>
      <c r="C405" s="1246"/>
      <c r="D405" s="1274"/>
      <c r="E405" s="1248"/>
      <c r="F405" s="1248"/>
      <c r="G405" s="1271"/>
      <c r="H405" s="1250"/>
      <c r="I405" s="1251"/>
      <c r="J405" s="1271"/>
      <c r="K405" s="1271"/>
      <c r="L405" s="1254"/>
      <c r="M405" s="1244"/>
      <c r="N405" s="1273"/>
      <c r="O405" s="1273"/>
      <c r="P405" s="1244"/>
      <c r="Q405" s="1244"/>
      <c r="R405" s="1244"/>
      <c r="S405" s="1265"/>
      <c r="T405" s="1244"/>
      <c r="U405" s="1244"/>
    </row>
    <row r="406">
      <c r="A406" s="1235"/>
      <c r="B406" s="1235"/>
      <c r="C406" s="1246"/>
      <c r="D406" s="1274"/>
      <c r="E406" s="1248"/>
      <c r="F406" s="1248"/>
      <c r="G406" s="1271"/>
      <c r="H406" s="1250"/>
      <c r="I406" s="1251"/>
      <c r="J406" s="1271"/>
      <c r="K406" s="1271"/>
      <c r="L406" s="1254"/>
      <c r="M406" s="1244"/>
      <c r="N406" s="1273"/>
      <c r="O406" s="1273"/>
      <c r="P406" s="1244"/>
      <c r="Q406" s="1244"/>
      <c r="R406" s="1244"/>
      <c r="S406" s="1265"/>
      <c r="T406" s="1244"/>
      <c r="U406" s="1244"/>
    </row>
    <row r="407">
      <c r="A407" s="1235"/>
      <c r="B407" s="1235"/>
      <c r="C407" s="1246"/>
      <c r="D407" s="1274"/>
      <c r="E407" s="1248"/>
      <c r="F407" s="1248"/>
      <c r="G407" s="1271"/>
      <c r="H407" s="1250"/>
      <c r="I407" s="1251"/>
      <c r="J407" s="1271"/>
      <c r="K407" s="1271"/>
      <c r="L407" s="1254"/>
      <c r="M407" s="1244"/>
      <c r="N407" s="1273"/>
      <c r="O407" s="1273"/>
      <c r="P407" s="1244"/>
      <c r="Q407" s="1244"/>
      <c r="R407" s="1244"/>
      <c r="S407" s="1265"/>
      <c r="T407" s="1244"/>
      <c r="U407" s="1244"/>
    </row>
    <row r="408">
      <c r="A408" s="1235"/>
      <c r="B408" s="1235"/>
      <c r="C408" s="1246"/>
      <c r="D408" s="1274"/>
      <c r="E408" s="1248"/>
      <c r="F408" s="1248"/>
      <c r="G408" s="1271"/>
      <c r="H408" s="1250"/>
      <c r="I408" s="1251"/>
      <c r="J408" s="1271"/>
      <c r="K408" s="1271"/>
      <c r="L408" s="1254"/>
      <c r="M408" s="1244"/>
      <c r="N408" s="1273"/>
      <c r="O408" s="1273"/>
      <c r="P408" s="1244"/>
      <c r="Q408" s="1244"/>
      <c r="R408" s="1244"/>
      <c r="S408" s="1265"/>
      <c r="T408" s="1244"/>
      <c r="U408" s="1244"/>
    </row>
    <row r="409">
      <c r="A409" s="1235"/>
      <c r="B409" s="1235"/>
      <c r="C409" s="1246"/>
      <c r="D409" s="1274"/>
      <c r="E409" s="1248"/>
      <c r="F409" s="1248"/>
      <c r="G409" s="1271"/>
      <c r="H409" s="1250"/>
      <c r="I409" s="1251"/>
      <c r="J409" s="1271"/>
      <c r="K409" s="1271"/>
      <c r="L409" s="1254"/>
      <c r="M409" s="1244"/>
      <c r="N409" s="1273"/>
      <c r="O409" s="1273"/>
      <c r="P409" s="1244"/>
      <c r="Q409" s="1244"/>
      <c r="R409" s="1244"/>
      <c r="S409" s="1265"/>
      <c r="T409" s="1244"/>
      <c r="U409" s="1244"/>
    </row>
    <row r="410">
      <c r="A410" s="1235"/>
      <c r="B410" s="1235"/>
      <c r="C410" s="1246"/>
      <c r="D410" s="1274"/>
      <c r="E410" s="1248"/>
      <c r="F410" s="1248"/>
      <c r="G410" s="1271"/>
      <c r="H410" s="1250"/>
      <c r="I410" s="1251"/>
      <c r="J410" s="1271"/>
      <c r="K410" s="1271"/>
      <c r="L410" s="1254"/>
      <c r="M410" s="1244"/>
      <c r="N410" s="1273"/>
      <c r="O410" s="1273"/>
      <c r="P410" s="1244"/>
      <c r="Q410" s="1244"/>
      <c r="R410" s="1244"/>
      <c r="S410" s="1265"/>
      <c r="T410" s="1244"/>
      <c r="U410" s="1244"/>
    </row>
    <row r="411">
      <c r="A411" s="1235"/>
      <c r="B411" s="1235"/>
      <c r="C411" s="1246"/>
      <c r="D411" s="1274"/>
      <c r="E411" s="1248"/>
      <c r="F411" s="1248"/>
      <c r="G411" s="1271"/>
      <c r="H411" s="1250"/>
      <c r="I411" s="1251"/>
      <c r="J411" s="1271"/>
      <c r="K411" s="1271"/>
      <c r="L411" s="1254"/>
      <c r="M411" s="1244"/>
      <c r="N411" s="1273"/>
      <c r="O411" s="1273"/>
      <c r="P411" s="1244"/>
      <c r="Q411" s="1244"/>
      <c r="R411" s="1244"/>
      <c r="S411" s="1265"/>
      <c r="T411" s="1244"/>
      <c r="U411" s="1244"/>
    </row>
    <row r="412">
      <c r="A412" s="1235"/>
      <c r="B412" s="1235"/>
      <c r="C412" s="1246"/>
      <c r="D412" s="1274"/>
      <c r="E412" s="1248"/>
      <c r="F412" s="1248"/>
      <c r="G412" s="1271"/>
      <c r="H412" s="1250"/>
      <c r="I412" s="1251"/>
      <c r="J412" s="1271"/>
      <c r="K412" s="1271"/>
      <c r="L412" s="1254"/>
      <c r="M412" s="1244"/>
      <c r="N412" s="1273"/>
      <c r="O412" s="1273"/>
      <c r="P412" s="1244"/>
      <c r="Q412" s="1244"/>
      <c r="R412" s="1244"/>
      <c r="S412" s="1265"/>
      <c r="T412" s="1244"/>
      <c r="U412" s="1244"/>
    </row>
    <row r="413">
      <c r="A413" s="1235"/>
      <c r="B413" s="1235"/>
      <c r="C413" s="1246"/>
      <c r="D413" s="1274"/>
      <c r="E413" s="1248"/>
      <c r="F413" s="1248"/>
      <c r="G413" s="1271"/>
      <c r="H413" s="1250"/>
      <c r="I413" s="1251"/>
      <c r="J413" s="1271"/>
      <c r="K413" s="1271"/>
      <c r="L413" s="1254"/>
      <c r="M413" s="1244"/>
      <c r="N413" s="1273"/>
      <c r="O413" s="1273"/>
      <c r="P413" s="1244"/>
      <c r="Q413" s="1244"/>
      <c r="R413" s="1244"/>
      <c r="S413" s="1265"/>
      <c r="T413" s="1244"/>
      <c r="U413" s="1244"/>
    </row>
    <row r="414">
      <c r="A414" s="1235"/>
      <c r="B414" s="1235"/>
      <c r="C414" s="1246"/>
      <c r="D414" s="1274"/>
      <c r="E414" s="1248"/>
      <c r="F414" s="1248"/>
      <c r="G414" s="1271"/>
      <c r="H414" s="1250"/>
      <c r="I414" s="1251"/>
      <c r="J414" s="1271"/>
      <c r="K414" s="1271"/>
      <c r="L414" s="1254"/>
      <c r="M414" s="1244"/>
      <c r="N414" s="1273"/>
      <c r="O414" s="1273"/>
      <c r="P414" s="1244"/>
      <c r="Q414" s="1244"/>
      <c r="R414" s="1244"/>
      <c r="S414" s="1265"/>
      <c r="T414" s="1244"/>
      <c r="U414" s="1244"/>
    </row>
    <row r="415">
      <c r="A415" s="1235"/>
      <c r="B415" s="1235"/>
      <c r="C415" s="1246"/>
      <c r="D415" s="1274"/>
      <c r="E415" s="1248"/>
      <c r="F415" s="1248"/>
      <c r="G415" s="1271"/>
      <c r="H415" s="1250"/>
      <c r="I415" s="1251"/>
      <c r="J415" s="1271"/>
      <c r="K415" s="1271"/>
      <c r="L415" s="1254"/>
      <c r="M415" s="1244"/>
      <c r="N415" s="1273"/>
      <c r="O415" s="1273"/>
      <c r="P415" s="1244"/>
      <c r="Q415" s="1244"/>
      <c r="R415" s="1244"/>
      <c r="S415" s="1265"/>
      <c r="T415" s="1244"/>
      <c r="U415" s="1244"/>
    </row>
    <row r="416">
      <c r="A416" s="1235"/>
      <c r="B416" s="1235"/>
      <c r="C416" s="1246"/>
      <c r="D416" s="1274"/>
      <c r="E416" s="1248"/>
      <c r="F416" s="1248"/>
      <c r="G416" s="1271"/>
      <c r="H416" s="1250"/>
      <c r="I416" s="1251"/>
      <c r="J416" s="1271"/>
      <c r="K416" s="1271"/>
      <c r="L416" s="1254"/>
      <c r="M416" s="1244"/>
      <c r="N416" s="1273"/>
      <c r="O416" s="1273"/>
      <c r="P416" s="1244"/>
      <c r="Q416" s="1244"/>
      <c r="R416" s="1244"/>
      <c r="S416" s="1265"/>
      <c r="T416" s="1244"/>
      <c r="U416" s="1244"/>
    </row>
    <row r="417">
      <c r="A417" s="1235"/>
      <c r="B417" s="1235"/>
      <c r="C417" s="1246"/>
      <c r="D417" s="1274"/>
      <c r="E417" s="1248"/>
      <c r="F417" s="1248"/>
      <c r="G417" s="1271"/>
      <c r="H417" s="1250"/>
      <c r="I417" s="1251"/>
      <c r="J417" s="1271"/>
      <c r="K417" s="1271"/>
      <c r="L417" s="1254"/>
      <c r="M417" s="1244"/>
      <c r="N417" s="1273"/>
      <c r="O417" s="1273"/>
      <c r="P417" s="1244"/>
      <c r="Q417" s="1244"/>
      <c r="R417" s="1244"/>
      <c r="S417" s="1265"/>
      <c r="T417" s="1244"/>
      <c r="U417" s="1244"/>
    </row>
    <row r="418">
      <c r="A418" s="1235"/>
      <c r="B418" s="1235"/>
      <c r="C418" s="1246"/>
      <c r="D418" s="1274"/>
      <c r="E418" s="1248"/>
      <c r="F418" s="1248"/>
      <c r="G418" s="1271"/>
      <c r="H418" s="1250"/>
      <c r="I418" s="1251"/>
      <c r="J418" s="1271"/>
      <c r="K418" s="1271"/>
      <c r="L418" s="1254"/>
      <c r="M418" s="1244"/>
      <c r="N418" s="1273"/>
      <c r="O418" s="1273"/>
      <c r="P418" s="1244"/>
      <c r="Q418" s="1244"/>
      <c r="R418" s="1244"/>
      <c r="S418" s="1265"/>
      <c r="T418" s="1244"/>
      <c r="U418" s="1244"/>
    </row>
    <row r="419">
      <c r="A419" s="1235"/>
      <c r="B419" s="1235"/>
      <c r="C419" s="1246"/>
      <c r="D419" s="1274"/>
      <c r="E419" s="1248"/>
      <c r="F419" s="1248"/>
      <c r="G419" s="1271"/>
      <c r="H419" s="1250"/>
      <c r="I419" s="1251"/>
      <c r="J419" s="1271"/>
      <c r="K419" s="1271"/>
      <c r="L419" s="1254"/>
      <c r="M419" s="1244"/>
      <c r="N419" s="1273"/>
      <c r="O419" s="1273"/>
      <c r="P419" s="1244"/>
      <c r="Q419" s="1244"/>
      <c r="R419" s="1244"/>
      <c r="S419" s="1265"/>
      <c r="T419" s="1244"/>
      <c r="U419" s="1244"/>
    </row>
    <row r="420">
      <c r="A420" s="1235"/>
      <c r="B420" s="1235"/>
      <c r="C420" s="1246"/>
      <c r="D420" s="1274"/>
      <c r="E420" s="1248"/>
      <c r="F420" s="1248"/>
      <c r="G420" s="1271"/>
      <c r="H420" s="1250"/>
      <c r="I420" s="1251"/>
      <c r="J420" s="1271"/>
      <c r="K420" s="1271"/>
      <c r="L420" s="1254"/>
      <c r="M420" s="1244"/>
      <c r="N420" s="1273"/>
      <c r="O420" s="1273"/>
      <c r="P420" s="1244"/>
      <c r="Q420" s="1244"/>
      <c r="R420" s="1244"/>
      <c r="S420" s="1265"/>
      <c r="T420" s="1244"/>
      <c r="U420" s="1244"/>
    </row>
    <row r="421">
      <c r="A421" s="1235"/>
      <c r="B421" s="1235"/>
      <c r="C421" s="1246"/>
      <c r="D421" s="1274"/>
      <c r="E421" s="1248"/>
      <c r="F421" s="1248"/>
      <c r="G421" s="1271"/>
      <c r="H421" s="1250"/>
      <c r="I421" s="1251"/>
      <c r="J421" s="1271"/>
      <c r="K421" s="1271"/>
      <c r="L421" s="1254"/>
      <c r="M421" s="1244"/>
      <c r="N421" s="1273"/>
      <c r="O421" s="1273"/>
      <c r="P421" s="1244"/>
      <c r="Q421" s="1244"/>
      <c r="R421" s="1244"/>
      <c r="S421" s="1265"/>
      <c r="T421" s="1244"/>
      <c r="U421" s="1244"/>
    </row>
    <row r="422">
      <c r="A422" s="1235"/>
      <c r="B422" s="1235"/>
      <c r="C422" s="1246"/>
      <c r="D422" s="1274"/>
      <c r="E422" s="1248"/>
      <c r="F422" s="1248"/>
      <c r="G422" s="1271"/>
      <c r="H422" s="1250"/>
      <c r="I422" s="1251"/>
      <c r="J422" s="1271"/>
      <c r="K422" s="1271"/>
      <c r="L422" s="1254"/>
      <c r="M422" s="1244"/>
      <c r="N422" s="1273"/>
      <c r="O422" s="1273"/>
      <c r="P422" s="1244"/>
      <c r="Q422" s="1244"/>
      <c r="R422" s="1244"/>
      <c r="S422" s="1265"/>
      <c r="T422" s="1244"/>
      <c r="U422" s="1244"/>
    </row>
    <row r="423">
      <c r="A423" s="1235"/>
      <c r="B423" s="1235"/>
      <c r="C423" s="1246"/>
      <c r="D423" s="1274"/>
      <c r="E423" s="1248"/>
      <c r="F423" s="1248"/>
      <c r="G423" s="1271"/>
      <c r="H423" s="1250"/>
      <c r="I423" s="1251"/>
      <c r="J423" s="1271"/>
      <c r="K423" s="1271"/>
      <c r="L423" s="1254"/>
      <c r="M423" s="1244"/>
      <c r="N423" s="1273"/>
      <c r="O423" s="1273"/>
      <c r="P423" s="1244"/>
      <c r="Q423" s="1244"/>
      <c r="R423" s="1244"/>
      <c r="S423" s="1265"/>
      <c r="T423" s="1244"/>
      <c r="U423" s="1244"/>
    </row>
    <row r="424">
      <c r="A424" s="1235"/>
      <c r="B424" s="1235"/>
      <c r="C424" s="1246"/>
      <c r="D424" s="1274"/>
      <c r="E424" s="1248"/>
      <c r="F424" s="1248"/>
      <c r="G424" s="1271"/>
      <c r="H424" s="1250"/>
      <c r="I424" s="1251"/>
      <c r="J424" s="1271"/>
      <c r="K424" s="1271"/>
      <c r="L424" s="1254"/>
      <c r="M424" s="1244"/>
      <c r="N424" s="1273"/>
      <c r="O424" s="1273"/>
      <c r="P424" s="1244"/>
      <c r="Q424" s="1244"/>
      <c r="R424" s="1244"/>
      <c r="S424" s="1265"/>
      <c r="T424" s="1244"/>
      <c r="U424" s="1244"/>
    </row>
    <row r="425">
      <c r="A425" s="1235"/>
      <c r="B425" s="1235"/>
      <c r="C425" s="1246"/>
      <c r="D425" s="1274"/>
      <c r="E425" s="1248"/>
      <c r="F425" s="1248"/>
      <c r="G425" s="1271"/>
      <c r="H425" s="1250"/>
      <c r="I425" s="1251"/>
      <c r="J425" s="1271"/>
      <c r="K425" s="1271"/>
      <c r="L425" s="1254"/>
      <c r="M425" s="1244"/>
      <c r="N425" s="1273"/>
      <c r="O425" s="1273"/>
      <c r="P425" s="1244"/>
      <c r="Q425" s="1244"/>
      <c r="R425" s="1244"/>
      <c r="S425" s="1265"/>
      <c r="T425" s="1244"/>
      <c r="U425" s="1244"/>
    </row>
    <row r="426">
      <c r="A426" s="1235"/>
      <c r="B426" s="1235"/>
      <c r="C426" s="1246"/>
      <c r="D426" s="1274"/>
      <c r="E426" s="1248"/>
      <c r="F426" s="1248"/>
      <c r="G426" s="1271"/>
      <c r="H426" s="1250"/>
      <c r="I426" s="1251"/>
      <c r="J426" s="1271"/>
      <c r="K426" s="1271"/>
      <c r="L426" s="1254"/>
      <c r="M426" s="1244"/>
      <c r="N426" s="1273"/>
      <c r="O426" s="1273"/>
      <c r="P426" s="1244"/>
      <c r="Q426" s="1244"/>
      <c r="R426" s="1244"/>
      <c r="S426" s="1265"/>
      <c r="T426" s="1244"/>
      <c r="U426" s="1244"/>
    </row>
    <row r="427">
      <c r="A427" s="1235"/>
      <c r="B427" s="1235"/>
      <c r="C427" s="1246"/>
      <c r="D427" s="1274"/>
      <c r="E427" s="1248"/>
      <c r="F427" s="1248"/>
      <c r="G427" s="1271"/>
      <c r="H427" s="1250"/>
      <c r="I427" s="1251"/>
      <c r="J427" s="1271"/>
      <c r="K427" s="1271"/>
      <c r="L427" s="1254"/>
      <c r="M427" s="1244"/>
      <c r="N427" s="1273"/>
      <c r="O427" s="1273"/>
      <c r="P427" s="1244"/>
      <c r="Q427" s="1244"/>
      <c r="R427" s="1244"/>
      <c r="S427" s="1265"/>
      <c r="T427" s="1244"/>
      <c r="U427" s="1244"/>
    </row>
    <row r="428">
      <c r="A428" s="1235"/>
      <c r="B428" s="1235"/>
      <c r="C428" s="1246"/>
      <c r="D428" s="1274"/>
      <c r="E428" s="1248"/>
      <c r="F428" s="1248"/>
      <c r="G428" s="1271"/>
      <c r="H428" s="1250"/>
      <c r="I428" s="1251"/>
      <c r="J428" s="1271"/>
      <c r="K428" s="1271"/>
      <c r="L428" s="1254"/>
      <c r="M428" s="1244"/>
      <c r="N428" s="1273"/>
      <c r="O428" s="1273"/>
      <c r="P428" s="1244"/>
      <c r="Q428" s="1244"/>
      <c r="R428" s="1244"/>
      <c r="S428" s="1265"/>
      <c r="T428" s="1244"/>
      <c r="U428" s="1244"/>
    </row>
    <row r="429">
      <c r="A429" s="1235"/>
      <c r="B429" s="1235"/>
      <c r="C429" s="1246"/>
      <c r="D429" s="1274"/>
      <c r="E429" s="1248"/>
      <c r="F429" s="1248"/>
      <c r="G429" s="1271"/>
      <c r="H429" s="1250"/>
      <c r="I429" s="1251"/>
      <c r="J429" s="1271"/>
      <c r="K429" s="1271"/>
      <c r="L429" s="1254"/>
      <c r="M429" s="1244"/>
      <c r="N429" s="1273"/>
      <c r="O429" s="1273"/>
      <c r="P429" s="1244"/>
      <c r="Q429" s="1244"/>
      <c r="R429" s="1244"/>
      <c r="S429" s="1265"/>
      <c r="T429" s="1244"/>
      <c r="U429" s="1244"/>
    </row>
    <row r="430">
      <c r="A430" s="1235"/>
      <c r="B430" s="1235"/>
      <c r="C430" s="1246"/>
      <c r="D430" s="1274"/>
      <c r="E430" s="1248"/>
      <c r="F430" s="1248"/>
      <c r="G430" s="1271"/>
      <c r="H430" s="1250"/>
      <c r="I430" s="1251"/>
      <c r="J430" s="1271"/>
      <c r="K430" s="1271"/>
      <c r="L430" s="1254"/>
      <c r="M430" s="1244"/>
      <c r="N430" s="1273"/>
      <c r="O430" s="1273"/>
      <c r="P430" s="1244"/>
      <c r="Q430" s="1244"/>
      <c r="R430" s="1244"/>
      <c r="S430" s="1265"/>
      <c r="T430" s="1244"/>
      <c r="U430" s="1244"/>
    </row>
    <row r="431">
      <c r="A431" s="1235"/>
      <c r="B431" s="1235"/>
      <c r="C431" s="1246"/>
      <c r="D431" s="1274"/>
      <c r="E431" s="1248"/>
      <c r="F431" s="1248"/>
      <c r="G431" s="1271"/>
      <c r="H431" s="1250"/>
      <c r="I431" s="1251"/>
      <c r="J431" s="1271"/>
      <c r="K431" s="1271"/>
      <c r="L431" s="1254"/>
      <c r="M431" s="1244"/>
      <c r="N431" s="1273"/>
      <c r="O431" s="1273"/>
      <c r="P431" s="1244"/>
      <c r="Q431" s="1244"/>
      <c r="R431" s="1244"/>
      <c r="S431" s="1265"/>
      <c r="T431" s="1244"/>
      <c r="U431" s="1244"/>
    </row>
    <row r="432">
      <c r="A432" s="1235"/>
      <c r="B432" s="1235"/>
      <c r="C432" s="1246"/>
      <c r="D432" s="1274"/>
      <c r="E432" s="1248"/>
      <c r="F432" s="1248"/>
      <c r="G432" s="1271"/>
      <c r="H432" s="1250"/>
      <c r="I432" s="1251"/>
      <c r="J432" s="1271"/>
      <c r="K432" s="1271"/>
      <c r="L432" s="1254"/>
      <c r="M432" s="1244"/>
      <c r="N432" s="1273"/>
      <c r="O432" s="1244"/>
      <c r="P432" s="1244"/>
      <c r="Q432" s="1244"/>
      <c r="R432" s="1244"/>
      <c r="S432" s="1265"/>
      <c r="T432" s="1244"/>
      <c r="U432" s="1244"/>
    </row>
    <row r="433">
      <c r="A433" s="1235"/>
      <c r="B433" s="1235"/>
      <c r="C433" s="1246"/>
      <c r="D433" s="1274"/>
      <c r="E433" s="1248"/>
      <c r="F433" s="1248"/>
      <c r="G433" s="1271"/>
      <c r="H433" s="1250"/>
      <c r="I433" s="1251"/>
      <c r="J433" s="1271"/>
      <c r="K433" s="1271"/>
      <c r="L433" s="1254"/>
      <c r="M433" s="1244"/>
      <c r="N433" s="1273"/>
      <c r="O433" s="1244"/>
      <c r="P433" s="1244"/>
      <c r="Q433" s="1244"/>
      <c r="R433" s="1244"/>
      <c r="S433" s="1265"/>
      <c r="T433" s="1244"/>
      <c r="U433" s="1244"/>
    </row>
    <row r="434">
      <c r="A434" s="1235"/>
      <c r="B434" s="1235"/>
      <c r="C434" s="1246"/>
      <c r="D434" s="1274"/>
      <c r="E434" s="1248"/>
      <c r="F434" s="1248"/>
      <c r="G434" s="1271"/>
      <c r="H434" s="1250"/>
      <c r="I434" s="1251"/>
      <c r="J434" s="1271"/>
      <c r="K434" s="1271"/>
      <c r="L434" s="1254"/>
      <c r="M434" s="1244"/>
      <c r="N434" s="1273"/>
      <c r="O434" s="1244"/>
      <c r="P434" s="1244"/>
      <c r="Q434" s="1244"/>
      <c r="R434" s="1244"/>
      <c r="S434" s="1265"/>
      <c r="T434" s="1244"/>
      <c r="U434" s="1244"/>
    </row>
    <row r="435">
      <c r="A435" s="1235"/>
      <c r="B435" s="1235"/>
      <c r="C435" s="1246"/>
      <c r="D435" s="1274"/>
      <c r="E435" s="1248"/>
      <c r="F435" s="1248"/>
      <c r="G435" s="1271"/>
      <c r="H435" s="1250"/>
      <c r="I435" s="1251"/>
      <c r="J435" s="1271"/>
      <c r="K435" s="1271"/>
      <c r="L435" s="1254"/>
      <c r="M435" s="1244"/>
      <c r="N435" s="1273"/>
      <c r="O435" s="1244"/>
      <c r="P435" s="1244"/>
      <c r="Q435" s="1244"/>
      <c r="R435" s="1244"/>
      <c r="S435" s="1265"/>
      <c r="T435" s="1244"/>
      <c r="U435" s="1244"/>
    </row>
    <row r="436">
      <c r="A436" s="1235"/>
      <c r="B436" s="1235"/>
      <c r="C436" s="1246"/>
      <c r="D436" s="1274"/>
      <c r="E436" s="1248"/>
      <c r="F436" s="1248"/>
      <c r="G436" s="1271"/>
      <c r="H436" s="1250"/>
      <c r="I436" s="1251"/>
      <c r="J436" s="1271"/>
      <c r="K436" s="1271"/>
      <c r="L436" s="1254"/>
      <c r="M436" s="1244"/>
      <c r="N436" s="1273"/>
      <c r="O436" s="1244"/>
      <c r="P436" s="1244"/>
      <c r="Q436" s="1244"/>
      <c r="R436" s="1244"/>
      <c r="S436" s="1265"/>
      <c r="T436" s="1244"/>
      <c r="U436" s="1244"/>
    </row>
    <row r="437">
      <c r="A437" s="1235"/>
      <c r="B437" s="1235"/>
      <c r="C437" s="1246"/>
      <c r="D437" s="1274"/>
      <c r="E437" s="1248"/>
      <c r="F437" s="1248"/>
      <c r="G437" s="1271"/>
      <c r="H437" s="1250"/>
      <c r="I437" s="1251"/>
      <c r="J437" s="1271"/>
      <c r="K437" s="1271"/>
      <c r="L437" s="1254"/>
      <c r="M437" s="1244"/>
      <c r="N437" s="1273"/>
      <c r="O437" s="1244"/>
      <c r="P437" s="1244"/>
      <c r="Q437" s="1244"/>
      <c r="R437" s="1244"/>
      <c r="S437" s="1265"/>
      <c r="T437" s="1244"/>
      <c r="U437" s="1244"/>
    </row>
    <row r="438">
      <c r="A438" s="1235"/>
      <c r="B438" s="1235"/>
      <c r="C438" s="1246"/>
      <c r="D438" s="1274"/>
      <c r="E438" s="1248"/>
      <c r="F438" s="1248"/>
      <c r="G438" s="1271"/>
      <c r="H438" s="1250"/>
      <c r="I438" s="1251"/>
      <c r="J438" s="1271"/>
      <c r="K438" s="1271"/>
      <c r="L438" s="1254"/>
      <c r="M438" s="1244"/>
      <c r="N438" s="1273"/>
      <c r="O438" s="1244"/>
      <c r="P438" s="1244"/>
      <c r="Q438" s="1244"/>
      <c r="R438" s="1244"/>
      <c r="S438" s="1265"/>
      <c r="T438" s="1244"/>
      <c r="U438" s="1244"/>
    </row>
    <row r="439">
      <c r="A439" s="1235"/>
      <c r="B439" s="1235"/>
      <c r="C439" s="1246"/>
      <c r="D439" s="1274"/>
      <c r="E439" s="1248"/>
      <c r="F439" s="1248"/>
      <c r="G439" s="1271"/>
      <c r="H439" s="1250"/>
      <c r="I439" s="1251"/>
      <c r="J439" s="1271"/>
      <c r="K439" s="1271"/>
      <c r="L439" s="1254"/>
      <c r="M439" s="1244"/>
      <c r="N439" s="1273"/>
      <c r="O439" s="1244"/>
      <c r="P439" s="1244"/>
      <c r="Q439" s="1244"/>
      <c r="R439" s="1244"/>
      <c r="S439" s="1265"/>
      <c r="T439" s="1244"/>
      <c r="U439" s="1244"/>
    </row>
    <row r="440">
      <c r="A440" s="1235"/>
      <c r="B440" s="1235"/>
      <c r="C440" s="1246"/>
      <c r="D440" s="1274"/>
      <c r="E440" s="1248"/>
      <c r="F440" s="1248"/>
      <c r="G440" s="1271"/>
      <c r="H440" s="1250"/>
      <c r="I440" s="1251"/>
      <c r="J440" s="1271"/>
      <c r="K440" s="1271"/>
      <c r="L440" s="1254"/>
      <c r="M440" s="1244"/>
      <c r="N440" s="1273"/>
      <c r="O440" s="1244"/>
      <c r="P440" s="1244"/>
      <c r="Q440" s="1244"/>
      <c r="R440" s="1244"/>
      <c r="S440" s="1265"/>
      <c r="T440" s="1244"/>
      <c r="U440" s="1244"/>
    </row>
    <row r="441">
      <c r="A441" s="1235"/>
      <c r="B441" s="1235"/>
      <c r="C441" s="1246"/>
      <c r="D441" s="1274"/>
      <c r="E441" s="1248"/>
      <c r="F441" s="1248"/>
      <c r="G441" s="1271"/>
      <c r="H441" s="1250"/>
      <c r="I441" s="1251"/>
      <c r="J441" s="1271"/>
      <c r="K441" s="1271"/>
      <c r="L441" s="1254"/>
      <c r="M441" s="1244"/>
      <c r="N441" s="1273"/>
      <c r="O441" s="1244"/>
      <c r="P441" s="1244"/>
      <c r="Q441" s="1244"/>
      <c r="R441" s="1244"/>
      <c r="S441" s="1265"/>
      <c r="T441" s="1244"/>
      <c r="U441" s="1244"/>
    </row>
    <row r="442">
      <c r="A442" s="1235"/>
      <c r="B442" s="1235"/>
      <c r="C442" s="1246"/>
      <c r="D442" s="1274"/>
      <c r="E442" s="1248"/>
      <c r="F442" s="1248"/>
      <c r="G442" s="1271"/>
      <c r="H442" s="1250"/>
      <c r="I442" s="1251"/>
      <c r="J442" s="1271"/>
      <c r="K442" s="1271"/>
      <c r="L442" s="1254"/>
      <c r="M442" s="1244"/>
      <c r="N442" s="1273"/>
      <c r="O442" s="1244"/>
      <c r="P442" s="1244"/>
      <c r="Q442" s="1244"/>
      <c r="R442" s="1244"/>
      <c r="S442" s="1265"/>
      <c r="T442" s="1244"/>
      <c r="U442" s="1244"/>
    </row>
    <row r="443">
      <c r="A443" s="1235"/>
      <c r="B443" s="1235"/>
      <c r="C443" s="1246"/>
      <c r="D443" s="1274"/>
      <c r="E443" s="1248"/>
      <c r="F443" s="1248"/>
      <c r="G443" s="1271"/>
      <c r="H443" s="1250"/>
      <c r="I443" s="1251"/>
      <c r="J443" s="1271"/>
      <c r="K443" s="1271"/>
      <c r="L443" s="1254"/>
      <c r="M443" s="1244"/>
      <c r="N443" s="1273"/>
      <c r="O443" s="1244"/>
      <c r="P443" s="1244"/>
      <c r="Q443" s="1244"/>
      <c r="R443" s="1244"/>
      <c r="S443" s="1265"/>
      <c r="T443" s="1244"/>
      <c r="U443" s="1244"/>
    </row>
    <row r="444">
      <c r="A444" s="1235"/>
      <c r="B444" s="1235"/>
      <c r="C444" s="1246"/>
      <c r="D444" s="1274"/>
      <c r="E444" s="1248"/>
      <c r="F444" s="1248"/>
      <c r="G444" s="1271"/>
      <c r="H444" s="1250"/>
      <c r="I444" s="1251"/>
      <c r="J444" s="1271"/>
      <c r="K444" s="1271"/>
      <c r="L444" s="1254"/>
      <c r="M444" s="1244"/>
      <c r="N444" s="1273"/>
      <c r="O444" s="1244"/>
      <c r="P444" s="1244"/>
      <c r="Q444" s="1244"/>
      <c r="R444" s="1244"/>
      <c r="S444" s="1265"/>
      <c r="T444" s="1244"/>
      <c r="U444" s="1244"/>
    </row>
    <row r="445">
      <c r="A445" s="1235"/>
      <c r="B445" s="1235"/>
      <c r="C445" s="1246"/>
      <c r="D445" s="1274"/>
      <c r="E445" s="1248"/>
      <c r="F445" s="1248"/>
      <c r="G445" s="1271"/>
      <c r="H445" s="1250"/>
      <c r="I445" s="1251"/>
      <c r="J445" s="1271"/>
      <c r="K445" s="1271"/>
      <c r="L445" s="1254"/>
      <c r="M445" s="1244"/>
      <c r="N445" s="1273"/>
      <c r="O445" s="1244"/>
      <c r="P445" s="1244"/>
      <c r="Q445" s="1244"/>
      <c r="R445" s="1244"/>
      <c r="S445" s="1265"/>
      <c r="T445" s="1244"/>
      <c r="U445" s="1244"/>
    </row>
    <row r="446">
      <c r="A446" s="1235"/>
      <c r="B446" s="1235"/>
      <c r="C446" s="1246"/>
      <c r="D446" s="1274"/>
      <c r="E446" s="1248"/>
      <c r="F446" s="1248"/>
      <c r="G446" s="1271"/>
      <c r="H446" s="1250"/>
      <c r="I446" s="1251"/>
      <c r="J446" s="1271"/>
      <c r="K446" s="1271"/>
      <c r="L446" s="1254"/>
      <c r="M446" s="1244"/>
      <c r="N446" s="1273"/>
      <c r="O446" s="1244"/>
      <c r="P446" s="1244"/>
      <c r="Q446" s="1244"/>
      <c r="R446" s="1244"/>
      <c r="S446" s="1265"/>
      <c r="T446" s="1244"/>
      <c r="U446" s="1244"/>
    </row>
    <row r="447">
      <c r="A447" s="1235"/>
      <c r="B447" s="1235"/>
      <c r="C447" s="1246"/>
      <c r="D447" s="1274"/>
      <c r="E447" s="1248"/>
      <c r="F447" s="1248"/>
      <c r="G447" s="1271"/>
      <c r="H447" s="1250"/>
      <c r="I447" s="1251"/>
      <c r="J447" s="1271"/>
      <c r="K447" s="1271"/>
      <c r="L447" s="1254"/>
      <c r="M447" s="1244"/>
      <c r="N447" s="1273"/>
      <c r="O447" s="1244"/>
      <c r="P447" s="1244"/>
      <c r="Q447" s="1244"/>
      <c r="R447" s="1244"/>
      <c r="S447" s="1265"/>
      <c r="T447" s="1244"/>
      <c r="U447" s="1244"/>
    </row>
    <row r="448">
      <c r="A448" s="1235"/>
      <c r="B448" s="1235"/>
      <c r="C448" s="1246"/>
      <c r="D448" s="1274"/>
      <c r="E448" s="1248"/>
      <c r="F448" s="1248"/>
      <c r="G448" s="1271"/>
      <c r="H448" s="1250"/>
      <c r="I448" s="1251"/>
      <c r="J448" s="1271"/>
      <c r="K448" s="1271"/>
      <c r="L448" s="1254"/>
      <c r="M448" s="1244"/>
      <c r="N448" s="1273"/>
      <c r="O448" s="1244"/>
      <c r="P448" s="1244"/>
      <c r="Q448" s="1244"/>
      <c r="R448" s="1244"/>
      <c r="S448" s="1265"/>
      <c r="T448" s="1244"/>
      <c r="U448" s="1244"/>
    </row>
    <row r="449">
      <c r="A449" s="1235"/>
      <c r="B449" s="1235"/>
      <c r="C449" s="1246"/>
      <c r="D449" s="1274"/>
      <c r="E449" s="1248"/>
      <c r="F449" s="1248"/>
      <c r="G449" s="1271"/>
      <c r="H449" s="1250"/>
      <c r="I449" s="1251"/>
      <c r="J449" s="1271"/>
      <c r="K449" s="1271"/>
      <c r="L449" s="1254"/>
      <c r="M449" s="1244"/>
      <c r="N449" s="1273"/>
      <c r="O449" s="1244"/>
      <c r="P449" s="1244"/>
      <c r="Q449" s="1244"/>
      <c r="R449" s="1244"/>
      <c r="S449" s="1265"/>
      <c r="T449" s="1244"/>
      <c r="U449" s="1244"/>
    </row>
    <row r="450">
      <c r="A450" s="1235"/>
      <c r="B450" s="1235"/>
      <c r="C450" s="1246"/>
      <c r="D450" s="1274"/>
      <c r="E450" s="1248"/>
      <c r="F450" s="1248"/>
      <c r="G450" s="1271"/>
      <c r="H450" s="1250"/>
      <c r="I450" s="1251"/>
      <c r="J450" s="1271"/>
      <c r="K450" s="1271"/>
      <c r="L450" s="1254"/>
      <c r="M450" s="1244"/>
      <c r="N450" s="1273"/>
      <c r="O450" s="1244"/>
      <c r="P450" s="1244"/>
      <c r="Q450" s="1244"/>
      <c r="R450" s="1244"/>
      <c r="S450" s="1265"/>
      <c r="T450" s="1244"/>
      <c r="U450" s="1244"/>
    </row>
    <row r="451">
      <c r="A451" s="1235"/>
      <c r="B451" s="1235"/>
      <c r="C451" s="1246"/>
      <c r="D451" s="1274"/>
      <c r="E451" s="1248"/>
      <c r="F451" s="1248"/>
      <c r="G451" s="1271"/>
      <c r="H451" s="1250"/>
      <c r="I451" s="1251"/>
      <c r="J451" s="1271"/>
      <c r="K451" s="1271"/>
      <c r="L451" s="1254"/>
      <c r="M451" s="1244"/>
      <c r="N451" s="1273"/>
      <c r="O451" s="1244"/>
      <c r="P451" s="1244"/>
      <c r="Q451" s="1244"/>
      <c r="R451" s="1244"/>
      <c r="S451" s="1265"/>
      <c r="T451" s="1244"/>
      <c r="U451" s="1244"/>
    </row>
    <row r="452">
      <c r="A452" s="1235"/>
      <c r="B452" s="1235"/>
      <c r="C452" s="1246"/>
      <c r="D452" s="1274"/>
      <c r="E452" s="1248"/>
      <c r="F452" s="1248"/>
      <c r="G452" s="1271"/>
      <c r="H452" s="1250"/>
      <c r="I452" s="1251"/>
      <c r="J452" s="1271"/>
      <c r="K452" s="1271"/>
      <c r="L452" s="1254"/>
      <c r="M452" s="1244"/>
      <c r="N452" s="1273"/>
      <c r="O452" s="1244"/>
      <c r="P452" s="1244"/>
      <c r="Q452" s="1244"/>
      <c r="R452" s="1244"/>
      <c r="S452" s="1265"/>
      <c r="T452" s="1244"/>
      <c r="U452" s="1244"/>
    </row>
    <row r="453">
      <c r="A453" s="1235"/>
      <c r="B453" s="1235"/>
      <c r="C453" s="1246"/>
      <c r="D453" s="1274"/>
      <c r="E453" s="1248"/>
      <c r="F453" s="1248"/>
      <c r="G453" s="1271"/>
      <c r="H453" s="1250"/>
      <c r="I453" s="1251"/>
      <c r="J453" s="1271"/>
      <c r="K453" s="1271"/>
      <c r="L453" s="1254"/>
      <c r="M453" s="1244"/>
      <c r="N453" s="1273"/>
      <c r="O453" s="1244"/>
      <c r="P453" s="1244"/>
      <c r="Q453" s="1244"/>
      <c r="R453" s="1244"/>
      <c r="S453" s="1265"/>
      <c r="T453" s="1244"/>
      <c r="U453" s="1244"/>
    </row>
    <row r="454">
      <c r="A454" s="1235"/>
      <c r="B454" s="1235"/>
      <c r="C454" s="1246"/>
      <c r="D454" s="1274"/>
      <c r="E454" s="1248"/>
      <c r="F454" s="1248"/>
      <c r="G454" s="1271"/>
      <c r="H454" s="1250"/>
      <c r="I454" s="1251"/>
      <c r="J454" s="1271"/>
      <c r="K454" s="1271"/>
      <c r="L454" s="1254"/>
      <c r="M454" s="1244"/>
      <c r="N454" s="1273"/>
      <c r="O454" s="1244"/>
      <c r="P454" s="1244"/>
      <c r="Q454" s="1244"/>
      <c r="R454" s="1244"/>
      <c r="S454" s="1265"/>
      <c r="T454" s="1244"/>
      <c r="U454" s="1244"/>
    </row>
    <row r="455">
      <c r="A455" s="1235"/>
      <c r="B455" s="1235"/>
      <c r="C455" s="1246"/>
      <c r="D455" s="1274"/>
      <c r="E455" s="1248"/>
      <c r="F455" s="1248"/>
      <c r="G455" s="1271"/>
      <c r="H455" s="1250"/>
      <c r="I455" s="1251"/>
      <c r="J455" s="1271"/>
      <c r="K455" s="1271"/>
      <c r="L455" s="1254"/>
      <c r="M455" s="1244"/>
      <c r="N455" s="1273"/>
      <c r="O455" s="1244"/>
      <c r="P455" s="1244"/>
      <c r="Q455" s="1244"/>
      <c r="R455" s="1244"/>
      <c r="S455" s="1265"/>
      <c r="T455" s="1244"/>
      <c r="U455" s="1244"/>
    </row>
    <row r="456">
      <c r="A456" s="1235"/>
      <c r="B456" s="1235"/>
      <c r="C456" s="1246"/>
      <c r="D456" s="1274"/>
      <c r="E456" s="1248"/>
      <c r="F456" s="1248"/>
      <c r="G456" s="1271"/>
      <c r="H456" s="1250"/>
      <c r="I456" s="1251"/>
      <c r="J456" s="1271"/>
      <c r="K456" s="1271"/>
      <c r="L456" s="1254"/>
      <c r="M456" s="1244"/>
      <c r="N456" s="1273"/>
      <c r="O456" s="1244"/>
      <c r="P456" s="1244"/>
      <c r="Q456" s="1244"/>
      <c r="R456" s="1244"/>
      <c r="S456" s="1265"/>
      <c r="T456" s="1244"/>
      <c r="U456" s="1244"/>
    </row>
    <row r="457">
      <c r="A457" s="1235"/>
      <c r="B457" s="1235"/>
      <c r="C457" s="1246"/>
      <c r="D457" s="1274"/>
      <c r="E457" s="1248"/>
      <c r="F457" s="1248"/>
      <c r="G457" s="1271"/>
      <c r="H457" s="1250"/>
      <c r="I457" s="1251"/>
      <c r="J457" s="1271"/>
      <c r="K457" s="1271"/>
      <c r="L457" s="1254"/>
      <c r="M457" s="1244"/>
      <c r="N457" s="1273"/>
      <c r="O457" s="1244"/>
      <c r="P457" s="1244"/>
      <c r="Q457" s="1244"/>
      <c r="R457" s="1244"/>
      <c r="S457" s="1265"/>
      <c r="T457" s="1244"/>
      <c r="U457" s="1244"/>
    </row>
    <row r="458">
      <c r="A458" s="1235"/>
      <c r="B458" s="1235"/>
      <c r="C458" s="1246"/>
      <c r="D458" s="1274"/>
      <c r="E458" s="1248"/>
      <c r="F458" s="1248"/>
      <c r="G458" s="1271"/>
      <c r="H458" s="1250"/>
      <c r="I458" s="1251"/>
      <c r="J458" s="1271"/>
      <c r="K458" s="1271"/>
      <c r="L458" s="1254"/>
      <c r="M458" s="1244"/>
      <c r="N458" s="1273"/>
      <c r="O458" s="1244"/>
      <c r="P458" s="1244"/>
      <c r="Q458" s="1244"/>
      <c r="R458" s="1244"/>
      <c r="S458" s="1265"/>
      <c r="T458" s="1244"/>
      <c r="U458" s="1244"/>
    </row>
    <row r="459">
      <c r="A459" s="1235"/>
      <c r="B459" s="1235"/>
      <c r="C459" s="1246"/>
      <c r="D459" s="1274"/>
      <c r="E459" s="1248"/>
      <c r="F459" s="1248"/>
      <c r="G459" s="1271"/>
      <c r="H459" s="1250"/>
      <c r="I459" s="1251"/>
      <c r="J459" s="1271"/>
      <c r="K459" s="1271"/>
      <c r="L459" s="1254"/>
      <c r="M459" s="1244"/>
      <c r="N459" s="1273"/>
      <c r="O459" s="1244"/>
      <c r="P459" s="1244"/>
      <c r="Q459" s="1244"/>
      <c r="R459" s="1244"/>
      <c r="S459" s="1265"/>
      <c r="T459" s="1244"/>
      <c r="U459" s="1244"/>
    </row>
    <row r="460">
      <c r="A460" s="1235"/>
      <c r="B460" s="1235"/>
      <c r="C460" s="1246"/>
      <c r="D460" s="1274"/>
      <c r="E460" s="1248"/>
      <c r="F460" s="1248"/>
      <c r="G460" s="1271"/>
      <c r="H460" s="1250"/>
      <c r="I460" s="1251"/>
      <c r="J460" s="1271"/>
      <c r="K460" s="1271"/>
      <c r="L460" s="1254"/>
      <c r="M460" s="1244"/>
      <c r="N460" s="1273"/>
      <c r="O460" s="1244"/>
      <c r="P460" s="1244"/>
      <c r="Q460" s="1244"/>
      <c r="R460" s="1244"/>
      <c r="S460" s="1265"/>
      <c r="T460" s="1244"/>
      <c r="U460" s="1244"/>
    </row>
    <row r="461">
      <c r="A461" s="1235"/>
      <c r="B461" s="1235"/>
      <c r="C461" s="1246"/>
      <c r="D461" s="1274"/>
      <c r="E461" s="1248"/>
      <c r="F461" s="1248"/>
      <c r="G461" s="1271"/>
      <c r="H461" s="1250"/>
      <c r="I461" s="1251"/>
      <c r="J461" s="1271"/>
      <c r="K461" s="1271"/>
      <c r="L461" s="1254"/>
      <c r="M461" s="1244"/>
      <c r="N461" s="1273"/>
      <c r="O461" s="1244"/>
      <c r="P461" s="1244"/>
      <c r="Q461" s="1244"/>
      <c r="R461" s="1244"/>
      <c r="S461" s="1265"/>
      <c r="T461" s="1244"/>
      <c r="U461" s="1244"/>
    </row>
    <row r="462">
      <c r="A462" s="1235"/>
      <c r="B462" s="1235"/>
      <c r="C462" s="1246"/>
      <c r="D462" s="1274"/>
      <c r="E462" s="1248"/>
      <c r="F462" s="1248"/>
      <c r="G462" s="1271"/>
      <c r="H462" s="1250"/>
      <c r="I462" s="1251"/>
      <c r="J462" s="1271"/>
      <c r="K462" s="1271"/>
      <c r="L462" s="1254"/>
      <c r="M462" s="1244"/>
      <c r="N462" s="1273"/>
      <c r="O462" s="1244"/>
      <c r="P462" s="1244"/>
      <c r="Q462" s="1244"/>
      <c r="R462" s="1244"/>
      <c r="S462" s="1265"/>
      <c r="T462" s="1244"/>
      <c r="U462" s="1244"/>
    </row>
    <row r="463">
      <c r="A463" s="1235"/>
      <c r="B463" s="1235"/>
      <c r="C463" s="1246"/>
      <c r="D463" s="1274"/>
      <c r="E463" s="1248"/>
      <c r="F463" s="1248"/>
      <c r="G463" s="1271"/>
      <c r="H463" s="1250"/>
      <c r="I463" s="1251"/>
      <c r="J463" s="1271"/>
      <c r="K463" s="1271"/>
      <c r="L463" s="1254"/>
      <c r="M463" s="1244"/>
      <c r="N463" s="1273"/>
      <c r="O463" s="1244"/>
      <c r="P463" s="1244"/>
      <c r="Q463" s="1244"/>
      <c r="R463" s="1244"/>
      <c r="S463" s="1265"/>
      <c r="T463" s="1244"/>
      <c r="U463" s="1244"/>
    </row>
    <row r="464">
      <c r="A464" s="1235"/>
      <c r="B464" s="1235"/>
      <c r="C464" s="1246"/>
      <c r="D464" s="1274"/>
      <c r="E464" s="1248"/>
      <c r="F464" s="1248"/>
      <c r="G464" s="1271"/>
      <c r="H464" s="1250"/>
      <c r="I464" s="1251"/>
      <c r="J464" s="1271"/>
      <c r="K464" s="1271"/>
      <c r="L464" s="1254"/>
      <c r="M464" s="1244"/>
      <c r="N464" s="1273"/>
      <c r="O464" s="1244"/>
      <c r="P464" s="1244"/>
      <c r="Q464" s="1244"/>
      <c r="R464" s="1244"/>
      <c r="S464" s="1265"/>
      <c r="T464" s="1244"/>
      <c r="U464" s="1244"/>
    </row>
    <row r="465">
      <c r="A465" s="1235"/>
      <c r="B465" s="1235"/>
      <c r="C465" s="1246"/>
      <c r="D465" s="1274"/>
      <c r="E465" s="1248"/>
      <c r="F465" s="1248"/>
      <c r="G465" s="1271"/>
      <c r="H465" s="1250"/>
      <c r="I465" s="1251"/>
      <c r="J465" s="1271"/>
      <c r="K465" s="1271"/>
      <c r="L465" s="1254"/>
      <c r="M465" s="1244"/>
      <c r="N465" s="1273"/>
      <c r="O465" s="1244"/>
      <c r="P465" s="1244"/>
      <c r="Q465" s="1244"/>
      <c r="R465" s="1244"/>
      <c r="S465" s="1265"/>
      <c r="T465" s="1244"/>
      <c r="U465" s="1244"/>
    </row>
    <row r="466">
      <c r="A466" s="1235"/>
      <c r="B466" s="1235"/>
      <c r="C466" s="1246"/>
      <c r="D466" s="1274"/>
      <c r="E466" s="1248"/>
      <c r="F466" s="1248"/>
      <c r="G466" s="1271"/>
      <c r="H466" s="1250"/>
      <c r="I466" s="1251"/>
      <c r="J466" s="1271"/>
      <c r="K466" s="1271"/>
      <c r="L466" s="1254"/>
      <c r="M466" s="1244"/>
      <c r="N466" s="1273"/>
      <c r="O466" s="1244"/>
      <c r="P466" s="1244"/>
      <c r="Q466" s="1244"/>
      <c r="R466" s="1244"/>
      <c r="S466" s="1265"/>
      <c r="T466" s="1244"/>
      <c r="U466" s="1244"/>
    </row>
    <row r="467">
      <c r="A467" s="1235"/>
      <c r="B467" s="1235"/>
      <c r="C467" s="1246"/>
      <c r="D467" s="1274"/>
      <c r="E467" s="1248"/>
      <c r="F467" s="1248"/>
      <c r="G467" s="1271"/>
      <c r="H467" s="1250"/>
      <c r="I467" s="1251"/>
      <c r="J467" s="1271"/>
      <c r="K467" s="1271"/>
      <c r="L467" s="1254"/>
      <c r="M467" s="1244"/>
      <c r="N467" s="1273"/>
      <c r="O467" s="1244"/>
      <c r="P467" s="1244"/>
      <c r="Q467" s="1244"/>
      <c r="R467" s="1244"/>
      <c r="S467" s="1265"/>
      <c r="T467" s="1244"/>
      <c r="U467" s="1244"/>
    </row>
    <row r="468">
      <c r="A468" s="1235"/>
      <c r="B468" s="1235"/>
      <c r="C468" s="1246"/>
      <c r="D468" s="1274"/>
      <c r="E468" s="1248"/>
      <c r="F468" s="1248"/>
      <c r="G468" s="1271"/>
      <c r="H468" s="1250"/>
      <c r="I468" s="1251"/>
      <c r="J468" s="1271"/>
      <c r="K468" s="1271"/>
      <c r="L468" s="1254"/>
      <c r="M468" s="1244"/>
      <c r="N468" s="1273"/>
      <c r="O468" s="1244"/>
      <c r="P468" s="1244"/>
      <c r="Q468" s="1244"/>
      <c r="R468" s="1244"/>
      <c r="S468" s="1265"/>
      <c r="T468" s="1244"/>
      <c r="U468" s="1244"/>
    </row>
    <row r="469">
      <c r="A469" s="1235"/>
      <c r="B469" s="1235"/>
      <c r="C469" s="1246"/>
      <c r="D469" s="1274"/>
      <c r="E469" s="1248"/>
      <c r="F469" s="1248"/>
      <c r="G469" s="1271"/>
      <c r="H469" s="1250"/>
      <c r="I469" s="1251"/>
      <c r="J469" s="1271"/>
      <c r="K469" s="1271"/>
      <c r="L469" s="1254"/>
      <c r="M469" s="1244"/>
      <c r="N469" s="1273"/>
      <c r="O469" s="1244"/>
      <c r="P469" s="1244"/>
      <c r="Q469" s="1244"/>
      <c r="R469" s="1244"/>
      <c r="S469" s="1265"/>
      <c r="T469" s="1244"/>
      <c r="U469" s="1244"/>
    </row>
    <row r="470">
      <c r="A470" s="1235"/>
      <c r="B470" s="1235"/>
      <c r="C470" s="1246"/>
      <c r="D470" s="1274"/>
      <c r="E470" s="1248"/>
      <c r="F470" s="1248"/>
      <c r="G470" s="1271"/>
      <c r="H470" s="1250"/>
      <c r="I470" s="1251"/>
      <c r="J470" s="1271"/>
      <c r="K470" s="1271"/>
      <c r="L470" s="1254"/>
      <c r="M470" s="1244"/>
      <c r="N470" s="1273"/>
      <c r="O470" s="1244"/>
      <c r="P470" s="1244"/>
      <c r="Q470" s="1244"/>
      <c r="R470" s="1244"/>
      <c r="S470" s="1265"/>
      <c r="T470" s="1244"/>
      <c r="U470" s="1244"/>
    </row>
    <row r="471">
      <c r="A471" s="1235"/>
      <c r="B471" s="1235"/>
      <c r="C471" s="1246"/>
      <c r="D471" s="1274"/>
      <c r="E471" s="1248"/>
      <c r="F471" s="1248"/>
      <c r="G471" s="1271"/>
      <c r="H471" s="1250"/>
      <c r="I471" s="1251"/>
      <c r="J471" s="1271"/>
      <c r="K471" s="1271"/>
      <c r="L471" s="1254"/>
      <c r="M471" s="1244"/>
      <c r="N471" s="1273"/>
      <c r="O471" s="1244"/>
      <c r="P471" s="1244"/>
      <c r="Q471" s="1244"/>
      <c r="R471" s="1244"/>
      <c r="S471" s="1265"/>
      <c r="T471" s="1244"/>
      <c r="U471" s="1244"/>
    </row>
    <row r="472">
      <c r="A472" s="1235"/>
      <c r="B472" s="1235"/>
      <c r="C472" s="1246"/>
      <c r="D472" s="1274"/>
      <c r="E472" s="1248"/>
      <c r="F472" s="1248"/>
      <c r="G472" s="1271"/>
      <c r="H472" s="1250"/>
      <c r="I472" s="1251"/>
      <c r="J472" s="1271"/>
      <c r="K472" s="1271"/>
      <c r="L472" s="1254"/>
      <c r="M472" s="1244"/>
      <c r="N472" s="1273"/>
      <c r="O472" s="1244"/>
      <c r="P472" s="1244"/>
      <c r="Q472" s="1244"/>
      <c r="R472" s="1244"/>
      <c r="S472" s="1265"/>
      <c r="T472" s="1244"/>
      <c r="U472" s="1244"/>
    </row>
    <row r="473">
      <c r="A473" s="1235"/>
      <c r="B473" s="1235"/>
      <c r="C473" s="1246"/>
      <c r="D473" s="1274"/>
      <c r="E473" s="1248"/>
      <c r="F473" s="1248"/>
      <c r="G473" s="1271"/>
      <c r="H473" s="1250"/>
      <c r="I473" s="1251"/>
      <c r="J473" s="1271"/>
      <c r="K473" s="1271"/>
      <c r="L473" s="1254"/>
      <c r="M473" s="1244"/>
      <c r="N473" s="1273"/>
      <c r="O473" s="1244"/>
      <c r="P473" s="1244"/>
      <c r="Q473" s="1244"/>
      <c r="R473" s="1244"/>
      <c r="S473" s="1265"/>
      <c r="T473" s="1244"/>
      <c r="U473" s="1244"/>
    </row>
    <row r="474">
      <c r="A474" s="1235"/>
      <c r="B474" s="1235"/>
      <c r="C474" s="1246"/>
      <c r="D474" s="1274"/>
      <c r="E474" s="1248"/>
      <c r="F474" s="1248"/>
      <c r="G474" s="1271"/>
      <c r="H474" s="1250"/>
      <c r="I474" s="1251"/>
      <c r="J474" s="1271"/>
      <c r="K474" s="1271"/>
      <c r="L474" s="1254"/>
      <c r="M474" s="1244"/>
      <c r="N474" s="1273"/>
      <c r="O474" s="1244"/>
      <c r="P474" s="1244"/>
      <c r="Q474" s="1244"/>
      <c r="R474" s="1244"/>
      <c r="S474" s="1265"/>
      <c r="T474" s="1244"/>
      <c r="U474" s="1244"/>
    </row>
    <row r="475">
      <c r="A475" s="1235"/>
      <c r="B475" s="1235"/>
      <c r="C475" s="1246"/>
      <c r="D475" s="1274"/>
      <c r="E475" s="1248"/>
      <c r="F475" s="1248"/>
      <c r="G475" s="1271"/>
      <c r="H475" s="1250"/>
      <c r="I475" s="1251"/>
      <c r="J475" s="1271"/>
      <c r="K475" s="1271"/>
      <c r="L475" s="1254"/>
      <c r="M475" s="1244"/>
      <c r="N475" s="1273"/>
      <c r="O475" s="1244"/>
      <c r="P475" s="1244"/>
      <c r="Q475" s="1244"/>
      <c r="R475" s="1244"/>
      <c r="S475" s="1265"/>
      <c r="T475" s="1244"/>
      <c r="U475" s="1244"/>
    </row>
    <row r="476">
      <c r="A476" s="1235"/>
      <c r="B476" s="1235"/>
      <c r="C476" s="1246"/>
      <c r="D476" s="1274"/>
      <c r="E476" s="1248"/>
      <c r="F476" s="1248"/>
      <c r="G476" s="1271"/>
      <c r="H476" s="1250"/>
      <c r="I476" s="1251"/>
      <c r="J476" s="1271"/>
      <c r="K476" s="1271"/>
      <c r="L476" s="1254"/>
      <c r="M476" s="1244"/>
      <c r="N476" s="1273"/>
      <c r="O476" s="1244"/>
      <c r="P476" s="1244"/>
      <c r="Q476" s="1244"/>
      <c r="R476" s="1244"/>
      <c r="S476" s="1265"/>
      <c r="T476" s="1244"/>
      <c r="U476" s="1244"/>
    </row>
    <row r="477">
      <c r="A477" s="1235"/>
      <c r="B477" s="1235"/>
      <c r="C477" s="1246"/>
      <c r="D477" s="1274"/>
      <c r="E477" s="1248"/>
      <c r="F477" s="1248"/>
      <c r="G477" s="1271"/>
      <c r="H477" s="1250"/>
      <c r="I477" s="1251"/>
      <c r="J477" s="1271"/>
      <c r="K477" s="1271"/>
      <c r="L477" s="1254"/>
      <c r="M477" s="1244"/>
      <c r="N477" s="1273"/>
      <c r="O477" s="1244"/>
      <c r="P477" s="1244"/>
      <c r="Q477" s="1244"/>
      <c r="R477" s="1244"/>
      <c r="S477" s="1265"/>
      <c r="T477" s="1244"/>
      <c r="U477" s="1244"/>
    </row>
    <row r="478">
      <c r="A478" s="1235"/>
      <c r="B478" s="1235"/>
      <c r="C478" s="1246"/>
      <c r="D478" s="1274"/>
      <c r="E478" s="1248"/>
      <c r="F478" s="1248"/>
      <c r="G478" s="1271"/>
      <c r="H478" s="1250"/>
      <c r="I478" s="1251"/>
      <c r="J478" s="1271"/>
      <c r="K478" s="1271"/>
      <c r="L478" s="1254"/>
      <c r="M478" s="1244"/>
      <c r="N478" s="1273"/>
      <c r="O478" s="1244"/>
      <c r="P478" s="1244"/>
      <c r="Q478" s="1244"/>
      <c r="R478" s="1244"/>
      <c r="S478" s="1265"/>
      <c r="T478" s="1244"/>
      <c r="U478" s="1244"/>
    </row>
    <row r="479">
      <c r="A479" s="1235"/>
      <c r="B479" s="1235"/>
      <c r="C479" s="1246"/>
      <c r="D479" s="1274"/>
      <c r="E479" s="1248"/>
      <c r="F479" s="1248"/>
      <c r="G479" s="1271"/>
      <c r="H479" s="1250"/>
      <c r="I479" s="1251"/>
      <c r="J479" s="1271"/>
      <c r="K479" s="1271"/>
      <c r="L479" s="1254"/>
      <c r="M479" s="1244"/>
      <c r="N479" s="1273"/>
      <c r="O479" s="1244"/>
      <c r="P479" s="1244"/>
      <c r="Q479" s="1244"/>
      <c r="R479" s="1244"/>
      <c r="S479" s="1265"/>
      <c r="T479" s="1244"/>
      <c r="U479" s="1244"/>
    </row>
    <row r="480">
      <c r="A480" s="1235"/>
      <c r="B480" s="1235"/>
      <c r="C480" s="1246"/>
      <c r="D480" s="1274"/>
      <c r="E480" s="1248"/>
      <c r="F480" s="1248"/>
      <c r="G480" s="1271"/>
      <c r="H480" s="1250"/>
      <c r="I480" s="1251"/>
      <c r="J480" s="1271"/>
      <c r="K480" s="1271"/>
      <c r="L480" s="1254"/>
      <c r="M480" s="1244"/>
      <c r="N480" s="1273"/>
      <c r="O480" s="1244"/>
      <c r="P480" s="1244"/>
      <c r="Q480" s="1244"/>
      <c r="R480" s="1244"/>
      <c r="S480" s="1265"/>
      <c r="T480" s="1244"/>
      <c r="U480" s="1244"/>
    </row>
    <row r="481">
      <c r="A481" s="1235"/>
      <c r="B481" s="1235"/>
      <c r="C481" s="1246"/>
      <c r="D481" s="1274"/>
      <c r="E481" s="1248"/>
      <c r="F481" s="1248"/>
      <c r="G481" s="1271"/>
      <c r="H481" s="1250"/>
      <c r="I481" s="1251"/>
      <c r="J481" s="1271"/>
      <c r="K481" s="1271"/>
      <c r="L481" s="1254"/>
      <c r="M481" s="1244"/>
      <c r="N481" s="1273"/>
      <c r="O481" s="1244"/>
      <c r="P481" s="1244"/>
      <c r="Q481" s="1244"/>
      <c r="R481" s="1244"/>
      <c r="S481" s="1265"/>
      <c r="T481" s="1244"/>
      <c r="U481" s="1244"/>
    </row>
    <row r="482">
      <c r="A482" s="1235"/>
      <c r="B482" s="1235"/>
      <c r="C482" s="1246"/>
      <c r="D482" s="1274"/>
      <c r="E482" s="1248"/>
      <c r="F482" s="1248"/>
      <c r="G482" s="1271"/>
      <c r="H482" s="1250"/>
      <c r="I482" s="1251"/>
      <c r="J482" s="1271"/>
      <c r="K482" s="1271"/>
      <c r="L482" s="1254"/>
      <c r="M482" s="1244"/>
      <c r="N482" s="1273"/>
      <c r="O482" s="1244"/>
      <c r="P482" s="1244"/>
      <c r="Q482" s="1244"/>
      <c r="R482" s="1244"/>
      <c r="S482" s="1265"/>
      <c r="T482" s="1244"/>
      <c r="U482" s="1244"/>
    </row>
    <row r="483">
      <c r="A483" s="1235"/>
      <c r="B483" s="1235"/>
      <c r="C483" s="1246"/>
      <c r="D483" s="1274"/>
      <c r="E483" s="1248"/>
      <c r="F483" s="1248"/>
      <c r="G483" s="1271"/>
      <c r="H483" s="1250"/>
      <c r="I483" s="1251"/>
      <c r="J483" s="1271"/>
      <c r="K483" s="1271"/>
      <c r="L483" s="1254"/>
      <c r="M483" s="1244"/>
      <c r="N483" s="1273"/>
      <c r="O483" s="1244"/>
      <c r="P483" s="1244"/>
      <c r="Q483" s="1244"/>
      <c r="R483" s="1244"/>
      <c r="S483" s="1265"/>
      <c r="T483" s="1244"/>
      <c r="U483" s="1244"/>
    </row>
    <row r="484">
      <c r="A484" s="1235"/>
      <c r="B484" s="1235"/>
      <c r="C484" s="1246"/>
      <c r="D484" s="1274"/>
      <c r="E484" s="1248"/>
      <c r="F484" s="1248"/>
      <c r="G484" s="1271"/>
      <c r="H484" s="1250"/>
      <c r="I484" s="1251"/>
      <c r="J484" s="1271"/>
      <c r="K484" s="1271"/>
      <c r="L484" s="1254"/>
      <c r="M484" s="1244"/>
      <c r="N484" s="1273"/>
      <c r="O484" s="1244"/>
      <c r="P484" s="1244"/>
      <c r="Q484" s="1244"/>
      <c r="R484" s="1244"/>
      <c r="S484" s="1265"/>
      <c r="T484" s="1244"/>
      <c r="U484" s="1244"/>
    </row>
    <row r="485">
      <c r="A485" s="1235"/>
      <c r="B485" s="1235"/>
      <c r="C485" s="1246"/>
      <c r="D485" s="1274"/>
      <c r="E485" s="1248"/>
      <c r="F485" s="1248"/>
      <c r="G485" s="1271"/>
      <c r="H485" s="1250"/>
      <c r="I485" s="1251"/>
      <c r="J485" s="1271"/>
      <c r="K485" s="1271"/>
      <c r="L485" s="1254"/>
      <c r="M485" s="1244"/>
      <c r="N485" s="1273"/>
      <c r="O485" s="1244"/>
      <c r="P485" s="1244"/>
      <c r="Q485" s="1244"/>
      <c r="R485" s="1244"/>
      <c r="S485" s="1265"/>
      <c r="T485" s="1244"/>
      <c r="U485" s="1244"/>
    </row>
    <row r="486">
      <c r="A486" s="1235"/>
      <c r="B486" s="1235"/>
      <c r="C486" s="1246"/>
      <c r="D486" s="1274"/>
      <c r="E486" s="1248"/>
      <c r="F486" s="1248"/>
      <c r="G486" s="1271"/>
      <c r="H486" s="1250"/>
      <c r="I486" s="1251"/>
      <c r="J486" s="1271"/>
      <c r="K486" s="1271"/>
      <c r="L486" s="1254"/>
      <c r="M486" s="1244"/>
      <c r="N486" s="1273"/>
      <c r="O486" s="1244"/>
      <c r="P486" s="1244"/>
      <c r="Q486" s="1244"/>
      <c r="R486" s="1244"/>
      <c r="S486" s="1265"/>
      <c r="T486" s="1244"/>
      <c r="U486" s="1244"/>
    </row>
    <row r="487">
      <c r="A487" s="1235"/>
      <c r="B487" s="1235"/>
      <c r="C487" s="1246"/>
      <c r="D487" s="1274"/>
      <c r="E487" s="1248"/>
      <c r="F487" s="1248"/>
      <c r="G487" s="1271"/>
      <c r="H487" s="1250"/>
      <c r="I487" s="1251"/>
      <c r="J487" s="1271"/>
      <c r="K487" s="1271"/>
      <c r="L487" s="1254"/>
      <c r="M487" s="1244"/>
      <c r="N487" s="1273"/>
      <c r="O487" s="1244"/>
      <c r="P487" s="1244"/>
      <c r="Q487" s="1244"/>
      <c r="R487" s="1244"/>
      <c r="S487" s="1265"/>
      <c r="T487" s="1244"/>
      <c r="U487" s="1244"/>
    </row>
    <row r="488">
      <c r="A488" s="1235"/>
      <c r="B488" s="1235"/>
      <c r="C488" s="1246"/>
      <c r="D488" s="1274"/>
      <c r="E488" s="1248"/>
      <c r="F488" s="1248"/>
      <c r="G488" s="1271"/>
      <c r="H488" s="1250"/>
      <c r="I488" s="1251"/>
      <c r="J488" s="1271"/>
      <c r="K488" s="1271"/>
      <c r="L488" s="1254"/>
      <c r="M488" s="1244"/>
      <c r="N488" s="1273"/>
      <c r="O488" s="1244"/>
      <c r="P488" s="1244"/>
      <c r="Q488" s="1244"/>
      <c r="R488" s="1244"/>
      <c r="S488" s="1265"/>
      <c r="T488" s="1244"/>
      <c r="U488" s="1244"/>
    </row>
    <row r="489">
      <c r="A489" s="1235"/>
      <c r="B489" s="1235"/>
      <c r="C489" s="1246"/>
      <c r="D489" s="1274"/>
      <c r="E489" s="1248"/>
      <c r="F489" s="1248"/>
      <c r="G489" s="1271"/>
      <c r="H489" s="1250"/>
      <c r="I489" s="1251"/>
      <c r="J489" s="1271"/>
      <c r="K489" s="1271"/>
      <c r="L489" s="1254"/>
      <c r="M489" s="1244"/>
      <c r="N489" s="1273"/>
      <c r="O489" s="1244"/>
      <c r="P489" s="1244"/>
      <c r="Q489" s="1244"/>
      <c r="R489" s="1244"/>
      <c r="S489" s="1265"/>
      <c r="T489" s="1244"/>
      <c r="U489" s="1244"/>
    </row>
    <row r="490">
      <c r="A490" s="1235"/>
      <c r="B490" s="1235"/>
      <c r="C490" s="1246"/>
      <c r="D490" s="1274"/>
      <c r="E490" s="1248"/>
      <c r="F490" s="1248"/>
      <c r="G490" s="1271"/>
      <c r="H490" s="1250"/>
      <c r="I490" s="1251"/>
      <c r="J490" s="1271"/>
      <c r="K490" s="1271"/>
      <c r="L490" s="1254"/>
      <c r="M490" s="1244"/>
      <c r="N490" s="1273"/>
      <c r="O490" s="1244"/>
      <c r="P490" s="1244"/>
      <c r="Q490" s="1244"/>
      <c r="R490" s="1244"/>
      <c r="S490" s="1265"/>
      <c r="T490" s="1244"/>
      <c r="U490" s="1244"/>
    </row>
    <row r="491">
      <c r="A491" s="1235"/>
      <c r="B491" s="1235"/>
      <c r="C491" s="1246"/>
      <c r="D491" s="1274"/>
      <c r="E491" s="1248"/>
      <c r="F491" s="1248"/>
      <c r="G491" s="1271"/>
      <c r="H491" s="1250"/>
      <c r="I491" s="1251"/>
      <c r="J491" s="1271"/>
      <c r="K491" s="1271"/>
      <c r="L491" s="1254"/>
      <c r="M491" s="1244"/>
      <c r="N491" s="1273"/>
      <c r="O491" s="1244"/>
      <c r="P491" s="1244"/>
      <c r="Q491" s="1244"/>
      <c r="R491" s="1244"/>
      <c r="S491" s="1265"/>
      <c r="T491" s="1244"/>
      <c r="U491" s="1244"/>
    </row>
    <row r="492">
      <c r="A492" s="1235"/>
      <c r="B492" s="1235"/>
      <c r="C492" s="1246"/>
      <c r="D492" s="1274"/>
      <c r="E492" s="1248"/>
      <c r="F492" s="1248"/>
      <c r="G492" s="1271"/>
      <c r="H492" s="1250"/>
      <c r="I492" s="1251"/>
      <c r="J492" s="1271"/>
      <c r="K492" s="1271"/>
      <c r="L492" s="1254"/>
      <c r="M492" s="1244"/>
      <c r="N492" s="1273"/>
      <c r="O492" s="1244"/>
      <c r="P492" s="1244"/>
      <c r="Q492" s="1244"/>
      <c r="R492" s="1244"/>
      <c r="S492" s="1265"/>
      <c r="T492" s="1244"/>
      <c r="U492" s="1244"/>
    </row>
    <row r="493">
      <c r="A493" s="1235"/>
      <c r="B493" s="1235"/>
      <c r="C493" s="1246"/>
      <c r="D493" s="1274"/>
      <c r="E493" s="1248"/>
      <c r="F493" s="1248"/>
      <c r="G493" s="1271"/>
      <c r="H493" s="1250"/>
      <c r="I493" s="1251"/>
      <c r="J493" s="1271"/>
      <c r="K493" s="1271"/>
      <c r="L493" s="1254"/>
      <c r="M493" s="1244"/>
      <c r="N493" s="1273"/>
      <c r="O493" s="1244"/>
      <c r="P493" s="1244"/>
      <c r="Q493" s="1244"/>
      <c r="R493" s="1244"/>
      <c r="S493" s="1265"/>
      <c r="T493" s="1244"/>
      <c r="U493" s="1244"/>
    </row>
    <row r="494">
      <c r="A494" s="1235"/>
      <c r="B494" s="1235"/>
      <c r="C494" s="1246"/>
      <c r="D494" s="1274"/>
      <c r="E494" s="1248"/>
      <c r="F494" s="1248"/>
      <c r="G494" s="1271"/>
      <c r="H494" s="1250"/>
      <c r="I494" s="1251"/>
      <c r="J494" s="1271"/>
      <c r="K494" s="1271"/>
      <c r="L494" s="1254"/>
      <c r="M494" s="1244"/>
      <c r="N494" s="1273"/>
      <c r="O494" s="1244"/>
      <c r="P494" s="1244"/>
      <c r="Q494" s="1244"/>
      <c r="R494" s="1244"/>
      <c r="S494" s="1265"/>
      <c r="T494" s="1244"/>
      <c r="U494" s="1244"/>
    </row>
    <row r="495">
      <c r="A495" s="1235"/>
      <c r="B495" s="1235"/>
      <c r="C495" s="1246"/>
      <c r="D495" s="1274"/>
      <c r="E495" s="1248"/>
      <c r="F495" s="1248"/>
      <c r="G495" s="1271"/>
      <c r="H495" s="1250"/>
      <c r="I495" s="1251"/>
      <c r="J495" s="1271"/>
      <c r="K495" s="1271"/>
      <c r="L495" s="1254"/>
      <c r="M495" s="1244"/>
      <c r="N495" s="1273"/>
      <c r="O495" s="1244"/>
      <c r="P495" s="1244"/>
      <c r="Q495" s="1244"/>
      <c r="R495" s="1244"/>
      <c r="S495" s="1265"/>
      <c r="T495" s="1244"/>
      <c r="U495" s="1244"/>
    </row>
    <row r="496">
      <c r="A496" s="1235"/>
      <c r="B496" s="1235"/>
      <c r="C496" s="1246"/>
      <c r="D496" s="1274"/>
      <c r="E496" s="1248"/>
      <c r="F496" s="1248"/>
      <c r="G496" s="1271"/>
      <c r="H496" s="1250"/>
      <c r="I496" s="1251"/>
      <c r="J496" s="1271"/>
      <c r="K496" s="1271"/>
      <c r="L496" s="1254"/>
      <c r="M496" s="1244"/>
      <c r="N496" s="1273"/>
      <c r="O496" s="1244"/>
      <c r="P496" s="1244"/>
      <c r="Q496" s="1244"/>
      <c r="R496" s="1244"/>
      <c r="S496" s="1265"/>
      <c r="T496" s="1244"/>
      <c r="U496" s="1244"/>
    </row>
    <row r="497">
      <c r="A497" s="1235"/>
      <c r="B497" s="1235"/>
      <c r="C497" s="1246"/>
      <c r="D497" s="1274"/>
      <c r="E497" s="1248"/>
      <c r="F497" s="1248"/>
      <c r="G497" s="1271"/>
      <c r="H497" s="1250"/>
      <c r="I497" s="1251"/>
      <c r="J497" s="1271"/>
      <c r="K497" s="1271"/>
      <c r="L497" s="1254"/>
      <c r="M497" s="1244"/>
      <c r="N497" s="1273"/>
      <c r="O497" s="1244"/>
      <c r="P497" s="1244"/>
      <c r="Q497" s="1244"/>
      <c r="R497" s="1244"/>
      <c r="S497" s="1265"/>
      <c r="T497" s="1244"/>
      <c r="U497" s="1244"/>
    </row>
    <row r="498">
      <c r="A498" s="1235"/>
      <c r="B498" s="1235"/>
      <c r="C498" s="1246"/>
      <c r="D498" s="1274"/>
      <c r="E498" s="1248"/>
      <c r="F498" s="1248"/>
      <c r="G498" s="1271"/>
      <c r="H498" s="1250"/>
      <c r="I498" s="1251"/>
      <c r="J498" s="1271"/>
      <c r="K498" s="1271"/>
      <c r="L498" s="1254"/>
      <c r="M498" s="1244"/>
      <c r="N498" s="1273"/>
      <c r="O498" s="1244"/>
      <c r="P498" s="1244"/>
      <c r="Q498" s="1244"/>
      <c r="R498" s="1244"/>
      <c r="S498" s="1265"/>
      <c r="T498" s="1244"/>
      <c r="U498" s="1244"/>
    </row>
    <row r="499">
      <c r="A499" s="1235"/>
      <c r="B499" s="1235"/>
      <c r="C499" s="1246"/>
      <c r="D499" s="1274"/>
      <c r="E499" s="1248"/>
      <c r="F499" s="1248"/>
      <c r="G499" s="1271"/>
      <c r="H499" s="1250"/>
      <c r="I499" s="1251"/>
      <c r="J499" s="1271"/>
      <c r="K499" s="1271"/>
      <c r="L499" s="1254"/>
      <c r="M499" s="1244"/>
      <c r="N499" s="1273"/>
      <c r="O499" s="1244"/>
      <c r="P499" s="1244"/>
      <c r="Q499" s="1244"/>
      <c r="R499" s="1244"/>
      <c r="S499" s="1265"/>
      <c r="T499" s="1244"/>
      <c r="U499" s="1244"/>
    </row>
    <row r="500">
      <c r="A500" s="1235"/>
      <c r="B500" s="1235"/>
      <c r="C500" s="1246"/>
      <c r="D500" s="1274"/>
      <c r="E500" s="1248"/>
      <c r="F500" s="1248"/>
      <c r="G500" s="1271"/>
      <c r="H500" s="1250"/>
      <c r="I500" s="1251"/>
      <c r="J500" s="1271"/>
      <c r="K500" s="1271"/>
      <c r="L500" s="1254"/>
      <c r="M500" s="1244"/>
      <c r="N500" s="1273"/>
      <c r="O500" s="1244"/>
      <c r="P500" s="1244"/>
      <c r="Q500" s="1244"/>
      <c r="R500" s="1244"/>
      <c r="S500" s="1265"/>
      <c r="T500" s="1244"/>
      <c r="U500" s="1244"/>
    </row>
    <row r="501">
      <c r="A501" s="1235"/>
      <c r="B501" s="1235"/>
      <c r="C501" s="1246"/>
      <c r="D501" s="1274"/>
      <c r="E501" s="1248"/>
      <c r="F501" s="1248"/>
      <c r="G501" s="1271"/>
      <c r="H501" s="1250"/>
      <c r="I501" s="1251"/>
      <c r="J501" s="1271"/>
      <c r="K501" s="1271"/>
      <c r="L501" s="1254"/>
      <c r="M501" s="1244"/>
      <c r="N501" s="1273"/>
      <c r="O501" s="1244"/>
      <c r="P501" s="1244"/>
      <c r="Q501" s="1244"/>
      <c r="R501" s="1244"/>
      <c r="S501" s="1265"/>
      <c r="T501" s="1244"/>
      <c r="U501" s="1244"/>
    </row>
    <row r="502">
      <c r="A502" s="1235"/>
      <c r="B502" s="1235"/>
      <c r="C502" s="1246"/>
      <c r="D502" s="1274"/>
      <c r="E502" s="1248"/>
      <c r="F502" s="1248"/>
      <c r="G502" s="1271"/>
      <c r="H502" s="1250"/>
      <c r="I502" s="1251"/>
      <c r="J502" s="1271"/>
      <c r="K502" s="1271"/>
      <c r="L502" s="1254"/>
      <c r="M502" s="1244"/>
      <c r="N502" s="1273"/>
      <c r="O502" s="1244"/>
      <c r="P502" s="1244"/>
      <c r="Q502" s="1244"/>
      <c r="R502" s="1244"/>
      <c r="S502" s="1265"/>
      <c r="T502" s="1244"/>
      <c r="U502" s="1244"/>
    </row>
    <row r="503">
      <c r="A503" s="1235"/>
      <c r="B503" s="1235"/>
      <c r="C503" s="1246"/>
      <c r="D503" s="1274"/>
      <c r="E503" s="1248"/>
      <c r="F503" s="1248"/>
      <c r="G503" s="1271"/>
      <c r="H503" s="1250"/>
      <c r="I503" s="1251"/>
      <c r="J503" s="1271"/>
      <c r="K503" s="1271"/>
      <c r="L503" s="1254"/>
      <c r="M503" s="1244"/>
      <c r="N503" s="1273"/>
      <c r="O503" s="1244"/>
      <c r="P503" s="1244"/>
      <c r="Q503" s="1244"/>
      <c r="R503" s="1244"/>
      <c r="S503" s="1265"/>
      <c r="T503" s="1244"/>
      <c r="U503" s="1244"/>
    </row>
    <row r="504">
      <c r="A504" s="1235"/>
      <c r="B504" s="1235"/>
      <c r="C504" s="1246"/>
      <c r="D504" s="1274"/>
      <c r="E504" s="1248"/>
      <c r="F504" s="1248"/>
      <c r="G504" s="1271"/>
      <c r="H504" s="1250"/>
      <c r="I504" s="1251"/>
      <c r="J504" s="1271"/>
      <c r="K504" s="1271"/>
      <c r="L504" s="1254"/>
      <c r="M504" s="1244"/>
      <c r="N504" s="1273"/>
      <c r="O504" s="1244"/>
      <c r="P504" s="1244"/>
      <c r="Q504" s="1244"/>
      <c r="R504" s="1244"/>
      <c r="S504" s="1265"/>
      <c r="T504" s="1244"/>
      <c r="U504" s="1244"/>
    </row>
    <row r="505">
      <c r="A505" s="1235"/>
      <c r="B505" s="1235"/>
      <c r="C505" s="1246"/>
      <c r="D505" s="1274"/>
      <c r="E505" s="1248"/>
      <c r="F505" s="1248"/>
      <c r="G505" s="1271"/>
      <c r="H505" s="1250"/>
      <c r="I505" s="1251"/>
      <c r="J505" s="1271"/>
      <c r="K505" s="1271"/>
      <c r="L505" s="1254"/>
      <c r="M505" s="1244"/>
      <c r="N505" s="1273"/>
      <c r="O505" s="1244"/>
      <c r="P505" s="1244"/>
      <c r="Q505" s="1244"/>
      <c r="R505" s="1244"/>
      <c r="S505" s="1265"/>
      <c r="T505" s="1244"/>
      <c r="U505" s="1244"/>
    </row>
    <row r="506">
      <c r="A506" s="1235"/>
      <c r="B506" s="1235"/>
      <c r="C506" s="1246"/>
      <c r="D506" s="1274"/>
      <c r="E506" s="1248"/>
      <c r="F506" s="1248"/>
      <c r="G506" s="1271"/>
      <c r="H506" s="1250"/>
      <c r="I506" s="1251"/>
      <c r="J506" s="1271"/>
      <c r="K506" s="1271"/>
      <c r="L506" s="1254"/>
      <c r="M506" s="1244"/>
      <c r="N506" s="1273"/>
      <c r="O506" s="1244"/>
      <c r="P506" s="1244"/>
      <c r="Q506" s="1244"/>
      <c r="R506" s="1244"/>
      <c r="S506" s="1265"/>
      <c r="T506" s="1244"/>
      <c r="U506" s="1244"/>
    </row>
    <row r="507">
      <c r="A507" s="1235"/>
      <c r="B507" s="1235"/>
      <c r="C507" s="1246"/>
      <c r="D507" s="1274"/>
      <c r="E507" s="1248"/>
      <c r="F507" s="1248"/>
      <c r="G507" s="1271"/>
      <c r="H507" s="1250"/>
      <c r="I507" s="1251"/>
      <c r="J507" s="1271"/>
      <c r="K507" s="1271"/>
      <c r="L507" s="1254"/>
      <c r="M507" s="1244"/>
      <c r="N507" s="1273"/>
      <c r="O507" s="1244"/>
      <c r="P507" s="1244"/>
      <c r="Q507" s="1244"/>
      <c r="R507" s="1244"/>
      <c r="S507" s="1265"/>
      <c r="T507" s="1244"/>
      <c r="U507" s="1244"/>
    </row>
    <row r="508">
      <c r="A508" s="1235"/>
      <c r="B508" s="1235"/>
      <c r="C508" s="1246"/>
      <c r="D508" s="1274"/>
      <c r="E508" s="1248"/>
      <c r="F508" s="1248"/>
      <c r="G508" s="1271"/>
      <c r="H508" s="1250"/>
      <c r="I508" s="1251"/>
      <c r="J508" s="1271"/>
      <c r="K508" s="1271"/>
      <c r="L508" s="1254"/>
      <c r="M508" s="1244"/>
      <c r="N508" s="1273"/>
      <c r="O508" s="1244"/>
      <c r="P508" s="1244"/>
      <c r="Q508" s="1244"/>
      <c r="R508" s="1244"/>
      <c r="S508" s="1265"/>
      <c r="T508" s="1244"/>
      <c r="U508" s="1244"/>
    </row>
    <row r="509">
      <c r="A509" s="1235"/>
      <c r="B509" s="1235"/>
      <c r="C509" s="1246"/>
      <c r="D509" s="1274"/>
      <c r="E509" s="1248"/>
      <c r="F509" s="1248"/>
      <c r="G509" s="1271"/>
      <c r="H509" s="1250"/>
      <c r="I509" s="1251"/>
      <c r="J509" s="1271"/>
      <c r="K509" s="1271"/>
      <c r="L509" s="1254"/>
      <c r="M509" s="1244"/>
      <c r="N509" s="1273"/>
      <c r="O509" s="1244"/>
      <c r="P509" s="1244"/>
      <c r="Q509" s="1244"/>
      <c r="R509" s="1244"/>
      <c r="S509" s="1265"/>
      <c r="T509" s="1244"/>
      <c r="U509" s="1244"/>
    </row>
    <row r="510">
      <c r="A510" s="1235"/>
      <c r="B510" s="1235"/>
      <c r="C510" s="1246"/>
      <c r="D510" s="1274"/>
      <c r="E510" s="1248"/>
      <c r="F510" s="1248"/>
      <c r="G510" s="1271"/>
      <c r="H510" s="1250"/>
      <c r="I510" s="1251"/>
      <c r="J510" s="1271"/>
      <c r="K510" s="1271"/>
      <c r="L510" s="1254"/>
      <c r="M510" s="1244"/>
      <c r="N510" s="1273"/>
      <c r="O510" s="1244"/>
      <c r="P510" s="1244"/>
      <c r="Q510" s="1244"/>
      <c r="R510" s="1244"/>
      <c r="S510" s="1265"/>
      <c r="T510" s="1244"/>
      <c r="U510" s="1244"/>
    </row>
    <row r="511">
      <c r="A511" s="1235"/>
      <c r="B511" s="1235"/>
      <c r="C511" s="1246"/>
      <c r="D511" s="1274"/>
      <c r="E511" s="1248"/>
      <c r="F511" s="1248"/>
      <c r="G511" s="1271"/>
      <c r="H511" s="1250"/>
      <c r="I511" s="1251"/>
      <c r="J511" s="1271"/>
      <c r="K511" s="1271"/>
      <c r="L511" s="1254"/>
      <c r="M511" s="1244"/>
      <c r="N511" s="1273"/>
      <c r="O511" s="1244"/>
      <c r="P511" s="1244"/>
      <c r="Q511" s="1244"/>
      <c r="R511" s="1244"/>
      <c r="S511" s="1265"/>
      <c r="T511" s="1244"/>
      <c r="U511" s="1244"/>
    </row>
    <row r="512">
      <c r="A512" s="1235"/>
      <c r="B512" s="1235"/>
      <c r="C512" s="1246"/>
      <c r="D512" s="1274"/>
      <c r="E512" s="1248"/>
      <c r="F512" s="1248"/>
      <c r="G512" s="1271"/>
      <c r="H512" s="1250"/>
      <c r="I512" s="1251"/>
      <c r="J512" s="1271"/>
      <c r="K512" s="1271"/>
      <c r="L512" s="1254"/>
      <c r="M512" s="1244"/>
      <c r="N512" s="1273"/>
      <c r="O512" s="1244"/>
      <c r="P512" s="1244"/>
      <c r="Q512" s="1244"/>
      <c r="R512" s="1244"/>
      <c r="S512" s="1265"/>
      <c r="T512" s="1244"/>
      <c r="U512" s="1244"/>
    </row>
    <row r="513">
      <c r="A513" s="1235"/>
      <c r="B513" s="1235"/>
      <c r="C513" s="1246"/>
      <c r="D513" s="1274"/>
      <c r="E513" s="1248"/>
      <c r="F513" s="1248"/>
      <c r="G513" s="1271"/>
      <c r="H513" s="1250"/>
      <c r="I513" s="1251"/>
      <c r="J513" s="1271"/>
      <c r="K513" s="1271"/>
      <c r="L513" s="1254"/>
      <c r="M513" s="1244"/>
      <c r="N513" s="1273"/>
      <c r="O513" s="1244"/>
      <c r="P513" s="1244"/>
      <c r="Q513" s="1244"/>
      <c r="R513" s="1244"/>
      <c r="S513" s="1265"/>
      <c r="T513" s="1244"/>
      <c r="U513" s="1244"/>
    </row>
    <row r="514">
      <c r="A514" s="1235"/>
      <c r="B514" s="1235"/>
      <c r="C514" s="1246"/>
      <c r="D514" s="1274"/>
      <c r="E514" s="1248"/>
      <c r="F514" s="1248"/>
      <c r="G514" s="1271"/>
      <c r="H514" s="1250"/>
      <c r="I514" s="1251"/>
      <c r="J514" s="1271"/>
      <c r="K514" s="1271"/>
      <c r="L514" s="1254"/>
      <c r="M514" s="1244"/>
      <c r="N514" s="1273"/>
      <c r="O514" s="1244"/>
      <c r="P514" s="1244"/>
      <c r="Q514" s="1244"/>
      <c r="R514" s="1244"/>
      <c r="S514" s="1265"/>
      <c r="T514" s="1244"/>
      <c r="U514" s="1244"/>
    </row>
    <row r="515">
      <c r="A515" s="1235"/>
      <c r="B515" s="1235"/>
      <c r="C515" s="1246"/>
      <c r="D515" s="1274"/>
      <c r="E515" s="1248"/>
      <c r="F515" s="1248"/>
      <c r="G515" s="1271"/>
      <c r="H515" s="1250"/>
      <c r="I515" s="1251"/>
      <c r="J515" s="1271"/>
      <c r="K515" s="1271"/>
      <c r="L515" s="1254"/>
      <c r="M515" s="1244"/>
      <c r="N515" s="1273"/>
      <c r="O515" s="1244"/>
      <c r="P515" s="1244"/>
      <c r="Q515" s="1244"/>
      <c r="R515" s="1244"/>
      <c r="S515" s="1265"/>
      <c r="T515" s="1244"/>
      <c r="U515" s="1244"/>
    </row>
    <row r="516">
      <c r="A516" s="1235"/>
      <c r="B516" s="1235"/>
      <c r="C516" s="1246"/>
      <c r="D516" s="1274"/>
      <c r="E516" s="1248"/>
      <c r="F516" s="1248"/>
      <c r="G516" s="1271"/>
      <c r="H516" s="1250"/>
      <c r="I516" s="1251"/>
      <c r="J516" s="1271"/>
      <c r="K516" s="1271"/>
      <c r="L516" s="1254"/>
      <c r="M516" s="1244"/>
      <c r="N516" s="1273"/>
      <c r="O516" s="1244"/>
      <c r="P516" s="1244"/>
      <c r="Q516" s="1244"/>
      <c r="R516" s="1244"/>
      <c r="S516" s="1265"/>
      <c r="T516" s="1244"/>
      <c r="U516" s="1244"/>
    </row>
    <row r="517">
      <c r="A517" s="1235"/>
      <c r="B517" s="1235"/>
      <c r="C517" s="1246"/>
      <c r="D517" s="1274"/>
      <c r="E517" s="1248"/>
      <c r="F517" s="1248"/>
      <c r="G517" s="1271"/>
      <c r="H517" s="1250"/>
      <c r="I517" s="1251"/>
      <c r="J517" s="1271"/>
      <c r="K517" s="1271"/>
      <c r="L517" s="1254"/>
      <c r="M517" s="1244"/>
      <c r="N517" s="1273"/>
      <c r="O517" s="1244"/>
      <c r="P517" s="1244"/>
      <c r="Q517" s="1244"/>
      <c r="R517" s="1244"/>
      <c r="S517" s="1265"/>
      <c r="T517" s="1244"/>
      <c r="U517" s="1244"/>
    </row>
    <row r="518">
      <c r="A518" s="1235"/>
      <c r="B518" s="1235"/>
      <c r="C518" s="1246"/>
      <c r="D518" s="1274"/>
      <c r="E518" s="1248"/>
      <c r="F518" s="1248"/>
      <c r="G518" s="1271"/>
      <c r="H518" s="1250"/>
      <c r="I518" s="1251"/>
      <c r="J518" s="1271"/>
      <c r="K518" s="1271"/>
      <c r="L518" s="1254"/>
      <c r="M518" s="1244"/>
      <c r="N518" s="1273"/>
      <c r="O518" s="1244"/>
      <c r="P518" s="1244"/>
      <c r="Q518" s="1244"/>
      <c r="R518" s="1244"/>
      <c r="S518" s="1265"/>
      <c r="T518" s="1244"/>
      <c r="U518" s="1244"/>
    </row>
    <row r="519">
      <c r="A519" s="1235"/>
      <c r="B519" s="1235"/>
      <c r="C519" s="1246"/>
      <c r="D519" s="1274"/>
      <c r="E519" s="1248"/>
      <c r="F519" s="1248"/>
      <c r="G519" s="1271"/>
      <c r="H519" s="1250"/>
      <c r="I519" s="1251"/>
      <c r="J519" s="1271"/>
      <c r="K519" s="1271"/>
      <c r="L519" s="1254"/>
      <c r="M519" s="1244"/>
      <c r="N519" s="1273"/>
      <c r="O519" s="1244"/>
      <c r="P519" s="1244"/>
      <c r="Q519" s="1244"/>
      <c r="R519" s="1244"/>
      <c r="S519" s="1265"/>
      <c r="T519" s="1244"/>
      <c r="U519" s="1244"/>
    </row>
    <row r="520">
      <c r="A520" s="1235"/>
      <c r="B520" s="1235"/>
      <c r="C520" s="1246"/>
      <c r="D520" s="1274"/>
      <c r="E520" s="1248"/>
      <c r="F520" s="1248"/>
      <c r="G520" s="1271"/>
      <c r="H520" s="1250"/>
      <c r="I520" s="1251"/>
      <c r="J520" s="1271"/>
      <c r="K520" s="1271"/>
      <c r="L520" s="1254"/>
      <c r="M520" s="1244"/>
      <c r="N520" s="1273"/>
      <c r="O520" s="1244"/>
      <c r="P520" s="1244"/>
      <c r="Q520" s="1244"/>
      <c r="R520" s="1244"/>
      <c r="S520" s="1265"/>
      <c r="T520" s="1244"/>
      <c r="U520" s="1244"/>
    </row>
    <row r="521">
      <c r="A521" s="1235"/>
      <c r="B521" s="1235"/>
      <c r="C521" s="1246"/>
      <c r="D521" s="1274"/>
      <c r="E521" s="1248"/>
      <c r="F521" s="1248"/>
      <c r="G521" s="1271"/>
      <c r="H521" s="1250"/>
      <c r="I521" s="1251"/>
      <c r="J521" s="1271"/>
      <c r="K521" s="1271"/>
      <c r="L521" s="1254"/>
      <c r="M521" s="1244"/>
      <c r="N521" s="1273"/>
      <c r="O521" s="1244"/>
      <c r="P521" s="1244"/>
      <c r="Q521" s="1244"/>
      <c r="R521" s="1244"/>
      <c r="S521" s="1265"/>
      <c r="T521" s="1244"/>
      <c r="U521" s="1244"/>
    </row>
    <row r="522">
      <c r="A522" s="1235"/>
      <c r="B522" s="1235"/>
      <c r="C522" s="1246"/>
      <c r="D522" s="1274"/>
      <c r="E522" s="1248"/>
      <c r="F522" s="1248"/>
      <c r="G522" s="1271"/>
      <c r="H522" s="1250"/>
      <c r="I522" s="1251"/>
      <c r="J522" s="1271"/>
      <c r="K522" s="1271"/>
      <c r="L522" s="1254"/>
      <c r="M522" s="1244"/>
      <c r="N522" s="1273"/>
      <c r="O522" s="1244"/>
      <c r="P522" s="1244"/>
      <c r="Q522" s="1244"/>
      <c r="R522" s="1244"/>
      <c r="S522" s="1265"/>
      <c r="T522" s="1244"/>
      <c r="U522" s="1244"/>
    </row>
    <row r="523">
      <c r="A523" s="1235"/>
      <c r="B523" s="1235"/>
      <c r="C523" s="1246"/>
      <c r="D523" s="1274"/>
      <c r="E523" s="1248"/>
      <c r="F523" s="1248"/>
      <c r="G523" s="1271"/>
      <c r="H523" s="1250"/>
      <c r="I523" s="1251"/>
      <c r="J523" s="1271"/>
      <c r="K523" s="1271"/>
      <c r="L523" s="1254"/>
      <c r="M523" s="1244"/>
      <c r="N523" s="1273"/>
      <c r="O523" s="1244"/>
      <c r="P523" s="1244"/>
      <c r="Q523" s="1244"/>
      <c r="R523" s="1244"/>
      <c r="S523" s="1265"/>
      <c r="T523" s="1244"/>
      <c r="U523" s="1244"/>
    </row>
    <row r="524">
      <c r="A524" s="1235"/>
      <c r="B524" s="1235"/>
      <c r="C524" s="1246"/>
      <c r="D524" s="1274"/>
      <c r="E524" s="1248"/>
      <c r="F524" s="1248"/>
      <c r="G524" s="1271"/>
      <c r="H524" s="1250"/>
      <c r="I524" s="1251"/>
      <c r="J524" s="1271"/>
      <c r="K524" s="1271"/>
      <c r="L524" s="1254"/>
      <c r="M524" s="1244"/>
      <c r="N524" s="1273"/>
      <c r="O524" s="1244"/>
      <c r="P524" s="1244"/>
      <c r="Q524" s="1244"/>
      <c r="R524" s="1244"/>
      <c r="S524" s="1265"/>
      <c r="T524" s="1244"/>
      <c r="U524" s="1244"/>
    </row>
    <row r="525">
      <c r="A525" s="1235"/>
      <c r="B525" s="1235"/>
      <c r="C525" s="1246"/>
      <c r="D525" s="1274"/>
      <c r="E525" s="1248"/>
      <c r="F525" s="1248"/>
      <c r="G525" s="1271"/>
      <c r="H525" s="1250"/>
      <c r="I525" s="1251"/>
      <c r="J525" s="1271"/>
      <c r="K525" s="1271"/>
      <c r="L525" s="1254"/>
      <c r="M525" s="1244"/>
      <c r="N525" s="1273"/>
      <c r="O525" s="1244"/>
      <c r="P525" s="1244"/>
      <c r="Q525" s="1244"/>
      <c r="R525" s="1244"/>
      <c r="S525" s="1265"/>
      <c r="T525" s="1244"/>
      <c r="U525" s="1244"/>
    </row>
    <row r="526">
      <c r="A526" s="1235"/>
      <c r="B526" s="1235"/>
      <c r="C526" s="1246"/>
      <c r="D526" s="1274"/>
      <c r="E526" s="1248"/>
      <c r="F526" s="1248"/>
      <c r="G526" s="1271"/>
      <c r="H526" s="1250"/>
      <c r="I526" s="1251"/>
      <c r="J526" s="1271"/>
      <c r="K526" s="1271"/>
      <c r="L526" s="1254"/>
      <c r="M526" s="1244"/>
      <c r="N526" s="1273"/>
      <c r="O526" s="1244"/>
      <c r="P526" s="1244"/>
      <c r="Q526" s="1244"/>
      <c r="R526" s="1244"/>
      <c r="S526" s="1265"/>
      <c r="T526" s="1244"/>
      <c r="U526" s="1244"/>
    </row>
    <row r="527">
      <c r="A527" s="1235"/>
      <c r="B527" s="1235"/>
      <c r="C527" s="1246"/>
      <c r="D527" s="1274"/>
      <c r="E527" s="1248"/>
      <c r="F527" s="1248"/>
      <c r="G527" s="1271"/>
      <c r="H527" s="1250"/>
      <c r="I527" s="1251"/>
      <c r="J527" s="1271"/>
      <c r="K527" s="1271"/>
      <c r="L527" s="1254"/>
      <c r="M527" s="1244"/>
      <c r="N527" s="1273"/>
      <c r="O527" s="1244"/>
      <c r="P527" s="1244"/>
      <c r="Q527" s="1244"/>
      <c r="R527" s="1244"/>
      <c r="S527" s="1265"/>
      <c r="T527" s="1244"/>
      <c r="U527" s="1244"/>
    </row>
    <row r="528">
      <c r="A528" s="1235"/>
      <c r="B528" s="1235"/>
      <c r="C528" s="1246"/>
      <c r="D528" s="1274"/>
      <c r="E528" s="1248"/>
      <c r="F528" s="1248"/>
      <c r="G528" s="1271"/>
      <c r="H528" s="1250"/>
      <c r="I528" s="1251"/>
      <c r="J528" s="1271"/>
      <c r="K528" s="1271"/>
      <c r="L528" s="1254"/>
      <c r="M528" s="1244"/>
      <c r="N528" s="1273"/>
      <c r="O528" s="1244"/>
      <c r="P528" s="1244"/>
      <c r="Q528" s="1244"/>
      <c r="R528" s="1244"/>
      <c r="S528" s="1265"/>
      <c r="T528" s="1244"/>
      <c r="U528" s="1244"/>
    </row>
    <row r="529">
      <c r="A529" s="1235"/>
      <c r="B529" s="1235"/>
      <c r="C529" s="1246"/>
      <c r="D529" s="1274"/>
      <c r="E529" s="1248"/>
      <c r="F529" s="1248"/>
      <c r="G529" s="1271"/>
      <c r="H529" s="1250"/>
      <c r="I529" s="1251"/>
      <c r="J529" s="1271"/>
      <c r="K529" s="1271"/>
      <c r="L529" s="1254"/>
      <c r="M529" s="1244"/>
      <c r="N529" s="1273"/>
      <c r="O529" s="1244"/>
      <c r="P529" s="1244"/>
      <c r="Q529" s="1244"/>
      <c r="R529" s="1244"/>
      <c r="S529" s="1265"/>
      <c r="T529" s="1244"/>
      <c r="U529" s="1244"/>
    </row>
    <row r="530">
      <c r="A530" s="1235"/>
      <c r="B530" s="1235"/>
      <c r="C530" s="1246"/>
      <c r="D530" s="1274"/>
      <c r="E530" s="1248"/>
      <c r="F530" s="1248"/>
      <c r="G530" s="1271"/>
      <c r="H530" s="1250"/>
      <c r="I530" s="1251"/>
      <c r="J530" s="1271"/>
      <c r="K530" s="1271"/>
      <c r="L530" s="1254"/>
      <c r="M530" s="1244"/>
      <c r="N530" s="1273"/>
      <c r="O530" s="1244"/>
      <c r="P530" s="1244"/>
      <c r="Q530" s="1244"/>
      <c r="R530" s="1244"/>
      <c r="S530" s="1265"/>
      <c r="T530" s="1244"/>
      <c r="U530" s="1244"/>
    </row>
    <row r="531">
      <c r="A531" s="1235"/>
      <c r="B531" s="1235"/>
      <c r="C531" s="1246"/>
      <c r="D531" s="1274"/>
      <c r="E531" s="1248"/>
      <c r="F531" s="1248"/>
      <c r="G531" s="1271"/>
      <c r="H531" s="1250"/>
      <c r="I531" s="1251"/>
      <c r="J531" s="1271"/>
      <c r="K531" s="1271"/>
      <c r="L531" s="1254"/>
      <c r="M531" s="1244"/>
      <c r="N531" s="1273"/>
      <c r="O531" s="1244"/>
      <c r="P531" s="1244"/>
      <c r="Q531" s="1244"/>
      <c r="R531" s="1244"/>
      <c r="S531" s="1265"/>
      <c r="T531" s="1244"/>
      <c r="U531" s="1244"/>
    </row>
    <row r="532">
      <c r="A532" s="1235"/>
      <c r="B532" s="1235"/>
      <c r="C532" s="1246"/>
      <c r="D532" s="1274"/>
      <c r="E532" s="1248"/>
      <c r="F532" s="1248"/>
      <c r="G532" s="1271"/>
      <c r="H532" s="1250"/>
      <c r="I532" s="1251"/>
      <c r="J532" s="1271"/>
      <c r="K532" s="1271"/>
      <c r="L532" s="1254"/>
      <c r="M532" s="1244"/>
      <c r="N532" s="1273"/>
      <c r="O532" s="1244"/>
      <c r="P532" s="1244"/>
      <c r="Q532" s="1244"/>
      <c r="R532" s="1244"/>
      <c r="S532" s="1265"/>
      <c r="T532" s="1244"/>
      <c r="U532" s="1244"/>
    </row>
    <row r="533">
      <c r="A533" s="1235"/>
      <c r="B533" s="1235"/>
      <c r="C533" s="1246"/>
      <c r="D533" s="1274"/>
      <c r="E533" s="1248"/>
      <c r="F533" s="1248"/>
      <c r="G533" s="1271"/>
      <c r="H533" s="1250"/>
      <c r="I533" s="1251"/>
      <c r="J533" s="1271"/>
      <c r="K533" s="1271"/>
      <c r="L533" s="1254"/>
      <c r="M533" s="1244"/>
      <c r="N533" s="1273"/>
      <c r="O533" s="1244"/>
      <c r="P533" s="1244"/>
      <c r="Q533" s="1244"/>
      <c r="R533" s="1244"/>
      <c r="S533" s="1265"/>
      <c r="T533" s="1244"/>
      <c r="U533" s="1244"/>
    </row>
    <row r="534">
      <c r="A534" s="1235"/>
      <c r="B534" s="1235"/>
      <c r="C534" s="1246"/>
      <c r="D534" s="1274"/>
      <c r="E534" s="1248"/>
      <c r="F534" s="1248"/>
      <c r="G534" s="1271"/>
      <c r="H534" s="1250"/>
      <c r="I534" s="1251"/>
      <c r="J534" s="1271"/>
      <c r="K534" s="1271"/>
      <c r="L534" s="1254"/>
      <c r="M534" s="1244"/>
      <c r="N534" s="1273"/>
      <c r="O534" s="1244"/>
      <c r="P534" s="1244"/>
      <c r="Q534" s="1244"/>
      <c r="R534" s="1244"/>
      <c r="S534" s="1265"/>
      <c r="T534" s="1244"/>
      <c r="U534" s="1244"/>
    </row>
    <row r="535">
      <c r="A535" s="1235"/>
      <c r="B535" s="1235"/>
      <c r="C535" s="1246"/>
      <c r="D535" s="1274"/>
      <c r="E535" s="1248"/>
      <c r="F535" s="1248"/>
      <c r="G535" s="1271"/>
      <c r="H535" s="1250"/>
      <c r="I535" s="1251"/>
      <c r="J535" s="1271"/>
      <c r="K535" s="1271"/>
      <c r="L535" s="1254"/>
      <c r="M535" s="1244"/>
      <c r="N535" s="1273"/>
      <c r="O535" s="1244"/>
      <c r="P535" s="1244"/>
      <c r="Q535" s="1244"/>
      <c r="R535" s="1244"/>
      <c r="S535" s="1265"/>
      <c r="T535" s="1244"/>
      <c r="U535" s="1244"/>
    </row>
    <row r="536">
      <c r="A536" s="1235"/>
      <c r="B536" s="1235"/>
      <c r="C536" s="1246"/>
      <c r="D536" s="1274"/>
      <c r="E536" s="1248"/>
      <c r="F536" s="1248"/>
      <c r="G536" s="1271"/>
      <c r="H536" s="1250"/>
      <c r="I536" s="1251"/>
      <c r="J536" s="1271"/>
      <c r="K536" s="1271"/>
      <c r="L536" s="1254"/>
      <c r="M536" s="1244"/>
      <c r="N536" s="1273"/>
      <c r="O536" s="1244"/>
      <c r="P536" s="1244"/>
      <c r="Q536" s="1244"/>
      <c r="R536" s="1244"/>
      <c r="S536" s="1265"/>
      <c r="T536" s="1244"/>
      <c r="U536" s="1244"/>
    </row>
    <row r="537">
      <c r="A537" s="1235"/>
      <c r="B537" s="1235"/>
      <c r="C537" s="1246"/>
      <c r="D537" s="1274"/>
      <c r="E537" s="1248"/>
      <c r="F537" s="1248"/>
      <c r="G537" s="1271"/>
      <c r="H537" s="1250"/>
      <c r="I537" s="1251"/>
      <c r="J537" s="1271"/>
      <c r="K537" s="1271"/>
      <c r="L537" s="1254"/>
      <c r="M537" s="1244"/>
      <c r="N537" s="1273"/>
      <c r="O537" s="1244"/>
      <c r="P537" s="1244"/>
      <c r="Q537" s="1244"/>
      <c r="R537" s="1244"/>
      <c r="S537" s="1265"/>
      <c r="T537" s="1244"/>
      <c r="U537" s="1244"/>
    </row>
    <row r="538">
      <c r="A538" s="1235"/>
      <c r="B538" s="1235"/>
      <c r="C538" s="1246"/>
      <c r="D538" s="1274"/>
      <c r="E538" s="1248"/>
      <c r="F538" s="1248"/>
      <c r="G538" s="1271"/>
      <c r="H538" s="1250"/>
      <c r="I538" s="1251"/>
      <c r="J538" s="1271"/>
      <c r="K538" s="1271"/>
      <c r="L538" s="1254"/>
      <c r="M538" s="1244"/>
      <c r="N538" s="1273"/>
      <c r="O538" s="1244"/>
      <c r="P538" s="1244"/>
      <c r="Q538" s="1244"/>
      <c r="R538" s="1244"/>
      <c r="S538" s="1265"/>
      <c r="T538" s="1244"/>
      <c r="U538" s="1244"/>
    </row>
    <row r="539">
      <c r="A539" s="1235"/>
      <c r="B539" s="1235"/>
      <c r="C539" s="1246"/>
      <c r="D539" s="1274"/>
      <c r="E539" s="1248"/>
      <c r="F539" s="1248"/>
      <c r="G539" s="1271"/>
      <c r="H539" s="1250"/>
      <c r="I539" s="1251"/>
      <c r="J539" s="1271"/>
      <c r="K539" s="1271"/>
      <c r="L539" s="1254"/>
      <c r="M539" s="1244"/>
      <c r="N539" s="1273"/>
      <c r="O539" s="1244"/>
      <c r="P539" s="1244"/>
      <c r="Q539" s="1244"/>
      <c r="R539" s="1244"/>
      <c r="S539" s="1265"/>
      <c r="T539" s="1244"/>
      <c r="U539" s="1244"/>
    </row>
    <row r="540">
      <c r="A540" s="1235"/>
      <c r="B540" s="1235"/>
      <c r="C540" s="1246"/>
      <c r="D540" s="1274"/>
      <c r="E540" s="1248"/>
      <c r="F540" s="1248"/>
      <c r="G540" s="1271"/>
      <c r="H540" s="1250"/>
      <c r="I540" s="1251"/>
      <c r="J540" s="1271"/>
      <c r="K540" s="1271"/>
      <c r="L540" s="1254"/>
      <c r="M540" s="1244"/>
      <c r="N540" s="1273"/>
      <c r="O540" s="1244"/>
      <c r="P540" s="1244"/>
      <c r="Q540" s="1244"/>
      <c r="R540" s="1244"/>
      <c r="S540" s="1265"/>
      <c r="T540" s="1244"/>
      <c r="U540" s="1244"/>
    </row>
    <row r="541">
      <c r="A541" s="1235"/>
      <c r="B541" s="1235"/>
      <c r="C541" s="1246"/>
      <c r="D541" s="1274"/>
      <c r="E541" s="1248"/>
      <c r="F541" s="1248"/>
      <c r="G541" s="1271"/>
      <c r="H541" s="1250"/>
      <c r="I541" s="1251"/>
      <c r="J541" s="1271"/>
      <c r="K541" s="1271"/>
      <c r="L541" s="1254"/>
      <c r="M541" s="1244"/>
      <c r="N541" s="1273"/>
      <c r="O541" s="1244"/>
      <c r="P541" s="1244"/>
      <c r="Q541" s="1244"/>
      <c r="R541" s="1244"/>
      <c r="S541" s="1265"/>
      <c r="T541" s="1244"/>
      <c r="U541" s="1244"/>
    </row>
    <row r="542">
      <c r="A542" s="1235"/>
      <c r="B542" s="1235"/>
      <c r="C542" s="1246"/>
      <c r="D542" s="1274"/>
      <c r="E542" s="1248"/>
      <c r="F542" s="1248"/>
      <c r="G542" s="1271"/>
      <c r="H542" s="1250"/>
      <c r="I542" s="1251"/>
      <c r="J542" s="1271"/>
      <c r="K542" s="1271"/>
      <c r="L542" s="1254"/>
      <c r="M542" s="1244"/>
      <c r="N542" s="1273"/>
      <c r="O542" s="1244"/>
      <c r="P542" s="1244"/>
      <c r="Q542" s="1244"/>
      <c r="R542" s="1244"/>
      <c r="S542" s="1265"/>
      <c r="T542" s="1244"/>
      <c r="U542" s="1244"/>
    </row>
    <row r="543">
      <c r="A543" s="1235"/>
      <c r="B543" s="1235"/>
      <c r="C543" s="1246"/>
      <c r="D543" s="1274"/>
      <c r="E543" s="1248"/>
      <c r="F543" s="1248"/>
      <c r="G543" s="1271"/>
      <c r="H543" s="1250"/>
      <c r="I543" s="1251"/>
      <c r="J543" s="1271"/>
      <c r="K543" s="1271"/>
      <c r="L543" s="1254"/>
      <c r="M543" s="1244"/>
      <c r="N543" s="1273"/>
      <c r="O543" s="1244"/>
      <c r="P543" s="1244"/>
      <c r="Q543" s="1244"/>
      <c r="R543" s="1244"/>
      <c r="S543" s="1265"/>
      <c r="T543" s="1244"/>
      <c r="U543" s="1244"/>
    </row>
    <row r="544">
      <c r="A544" s="1235"/>
      <c r="B544" s="1235"/>
      <c r="C544" s="1246"/>
      <c r="D544" s="1274"/>
      <c r="E544" s="1248"/>
      <c r="F544" s="1248"/>
      <c r="G544" s="1271"/>
      <c r="H544" s="1250"/>
      <c r="I544" s="1251"/>
      <c r="J544" s="1271"/>
      <c r="K544" s="1271"/>
      <c r="L544" s="1254"/>
      <c r="M544" s="1244"/>
      <c r="N544" s="1273"/>
      <c r="O544" s="1244"/>
      <c r="P544" s="1244"/>
      <c r="Q544" s="1244"/>
      <c r="R544" s="1244"/>
      <c r="S544" s="1265"/>
      <c r="T544" s="1244"/>
      <c r="U544" s="1244"/>
    </row>
    <row r="545">
      <c r="A545" s="1235"/>
      <c r="B545" s="1235"/>
      <c r="C545" s="1246"/>
      <c r="D545" s="1274"/>
      <c r="E545" s="1248"/>
      <c r="F545" s="1248"/>
      <c r="G545" s="1271"/>
      <c r="H545" s="1250"/>
      <c r="I545" s="1251"/>
      <c r="J545" s="1271"/>
      <c r="K545" s="1271"/>
      <c r="L545" s="1254"/>
      <c r="M545" s="1244"/>
      <c r="N545" s="1273"/>
      <c r="O545" s="1244"/>
      <c r="P545" s="1244"/>
      <c r="Q545" s="1244"/>
      <c r="R545" s="1244"/>
      <c r="S545" s="1265"/>
      <c r="T545" s="1244"/>
      <c r="U545" s="1244"/>
    </row>
    <row r="546">
      <c r="A546" s="1235"/>
      <c r="B546" s="1235"/>
      <c r="C546" s="1246"/>
      <c r="D546" s="1274"/>
      <c r="E546" s="1248"/>
      <c r="F546" s="1248"/>
      <c r="G546" s="1271"/>
      <c r="H546" s="1250"/>
      <c r="I546" s="1251"/>
      <c r="J546" s="1271"/>
      <c r="K546" s="1271"/>
      <c r="L546" s="1254"/>
      <c r="M546" s="1244"/>
      <c r="N546" s="1273"/>
      <c r="O546" s="1244"/>
      <c r="P546" s="1244"/>
      <c r="Q546" s="1244"/>
      <c r="R546" s="1244"/>
      <c r="S546" s="1265"/>
      <c r="T546" s="1244"/>
      <c r="U546" s="1244"/>
    </row>
    <row r="547">
      <c r="A547" s="1235"/>
      <c r="B547" s="1235"/>
      <c r="C547" s="1246"/>
      <c r="D547" s="1274"/>
      <c r="E547" s="1248"/>
      <c r="F547" s="1248"/>
      <c r="G547" s="1271"/>
      <c r="H547" s="1250"/>
      <c r="I547" s="1251"/>
      <c r="J547" s="1271"/>
      <c r="K547" s="1271"/>
      <c r="L547" s="1254"/>
      <c r="M547" s="1244"/>
      <c r="N547" s="1273"/>
      <c r="O547" s="1244"/>
      <c r="P547" s="1244"/>
      <c r="Q547" s="1244"/>
      <c r="R547" s="1244"/>
      <c r="S547" s="1265"/>
      <c r="T547" s="1244"/>
      <c r="U547" s="1244"/>
    </row>
    <row r="548">
      <c r="A548" s="1235"/>
      <c r="B548" s="1235"/>
      <c r="C548" s="1246"/>
      <c r="D548" s="1274"/>
      <c r="E548" s="1248"/>
      <c r="F548" s="1248"/>
      <c r="G548" s="1271"/>
      <c r="H548" s="1250"/>
      <c r="I548" s="1251"/>
      <c r="J548" s="1271"/>
      <c r="K548" s="1271"/>
      <c r="L548" s="1254"/>
      <c r="M548" s="1244"/>
      <c r="N548" s="1273"/>
      <c r="O548" s="1244"/>
      <c r="P548" s="1244"/>
      <c r="Q548" s="1244"/>
      <c r="R548" s="1244"/>
      <c r="S548" s="1265"/>
      <c r="T548" s="1244"/>
      <c r="U548" s="1244"/>
    </row>
    <row r="549">
      <c r="A549" s="1235"/>
      <c r="B549" s="1235"/>
      <c r="C549" s="1246"/>
      <c r="D549" s="1274"/>
      <c r="E549" s="1248"/>
      <c r="F549" s="1248"/>
      <c r="G549" s="1271"/>
      <c r="H549" s="1250"/>
      <c r="I549" s="1251"/>
      <c r="J549" s="1271"/>
      <c r="K549" s="1271"/>
      <c r="L549" s="1254"/>
      <c r="M549" s="1244"/>
      <c r="N549" s="1273"/>
      <c r="O549" s="1244"/>
      <c r="P549" s="1244"/>
      <c r="Q549" s="1244"/>
      <c r="R549" s="1244"/>
      <c r="S549" s="1265"/>
      <c r="T549" s="1244"/>
      <c r="U549" s="1244"/>
    </row>
    <row r="550">
      <c r="A550" s="1235"/>
      <c r="B550" s="1235"/>
      <c r="C550" s="1246"/>
      <c r="D550" s="1274"/>
      <c r="E550" s="1248"/>
      <c r="F550" s="1248"/>
      <c r="G550" s="1271"/>
      <c r="H550" s="1250"/>
      <c r="I550" s="1251"/>
      <c r="J550" s="1271"/>
      <c r="K550" s="1271"/>
      <c r="L550" s="1254"/>
      <c r="M550" s="1244"/>
      <c r="N550" s="1273"/>
      <c r="O550" s="1244"/>
      <c r="P550" s="1244"/>
      <c r="Q550" s="1244"/>
      <c r="R550" s="1244"/>
      <c r="S550" s="1265"/>
      <c r="T550" s="1244"/>
      <c r="U550" s="1244"/>
    </row>
    <row r="551">
      <c r="A551" s="1235"/>
      <c r="B551" s="1235"/>
      <c r="C551" s="1246"/>
      <c r="D551" s="1274"/>
      <c r="E551" s="1248"/>
      <c r="F551" s="1248"/>
      <c r="G551" s="1271"/>
      <c r="H551" s="1250"/>
      <c r="I551" s="1251"/>
      <c r="J551" s="1271"/>
      <c r="K551" s="1271"/>
      <c r="L551" s="1254"/>
      <c r="M551" s="1244"/>
      <c r="N551" s="1273"/>
      <c r="O551" s="1244"/>
      <c r="P551" s="1244"/>
      <c r="Q551" s="1244"/>
      <c r="R551" s="1244"/>
      <c r="S551" s="1265"/>
      <c r="T551" s="1244"/>
      <c r="U551" s="1244"/>
    </row>
    <row r="552">
      <c r="A552" s="1235"/>
      <c r="B552" s="1235"/>
      <c r="C552" s="1246"/>
      <c r="D552" s="1274"/>
      <c r="E552" s="1248"/>
      <c r="F552" s="1248"/>
      <c r="G552" s="1271"/>
      <c r="H552" s="1250"/>
      <c r="I552" s="1251"/>
      <c r="J552" s="1271"/>
      <c r="K552" s="1271"/>
      <c r="L552" s="1254"/>
      <c r="M552" s="1244"/>
      <c r="N552" s="1273"/>
      <c r="O552" s="1244"/>
      <c r="P552" s="1244"/>
      <c r="Q552" s="1244"/>
      <c r="R552" s="1244"/>
      <c r="S552" s="1265"/>
      <c r="T552" s="1244"/>
      <c r="U552" s="1244"/>
    </row>
    <row r="553">
      <c r="A553" s="1235"/>
      <c r="B553" s="1235"/>
      <c r="C553" s="1246"/>
      <c r="D553" s="1274"/>
      <c r="E553" s="1248"/>
      <c r="F553" s="1248"/>
      <c r="G553" s="1271"/>
      <c r="H553" s="1250"/>
      <c r="I553" s="1251"/>
      <c r="J553" s="1271"/>
      <c r="K553" s="1271"/>
      <c r="L553" s="1254"/>
      <c r="M553" s="1244"/>
      <c r="N553" s="1273"/>
      <c r="O553" s="1244"/>
      <c r="P553" s="1244"/>
      <c r="Q553" s="1244"/>
      <c r="R553" s="1244"/>
      <c r="S553" s="1265"/>
      <c r="T553" s="1244"/>
      <c r="U553" s="1244"/>
    </row>
    <row r="554">
      <c r="A554" s="1235"/>
      <c r="B554" s="1235"/>
      <c r="C554" s="1246"/>
      <c r="D554" s="1274"/>
      <c r="E554" s="1248"/>
      <c r="F554" s="1248"/>
      <c r="G554" s="1271"/>
      <c r="H554" s="1250"/>
      <c r="I554" s="1251"/>
      <c r="J554" s="1271"/>
      <c r="K554" s="1271"/>
      <c r="L554" s="1254"/>
      <c r="M554" s="1244"/>
      <c r="N554" s="1273"/>
      <c r="O554" s="1244"/>
      <c r="P554" s="1244"/>
      <c r="Q554" s="1244"/>
      <c r="R554" s="1244"/>
      <c r="S554" s="1265"/>
      <c r="T554" s="1244"/>
      <c r="U554" s="1244"/>
    </row>
    <row r="555">
      <c r="A555" s="1235"/>
      <c r="B555" s="1235"/>
      <c r="C555" s="1246"/>
      <c r="D555" s="1274"/>
      <c r="E555" s="1248"/>
      <c r="F555" s="1248"/>
      <c r="G555" s="1271"/>
      <c r="H555" s="1250"/>
      <c r="I555" s="1251"/>
      <c r="J555" s="1271"/>
      <c r="K555" s="1271"/>
      <c r="L555" s="1254"/>
      <c r="M555" s="1244"/>
      <c r="N555" s="1273"/>
      <c r="O555" s="1244"/>
      <c r="P555" s="1244"/>
      <c r="Q555" s="1244"/>
      <c r="R555" s="1244"/>
      <c r="S555" s="1265"/>
      <c r="T555" s="1244"/>
      <c r="U555" s="1244"/>
    </row>
    <row r="556">
      <c r="A556" s="1235"/>
      <c r="B556" s="1235"/>
      <c r="C556" s="1246"/>
      <c r="D556" s="1274"/>
      <c r="E556" s="1248"/>
      <c r="F556" s="1248"/>
      <c r="G556" s="1271"/>
      <c r="H556" s="1250"/>
      <c r="I556" s="1251"/>
      <c r="J556" s="1271"/>
      <c r="K556" s="1271"/>
      <c r="L556" s="1254"/>
      <c r="M556" s="1244"/>
      <c r="N556" s="1273"/>
      <c r="O556" s="1244"/>
      <c r="P556" s="1244"/>
      <c r="Q556" s="1244"/>
      <c r="R556" s="1244"/>
      <c r="S556" s="1265"/>
      <c r="T556" s="1244"/>
      <c r="U556" s="1244"/>
    </row>
    <row r="557">
      <c r="A557" s="1235"/>
      <c r="B557" s="1235"/>
      <c r="C557" s="1246"/>
      <c r="D557" s="1274"/>
      <c r="E557" s="1248"/>
      <c r="F557" s="1248"/>
      <c r="G557" s="1271"/>
      <c r="H557" s="1250"/>
      <c r="I557" s="1251"/>
      <c r="J557" s="1271"/>
      <c r="K557" s="1271"/>
      <c r="L557" s="1254"/>
      <c r="M557" s="1244"/>
      <c r="N557" s="1273"/>
      <c r="O557" s="1244"/>
      <c r="P557" s="1244"/>
      <c r="Q557" s="1244"/>
      <c r="R557" s="1244"/>
      <c r="S557" s="1265"/>
      <c r="T557" s="1244"/>
      <c r="U557" s="1244"/>
    </row>
    <row r="558">
      <c r="A558" s="1235"/>
      <c r="B558" s="1235"/>
      <c r="C558" s="1246"/>
      <c r="D558" s="1274"/>
      <c r="E558" s="1248"/>
      <c r="F558" s="1248"/>
      <c r="G558" s="1271"/>
      <c r="H558" s="1250"/>
      <c r="I558" s="1251"/>
      <c r="J558" s="1271"/>
      <c r="K558" s="1271"/>
      <c r="L558" s="1254"/>
      <c r="M558" s="1244"/>
      <c r="N558" s="1273"/>
      <c r="O558" s="1244"/>
      <c r="P558" s="1244"/>
      <c r="Q558" s="1244"/>
      <c r="R558" s="1244"/>
      <c r="S558" s="1265"/>
      <c r="T558" s="1244"/>
      <c r="U558" s="1244"/>
    </row>
    <row r="559">
      <c r="A559" s="1235"/>
      <c r="B559" s="1235"/>
      <c r="C559" s="1246"/>
      <c r="D559" s="1274"/>
      <c r="E559" s="1248"/>
      <c r="F559" s="1248"/>
      <c r="G559" s="1271"/>
      <c r="H559" s="1250"/>
      <c r="I559" s="1251"/>
      <c r="J559" s="1271"/>
      <c r="K559" s="1271"/>
      <c r="L559" s="1254"/>
      <c r="M559" s="1244"/>
      <c r="N559" s="1273"/>
      <c r="O559" s="1244"/>
      <c r="P559" s="1244"/>
      <c r="Q559" s="1244"/>
      <c r="R559" s="1244"/>
      <c r="S559" s="1265"/>
      <c r="T559" s="1244"/>
      <c r="U559" s="1244"/>
    </row>
    <row r="560">
      <c r="A560" s="1235"/>
      <c r="B560" s="1235"/>
      <c r="C560" s="1246"/>
      <c r="D560" s="1274"/>
      <c r="E560" s="1248"/>
      <c r="F560" s="1248"/>
      <c r="G560" s="1271"/>
      <c r="H560" s="1250"/>
      <c r="I560" s="1251"/>
      <c r="J560" s="1271"/>
      <c r="K560" s="1271"/>
      <c r="L560" s="1254"/>
      <c r="M560" s="1244"/>
      <c r="N560" s="1273"/>
      <c r="O560" s="1244"/>
      <c r="P560" s="1244"/>
      <c r="Q560" s="1244"/>
      <c r="R560" s="1244"/>
      <c r="S560" s="1265"/>
      <c r="T560" s="1244"/>
      <c r="U560" s="1244"/>
    </row>
    <row r="561">
      <c r="A561" s="1235"/>
      <c r="B561" s="1235"/>
      <c r="C561" s="1246"/>
      <c r="D561" s="1274"/>
      <c r="E561" s="1248"/>
      <c r="F561" s="1248"/>
      <c r="G561" s="1271"/>
      <c r="H561" s="1250"/>
      <c r="I561" s="1251"/>
      <c r="J561" s="1271"/>
      <c r="K561" s="1271"/>
      <c r="L561" s="1254"/>
      <c r="M561" s="1244"/>
      <c r="N561" s="1273"/>
      <c r="O561" s="1244"/>
      <c r="P561" s="1244"/>
      <c r="Q561" s="1244"/>
      <c r="R561" s="1244"/>
      <c r="S561" s="1265"/>
      <c r="T561" s="1244"/>
      <c r="U561" s="1244"/>
    </row>
    <row r="562">
      <c r="A562" s="1235"/>
      <c r="B562" s="1235"/>
      <c r="C562" s="1246"/>
      <c r="D562" s="1274"/>
      <c r="E562" s="1248"/>
      <c r="F562" s="1248"/>
      <c r="G562" s="1271"/>
      <c r="H562" s="1250"/>
      <c r="I562" s="1251"/>
      <c r="J562" s="1271"/>
      <c r="K562" s="1271"/>
      <c r="L562" s="1254"/>
      <c r="M562" s="1244"/>
      <c r="N562" s="1273"/>
      <c r="O562" s="1244"/>
      <c r="P562" s="1244"/>
      <c r="Q562" s="1244"/>
      <c r="R562" s="1244"/>
      <c r="S562" s="1265"/>
      <c r="T562" s="1244"/>
      <c r="U562" s="1244"/>
    </row>
    <row r="563">
      <c r="A563" s="1235"/>
      <c r="B563" s="1235"/>
      <c r="C563" s="1246"/>
      <c r="D563" s="1274"/>
      <c r="E563" s="1248"/>
      <c r="F563" s="1248"/>
      <c r="G563" s="1271"/>
      <c r="H563" s="1250"/>
      <c r="I563" s="1251"/>
      <c r="J563" s="1271"/>
      <c r="K563" s="1271"/>
      <c r="L563" s="1254"/>
      <c r="M563" s="1244"/>
      <c r="N563" s="1273"/>
      <c r="O563" s="1244"/>
      <c r="P563" s="1244"/>
      <c r="Q563" s="1244"/>
      <c r="R563" s="1244"/>
      <c r="S563" s="1265"/>
      <c r="T563" s="1244"/>
      <c r="U563" s="1244"/>
    </row>
    <row r="564">
      <c r="A564" s="1235"/>
      <c r="B564" s="1235"/>
      <c r="C564" s="1246"/>
      <c r="D564" s="1274"/>
      <c r="E564" s="1248"/>
      <c r="F564" s="1248"/>
      <c r="G564" s="1271"/>
      <c r="H564" s="1250"/>
      <c r="I564" s="1251"/>
      <c r="J564" s="1271"/>
      <c r="K564" s="1271"/>
      <c r="L564" s="1254"/>
      <c r="M564" s="1244"/>
      <c r="N564" s="1273"/>
      <c r="O564" s="1244"/>
      <c r="P564" s="1244"/>
      <c r="Q564" s="1244"/>
      <c r="R564" s="1244"/>
      <c r="S564" s="1265"/>
      <c r="T564" s="1244"/>
      <c r="U564" s="1244"/>
    </row>
    <row r="565">
      <c r="A565" s="1235"/>
      <c r="B565" s="1235"/>
      <c r="C565" s="1246"/>
      <c r="D565" s="1274"/>
      <c r="E565" s="1248"/>
      <c r="F565" s="1248"/>
      <c r="G565" s="1271"/>
      <c r="H565" s="1250"/>
      <c r="I565" s="1251"/>
      <c r="J565" s="1271"/>
      <c r="K565" s="1271"/>
      <c r="L565" s="1254"/>
      <c r="M565" s="1244"/>
      <c r="N565" s="1273"/>
      <c r="O565" s="1244"/>
      <c r="P565" s="1244"/>
      <c r="Q565" s="1244"/>
      <c r="R565" s="1244"/>
      <c r="S565" s="1265"/>
      <c r="T565" s="1244"/>
      <c r="U565" s="1244"/>
    </row>
    <row r="566">
      <c r="A566" s="1235"/>
      <c r="B566" s="1235"/>
      <c r="C566" s="1246"/>
      <c r="D566" s="1274"/>
      <c r="E566" s="1248"/>
      <c r="F566" s="1248"/>
      <c r="G566" s="1271"/>
      <c r="H566" s="1250"/>
      <c r="I566" s="1251"/>
      <c r="J566" s="1271"/>
      <c r="K566" s="1271"/>
      <c r="L566" s="1254"/>
      <c r="M566" s="1244"/>
      <c r="N566" s="1273"/>
      <c r="O566" s="1244"/>
      <c r="P566" s="1244"/>
      <c r="Q566" s="1244"/>
      <c r="R566" s="1244"/>
      <c r="S566" s="1265"/>
      <c r="T566" s="1244"/>
      <c r="U566" s="1244"/>
    </row>
    <row r="567">
      <c r="A567" s="1235"/>
      <c r="B567" s="1235"/>
      <c r="C567" s="1246"/>
      <c r="D567" s="1274"/>
      <c r="E567" s="1248"/>
      <c r="F567" s="1248"/>
      <c r="G567" s="1271"/>
      <c r="H567" s="1250"/>
      <c r="I567" s="1251"/>
      <c r="J567" s="1271"/>
      <c r="K567" s="1271"/>
      <c r="L567" s="1254"/>
      <c r="M567" s="1244"/>
      <c r="N567" s="1273"/>
      <c r="O567" s="1244"/>
      <c r="P567" s="1244"/>
      <c r="Q567" s="1244"/>
      <c r="R567" s="1244"/>
      <c r="S567" s="1265"/>
      <c r="T567" s="1244"/>
      <c r="U567" s="1244"/>
    </row>
    <row r="568">
      <c r="A568" s="1235"/>
      <c r="B568" s="1235"/>
      <c r="C568" s="1246"/>
      <c r="D568" s="1274"/>
      <c r="E568" s="1248"/>
      <c r="F568" s="1248"/>
      <c r="G568" s="1271"/>
      <c r="H568" s="1250"/>
      <c r="I568" s="1251"/>
      <c r="J568" s="1271"/>
      <c r="K568" s="1271"/>
      <c r="L568" s="1254"/>
      <c r="M568" s="1244"/>
      <c r="N568" s="1273"/>
      <c r="O568" s="1244"/>
      <c r="P568" s="1244"/>
      <c r="Q568" s="1244"/>
      <c r="R568" s="1244"/>
      <c r="S568" s="1265"/>
      <c r="T568" s="1244"/>
      <c r="U568" s="1244"/>
    </row>
    <row r="569">
      <c r="A569" s="1235"/>
      <c r="B569" s="1235"/>
      <c r="C569" s="1246"/>
      <c r="D569" s="1274"/>
      <c r="E569" s="1248"/>
      <c r="F569" s="1248"/>
      <c r="G569" s="1271"/>
      <c r="H569" s="1250"/>
      <c r="I569" s="1251"/>
      <c r="J569" s="1271"/>
      <c r="K569" s="1271"/>
      <c r="L569" s="1254"/>
      <c r="M569" s="1244"/>
      <c r="N569" s="1273"/>
      <c r="O569" s="1244"/>
      <c r="P569" s="1244"/>
      <c r="Q569" s="1244"/>
      <c r="R569" s="1244"/>
      <c r="S569" s="1265"/>
      <c r="T569" s="1244"/>
      <c r="U569" s="1244"/>
    </row>
    <row r="570">
      <c r="A570" s="1235"/>
      <c r="B570" s="1235"/>
      <c r="C570" s="1246"/>
      <c r="D570" s="1274"/>
      <c r="E570" s="1248"/>
      <c r="F570" s="1248"/>
      <c r="G570" s="1271"/>
      <c r="H570" s="1250"/>
      <c r="I570" s="1251"/>
      <c r="J570" s="1271"/>
      <c r="K570" s="1271"/>
      <c r="L570" s="1254"/>
      <c r="M570" s="1244"/>
      <c r="N570" s="1273"/>
      <c r="O570" s="1244"/>
      <c r="P570" s="1244"/>
      <c r="Q570" s="1244"/>
      <c r="R570" s="1244"/>
      <c r="S570" s="1265"/>
      <c r="T570" s="1244"/>
      <c r="U570" s="1244"/>
    </row>
    <row r="571">
      <c r="A571" s="1235"/>
      <c r="B571" s="1235"/>
      <c r="C571" s="1246"/>
      <c r="D571" s="1274"/>
      <c r="E571" s="1248"/>
      <c r="F571" s="1248"/>
      <c r="G571" s="1271"/>
      <c r="H571" s="1250"/>
      <c r="I571" s="1251"/>
      <c r="J571" s="1271"/>
      <c r="K571" s="1271"/>
      <c r="L571" s="1254"/>
      <c r="M571" s="1244"/>
      <c r="N571" s="1273"/>
      <c r="O571" s="1244"/>
      <c r="P571" s="1244"/>
      <c r="Q571" s="1244"/>
      <c r="R571" s="1244"/>
      <c r="S571" s="1265"/>
      <c r="T571" s="1244"/>
      <c r="U571" s="1244"/>
    </row>
    <row r="572">
      <c r="A572" s="1235"/>
      <c r="B572" s="1235"/>
      <c r="C572" s="1246"/>
      <c r="D572" s="1274"/>
      <c r="E572" s="1248"/>
      <c r="F572" s="1248"/>
      <c r="G572" s="1271"/>
      <c r="H572" s="1250"/>
      <c r="I572" s="1251"/>
      <c r="J572" s="1271"/>
      <c r="K572" s="1271"/>
      <c r="L572" s="1254"/>
      <c r="M572" s="1244"/>
      <c r="N572" s="1273"/>
      <c r="O572" s="1244"/>
      <c r="P572" s="1244"/>
      <c r="Q572" s="1244"/>
      <c r="R572" s="1244"/>
      <c r="S572" s="1265"/>
      <c r="T572" s="1244"/>
      <c r="U572" s="1244"/>
    </row>
    <row r="573">
      <c r="A573" s="1235"/>
      <c r="B573" s="1235"/>
      <c r="C573" s="1246"/>
      <c r="D573" s="1274"/>
      <c r="E573" s="1248"/>
      <c r="F573" s="1248"/>
      <c r="G573" s="1271"/>
      <c r="H573" s="1250"/>
      <c r="I573" s="1251"/>
      <c r="J573" s="1271"/>
      <c r="K573" s="1271"/>
      <c r="L573" s="1254"/>
      <c r="M573" s="1244"/>
      <c r="N573" s="1273"/>
      <c r="O573" s="1244"/>
      <c r="P573" s="1244"/>
      <c r="Q573" s="1244"/>
      <c r="R573" s="1244"/>
      <c r="S573" s="1265"/>
      <c r="T573" s="1244"/>
      <c r="U573" s="1244"/>
    </row>
    <row r="574">
      <c r="A574" s="1235"/>
      <c r="B574" s="1235"/>
      <c r="C574" s="1246"/>
      <c r="D574" s="1274"/>
      <c r="E574" s="1248"/>
      <c r="F574" s="1248"/>
      <c r="G574" s="1271"/>
      <c r="H574" s="1250"/>
      <c r="I574" s="1251"/>
      <c r="J574" s="1271"/>
      <c r="K574" s="1271"/>
      <c r="L574" s="1254"/>
      <c r="M574" s="1244"/>
      <c r="N574" s="1273"/>
      <c r="O574" s="1244"/>
      <c r="P574" s="1244"/>
      <c r="Q574" s="1244"/>
      <c r="R574" s="1244"/>
      <c r="S574" s="1265"/>
      <c r="T574" s="1244"/>
      <c r="U574" s="1244"/>
    </row>
    <row r="575">
      <c r="A575" s="1235"/>
      <c r="B575" s="1235"/>
      <c r="C575" s="1246"/>
      <c r="D575" s="1274"/>
      <c r="E575" s="1248"/>
      <c r="F575" s="1248"/>
      <c r="G575" s="1271"/>
      <c r="H575" s="1250"/>
      <c r="I575" s="1251"/>
      <c r="J575" s="1271"/>
      <c r="K575" s="1271"/>
      <c r="L575" s="1254"/>
      <c r="M575" s="1244"/>
      <c r="N575" s="1273"/>
      <c r="O575" s="1244"/>
      <c r="P575" s="1244"/>
      <c r="Q575" s="1244"/>
      <c r="R575" s="1244"/>
      <c r="S575" s="1265"/>
      <c r="T575" s="1244"/>
      <c r="U575" s="1244"/>
    </row>
    <row r="576">
      <c r="A576" s="1235"/>
      <c r="B576" s="1235"/>
      <c r="C576" s="1246"/>
      <c r="D576" s="1274"/>
      <c r="E576" s="1248"/>
      <c r="F576" s="1248"/>
      <c r="G576" s="1271"/>
      <c r="H576" s="1250"/>
      <c r="I576" s="1251"/>
      <c r="J576" s="1271"/>
      <c r="K576" s="1271"/>
      <c r="L576" s="1254"/>
      <c r="M576" s="1244"/>
      <c r="N576" s="1273"/>
      <c r="O576" s="1244"/>
      <c r="P576" s="1244"/>
      <c r="Q576" s="1244"/>
      <c r="R576" s="1244"/>
      <c r="S576" s="1265"/>
      <c r="T576" s="1244"/>
      <c r="U576" s="1244"/>
    </row>
    <row r="577">
      <c r="A577" s="1235"/>
      <c r="B577" s="1235"/>
      <c r="C577" s="1246"/>
      <c r="D577" s="1274"/>
      <c r="E577" s="1248"/>
      <c r="F577" s="1248"/>
      <c r="G577" s="1271"/>
      <c r="H577" s="1250"/>
      <c r="I577" s="1251"/>
      <c r="J577" s="1271"/>
      <c r="K577" s="1271"/>
      <c r="L577" s="1254"/>
      <c r="M577" s="1244"/>
      <c r="N577" s="1273"/>
      <c r="O577" s="1244"/>
      <c r="P577" s="1244"/>
      <c r="Q577" s="1244"/>
      <c r="R577" s="1244"/>
      <c r="S577" s="1265"/>
      <c r="T577" s="1244"/>
      <c r="U577" s="1244"/>
    </row>
    <row r="578">
      <c r="A578" s="1235"/>
      <c r="B578" s="1235"/>
      <c r="C578" s="1246"/>
      <c r="D578" s="1274"/>
      <c r="E578" s="1248"/>
      <c r="F578" s="1248"/>
      <c r="G578" s="1271"/>
      <c r="H578" s="1250"/>
      <c r="I578" s="1251"/>
      <c r="J578" s="1271"/>
      <c r="K578" s="1271"/>
      <c r="L578" s="1254"/>
      <c r="M578" s="1244"/>
      <c r="N578" s="1273"/>
      <c r="O578" s="1244"/>
      <c r="P578" s="1244"/>
      <c r="Q578" s="1244"/>
      <c r="R578" s="1244"/>
      <c r="S578" s="1265"/>
      <c r="T578" s="1244"/>
      <c r="U578" s="1244"/>
    </row>
    <row r="579">
      <c r="A579" s="1235"/>
      <c r="B579" s="1235"/>
      <c r="C579" s="1246"/>
      <c r="D579" s="1274"/>
      <c r="E579" s="1248"/>
      <c r="F579" s="1248"/>
      <c r="G579" s="1271"/>
      <c r="H579" s="1250"/>
      <c r="I579" s="1251"/>
      <c r="J579" s="1271"/>
      <c r="K579" s="1271"/>
      <c r="L579" s="1254"/>
      <c r="M579" s="1244"/>
      <c r="N579" s="1273"/>
      <c r="O579" s="1244"/>
      <c r="P579" s="1244"/>
      <c r="Q579" s="1244"/>
      <c r="R579" s="1244"/>
      <c r="S579" s="1265"/>
      <c r="T579" s="1244"/>
      <c r="U579" s="1244"/>
    </row>
    <row r="580">
      <c r="A580" s="1235"/>
      <c r="B580" s="1235"/>
      <c r="C580" s="1246"/>
      <c r="D580" s="1274"/>
      <c r="E580" s="1248"/>
      <c r="F580" s="1248"/>
      <c r="G580" s="1271"/>
      <c r="H580" s="1250"/>
      <c r="I580" s="1251"/>
      <c r="J580" s="1271"/>
      <c r="K580" s="1271"/>
      <c r="L580" s="1254"/>
      <c r="M580" s="1244"/>
      <c r="N580" s="1273"/>
      <c r="O580" s="1244"/>
      <c r="P580" s="1244"/>
      <c r="Q580" s="1244"/>
      <c r="R580" s="1244"/>
      <c r="S580" s="1265"/>
      <c r="T580" s="1244"/>
      <c r="U580" s="1244"/>
    </row>
    <row r="581">
      <c r="A581" s="1235"/>
      <c r="B581" s="1235"/>
      <c r="C581" s="1246"/>
      <c r="D581" s="1274"/>
      <c r="E581" s="1248"/>
      <c r="F581" s="1248"/>
      <c r="G581" s="1271"/>
      <c r="H581" s="1250"/>
      <c r="I581" s="1251"/>
      <c r="J581" s="1271"/>
      <c r="K581" s="1271"/>
      <c r="L581" s="1254"/>
      <c r="M581" s="1244"/>
      <c r="N581" s="1273"/>
      <c r="O581" s="1244"/>
      <c r="P581" s="1244"/>
      <c r="Q581" s="1244"/>
      <c r="R581" s="1244"/>
      <c r="S581" s="1265"/>
      <c r="T581" s="1244"/>
      <c r="U581" s="1244"/>
    </row>
    <row r="582">
      <c r="A582" s="1235"/>
      <c r="B582" s="1235"/>
      <c r="C582" s="1246"/>
      <c r="D582" s="1274"/>
      <c r="E582" s="1248"/>
      <c r="F582" s="1248"/>
      <c r="G582" s="1271"/>
      <c r="H582" s="1250"/>
      <c r="I582" s="1251"/>
      <c r="J582" s="1271"/>
      <c r="K582" s="1271"/>
      <c r="L582" s="1254"/>
      <c r="M582" s="1244"/>
      <c r="N582" s="1273"/>
      <c r="O582" s="1244"/>
      <c r="P582" s="1244"/>
      <c r="Q582" s="1244"/>
      <c r="R582" s="1244"/>
      <c r="S582" s="1265"/>
      <c r="T582" s="1244"/>
      <c r="U582" s="1244"/>
    </row>
    <row r="583">
      <c r="A583" s="1235"/>
      <c r="B583" s="1235"/>
      <c r="C583" s="1246"/>
      <c r="D583" s="1274"/>
      <c r="E583" s="1248"/>
      <c r="F583" s="1248"/>
      <c r="G583" s="1271"/>
      <c r="H583" s="1250"/>
      <c r="I583" s="1251"/>
      <c r="J583" s="1271"/>
      <c r="K583" s="1271"/>
      <c r="L583" s="1254"/>
      <c r="M583" s="1244"/>
      <c r="N583" s="1273"/>
      <c r="O583" s="1244"/>
      <c r="P583" s="1244"/>
      <c r="Q583" s="1244"/>
      <c r="R583" s="1244"/>
      <c r="S583" s="1265"/>
      <c r="T583" s="1244"/>
      <c r="U583" s="1244"/>
    </row>
    <row r="584">
      <c r="A584" s="1235"/>
      <c r="B584" s="1235"/>
      <c r="C584" s="1246"/>
      <c r="D584" s="1274"/>
      <c r="E584" s="1248"/>
      <c r="F584" s="1248"/>
      <c r="G584" s="1271"/>
      <c r="H584" s="1250"/>
      <c r="I584" s="1251"/>
      <c r="J584" s="1271"/>
      <c r="K584" s="1271"/>
      <c r="L584" s="1254"/>
      <c r="M584" s="1244"/>
      <c r="N584" s="1273"/>
      <c r="O584" s="1244"/>
      <c r="P584" s="1244"/>
      <c r="Q584" s="1244"/>
      <c r="R584" s="1244"/>
      <c r="S584" s="1265"/>
      <c r="T584" s="1244"/>
      <c r="U584" s="1244"/>
    </row>
    <row r="585">
      <c r="A585" s="1235"/>
      <c r="B585" s="1235"/>
      <c r="C585" s="1246"/>
      <c r="D585" s="1274"/>
      <c r="E585" s="1248"/>
      <c r="F585" s="1248"/>
      <c r="G585" s="1271"/>
      <c r="H585" s="1250"/>
      <c r="I585" s="1251"/>
      <c r="J585" s="1271"/>
      <c r="K585" s="1271"/>
      <c r="L585" s="1254"/>
      <c r="M585" s="1244"/>
      <c r="N585" s="1273"/>
      <c r="O585" s="1244"/>
      <c r="P585" s="1244"/>
      <c r="Q585" s="1244"/>
      <c r="R585" s="1244"/>
      <c r="S585" s="1265"/>
      <c r="T585" s="1244"/>
      <c r="U585" s="1244"/>
    </row>
    <row r="586">
      <c r="A586" s="1235"/>
      <c r="B586" s="1235"/>
      <c r="C586" s="1246"/>
      <c r="D586" s="1274"/>
      <c r="E586" s="1248"/>
      <c r="F586" s="1248"/>
      <c r="G586" s="1271"/>
      <c r="H586" s="1250"/>
      <c r="I586" s="1251"/>
      <c r="J586" s="1271"/>
      <c r="K586" s="1271"/>
      <c r="L586" s="1254"/>
      <c r="M586" s="1244"/>
      <c r="N586" s="1273"/>
      <c r="O586" s="1244"/>
      <c r="P586" s="1244"/>
      <c r="Q586" s="1244"/>
      <c r="R586" s="1244"/>
      <c r="S586" s="1265"/>
      <c r="T586" s="1244"/>
      <c r="U586" s="1244"/>
    </row>
    <row r="587">
      <c r="A587" s="1235"/>
      <c r="B587" s="1235"/>
      <c r="C587" s="1246"/>
      <c r="D587" s="1274"/>
      <c r="E587" s="1248"/>
      <c r="F587" s="1248"/>
      <c r="G587" s="1271"/>
      <c r="H587" s="1250"/>
      <c r="I587" s="1251"/>
      <c r="J587" s="1271"/>
      <c r="K587" s="1271"/>
      <c r="L587" s="1254"/>
      <c r="M587" s="1244"/>
      <c r="N587" s="1273"/>
      <c r="O587" s="1244"/>
      <c r="P587" s="1244"/>
      <c r="Q587" s="1244"/>
      <c r="R587" s="1244"/>
      <c r="S587" s="1265"/>
      <c r="T587" s="1244"/>
      <c r="U587" s="1244"/>
    </row>
    <row r="588">
      <c r="A588" s="1235"/>
      <c r="B588" s="1235"/>
      <c r="C588" s="1246"/>
      <c r="D588" s="1274"/>
      <c r="E588" s="1248"/>
      <c r="F588" s="1248"/>
      <c r="G588" s="1271"/>
      <c r="H588" s="1250"/>
      <c r="I588" s="1251"/>
      <c r="J588" s="1271"/>
      <c r="K588" s="1271"/>
      <c r="L588" s="1254"/>
      <c r="M588" s="1244"/>
      <c r="N588" s="1273"/>
      <c r="O588" s="1244"/>
      <c r="P588" s="1244"/>
      <c r="Q588" s="1244"/>
      <c r="R588" s="1244"/>
      <c r="S588" s="1265"/>
      <c r="T588" s="1244"/>
      <c r="U588" s="1244"/>
    </row>
    <row r="589">
      <c r="A589" s="1235"/>
      <c r="B589" s="1235"/>
      <c r="C589" s="1246"/>
      <c r="D589" s="1274"/>
      <c r="E589" s="1248"/>
      <c r="F589" s="1248"/>
      <c r="G589" s="1271"/>
      <c r="H589" s="1250"/>
      <c r="I589" s="1251"/>
      <c r="J589" s="1271"/>
      <c r="K589" s="1271"/>
      <c r="L589" s="1254"/>
      <c r="M589" s="1244"/>
      <c r="N589" s="1273"/>
      <c r="O589" s="1244"/>
      <c r="P589" s="1244"/>
      <c r="Q589" s="1244"/>
      <c r="R589" s="1244"/>
      <c r="S589" s="1265"/>
      <c r="T589" s="1244"/>
      <c r="U589" s="1244"/>
    </row>
    <row r="590">
      <c r="A590" s="1235"/>
      <c r="B590" s="1235"/>
      <c r="C590" s="1246"/>
      <c r="D590" s="1274"/>
      <c r="E590" s="1248"/>
      <c r="F590" s="1248"/>
      <c r="G590" s="1271"/>
      <c r="H590" s="1250"/>
      <c r="I590" s="1251"/>
      <c r="J590" s="1271"/>
      <c r="K590" s="1271"/>
      <c r="L590" s="1254"/>
      <c r="M590" s="1244"/>
      <c r="N590" s="1273"/>
      <c r="O590" s="1244"/>
      <c r="P590" s="1244"/>
      <c r="Q590" s="1244"/>
      <c r="R590" s="1244"/>
      <c r="S590" s="1265"/>
      <c r="T590" s="1244"/>
      <c r="U590" s="1244"/>
    </row>
    <row r="591">
      <c r="A591" s="1235"/>
      <c r="B591" s="1235"/>
      <c r="C591" s="1246"/>
      <c r="D591" s="1274"/>
      <c r="E591" s="1248"/>
      <c r="F591" s="1248"/>
      <c r="G591" s="1271"/>
      <c r="H591" s="1250"/>
      <c r="I591" s="1251"/>
      <c r="J591" s="1271"/>
      <c r="K591" s="1271"/>
      <c r="L591" s="1254"/>
      <c r="M591" s="1244"/>
      <c r="N591" s="1273"/>
      <c r="O591" s="1244"/>
      <c r="P591" s="1244"/>
      <c r="Q591" s="1244"/>
      <c r="R591" s="1244"/>
      <c r="S591" s="1265"/>
      <c r="T591" s="1244"/>
      <c r="U591" s="1244"/>
    </row>
    <row r="592">
      <c r="A592" s="1235"/>
      <c r="B592" s="1235"/>
      <c r="C592" s="1246"/>
      <c r="D592" s="1274"/>
      <c r="E592" s="1248"/>
      <c r="F592" s="1248"/>
      <c r="G592" s="1271"/>
      <c r="H592" s="1250"/>
      <c r="I592" s="1251"/>
      <c r="J592" s="1271"/>
      <c r="K592" s="1271"/>
      <c r="L592" s="1254"/>
      <c r="M592" s="1244"/>
      <c r="N592" s="1273"/>
      <c r="O592" s="1244"/>
      <c r="P592" s="1244"/>
      <c r="Q592" s="1244"/>
      <c r="R592" s="1244"/>
      <c r="S592" s="1265"/>
      <c r="T592" s="1244"/>
      <c r="U592" s="1244"/>
    </row>
    <row r="593">
      <c r="A593" s="1235"/>
      <c r="B593" s="1235"/>
      <c r="C593" s="1246"/>
      <c r="D593" s="1274"/>
      <c r="E593" s="1248"/>
      <c r="F593" s="1248"/>
      <c r="G593" s="1271"/>
      <c r="H593" s="1250"/>
      <c r="I593" s="1251"/>
      <c r="J593" s="1271"/>
      <c r="K593" s="1271"/>
      <c r="L593" s="1254"/>
      <c r="M593" s="1244"/>
      <c r="N593" s="1273"/>
      <c r="O593" s="1244"/>
      <c r="P593" s="1244"/>
      <c r="Q593" s="1244"/>
      <c r="R593" s="1244"/>
      <c r="S593" s="1265"/>
      <c r="T593" s="1244"/>
      <c r="U593" s="1244"/>
    </row>
    <row r="594">
      <c r="A594" s="1235"/>
      <c r="B594" s="1235"/>
      <c r="C594" s="1246"/>
      <c r="D594" s="1274"/>
      <c r="E594" s="1248"/>
      <c r="F594" s="1248"/>
      <c r="G594" s="1271"/>
      <c r="H594" s="1250"/>
      <c r="I594" s="1251"/>
      <c r="J594" s="1271"/>
      <c r="K594" s="1271"/>
      <c r="L594" s="1254"/>
      <c r="M594" s="1244"/>
      <c r="N594" s="1273"/>
      <c r="O594" s="1244"/>
      <c r="P594" s="1244"/>
      <c r="Q594" s="1244"/>
      <c r="R594" s="1244"/>
      <c r="S594" s="1265"/>
      <c r="T594" s="1244"/>
      <c r="U594" s="1244"/>
    </row>
    <row r="595">
      <c r="A595" s="1235"/>
      <c r="B595" s="1235"/>
      <c r="C595" s="1246"/>
      <c r="D595" s="1274"/>
      <c r="E595" s="1248"/>
      <c r="F595" s="1248"/>
      <c r="G595" s="1271"/>
      <c r="H595" s="1250"/>
      <c r="I595" s="1251"/>
      <c r="J595" s="1271"/>
      <c r="K595" s="1271"/>
      <c r="L595" s="1254"/>
      <c r="M595" s="1244"/>
      <c r="N595" s="1273"/>
      <c r="O595" s="1244"/>
      <c r="P595" s="1244"/>
      <c r="Q595" s="1244"/>
      <c r="R595" s="1244"/>
      <c r="S595" s="1265"/>
      <c r="T595" s="1244"/>
      <c r="U595" s="1244"/>
    </row>
    <row r="596">
      <c r="A596" s="1235"/>
      <c r="B596" s="1235"/>
      <c r="C596" s="1246"/>
      <c r="D596" s="1274"/>
      <c r="E596" s="1248"/>
      <c r="F596" s="1248"/>
      <c r="G596" s="1271"/>
      <c r="H596" s="1250"/>
      <c r="I596" s="1251"/>
      <c r="J596" s="1271"/>
      <c r="K596" s="1271"/>
      <c r="L596" s="1254"/>
      <c r="M596" s="1244"/>
      <c r="N596" s="1273"/>
      <c r="O596" s="1244"/>
      <c r="P596" s="1244"/>
      <c r="Q596" s="1244"/>
      <c r="R596" s="1244"/>
      <c r="S596" s="1265"/>
      <c r="T596" s="1244"/>
      <c r="U596" s="1244"/>
    </row>
    <row r="597">
      <c r="A597" s="1235"/>
      <c r="B597" s="1235"/>
      <c r="C597" s="1246"/>
      <c r="D597" s="1274"/>
      <c r="E597" s="1248"/>
      <c r="F597" s="1248"/>
      <c r="G597" s="1271"/>
      <c r="H597" s="1250"/>
      <c r="I597" s="1251"/>
      <c r="J597" s="1271"/>
      <c r="K597" s="1271"/>
      <c r="L597" s="1254"/>
      <c r="M597" s="1244"/>
      <c r="N597" s="1273"/>
      <c r="O597" s="1244"/>
      <c r="P597" s="1244"/>
      <c r="Q597" s="1244"/>
      <c r="R597" s="1244"/>
      <c r="S597" s="1265"/>
      <c r="T597" s="1244"/>
      <c r="U597" s="1244"/>
    </row>
    <row r="598">
      <c r="A598" s="1235"/>
      <c r="B598" s="1235"/>
      <c r="C598" s="1246"/>
      <c r="D598" s="1274"/>
      <c r="E598" s="1248"/>
      <c r="F598" s="1248"/>
      <c r="G598" s="1271"/>
      <c r="H598" s="1250"/>
      <c r="I598" s="1251"/>
      <c r="J598" s="1271"/>
      <c r="K598" s="1271"/>
      <c r="L598" s="1254"/>
      <c r="M598" s="1244"/>
      <c r="N598" s="1273"/>
      <c r="O598" s="1244"/>
      <c r="P598" s="1244"/>
      <c r="Q598" s="1244"/>
      <c r="R598" s="1244"/>
      <c r="S598" s="1265"/>
      <c r="T598" s="1244"/>
      <c r="U598" s="1244"/>
    </row>
    <row r="599">
      <c r="A599" s="1235"/>
      <c r="B599" s="1235"/>
      <c r="C599" s="1246"/>
      <c r="D599" s="1274"/>
      <c r="E599" s="1248"/>
      <c r="F599" s="1248"/>
      <c r="G599" s="1271"/>
      <c r="H599" s="1250"/>
      <c r="I599" s="1251"/>
      <c r="J599" s="1271"/>
      <c r="K599" s="1271"/>
      <c r="L599" s="1254"/>
      <c r="M599" s="1244"/>
      <c r="N599" s="1273"/>
      <c r="O599" s="1244"/>
      <c r="P599" s="1244"/>
      <c r="Q599" s="1244"/>
      <c r="R599" s="1244"/>
      <c r="S599" s="1265"/>
      <c r="T599" s="1244"/>
      <c r="U599" s="1244"/>
    </row>
    <row r="600">
      <c r="A600" s="1235"/>
      <c r="B600" s="1235"/>
      <c r="C600" s="1246"/>
      <c r="D600" s="1274"/>
      <c r="E600" s="1248"/>
      <c r="F600" s="1248"/>
      <c r="G600" s="1271"/>
      <c r="H600" s="1250"/>
      <c r="I600" s="1251"/>
      <c r="J600" s="1271"/>
      <c r="K600" s="1271"/>
      <c r="L600" s="1254"/>
      <c r="M600" s="1244"/>
      <c r="N600" s="1273"/>
      <c r="O600" s="1244"/>
      <c r="P600" s="1244"/>
      <c r="Q600" s="1244"/>
      <c r="R600" s="1244"/>
      <c r="S600" s="1265"/>
      <c r="T600" s="1244"/>
      <c r="U600" s="1244"/>
    </row>
    <row r="601">
      <c r="A601" s="1235"/>
      <c r="B601" s="1235"/>
      <c r="C601" s="1246"/>
      <c r="D601" s="1274"/>
      <c r="E601" s="1248"/>
      <c r="F601" s="1248"/>
      <c r="G601" s="1271"/>
      <c r="H601" s="1250"/>
      <c r="I601" s="1251"/>
      <c r="J601" s="1271"/>
      <c r="K601" s="1271"/>
      <c r="L601" s="1254"/>
      <c r="M601" s="1244"/>
      <c r="N601" s="1273"/>
      <c r="O601" s="1244"/>
      <c r="P601" s="1244"/>
      <c r="Q601" s="1244"/>
      <c r="R601" s="1244"/>
      <c r="S601" s="1265"/>
      <c r="T601" s="1244"/>
      <c r="U601" s="1244"/>
    </row>
    <row r="602">
      <c r="A602" s="1235"/>
      <c r="B602" s="1235"/>
      <c r="C602" s="1246"/>
      <c r="D602" s="1274"/>
      <c r="E602" s="1248"/>
      <c r="F602" s="1248"/>
      <c r="G602" s="1271"/>
      <c r="H602" s="1250"/>
      <c r="I602" s="1251"/>
      <c r="J602" s="1271"/>
      <c r="K602" s="1271"/>
      <c r="L602" s="1254"/>
      <c r="M602" s="1244"/>
      <c r="N602" s="1273"/>
      <c r="O602" s="1244"/>
      <c r="P602" s="1244"/>
      <c r="Q602" s="1244"/>
      <c r="R602" s="1244"/>
      <c r="S602" s="1265"/>
      <c r="T602" s="1244"/>
      <c r="U602" s="1244"/>
    </row>
    <row r="603">
      <c r="A603" s="1235"/>
      <c r="B603" s="1235"/>
      <c r="C603" s="1246"/>
      <c r="D603" s="1274"/>
      <c r="E603" s="1248"/>
      <c r="F603" s="1248"/>
      <c r="G603" s="1271"/>
      <c r="H603" s="1250"/>
      <c r="I603" s="1251"/>
      <c r="J603" s="1271"/>
      <c r="K603" s="1271"/>
      <c r="L603" s="1254"/>
      <c r="M603" s="1244"/>
      <c r="N603" s="1273"/>
      <c r="O603" s="1244"/>
      <c r="P603" s="1244"/>
      <c r="Q603" s="1244"/>
      <c r="R603" s="1244"/>
      <c r="S603" s="1265"/>
      <c r="T603" s="1244"/>
      <c r="U603" s="1244"/>
    </row>
    <row r="604">
      <c r="A604" s="1235"/>
      <c r="B604" s="1235"/>
      <c r="C604" s="1246"/>
      <c r="D604" s="1274"/>
      <c r="E604" s="1248"/>
      <c r="F604" s="1248"/>
      <c r="G604" s="1271"/>
      <c r="H604" s="1250"/>
      <c r="I604" s="1251"/>
      <c r="J604" s="1271"/>
      <c r="K604" s="1271"/>
      <c r="L604" s="1254"/>
      <c r="M604" s="1244"/>
      <c r="N604" s="1273"/>
      <c r="O604" s="1244"/>
      <c r="P604" s="1244"/>
      <c r="Q604" s="1244"/>
      <c r="R604" s="1244"/>
      <c r="S604" s="1265"/>
      <c r="T604" s="1244"/>
      <c r="U604" s="1244"/>
    </row>
    <row r="605">
      <c r="A605" s="1235"/>
      <c r="B605" s="1235"/>
      <c r="C605" s="1246"/>
      <c r="D605" s="1274"/>
      <c r="E605" s="1248"/>
      <c r="F605" s="1248"/>
      <c r="G605" s="1271"/>
      <c r="H605" s="1250"/>
      <c r="I605" s="1251"/>
      <c r="J605" s="1271"/>
      <c r="K605" s="1271"/>
      <c r="L605" s="1254"/>
      <c r="M605" s="1244"/>
      <c r="N605" s="1273"/>
      <c r="O605" s="1244"/>
      <c r="P605" s="1244"/>
      <c r="Q605" s="1244"/>
      <c r="R605" s="1244"/>
      <c r="S605" s="1265"/>
      <c r="T605" s="1244"/>
      <c r="U605" s="1244"/>
    </row>
    <row r="606">
      <c r="A606" s="1235"/>
      <c r="B606" s="1235"/>
      <c r="C606" s="1246"/>
      <c r="D606" s="1274"/>
      <c r="E606" s="1248"/>
      <c r="F606" s="1248"/>
      <c r="G606" s="1271"/>
      <c r="H606" s="1250"/>
      <c r="I606" s="1251"/>
      <c r="J606" s="1271"/>
      <c r="K606" s="1271"/>
      <c r="L606" s="1254"/>
      <c r="M606" s="1244"/>
      <c r="N606" s="1273"/>
      <c r="O606" s="1244"/>
      <c r="P606" s="1244"/>
      <c r="Q606" s="1244"/>
      <c r="R606" s="1244"/>
      <c r="S606" s="1265"/>
      <c r="T606" s="1244"/>
      <c r="U606" s="1244"/>
    </row>
    <row r="607">
      <c r="A607" s="1235"/>
      <c r="B607" s="1235"/>
      <c r="C607" s="1246"/>
      <c r="D607" s="1274"/>
      <c r="E607" s="1248"/>
      <c r="F607" s="1248"/>
      <c r="G607" s="1271"/>
      <c r="H607" s="1250"/>
      <c r="I607" s="1251"/>
      <c r="J607" s="1271"/>
      <c r="K607" s="1271"/>
      <c r="L607" s="1254"/>
      <c r="M607" s="1244"/>
      <c r="N607" s="1273"/>
      <c r="O607" s="1244"/>
      <c r="P607" s="1244"/>
      <c r="Q607" s="1244"/>
      <c r="R607" s="1244"/>
      <c r="S607" s="1265"/>
      <c r="T607" s="1244"/>
      <c r="U607" s="1244"/>
    </row>
    <row r="608">
      <c r="A608" s="1235"/>
      <c r="B608" s="1235"/>
      <c r="C608" s="1246"/>
      <c r="D608" s="1274"/>
      <c r="E608" s="1248"/>
      <c r="F608" s="1248"/>
      <c r="G608" s="1271"/>
      <c r="H608" s="1250"/>
      <c r="I608" s="1251"/>
      <c r="J608" s="1271"/>
      <c r="K608" s="1271"/>
      <c r="L608" s="1254"/>
      <c r="M608" s="1244"/>
      <c r="N608" s="1273"/>
      <c r="O608" s="1244"/>
      <c r="P608" s="1244"/>
      <c r="Q608" s="1244"/>
      <c r="R608" s="1244"/>
      <c r="S608" s="1265"/>
      <c r="T608" s="1244"/>
      <c r="U608" s="1244"/>
    </row>
    <row r="609">
      <c r="A609" s="1235"/>
      <c r="B609" s="1235"/>
      <c r="C609" s="1246"/>
      <c r="D609" s="1274"/>
      <c r="E609" s="1248"/>
      <c r="F609" s="1248"/>
      <c r="G609" s="1271"/>
      <c r="H609" s="1250"/>
      <c r="I609" s="1251"/>
      <c r="J609" s="1271"/>
      <c r="K609" s="1271"/>
      <c r="L609" s="1254"/>
      <c r="M609" s="1244"/>
      <c r="N609" s="1273"/>
      <c r="O609" s="1244"/>
      <c r="P609" s="1244"/>
      <c r="Q609" s="1244"/>
      <c r="R609" s="1244"/>
      <c r="S609" s="1265"/>
      <c r="T609" s="1244"/>
      <c r="U609" s="1244"/>
    </row>
    <row r="610">
      <c r="A610" s="1235"/>
      <c r="B610" s="1235"/>
      <c r="C610" s="1246"/>
      <c r="D610" s="1274"/>
      <c r="E610" s="1248"/>
      <c r="F610" s="1248"/>
      <c r="G610" s="1271"/>
      <c r="H610" s="1250"/>
      <c r="I610" s="1251"/>
      <c r="J610" s="1271"/>
      <c r="K610" s="1271"/>
      <c r="L610" s="1254"/>
      <c r="M610" s="1244"/>
      <c r="N610" s="1273"/>
      <c r="O610" s="1244"/>
      <c r="P610" s="1244"/>
      <c r="Q610" s="1244"/>
      <c r="R610" s="1244"/>
      <c r="S610" s="1265"/>
      <c r="T610" s="1244"/>
      <c r="U610" s="1244"/>
    </row>
    <row r="611">
      <c r="A611" s="1235"/>
      <c r="B611" s="1235"/>
      <c r="C611" s="1246"/>
      <c r="D611" s="1274"/>
      <c r="E611" s="1248"/>
      <c r="F611" s="1248"/>
      <c r="G611" s="1271"/>
      <c r="H611" s="1250"/>
      <c r="I611" s="1251"/>
      <c r="J611" s="1271"/>
      <c r="K611" s="1271"/>
      <c r="L611" s="1254"/>
      <c r="M611" s="1244"/>
      <c r="N611" s="1273"/>
      <c r="O611" s="1244"/>
      <c r="P611" s="1244"/>
      <c r="Q611" s="1244"/>
      <c r="R611" s="1244"/>
      <c r="S611" s="1265"/>
      <c r="T611" s="1244"/>
      <c r="U611" s="1244"/>
    </row>
    <row r="612">
      <c r="A612" s="1235"/>
      <c r="B612" s="1235"/>
      <c r="C612" s="1246"/>
      <c r="D612" s="1274"/>
      <c r="E612" s="1248"/>
      <c r="F612" s="1248"/>
      <c r="G612" s="1271"/>
      <c r="H612" s="1250"/>
      <c r="I612" s="1251"/>
      <c r="J612" s="1271"/>
      <c r="K612" s="1271"/>
      <c r="L612" s="1254"/>
      <c r="M612" s="1244"/>
      <c r="N612" s="1273"/>
      <c r="O612" s="1244"/>
      <c r="P612" s="1244"/>
      <c r="Q612" s="1244"/>
      <c r="R612" s="1244"/>
      <c r="S612" s="1265"/>
      <c r="T612" s="1244"/>
      <c r="U612" s="1244"/>
    </row>
    <row r="613">
      <c r="A613" s="1235"/>
      <c r="B613" s="1235"/>
      <c r="C613" s="1246"/>
      <c r="D613" s="1274"/>
      <c r="E613" s="1248"/>
      <c r="F613" s="1248"/>
      <c r="G613" s="1271"/>
      <c r="H613" s="1250"/>
      <c r="I613" s="1251"/>
      <c r="J613" s="1271"/>
      <c r="K613" s="1271"/>
      <c r="L613" s="1254"/>
      <c r="M613" s="1244"/>
      <c r="N613" s="1273"/>
      <c r="O613" s="1244"/>
      <c r="P613" s="1244"/>
      <c r="Q613" s="1244"/>
      <c r="R613" s="1244"/>
      <c r="S613" s="1265"/>
      <c r="T613" s="1244"/>
      <c r="U613" s="1244"/>
    </row>
    <row r="614">
      <c r="A614" s="1235"/>
      <c r="B614" s="1235"/>
      <c r="C614" s="1246"/>
      <c r="D614" s="1274"/>
      <c r="E614" s="1248"/>
      <c r="F614" s="1248"/>
      <c r="G614" s="1271"/>
      <c r="H614" s="1250"/>
      <c r="I614" s="1251"/>
      <c r="J614" s="1271"/>
      <c r="K614" s="1271"/>
      <c r="L614" s="1254"/>
      <c r="M614" s="1244"/>
      <c r="N614" s="1273"/>
      <c r="O614" s="1244"/>
      <c r="P614" s="1244"/>
      <c r="Q614" s="1244"/>
      <c r="R614" s="1244"/>
      <c r="S614" s="1265"/>
      <c r="T614" s="1244"/>
      <c r="U614" s="1244"/>
    </row>
    <row r="615">
      <c r="A615" s="1235"/>
      <c r="B615" s="1235"/>
      <c r="C615" s="1246"/>
      <c r="D615" s="1274"/>
      <c r="E615" s="1248"/>
      <c r="F615" s="1248"/>
      <c r="G615" s="1271"/>
      <c r="H615" s="1250"/>
      <c r="I615" s="1251"/>
      <c r="J615" s="1271"/>
      <c r="K615" s="1271"/>
      <c r="L615" s="1254"/>
      <c r="M615" s="1244"/>
      <c r="N615" s="1273"/>
      <c r="O615" s="1244"/>
      <c r="P615" s="1244"/>
      <c r="Q615" s="1244"/>
      <c r="R615" s="1244"/>
      <c r="S615" s="1265"/>
      <c r="T615" s="1244"/>
      <c r="U615" s="1244"/>
    </row>
    <row r="616">
      <c r="A616" s="1235"/>
      <c r="B616" s="1235"/>
      <c r="C616" s="1246"/>
      <c r="D616" s="1274"/>
      <c r="E616" s="1248"/>
      <c r="F616" s="1248"/>
      <c r="G616" s="1271"/>
      <c r="H616" s="1250"/>
      <c r="I616" s="1251"/>
      <c r="J616" s="1271"/>
      <c r="K616" s="1271"/>
      <c r="L616" s="1254"/>
      <c r="M616" s="1244"/>
      <c r="N616" s="1273"/>
      <c r="O616" s="1244"/>
      <c r="P616" s="1244"/>
      <c r="Q616" s="1244"/>
      <c r="R616" s="1244"/>
      <c r="S616" s="1265"/>
      <c r="T616" s="1244"/>
      <c r="U616" s="1244"/>
    </row>
    <row r="617">
      <c r="A617" s="1235"/>
      <c r="B617" s="1235"/>
      <c r="C617" s="1246"/>
      <c r="D617" s="1274"/>
      <c r="E617" s="1248"/>
      <c r="F617" s="1248"/>
      <c r="G617" s="1271"/>
      <c r="H617" s="1250"/>
      <c r="I617" s="1251"/>
      <c r="J617" s="1271"/>
      <c r="K617" s="1271"/>
      <c r="L617" s="1254"/>
      <c r="M617" s="1244"/>
      <c r="N617" s="1273"/>
      <c r="O617" s="1244"/>
      <c r="P617" s="1244"/>
      <c r="Q617" s="1244"/>
      <c r="R617" s="1244"/>
      <c r="S617" s="1265"/>
      <c r="T617" s="1244"/>
      <c r="U617" s="1244"/>
    </row>
    <row r="618">
      <c r="A618" s="1235"/>
      <c r="B618" s="1235"/>
      <c r="C618" s="1246"/>
      <c r="D618" s="1274"/>
      <c r="E618" s="1248"/>
      <c r="F618" s="1248"/>
      <c r="G618" s="1271"/>
      <c r="H618" s="1250"/>
      <c r="I618" s="1251"/>
      <c r="J618" s="1271"/>
      <c r="K618" s="1271"/>
      <c r="L618" s="1254"/>
      <c r="M618" s="1244"/>
      <c r="N618" s="1273"/>
      <c r="O618" s="1244"/>
      <c r="P618" s="1244"/>
      <c r="Q618" s="1244"/>
      <c r="R618" s="1244"/>
      <c r="S618" s="1265"/>
      <c r="T618" s="1244"/>
      <c r="U618" s="1244"/>
    </row>
    <row r="619">
      <c r="A619" s="1235"/>
      <c r="B619" s="1235"/>
      <c r="C619" s="1246"/>
      <c r="D619" s="1274"/>
      <c r="E619" s="1248"/>
      <c r="F619" s="1248"/>
      <c r="G619" s="1271"/>
      <c r="H619" s="1250"/>
      <c r="I619" s="1251"/>
      <c r="J619" s="1271"/>
      <c r="K619" s="1271"/>
      <c r="L619" s="1254"/>
      <c r="M619" s="1244"/>
      <c r="N619" s="1273"/>
      <c r="O619" s="1244"/>
      <c r="P619" s="1244"/>
      <c r="Q619" s="1244"/>
      <c r="R619" s="1244"/>
      <c r="S619" s="1265"/>
      <c r="T619" s="1244"/>
      <c r="U619" s="1244"/>
    </row>
    <row r="620">
      <c r="A620" s="1235"/>
      <c r="B620" s="1235"/>
      <c r="C620" s="1246"/>
      <c r="D620" s="1274"/>
      <c r="E620" s="1248"/>
      <c r="F620" s="1248"/>
      <c r="G620" s="1271"/>
      <c r="H620" s="1250"/>
      <c r="I620" s="1251"/>
      <c r="J620" s="1271"/>
      <c r="K620" s="1271"/>
      <c r="L620" s="1254"/>
      <c r="M620" s="1244"/>
      <c r="N620" s="1273"/>
      <c r="O620" s="1244"/>
      <c r="P620" s="1244"/>
      <c r="Q620" s="1244"/>
      <c r="R620" s="1244"/>
      <c r="S620" s="1265"/>
      <c r="T620" s="1244"/>
      <c r="U620" s="1244"/>
    </row>
    <row r="621">
      <c r="A621" s="1235"/>
      <c r="B621" s="1235"/>
      <c r="C621" s="1246"/>
      <c r="D621" s="1274"/>
      <c r="E621" s="1248"/>
      <c r="F621" s="1248"/>
      <c r="G621" s="1271"/>
      <c r="H621" s="1250"/>
      <c r="I621" s="1251"/>
      <c r="J621" s="1271"/>
      <c r="K621" s="1271"/>
      <c r="L621" s="1254"/>
      <c r="M621" s="1244"/>
      <c r="N621" s="1273"/>
      <c r="O621" s="1244"/>
      <c r="P621" s="1244"/>
      <c r="Q621" s="1244"/>
      <c r="R621" s="1244"/>
      <c r="S621" s="1265"/>
      <c r="T621" s="1244"/>
      <c r="U621" s="1244"/>
    </row>
    <row r="622">
      <c r="A622" s="1235"/>
      <c r="B622" s="1235"/>
      <c r="C622" s="1246"/>
      <c r="D622" s="1274"/>
      <c r="E622" s="1248"/>
      <c r="F622" s="1248"/>
      <c r="G622" s="1271"/>
      <c r="H622" s="1250"/>
      <c r="I622" s="1251"/>
      <c r="J622" s="1271"/>
      <c r="K622" s="1271"/>
      <c r="L622" s="1254"/>
      <c r="M622" s="1244"/>
      <c r="N622" s="1273"/>
      <c r="O622" s="1244"/>
      <c r="P622" s="1244"/>
      <c r="Q622" s="1244"/>
      <c r="R622" s="1244"/>
      <c r="S622" s="1265"/>
      <c r="T622" s="1244"/>
      <c r="U622" s="1244"/>
    </row>
    <row r="623">
      <c r="A623" s="1235"/>
      <c r="B623" s="1235"/>
      <c r="C623" s="1246"/>
      <c r="D623" s="1274"/>
      <c r="E623" s="1248"/>
      <c r="F623" s="1248"/>
      <c r="G623" s="1271"/>
      <c r="H623" s="1250"/>
      <c r="I623" s="1251"/>
      <c r="J623" s="1271"/>
      <c r="K623" s="1271"/>
      <c r="L623" s="1254"/>
      <c r="M623" s="1244"/>
      <c r="N623" s="1273"/>
      <c r="O623" s="1244"/>
      <c r="P623" s="1244"/>
      <c r="Q623" s="1244"/>
      <c r="R623" s="1244"/>
      <c r="S623" s="1265"/>
      <c r="T623" s="1244"/>
      <c r="U623" s="1244"/>
    </row>
    <row r="624">
      <c r="A624" s="1235"/>
      <c r="B624" s="1235"/>
      <c r="C624" s="1246"/>
      <c r="D624" s="1274"/>
      <c r="E624" s="1248"/>
      <c r="F624" s="1248"/>
      <c r="G624" s="1271"/>
      <c r="H624" s="1250"/>
      <c r="I624" s="1251"/>
      <c r="J624" s="1271"/>
      <c r="K624" s="1271"/>
      <c r="L624" s="1254"/>
      <c r="M624" s="1244"/>
      <c r="N624" s="1273"/>
      <c r="O624" s="1244"/>
      <c r="P624" s="1244"/>
      <c r="Q624" s="1244"/>
      <c r="R624" s="1244"/>
      <c r="S624" s="1265"/>
      <c r="T624" s="1244"/>
      <c r="U624" s="1244"/>
    </row>
    <row r="625">
      <c r="A625" s="1235"/>
      <c r="B625" s="1235"/>
      <c r="C625" s="1246"/>
      <c r="D625" s="1274"/>
      <c r="E625" s="1248"/>
      <c r="F625" s="1248"/>
      <c r="G625" s="1271"/>
      <c r="H625" s="1250"/>
      <c r="I625" s="1251"/>
      <c r="J625" s="1271"/>
      <c r="K625" s="1271"/>
      <c r="L625" s="1254"/>
      <c r="M625" s="1244"/>
      <c r="N625" s="1273"/>
      <c r="O625" s="1244"/>
      <c r="P625" s="1244"/>
      <c r="Q625" s="1244"/>
      <c r="R625" s="1244"/>
      <c r="S625" s="1265"/>
      <c r="T625" s="1244"/>
      <c r="U625" s="1244"/>
    </row>
    <row r="626">
      <c r="A626" s="1235"/>
      <c r="B626" s="1235"/>
      <c r="C626" s="1246"/>
      <c r="D626" s="1274"/>
      <c r="E626" s="1248"/>
      <c r="F626" s="1248"/>
      <c r="G626" s="1271"/>
      <c r="H626" s="1250"/>
      <c r="I626" s="1251"/>
      <c r="J626" s="1271"/>
      <c r="K626" s="1271"/>
      <c r="L626" s="1254"/>
      <c r="M626" s="1244"/>
      <c r="N626" s="1273"/>
      <c r="O626" s="1244"/>
      <c r="P626" s="1244"/>
      <c r="Q626" s="1244"/>
      <c r="R626" s="1244"/>
      <c r="S626" s="1265"/>
      <c r="T626" s="1244"/>
      <c r="U626" s="1244"/>
    </row>
    <row r="627">
      <c r="A627" s="1235"/>
      <c r="B627" s="1235"/>
      <c r="C627" s="1246"/>
      <c r="D627" s="1274"/>
      <c r="E627" s="1248"/>
      <c r="F627" s="1248"/>
      <c r="G627" s="1271"/>
      <c r="H627" s="1250"/>
      <c r="I627" s="1251"/>
      <c r="J627" s="1271"/>
      <c r="K627" s="1271"/>
      <c r="L627" s="1254"/>
      <c r="M627" s="1244"/>
      <c r="N627" s="1273"/>
      <c r="O627" s="1244"/>
      <c r="P627" s="1244"/>
      <c r="Q627" s="1244"/>
      <c r="R627" s="1244"/>
      <c r="S627" s="1265"/>
      <c r="T627" s="1244"/>
      <c r="U627" s="1244"/>
    </row>
    <row r="628">
      <c r="A628" s="1235"/>
      <c r="B628" s="1235"/>
      <c r="C628" s="1246"/>
      <c r="D628" s="1274"/>
      <c r="E628" s="1248"/>
      <c r="F628" s="1248"/>
      <c r="G628" s="1271"/>
      <c r="H628" s="1250"/>
      <c r="I628" s="1251"/>
      <c r="J628" s="1271"/>
      <c r="K628" s="1271"/>
      <c r="L628" s="1254"/>
      <c r="M628" s="1244"/>
      <c r="N628" s="1273"/>
      <c r="O628" s="1244"/>
      <c r="P628" s="1244"/>
      <c r="Q628" s="1244"/>
      <c r="R628" s="1244"/>
      <c r="S628" s="1265"/>
      <c r="T628" s="1244"/>
      <c r="U628" s="1244"/>
    </row>
    <row r="629">
      <c r="A629" s="1235"/>
      <c r="B629" s="1235"/>
      <c r="C629" s="1246"/>
      <c r="D629" s="1274"/>
      <c r="E629" s="1248"/>
      <c r="F629" s="1248"/>
      <c r="G629" s="1271"/>
      <c r="H629" s="1250"/>
      <c r="I629" s="1251"/>
      <c r="J629" s="1271"/>
      <c r="K629" s="1271"/>
      <c r="L629" s="1254"/>
      <c r="M629" s="1244"/>
      <c r="N629" s="1273"/>
      <c r="O629" s="1244"/>
      <c r="P629" s="1244"/>
      <c r="Q629" s="1244"/>
      <c r="R629" s="1244"/>
      <c r="S629" s="1265"/>
      <c r="T629" s="1244"/>
      <c r="U629" s="1244"/>
    </row>
    <row r="630">
      <c r="A630" s="1235"/>
      <c r="B630" s="1235"/>
      <c r="C630" s="1246"/>
      <c r="D630" s="1274"/>
      <c r="E630" s="1248"/>
      <c r="F630" s="1248"/>
      <c r="G630" s="1271"/>
      <c r="H630" s="1250"/>
      <c r="I630" s="1251"/>
      <c r="J630" s="1271"/>
      <c r="K630" s="1271"/>
      <c r="L630" s="1254"/>
      <c r="M630" s="1244"/>
      <c r="N630" s="1273"/>
      <c r="O630" s="1244"/>
      <c r="P630" s="1244"/>
      <c r="Q630" s="1244"/>
      <c r="R630" s="1244"/>
      <c r="S630" s="1265"/>
      <c r="T630" s="1244"/>
      <c r="U630" s="1244"/>
    </row>
    <row r="631">
      <c r="A631" s="1235"/>
      <c r="B631" s="1235"/>
      <c r="C631" s="1246"/>
      <c r="D631" s="1274"/>
      <c r="E631" s="1248"/>
      <c r="F631" s="1248"/>
      <c r="G631" s="1271"/>
      <c r="H631" s="1250"/>
      <c r="I631" s="1251"/>
      <c r="J631" s="1271"/>
      <c r="K631" s="1271"/>
      <c r="L631" s="1254"/>
      <c r="M631" s="1244"/>
      <c r="N631" s="1273"/>
      <c r="O631" s="1244"/>
      <c r="P631" s="1244"/>
      <c r="Q631" s="1244"/>
      <c r="R631" s="1244"/>
      <c r="S631" s="1265"/>
      <c r="T631" s="1244"/>
      <c r="U631" s="1244"/>
    </row>
    <row r="632">
      <c r="A632" s="1235"/>
      <c r="B632" s="1235"/>
      <c r="C632" s="1246"/>
      <c r="D632" s="1274"/>
      <c r="E632" s="1248"/>
      <c r="F632" s="1248"/>
      <c r="G632" s="1271"/>
      <c r="H632" s="1250"/>
      <c r="I632" s="1251"/>
      <c r="J632" s="1271"/>
      <c r="K632" s="1271"/>
      <c r="L632" s="1254"/>
      <c r="M632" s="1244"/>
      <c r="N632" s="1273"/>
      <c r="O632" s="1244"/>
      <c r="P632" s="1244"/>
      <c r="Q632" s="1244"/>
      <c r="R632" s="1244"/>
      <c r="S632" s="1265"/>
      <c r="T632" s="1244"/>
      <c r="U632" s="1244"/>
    </row>
    <row r="633">
      <c r="A633" s="1235"/>
      <c r="B633" s="1235"/>
      <c r="C633" s="1246"/>
      <c r="D633" s="1274"/>
      <c r="E633" s="1248"/>
      <c r="F633" s="1248"/>
      <c r="G633" s="1271"/>
      <c r="H633" s="1250"/>
      <c r="I633" s="1251"/>
      <c r="J633" s="1271"/>
      <c r="K633" s="1271"/>
      <c r="L633" s="1254"/>
      <c r="M633" s="1244"/>
      <c r="N633" s="1273"/>
      <c r="O633" s="1244"/>
      <c r="P633" s="1244"/>
      <c r="Q633" s="1244"/>
      <c r="R633" s="1244"/>
      <c r="S633" s="1265"/>
      <c r="T633" s="1244"/>
      <c r="U633" s="1244"/>
    </row>
    <row r="634">
      <c r="A634" s="1235"/>
      <c r="B634" s="1235"/>
      <c r="C634" s="1246"/>
      <c r="D634" s="1274"/>
      <c r="E634" s="1248"/>
      <c r="F634" s="1248"/>
      <c r="G634" s="1271"/>
      <c r="H634" s="1250"/>
      <c r="I634" s="1251"/>
      <c r="J634" s="1271"/>
      <c r="K634" s="1271"/>
      <c r="L634" s="1254"/>
      <c r="M634" s="1244"/>
      <c r="N634" s="1273"/>
      <c r="O634" s="1244"/>
      <c r="P634" s="1244"/>
      <c r="Q634" s="1244"/>
      <c r="R634" s="1244"/>
      <c r="S634" s="1265"/>
      <c r="T634" s="1244"/>
      <c r="U634" s="1244"/>
    </row>
    <row r="635">
      <c r="A635" s="1235"/>
      <c r="B635" s="1235"/>
      <c r="C635" s="1246"/>
      <c r="D635" s="1274"/>
      <c r="E635" s="1248"/>
      <c r="F635" s="1248"/>
      <c r="G635" s="1271"/>
      <c r="H635" s="1250"/>
      <c r="I635" s="1251"/>
      <c r="J635" s="1271"/>
      <c r="K635" s="1271"/>
      <c r="L635" s="1254"/>
      <c r="M635" s="1244"/>
      <c r="N635" s="1273"/>
      <c r="O635" s="1244"/>
      <c r="P635" s="1244"/>
      <c r="Q635" s="1244"/>
      <c r="R635" s="1244"/>
      <c r="S635" s="1265"/>
      <c r="T635" s="1244"/>
      <c r="U635" s="1244"/>
    </row>
    <row r="636">
      <c r="A636" s="1235"/>
      <c r="B636" s="1235"/>
      <c r="C636" s="1246"/>
      <c r="D636" s="1274"/>
      <c r="E636" s="1248"/>
      <c r="F636" s="1248"/>
      <c r="G636" s="1271"/>
      <c r="H636" s="1250"/>
      <c r="I636" s="1251"/>
      <c r="J636" s="1271"/>
      <c r="K636" s="1271"/>
      <c r="L636" s="1254"/>
      <c r="M636" s="1244"/>
      <c r="N636" s="1273"/>
      <c r="O636" s="1244"/>
      <c r="P636" s="1244"/>
      <c r="Q636" s="1244"/>
      <c r="R636" s="1244"/>
      <c r="S636" s="1265"/>
      <c r="T636" s="1244"/>
      <c r="U636" s="1244"/>
    </row>
    <row r="637">
      <c r="A637" s="1235"/>
      <c r="B637" s="1235"/>
      <c r="C637" s="1246"/>
      <c r="D637" s="1274"/>
      <c r="E637" s="1248"/>
      <c r="F637" s="1248"/>
      <c r="G637" s="1271"/>
      <c r="H637" s="1250"/>
      <c r="I637" s="1251"/>
      <c r="J637" s="1271"/>
      <c r="K637" s="1271"/>
      <c r="L637" s="1254"/>
      <c r="M637" s="1244"/>
      <c r="N637" s="1273"/>
      <c r="O637" s="1244"/>
      <c r="P637" s="1244"/>
      <c r="Q637" s="1244"/>
      <c r="R637" s="1244"/>
      <c r="S637" s="1265"/>
      <c r="T637" s="1244"/>
      <c r="U637" s="1244"/>
    </row>
    <row r="638">
      <c r="A638" s="1235"/>
      <c r="B638" s="1235"/>
      <c r="C638" s="1246"/>
      <c r="D638" s="1274"/>
      <c r="E638" s="1248"/>
      <c r="F638" s="1248"/>
      <c r="G638" s="1271"/>
      <c r="H638" s="1250"/>
      <c r="I638" s="1251"/>
      <c r="J638" s="1271"/>
      <c r="K638" s="1271"/>
      <c r="L638" s="1254"/>
      <c r="M638" s="1244"/>
      <c r="N638" s="1273"/>
      <c r="O638" s="1244"/>
      <c r="P638" s="1244"/>
      <c r="Q638" s="1244"/>
      <c r="R638" s="1244"/>
      <c r="S638" s="1265"/>
      <c r="T638" s="1244"/>
      <c r="U638" s="1244"/>
    </row>
    <row r="639">
      <c r="A639" s="1235"/>
      <c r="B639" s="1235"/>
      <c r="C639" s="1246"/>
      <c r="D639" s="1274"/>
      <c r="E639" s="1248"/>
      <c r="F639" s="1248"/>
      <c r="G639" s="1271"/>
      <c r="H639" s="1250"/>
      <c r="I639" s="1251"/>
      <c r="J639" s="1271"/>
      <c r="K639" s="1271"/>
      <c r="L639" s="1254"/>
      <c r="M639" s="1244"/>
      <c r="N639" s="1273"/>
      <c r="O639" s="1244"/>
      <c r="P639" s="1244"/>
      <c r="Q639" s="1244"/>
      <c r="R639" s="1244"/>
      <c r="S639" s="1265"/>
      <c r="T639" s="1244"/>
      <c r="U639" s="1244"/>
    </row>
    <row r="640">
      <c r="A640" s="1235"/>
      <c r="B640" s="1235"/>
      <c r="C640" s="1246"/>
      <c r="D640" s="1274"/>
      <c r="E640" s="1248"/>
      <c r="F640" s="1248"/>
      <c r="G640" s="1271"/>
      <c r="H640" s="1250"/>
      <c r="I640" s="1251"/>
      <c r="J640" s="1271"/>
      <c r="K640" s="1271"/>
      <c r="L640" s="1254"/>
      <c r="M640" s="1244"/>
      <c r="N640" s="1273"/>
      <c r="O640" s="1244"/>
      <c r="P640" s="1244"/>
      <c r="Q640" s="1244"/>
      <c r="R640" s="1244"/>
      <c r="S640" s="1265"/>
      <c r="T640" s="1244"/>
      <c r="U640" s="1244"/>
    </row>
    <row r="641">
      <c r="A641" s="1235"/>
      <c r="B641" s="1235"/>
      <c r="C641" s="1246"/>
      <c r="D641" s="1274"/>
      <c r="E641" s="1248"/>
      <c r="F641" s="1248"/>
      <c r="G641" s="1271"/>
      <c r="H641" s="1250"/>
      <c r="I641" s="1251"/>
      <c r="J641" s="1271"/>
      <c r="K641" s="1271"/>
      <c r="L641" s="1254"/>
      <c r="M641" s="1244"/>
      <c r="N641" s="1273"/>
      <c r="O641" s="1244"/>
      <c r="P641" s="1244"/>
      <c r="Q641" s="1244"/>
      <c r="R641" s="1244"/>
      <c r="S641" s="1265"/>
      <c r="T641" s="1244"/>
      <c r="U641" s="1244"/>
    </row>
    <row r="642">
      <c r="A642" s="1235"/>
      <c r="B642" s="1235"/>
      <c r="C642" s="1246"/>
      <c r="D642" s="1274"/>
      <c r="E642" s="1248"/>
      <c r="F642" s="1248"/>
      <c r="G642" s="1271"/>
      <c r="H642" s="1250"/>
      <c r="I642" s="1251"/>
      <c r="J642" s="1271"/>
      <c r="K642" s="1271"/>
      <c r="L642" s="1254"/>
      <c r="M642" s="1244"/>
      <c r="N642" s="1273"/>
      <c r="O642" s="1244"/>
      <c r="P642" s="1244"/>
      <c r="Q642" s="1244"/>
      <c r="R642" s="1244"/>
      <c r="S642" s="1265"/>
      <c r="T642" s="1244"/>
      <c r="U642" s="1244"/>
    </row>
    <row r="643">
      <c r="A643" s="1235"/>
      <c r="B643" s="1235"/>
      <c r="C643" s="1246"/>
      <c r="D643" s="1274"/>
      <c r="E643" s="1248"/>
      <c r="F643" s="1248"/>
      <c r="G643" s="1271"/>
      <c r="H643" s="1250"/>
      <c r="I643" s="1251"/>
      <c r="J643" s="1271"/>
      <c r="K643" s="1271"/>
      <c r="L643" s="1254"/>
      <c r="M643" s="1244"/>
      <c r="N643" s="1273"/>
      <c r="O643" s="1244"/>
      <c r="P643" s="1244"/>
      <c r="Q643" s="1244"/>
      <c r="R643" s="1244"/>
      <c r="S643" s="1265"/>
      <c r="T643" s="1244"/>
      <c r="U643" s="1244"/>
    </row>
    <row r="644">
      <c r="A644" s="1235"/>
      <c r="B644" s="1235"/>
      <c r="C644" s="1246"/>
      <c r="D644" s="1274"/>
      <c r="E644" s="1248"/>
      <c r="F644" s="1248"/>
      <c r="G644" s="1271"/>
      <c r="H644" s="1250"/>
      <c r="I644" s="1251"/>
      <c r="J644" s="1271"/>
      <c r="K644" s="1271"/>
      <c r="L644" s="1254"/>
      <c r="M644" s="1244"/>
      <c r="N644" s="1273"/>
      <c r="O644" s="1244"/>
      <c r="P644" s="1244"/>
      <c r="Q644" s="1244"/>
      <c r="R644" s="1244"/>
      <c r="S644" s="1265"/>
      <c r="T644" s="1244"/>
      <c r="U644" s="1244"/>
    </row>
    <row r="645">
      <c r="A645" s="1235"/>
      <c r="B645" s="1235"/>
      <c r="C645" s="1246"/>
      <c r="D645" s="1274"/>
      <c r="E645" s="1248"/>
      <c r="F645" s="1248"/>
      <c r="G645" s="1271"/>
      <c r="H645" s="1250"/>
      <c r="I645" s="1251"/>
      <c r="J645" s="1271"/>
      <c r="K645" s="1271"/>
      <c r="L645" s="1254"/>
      <c r="M645" s="1244"/>
      <c r="N645" s="1273"/>
      <c r="O645" s="1244"/>
      <c r="P645" s="1244"/>
      <c r="Q645" s="1244"/>
      <c r="R645" s="1244"/>
      <c r="S645" s="1265"/>
      <c r="T645" s="1244"/>
      <c r="U645" s="1244"/>
    </row>
    <row r="646">
      <c r="A646" s="1235"/>
      <c r="B646" s="1235"/>
      <c r="C646" s="1246"/>
      <c r="D646" s="1274"/>
      <c r="E646" s="1248"/>
      <c r="F646" s="1248"/>
      <c r="G646" s="1271"/>
      <c r="H646" s="1250"/>
      <c r="I646" s="1251"/>
      <c r="J646" s="1271"/>
      <c r="K646" s="1271"/>
      <c r="L646" s="1254"/>
      <c r="M646" s="1244"/>
      <c r="N646" s="1273"/>
      <c r="O646" s="1244"/>
      <c r="P646" s="1244"/>
      <c r="Q646" s="1244"/>
      <c r="R646" s="1244"/>
      <c r="S646" s="1265"/>
      <c r="T646" s="1244"/>
      <c r="U646" s="1244"/>
    </row>
    <row r="647">
      <c r="A647" s="1235"/>
      <c r="B647" s="1235"/>
      <c r="C647" s="1246"/>
      <c r="D647" s="1274"/>
      <c r="E647" s="1248"/>
      <c r="F647" s="1248"/>
      <c r="G647" s="1271"/>
      <c r="H647" s="1250"/>
      <c r="I647" s="1251"/>
      <c r="J647" s="1271"/>
      <c r="K647" s="1271"/>
      <c r="L647" s="1254"/>
      <c r="M647" s="1244"/>
      <c r="N647" s="1273"/>
      <c r="O647" s="1244"/>
      <c r="P647" s="1244"/>
      <c r="Q647" s="1244"/>
      <c r="R647" s="1244"/>
      <c r="S647" s="1265"/>
      <c r="T647" s="1244"/>
      <c r="U647" s="1244"/>
    </row>
    <row r="648">
      <c r="A648" s="1235"/>
      <c r="B648" s="1235"/>
      <c r="C648" s="1246"/>
      <c r="D648" s="1274"/>
      <c r="E648" s="1248"/>
      <c r="F648" s="1248"/>
      <c r="G648" s="1271"/>
      <c r="H648" s="1250"/>
      <c r="I648" s="1251"/>
      <c r="J648" s="1271"/>
      <c r="K648" s="1271"/>
      <c r="L648" s="1254"/>
      <c r="M648" s="1244"/>
      <c r="N648" s="1273"/>
      <c r="O648" s="1244"/>
      <c r="P648" s="1244"/>
      <c r="Q648" s="1244"/>
      <c r="R648" s="1244"/>
      <c r="S648" s="1265"/>
      <c r="T648" s="1244"/>
      <c r="U648" s="1244"/>
    </row>
    <row r="649">
      <c r="A649" s="1235"/>
      <c r="B649" s="1235"/>
      <c r="C649" s="1246"/>
      <c r="D649" s="1274"/>
      <c r="E649" s="1248"/>
      <c r="F649" s="1248"/>
      <c r="G649" s="1271"/>
      <c r="H649" s="1250"/>
      <c r="I649" s="1251"/>
      <c r="J649" s="1271"/>
      <c r="K649" s="1271"/>
      <c r="L649" s="1254"/>
      <c r="M649" s="1244"/>
      <c r="N649" s="1273"/>
      <c r="O649" s="1244"/>
      <c r="P649" s="1244"/>
      <c r="Q649" s="1244"/>
      <c r="R649" s="1244"/>
      <c r="S649" s="1265"/>
      <c r="T649" s="1244"/>
      <c r="U649" s="1244"/>
    </row>
    <row r="650">
      <c r="A650" s="1235"/>
      <c r="B650" s="1235"/>
      <c r="C650" s="1246"/>
      <c r="D650" s="1274"/>
      <c r="E650" s="1248"/>
      <c r="F650" s="1248"/>
      <c r="G650" s="1271"/>
      <c r="H650" s="1250"/>
      <c r="I650" s="1251"/>
      <c r="J650" s="1271"/>
      <c r="K650" s="1271"/>
      <c r="L650" s="1254"/>
      <c r="M650" s="1244"/>
      <c r="N650" s="1273"/>
      <c r="O650" s="1244"/>
      <c r="P650" s="1244"/>
      <c r="Q650" s="1244"/>
      <c r="R650" s="1244"/>
      <c r="S650" s="1265"/>
      <c r="T650" s="1244"/>
      <c r="U650" s="1244"/>
    </row>
    <row r="651">
      <c r="A651" s="1235"/>
      <c r="B651" s="1235"/>
      <c r="C651" s="1246"/>
      <c r="D651" s="1274"/>
      <c r="E651" s="1248"/>
      <c r="F651" s="1248"/>
      <c r="G651" s="1271"/>
      <c r="H651" s="1250"/>
      <c r="I651" s="1251"/>
      <c r="J651" s="1271"/>
      <c r="K651" s="1271"/>
      <c r="L651" s="1254"/>
      <c r="M651" s="1244"/>
      <c r="N651" s="1273"/>
      <c r="O651" s="1244"/>
      <c r="P651" s="1244"/>
      <c r="Q651" s="1244"/>
      <c r="R651" s="1244"/>
      <c r="S651" s="1265"/>
      <c r="T651" s="1244"/>
      <c r="U651" s="1244"/>
    </row>
    <row r="652">
      <c r="A652" s="1235"/>
      <c r="B652" s="1235"/>
      <c r="C652" s="1246"/>
      <c r="D652" s="1274"/>
      <c r="E652" s="1248"/>
      <c r="F652" s="1248"/>
      <c r="G652" s="1271"/>
      <c r="H652" s="1250"/>
      <c r="I652" s="1251"/>
      <c r="J652" s="1271"/>
      <c r="K652" s="1271"/>
      <c r="L652" s="1254"/>
      <c r="M652" s="1244"/>
      <c r="N652" s="1273"/>
      <c r="O652" s="1244"/>
      <c r="P652" s="1244"/>
      <c r="Q652" s="1244"/>
      <c r="R652" s="1244"/>
      <c r="S652" s="1265"/>
      <c r="T652" s="1244"/>
      <c r="U652" s="1244"/>
    </row>
    <row r="653">
      <c r="A653" s="1235"/>
      <c r="B653" s="1235"/>
      <c r="C653" s="1246"/>
      <c r="D653" s="1274"/>
      <c r="E653" s="1248"/>
      <c r="F653" s="1248"/>
      <c r="G653" s="1271"/>
      <c r="H653" s="1250"/>
      <c r="I653" s="1251"/>
      <c r="J653" s="1271"/>
      <c r="K653" s="1271"/>
      <c r="L653" s="1254"/>
      <c r="M653" s="1244"/>
      <c r="N653" s="1273"/>
      <c r="O653" s="1244"/>
      <c r="P653" s="1244"/>
      <c r="Q653" s="1244"/>
      <c r="R653" s="1244"/>
      <c r="S653" s="1265"/>
      <c r="T653" s="1244"/>
      <c r="U653" s="1244"/>
    </row>
    <row r="654">
      <c r="A654" s="1235"/>
      <c r="B654" s="1235"/>
      <c r="C654" s="1246"/>
      <c r="D654" s="1274"/>
      <c r="E654" s="1248"/>
      <c r="F654" s="1248"/>
      <c r="G654" s="1271"/>
      <c r="H654" s="1250"/>
      <c r="I654" s="1251"/>
      <c r="J654" s="1271"/>
      <c r="K654" s="1271"/>
      <c r="L654" s="1254"/>
      <c r="M654" s="1244"/>
      <c r="N654" s="1273"/>
      <c r="O654" s="1244"/>
      <c r="P654" s="1244"/>
      <c r="Q654" s="1244"/>
      <c r="R654" s="1244"/>
      <c r="S654" s="1265"/>
      <c r="T654" s="1244"/>
      <c r="U654" s="1244"/>
    </row>
    <row r="655">
      <c r="A655" s="1235"/>
      <c r="B655" s="1235"/>
      <c r="C655" s="1246"/>
      <c r="D655" s="1274"/>
      <c r="E655" s="1248"/>
      <c r="F655" s="1248"/>
      <c r="G655" s="1271"/>
      <c r="H655" s="1250"/>
      <c r="I655" s="1251"/>
      <c r="J655" s="1271"/>
      <c r="K655" s="1271"/>
      <c r="L655" s="1254"/>
      <c r="M655" s="1244"/>
      <c r="N655" s="1273"/>
      <c r="O655" s="1244"/>
      <c r="P655" s="1244"/>
      <c r="Q655" s="1244"/>
      <c r="R655" s="1244"/>
      <c r="S655" s="1265"/>
      <c r="T655" s="1244"/>
      <c r="U655" s="1244"/>
    </row>
    <row r="656">
      <c r="A656" s="1235"/>
      <c r="B656" s="1235"/>
      <c r="C656" s="1246"/>
      <c r="D656" s="1274"/>
      <c r="E656" s="1248"/>
      <c r="F656" s="1248"/>
      <c r="G656" s="1271"/>
      <c r="H656" s="1250"/>
      <c r="I656" s="1251"/>
      <c r="J656" s="1271"/>
      <c r="K656" s="1271"/>
      <c r="L656" s="1254"/>
      <c r="M656" s="1244"/>
      <c r="N656" s="1273"/>
      <c r="O656" s="1244"/>
      <c r="P656" s="1244"/>
      <c r="Q656" s="1244"/>
      <c r="R656" s="1244"/>
      <c r="S656" s="1265"/>
      <c r="T656" s="1244"/>
      <c r="U656" s="1244"/>
    </row>
    <row r="657">
      <c r="A657" s="1235"/>
      <c r="B657" s="1235"/>
      <c r="C657" s="1246"/>
      <c r="D657" s="1274"/>
      <c r="E657" s="1248"/>
      <c r="F657" s="1248"/>
      <c r="G657" s="1271"/>
      <c r="H657" s="1250"/>
      <c r="I657" s="1251"/>
      <c r="J657" s="1271"/>
      <c r="K657" s="1271"/>
      <c r="L657" s="1254"/>
      <c r="M657" s="1244"/>
      <c r="N657" s="1273"/>
      <c r="O657" s="1244"/>
      <c r="P657" s="1244"/>
      <c r="Q657" s="1244"/>
      <c r="R657" s="1244"/>
      <c r="S657" s="1265"/>
      <c r="T657" s="1244"/>
      <c r="U657" s="1244"/>
    </row>
    <row r="658">
      <c r="A658" s="1235"/>
      <c r="B658" s="1235"/>
      <c r="C658" s="1246"/>
      <c r="D658" s="1274"/>
      <c r="E658" s="1248"/>
      <c r="F658" s="1248"/>
      <c r="G658" s="1271"/>
      <c r="H658" s="1250"/>
      <c r="I658" s="1251"/>
      <c r="J658" s="1271"/>
      <c r="K658" s="1271"/>
      <c r="L658" s="1254"/>
      <c r="M658" s="1244"/>
      <c r="N658" s="1273"/>
      <c r="O658" s="1244"/>
      <c r="P658" s="1244"/>
      <c r="Q658" s="1244"/>
      <c r="R658" s="1244"/>
      <c r="S658" s="1265"/>
      <c r="T658" s="1244"/>
      <c r="U658" s="1244"/>
    </row>
    <row r="659">
      <c r="A659" s="1235"/>
      <c r="B659" s="1235"/>
      <c r="C659" s="1246"/>
      <c r="D659" s="1274"/>
      <c r="E659" s="1248"/>
      <c r="F659" s="1248"/>
      <c r="G659" s="1271"/>
      <c r="H659" s="1250"/>
      <c r="I659" s="1251"/>
      <c r="J659" s="1271"/>
      <c r="K659" s="1271"/>
      <c r="L659" s="1254"/>
      <c r="M659" s="1244"/>
      <c r="N659" s="1273"/>
      <c r="O659" s="1244"/>
      <c r="P659" s="1244"/>
      <c r="Q659" s="1244"/>
      <c r="R659" s="1244"/>
      <c r="S659" s="1265"/>
      <c r="T659" s="1244"/>
      <c r="U659" s="1244"/>
    </row>
    <row r="660">
      <c r="A660" s="1235"/>
      <c r="B660" s="1235"/>
      <c r="C660" s="1246"/>
      <c r="D660" s="1274"/>
      <c r="E660" s="1248"/>
      <c r="F660" s="1248"/>
      <c r="G660" s="1271"/>
      <c r="H660" s="1250"/>
      <c r="I660" s="1251"/>
      <c r="J660" s="1271"/>
      <c r="K660" s="1271"/>
      <c r="L660" s="1254"/>
      <c r="M660" s="1244"/>
      <c r="N660" s="1273"/>
      <c r="O660" s="1244"/>
      <c r="P660" s="1244"/>
      <c r="Q660" s="1244"/>
      <c r="R660" s="1244"/>
      <c r="S660" s="1265"/>
      <c r="T660" s="1244"/>
      <c r="U660" s="1244"/>
    </row>
    <row r="661">
      <c r="A661" s="1235"/>
      <c r="B661" s="1235"/>
      <c r="C661" s="1246"/>
      <c r="D661" s="1274"/>
      <c r="E661" s="1248"/>
      <c r="F661" s="1248"/>
      <c r="G661" s="1271"/>
      <c r="H661" s="1250"/>
      <c r="I661" s="1251"/>
      <c r="J661" s="1271"/>
      <c r="K661" s="1271"/>
      <c r="L661" s="1254"/>
      <c r="M661" s="1244"/>
      <c r="N661" s="1273"/>
      <c r="O661" s="1244"/>
      <c r="P661" s="1244"/>
      <c r="Q661" s="1244"/>
      <c r="R661" s="1244"/>
      <c r="S661" s="1265"/>
      <c r="T661" s="1244"/>
      <c r="U661" s="1244"/>
    </row>
    <row r="662">
      <c r="A662" s="1235"/>
      <c r="B662" s="1235"/>
      <c r="C662" s="1246"/>
      <c r="D662" s="1274"/>
      <c r="E662" s="1248"/>
      <c r="F662" s="1248"/>
      <c r="G662" s="1271"/>
      <c r="H662" s="1250"/>
      <c r="I662" s="1251"/>
      <c r="J662" s="1271"/>
      <c r="K662" s="1271"/>
      <c r="L662" s="1254"/>
      <c r="M662" s="1244"/>
      <c r="N662" s="1273"/>
      <c r="O662" s="1244"/>
      <c r="P662" s="1244"/>
      <c r="Q662" s="1244"/>
      <c r="R662" s="1244"/>
      <c r="S662" s="1265"/>
      <c r="T662" s="1244"/>
      <c r="U662" s="1244"/>
    </row>
    <row r="663">
      <c r="A663" s="1235"/>
      <c r="B663" s="1235"/>
      <c r="C663" s="1246"/>
      <c r="D663" s="1274"/>
      <c r="E663" s="1248"/>
      <c r="F663" s="1248"/>
      <c r="G663" s="1271"/>
      <c r="H663" s="1250"/>
      <c r="I663" s="1251"/>
      <c r="J663" s="1271"/>
      <c r="K663" s="1271"/>
      <c r="L663" s="1254"/>
      <c r="M663" s="1244"/>
      <c r="N663" s="1273"/>
      <c r="O663" s="1244"/>
      <c r="P663" s="1244"/>
      <c r="Q663" s="1244"/>
      <c r="R663" s="1244"/>
      <c r="S663" s="1265"/>
      <c r="T663" s="1244"/>
      <c r="U663" s="1244"/>
    </row>
    <row r="664">
      <c r="A664" s="1235"/>
      <c r="B664" s="1235"/>
      <c r="C664" s="1246"/>
      <c r="D664" s="1274"/>
      <c r="E664" s="1248"/>
      <c r="F664" s="1248"/>
      <c r="G664" s="1271"/>
      <c r="H664" s="1250"/>
      <c r="I664" s="1251"/>
      <c r="J664" s="1271"/>
      <c r="K664" s="1271"/>
      <c r="L664" s="1254"/>
      <c r="M664" s="1244"/>
      <c r="N664" s="1273"/>
      <c r="O664" s="1244"/>
      <c r="P664" s="1244"/>
      <c r="Q664" s="1244"/>
      <c r="R664" s="1244"/>
      <c r="S664" s="1265"/>
      <c r="T664" s="1244"/>
      <c r="U664" s="1244"/>
    </row>
    <row r="665">
      <c r="A665" s="1235"/>
      <c r="B665" s="1235"/>
      <c r="C665" s="1246"/>
      <c r="D665" s="1274"/>
      <c r="E665" s="1248"/>
      <c r="F665" s="1248"/>
      <c r="G665" s="1271"/>
      <c r="H665" s="1250"/>
      <c r="I665" s="1251"/>
      <c r="J665" s="1271"/>
      <c r="K665" s="1271"/>
      <c r="L665" s="1254"/>
      <c r="M665" s="1244"/>
      <c r="N665" s="1273"/>
      <c r="O665" s="1244"/>
      <c r="P665" s="1244"/>
      <c r="Q665" s="1244"/>
      <c r="R665" s="1244"/>
      <c r="S665" s="1265"/>
      <c r="T665" s="1244"/>
      <c r="U665" s="1244"/>
    </row>
    <row r="666">
      <c r="A666" s="1235"/>
      <c r="B666" s="1235"/>
      <c r="C666" s="1246"/>
      <c r="D666" s="1274"/>
      <c r="E666" s="1248"/>
      <c r="F666" s="1248"/>
      <c r="G666" s="1271"/>
      <c r="H666" s="1250"/>
      <c r="I666" s="1251"/>
      <c r="J666" s="1271"/>
      <c r="K666" s="1271"/>
      <c r="L666" s="1254"/>
      <c r="M666" s="1244"/>
      <c r="N666" s="1273"/>
      <c r="O666" s="1244"/>
      <c r="P666" s="1244"/>
      <c r="Q666" s="1244"/>
      <c r="R666" s="1244"/>
      <c r="S666" s="1265"/>
      <c r="T666" s="1244"/>
      <c r="U666" s="1244"/>
    </row>
    <row r="667">
      <c r="A667" s="1235"/>
      <c r="B667" s="1235"/>
      <c r="C667" s="1246"/>
      <c r="D667" s="1274"/>
      <c r="E667" s="1248"/>
      <c r="F667" s="1248"/>
      <c r="G667" s="1271"/>
      <c r="H667" s="1250"/>
      <c r="I667" s="1251"/>
      <c r="J667" s="1271"/>
      <c r="K667" s="1271"/>
      <c r="L667" s="1254"/>
      <c r="M667" s="1244"/>
      <c r="N667" s="1273"/>
      <c r="O667" s="1244"/>
      <c r="P667" s="1244"/>
      <c r="Q667" s="1244"/>
      <c r="R667" s="1244"/>
      <c r="S667" s="1265"/>
      <c r="T667" s="1244"/>
      <c r="U667" s="1244"/>
    </row>
    <row r="668">
      <c r="A668" s="1235"/>
      <c r="B668" s="1235"/>
      <c r="C668" s="1246"/>
      <c r="D668" s="1274"/>
      <c r="E668" s="1248"/>
      <c r="F668" s="1248"/>
      <c r="G668" s="1271"/>
      <c r="H668" s="1250"/>
      <c r="I668" s="1251"/>
      <c r="J668" s="1271"/>
      <c r="K668" s="1271"/>
      <c r="L668" s="1254"/>
      <c r="M668" s="1244"/>
      <c r="N668" s="1273"/>
      <c r="O668" s="1244"/>
      <c r="P668" s="1244"/>
      <c r="Q668" s="1244"/>
      <c r="R668" s="1244"/>
      <c r="S668" s="1265"/>
      <c r="T668" s="1244"/>
      <c r="U668" s="1244"/>
    </row>
    <row r="669">
      <c r="A669" s="1235"/>
      <c r="B669" s="1235"/>
      <c r="C669" s="1246"/>
      <c r="D669" s="1274"/>
      <c r="E669" s="1248"/>
      <c r="F669" s="1248"/>
      <c r="G669" s="1271"/>
      <c r="H669" s="1250"/>
      <c r="I669" s="1251"/>
      <c r="J669" s="1271"/>
      <c r="K669" s="1271"/>
      <c r="L669" s="1254"/>
      <c r="M669" s="1244"/>
      <c r="N669" s="1273"/>
      <c r="O669" s="1244"/>
      <c r="P669" s="1244"/>
      <c r="Q669" s="1244"/>
      <c r="R669" s="1244"/>
      <c r="S669" s="1265"/>
      <c r="T669" s="1244"/>
      <c r="U669" s="1244"/>
    </row>
    <row r="670">
      <c r="A670" s="1235"/>
      <c r="B670" s="1235"/>
      <c r="C670" s="1246"/>
      <c r="D670" s="1274"/>
      <c r="E670" s="1248"/>
      <c r="F670" s="1248"/>
      <c r="G670" s="1271"/>
      <c r="H670" s="1250"/>
      <c r="I670" s="1251"/>
      <c r="J670" s="1271"/>
      <c r="K670" s="1271"/>
      <c r="L670" s="1254"/>
      <c r="M670" s="1244"/>
      <c r="N670" s="1273"/>
      <c r="O670" s="1244"/>
      <c r="P670" s="1244"/>
      <c r="Q670" s="1244"/>
      <c r="R670" s="1244"/>
      <c r="S670" s="1265"/>
      <c r="T670" s="1244"/>
      <c r="U670" s="1244"/>
    </row>
    <row r="671">
      <c r="A671" s="1235"/>
      <c r="B671" s="1235"/>
      <c r="C671" s="1246"/>
      <c r="D671" s="1274"/>
      <c r="E671" s="1248"/>
      <c r="F671" s="1248"/>
      <c r="G671" s="1271"/>
      <c r="H671" s="1250"/>
      <c r="I671" s="1251"/>
      <c r="J671" s="1271"/>
      <c r="K671" s="1271"/>
      <c r="L671" s="1254"/>
      <c r="M671" s="1244"/>
      <c r="N671" s="1273"/>
      <c r="O671" s="1244"/>
      <c r="P671" s="1244"/>
      <c r="Q671" s="1244"/>
      <c r="R671" s="1244"/>
      <c r="S671" s="1265"/>
      <c r="T671" s="1244"/>
      <c r="U671" s="1244"/>
    </row>
    <row r="672">
      <c r="A672" s="1235"/>
      <c r="B672" s="1235"/>
      <c r="C672" s="1246"/>
      <c r="D672" s="1274"/>
      <c r="E672" s="1248"/>
      <c r="F672" s="1248"/>
      <c r="G672" s="1271"/>
      <c r="H672" s="1250"/>
      <c r="I672" s="1251"/>
      <c r="J672" s="1271"/>
      <c r="K672" s="1271"/>
      <c r="L672" s="1254"/>
      <c r="M672" s="1244"/>
      <c r="N672" s="1273"/>
      <c r="O672" s="1244"/>
      <c r="P672" s="1244"/>
      <c r="Q672" s="1244"/>
      <c r="R672" s="1244"/>
      <c r="S672" s="1265"/>
      <c r="T672" s="1244"/>
      <c r="U672" s="1244"/>
    </row>
    <row r="673">
      <c r="A673" s="1235"/>
      <c r="B673" s="1235"/>
      <c r="C673" s="1246"/>
      <c r="D673" s="1274"/>
      <c r="E673" s="1248"/>
      <c r="F673" s="1248"/>
      <c r="G673" s="1271"/>
      <c r="H673" s="1250"/>
      <c r="I673" s="1251"/>
      <c r="J673" s="1271"/>
      <c r="K673" s="1271"/>
      <c r="L673" s="1254"/>
      <c r="M673" s="1244"/>
      <c r="N673" s="1273"/>
      <c r="O673" s="1244"/>
      <c r="P673" s="1244"/>
      <c r="Q673" s="1244"/>
      <c r="R673" s="1244"/>
      <c r="S673" s="1265"/>
      <c r="T673" s="1244"/>
      <c r="U673" s="1244"/>
    </row>
    <row r="674">
      <c r="A674" s="1235"/>
      <c r="B674" s="1235"/>
      <c r="C674" s="1246"/>
      <c r="D674" s="1274"/>
      <c r="E674" s="1248"/>
      <c r="F674" s="1248"/>
      <c r="G674" s="1271"/>
      <c r="H674" s="1250"/>
      <c r="I674" s="1251"/>
      <c r="J674" s="1271"/>
      <c r="K674" s="1271"/>
      <c r="L674" s="1254"/>
      <c r="M674" s="1244"/>
      <c r="N674" s="1273"/>
      <c r="O674" s="1244"/>
      <c r="P674" s="1244"/>
      <c r="Q674" s="1244"/>
      <c r="R674" s="1244"/>
      <c r="S674" s="1265"/>
      <c r="T674" s="1244"/>
      <c r="U674" s="1244"/>
    </row>
    <row r="675">
      <c r="A675" s="1235"/>
      <c r="B675" s="1235"/>
      <c r="C675" s="1246"/>
      <c r="D675" s="1274"/>
      <c r="E675" s="1248"/>
      <c r="F675" s="1248"/>
      <c r="G675" s="1271"/>
      <c r="H675" s="1250"/>
      <c r="I675" s="1251"/>
      <c r="J675" s="1271"/>
      <c r="K675" s="1271"/>
      <c r="L675" s="1254"/>
      <c r="M675" s="1244"/>
      <c r="N675" s="1273"/>
      <c r="O675" s="1244"/>
      <c r="P675" s="1244"/>
      <c r="Q675" s="1244"/>
      <c r="R675" s="1244"/>
      <c r="S675" s="1265"/>
      <c r="T675" s="1244"/>
      <c r="U675" s="1244"/>
    </row>
    <row r="676">
      <c r="A676" s="1235"/>
      <c r="B676" s="1235"/>
      <c r="C676" s="1246"/>
      <c r="D676" s="1274"/>
      <c r="E676" s="1248"/>
      <c r="F676" s="1248"/>
      <c r="G676" s="1271"/>
      <c r="H676" s="1250"/>
      <c r="I676" s="1251"/>
      <c r="J676" s="1271"/>
      <c r="K676" s="1271"/>
      <c r="L676" s="1254"/>
      <c r="M676" s="1244"/>
      <c r="N676" s="1273"/>
      <c r="O676" s="1244"/>
      <c r="P676" s="1244"/>
      <c r="Q676" s="1244"/>
      <c r="R676" s="1244"/>
      <c r="S676" s="1265"/>
      <c r="T676" s="1244"/>
      <c r="U676" s="1244"/>
    </row>
    <row r="677">
      <c r="A677" s="1235"/>
      <c r="B677" s="1235"/>
      <c r="C677" s="1246"/>
      <c r="D677" s="1274"/>
      <c r="E677" s="1248"/>
      <c r="F677" s="1248"/>
      <c r="G677" s="1271"/>
      <c r="H677" s="1250"/>
      <c r="I677" s="1251"/>
      <c r="J677" s="1271"/>
      <c r="K677" s="1271"/>
      <c r="L677" s="1254"/>
      <c r="M677" s="1244"/>
      <c r="N677" s="1273"/>
      <c r="O677" s="1244"/>
      <c r="P677" s="1244"/>
      <c r="Q677" s="1244"/>
      <c r="R677" s="1244"/>
      <c r="S677" s="1265"/>
      <c r="T677" s="1244"/>
      <c r="U677" s="1244"/>
    </row>
    <row r="678">
      <c r="A678" s="1235"/>
      <c r="B678" s="1235"/>
      <c r="C678" s="1246"/>
      <c r="D678" s="1274"/>
      <c r="E678" s="1248"/>
      <c r="F678" s="1248"/>
      <c r="G678" s="1271"/>
      <c r="H678" s="1250"/>
      <c r="I678" s="1251"/>
      <c r="J678" s="1271"/>
      <c r="K678" s="1271"/>
      <c r="L678" s="1254"/>
      <c r="M678" s="1244"/>
      <c r="N678" s="1273"/>
      <c r="O678" s="1244"/>
      <c r="P678" s="1244"/>
      <c r="Q678" s="1244"/>
      <c r="R678" s="1244"/>
      <c r="S678" s="1265"/>
      <c r="T678" s="1244"/>
      <c r="U678" s="1244"/>
    </row>
    <row r="679">
      <c r="A679" s="1235"/>
      <c r="B679" s="1235"/>
      <c r="C679" s="1246"/>
      <c r="D679" s="1274"/>
      <c r="E679" s="1248"/>
      <c r="F679" s="1248"/>
      <c r="G679" s="1271"/>
      <c r="H679" s="1250"/>
      <c r="I679" s="1251"/>
      <c r="J679" s="1271"/>
      <c r="K679" s="1271"/>
      <c r="L679" s="1254"/>
      <c r="M679" s="1244"/>
      <c r="N679" s="1273"/>
      <c r="O679" s="1244"/>
      <c r="P679" s="1244"/>
      <c r="Q679" s="1244"/>
      <c r="R679" s="1244"/>
      <c r="S679" s="1265"/>
      <c r="T679" s="1244"/>
      <c r="U679" s="1244"/>
    </row>
    <row r="680">
      <c r="A680" s="1235"/>
      <c r="B680" s="1235"/>
      <c r="C680" s="1246"/>
      <c r="D680" s="1274"/>
      <c r="E680" s="1248"/>
      <c r="F680" s="1248"/>
      <c r="G680" s="1271"/>
      <c r="H680" s="1250"/>
      <c r="I680" s="1251"/>
      <c r="J680" s="1271"/>
      <c r="K680" s="1271"/>
      <c r="L680" s="1254"/>
      <c r="M680" s="1244"/>
      <c r="N680" s="1273"/>
      <c r="O680" s="1244"/>
      <c r="P680" s="1244"/>
      <c r="Q680" s="1244"/>
      <c r="R680" s="1244"/>
      <c r="S680" s="1265"/>
      <c r="T680" s="1244"/>
      <c r="U680" s="1244"/>
    </row>
    <row r="681">
      <c r="A681" s="1235"/>
      <c r="B681" s="1235"/>
      <c r="C681" s="1246"/>
      <c r="D681" s="1274"/>
      <c r="E681" s="1248"/>
      <c r="F681" s="1248"/>
      <c r="G681" s="1271"/>
      <c r="H681" s="1250"/>
      <c r="I681" s="1251"/>
      <c r="J681" s="1271"/>
      <c r="K681" s="1271"/>
      <c r="L681" s="1254"/>
      <c r="M681" s="1244"/>
      <c r="N681" s="1273"/>
      <c r="O681" s="1244"/>
      <c r="P681" s="1244"/>
      <c r="Q681" s="1244"/>
      <c r="R681" s="1244"/>
      <c r="S681" s="1265"/>
      <c r="T681" s="1244"/>
      <c r="U681" s="1244"/>
    </row>
    <row r="682">
      <c r="A682" s="1235"/>
      <c r="B682" s="1235"/>
      <c r="C682" s="1246"/>
      <c r="D682" s="1274"/>
      <c r="E682" s="1248"/>
      <c r="F682" s="1248"/>
      <c r="G682" s="1271"/>
      <c r="H682" s="1250"/>
      <c r="I682" s="1251"/>
      <c r="J682" s="1271"/>
      <c r="K682" s="1271"/>
      <c r="L682" s="1254"/>
      <c r="M682" s="1244"/>
      <c r="N682" s="1273"/>
      <c r="O682" s="1244"/>
      <c r="P682" s="1244"/>
      <c r="Q682" s="1244"/>
      <c r="R682" s="1244"/>
      <c r="S682" s="1265"/>
      <c r="T682" s="1244"/>
      <c r="U682" s="1244"/>
    </row>
    <row r="683">
      <c r="A683" s="1235"/>
      <c r="B683" s="1235"/>
      <c r="C683" s="1246"/>
      <c r="D683" s="1274"/>
      <c r="E683" s="1248"/>
      <c r="F683" s="1248"/>
      <c r="G683" s="1271"/>
      <c r="H683" s="1250"/>
      <c r="I683" s="1251"/>
      <c r="J683" s="1271"/>
      <c r="K683" s="1271"/>
      <c r="L683" s="1254"/>
      <c r="M683" s="1244"/>
      <c r="N683" s="1273"/>
      <c r="O683" s="1244"/>
      <c r="P683" s="1244"/>
      <c r="Q683" s="1244"/>
      <c r="R683" s="1244"/>
      <c r="S683" s="1265"/>
      <c r="T683" s="1244"/>
      <c r="U683" s="1244"/>
    </row>
    <row r="684">
      <c r="A684" s="1235"/>
      <c r="B684" s="1235"/>
      <c r="C684" s="1246"/>
      <c r="D684" s="1274"/>
      <c r="E684" s="1248"/>
      <c r="F684" s="1248"/>
      <c r="G684" s="1271"/>
      <c r="H684" s="1250"/>
      <c r="I684" s="1251"/>
      <c r="J684" s="1271"/>
      <c r="K684" s="1271"/>
      <c r="L684" s="1254"/>
      <c r="M684" s="1244"/>
      <c r="N684" s="1273"/>
      <c r="O684" s="1244"/>
      <c r="P684" s="1244"/>
      <c r="Q684" s="1244"/>
      <c r="R684" s="1244"/>
      <c r="S684" s="1265"/>
      <c r="T684" s="1244"/>
      <c r="U684" s="1244"/>
    </row>
    <row r="685">
      <c r="A685" s="1235"/>
      <c r="B685" s="1235"/>
      <c r="C685" s="1246"/>
      <c r="D685" s="1274"/>
      <c r="E685" s="1248"/>
      <c r="F685" s="1248"/>
      <c r="G685" s="1271"/>
      <c r="H685" s="1250"/>
      <c r="I685" s="1251"/>
      <c r="J685" s="1271"/>
      <c r="K685" s="1271"/>
      <c r="L685" s="1254"/>
      <c r="M685" s="1244"/>
      <c r="N685" s="1273"/>
      <c r="O685" s="1244"/>
      <c r="P685" s="1244"/>
      <c r="Q685" s="1244"/>
      <c r="R685" s="1244"/>
      <c r="S685" s="1265"/>
      <c r="T685" s="1244"/>
      <c r="U685" s="1244"/>
    </row>
    <row r="686">
      <c r="A686" s="1235"/>
      <c r="B686" s="1235"/>
      <c r="C686" s="1246"/>
      <c r="D686" s="1274"/>
      <c r="E686" s="1248"/>
      <c r="F686" s="1248"/>
      <c r="G686" s="1271"/>
      <c r="H686" s="1250"/>
      <c r="I686" s="1251"/>
      <c r="J686" s="1271"/>
      <c r="K686" s="1271"/>
      <c r="L686" s="1254"/>
      <c r="M686" s="1244"/>
      <c r="N686" s="1273"/>
      <c r="O686" s="1244"/>
      <c r="P686" s="1244"/>
      <c r="Q686" s="1244"/>
      <c r="R686" s="1244"/>
      <c r="S686" s="1265"/>
      <c r="T686" s="1244"/>
      <c r="U686" s="1244"/>
    </row>
    <row r="687">
      <c r="A687" s="1235"/>
      <c r="B687" s="1235"/>
      <c r="C687" s="1246"/>
      <c r="D687" s="1274"/>
      <c r="E687" s="1248"/>
      <c r="F687" s="1248"/>
      <c r="G687" s="1271"/>
      <c r="H687" s="1250"/>
      <c r="I687" s="1251"/>
      <c r="J687" s="1271"/>
      <c r="K687" s="1271"/>
      <c r="L687" s="1254"/>
      <c r="M687" s="1244"/>
      <c r="N687" s="1273"/>
      <c r="O687" s="1244"/>
      <c r="P687" s="1244"/>
      <c r="Q687" s="1244"/>
      <c r="R687" s="1244"/>
      <c r="S687" s="1265"/>
      <c r="T687" s="1244"/>
      <c r="U687" s="1244"/>
    </row>
    <row r="688">
      <c r="A688" s="1235"/>
      <c r="B688" s="1235"/>
      <c r="C688" s="1246"/>
      <c r="D688" s="1274"/>
      <c r="E688" s="1248"/>
      <c r="F688" s="1248"/>
      <c r="G688" s="1271"/>
      <c r="H688" s="1250"/>
      <c r="I688" s="1251"/>
      <c r="J688" s="1271"/>
      <c r="K688" s="1271"/>
      <c r="L688" s="1254"/>
      <c r="M688" s="1244"/>
      <c r="N688" s="1273"/>
      <c r="O688" s="1244"/>
      <c r="P688" s="1244"/>
      <c r="Q688" s="1244"/>
      <c r="R688" s="1244"/>
      <c r="S688" s="1265"/>
      <c r="T688" s="1244"/>
      <c r="U688" s="1244"/>
    </row>
    <row r="689">
      <c r="A689" s="1235"/>
      <c r="B689" s="1235"/>
      <c r="C689" s="1246"/>
      <c r="D689" s="1274"/>
      <c r="E689" s="1248"/>
      <c r="F689" s="1248"/>
      <c r="G689" s="1271"/>
      <c r="H689" s="1250"/>
      <c r="I689" s="1251"/>
      <c r="J689" s="1271"/>
      <c r="K689" s="1271"/>
      <c r="L689" s="1254"/>
      <c r="M689" s="1244"/>
      <c r="N689" s="1273"/>
      <c r="O689" s="1244"/>
      <c r="P689" s="1244"/>
      <c r="Q689" s="1244"/>
      <c r="R689" s="1244"/>
      <c r="S689" s="1265"/>
      <c r="T689" s="1244"/>
      <c r="U689" s="1244"/>
    </row>
    <row r="690">
      <c r="A690" s="1235"/>
      <c r="B690" s="1235"/>
      <c r="C690" s="1246"/>
      <c r="D690" s="1274"/>
      <c r="E690" s="1248"/>
      <c r="F690" s="1248"/>
      <c r="G690" s="1271"/>
      <c r="H690" s="1250"/>
      <c r="I690" s="1251"/>
      <c r="J690" s="1271"/>
      <c r="K690" s="1271"/>
      <c r="L690" s="1254"/>
      <c r="M690" s="1244"/>
      <c r="N690" s="1273"/>
      <c r="O690" s="1244"/>
      <c r="P690" s="1244"/>
      <c r="Q690" s="1244"/>
      <c r="R690" s="1244"/>
      <c r="S690" s="1265"/>
      <c r="T690" s="1244"/>
      <c r="U690" s="1244"/>
    </row>
    <row r="691">
      <c r="A691" s="1235"/>
      <c r="B691" s="1235"/>
      <c r="C691" s="1246"/>
      <c r="D691" s="1274"/>
      <c r="E691" s="1248"/>
      <c r="F691" s="1248"/>
      <c r="G691" s="1271"/>
      <c r="H691" s="1250"/>
      <c r="I691" s="1251"/>
      <c r="J691" s="1271"/>
      <c r="K691" s="1271"/>
      <c r="L691" s="1254"/>
      <c r="M691" s="1244"/>
      <c r="N691" s="1273"/>
      <c r="O691" s="1244"/>
      <c r="P691" s="1244"/>
      <c r="Q691" s="1244"/>
      <c r="R691" s="1244"/>
      <c r="S691" s="1265"/>
      <c r="T691" s="1244"/>
      <c r="U691" s="1244"/>
    </row>
    <row r="692">
      <c r="A692" s="1235"/>
      <c r="B692" s="1235"/>
      <c r="C692" s="1246"/>
      <c r="D692" s="1274"/>
      <c r="E692" s="1248"/>
      <c r="F692" s="1248"/>
      <c r="G692" s="1271"/>
      <c r="H692" s="1250"/>
      <c r="I692" s="1251"/>
      <c r="J692" s="1271"/>
      <c r="K692" s="1271"/>
      <c r="L692" s="1254"/>
      <c r="M692" s="1244"/>
      <c r="N692" s="1273"/>
      <c r="O692" s="1244"/>
      <c r="P692" s="1244"/>
      <c r="Q692" s="1244"/>
      <c r="R692" s="1244"/>
      <c r="S692" s="1265"/>
      <c r="T692" s="1244"/>
      <c r="U692" s="1244"/>
    </row>
    <row r="693">
      <c r="A693" s="1235"/>
      <c r="B693" s="1235"/>
      <c r="C693" s="1246"/>
      <c r="D693" s="1274"/>
      <c r="E693" s="1248"/>
      <c r="F693" s="1248"/>
      <c r="G693" s="1271"/>
      <c r="H693" s="1250"/>
      <c r="I693" s="1251"/>
      <c r="J693" s="1271"/>
      <c r="K693" s="1271"/>
      <c r="L693" s="1254"/>
      <c r="M693" s="1244"/>
      <c r="N693" s="1273"/>
      <c r="O693" s="1244"/>
      <c r="P693" s="1244"/>
      <c r="Q693" s="1244"/>
      <c r="R693" s="1244"/>
      <c r="S693" s="1265"/>
      <c r="T693" s="1244"/>
      <c r="U693" s="1244"/>
    </row>
    <row r="694">
      <c r="A694" s="1235"/>
      <c r="B694" s="1235"/>
      <c r="C694" s="1246"/>
      <c r="D694" s="1274"/>
      <c r="E694" s="1248"/>
      <c r="F694" s="1248"/>
      <c r="G694" s="1271"/>
      <c r="H694" s="1250"/>
      <c r="I694" s="1251"/>
      <c r="J694" s="1271"/>
      <c r="K694" s="1271"/>
      <c r="L694" s="1254"/>
      <c r="M694" s="1244"/>
      <c r="N694" s="1273"/>
      <c r="O694" s="1244"/>
      <c r="P694" s="1244"/>
      <c r="Q694" s="1244"/>
      <c r="R694" s="1244"/>
      <c r="S694" s="1265"/>
      <c r="T694" s="1244"/>
      <c r="U694" s="1244"/>
    </row>
    <row r="695">
      <c r="A695" s="1235"/>
      <c r="B695" s="1235"/>
      <c r="C695" s="1246"/>
      <c r="D695" s="1274"/>
      <c r="E695" s="1248"/>
      <c r="F695" s="1248"/>
      <c r="G695" s="1271"/>
      <c r="H695" s="1250"/>
      <c r="I695" s="1251"/>
      <c r="J695" s="1271"/>
      <c r="K695" s="1271"/>
      <c r="L695" s="1254"/>
      <c r="M695" s="1244"/>
      <c r="N695" s="1273"/>
      <c r="O695" s="1244"/>
      <c r="P695" s="1244"/>
      <c r="Q695" s="1244"/>
      <c r="R695" s="1244"/>
      <c r="S695" s="1265"/>
      <c r="T695" s="1244"/>
      <c r="U695" s="1244"/>
    </row>
    <row r="696">
      <c r="A696" s="1235"/>
      <c r="B696" s="1235"/>
      <c r="C696" s="1246"/>
      <c r="D696" s="1274"/>
      <c r="E696" s="1248"/>
      <c r="F696" s="1248"/>
      <c r="G696" s="1271"/>
      <c r="H696" s="1250"/>
      <c r="I696" s="1251"/>
      <c r="J696" s="1271"/>
      <c r="K696" s="1271"/>
      <c r="L696" s="1254"/>
      <c r="M696" s="1244"/>
      <c r="N696" s="1273"/>
      <c r="O696" s="1244"/>
      <c r="P696" s="1244"/>
      <c r="Q696" s="1244"/>
      <c r="R696" s="1244"/>
      <c r="S696" s="1265"/>
      <c r="T696" s="1244"/>
      <c r="U696" s="1244"/>
    </row>
    <row r="697">
      <c r="A697" s="1235"/>
      <c r="B697" s="1235"/>
      <c r="C697" s="1246"/>
      <c r="D697" s="1274"/>
      <c r="E697" s="1248"/>
      <c r="F697" s="1248"/>
      <c r="G697" s="1271"/>
      <c r="H697" s="1250"/>
      <c r="I697" s="1251"/>
      <c r="J697" s="1271"/>
      <c r="K697" s="1271"/>
      <c r="L697" s="1254"/>
      <c r="M697" s="1244"/>
      <c r="N697" s="1273"/>
      <c r="O697" s="1244"/>
      <c r="P697" s="1244"/>
      <c r="Q697" s="1244"/>
      <c r="R697" s="1244"/>
      <c r="S697" s="1265"/>
      <c r="T697" s="1244"/>
      <c r="U697" s="1244"/>
    </row>
    <row r="698">
      <c r="A698" s="1235"/>
      <c r="B698" s="1235"/>
      <c r="C698" s="1246"/>
      <c r="D698" s="1274"/>
      <c r="E698" s="1248"/>
      <c r="F698" s="1248"/>
      <c r="G698" s="1271"/>
      <c r="H698" s="1250"/>
      <c r="I698" s="1251"/>
      <c r="J698" s="1271"/>
      <c r="K698" s="1271"/>
      <c r="L698" s="1254"/>
      <c r="M698" s="1244"/>
      <c r="N698" s="1273"/>
      <c r="O698" s="1244"/>
      <c r="P698" s="1244"/>
      <c r="Q698" s="1244"/>
      <c r="R698" s="1244"/>
      <c r="S698" s="1265"/>
      <c r="T698" s="1244"/>
      <c r="U698" s="1244"/>
    </row>
    <row r="699">
      <c r="A699" s="1235"/>
      <c r="B699" s="1235"/>
      <c r="C699" s="1246"/>
      <c r="D699" s="1274"/>
      <c r="E699" s="1248"/>
      <c r="F699" s="1248"/>
      <c r="G699" s="1271"/>
      <c r="H699" s="1250"/>
      <c r="I699" s="1251"/>
      <c r="J699" s="1271"/>
      <c r="K699" s="1271"/>
      <c r="L699" s="1254"/>
      <c r="M699" s="1244"/>
      <c r="N699" s="1273"/>
      <c r="O699" s="1244"/>
      <c r="P699" s="1244"/>
      <c r="Q699" s="1244"/>
      <c r="R699" s="1244"/>
      <c r="S699" s="1265"/>
      <c r="T699" s="1244"/>
      <c r="U699" s="1244"/>
    </row>
    <row r="700">
      <c r="A700" s="1235"/>
      <c r="B700" s="1235"/>
      <c r="C700" s="1246"/>
      <c r="D700" s="1274"/>
      <c r="E700" s="1248"/>
      <c r="F700" s="1248"/>
      <c r="G700" s="1271"/>
      <c r="H700" s="1250"/>
      <c r="I700" s="1251"/>
      <c r="J700" s="1271"/>
      <c r="K700" s="1271"/>
      <c r="L700" s="1254"/>
      <c r="M700" s="1244"/>
      <c r="N700" s="1273"/>
      <c r="O700" s="1244"/>
      <c r="P700" s="1244"/>
      <c r="Q700" s="1244"/>
      <c r="R700" s="1244"/>
      <c r="S700" s="1265"/>
      <c r="T700" s="1244"/>
      <c r="U700" s="1244"/>
    </row>
    <row r="701">
      <c r="A701" s="1235"/>
      <c r="B701" s="1235"/>
      <c r="C701" s="1246"/>
      <c r="D701" s="1274"/>
      <c r="E701" s="1248"/>
      <c r="F701" s="1248"/>
      <c r="G701" s="1271"/>
      <c r="H701" s="1250"/>
      <c r="I701" s="1251"/>
      <c r="J701" s="1271"/>
      <c r="K701" s="1271"/>
      <c r="L701" s="1254"/>
      <c r="M701" s="1244"/>
      <c r="N701" s="1273"/>
      <c r="O701" s="1244"/>
      <c r="P701" s="1244"/>
      <c r="Q701" s="1244"/>
      <c r="R701" s="1244"/>
      <c r="S701" s="1265"/>
      <c r="T701" s="1244"/>
      <c r="U701" s="1244"/>
    </row>
    <row r="702">
      <c r="A702" s="1235"/>
      <c r="B702" s="1235"/>
      <c r="C702" s="1246"/>
      <c r="D702" s="1274"/>
      <c r="E702" s="1248"/>
      <c r="F702" s="1248"/>
      <c r="G702" s="1271"/>
      <c r="H702" s="1250"/>
      <c r="I702" s="1251"/>
      <c r="J702" s="1271"/>
      <c r="K702" s="1271"/>
      <c r="L702" s="1254"/>
      <c r="M702" s="1244"/>
      <c r="N702" s="1273"/>
      <c r="O702" s="1244"/>
      <c r="P702" s="1244"/>
      <c r="Q702" s="1244"/>
      <c r="R702" s="1244"/>
      <c r="S702" s="1265"/>
      <c r="T702" s="1244"/>
      <c r="U702" s="1244"/>
    </row>
    <row r="703">
      <c r="A703" s="1235"/>
      <c r="B703" s="1235"/>
      <c r="C703" s="1246"/>
      <c r="D703" s="1274"/>
      <c r="E703" s="1248"/>
      <c r="F703" s="1248"/>
      <c r="G703" s="1271"/>
      <c r="H703" s="1250"/>
      <c r="I703" s="1251"/>
      <c r="J703" s="1271"/>
      <c r="K703" s="1271"/>
      <c r="L703" s="1254"/>
      <c r="M703" s="1244"/>
      <c r="N703" s="1273"/>
      <c r="O703" s="1244"/>
      <c r="P703" s="1244"/>
      <c r="Q703" s="1244"/>
      <c r="R703" s="1244"/>
      <c r="S703" s="1265"/>
      <c r="T703" s="1244"/>
      <c r="U703" s="1244"/>
    </row>
    <row r="704">
      <c r="A704" s="1235"/>
      <c r="B704" s="1235"/>
      <c r="C704" s="1246"/>
      <c r="D704" s="1274"/>
      <c r="E704" s="1248"/>
      <c r="F704" s="1248"/>
      <c r="G704" s="1271"/>
      <c r="H704" s="1250"/>
      <c r="I704" s="1251"/>
      <c r="J704" s="1271"/>
      <c r="K704" s="1271"/>
      <c r="L704" s="1254"/>
      <c r="M704" s="1244"/>
      <c r="N704" s="1273"/>
      <c r="O704" s="1244"/>
      <c r="P704" s="1244"/>
      <c r="Q704" s="1244"/>
      <c r="R704" s="1244"/>
      <c r="S704" s="1265"/>
      <c r="T704" s="1244"/>
      <c r="U704" s="1244"/>
    </row>
    <row r="705">
      <c r="A705" s="1235"/>
      <c r="B705" s="1235"/>
      <c r="C705" s="1246"/>
      <c r="D705" s="1274"/>
      <c r="E705" s="1248"/>
      <c r="F705" s="1248"/>
      <c r="G705" s="1271"/>
      <c r="H705" s="1250"/>
      <c r="I705" s="1251"/>
      <c r="J705" s="1271"/>
      <c r="K705" s="1271"/>
      <c r="L705" s="1254"/>
      <c r="M705" s="1244"/>
      <c r="N705" s="1273"/>
      <c r="O705" s="1244"/>
      <c r="P705" s="1244"/>
      <c r="Q705" s="1244"/>
      <c r="R705" s="1244"/>
      <c r="S705" s="1265"/>
      <c r="T705" s="1244"/>
      <c r="U705" s="1244"/>
    </row>
    <row r="706">
      <c r="A706" s="1235"/>
      <c r="B706" s="1235"/>
      <c r="C706" s="1246"/>
      <c r="D706" s="1274"/>
      <c r="E706" s="1248"/>
      <c r="F706" s="1248"/>
      <c r="G706" s="1271"/>
      <c r="H706" s="1250"/>
      <c r="I706" s="1251"/>
      <c r="J706" s="1271"/>
      <c r="K706" s="1271"/>
      <c r="L706" s="1254"/>
      <c r="M706" s="1244"/>
      <c r="N706" s="1273"/>
      <c r="O706" s="1244"/>
      <c r="P706" s="1244"/>
      <c r="Q706" s="1244"/>
      <c r="R706" s="1244"/>
      <c r="S706" s="1265"/>
      <c r="T706" s="1244"/>
      <c r="U706" s="1244"/>
    </row>
    <row r="707">
      <c r="A707" s="1235"/>
      <c r="B707" s="1235"/>
      <c r="C707" s="1246"/>
      <c r="D707" s="1274"/>
      <c r="E707" s="1248"/>
      <c r="F707" s="1248"/>
      <c r="G707" s="1271"/>
      <c r="H707" s="1250"/>
      <c r="I707" s="1251"/>
      <c r="J707" s="1271"/>
      <c r="K707" s="1271"/>
      <c r="L707" s="1254"/>
      <c r="M707" s="1244"/>
      <c r="N707" s="1273"/>
      <c r="O707" s="1244"/>
      <c r="P707" s="1244"/>
      <c r="Q707" s="1244"/>
      <c r="R707" s="1244"/>
      <c r="S707" s="1265"/>
      <c r="T707" s="1244"/>
      <c r="U707" s="1244"/>
    </row>
    <row r="708">
      <c r="A708" s="1235"/>
      <c r="B708" s="1235"/>
      <c r="C708" s="1246"/>
      <c r="D708" s="1274"/>
      <c r="E708" s="1248"/>
      <c r="F708" s="1248"/>
      <c r="G708" s="1271"/>
      <c r="H708" s="1250"/>
      <c r="I708" s="1251"/>
      <c r="J708" s="1271"/>
      <c r="K708" s="1271"/>
      <c r="L708" s="1254"/>
      <c r="M708" s="1244"/>
      <c r="N708" s="1273"/>
      <c r="O708" s="1244"/>
      <c r="P708" s="1244"/>
      <c r="Q708" s="1244"/>
      <c r="R708" s="1244"/>
      <c r="S708" s="1265"/>
      <c r="T708" s="1244"/>
      <c r="U708" s="1244"/>
    </row>
    <row r="709">
      <c r="A709" s="1235"/>
      <c r="B709" s="1235"/>
      <c r="C709" s="1246"/>
      <c r="D709" s="1274"/>
      <c r="E709" s="1248"/>
      <c r="F709" s="1248"/>
      <c r="G709" s="1271"/>
      <c r="H709" s="1250"/>
      <c r="I709" s="1251"/>
      <c r="J709" s="1271"/>
      <c r="K709" s="1271"/>
      <c r="L709" s="1254"/>
      <c r="M709" s="1244"/>
      <c r="N709" s="1273"/>
      <c r="O709" s="1244"/>
      <c r="P709" s="1244"/>
      <c r="Q709" s="1244"/>
      <c r="R709" s="1244"/>
      <c r="S709" s="1265"/>
      <c r="T709" s="1244"/>
      <c r="U709" s="1244"/>
    </row>
    <row r="710">
      <c r="A710" s="1235"/>
      <c r="B710" s="1235"/>
      <c r="C710" s="1246"/>
      <c r="D710" s="1274"/>
      <c r="E710" s="1248"/>
      <c r="F710" s="1248"/>
      <c r="G710" s="1271"/>
      <c r="H710" s="1250"/>
      <c r="I710" s="1251"/>
      <c r="J710" s="1271"/>
      <c r="K710" s="1271"/>
      <c r="L710" s="1254"/>
      <c r="M710" s="1244"/>
      <c r="N710" s="1273"/>
      <c r="O710" s="1244"/>
      <c r="P710" s="1244"/>
      <c r="Q710" s="1244"/>
      <c r="R710" s="1244"/>
      <c r="S710" s="1265"/>
      <c r="T710" s="1244"/>
      <c r="U710" s="1244"/>
    </row>
    <row r="711">
      <c r="A711" s="1235"/>
      <c r="B711" s="1235"/>
      <c r="C711" s="1246"/>
      <c r="D711" s="1274"/>
      <c r="E711" s="1248"/>
      <c r="F711" s="1248"/>
      <c r="G711" s="1271"/>
      <c r="H711" s="1250"/>
      <c r="I711" s="1251"/>
      <c r="J711" s="1271"/>
      <c r="K711" s="1271"/>
      <c r="L711" s="1254"/>
      <c r="M711" s="1244"/>
      <c r="N711" s="1273"/>
      <c r="O711" s="1244"/>
      <c r="P711" s="1244"/>
      <c r="Q711" s="1244"/>
      <c r="R711" s="1244"/>
      <c r="S711" s="1265"/>
      <c r="T711" s="1244"/>
      <c r="U711" s="1244"/>
    </row>
    <row r="712">
      <c r="A712" s="1235"/>
      <c r="B712" s="1235"/>
      <c r="C712" s="1246"/>
      <c r="D712" s="1274"/>
      <c r="E712" s="1248"/>
      <c r="F712" s="1248"/>
      <c r="G712" s="1271"/>
      <c r="H712" s="1250"/>
      <c r="I712" s="1251"/>
      <c r="J712" s="1271"/>
      <c r="K712" s="1271"/>
      <c r="L712" s="1254"/>
      <c r="M712" s="1244"/>
      <c r="N712" s="1273"/>
      <c r="O712" s="1244"/>
      <c r="P712" s="1244"/>
      <c r="Q712" s="1244"/>
      <c r="R712" s="1244"/>
      <c r="S712" s="1265"/>
      <c r="T712" s="1244"/>
      <c r="U712" s="1244"/>
    </row>
    <row r="713">
      <c r="A713" s="1235"/>
      <c r="B713" s="1235"/>
      <c r="C713" s="1246"/>
      <c r="D713" s="1274"/>
      <c r="E713" s="1248"/>
      <c r="F713" s="1248"/>
      <c r="G713" s="1271"/>
      <c r="H713" s="1250"/>
      <c r="I713" s="1251"/>
      <c r="J713" s="1271"/>
      <c r="K713" s="1271"/>
      <c r="L713" s="1254"/>
      <c r="M713" s="1244"/>
      <c r="N713" s="1273"/>
      <c r="O713" s="1244"/>
      <c r="P713" s="1244"/>
      <c r="Q713" s="1244"/>
      <c r="R713" s="1244"/>
      <c r="S713" s="1265"/>
      <c r="T713" s="1244"/>
      <c r="U713" s="1244"/>
    </row>
    <row r="714">
      <c r="A714" s="1235"/>
      <c r="B714" s="1235"/>
      <c r="C714" s="1246"/>
      <c r="D714" s="1274"/>
      <c r="E714" s="1248"/>
      <c r="F714" s="1248"/>
      <c r="G714" s="1271"/>
      <c r="H714" s="1250"/>
      <c r="I714" s="1251"/>
      <c r="J714" s="1271"/>
      <c r="K714" s="1271"/>
      <c r="L714" s="1254"/>
      <c r="M714" s="1244"/>
      <c r="N714" s="1273"/>
      <c r="O714" s="1244"/>
      <c r="P714" s="1244"/>
      <c r="Q714" s="1244"/>
      <c r="R714" s="1244"/>
      <c r="S714" s="1265"/>
      <c r="T714" s="1244"/>
      <c r="U714" s="1244"/>
    </row>
    <row r="715">
      <c r="A715" s="1235"/>
      <c r="B715" s="1235"/>
      <c r="C715" s="1246"/>
      <c r="D715" s="1274"/>
      <c r="E715" s="1248"/>
      <c r="F715" s="1248"/>
      <c r="G715" s="1271"/>
      <c r="H715" s="1250"/>
      <c r="I715" s="1251"/>
      <c r="J715" s="1271"/>
      <c r="K715" s="1271"/>
      <c r="L715" s="1254"/>
      <c r="M715" s="1244"/>
      <c r="N715" s="1273"/>
      <c r="O715" s="1244"/>
      <c r="P715" s="1244"/>
      <c r="Q715" s="1244"/>
      <c r="R715" s="1244"/>
      <c r="S715" s="1265"/>
      <c r="T715" s="1244"/>
      <c r="U715" s="1244"/>
    </row>
    <row r="716">
      <c r="A716" s="1235"/>
      <c r="B716" s="1235"/>
      <c r="C716" s="1246"/>
      <c r="D716" s="1274"/>
      <c r="E716" s="1248"/>
      <c r="F716" s="1248"/>
      <c r="G716" s="1271"/>
      <c r="H716" s="1250"/>
      <c r="I716" s="1251"/>
      <c r="J716" s="1271"/>
      <c r="K716" s="1271"/>
      <c r="L716" s="1254"/>
      <c r="M716" s="1244"/>
      <c r="N716" s="1273"/>
      <c r="O716" s="1244"/>
      <c r="P716" s="1244"/>
      <c r="Q716" s="1244"/>
      <c r="R716" s="1244"/>
      <c r="S716" s="1265"/>
      <c r="T716" s="1244"/>
      <c r="U716" s="1244"/>
    </row>
    <row r="717">
      <c r="A717" s="1235"/>
      <c r="B717" s="1235"/>
      <c r="C717" s="1246"/>
      <c r="D717" s="1274"/>
      <c r="E717" s="1248"/>
      <c r="F717" s="1248"/>
      <c r="G717" s="1271"/>
      <c r="H717" s="1250"/>
      <c r="I717" s="1251"/>
      <c r="J717" s="1271"/>
      <c r="K717" s="1271"/>
      <c r="L717" s="1254"/>
      <c r="M717" s="1244"/>
      <c r="N717" s="1273"/>
      <c r="O717" s="1244"/>
      <c r="P717" s="1244"/>
      <c r="Q717" s="1244"/>
      <c r="R717" s="1244"/>
      <c r="S717" s="1265"/>
      <c r="T717" s="1244"/>
      <c r="U717" s="1244"/>
    </row>
    <row r="718">
      <c r="A718" s="1235"/>
      <c r="B718" s="1235"/>
      <c r="C718" s="1246"/>
      <c r="D718" s="1274"/>
      <c r="E718" s="1248"/>
      <c r="F718" s="1248"/>
      <c r="G718" s="1271"/>
      <c r="H718" s="1250"/>
      <c r="I718" s="1251"/>
      <c r="J718" s="1271"/>
      <c r="K718" s="1271"/>
      <c r="L718" s="1254"/>
      <c r="M718" s="1244"/>
      <c r="N718" s="1273"/>
      <c r="O718" s="1244"/>
      <c r="P718" s="1244"/>
      <c r="Q718" s="1244"/>
      <c r="R718" s="1244"/>
      <c r="S718" s="1265"/>
      <c r="T718" s="1244"/>
      <c r="U718" s="1244"/>
    </row>
    <row r="719">
      <c r="A719" s="1235"/>
      <c r="B719" s="1235"/>
      <c r="C719" s="1246"/>
      <c r="D719" s="1274"/>
      <c r="E719" s="1248"/>
      <c r="F719" s="1248"/>
      <c r="G719" s="1271"/>
      <c r="H719" s="1250"/>
      <c r="I719" s="1251"/>
      <c r="J719" s="1271"/>
      <c r="K719" s="1271"/>
      <c r="L719" s="1254"/>
      <c r="M719" s="1244"/>
      <c r="N719" s="1273"/>
      <c r="O719" s="1244"/>
      <c r="P719" s="1244"/>
      <c r="Q719" s="1244"/>
      <c r="R719" s="1244"/>
      <c r="S719" s="1265"/>
      <c r="T719" s="1244"/>
      <c r="U719" s="1244"/>
    </row>
    <row r="720">
      <c r="A720" s="1235"/>
      <c r="B720" s="1235"/>
      <c r="C720" s="1246"/>
      <c r="D720" s="1274"/>
      <c r="E720" s="1248"/>
      <c r="F720" s="1248"/>
      <c r="G720" s="1271"/>
      <c r="H720" s="1250"/>
      <c r="I720" s="1251"/>
      <c r="J720" s="1271"/>
      <c r="K720" s="1271"/>
      <c r="L720" s="1254"/>
      <c r="M720" s="1244"/>
      <c r="N720" s="1273"/>
      <c r="O720" s="1244"/>
      <c r="P720" s="1244"/>
      <c r="Q720" s="1244"/>
      <c r="R720" s="1244"/>
      <c r="S720" s="1265"/>
      <c r="T720" s="1244"/>
      <c r="U720" s="1244"/>
    </row>
    <row r="721">
      <c r="A721" s="1235"/>
      <c r="B721" s="1235"/>
      <c r="C721" s="1246"/>
      <c r="D721" s="1274"/>
      <c r="E721" s="1248"/>
      <c r="F721" s="1248"/>
      <c r="G721" s="1271"/>
      <c r="H721" s="1250"/>
      <c r="I721" s="1251"/>
      <c r="J721" s="1271"/>
      <c r="K721" s="1271"/>
      <c r="L721" s="1254"/>
      <c r="M721" s="1244"/>
      <c r="N721" s="1273"/>
      <c r="O721" s="1244"/>
      <c r="P721" s="1244"/>
      <c r="Q721" s="1244"/>
      <c r="R721" s="1244"/>
      <c r="S721" s="1265"/>
      <c r="T721" s="1244"/>
      <c r="U721" s="1244"/>
    </row>
    <row r="722">
      <c r="A722" s="1235"/>
      <c r="B722" s="1235"/>
      <c r="C722" s="1246"/>
      <c r="D722" s="1274"/>
      <c r="E722" s="1248"/>
      <c r="F722" s="1248"/>
      <c r="G722" s="1271"/>
      <c r="H722" s="1250"/>
      <c r="I722" s="1251"/>
      <c r="J722" s="1271"/>
      <c r="K722" s="1271"/>
      <c r="L722" s="1254"/>
      <c r="M722" s="1244"/>
      <c r="N722" s="1273"/>
      <c r="O722" s="1244"/>
      <c r="P722" s="1244"/>
      <c r="Q722" s="1244"/>
      <c r="R722" s="1244"/>
      <c r="S722" s="1265"/>
      <c r="T722" s="1244"/>
      <c r="U722" s="1244"/>
    </row>
    <row r="723">
      <c r="A723" s="1235"/>
      <c r="B723" s="1235"/>
      <c r="C723" s="1246"/>
      <c r="D723" s="1274"/>
      <c r="E723" s="1248"/>
      <c r="F723" s="1248"/>
      <c r="G723" s="1271"/>
      <c r="H723" s="1250"/>
      <c r="I723" s="1251"/>
      <c r="J723" s="1271"/>
      <c r="K723" s="1271"/>
      <c r="L723" s="1254"/>
      <c r="M723" s="1244"/>
      <c r="N723" s="1273"/>
      <c r="O723" s="1244"/>
      <c r="P723" s="1244"/>
      <c r="Q723" s="1244"/>
      <c r="R723" s="1244"/>
      <c r="S723" s="1265"/>
      <c r="T723" s="1244"/>
      <c r="U723" s="1244"/>
    </row>
    <row r="724">
      <c r="A724" s="1235"/>
      <c r="B724" s="1235"/>
      <c r="C724" s="1246"/>
      <c r="D724" s="1274"/>
      <c r="E724" s="1248"/>
      <c r="F724" s="1248"/>
      <c r="G724" s="1271"/>
      <c r="H724" s="1250"/>
      <c r="I724" s="1251"/>
      <c r="J724" s="1271"/>
      <c r="K724" s="1271"/>
      <c r="L724" s="1254"/>
      <c r="M724" s="1244"/>
      <c r="N724" s="1273"/>
      <c r="O724" s="1244"/>
      <c r="P724" s="1244"/>
      <c r="Q724" s="1244"/>
      <c r="R724" s="1244"/>
      <c r="S724" s="1265"/>
      <c r="T724" s="1244"/>
      <c r="U724" s="1244"/>
    </row>
    <row r="725">
      <c r="A725" s="1235"/>
      <c r="B725" s="1235"/>
      <c r="C725" s="1246"/>
      <c r="D725" s="1274"/>
      <c r="E725" s="1248"/>
      <c r="F725" s="1248"/>
      <c r="G725" s="1271"/>
      <c r="H725" s="1250"/>
      <c r="I725" s="1251"/>
      <c r="J725" s="1271"/>
      <c r="K725" s="1271"/>
      <c r="L725" s="1254"/>
      <c r="M725" s="1244"/>
      <c r="N725" s="1273"/>
      <c r="O725" s="1244"/>
      <c r="P725" s="1244"/>
      <c r="Q725" s="1244"/>
      <c r="R725" s="1244"/>
      <c r="S725" s="1265"/>
      <c r="T725" s="1244"/>
      <c r="U725" s="1244"/>
    </row>
    <row r="726">
      <c r="A726" s="1235"/>
      <c r="B726" s="1235"/>
      <c r="C726" s="1246"/>
      <c r="D726" s="1274"/>
      <c r="E726" s="1248"/>
      <c r="F726" s="1248"/>
      <c r="G726" s="1271"/>
      <c r="H726" s="1250"/>
      <c r="I726" s="1251"/>
      <c r="J726" s="1271"/>
      <c r="K726" s="1271"/>
      <c r="L726" s="1254"/>
      <c r="M726" s="1244"/>
      <c r="N726" s="1273"/>
      <c r="O726" s="1244"/>
      <c r="P726" s="1244"/>
      <c r="Q726" s="1244"/>
      <c r="R726" s="1244"/>
      <c r="S726" s="1265"/>
      <c r="T726" s="1244"/>
      <c r="U726" s="1244"/>
    </row>
    <row r="727">
      <c r="A727" s="1235"/>
      <c r="B727" s="1235"/>
      <c r="C727" s="1246"/>
      <c r="D727" s="1274"/>
      <c r="E727" s="1248"/>
      <c r="F727" s="1248"/>
      <c r="G727" s="1271"/>
      <c r="H727" s="1250"/>
      <c r="I727" s="1251"/>
      <c r="J727" s="1271"/>
      <c r="K727" s="1271"/>
      <c r="L727" s="1254"/>
      <c r="M727" s="1244"/>
      <c r="N727" s="1273"/>
      <c r="O727" s="1244"/>
      <c r="P727" s="1244"/>
      <c r="Q727" s="1244"/>
      <c r="R727" s="1244"/>
      <c r="S727" s="1265"/>
      <c r="T727" s="1244"/>
      <c r="U727" s="1244"/>
    </row>
    <row r="728">
      <c r="A728" s="1235"/>
      <c r="B728" s="1235"/>
      <c r="C728" s="1246"/>
      <c r="D728" s="1274"/>
      <c r="E728" s="1248"/>
      <c r="F728" s="1248"/>
      <c r="G728" s="1271"/>
      <c r="H728" s="1250"/>
      <c r="I728" s="1251"/>
      <c r="J728" s="1271"/>
      <c r="K728" s="1271"/>
      <c r="L728" s="1254"/>
      <c r="M728" s="1244"/>
      <c r="N728" s="1273"/>
      <c r="O728" s="1244"/>
      <c r="P728" s="1244"/>
      <c r="Q728" s="1244"/>
      <c r="R728" s="1244"/>
      <c r="S728" s="1265"/>
      <c r="T728" s="1244"/>
      <c r="U728" s="1244"/>
    </row>
    <row r="729">
      <c r="A729" s="1235"/>
      <c r="B729" s="1235"/>
      <c r="C729" s="1246"/>
      <c r="D729" s="1274"/>
      <c r="E729" s="1248"/>
      <c r="F729" s="1248"/>
      <c r="G729" s="1271"/>
      <c r="H729" s="1250"/>
      <c r="I729" s="1251"/>
      <c r="J729" s="1271"/>
      <c r="K729" s="1271"/>
      <c r="L729" s="1254"/>
      <c r="M729" s="1244"/>
      <c r="N729" s="1273"/>
      <c r="O729" s="1244"/>
      <c r="P729" s="1244"/>
      <c r="Q729" s="1244"/>
      <c r="R729" s="1244"/>
      <c r="S729" s="1265"/>
      <c r="T729" s="1244"/>
      <c r="U729" s="1244"/>
    </row>
    <row r="730">
      <c r="A730" s="1235"/>
      <c r="B730" s="1235"/>
      <c r="C730" s="1246"/>
      <c r="D730" s="1274"/>
      <c r="E730" s="1248"/>
      <c r="F730" s="1248"/>
      <c r="G730" s="1271"/>
      <c r="H730" s="1250"/>
      <c r="I730" s="1251"/>
      <c r="J730" s="1271"/>
      <c r="K730" s="1271"/>
      <c r="L730" s="1254"/>
      <c r="M730" s="1244"/>
      <c r="N730" s="1273"/>
      <c r="O730" s="1244"/>
      <c r="P730" s="1244"/>
      <c r="Q730" s="1244"/>
      <c r="R730" s="1244"/>
      <c r="S730" s="1265"/>
      <c r="T730" s="1244"/>
      <c r="U730" s="1244"/>
    </row>
    <row r="731">
      <c r="A731" s="1235"/>
      <c r="B731" s="1235"/>
      <c r="C731" s="1246"/>
      <c r="D731" s="1274"/>
      <c r="E731" s="1248"/>
      <c r="F731" s="1248"/>
      <c r="G731" s="1271"/>
      <c r="H731" s="1250"/>
      <c r="I731" s="1251"/>
      <c r="J731" s="1271"/>
      <c r="K731" s="1271"/>
      <c r="L731" s="1254"/>
      <c r="M731" s="1244"/>
      <c r="N731" s="1273"/>
      <c r="O731" s="1244"/>
      <c r="P731" s="1244"/>
      <c r="Q731" s="1244"/>
      <c r="R731" s="1244"/>
      <c r="S731" s="1265"/>
      <c r="T731" s="1244"/>
      <c r="U731" s="1244"/>
    </row>
    <row r="732">
      <c r="A732" s="1235"/>
      <c r="B732" s="1235"/>
      <c r="C732" s="1246"/>
      <c r="D732" s="1274"/>
      <c r="E732" s="1248"/>
      <c r="F732" s="1248"/>
      <c r="G732" s="1271"/>
      <c r="H732" s="1250"/>
      <c r="I732" s="1251"/>
      <c r="J732" s="1271"/>
      <c r="K732" s="1271"/>
      <c r="L732" s="1254"/>
      <c r="M732" s="1244"/>
      <c r="N732" s="1273"/>
      <c r="O732" s="1244"/>
      <c r="P732" s="1244"/>
      <c r="Q732" s="1244"/>
      <c r="R732" s="1244"/>
      <c r="S732" s="1265"/>
      <c r="T732" s="1244"/>
      <c r="U732" s="1244"/>
    </row>
    <row r="733">
      <c r="A733" s="1235"/>
      <c r="B733" s="1235"/>
      <c r="C733" s="1246"/>
      <c r="D733" s="1274"/>
      <c r="E733" s="1248"/>
      <c r="F733" s="1248"/>
      <c r="G733" s="1271"/>
      <c r="H733" s="1250"/>
      <c r="I733" s="1251"/>
      <c r="J733" s="1271"/>
      <c r="K733" s="1271"/>
      <c r="L733" s="1254"/>
      <c r="M733" s="1244"/>
      <c r="N733" s="1273"/>
      <c r="O733" s="1244"/>
      <c r="P733" s="1244"/>
      <c r="Q733" s="1244"/>
      <c r="R733" s="1244"/>
      <c r="S733" s="1265"/>
      <c r="T733" s="1244"/>
      <c r="U733" s="1244"/>
    </row>
    <row r="734">
      <c r="A734" s="1235"/>
      <c r="B734" s="1235"/>
      <c r="C734" s="1246"/>
      <c r="D734" s="1274"/>
      <c r="E734" s="1248"/>
      <c r="F734" s="1248"/>
      <c r="G734" s="1271"/>
      <c r="H734" s="1250"/>
      <c r="I734" s="1251"/>
      <c r="J734" s="1271"/>
      <c r="K734" s="1271"/>
      <c r="L734" s="1254"/>
      <c r="M734" s="1244"/>
      <c r="N734" s="1273"/>
      <c r="O734" s="1244"/>
      <c r="P734" s="1244"/>
      <c r="Q734" s="1244"/>
      <c r="R734" s="1244"/>
      <c r="S734" s="1265"/>
      <c r="T734" s="1244"/>
      <c r="U734" s="1244"/>
    </row>
    <row r="735">
      <c r="A735" s="1235"/>
      <c r="B735" s="1235"/>
      <c r="C735" s="1246"/>
      <c r="D735" s="1274"/>
      <c r="E735" s="1248"/>
      <c r="F735" s="1248"/>
      <c r="G735" s="1271"/>
      <c r="H735" s="1250"/>
      <c r="I735" s="1251"/>
      <c r="J735" s="1271"/>
      <c r="K735" s="1271"/>
      <c r="L735" s="1254"/>
      <c r="M735" s="1244"/>
      <c r="N735" s="1273"/>
      <c r="O735" s="1244"/>
      <c r="P735" s="1244"/>
      <c r="Q735" s="1244"/>
      <c r="R735" s="1244"/>
      <c r="S735" s="1265"/>
      <c r="T735" s="1244"/>
      <c r="U735" s="1244"/>
    </row>
    <row r="736">
      <c r="A736" s="1235"/>
      <c r="B736" s="1235"/>
      <c r="C736" s="1246"/>
      <c r="D736" s="1274"/>
      <c r="E736" s="1248"/>
      <c r="F736" s="1248"/>
      <c r="G736" s="1271"/>
      <c r="H736" s="1250"/>
      <c r="I736" s="1251"/>
      <c r="J736" s="1271"/>
      <c r="K736" s="1271"/>
      <c r="L736" s="1254"/>
      <c r="M736" s="1244"/>
      <c r="N736" s="1273"/>
      <c r="O736" s="1244"/>
      <c r="P736" s="1244"/>
      <c r="Q736" s="1244"/>
      <c r="R736" s="1244"/>
      <c r="S736" s="1265"/>
      <c r="T736" s="1244"/>
      <c r="U736" s="1244"/>
    </row>
    <row r="737">
      <c r="A737" s="1235"/>
      <c r="B737" s="1235"/>
      <c r="C737" s="1246"/>
      <c r="D737" s="1274"/>
      <c r="E737" s="1248"/>
      <c r="F737" s="1248"/>
      <c r="G737" s="1271"/>
      <c r="H737" s="1250"/>
      <c r="I737" s="1251"/>
      <c r="J737" s="1271"/>
      <c r="K737" s="1271"/>
      <c r="L737" s="1254"/>
      <c r="M737" s="1244"/>
      <c r="N737" s="1273"/>
      <c r="O737" s="1244"/>
      <c r="P737" s="1244"/>
      <c r="Q737" s="1244"/>
      <c r="R737" s="1244"/>
      <c r="S737" s="1265"/>
      <c r="T737" s="1244"/>
      <c r="U737" s="1244"/>
    </row>
    <row r="738">
      <c r="A738" s="1235"/>
      <c r="B738" s="1235"/>
      <c r="C738" s="1246"/>
      <c r="D738" s="1274"/>
      <c r="E738" s="1248"/>
      <c r="F738" s="1248"/>
      <c r="G738" s="1271"/>
      <c r="H738" s="1250"/>
      <c r="I738" s="1251"/>
      <c r="J738" s="1271"/>
      <c r="K738" s="1271"/>
      <c r="L738" s="1254"/>
      <c r="M738" s="1244"/>
      <c r="N738" s="1273"/>
      <c r="O738" s="1244"/>
      <c r="P738" s="1244"/>
      <c r="Q738" s="1244"/>
      <c r="R738" s="1244"/>
      <c r="S738" s="1265"/>
      <c r="T738" s="1244"/>
      <c r="U738" s="1244"/>
    </row>
    <row r="739">
      <c r="A739" s="1235"/>
      <c r="B739" s="1235"/>
      <c r="C739" s="1246"/>
      <c r="D739" s="1274"/>
      <c r="E739" s="1248"/>
      <c r="F739" s="1248"/>
      <c r="G739" s="1271"/>
      <c r="H739" s="1250"/>
      <c r="I739" s="1251"/>
      <c r="J739" s="1271"/>
      <c r="K739" s="1271"/>
      <c r="L739" s="1254"/>
      <c r="M739" s="1244"/>
      <c r="N739" s="1273"/>
      <c r="O739" s="1244"/>
      <c r="P739" s="1244"/>
      <c r="Q739" s="1244"/>
      <c r="R739" s="1244"/>
      <c r="S739" s="1265"/>
      <c r="T739" s="1244"/>
      <c r="U739" s="1244"/>
    </row>
    <row r="740">
      <c r="A740" s="1235"/>
      <c r="B740" s="1235"/>
      <c r="C740" s="1246"/>
      <c r="D740" s="1274"/>
      <c r="E740" s="1248"/>
      <c r="F740" s="1248"/>
      <c r="G740" s="1271"/>
      <c r="H740" s="1250"/>
      <c r="I740" s="1251"/>
      <c r="J740" s="1271"/>
      <c r="K740" s="1271"/>
      <c r="L740" s="1254"/>
      <c r="M740" s="1244"/>
      <c r="N740" s="1273"/>
      <c r="O740" s="1244"/>
      <c r="P740" s="1244"/>
      <c r="Q740" s="1244"/>
      <c r="R740" s="1244"/>
      <c r="S740" s="1265"/>
      <c r="T740" s="1244"/>
      <c r="U740" s="1244"/>
    </row>
    <row r="741">
      <c r="A741" s="1235"/>
      <c r="B741" s="1235"/>
      <c r="C741" s="1246"/>
      <c r="D741" s="1274"/>
      <c r="E741" s="1248"/>
      <c r="F741" s="1248"/>
      <c r="G741" s="1271"/>
      <c r="H741" s="1250"/>
      <c r="I741" s="1251"/>
      <c r="J741" s="1271"/>
      <c r="K741" s="1271"/>
      <c r="L741" s="1254"/>
      <c r="M741" s="1244"/>
      <c r="N741" s="1273"/>
      <c r="O741" s="1244"/>
      <c r="P741" s="1244"/>
      <c r="Q741" s="1244"/>
      <c r="R741" s="1244"/>
      <c r="S741" s="1265"/>
      <c r="T741" s="1244"/>
      <c r="U741" s="1244"/>
    </row>
    <row r="742">
      <c r="A742" s="1235"/>
      <c r="B742" s="1235"/>
      <c r="C742" s="1246"/>
      <c r="D742" s="1274"/>
      <c r="E742" s="1248"/>
      <c r="F742" s="1248"/>
      <c r="G742" s="1271"/>
      <c r="H742" s="1250"/>
      <c r="I742" s="1251"/>
      <c r="J742" s="1271"/>
      <c r="K742" s="1271"/>
      <c r="L742" s="1254"/>
      <c r="M742" s="1244"/>
      <c r="N742" s="1273"/>
      <c r="O742" s="1244"/>
      <c r="P742" s="1244"/>
      <c r="Q742" s="1244"/>
      <c r="R742" s="1244"/>
      <c r="S742" s="1265"/>
      <c r="T742" s="1244"/>
      <c r="U742" s="1244"/>
    </row>
    <row r="743">
      <c r="A743" s="1235"/>
      <c r="B743" s="1235"/>
      <c r="C743" s="1246"/>
      <c r="D743" s="1274"/>
      <c r="E743" s="1248"/>
      <c r="F743" s="1248"/>
      <c r="G743" s="1271"/>
      <c r="H743" s="1250"/>
      <c r="I743" s="1251"/>
      <c r="J743" s="1271"/>
      <c r="K743" s="1271"/>
      <c r="L743" s="1254"/>
      <c r="M743" s="1244"/>
      <c r="N743" s="1273"/>
      <c r="O743" s="1244"/>
      <c r="P743" s="1244"/>
      <c r="Q743" s="1244"/>
      <c r="R743" s="1244"/>
      <c r="S743" s="1265"/>
      <c r="T743" s="1244"/>
      <c r="U743" s="1244"/>
    </row>
    <row r="744">
      <c r="A744" s="1235"/>
      <c r="B744" s="1235"/>
      <c r="C744" s="1246"/>
      <c r="D744" s="1274"/>
      <c r="E744" s="1248"/>
      <c r="F744" s="1248"/>
      <c r="G744" s="1271"/>
      <c r="H744" s="1250"/>
      <c r="I744" s="1251"/>
      <c r="J744" s="1271"/>
      <c r="K744" s="1271"/>
      <c r="L744" s="1254"/>
      <c r="M744" s="1244"/>
      <c r="N744" s="1273"/>
      <c r="O744" s="1244"/>
      <c r="P744" s="1244"/>
      <c r="Q744" s="1244"/>
      <c r="R744" s="1244"/>
      <c r="S744" s="1265"/>
      <c r="T744" s="1244"/>
      <c r="U744" s="1244"/>
    </row>
    <row r="745">
      <c r="A745" s="1235"/>
      <c r="B745" s="1235"/>
      <c r="C745" s="1246"/>
      <c r="D745" s="1274"/>
      <c r="E745" s="1248"/>
      <c r="F745" s="1248"/>
      <c r="G745" s="1271"/>
      <c r="H745" s="1250"/>
      <c r="I745" s="1251"/>
      <c r="J745" s="1271"/>
      <c r="K745" s="1271"/>
      <c r="L745" s="1254"/>
      <c r="M745" s="1244"/>
      <c r="N745" s="1273"/>
      <c r="O745" s="1244"/>
      <c r="P745" s="1244"/>
      <c r="Q745" s="1244"/>
      <c r="R745" s="1244"/>
      <c r="S745" s="1265"/>
      <c r="T745" s="1244"/>
      <c r="U745" s="1244"/>
    </row>
    <row r="746">
      <c r="A746" s="1235"/>
      <c r="B746" s="1235"/>
      <c r="C746" s="1246"/>
      <c r="D746" s="1274"/>
      <c r="E746" s="1248"/>
      <c r="F746" s="1248"/>
      <c r="G746" s="1271"/>
      <c r="H746" s="1250"/>
      <c r="I746" s="1251"/>
      <c r="J746" s="1271"/>
      <c r="K746" s="1271"/>
      <c r="L746" s="1254"/>
      <c r="M746" s="1244"/>
      <c r="N746" s="1273"/>
      <c r="O746" s="1244"/>
      <c r="P746" s="1244"/>
      <c r="Q746" s="1244"/>
      <c r="R746" s="1244"/>
      <c r="S746" s="1265"/>
      <c r="T746" s="1244"/>
      <c r="U746" s="1244"/>
    </row>
    <row r="747">
      <c r="A747" s="1235"/>
      <c r="B747" s="1235"/>
      <c r="C747" s="1246"/>
      <c r="D747" s="1274"/>
      <c r="E747" s="1248"/>
      <c r="F747" s="1248"/>
      <c r="G747" s="1271"/>
      <c r="H747" s="1250"/>
      <c r="I747" s="1251"/>
      <c r="J747" s="1271"/>
      <c r="K747" s="1271"/>
      <c r="L747" s="1254"/>
      <c r="M747" s="1244"/>
      <c r="N747" s="1273"/>
      <c r="O747" s="1244"/>
      <c r="P747" s="1244"/>
      <c r="Q747" s="1244"/>
      <c r="R747" s="1244"/>
      <c r="S747" s="1265"/>
      <c r="T747" s="1244"/>
      <c r="U747" s="1244"/>
    </row>
    <row r="748">
      <c r="A748" s="1235"/>
      <c r="B748" s="1235"/>
      <c r="C748" s="1246"/>
      <c r="D748" s="1274"/>
      <c r="E748" s="1248"/>
      <c r="F748" s="1248"/>
      <c r="G748" s="1271"/>
      <c r="H748" s="1250"/>
      <c r="I748" s="1251"/>
      <c r="J748" s="1271"/>
      <c r="K748" s="1271"/>
      <c r="L748" s="1254"/>
      <c r="M748" s="1244"/>
      <c r="N748" s="1273"/>
      <c r="O748" s="1244"/>
      <c r="P748" s="1244"/>
      <c r="Q748" s="1244"/>
      <c r="R748" s="1244"/>
      <c r="S748" s="1265"/>
      <c r="T748" s="1244"/>
      <c r="U748" s="1244"/>
    </row>
    <row r="749">
      <c r="A749" s="1235"/>
      <c r="B749" s="1235"/>
      <c r="C749" s="1246"/>
      <c r="D749" s="1274"/>
      <c r="E749" s="1248"/>
      <c r="F749" s="1248"/>
      <c r="G749" s="1271"/>
      <c r="H749" s="1250"/>
      <c r="I749" s="1251"/>
      <c r="J749" s="1271"/>
      <c r="K749" s="1271"/>
      <c r="L749" s="1254"/>
      <c r="M749" s="1244"/>
      <c r="N749" s="1273"/>
      <c r="O749" s="1244"/>
      <c r="P749" s="1244"/>
      <c r="Q749" s="1244"/>
      <c r="R749" s="1244"/>
      <c r="S749" s="1265"/>
      <c r="T749" s="1244"/>
      <c r="U749" s="1244"/>
    </row>
    <row r="750">
      <c r="A750" s="1235"/>
      <c r="B750" s="1235"/>
      <c r="C750" s="1246"/>
      <c r="D750" s="1274"/>
      <c r="E750" s="1248"/>
      <c r="F750" s="1248"/>
      <c r="G750" s="1271"/>
      <c r="H750" s="1250"/>
      <c r="I750" s="1251"/>
      <c r="J750" s="1271"/>
      <c r="K750" s="1271"/>
      <c r="L750" s="1254"/>
      <c r="M750" s="1244"/>
      <c r="N750" s="1273"/>
      <c r="O750" s="1244"/>
      <c r="P750" s="1244"/>
      <c r="Q750" s="1244"/>
      <c r="R750" s="1244"/>
      <c r="S750" s="1265"/>
      <c r="T750" s="1244"/>
      <c r="U750" s="1244"/>
    </row>
    <row r="751">
      <c r="A751" s="1235"/>
      <c r="B751" s="1235"/>
      <c r="C751" s="1246"/>
      <c r="D751" s="1274"/>
      <c r="E751" s="1248"/>
      <c r="F751" s="1248"/>
      <c r="G751" s="1271"/>
      <c r="H751" s="1250"/>
      <c r="I751" s="1251"/>
      <c r="J751" s="1271"/>
      <c r="K751" s="1271"/>
      <c r="L751" s="1254"/>
      <c r="M751" s="1244"/>
      <c r="N751" s="1273"/>
      <c r="O751" s="1244"/>
      <c r="P751" s="1244"/>
      <c r="Q751" s="1244"/>
      <c r="R751" s="1244"/>
      <c r="S751" s="1265"/>
      <c r="T751" s="1244"/>
      <c r="U751" s="1244"/>
    </row>
    <row r="752">
      <c r="A752" s="1235"/>
      <c r="B752" s="1235"/>
      <c r="C752" s="1246"/>
      <c r="D752" s="1274"/>
      <c r="E752" s="1248"/>
      <c r="F752" s="1248"/>
      <c r="G752" s="1271"/>
      <c r="H752" s="1250"/>
      <c r="I752" s="1251"/>
      <c r="J752" s="1271"/>
      <c r="K752" s="1271"/>
      <c r="L752" s="1254"/>
      <c r="M752" s="1244"/>
      <c r="N752" s="1273"/>
      <c r="O752" s="1244"/>
      <c r="P752" s="1244"/>
      <c r="Q752" s="1244"/>
      <c r="R752" s="1244"/>
      <c r="S752" s="1265"/>
      <c r="T752" s="1244"/>
      <c r="U752" s="1244"/>
    </row>
    <row r="753">
      <c r="A753" s="1235"/>
      <c r="B753" s="1235"/>
      <c r="C753" s="1246"/>
      <c r="D753" s="1274"/>
      <c r="E753" s="1248"/>
      <c r="F753" s="1248"/>
      <c r="G753" s="1271"/>
      <c r="H753" s="1250"/>
      <c r="I753" s="1251"/>
      <c r="J753" s="1271"/>
      <c r="K753" s="1271"/>
      <c r="L753" s="1254"/>
      <c r="M753" s="1244"/>
      <c r="N753" s="1273"/>
      <c r="O753" s="1244"/>
      <c r="P753" s="1244"/>
      <c r="Q753" s="1244"/>
      <c r="R753" s="1244"/>
      <c r="S753" s="1265"/>
      <c r="T753" s="1244"/>
      <c r="U753" s="1244"/>
    </row>
    <row r="754">
      <c r="A754" s="1235"/>
      <c r="B754" s="1235"/>
      <c r="C754" s="1246"/>
      <c r="D754" s="1274"/>
      <c r="E754" s="1248"/>
      <c r="F754" s="1248"/>
      <c r="G754" s="1271"/>
      <c r="H754" s="1250"/>
      <c r="I754" s="1251"/>
      <c r="J754" s="1271"/>
      <c r="K754" s="1271"/>
      <c r="L754" s="1254"/>
      <c r="M754" s="1244"/>
      <c r="N754" s="1273"/>
      <c r="O754" s="1244"/>
      <c r="P754" s="1244"/>
      <c r="Q754" s="1244"/>
      <c r="R754" s="1244"/>
      <c r="S754" s="1265"/>
      <c r="T754" s="1244"/>
      <c r="U754" s="1244"/>
    </row>
    <row r="755">
      <c r="A755" s="1235"/>
      <c r="B755" s="1235"/>
      <c r="C755" s="1246"/>
      <c r="D755" s="1274"/>
      <c r="E755" s="1248"/>
      <c r="F755" s="1248"/>
      <c r="G755" s="1271"/>
      <c r="H755" s="1250"/>
      <c r="I755" s="1251"/>
      <c r="J755" s="1271"/>
      <c r="K755" s="1271"/>
      <c r="L755" s="1254"/>
      <c r="M755" s="1244"/>
      <c r="N755" s="1273"/>
      <c r="O755" s="1244"/>
      <c r="P755" s="1244"/>
      <c r="Q755" s="1244"/>
      <c r="R755" s="1244"/>
      <c r="S755" s="1265"/>
      <c r="T755" s="1244"/>
      <c r="U755" s="1244"/>
    </row>
    <row r="756">
      <c r="A756" s="1235"/>
      <c r="B756" s="1235"/>
      <c r="C756" s="1246"/>
      <c r="D756" s="1274"/>
      <c r="E756" s="1248"/>
      <c r="F756" s="1248"/>
      <c r="G756" s="1271"/>
      <c r="H756" s="1250"/>
      <c r="I756" s="1251"/>
      <c r="J756" s="1271"/>
      <c r="K756" s="1271"/>
      <c r="L756" s="1254"/>
      <c r="M756" s="1244"/>
      <c r="N756" s="1273"/>
      <c r="O756" s="1244"/>
      <c r="P756" s="1244"/>
      <c r="Q756" s="1244"/>
      <c r="R756" s="1244"/>
      <c r="S756" s="1265"/>
      <c r="T756" s="1244"/>
      <c r="U756" s="1244"/>
    </row>
    <row r="757">
      <c r="A757" s="1235"/>
      <c r="B757" s="1235"/>
      <c r="C757" s="1246"/>
      <c r="D757" s="1274"/>
      <c r="E757" s="1248"/>
      <c r="F757" s="1248"/>
      <c r="G757" s="1271"/>
      <c r="H757" s="1250"/>
      <c r="I757" s="1251"/>
      <c r="J757" s="1271"/>
      <c r="K757" s="1271"/>
      <c r="L757" s="1254"/>
      <c r="M757" s="1244"/>
      <c r="N757" s="1273"/>
      <c r="O757" s="1244"/>
      <c r="P757" s="1244"/>
      <c r="Q757" s="1244"/>
      <c r="R757" s="1244"/>
      <c r="S757" s="1265"/>
      <c r="T757" s="1244"/>
      <c r="U757" s="1244"/>
    </row>
    <row r="758">
      <c r="A758" s="1235"/>
      <c r="B758" s="1235"/>
      <c r="C758" s="1246"/>
      <c r="D758" s="1274"/>
      <c r="E758" s="1248"/>
      <c r="F758" s="1248"/>
      <c r="G758" s="1271"/>
      <c r="H758" s="1250"/>
      <c r="I758" s="1251"/>
      <c r="J758" s="1271"/>
      <c r="K758" s="1271"/>
      <c r="L758" s="1254"/>
      <c r="M758" s="1244"/>
      <c r="N758" s="1273"/>
      <c r="O758" s="1244"/>
      <c r="P758" s="1244"/>
      <c r="Q758" s="1244"/>
      <c r="R758" s="1244"/>
      <c r="S758" s="1265"/>
      <c r="T758" s="1244"/>
      <c r="U758" s="1244"/>
    </row>
    <row r="759">
      <c r="A759" s="1235"/>
      <c r="B759" s="1235"/>
      <c r="C759" s="1246"/>
      <c r="D759" s="1274"/>
      <c r="E759" s="1248"/>
      <c r="F759" s="1248"/>
      <c r="G759" s="1271"/>
      <c r="H759" s="1250"/>
      <c r="I759" s="1251"/>
      <c r="J759" s="1271"/>
      <c r="K759" s="1271"/>
      <c r="L759" s="1254"/>
      <c r="M759" s="1244"/>
      <c r="N759" s="1273"/>
      <c r="O759" s="1244"/>
      <c r="P759" s="1244"/>
      <c r="Q759" s="1244"/>
      <c r="R759" s="1244"/>
      <c r="S759" s="1265"/>
      <c r="T759" s="1244"/>
      <c r="U759" s="1244"/>
    </row>
    <row r="760">
      <c r="A760" s="1235"/>
      <c r="B760" s="1235"/>
      <c r="C760" s="1246"/>
      <c r="D760" s="1274"/>
      <c r="E760" s="1248"/>
      <c r="F760" s="1248"/>
      <c r="G760" s="1271"/>
      <c r="H760" s="1250"/>
      <c r="I760" s="1251"/>
      <c r="J760" s="1271"/>
      <c r="K760" s="1271"/>
      <c r="L760" s="1254"/>
      <c r="M760" s="1244"/>
      <c r="N760" s="1273"/>
      <c r="O760" s="1244"/>
      <c r="P760" s="1244"/>
      <c r="Q760" s="1244"/>
      <c r="R760" s="1244"/>
      <c r="S760" s="1265"/>
      <c r="T760" s="1244"/>
      <c r="U760" s="1244"/>
    </row>
    <row r="761">
      <c r="A761" s="1235"/>
      <c r="B761" s="1235"/>
      <c r="C761" s="1246"/>
      <c r="D761" s="1274"/>
      <c r="E761" s="1248"/>
      <c r="F761" s="1248"/>
      <c r="G761" s="1271"/>
      <c r="H761" s="1250"/>
      <c r="I761" s="1251"/>
      <c r="J761" s="1271"/>
      <c r="K761" s="1271"/>
      <c r="L761" s="1254"/>
      <c r="M761" s="1244"/>
      <c r="N761" s="1273"/>
      <c r="O761" s="1244"/>
      <c r="P761" s="1244"/>
      <c r="Q761" s="1244"/>
      <c r="R761" s="1244"/>
      <c r="S761" s="1265"/>
      <c r="T761" s="1244"/>
      <c r="U761" s="1244"/>
    </row>
    <row r="762">
      <c r="A762" s="1235"/>
      <c r="B762" s="1235"/>
      <c r="C762" s="1246"/>
      <c r="D762" s="1274"/>
      <c r="E762" s="1248"/>
      <c r="F762" s="1248"/>
      <c r="G762" s="1271"/>
      <c r="H762" s="1250"/>
      <c r="I762" s="1251"/>
      <c r="J762" s="1271"/>
      <c r="K762" s="1271"/>
      <c r="L762" s="1254"/>
      <c r="M762" s="1244"/>
      <c r="N762" s="1273"/>
      <c r="O762" s="1244"/>
      <c r="P762" s="1244"/>
      <c r="Q762" s="1244"/>
      <c r="R762" s="1244"/>
      <c r="S762" s="1265"/>
      <c r="T762" s="1244"/>
      <c r="U762" s="1244"/>
    </row>
    <row r="763">
      <c r="A763" s="1235"/>
      <c r="B763" s="1235"/>
      <c r="C763" s="1246"/>
      <c r="D763" s="1274"/>
      <c r="E763" s="1248"/>
      <c r="F763" s="1248"/>
      <c r="G763" s="1271"/>
      <c r="H763" s="1250"/>
      <c r="I763" s="1251"/>
      <c r="J763" s="1271"/>
      <c r="K763" s="1271"/>
      <c r="L763" s="1254"/>
      <c r="M763" s="1244"/>
      <c r="N763" s="1273"/>
      <c r="O763" s="1244"/>
      <c r="P763" s="1244"/>
      <c r="Q763" s="1244"/>
      <c r="R763" s="1244"/>
      <c r="S763" s="1265"/>
      <c r="T763" s="1244"/>
      <c r="U763" s="1244"/>
    </row>
    <row r="764">
      <c r="A764" s="1235"/>
      <c r="B764" s="1235"/>
      <c r="C764" s="1246"/>
      <c r="D764" s="1274"/>
      <c r="E764" s="1248"/>
      <c r="F764" s="1248"/>
      <c r="G764" s="1271"/>
      <c r="H764" s="1250"/>
      <c r="I764" s="1251"/>
      <c r="J764" s="1271"/>
      <c r="K764" s="1271"/>
      <c r="L764" s="1254"/>
      <c r="M764" s="1244"/>
      <c r="N764" s="1273"/>
      <c r="O764" s="1244"/>
      <c r="P764" s="1244"/>
      <c r="Q764" s="1244"/>
      <c r="R764" s="1244"/>
      <c r="S764" s="1265"/>
      <c r="T764" s="1244"/>
      <c r="U764" s="1244"/>
    </row>
    <row r="765">
      <c r="A765" s="1235"/>
      <c r="B765" s="1235"/>
      <c r="C765" s="1246"/>
      <c r="D765" s="1274"/>
      <c r="E765" s="1248"/>
      <c r="F765" s="1248"/>
      <c r="G765" s="1271"/>
      <c r="H765" s="1250"/>
      <c r="I765" s="1251"/>
      <c r="J765" s="1271"/>
      <c r="K765" s="1271"/>
      <c r="L765" s="1254"/>
      <c r="M765" s="1244"/>
      <c r="N765" s="1273"/>
      <c r="O765" s="1244"/>
      <c r="P765" s="1244"/>
      <c r="Q765" s="1244"/>
      <c r="R765" s="1244"/>
      <c r="S765" s="1265"/>
      <c r="T765" s="1244"/>
      <c r="U765" s="1244"/>
    </row>
    <row r="766">
      <c r="A766" s="1235"/>
      <c r="B766" s="1235"/>
      <c r="C766" s="1246"/>
      <c r="D766" s="1274"/>
      <c r="E766" s="1248"/>
      <c r="F766" s="1248"/>
      <c r="G766" s="1271"/>
      <c r="H766" s="1250"/>
      <c r="I766" s="1251"/>
      <c r="J766" s="1271"/>
      <c r="K766" s="1271"/>
      <c r="L766" s="1254"/>
      <c r="M766" s="1244"/>
      <c r="N766" s="1273"/>
      <c r="O766" s="1244"/>
      <c r="P766" s="1244"/>
      <c r="Q766" s="1244"/>
      <c r="R766" s="1244"/>
      <c r="S766" s="1265"/>
      <c r="T766" s="1244"/>
      <c r="U766" s="1244"/>
    </row>
    <row r="767">
      <c r="A767" s="1235"/>
      <c r="B767" s="1235"/>
      <c r="C767" s="1246"/>
      <c r="D767" s="1274"/>
      <c r="E767" s="1248"/>
      <c r="F767" s="1248"/>
      <c r="G767" s="1271"/>
      <c r="H767" s="1250"/>
      <c r="I767" s="1251"/>
      <c r="J767" s="1271"/>
      <c r="K767" s="1271"/>
      <c r="L767" s="1254"/>
      <c r="M767" s="1244"/>
      <c r="N767" s="1273"/>
      <c r="O767" s="1244"/>
      <c r="P767" s="1244"/>
      <c r="Q767" s="1244"/>
      <c r="R767" s="1244"/>
      <c r="S767" s="1265"/>
      <c r="T767" s="1244"/>
      <c r="U767" s="1244"/>
    </row>
    <row r="768">
      <c r="A768" s="1235"/>
      <c r="B768" s="1235"/>
      <c r="C768" s="1246"/>
      <c r="D768" s="1274"/>
      <c r="E768" s="1248"/>
      <c r="F768" s="1248"/>
      <c r="G768" s="1271"/>
      <c r="H768" s="1250"/>
      <c r="I768" s="1251"/>
      <c r="J768" s="1271"/>
      <c r="K768" s="1271"/>
      <c r="L768" s="1254"/>
      <c r="M768" s="1244"/>
      <c r="N768" s="1273"/>
      <c r="O768" s="1244"/>
      <c r="P768" s="1244"/>
      <c r="Q768" s="1244"/>
      <c r="R768" s="1244"/>
      <c r="S768" s="1265"/>
      <c r="T768" s="1244"/>
      <c r="U768" s="1244"/>
    </row>
    <row r="769">
      <c r="A769" s="1235"/>
      <c r="B769" s="1235"/>
      <c r="C769" s="1246"/>
      <c r="D769" s="1274"/>
      <c r="E769" s="1248"/>
      <c r="F769" s="1248"/>
      <c r="G769" s="1271"/>
      <c r="H769" s="1250"/>
      <c r="I769" s="1251"/>
      <c r="J769" s="1271"/>
      <c r="K769" s="1271"/>
      <c r="L769" s="1254"/>
      <c r="M769" s="1244"/>
      <c r="N769" s="1273"/>
      <c r="O769" s="1244"/>
      <c r="P769" s="1244"/>
      <c r="Q769" s="1244"/>
      <c r="R769" s="1244"/>
      <c r="S769" s="1265"/>
      <c r="T769" s="1244"/>
      <c r="U769" s="1244"/>
    </row>
    <row r="770">
      <c r="A770" s="1235"/>
      <c r="B770" s="1235"/>
      <c r="C770" s="1246"/>
      <c r="D770" s="1274"/>
      <c r="E770" s="1248"/>
      <c r="F770" s="1248"/>
      <c r="G770" s="1271"/>
      <c r="H770" s="1250"/>
      <c r="I770" s="1251"/>
      <c r="J770" s="1271"/>
      <c r="K770" s="1271"/>
      <c r="L770" s="1254"/>
      <c r="M770" s="1244"/>
      <c r="N770" s="1273"/>
      <c r="O770" s="1244"/>
      <c r="P770" s="1244"/>
      <c r="Q770" s="1244"/>
      <c r="R770" s="1244"/>
      <c r="S770" s="1265"/>
      <c r="T770" s="1244"/>
      <c r="U770" s="1244"/>
    </row>
    <row r="771">
      <c r="A771" s="1235"/>
      <c r="B771" s="1235"/>
      <c r="C771" s="1246"/>
      <c r="D771" s="1274"/>
      <c r="E771" s="1248"/>
      <c r="F771" s="1248"/>
      <c r="G771" s="1271"/>
      <c r="H771" s="1250"/>
      <c r="I771" s="1251"/>
      <c r="J771" s="1271"/>
      <c r="K771" s="1271"/>
      <c r="L771" s="1254"/>
      <c r="M771" s="1244"/>
      <c r="N771" s="1273"/>
      <c r="O771" s="1244"/>
      <c r="P771" s="1244"/>
      <c r="Q771" s="1244"/>
      <c r="R771" s="1244"/>
      <c r="S771" s="1265"/>
      <c r="T771" s="1244"/>
      <c r="U771" s="1244"/>
    </row>
    <row r="772">
      <c r="A772" s="1235"/>
      <c r="B772" s="1235"/>
      <c r="C772" s="1246"/>
      <c r="D772" s="1274"/>
      <c r="E772" s="1248"/>
      <c r="F772" s="1248"/>
      <c r="G772" s="1271"/>
      <c r="H772" s="1250"/>
      <c r="I772" s="1251"/>
      <c r="J772" s="1271"/>
      <c r="K772" s="1271"/>
      <c r="L772" s="1254"/>
      <c r="M772" s="1244"/>
      <c r="N772" s="1273"/>
      <c r="O772" s="1244"/>
      <c r="P772" s="1244"/>
      <c r="Q772" s="1244"/>
      <c r="R772" s="1244"/>
      <c r="S772" s="1265"/>
      <c r="T772" s="1244"/>
      <c r="U772" s="1244"/>
    </row>
    <row r="773">
      <c r="A773" s="1235"/>
      <c r="B773" s="1235"/>
      <c r="C773" s="1246"/>
      <c r="D773" s="1274"/>
      <c r="E773" s="1248"/>
      <c r="F773" s="1248"/>
      <c r="G773" s="1271"/>
      <c r="H773" s="1250"/>
      <c r="I773" s="1251"/>
      <c r="J773" s="1271"/>
      <c r="K773" s="1271"/>
      <c r="L773" s="1254"/>
      <c r="M773" s="1244"/>
      <c r="N773" s="1273"/>
      <c r="O773" s="1244"/>
      <c r="P773" s="1244"/>
      <c r="Q773" s="1244"/>
      <c r="R773" s="1244"/>
      <c r="S773" s="1265"/>
      <c r="T773" s="1244"/>
      <c r="U773" s="1244"/>
    </row>
    <row r="774">
      <c r="A774" s="1235"/>
      <c r="B774" s="1235"/>
      <c r="C774" s="1246"/>
      <c r="D774" s="1274"/>
      <c r="E774" s="1248"/>
      <c r="F774" s="1248"/>
      <c r="G774" s="1271"/>
      <c r="H774" s="1250"/>
      <c r="I774" s="1251"/>
      <c r="J774" s="1271"/>
      <c r="K774" s="1271"/>
      <c r="L774" s="1254"/>
      <c r="M774" s="1244"/>
      <c r="N774" s="1273"/>
      <c r="O774" s="1244"/>
      <c r="P774" s="1244"/>
      <c r="Q774" s="1244"/>
      <c r="R774" s="1244"/>
      <c r="S774" s="1265"/>
      <c r="T774" s="1244"/>
      <c r="U774" s="1244"/>
    </row>
    <row r="775">
      <c r="A775" s="1235"/>
      <c r="B775" s="1235"/>
      <c r="C775" s="1246"/>
      <c r="D775" s="1274"/>
      <c r="E775" s="1248"/>
      <c r="F775" s="1248"/>
      <c r="G775" s="1271"/>
      <c r="H775" s="1250"/>
      <c r="I775" s="1251"/>
      <c r="J775" s="1271"/>
      <c r="K775" s="1271"/>
      <c r="L775" s="1254"/>
      <c r="M775" s="1244"/>
      <c r="N775" s="1273"/>
      <c r="O775" s="1244"/>
      <c r="P775" s="1244"/>
      <c r="Q775" s="1244"/>
      <c r="R775" s="1244"/>
      <c r="S775" s="1265"/>
      <c r="T775" s="1244"/>
      <c r="U775" s="1244"/>
    </row>
    <row r="776">
      <c r="A776" s="1235"/>
      <c r="B776" s="1235"/>
      <c r="C776" s="1246"/>
      <c r="D776" s="1274"/>
      <c r="E776" s="1248"/>
      <c r="F776" s="1248"/>
      <c r="G776" s="1271"/>
      <c r="H776" s="1250"/>
      <c r="I776" s="1251"/>
      <c r="J776" s="1271"/>
      <c r="K776" s="1271"/>
      <c r="L776" s="1254"/>
      <c r="M776" s="1244"/>
      <c r="N776" s="1273"/>
      <c r="O776" s="1244"/>
      <c r="P776" s="1244"/>
      <c r="Q776" s="1244"/>
      <c r="R776" s="1244"/>
      <c r="S776" s="1265"/>
      <c r="T776" s="1244"/>
      <c r="U776" s="1244"/>
    </row>
    <row r="777">
      <c r="A777" s="1235"/>
      <c r="B777" s="1235"/>
      <c r="C777" s="1246"/>
      <c r="D777" s="1274"/>
      <c r="E777" s="1248"/>
      <c r="F777" s="1248"/>
      <c r="G777" s="1271"/>
      <c r="H777" s="1250"/>
      <c r="I777" s="1251"/>
      <c r="J777" s="1271"/>
      <c r="K777" s="1271"/>
      <c r="L777" s="1254"/>
      <c r="M777" s="1244"/>
      <c r="N777" s="1273"/>
      <c r="O777" s="1244"/>
      <c r="P777" s="1244"/>
      <c r="Q777" s="1244"/>
      <c r="R777" s="1244"/>
      <c r="S777" s="1265"/>
      <c r="T777" s="1244"/>
      <c r="U777" s="1244"/>
    </row>
    <row r="778">
      <c r="A778" s="1235"/>
      <c r="B778" s="1235"/>
      <c r="C778" s="1246"/>
      <c r="D778" s="1274"/>
      <c r="E778" s="1248"/>
      <c r="F778" s="1248"/>
      <c r="G778" s="1271"/>
      <c r="H778" s="1250"/>
      <c r="I778" s="1251"/>
      <c r="J778" s="1271"/>
      <c r="K778" s="1271"/>
      <c r="L778" s="1254"/>
      <c r="M778" s="1244"/>
      <c r="N778" s="1273"/>
      <c r="O778" s="1244"/>
      <c r="P778" s="1244"/>
      <c r="Q778" s="1244"/>
      <c r="R778" s="1244"/>
      <c r="S778" s="1265"/>
      <c r="T778" s="1244"/>
      <c r="U778" s="1244"/>
    </row>
    <row r="779">
      <c r="A779" s="1235"/>
      <c r="B779" s="1235"/>
      <c r="C779" s="1246"/>
      <c r="D779" s="1274"/>
      <c r="E779" s="1248"/>
      <c r="F779" s="1248"/>
      <c r="G779" s="1271"/>
      <c r="H779" s="1250"/>
      <c r="I779" s="1251"/>
      <c r="J779" s="1271"/>
      <c r="K779" s="1271"/>
      <c r="L779" s="1254"/>
      <c r="M779" s="1244"/>
      <c r="N779" s="1273"/>
      <c r="O779" s="1244"/>
      <c r="P779" s="1244"/>
      <c r="Q779" s="1244"/>
      <c r="R779" s="1244"/>
      <c r="S779" s="1265"/>
      <c r="T779" s="1244"/>
      <c r="U779" s="1244"/>
    </row>
    <row r="780">
      <c r="A780" s="1235"/>
      <c r="B780" s="1235"/>
      <c r="C780" s="1246"/>
      <c r="D780" s="1274"/>
      <c r="E780" s="1248"/>
      <c r="F780" s="1248"/>
      <c r="G780" s="1271"/>
      <c r="H780" s="1250"/>
      <c r="I780" s="1251"/>
      <c r="J780" s="1271"/>
      <c r="K780" s="1271"/>
      <c r="L780" s="1254"/>
      <c r="M780" s="1244"/>
      <c r="N780" s="1273"/>
      <c r="O780" s="1244"/>
      <c r="P780" s="1244"/>
      <c r="Q780" s="1244"/>
      <c r="R780" s="1244"/>
      <c r="S780" s="1265"/>
      <c r="T780" s="1244"/>
      <c r="U780" s="1244"/>
    </row>
    <row r="781">
      <c r="A781" s="1235"/>
      <c r="B781" s="1235"/>
      <c r="C781" s="1246"/>
      <c r="D781" s="1274"/>
      <c r="E781" s="1248"/>
      <c r="F781" s="1248"/>
      <c r="G781" s="1271"/>
      <c r="H781" s="1250"/>
      <c r="I781" s="1251"/>
      <c r="J781" s="1271"/>
      <c r="K781" s="1271"/>
      <c r="L781" s="1254"/>
      <c r="M781" s="1244"/>
      <c r="N781" s="1273"/>
      <c r="O781" s="1244"/>
      <c r="P781" s="1244"/>
      <c r="Q781" s="1244"/>
      <c r="R781" s="1244"/>
      <c r="S781" s="1265"/>
      <c r="T781" s="1244"/>
      <c r="U781" s="1244"/>
    </row>
    <row r="782">
      <c r="A782" s="1235"/>
      <c r="B782" s="1235"/>
      <c r="C782" s="1246"/>
      <c r="D782" s="1274"/>
      <c r="E782" s="1248"/>
      <c r="F782" s="1248"/>
      <c r="G782" s="1271"/>
      <c r="H782" s="1250"/>
      <c r="I782" s="1251"/>
      <c r="J782" s="1271"/>
      <c r="K782" s="1271"/>
      <c r="L782" s="1254"/>
      <c r="M782" s="1244"/>
      <c r="N782" s="1273"/>
      <c r="O782" s="1244"/>
      <c r="P782" s="1244"/>
      <c r="Q782" s="1244"/>
      <c r="R782" s="1244"/>
      <c r="S782" s="1265"/>
      <c r="T782" s="1244"/>
      <c r="U782" s="1244"/>
    </row>
    <row r="783">
      <c r="A783" s="1235"/>
      <c r="B783" s="1235"/>
      <c r="C783" s="1246"/>
      <c r="D783" s="1274"/>
      <c r="E783" s="1248"/>
      <c r="F783" s="1248"/>
      <c r="G783" s="1271"/>
      <c r="H783" s="1250"/>
      <c r="I783" s="1251"/>
      <c r="J783" s="1271"/>
      <c r="K783" s="1271"/>
      <c r="L783" s="1254"/>
      <c r="M783" s="1244"/>
      <c r="N783" s="1273"/>
      <c r="O783" s="1244"/>
      <c r="P783" s="1244"/>
      <c r="Q783" s="1244"/>
      <c r="R783" s="1244"/>
      <c r="S783" s="1265"/>
      <c r="T783" s="1244"/>
      <c r="U783" s="1244"/>
    </row>
    <row r="784">
      <c r="A784" s="1235"/>
      <c r="B784" s="1235"/>
      <c r="C784" s="1246"/>
      <c r="D784" s="1274"/>
      <c r="E784" s="1248"/>
      <c r="F784" s="1248"/>
      <c r="G784" s="1271"/>
      <c r="H784" s="1250"/>
      <c r="I784" s="1251"/>
      <c r="J784" s="1271"/>
      <c r="K784" s="1271"/>
      <c r="L784" s="1254"/>
      <c r="M784" s="1244"/>
      <c r="N784" s="1273"/>
      <c r="O784" s="1244"/>
      <c r="P784" s="1244"/>
      <c r="Q784" s="1244"/>
      <c r="R784" s="1244"/>
      <c r="S784" s="1265"/>
      <c r="T784" s="1244"/>
      <c r="U784" s="1244"/>
    </row>
    <row r="785">
      <c r="A785" s="1235"/>
      <c r="B785" s="1235"/>
      <c r="C785" s="1246"/>
      <c r="D785" s="1274"/>
      <c r="E785" s="1248"/>
      <c r="F785" s="1248"/>
      <c r="G785" s="1271"/>
      <c r="H785" s="1250"/>
      <c r="I785" s="1251"/>
      <c r="J785" s="1271"/>
      <c r="K785" s="1271"/>
      <c r="L785" s="1254"/>
      <c r="M785" s="1244"/>
      <c r="N785" s="1273"/>
      <c r="O785" s="1244"/>
      <c r="P785" s="1244"/>
      <c r="Q785" s="1244"/>
      <c r="R785" s="1244"/>
      <c r="S785" s="1265"/>
      <c r="T785" s="1244"/>
      <c r="U785" s="1244"/>
    </row>
    <row r="786">
      <c r="A786" s="1235"/>
      <c r="B786" s="1235"/>
      <c r="C786" s="1246"/>
      <c r="D786" s="1274"/>
      <c r="E786" s="1248"/>
      <c r="F786" s="1248"/>
      <c r="G786" s="1271"/>
      <c r="H786" s="1250"/>
      <c r="I786" s="1251"/>
      <c r="J786" s="1271"/>
      <c r="K786" s="1271"/>
      <c r="L786" s="1254"/>
      <c r="M786" s="1244"/>
      <c r="N786" s="1273"/>
      <c r="O786" s="1244"/>
      <c r="P786" s="1244"/>
      <c r="Q786" s="1244"/>
      <c r="R786" s="1244"/>
      <c r="S786" s="1265"/>
      <c r="T786" s="1244"/>
      <c r="U786" s="1244"/>
    </row>
    <row r="787">
      <c r="A787" s="1235"/>
      <c r="B787" s="1235"/>
      <c r="C787" s="1246"/>
      <c r="D787" s="1274"/>
      <c r="E787" s="1248"/>
      <c r="F787" s="1248"/>
      <c r="G787" s="1271"/>
      <c r="H787" s="1250"/>
      <c r="I787" s="1251"/>
      <c r="J787" s="1271"/>
      <c r="K787" s="1271"/>
      <c r="L787" s="1254"/>
      <c r="M787" s="1244"/>
      <c r="N787" s="1273"/>
      <c r="O787" s="1244"/>
      <c r="P787" s="1244"/>
      <c r="Q787" s="1244"/>
      <c r="R787" s="1244"/>
      <c r="S787" s="1265"/>
      <c r="T787" s="1244"/>
      <c r="U787" s="1244"/>
    </row>
    <row r="788">
      <c r="A788" s="1235"/>
      <c r="B788" s="1235"/>
      <c r="C788" s="1246"/>
      <c r="D788" s="1274"/>
      <c r="E788" s="1248"/>
      <c r="F788" s="1248"/>
      <c r="G788" s="1271"/>
      <c r="H788" s="1250"/>
      <c r="I788" s="1251"/>
      <c r="J788" s="1271"/>
      <c r="K788" s="1271"/>
      <c r="L788" s="1254"/>
      <c r="M788" s="1244"/>
      <c r="N788" s="1273"/>
      <c r="O788" s="1244"/>
      <c r="P788" s="1244"/>
      <c r="Q788" s="1244"/>
      <c r="R788" s="1244"/>
      <c r="S788" s="1265"/>
      <c r="T788" s="1244"/>
      <c r="U788" s="1244"/>
    </row>
    <row r="789">
      <c r="A789" s="1235"/>
      <c r="B789" s="1235"/>
      <c r="C789" s="1246"/>
      <c r="D789" s="1274"/>
      <c r="E789" s="1248"/>
      <c r="F789" s="1248"/>
      <c r="G789" s="1271"/>
      <c r="H789" s="1250"/>
      <c r="I789" s="1251"/>
      <c r="J789" s="1271"/>
      <c r="K789" s="1271"/>
      <c r="L789" s="1254"/>
      <c r="M789" s="1244"/>
      <c r="N789" s="1273"/>
      <c r="O789" s="1244"/>
      <c r="P789" s="1244"/>
      <c r="Q789" s="1244"/>
      <c r="R789" s="1244"/>
      <c r="S789" s="1265"/>
      <c r="T789" s="1244"/>
      <c r="U789" s="1244"/>
    </row>
    <row r="790">
      <c r="A790" s="1235"/>
      <c r="B790" s="1235"/>
      <c r="C790" s="1246"/>
      <c r="D790" s="1274"/>
      <c r="E790" s="1248"/>
      <c r="F790" s="1248"/>
      <c r="G790" s="1271"/>
      <c r="H790" s="1250"/>
      <c r="I790" s="1251"/>
      <c r="J790" s="1271"/>
      <c r="K790" s="1271"/>
      <c r="L790" s="1254"/>
      <c r="M790" s="1244"/>
      <c r="N790" s="1273"/>
      <c r="O790" s="1244"/>
      <c r="P790" s="1244"/>
      <c r="Q790" s="1244"/>
      <c r="R790" s="1244"/>
      <c r="S790" s="1265"/>
      <c r="T790" s="1244"/>
      <c r="U790" s="1244"/>
    </row>
    <row r="791">
      <c r="A791" s="1235"/>
      <c r="B791" s="1235"/>
      <c r="C791" s="1246"/>
      <c r="D791" s="1274"/>
      <c r="E791" s="1248"/>
      <c r="F791" s="1248"/>
      <c r="G791" s="1271"/>
      <c r="H791" s="1250"/>
      <c r="I791" s="1251"/>
      <c r="J791" s="1271"/>
      <c r="K791" s="1271"/>
      <c r="L791" s="1254"/>
      <c r="M791" s="1244"/>
      <c r="N791" s="1273"/>
      <c r="O791" s="1244"/>
      <c r="P791" s="1244"/>
      <c r="Q791" s="1244"/>
      <c r="R791" s="1244"/>
      <c r="S791" s="1265"/>
      <c r="T791" s="1244"/>
      <c r="U791" s="1244"/>
    </row>
    <row r="792">
      <c r="A792" s="1235"/>
      <c r="B792" s="1235"/>
      <c r="C792" s="1246"/>
      <c r="D792" s="1274"/>
      <c r="E792" s="1248"/>
      <c r="F792" s="1248"/>
      <c r="G792" s="1271"/>
      <c r="H792" s="1250"/>
      <c r="I792" s="1251"/>
      <c r="J792" s="1271"/>
      <c r="K792" s="1271"/>
      <c r="L792" s="1254"/>
      <c r="M792" s="1244"/>
      <c r="N792" s="1273"/>
      <c r="O792" s="1244"/>
      <c r="P792" s="1244"/>
      <c r="Q792" s="1244"/>
      <c r="R792" s="1244"/>
      <c r="S792" s="1265"/>
      <c r="T792" s="1244"/>
      <c r="U792" s="1244"/>
    </row>
    <row r="793">
      <c r="A793" s="1235"/>
      <c r="B793" s="1235"/>
      <c r="C793" s="1246"/>
      <c r="D793" s="1274"/>
      <c r="E793" s="1248"/>
      <c r="F793" s="1248"/>
      <c r="G793" s="1271"/>
      <c r="H793" s="1250"/>
      <c r="I793" s="1251"/>
      <c r="J793" s="1271"/>
      <c r="K793" s="1271"/>
      <c r="L793" s="1254"/>
      <c r="M793" s="1244"/>
      <c r="N793" s="1273"/>
      <c r="O793" s="1244"/>
      <c r="P793" s="1244"/>
      <c r="Q793" s="1244"/>
      <c r="R793" s="1244"/>
      <c r="S793" s="1265"/>
      <c r="T793" s="1244"/>
      <c r="U793" s="1244"/>
    </row>
    <row r="794">
      <c r="A794" s="1235"/>
      <c r="B794" s="1235"/>
      <c r="C794" s="1246"/>
      <c r="D794" s="1274"/>
      <c r="E794" s="1248"/>
      <c r="F794" s="1248"/>
      <c r="G794" s="1271"/>
      <c r="H794" s="1250"/>
      <c r="I794" s="1251"/>
      <c r="J794" s="1271"/>
      <c r="K794" s="1271"/>
      <c r="L794" s="1254"/>
      <c r="M794" s="1244"/>
      <c r="N794" s="1273"/>
      <c r="O794" s="1244"/>
      <c r="P794" s="1244"/>
      <c r="Q794" s="1244"/>
      <c r="R794" s="1244"/>
      <c r="S794" s="1265"/>
      <c r="T794" s="1244"/>
      <c r="U794" s="1244"/>
    </row>
    <row r="795">
      <c r="A795" s="1235"/>
      <c r="B795" s="1235"/>
      <c r="C795" s="1246"/>
      <c r="D795" s="1274"/>
      <c r="E795" s="1248"/>
      <c r="F795" s="1248"/>
      <c r="G795" s="1271"/>
      <c r="H795" s="1250"/>
      <c r="I795" s="1251"/>
      <c r="J795" s="1271"/>
      <c r="K795" s="1271"/>
      <c r="L795" s="1254"/>
      <c r="M795" s="1244"/>
      <c r="N795" s="1273"/>
      <c r="O795" s="1244"/>
      <c r="P795" s="1244"/>
      <c r="Q795" s="1244"/>
      <c r="R795" s="1244"/>
      <c r="S795" s="1265"/>
      <c r="T795" s="1244"/>
      <c r="U795" s="1244"/>
    </row>
    <row r="796">
      <c r="A796" s="1235"/>
      <c r="B796" s="1235"/>
      <c r="C796" s="1246"/>
      <c r="D796" s="1274"/>
      <c r="E796" s="1248"/>
      <c r="F796" s="1248"/>
      <c r="G796" s="1271"/>
      <c r="H796" s="1250"/>
      <c r="I796" s="1251"/>
      <c r="J796" s="1271"/>
      <c r="K796" s="1271"/>
      <c r="L796" s="1254"/>
      <c r="M796" s="1244"/>
      <c r="N796" s="1273"/>
      <c r="O796" s="1244"/>
      <c r="P796" s="1244"/>
      <c r="Q796" s="1244"/>
      <c r="R796" s="1244"/>
      <c r="S796" s="1265"/>
      <c r="T796" s="1244"/>
      <c r="U796" s="1244"/>
    </row>
    <row r="797">
      <c r="A797" s="1235"/>
      <c r="B797" s="1235"/>
      <c r="C797" s="1246"/>
      <c r="D797" s="1274"/>
      <c r="E797" s="1248"/>
      <c r="F797" s="1248"/>
      <c r="G797" s="1271"/>
      <c r="H797" s="1250"/>
      <c r="I797" s="1251"/>
      <c r="J797" s="1271"/>
      <c r="K797" s="1271"/>
      <c r="L797" s="1254"/>
      <c r="M797" s="1244"/>
      <c r="N797" s="1273"/>
      <c r="O797" s="1244"/>
      <c r="P797" s="1244"/>
      <c r="Q797" s="1244"/>
      <c r="R797" s="1244"/>
      <c r="S797" s="1265"/>
      <c r="T797" s="1244"/>
      <c r="U797" s="1244"/>
    </row>
    <row r="798">
      <c r="A798" s="1235"/>
      <c r="B798" s="1235"/>
      <c r="C798" s="1246"/>
      <c r="D798" s="1274"/>
      <c r="E798" s="1248"/>
      <c r="F798" s="1248"/>
      <c r="G798" s="1271"/>
      <c r="H798" s="1250"/>
      <c r="I798" s="1251"/>
      <c r="J798" s="1271"/>
      <c r="K798" s="1271"/>
      <c r="L798" s="1254"/>
      <c r="M798" s="1244"/>
      <c r="N798" s="1273"/>
      <c r="O798" s="1244"/>
      <c r="P798" s="1244"/>
      <c r="Q798" s="1244"/>
      <c r="R798" s="1244"/>
      <c r="S798" s="1265"/>
      <c r="T798" s="1244"/>
      <c r="U798" s="1244"/>
    </row>
    <row r="799">
      <c r="A799" s="1235"/>
      <c r="B799" s="1235"/>
      <c r="C799" s="1246"/>
      <c r="D799" s="1274"/>
      <c r="E799" s="1248"/>
      <c r="F799" s="1248"/>
      <c r="G799" s="1271"/>
      <c r="H799" s="1250"/>
      <c r="I799" s="1251"/>
      <c r="J799" s="1271"/>
      <c r="K799" s="1271"/>
      <c r="L799" s="1254"/>
      <c r="M799" s="1244"/>
      <c r="N799" s="1273"/>
      <c r="O799" s="1244"/>
      <c r="P799" s="1244"/>
      <c r="Q799" s="1244"/>
      <c r="R799" s="1244"/>
      <c r="S799" s="1265"/>
      <c r="T799" s="1244"/>
      <c r="U799" s="1244"/>
    </row>
    <row r="800">
      <c r="A800" s="1235"/>
      <c r="B800" s="1235"/>
      <c r="C800" s="1246"/>
      <c r="D800" s="1274"/>
      <c r="E800" s="1248"/>
      <c r="F800" s="1248"/>
      <c r="G800" s="1271"/>
      <c r="H800" s="1250"/>
      <c r="I800" s="1251"/>
      <c r="J800" s="1271"/>
      <c r="K800" s="1271"/>
      <c r="L800" s="1254"/>
      <c r="M800" s="1244"/>
      <c r="N800" s="1273"/>
      <c r="O800" s="1244"/>
      <c r="P800" s="1244"/>
      <c r="Q800" s="1244"/>
      <c r="R800" s="1244"/>
      <c r="S800" s="1265"/>
      <c r="T800" s="1244"/>
      <c r="U800" s="1244"/>
    </row>
    <row r="801">
      <c r="A801" s="1235"/>
      <c r="B801" s="1235"/>
      <c r="C801" s="1246"/>
      <c r="D801" s="1274"/>
      <c r="E801" s="1248"/>
      <c r="F801" s="1248"/>
      <c r="G801" s="1271"/>
      <c r="H801" s="1250"/>
      <c r="I801" s="1251"/>
      <c r="J801" s="1271"/>
      <c r="K801" s="1271"/>
      <c r="L801" s="1254"/>
      <c r="M801" s="1244"/>
      <c r="N801" s="1273"/>
      <c r="O801" s="1244"/>
      <c r="P801" s="1244"/>
      <c r="Q801" s="1244"/>
      <c r="R801" s="1244"/>
      <c r="S801" s="1265"/>
      <c r="T801" s="1244"/>
      <c r="U801" s="1244"/>
    </row>
    <row r="802">
      <c r="A802" s="1235"/>
      <c r="B802" s="1235"/>
      <c r="C802" s="1246"/>
      <c r="D802" s="1274"/>
      <c r="E802" s="1248"/>
      <c r="F802" s="1248"/>
      <c r="G802" s="1271"/>
      <c r="H802" s="1250"/>
      <c r="I802" s="1251"/>
      <c r="J802" s="1271"/>
      <c r="K802" s="1271"/>
      <c r="L802" s="1254"/>
      <c r="M802" s="1244"/>
      <c r="N802" s="1273"/>
      <c r="O802" s="1244"/>
      <c r="P802" s="1244"/>
      <c r="Q802" s="1244"/>
      <c r="R802" s="1244"/>
      <c r="S802" s="1265"/>
      <c r="T802" s="1244"/>
      <c r="U802" s="1244"/>
    </row>
    <row r="803">
      <c r="A803" s="1235"/>
      <c r="B803" s="1235"/>
      <c r="C803" s="1246"/>
      <c r="D803" s="1274"/>
      <c r="E803" s="1248"/>
      <c r="F803" s="1248"/>
      <c r="G803" s="1271"/>
      <c r="H803" s="1250"/>
      <c r="I803" s="1251"/>
      <c r="J803" s="1271"/>
      <c r="K803" s="1271"/>
      <c r="L803" s="1254"/>
      <c r="M803" s="1244"/>
      <c r="N803" s="1273"/>
      <c r="O803" s="1244"/>
      <c r="P803" s="1244"/>
      <c r="Q803" s="1244"/>
      <c r="R803" s="1244"/>
      <c r="S803" s="1265"/>
      <c r="T803" s="1244"/>
      <c r="U803" s="1244"/>
    </row>
    <row r="804">
      <c r="A804" s="1235"/>
      <c r="B804" s="1235"/>
      <c r="C804" s="1246"/>
      <c r="D804" s="1274"/>
      <c r="E804" s="1248"/>
      <c r="F804" s="1248"/>
      <c r="G804" s="1271"/>
      <c r="H804" s="1250"/>
      <c r="I804" s="1251"/>
      <c r="J804" s="1271"/>
      <c r="K804" s="1271"/>
      <c r="L804" s="1254"/>
      <c r="M804" s="1244"/>
      <c r="N804" s="1273"/>
      <c r="O804" s="1244"/>
      <c r="P804" s="1244"/>
      <c r="Q804" s="1244"/>
      <c r="R804" s="1244"/>
      <c r="S804" s="1265"/>
      <c r="T804" s="1244"/>
      <c r="U804" s="1244"/>
    </row>
    <row r="805">
      <c r="A805" s="1235"/>
      <c r="B805" s="1235"/>
      <c r="C805" s="1246"/>
      <c r="D805" s="1274"/>
      <c r="E805" s="1248"/>
      <c r="F805" s="1248"/>
      <c r="G805" s="1271"/>
      <c r="H805" s="1250"/>
      <c r="I805" s="1251"/>
      <c r="J805" s="1271"/>
      <c r="K805" s="1271"/>
      <c r="L805" s="1254"/>
      <c r="M805" s="1244"/>
      <c r="N805" s="1273"/>
      <c r="O805" s="1244"/>
      <c r="P805" s="1244"/>
      <c r="Q805" s="1244"/>
      <c r="R805" s="1244"/>
      <c r="S805" s="1265"/>
      <c r="T805" s="1244"/>
      <c r="U805" s="1244"/>
    </row>
    <row r="806">
      <c r="A806" s="1235"/>
      <c r="B806" s="1235"/>
      <c r="C806" s="1246"/>
      <c r="D806" s="1274"/>
      <c r="E806" s="1248"/>
      <c r="F806" s="1248"/>
      <c r="G806" s="1271"/>
      <c r="H806" s="1250"/>
      <c r="I806" s="1251"/>
      <c r="J806" s="1271"/>
      <c r="K806" s="1271"/>
      <c r="L806" s="1254"/>
      <c r="M806" s="1244"/>
      <c r="N806" s="1273"/>
      <c r="O806" s="1244"/>
      <c r="P806" s="1244"/>
      <c r="Q806" s="1244"/>
      <c r="R806" s="1244"/>
      <c r="S806" s="1265"/>
      <c r="T806" s="1244"/>
      <c r="U806" s="1244"/>
    </row>
    <row r="807">
      <c r="A807" s="1235"/>
      <c r="B807" s="1235"/>
      <c r="C807" s="1246"/>
      <c r="D807" s="1274"/>
      <c r="E807" s="1248"/>
      <c r="F807" s="1248"/>
      <c r="G807" s="1271"/>
      <c r="H807" s="1250"/>
      <c r="I807" s="1251"/>
      <c r="J807" s="1271"/>
      <c r="K807" s="1271"/>
      <c r="L807" s="1254"/>
      <c r="M807" s="1244"/>
      <c r="N807" s="1273"/>
      <c r="O807" s="1244"/>
      <c r="P807" s="1244"/>
      <c r="Q807" s="1244"/>
      <c r="R807" s="1244"/>
      <c r="S807" s="1265"/>
      <c r="T807" s="1244"/>
      <c r="U807" s="1244"/>
    </row>
    <row r="808">
      <c r="A808" s="1235"/>
      <c r="B808" s="1235"/>
      <c r="C808" s="1246"/>
      <c r="D808" s="1274"/>
      <c r="E808" s="1248"/>
      <c r="F808" s="1248"/>
      <c r="G808" s="1271"/>
      <c r="H808" s="1250"/>
      <c r="I808" s="1251"/>
      <c r="J808" s="1271"/>
      <c r="K808" s="1271"/>
      <c r="L808" s="1254"/>
      <c r="M808" s="1244"/>
      <c r="N808" s="1273"/>
      <c r="O808" s="1244"/>
      <c r="P808" s="1244"/>
      <c r="Q808" s="1244"/>
      <c r="R808" s="1244"/>
      <c r="S808" s="1265"/>
      <c r="T808" s="1244"/>
      <c r="U808" s="1244"/>
    </row>
    <row r="809">
      <c r="A809" s="1235"/>
      <c r="B809" s="1235"/>
      <c r="C809" s="1246"/>
      <c r="D809" s="1274"/>
      <c r="E809" s="1248"/>
      <c r="F809" s="1248"/>
      <c r="G809" s="1271"/>
      <c r="H809" s="1250"/>
      <c r="I809" s="1251"/>
      <c r="J809" s="1271"/>
      <c r="K809" s="1271"/>
      <c r="L809" s="1254"/>
      <c r="M809" s="1244"/>
      <c r="N809" s="1273"/>
      <c r="O809" s="1244"/>
      <c r="P809" s="1244"/>
      <c r="Q809" s="1244"/>
      <c r="R809" s="1244"/>
      <c r="S809" s="1265"/>
      <c r="T809" s="1244"/>
      <c r="U809" s="1244"/>
    </row>
    <row r="810">
      <c r="A810" s="1235"/>
      <c r="B810" s="1235"/>
      <c r="C810" s="1246"/>
      <c r="D810" s="1274"/>
      <c r="E810" s="1248"/>
      <c r="F810" s="1248"/>
      <c r="G810" s="1271"/>
      <c r="H810" s="1250"/>
      <c r="I810" s="1251"/>
      <c r="J810" s="1271"/>
      <c r="K810" s="1271"/>
      <c r="L810" s="1254"/>
      <c r="M810" s="1244"/>
      <c r="N810" s="1273"/>
      <c r="O810" s="1244"/>
      <c r="P810" s="1244"/>
      <c r="Q810" s="1244"/>
      <c r="R810" s="1244"/>
      <c r="S810" s="1265"/>
      <c r="T810" s="1244"/>
      <c r="U810" s="1244"/>
    </row>
    <row r="811">
      <c r="A811" s="1235"/>
      <c r="B811" s="1235"/>
      <c r="C811" s="1246"/>
      <c r="D811" s="1274"/>
      <c r="E811" s="1248"/>
      <c r="F811" s="1248"/>
      <c r="G811" s="1271"/>
      <c r="H811" s="1250"/>
      <c r="I811" s="1251"/>
      <c r="J811" s="1271"/>
      <c r="K811" s="1271"/>
      <c r="L811" s="1254"/>
      <c r="M811" s="1244"/>
      <c r="N811" s="1273"/>
      <c r="O811" s="1244"/>
      <c r="P811" s="1244"/>
      <c r="Q811" s="1244"/>
      <c r="R811" s="1244"/>
      <c r="S811" s="1265"/>
      <c r="T811" s="1244"/>
      <c r="U811" s="1244"/>
    </row>
    <row r="812">
      <c r="A812" s="1235"/>
      <c r="B812" s="1235"/>
      <c r="C812" s="1246"/>
      <c r="D812" s="1274"/>
      <c r="E812" s="1248"/>
      <c r="F812" s="1248"/>
      <c r="G812" s="1271"/>
      <c r="H812" s="1250"/>
      <c r="I812" s="1251"/>
      <c r="J812" s="1271"/>
      <c r="K812" s="1271"/>
      <c r="L812" s="1254"/>
      <c r="M812" s="1244"/>
      <c r="N812" s="1273"/>
      <c r="O812" s="1244"/>
      <c r="P812" s="1244"/>
      <c r="Q812" s="1244"/>
      <c r="R812" s="1244"/>
      <c r="S812" s="1265"/>
      <c r="T812" s="1244"/>
      <c r="U812" s="1244"/>
    </row>
    <row r="813">
      <c r="A813" s="1235"/>
      <c r="B813" s="1235"/>
      <c r="C813" s="1246"/>
      <c r="D813" s="1274"/>
      <c r="E813" s="1248"/>
      <c r="F813" s="1248"/>
      <c r="G813" s="1271"/>
      <c r="H813" s="1250"/>
      <c r="I813" s="1251"/>
      <c r="J813" s="1271"/>
      <c r="K813" s="1271"/>
      <c r="L813" s="1254"/>
      <c r="M813" s="1244"/>
      <c r="N813" s="1273"/>
      <c r="O813" s="1244"/>
      <c r="P813" s="1244"/>
      <c r="Q813" s="1244"/>
      <c r="R813" s="1244"/>
      <c r="S813" s="1265"/>
      <c r="T813" s="1244"/>
      <c r="U813" s="1244"/>
    </row>
    <row r="814">
      <c r="A814" s="1235"/>
      <c r="B814" s="1235"/>
      <c r="C814" s="1246"/>
      <c r="D814" s="1274"/>
      <c r="E814" s="1248"/>
      <c r="F814" s="1248"/>
      <c r="G814" s="1271"/>
      <c r="H814" s="1250"/>
      <c r="I814" s="1251"/>
      <c r="J814" s="1271"/>
      <c r="K814" s="1271"/>
      <c r="L814" s="1254"/>
      <c r="M814" s="1244"/>
      <c r="N814" s="1273"/>
      <c r="O814" s="1244"/>
      <c r="P814" s="1244"/>
      <c r="Q814" s="1244"/>
      <c r="R814" s="1244"/>
      <c r="S814" s="1265"/>
      <c r="T814" s="1244"/>
      <c r="U814" s="1244"/>
    </row>
    <row r="815">
      <c r="A815" s="1235"/>
      <c r="B815" s="1235"/>
      <c r="C815" s="1246"/>
      <c r="D815" s="1274"/>
      <c r="E815" s="1248"/>
      <c r="F815" s="1248"/>
      <c r="G815" s="1271"/>
      <c r="H815" s="1250"/>
      <c r="I815" s="1251"/>
      <c r="J815" s="1271"/>
      <c r="K815" s="1271"/>
      <c r="L815" s="1254"/>
      <c r="M815" s="1244"/>
      <c r="N815" s="1273"/>
      <c r="O815" s="1244"/>
      <c r="P815" s="1244"/>
      <c r="Q815" s="1244"/>
      <c r="R815" s="1244"/>
      <c r="S815" s="1265"/>
      <c r="T815" s="1244"/>
      <c r="U815" s="1244"/>
    </row>
    <row r="816">
      <c r="A816" s="1235"/>
      <c r="B816" s="1235"/>
      <c r="C816" s="1246"/>
      <c r="D816" s="1274"/>
      <c r="E816" s="1248"/>
      <c r="F816" s="1248"/>
      <c r="G816" s="1271"/>
      <c r="H816" s="1250"/>
      <c r="I816" s="1251"/>
      <c r="J816" s="1271"/>
      <c r="K816" s="1271"/>
      <c r="L816" s="1254"/>
      <c r="M816" s="1244"/>
      <c r="N816" s="1273"/>
      <c r="O816" s="1244"/>
      <c r="P816" s="1244"/>
      <c r="Q816" s="1244"/>
      <c r="R816" s="1244"/>
      <c r="S816" s="1265"/>
      <c r="T816" s="1244"/>
      <c r="U816" s="1244"/>
    </row>
    <row r="817">
      <c r="A817" s="1235"/>
      <c r="B817" s="1235"/>
      <c r="C817" s="1246"/>
      <c r="D817" s="1274"/>
      <c r="E817" s="1248"/>
      <c r="F817" s="1248"/>
      <c r="G817" s="1271"/>
      <c r="H817" s="1250"/>
      <c r="I817" s="1251"/>
      <c r="J817" s="1271"/>
      <c r="K817" s="1271"/>
      <c r="L817" s="1254"/>
      <c r="M817" s="1244"/>
      <c r="N817" s="1273"/>
      <c r="O817" s="1244"/>
      <c r="P817" s="1244"/>
      <c r="Q817" s="1244"/>
      <c r="R817" s="1244"/>
      <c r="S817" s="1265"/>
      <c r="T817" s="1244"/>
      <c r="U817" s="1244"/>
    </row>
    <row r="818">
      <c r="A818" s="1235"/>
      <c r="B818" s="1235"/>
      <c r="C818" s="1246"/>
      <c r="D818" s="1274"/>
      <c r="E818" s="1248"/>
      <c r="F818" s="1248"/>
      <c r="G818" s="1271"/>
      <c r="H818" s="1250"/>
      <c r="I818" s="1251"/>
      <c r="J818" s="1271"/>
      <c r="K818" s="1271"/>
      <c r="L818" s="1254"/>
      <c r="M818" s="1244"/>
      <c r="N818" s="1273"/>
      <c r="O818" s="1244"/>
      <c r="P818" s="1244"/>
      <c r="Q818" s="1244"/>
      <c r="R818" s="1244"/>
      <c r="S818" s="1265"/>
      <c r="T818" s="1244"/>
      <c r="U818" s="1244"/>
    </row>
    <row r="819">
      <c r="A819" s="1235"/>
      <c r="B819" s="1235"/>
      <c r="C819" s="1246"/>
      <c r="D819" s="1274"/>
      <c r="E819" s="1248"/>
      <c r="F819" s="1248"/>
      <c r="G819" s="1271"/>
      <c r="H819" s="1250"/>
      <c r="I819" s="1251"/>
      <c r="J819" s="1271"/>
      <c r="K819" s="1271"/>
      <c r="L819" s="1254"/>
      <c r="M819" s="1244"/>
      <c r="N819" s="1273"/>
      <c r="O819" s="1244"/>
      <c r="P819" s="1244"/>
      <c r="Q819" s="1244"/>
      <c r="R819" s="1244"/>
      <c r="S819" s="1265"/>
      <c r="T819" s="1244"/>
      <c r="U819" s="1244"/>
    </row>
    <row r="820">
      <c r="A820" s="1235"/>
      <c r="B820" s="1235"/>
      <c r="C820" s="1246"/>
      <c r="D820" s="1274"/>
      <c r="E820" s="1248"/>
      <c r="F820" s="1248"/>
      <c r="G820" s="1271"/>
      <c r="H820" s="1250"/>
      <c r="I820" s="1251"/>
      <c r="J820" s="1271"/>
      <c r="K820" s="1271"/>
      <c r="L820" s="1254"/>
      <c r="M820" s="1244"/>
      <c r="N820" s="1273"/>
      <c r="O820" s="1244"/>
      <c r="P820" s="1244"/>
      <c r="Q820" s="1244"/>
      <c r="R820" s="1244"/>
      <c r="S820" s="1265"/>
      <c r="T820" s="1244"/>
      <c r="U820" s="1244"/>
    </row>
    <row r="821">
      <c r="A821" s="1235"/>
      <c r="B821" s="1235"/>
      <c r="C821" s="1246"/>
      <c r="D821" s="1274"/>
      <c r="E821" s="1248"/>
      <c r="F821" s="1248"/>
      <c r="G821" s="1271"/>
      <c r="H821" s="1250"/>
      <c r="I821" s="1251"/>
      <c r="J821" s="1271"/>
      <c r="K821" s="1271"/>
      <c r="L821" s="1254"/>
      <c r="M821" s="1244"/>
      <c r="N821" s="1273"/>
      <c r="O821" s="1244"/>
      <c r="P821" s="1244"/>
      <c r="Q821" s="1244"/>
      <c r="R821" s="1244"/>
      <c r="S821" s="1265"/>
      <c r="T821" s="1244"/>
      <c r="U821" s="1244"/>
    </row>
    <row r="822">
      <c r="A822" s="1235"/>
      <c r="B822" s="1235"/>
      <c r="C822" s="1246"/>
      <c r="D822" s="1274"/>
      <c r="E822" s="1248"/>
      <c r="F822" s="1248"/>
      <c r="G822" s="1271"/>
      <c r="H822" s="1250"/>
      <c r="I822" s="1251"/>
      <c r="J822" s="1271"/>
      <c r="K822" s="1271"/>
      <c r="L822" s="1254"/>
      <c r="M822" s="1244"/>
      <c r="N822" s="1273"/>
      <c r="O822" s="1244"/>
      <c r="P822" s="1244"/>
      <c r="Q822" s="1244"/>
      <c r="R822" s="1244"/>
      <c r="S822" s="1265"/>
      <c r="T822" s="1244"/>
      <c r="U822" s="1244"/>
    </row>
    <row r="823">
      <c r="A823" s="1235"/>
      <c r="B823" s="1235"/>
      <c r="C823" s="1246"/>
      <c r="D823" s="1274"/>
      <c r="E823" s="1248"/>
      <c r="F823" s="1248"/>
      <c r="G823" s="1271"/>
      <c r="H823" s="1250"/>
      <c r="I823" s="1251"/>
      <c r="J823" s="1271"/>
      <c r="K823" s="1271"/>
      <c r="L823" s="1254"/>
      <c r="M823" s="1244"/>
      <c r="N823" s="1273"/>
      <c r="O823" s="1244"/>
      <c r="P823" s="1244"/>
      <c r="Q823" s="1244"/>
      <c r="R823" s="1244"/>
      <c r="S823" s="1265"/>
      <c r="T823" s="1244"/>
      <c r="U823" s="1244"/>
    </row>
    <row r="824">
      <c r="A824" s="1235"/>
      <c r="B824" s="1235"/>
      <c r="C824" s="1246"/>
      <c r="D824" s="1274"/>
      <c r="E824" s="1248"/>
      <c r="F824" s="1248"/>
      <c r="G824" s="1271"/>
      <c r="H824" s="1250"/>
      <c r="I824" s="1251"/>
      <c r="J824" s="1271"/>
      <c r="K824" s="1271"/>
      <c r="L824" s="1254"/>
      <c r="M824" s="1244"/>
      <c r="N824" s="1273"/>
      <c r="O824" s="1244"/>
      <c r="P824" s="1244"/>
      <c r="Q824" s="1244"/>
      <c r="R824" s="1244"/>
      <c r="S824" s="1265"/>
      <c r="T824" s="1244"/>
      <c r="U824" s="1244"/>
    </row>
    <row r="825">
      <c r="A825" s="1235"/>
      <c r="B825" s="1235"/>
      <c r="C825" s="1246"/>
      <c r="D825" s="1274"/>
      <c r="E825" s="1248"/>
      <c r="F825" s="1248"/>
      <c r="G825" s="1271"/>
      <c r="H825" s="1250"/>
      <c r="I825" s="1251"/>
      <c r="J825" s="1271"/>
      <c r="K825" s="1271"/>
      <c r="L825" s="1254"/>
      <c r="M825" s="1244"/>
      <c r="N825" s="1273"/>
      <c r="O825" s="1244"/>
      <c r="P825" s="1244"/>
      <c r="Q825" s="1244"/>
      <c r="R825" s="1244"/>
      <c r="S825" s="1265"/>
      <c r="T825" s="1244"/>
      <c r="U825" s="1244"/>
    </row>
    <row r="826">
      <c r="A826" s="1235"/>
      <c r="B826" s="1235"/>
      <c r="C826" s="1246"/>
      <c r="D826" s="1274"/>
      <c r="E826" s="1248"/>
      <c r="F826" s="1248"/>
      <c r="G826" s="1271"/>
      <c r="H826" s="1250"/>
      <c r="I826" s="1251"/>
      <c r="J826" s="1271"/>
      <c r="K826" s="1271"/>
      <c r="L826" s="1254"/>
      <c r="M826" s="1244"/>
      <c r="N826" s="1273"/>
      <c r="O826" s="1244"/>
      <c r="P826" s="1244"/>
      <c r="Q826" s="1244"/>
      <c r="R826" s="1244"/>
      <c r="S826" s="1265"/>
      <c r="T826" s="1244"/>
      <c r="U826" s="1244"/>
    </row>
    <row r="827">
      <c r="A827" s="1235"/>
      <c r="B827" s="1235"/>
      <c r="C827" s="1246"/>
      <c r="D827" s="1274"/>
      <c r="E827" s="1248"/>
      <c r="F827" s="1248"/>
      <c r="G827" s="1271"/>
      <c r="H827" s="1250"/>
      <c r="I827" s="1251"/>
      <c r="J827" s="1271"/>
      <c r="K827" s="1271"/>
      <c r="L827" s="1254"/>
      <c r="M827" s="1244"/>
      <c r="N827" s="1273"/>
      <c r="O827" s="1244"/>
      <c r="P827" s="1244"/>
      <c r="Q827" s="1244"/>
      <c r="R827" s="1244"/>
      <c r="S827" s="1265"/>
      <c r="T827" s="1244"/>
      <c r="U827" s="1244"/>
    </row>
    <row r="828">
      <c r="A828" s="1235"/>
      <c r="B828" s="1235"/>
      <c r="C828" s="1246"/>
      <c r="D828" s="1274"/>
      <c r="E828" s="1248"/>
      <c r="F828" s="1248"/>
      <c r="G828" s="1271"/>
      <c r="H828" s="1250"/>
      <c r="I828" s="1251"/>
      <c r="J828" s="1271"/>
      <c r="K828" s="1271"/>
      <c r="L828" s="1254"/>
      <c r="M828" s="1244"/>
      <c r="N828" s="1273"/>
      <c r="O828" s="1244"/>
      <c r="P828" s="1244"/>
      <c r="Q828" s="1244"/>
      <c r="R828" s="1244"/>
      <c r="S828" s="1265"/>
      <c r="T828" s="1244"/>
      <c r="U828" s="1244"/>
    </row>
    <row r="829">
      <c r="A829" s="1235"/>
      <c r="B829" s="1235"/>
      <c r="C829" s="1246"/>
      <c r="D829" s="1274"/>
      <c r="E829" s="1248"/>
      <c r="F829" s="1248"/>
      <c r="G829" s="1271"/>
      <c r="H829" s="1250"/>
      <c r="I829" s="1251"/>
      <c r="J829" s="1271"/>
      <c r="K829" s="1271"/>
      <c r="L829" s="1254"/>
      <c r="M829" s="1244"/>
      <c r="N829" s="1273"/>
      <c r="O829" s="1244"/>
      <c r="P829" s="1244"/>
      <c r="Q829" s="1244"/>
      <c r="R829" s="1244"/>
      <c r="S829" s="1265"/>
      <c r="T829" s="1244"/>
      <c r="U829" s="1244"/>
    </row>
    <row r="830">
      <c r="A830" s="1235"/>
      <c r="B830" s="1235"/>
      <c r="C830" s="1246"/>
      <c r="D830" s="1274"/>
      <c r="E830" s="1248"/>
      <c r="F830" s="1248"/>
      <c r="G830" s="1271"/>
      <c r="H830" s="1250"/>
      <c r="I830" s="1251"/>
      <c r="J830" s="1271"/>
      <c r="K830" s="1271"/>
      <c r="L830" s="1254"/>
      <c r="M830" s="1244"/>
      <c r="N830" s="1273"/>
      <c r="O830" s="1244"/>
      <c r="P830" s="1244"/>
      <c r="Q830" s="1244"/>
      <c r="R830" s="1244"/>
      <c r="S830" s="1265"/>
      <c r="T830" s="1244"/>
      <c r="U830" s="1244"/>
    </row>
    <row r="831">
      <c r="A831" s="1235"/>
      <c r="B831" s="1235"/>
      <c r="C831" s="1246"/>
      <c r="D831" s="1274"/>
      <c r="E831" s="1248"/>
      <c r="F831" s="1248"/>
      <c r="G831" s="1271"/>
      <c r="H831" s="1250"/>
      <c r="I831" s="1251"/>
      <c r="J831" s="1271"/>
      <c r="K831" s="1271"/>
      <c r="L831" s="1254"/>
      <c r="M831" s="1244"/>
      <c r="N831" s="1273"/>
      <c r="O831" s="1244"/>
      <c r="P831" s="1244"/>
      <c r="Q831" s="1244"/>
      <c r="R831" s="1244"/>
      <c r="S831" s="1265"/>
      <c r="T831" s="1244"/>
      <c r="U831" s="1244"/>
    </row>
    <row r="832">
      <c r="A832" s="1235"/>
      <c r="B832" s="1235"/>
      <c r="C832" s="1246"/>
      <c r="D832" s="1274"/>
      <c r="E832" s="1248"/>
      <c r="F832" s="1248"/>
      <c r="G832" s="1271"/>
      <c r="H832" s="1250"/>
      <c r="I832" s="1251"/>
      <c r="J832" s="1271"/>
      <c r="K832" s="1271"/>
      <c r="L832" s="1254"/>
      <c r="M832" s="1244"/>
      <c r="N832" s="1273"/>
      <c r="O832" s="1244"/>
      <c r="P832" s="1244"/>
      <c r="Q832" s="1244"/>
      <c r="R832" s="1244"/>
      <c r="S832" s="1265"/>
      <c r="T832" s="1244"/>
      <c r="U832" s="1244"/>
    </row>
    <row r="833">
      <c r="A833" s="1235"/>
      <c r="B833" s="1235"/>
      <c r="C833" s="1246"/>
      <c r="D833" s="1274"/>
      <c r="E833" s="1248"/>
      <c r="F833" s="1248"/>
      <c r="G833" s="1271"/>
      <c r="H833" s="1250"/>
      <c r="I833" s="1251"/>
      <c r="J833" s="1271"/>
      <c r="K833" s="1271"/>
      <c r="L833" s="1254"/>
      <c r="M833" s="1244"/>
      <c r="N833" s="1273"/>
      <c r="O833" s="1244"/>
      <c r="P833" s="1244"/>
      <c r="Q833" s="1244"/>
      <c r="R833" s="1244"/>
      <c r="S833" s="1265"/>
      <c r="T833" s="1244"/>
      <c r="U833" s="1244"/>
    </row>
    <row r="834">
      <c r="A834" s="1235"/>
      <c r="B834" s="1235"/>
      <c r="C834" s="1246"/>
      <c r="D834" s="1274"/>
      <c r="E834" s="1248"/>
      <c r="F834" s="1248"/>
      <c r="G834" s="1271"/>
      <c r="H834" s="1250"/>
      <c r="I834" s="1251"/>
      <c r="J834" s="1271"/>
      <c r="K834" s="1271"/>
      <c r="L834" s="1254"/>
      <c r="M834" s="1244"/>
      <c r="N834" s="1273"/>
      <c r="O834" s="1244"/>
      <c r="P834" s="1244"/>
      <c r="Q834" s="1244"/>
      <c r="R834" s="1244"/>
      <c r="S834" s="1265"/>
      <c r="T834" s="1244"/>
      <c r="U834" s="1244"/>
    </row>
    <row r="835">
      <c r="A835" s="1235"/>
      <c r="B835" s="1235"/>
      <c r="C835" s="1246"/>
      <c r="D835" s="1274"/>
      <c r="E835" s="1248"/>
      <c r="F835" s="1248"/>
      <c r="G835" s="1271"/>
      <c r="H835" s="1250"/>
      <c r="I835" s="1251"/>
      <c r="J835" s="1271"/>
      <c r="K835" s="1271"/>
      <c r="L835" s="1254"/>
      <c r="M835" s="1244"/>
      <c r="N835" s="1273"/>
      <c r="O835" s="1244"/>
      <c r="P835" s="1244"/>
      <c r="Q835" s="1244"/>
      <c r="R835" s="1244"/>
      <c r="S835" s="1265"/>
      <c r="T835" s="1244"/>
      <c r="U835" s="1244"/>
    </row>
    <row r="836">
      <c r="A836" s="1235"/>
      <c r="B836" s="1235"/>
      <c r="C836" s="1246"/>
      <c r="D836" s="1274"/>
      <c r="E836" s="1248"/>
      <c r="F836" s="1248"/>
      <c r="G836" s="1271"/>
      <c r="H836" s="1250"/>
      <c r="I836" s="1251"/>
      <c r="J836" s="1271"/>
      <c r="K836" s="1271"/>
      <c r="L836" s="1254"/>
      <c r="M836" s="1244"/>
      <c r="N836" s="1273"/>
      <c r="O836" s="1244"/>
      <c r="P836" s="1244"/>
      <c r="Q836" s="1244"/>
      <c r="R836" s="1244"/>
      <c r="S836" s="1265"/>
      <c r="T836" s="1244"/>
      <c r="U836" s="1244"/>
    </row>
    <row r="837">
      <c r="A837" s="1235"/>
      <c r="B837" s="1235"/>
      <c r="C837" s="1246"/>
      <c r="D837" s="1274"/>
      <c r="E837" s="1248"/>
      <c r="F837" s="1248"/>
      <c r="G837" s="1271"/>
      <c r="H837" s="1250"/>
      <c r="I837" s="1251"/>
      <c r="J837" s="1271"/>
      <c r="K837" s="1271"/>
      <c r="L837" s="1254"/>
      <c r="M837" s="1244"/>
      <c r="N837" s="1273"/>
      <c r="O837" s="1244"/>
      <c r="P837" s="1244"/>
      <c r="Q837" s="1244"/>
      <c r="R837" s="1244"/>
      <c r="S837" s="1265"/>
      <c r="T837" s="1244"/>
      <c r="U837" s="1244"/>
    </row>
    <row r="838">
      <c r="A838" s="1235"/>
      <c r="B838" s="1235"/>
      <c r="C838" s="1246"/>
      <c r="D838" s="1274"/>
      <c r="E838" s="1248"/>
      <c r="F838" s="1248"/>
      <c r="G838" s="1271"/>
      <c r="H838" s="1250"/>
      <c r="I838" s="1251"/>
      <c r="J838" s="1271"/>
      <c r="K838" s="1271"/>
      <c r="L838" s="1254"/>
      <c r="M838" s="1244"/>
      <c r="N838" s="1273"/>
      <c r="O838" s="1244"/>
      <c r="P838" s="1244"/>
      <c r="Q838" s="1244"/>
      <c r="R838" s="1244"/>
      <c r="S838" s="1265"/>
      <c r="T838" s="1244"/>
      <c r="U838" s="1244"/>
    </row>
    <row r="839">
      <c r="A839" s="1235"/>
      <c r="B839" s="1235"/>
      <c r="C839" s="1246"/>
      <c r="D839" s="1274"/>
      <c r="E839" s="1248"/>
      <c r="F839" s="1248"/>
      <c r="G839" s="1271"/>
      <c r="H839" s="1250"/>
      <c r="I839" s="1251"/>
      <c r="J839" s="1271"/>
      <c r="K839" s="1271"/>
      <c r="L839" s="1254"/>
      <c r="M839" s="1244"/>
      <c r="N839" s="1273"/>
      <c r="O839" s="1244"/>
      <c r="P839" s="1244"/>
      <c r="Q839" s="1244"/>
      <c r="R839" s="1244"/>
      <c r="S839" s="1265"/>
      <c r="T839" s="1244"/>
      <c r="U839" s="1244"/>
    </row>
    <row r="840">
      <c r="A840" s="1235"/>
      <c r="B840" s="1235"/>
      <c r="C840" s="1246"/>
      <c r="D840" s="1274"/>
      <c r="E840" s="1248"/>
      <c r="F840" s="1248"/>
      <c r="G840" s="1271"/>
      <c r="H840" s="1250"/>
      <c r="I840" s="1251"/>
      <c r="J840" s="1271"/>
      <c r="K840" s="1271"/>
      <c r="L840" s="1254"/>
      <c r="M840" s="1244"/>
      <c r="N840" s="1273"/>
      <c r="O840" s="1244"/>
      <c r="P840" s="1244"/>
      <c r="Q840" s="1244"/>
      <c r="R840" s="1244"/>
      <c r="S840" s="1265"/>
      <c r="T840" s="1244"/>
      <c r="U840" s="1244"/>
    </row>
    <row r="841">
      <c r="A841" s="1235"/>
      <c r="B841" s="1235"/>
      <c r="C841" s="1246"/>
      <c r="D841" s="1274"/>
      <c r="E841" s="1248"/>
      <c r="F841" s="1248"/>
      <c r="G841" s="1271"/>
      <c r="H841" s="1250"/>
      <c r="I841" s="1251"/>
      <c r="J841" s="1271"/>
      <c r="K841" s="1271"/>
      <c r="L841" s="1254"/>
      <c r="M841" s="1244"/>
      <c r="N841" s="1273"/>
      <c r="O841" s="1244"/>
      <c r="P841" s="1244"/>
      <c r="Q841" s="1244"/>
      <c r="R841" s="1244"/>
      <c r="S841" s="1265"/>
      <c r="T841" s="1244"/>
      <c r="U841" s="1244"/>
    </row>
    <row r="842">
      <c r="A842" s="1235"/>
      <c r="B842" s="1235"/>
      <c r="C842" s="1246"/>
      <c r="D842" s="1274"/>
      <c r="E842" s="1248"/>
      <c r="F842" s="1248"/>
      <c r="G842" s="1271"/>
      <c r="H842" s="1250"/>
      <c r="I842" s="1251"/>
      <c r="J842" s="1271"/>
      <c r="K842" s="1271"/>
      <c r="L842" s="1254"/>
      <c r="M842" s="1244"/>
      <c r="N842" s="1273"/>
      <c r="O842" s="1244"/>
      <c r="P842" s="1244"/>
      <c r="Q842" s="1244"/>
      <c r="R842" s="1244"/>
      <c r="S842" s="1265"/>
      <c r="T842" s="1244"/>
      <c r="U842" s="1244"/>
    </row>
    <row r="843">
      <c r="A843" s="1235"/>
      <c r="B843" s="1235"/>
      <c r="C843" s="1246"/>
      <c r="D843" s="1274"/>
      <c r="E843" s="1248"/>
      <c r="F843" s="1248"/>
      <c r="G843" s="1271"/>
      <c r="H843" s="1250"/>
      <c r="I843" s="1251"/>
      <c r="J843" s="1271"/>
      <c r="K843" s="1271"/>
      <c r="L843" s="1254"/>
      <c r="M843" s="1244"/>
      <c r="N843" s="1273"/>
      <c r="O843" s="1244"/>
      <c r="P843" s="1244"/>
      <c r="Q843" s="1244"/>
      <c r="R843" s="1244"/>
      <c r="S843" s="1265"/>
      <c r="T843" s="1244"/>
      <c r="U843" s="1244"/>
    </row>
    <row r="844">
      <c r="A844" s="1235"/>
      <c r="B844" s="1235"/>
      <c r="C844" s="1246"/>
      <c r="D844" s="1274"/>
      <c r="E844" s="1248"/>
      <c r="F844" s="1248"/>
      <c r="G844" s="1271"/>
      <c r="H844" s="1250"/>
      <c r="I844" s="1251"/>
      <c r="J844" s="1271"/>
      <c r="K844" s="1271"/>
      <c r="L844" s="1254"/>
      <c r="M844" s="1244"/>
      <c r="N844" s="1273"/>
      <c r="O844" s="1244"/>
      <c r="P844" s="1244"/>
      <c r="Q844" s="1244"/>
      <c r="R844" s="1244"/>
      <c r="S844" s="1265"/>
      <c r="T844" s="1244"/>
      <c r="U844" s="1244"/>
    </row>
    <row r="845">
      <c r="A845" s="1235"/>
      <c r="B845" s="1235"/>
      <c r="C845" s="1246"/>
      <c r="D845" s="1274"/>
      <c r="E845" s="1248"/>
      <c r="F845" s="1248"/>
      <c r="G845" s="1271"/>
      <c r="H845" s="1250"/>
      <c r="I845" s="1251"/>
      <c r="J845" s="1271"/>
      <c r="K845" s="1271"/>
      <c r="L845" s="1254"/>
      <c r="M845" s="1244"/>
      <c r="N845" s="1273"/>
      <c r="O845" s="1244"/>
      <c r="P845" s="1244"/>
      <c r="Q845" s="1244"/>
      <c r="R845" s="1244"/>
      <c r="S845" s="1265"/>
      <c r="T845" s="1244"/>
      <c r="U845" s="1244"/>
    </row>
    <row r="846">
      <c r="A846" s="1235"/>
      <c r="B846" s="1235"/>
      <c r="C846" s="1246"/>
      <c r="D846" s="1274"/>
      <c r="E846" s="1248"/>
      <c r="F846" s="1248"/>
      <c r="G846" s="1271"/>
      <c r="H846" s="1250"/>
      <c r="I846" s="1251"/>
      <c r="J846" s="1271"/>
      <c r="K846" s="1271"/>
      <c r="L846" s="1254"/>
      <c r="M846" s="1244"/>
      <c r="N846" s="1273"/>
      <c r="O846" s="1244"/>
      <c r="P846" s="1244"/>
      <c r="Q846" s="1244"/>
      <c r="R846" s="1244"/>
      <c r="S846" s="1265"/>
      <c r="T846" s="1244"/>
      <c r="U846" s="1244"/>
    </row>
    <row r="847">
      <c r="A847" s="1235"/>
      <c r="B847" s="1235"/>
      <c r="C847" s="1246"/>
      <c r="D847" s="1274"/>
      <c r="E847" s="1248"/>
      <c r="F847" s="1248"/>
      <c r="G847" s="1271"/>
      <c r="H847" s="1250"/>
      <c r="I847" s="1251"/>
      <c r="J847" s="1271"/>
      <c r="K847" s="1271"/>
      <c r="L847" s="1254"/>
      <c r="M847" s="1244"/>
      <c r="N847" s="1273"/>
      <c r="O847" s="1244"/>
      <c r="P847" s="1244"/>
      <c r="Q847" s="1244"/>
      <c r="R847" s="1244"/>
      <c r="S847" s="1265"/>
      <c r="T847" s="1244"/>
      <c r="U847" s="1244"/>
    </row>
    <row r="848">
      <c r="A848" s="1235"/>
      <c r="B848" s="1235"/>
      <c r="C848" s="1246"/>
      <c r="D848" s="1274"/>
      <c r="E848" s="1248"/>
      <c r="F848" s="1248"/>
      <c r="G848" s="1271"/>
      <c r="H848" s="1250"/>
      <c r="I848" s="1251"/>
      <c r="J848" s="1271"/>
      <c r="K848" s="1271"/>
      <c r="L848" s="1254"/>
      <c r="M848" s="1244"/>
      <c r="N848" s="1273"/>
      <c r="O848" s="1244"/>
      <c r="P848" s="1244"/>
      <c r="Q848" s="1244"/>
      <c r="R848" s="1244"/>
      <c r="S848" s="1265"/>
      <c r="T848" s="1244"/>
      <c r="U848" s="1244"/>
    </row>
    <row r="849">
      <c r="A849" s="1235"/>
      <c r="B849" s="1235"/>
      <c r="C849" s="1246"/>
      <c r="D849" s="1274"/>
      <c r="E849" s="1248"/>
      <c r="F849" s="1248"/>
      <c r="G849" s="1271"/>
      <c r="H849" s="1250"/>
      <c r="I849" s="1251"/>
      <c r="J849" s="1271"/>
      <c r="K849" s="1271"/>
      <c r="L849" s="1254"/>
      <c r="M849" s="1244"/>
      <c r="N849" s="1273"/>
      <c r="O849" s="1244"/>
      <c r="P849" s="1244"/>
      <c r="Q849" s="1244"/>
      <c r="R849" s="1244"/>
      <c r="S849" s="1265"/>
      <c r="T849" s="1244"/>
      <c r="U849" s="1244"/>
    </row>
    <row r="850">
      <c r="A850" s="1235"/>
      <c r="B850" s="1235"/>
      <c r="C850" s="1246"/>
      <c r="D850" s="1274"/>
      <c r="E850" s="1248"/>
      <c r="F850" s="1248"/>
      <c r="G850" s="1271"/>
      <c r="H850" s="1250"/>
      <c r="I850" s="1251"/>
      <c r="J850" s="1271"/>
      <c r="K850" s="1271"/>
      <c r="L850" s="1254"/>
      <c r="M850" s="1244"/>
      <c r="N850" s="1273"/>
      <c r="O850" s="1244"/>
      <c r="P850" s="1244"/>
      <c r="Q850" s="1244"/>
      <c r="R850" s="1244"/>
      <c r="S850" s="1265"/>
      <c r="T850" s="1244"/>
      <c r="U850" s="1244"/>
    </row>
    <row r="851">
      <c r="A851" s="1235"/>
      <c r="B851" s="1235"/>
      <c r="C851" s="1246"/>
      <c r="D851" s="1274"/>
      <c r="E851" s="1248"/>
      <c r="F851" s="1248"/>
      <c r="G851" s="1271"/>
      <c r="H851" s="1250"/>
      <c r="I851" s="1251"/>
      <c r="J851" s="1271"/>
      <c r="K851" s="1271"/>
      <c r="L851" s="1254"/>
      <c r="M851" s="1244"/>
      <c r="N851" s="1273"/>
      <c r="O851" s="1244"/>
      <c r="P851" s="1244"/>
      <c r="Q851" s="1244"/>
      <c r="R851" s="1244"/>
      <c r="S851" s="1265"/>
      <c r="T851" s="1244"/>
      <c r="U851" s="1244"/>
    </row>
    <row r="852">
      <c r="A852" s="1235"/>
      <c r="B852" s="1235"/>
      <c r="C852" s="1246"/>
      <c r="D852" s="1274"/>
      <c r="E852" s="1248"/>
      <c r="F852" s="1248"/>
      <c r="G852" s="1271"/>
      <c r="H852" s="1250"/>
      <c r="I852" s="1251"/>
      <c r="J852" s="1271"/>
      <c r="K852" s="1271"/>
      <c r="L852" s="1254"/>
      <c r="M852" s="1244"/>
      <c r="N852" s="1273"/>
      <c r="O852" s="1244"/>
      <c r="P852" s="1244"/>
      <c r="Q852" s="1244"/>
      <c r="R852" s="1244"/>
      <c r="S852" s="1265"/>
      <c r="T852" s="1244"/>
      <c r="U852" s="1244"/>
    </row>
    <row r="853">
      <c r="A853" s="1235"/>
      <c r="B853" s="1235"/>
      <c r="C853" s="1246"/>
      <c r="D853" s="1274"/>
      <c r="E853" s="1248"/>
      <c r="F853" s="1248"/>
      <c r="G853" s="1271"/>
      <c r="H853" s="1250"/>
      <c r="I853" s="1251"/>
      <c r="J853" s="1271"/>
      <c r="K853" s="1271"/>
      <c r="L853" s="1254"/>
      <c r="M853" s="1244"/>
      <c r="N853" s="1273"/>
      <c r="O853" s="1244"/>
      <c r="P853" s="1244"/>
      <c r="Q853" s="1244"/>
      <c r="R853" s="1244"/>
      <c r="S853" s="1265"/>
      <c r="T853" s="1244"/>
      <c r="U853" s="1244"/>
    </row>
    <row r="854">
      <c r="A854" s="1235"/>
      <c r="B854" s="1235"/>
      <c r="C854" s="1246"/>
      <c r="D854" s="1274"/>
      <c r="E854" s="1248"/>
      <c r="F854" s="1248"/>
      <c r="G854" s="1271"/>
      <c r="H854" s="1250"/>
      <c r="I854" s="1251"/>
      <c r="J854" s="1271"/>
      <c r="K854" s="1271"/>
      <c r="L854" s="1254"/>
      <c r="M854" s="1244"/>
      <c r="N854" s="1273"/>
      <c r="O854" s="1244"/>
      <c r="P854" s="1244"/>
      <c r="Q854" s="1244"/>
      <c r="R854" s="1244"/>
      <c r="S854" s="1265"/>
      <c r="T854" s="1244"/>
      <c r="U854" s="1244"/>
    </row>
    <row r="855">
      <c r="A855" s="1235"/>
      <c r="B855" s="1235"/>
      <c r="C855" s="1246"/>
      <c r="D855" s="1274"/>
      <c r="E855" s="1248"/>
      <c r="F855" s="1248"/>
      <c r="G855" s="1271"/>
      <c r="H855" s="1250"/>
      <c r="I855" s="1251"/>
      <c r="J855" s="1271"/>
      <c r="K855" s="1271"/>
      <c r="L855" s="1254"/>
      <c r="M855" s="1244"/>
      <c r="N855" s="1273"/>
      <c r="O855" s="1244"/>
      <c r="P855" s="1244"/>
      <c r="Q855" s="1244"/>
      <c r="R855" s="1244"/>
      <c r="S855" s="1265"/>
      <c r="T855" s="1244"/>
      <c r="U855" s="1244"/>
    </row>
    <row r="856">
      <c r="A856" s="1235"/>
      <c r="B856" s="1235"/>
      <c r="C856" s="1246"/>
      <c r="D856" s="1274"/>
      <c r="E856" s="1248"/>
      <c r="F856" s="1248"/>
      <c r="G856" s="1271"/>
      <c r="H856" s="1250"/>
      <c r="I856" s="1251"/>
      <c r="J856" s="1271"/>
      <c r="K856" s="1271"/>
      <c r="L856" s="1254"/>
      <c r="M856" s="1244"/>
      <c r="N856" s="1273"/>
      <c r="O856" s="1244"/>
      <c r="P856" s="1244"/>
      <c r="Q856" s="1244"/>
      <c r="R856" s="1244"/>
      <c r="S856" s="1265"/>
      <c r="T856" s="1244"/>
      <c r="U856" s="1244"/>
    </row>
    <row r="857">
      <c r="A857" s="1235"/>
      <c r="B857" s="1235"/>
      <c r="C857" s="1246"/>
      <c r="D857" s="1274"/>
      <c r="E857" s="1248"/>
      <c r="F857" s="1248"/>
      <c r="G857" s="1271"/>
      <c r="H857" s="1250"/>
      <c r="I857" s="1251"/>
      <c r="J857" s="1271"/>
      <c r="K857" s="1271"/>
      <c r="L857" s="1254"/>
      <c r="M857" s="1244"/>
      <c r="N857" s="1273"/>
      <c r="O857" s="1244"/>
      <c r="P857" s="1244"/>
      <c r="Q857" s="1244"/>
      <c r="R857" s="1244"/>
      <c r="S857" s="1265"/>
      <c r="T857" s="1244"/>
      <c r="U857" s="1244"/>
    </row>
    <row r="858">
      <c r="A858" s="1235"/>
      <c r="B858" s="1235"/>
      <c r="C858" s="1246"/>
      <c r="D858" s="1274"/>
      <c r="E858" s="1248"/>
      <c r="F858" s="1248"/>
      <c r="G858" s="1271"/>
      <c r="H858" s="1250"/>
      <c r="I858" s="1251"/>
      <c r="J858" s="1271"/>
      <c r="K858" s="1271"/>
      <c r="L858" s="1254"/>
      <c r="M858" s="1244"/>
      <c r="N858" s="1273"/>
      <c r="O858" s="1244"/>
      <c r="P858" s="1244"/>
      <c r="Q858" s="1244"/>
      <c r="R858" s="1244"/>
      <c r="S858" s="1265"/>
      <c r="T858" s="1244"/>
      <c r="U858" s="1244"/>
    </row>
    <row r="859">
      <c r="A859" s="1235"/>
      <c r="B859" s="1235"/>
      <c r="C859" s="1246"/>
      <c r="D859" s="1274"/>
      <c r="E859" s="1248"/>
      <c r="F859" s="1248"/>
      <c r="G859" s="1271"/>
      <c r="H859" s="1250"/>
      <c r="I859" s="1251"/>
      <c r="J859" s="1271"/>
      <c r="K859" s="1271"/>
      <c r="L859" s="1254"/>
      <c r="M859" s="1244"/>
      <c r="N859" s="1273"/>
      <c r="O859" s="1244"/>
      <c r="P859" s="1244"/>
      <c r="Q859" s="1244"/>
      <c r="R859" s="1244"/>
      <c r="S859" s="1265"/>
      <c r="T859" s="1244"/>
      <c r="U859" s="1244"/>
    </row>
    <row r="860">
      <c r="A860" s="1235"/>
      <c r="B860" s="1235"/>
      <c r="C860" s="1246"/>
      <c r="D860" s="1274"/>
      <c r="E860" s="1248"/>
      <c r="F860" s="1248"/>
      <c r="G860" s="1271"/>
      <c r="H860" s="1250"/>
      <c r="I860" s="1251"/>
      <c r="J860" s="1271"/>
      <c r="K860" s="1271"/>
      <c r="L860" s="1254"/>
      <c r="M860" s="1244"/>
      <c r="N860" s="1273"/>
      <c r="O860" s="1244"/>
      <c r="P860" s="1244"/>
      <c r="Q860" s="1244"/>
      <c r="R860" s="1244"/>
      <c r="S860" s="1265"/>
      <c r="T860" s="1244"/>
      <c r="U860" s="1244"/>
    </row>
    <row r="861">
      <c r="A861" s="1235"/>
      <c r="B861" s="1235"/>
      <c r="C861" s="1246"/>
      <c r="D861" s="1274"/>
      <c r="E861" s="1248"/>
      <c r="F861" s="1248"/>
      <c r="G861" s="1271"/>
      <c r="H861" s="1250"/>
      <c r="I861" s="1251"/>
      <c r="J861" s="1271"/>
      <c r="K861" s="1271"/>
      <c r="L861" s="1254"/>
      <c r="M861" s="1244"/>
      <c r="N861" s="1273"/>
      <c r="O861" s="1244"/>
      <c r="P861" s="1244"/>
      <c r="Q861" s="1244"/>
      <c r="R861" s="1244"/>
      <c r="S861" s="1265"/>
      <c r="T861" s="1244"/>
      <c r="U861" s="1244"/>
    </row>
    <row r="862">
      <c r="A862" s="1235"/>
      <c r="B862" s="1235"/>
      <c r="C862" s="1246"/>
      <c r="D862" s="1274"/>
      <c r="E862" s="1248"/>
      <c r="F862" s="1248"/>
      <c r="G862" s="1271"/>
      <c r="H862" s="1250"/>
      <c r="I862" s="1251"/>
      <c r="J862" s="1271"/>
      <c r="K862" s="1271"/>
      <c r="L862" s="1254"/>
      <c r="M862" s="1244"/>
      <c r="N862" s="1273"/>
      <c r="O862" s="1244"/>
      <c r="P862" s="1244"/>
      <c r="Q862" s="1244"/>
      <c r="R862" s="1244"/>
      <c r="S862" s="1265"/>
      <c r="T862" s="1244"/>
      <c r="U862" s="1244"/>
    </row>
    <row r="863">
      <c r="A863" s="1235"/>
      <c r="B863" s="1235"/>
      <c r="C863" s="1246"/>
      <c r="D863" s="1274"/>
      <c r="E863" s="1248"/>
      <c r="F863" s="1248"/>
      <c r="G863" s="1271"/>
      <c r="H863" s="1250"/>
      <c r="I863" s="1251"/>
      <c r="J863" s="1271"/>
      <c r="K863" s="1271"/>
      <c r="L863" s="1254"/>
      <c r="M863" s="1244"/>
      <c r="N863" s="1273"/>
      <c r="O863" s="1244"/>
      <c r="P863" s="1244"/>
      <c r="Q863" s="1244"/>
      <c r="R863" s="1244"/>
      <c r="S863" s="1265"/>
      <c r="T863" s="1244"/>
      <c r="U863" s="1244"/>
    </row>
    <row r="864">
      <c r="A864" s="1235"/>
      <c r="B864" s="1235"/>
      <c r="C864" s="1246"/>
      <c r="D864" s="1274"/>
      <c r="E864" s="1248"/>
      <c r="F864" s="1248"/>
      <c r="G864" s="1271"/>
      <c r="H864" s="1250"/>
      <c r="I864" s="1251"/>
      <c r="J864" s="1271"/>
      <c r="K864" s="1271"/>
      <c r="L864" s="1254"/>
      <c r="M864" s="1244"/>
      <c r="N864" s="1273"/>
      <c r="O864" s="1244"/>
      <c r="P864" s="1244"/>
      <c r="Q864" s="1244"/>
      <c r="R864" s="1244"/>
      <c r="S864" s="1265"/>
      <c r="T864" s="1244"/>
      <c r="U864" s="1244"/>
    </row>
    <row r="865">
      <c r="A865" s="1235"/>
      <c r="B865" s="1235"/>
      <c r="C865" s="1246"/>
      <c r="D865" s="1274"/>
      <c r="E865" s="1248"/>
      <c r="F865" s="1248"/>
      <c r="G865" s="1271"/>
      <c r="H865" s="1250"/>
      <c r="I865" s="1251"/>
      <c r="J865" s="1271"/>
      <c r="K865" s="1271"/>
      <c r="L865" s="1254"/>
      <c r="M865" s="1244"/>
      <c r="N865" s="1273"/>
      <c r="O865" s="1244"/>
      <c r="P865" s="1244"/>
      <c r="Q865" s="1244"/>
      <c r="R865" s="1244"/>
      <c r="S865" s="1265"/>
      <c r="T865" s="1244"/>
      <c r="U865" s="1244"/>
    </row>
    <row r="866">
      <c r="A866" s="1235"/>
      <c r="B866" s="1235"/>
      <c r="C866" s="1246"/>
      <c r="D866" s="1274"/>
      <c r="E866" s="1248"/>
      <c r="F866" s="1248"/>
      <c r="G866" s="1271"/>
      <c r="H866" s="1250"/>
      <c r="I866" s="1251"/>
      <c r="J866" s="1271"/>
      <c r="K866" s="1271"/>
      <c r="L866" s="1254"/>
      <c r="M866" s="1244"/>
      <c r="N866" s="1273"/>
      <c r="O866" s="1244"/>
      <c r="P866" s="1244"/>
      <c r="Q866" s="1244"/>
      <c r="R866" s="1244"/>
      <c r="S866" s="1265"/>
      <c r="T866" s="1244"/>
      <c r="U866" s="1244"/>
    </row>
    <row r="867">
      <c r="A867" s="1235"/>
      <c r="B867" s="1235"/>
      <c r="C867" s="1246"/>
      <c r="D867" s="1274"/>
      <c r="E867" s="1248"/>
      <c r="F867" s="1248"/>
      <c r="G867" s="1271"/>
      <c r="H867" s="1250"/>
      <c r="I867" s="1251"/>
      <c r="J867" s="1271"/>
      <c r="K867" s="1271"/>
      <c r="L867" s="1254"/>
      <c r="M867" s="1244"/>
      <c r="N867" s="1273"/>
      <c r="O867" s="1244"/>
      <c r="P867" s="1244"/>
      <c r="Q867" s="1244"/>
      <c r="R867" s="1244"/>
      <c r="S867" s="1265"/>
      <c r="T867" s="1244"/>
      <c r="U867" s="1244"/>
    </row>
    <row r="868">
      <c r="A868" s="1235"/>
      <c r="B868" s="1235"/>
      <c r="C868" s="1246"/>
      <c r="D868" s="1274"/>
      <c r="E868" s="1248"/>
      <c r="F868" s="1248"/>
      <c r="G868" s="1271"/>
      <c r="H868" s="1250"/>
      <c r="I868" s="1251"/>
      <c r="J868" s="1271"/>
      <c r="K868" s="1271"/>
      <c r="L868" s="1254"/>
      <c r="M868" s="1244"/>
      <c r="N868" s="1273"/>
      <c r="O868" s="1244"/>
      <c r="P868" s="1244"/>
      <c r="Q868" s="1244"/>
      <c r="R868" s="1244"/>
      <c r="S868" s="1265"/>
      <c r="T868" s="1244"/>
      <c r="U868" s="1244"/>
    </row>
    <row r="869">
      <c r="A869" s="1235"/>
      <c r="B869" s="1235"/>
      <c r="C869" s="1246"/>
      <c r="D869" s="1274"/>
      <c r="E869" s="1248"/>
      <c r="F869" s="1248"/>
      <c r="G869" s="1271"/>
      <c r="H869" s="1250"/>
      <c r="I869" s="1251"/>
      <c r="J869" s="1271"/>
      <c r="K869" s="1271"/>
      <c r="L869" s="1254"/>
      <c r="M869" s="1244"/>
      <c r="N869" s="1273"/>
      <c r="O869" s="1244"/>
      <c r="P869" s="1244"/>
      <c r="Q869" s="1244"/>
      <c r="R869" s="1244"/>
      <c r="S869" s="1265"/>
      <c r="T869" s="1244"/>
      <c r="U869" s="1244"/>
    </row>
    <row r="870">
      <c r="A870" s="1235"/>
      <c r="B870" s="1235"/>
      <c r="C870" s="1246"/>
      <c r="D870" s="1274"/>
      <c r="E870" s="1248"/>
      <c r="F870" s="1248"/>
      <c r="G870" s="1271"/>
      <c r="H870" s="1250"/>
      <c r="I870" s="1251"/>
      <c r="J870" s="1271"/>
      <c r="K870" s="1271"/>
      <c r="L870" s="1254"/>
      <c r="M870" s="1244"/>
      <c r="N870" s="1273"/>
      <c r="O870" s="1244"/>
      <c r="P870" s="1244"/>
      <c r="Q870" s="1244"/>
      <c r="R870" s="1244"/>
      <c r="S870" s="1265"/>
      <c r="T870" s="1244"/>
      <c r="U870" s="1244"/>
    </row>
    <row r="871">
      <c r="A871" s="1235"/>
      <c r="B871" s="1235"/>
      <c r="C871" s="1246"/>
      <c r="D871" s="1274"/>
      <c r="E871" s="1248"/>
      <c r="F871" s="1248"/>
      <c r="G871" s="1271"/>
      <c r="H871" s="1250"/>
      <c r="I871" s="1251"/>
      <c r="J871" s="1271"/>
      <c r="K871" s="1271"/>
      <c r="L871" s="1254"/>
      <c r="M871" s="1244"/>
      <c r="N871" s="1273"/>
      <c r="O871" s="1244"/>
      <c r="P871" s="1244"/>
      <c r="Q871" s="1244"/>
      <c r="R871" s="1244"/>
      <c r="S871" s="1265"/>
      <c r="T871" s="1244"/>
      <c r="U871" s="1244"/>
    </row>
    <row r="872">
      <c r="A872" s="1235"/>
      <c r="B872" s="1235"/>
      <c r="C872" s="1246"/>
      <c r="D872" s="1274"/>
      <c r="E872" s="1248"/>
      <c r="F872" s="1248"/>
      <c r="G872" s="1271"/>
      <c r="H872" s="1250"/>
      <c r="I872" s="1251"/>
      <c r="J872" s="1271"/>
      <c r="K872" s="1271"/>
      <c r="L872" s="1254"/>
      <c r="M872" s="1244"/>
      <c r="N872" s="1273"/>
      <c r="O872" s="1244"/>
      <c r="P872" s="1244"/>
      <c r="Q872" s="1244"/>
      <c r="R872" s="1244"/>
      <c r="S872" s="1265"/>
      <c r="T872" s="1244"/>
      <c r="U872" s="1244"/>
    </row>
    <row r="873">
      <c r="A873" s="1235"/>
      <c r="B873" s="1235"/>
      <c r="C873" s="1246"/>
      <c r="D873" s="1274"/>
      <c r="E873" s="1248"/>
      <c r="F873" s="1248"/>
      <c r="G873" s="1271"/>
      <c r="H873" s="1250"/>
      <c r="I873" s="1251"/>
      <c r="J873" s="1271"/>
      <c r="K873" s="1271"/>
      <c r="L873" s="1254"/>
      <c r="M873" s="1244"/>
      <c r="N873" s="1273"/>
      <c r="O873" s="1244"/>
      <c r="P873" s="1244"/>
      <c r="Q873" s="1244"/>
      <c r="R873" s="1244"/>
      <c r="S873" s="1265"/>
      <c r="T873" s="1244"/>
      <c r="U873" s="1244"/>
    </row>
    <row r="874">
      <c r="A874" s="1235"/>
      <c r="B874" s="1235"/>
      <c r="C874" s="1246"/>
      <c r="D874" s="1274"/>
      <c r="E874" s="1248"/>
      <c r="F874" s="1248"/>
      <c r="G874" s="1271"/>
      <c r="H874" s="1250"/>
      <c r="I874" s="1251"/>
      <c r="J874" s="1271"/>
      <c r="K874" s="1271"/>
      <c r="L874" s="1254"/>
      <c r="M874" s="1244"/>
      <c r="N874" s="1273"/>
      <c r="O874" s="1244"/>
      <c r="P874" s="1244"/>
      <c r="Q874" s="1244"/>
      <c r="R874" s="1244"/>
      <c r="S874" s="1265"/>
      <c r="T874" s="1244"/>
      <c r="U874" s="1244"/>
    </row>
    <row r="875">
      <c r="A875" s="1235"/>
      <c r="B875" s="1235"/>
      <c r="C875" s="1246"/>
      <c r="D875" s="1274"/>
      <c r="E875" s="1248"/>
      <c r="F875" s="1248"/>
      <c r="G875" s="1271"/>
      <c r="H875" s="1250"/>
      <c r="I875" s="1251"/>
      <c r="J875" s="1271"/>
      <c r="K875" s="1271"/>
      <c r="L875" s="1254"/>
      <c r="M875" s="1244"/>
      <c r="N875" s="1273"/>
      <c r="O875" s="1244"/>
      <c r="P875" s="1244"/>
      <c r="Q875" s="1244"/>
      <c r="R875" s="1244"/>
      <c r="S875" s="1265"/>
      <c r="T875" s="1244"/>
      <c r="U875" s="1244"/>
    </row>
    <row r="876">
      <c r="A876" s="1235"/>
      <c r="B876" s="1235"/>
      <c r="C876" s="1246"/>
      <c r="D876" s="1274"/>
      <c r="E876" s="1248"/>
      <c r="F876" s="1248"/>
      <c r="G876" s="1271"/>
      <c r="H876" s="1250"/>
      <c r="I876" s="1251"/>
      <c r="J876" s="1271"/>
      <c r="K876" s="1271"/>
      <c r="L876" s="1254"/>
      <c r="M876" s="1244"/>
      <c r="N876" s="1273"/>
      <c r="O876" s="1244"/>
      <c r="P876" s="1244"/>
      <c r="Q876" s="1244"/>
      <c r="R876" s="1244"/>
      <c r="S876" s="1265"/>
      <c r="T876" s="1244"/>
      <c r="U876" s="1244"/>
    </row>
    <row r="877">
      <c r="A877" s="1235"/>
      <c r="B877" s="1235"/>
      <c r="C877" s="1246"/>
      <c r="D877" s="1274"/>
      <c r="E877" s="1248"/>
      <c r="F877" s="1248"/>
      <c r="G877" s="1271"/>
      <c r="H877" s="1250"/>
      <c r="I877" s="1251"/>
      <c r="J877" s="1271"/>
      <c r="K877" s="1271"/>
      <c r="L877" s="1254"/>
      <c r="M877" s="1244"/>
      <c r="N877" s="1273"/>
      <c r="O877" s="1244"/>
      <c r="P877" s="1244"/>
      <c r="Q877" s="1244"/>
      <c r="R877" s="1244"/>
      <c r="S877" s="1265"/>
      <c r="T877" s="1244"/>
      <c r="U877" s="1244"/>
    </row>
    <row r="878">
      <c r="A878" s="1235"/>
      <c r="B878" s="1235"/>
      <c r="C878" s="1246"/>
      <c r="D878" s="1274"/>
      <c r="E878" s="1248"/>
      <c r="F878" s="1248"/>
      <c r="G878" s="1271"/>
      <c r="H878" s="1250"/>
      <c r="I878" s="1251"/>
      <c r="J878" s="1271"/>
      <c r="K878" s="1271"/>
      <c r="L878" s="1254"/>
      <c r="M878" s="1244"/>
      <c r="N878" s="1273"/>
      <c r="O878" s="1244"/>
      <c r="P878" s="1244"/>
      <c r="Q878" s="1244"/>
      <c r="R878" s="1244"/>
      <c r="S878" s="1265"/>
      <c r="T878" s="1244"/>
      <c r="U878" s="1244"/>
    </row>
    <row r="879">
      <c r="A879" s="1235"/>
      <c r="B879" s="1235"/>
      <c r="C879" s="1246"/>
      <c r="D879" s="1274"/>
      <c r="E879" s="1248"/>
      <c r="F879" s="1248"/>
      <c r="G879" s="1271"/>
      <c r="H879" s="1250"/>
      <c r="I879" s="1251"/>
      <c r="J879" s="1271"/>
      <c r="K879" s="1271"/>
      <c r="L879" s="1254"/>
      <c r="M879" s="1244"/>
      <c r="N879" s="1273"/>
      <c r="O879" s="1244"/>
      <c r="P879" s="1244"/>
      <c r="Q879" s="1244"/>
      <c r="R879" s="1244"/>
      <c r="S879" s="1265"/>
      <c r="T879" s="1244"/>
      <c r="U879" s="1244"/>
    </row>
    <row r="880">
      <c r="A880" s="1235"/>
      <c r="B880" s="1235"/>
      <c r="C880" s="1246"/>
      <c r="D880" s="1274"/>
      <c r="E880" s="1248"/>
      <c r="F880" s="1248"/>
      <c r="G880" s="1271"/>
      <c r="H880" s="1250"/>
      <c r="I880" s="1251"/>
      <c r="J880" s="1271"/>
      <c r="K880" s="1271"/>
      <c r="L880" s="1254"/>
      <c r="M880" s="1244"/>
      <c r="N880" s="1273"/>
      <c r="O880" s="1244"/>
      <c r="P880" s="1244"/>
      <c r="Q880" s="1244"/>
      <c r="R880" s="1244"/>
      <c r="S880" s="1265"/>
      <c r="T880" s="1244"/>
      <c r="U880" s="1244"/>
    </row>
    <row r="881">
      <c r="A881" s="1235"/>
      <c r="B881" s="1235"/>
      <c r="C881" s="1246"/>
      <c r="D881" s="1274"/>
      <c r="E881" s="1248"/>
      <c r="F881" s="1248"/>
      <c r="G881" s="1271"/>
      <c r="H881" s="1250"/>
      <c r="I881" s="1251"/>
      <c r="J881" s="1271"/>
      <c r="K881" s="1271"/>
      <c r="L881" s="1254"/>
      <c r="M881" s="1244"/>
      <c r="N881" s="1273"/>
      <c r="O881" s="1244"/>
      <c r="P881" s="1244"/>
      <c r="Q881" s="1244"/>
      <c r="R881" s="1244"/>
      <c r="S881" s="1265"/>
      <c r="T881" s="1244"/>
      <c r="U881" s="1244"/>
    </row>
    <row r="882">
      <c r="A882" s="1235"/>
      <c r="B882" s="1235"/>
      <c r="C882" s="1246"/>
      <c r="D882" s="1274"/>
      <c r="E882" s="1248"/>
      <c r="F882" s="1248"/>
      <c r="G882" s="1271"/>
      <c r="H882" s="1250"/>
      <c r="I882" s="1251"/>
      <c r="J882" s="1271"/>
      <c r="K882" s="1271"/>
      <c r="L882" s="1254"/>
      <c r="M882" s="1244"/>
      <c r="N882" s="1273"/>
      <c r="O882" s="1244"/>
      <c r="P882" s="1244"/>
      <c r="Q882" s="1244"/>
      <c r="R882" s="1244"/>
      <c r="S882" s="1265"/>
      <c r="T882" s="1244"/>
      <c r="U882" s="1244"/>
    </row>
    <row r="883">
      <c r="A883" s="1235"/>
      <c r="B883" s="1235"/>
      <c r="C883" s="1246"/>
      <c r="D883" s="1274"/>
      <c r="E883" s="1248"/>
      <c r="F883" s="1248"/>
      <c r="G883" s="1271"/>
      <c r="H883" s="1250"/>
      <c r="I883" s="1251"/>
      <c r="J883" s="1271"/>
      <c r="K883" s="1271"/>
      <c r="L883" s="1254"/>
      <c r="M883" s="1244"/>
      <c r="N883" s="1273"/>
      <c r="O883" s="1244"/>
      <c r="P883" s="1244"/>
      <c r="Q883" s="1244"/>
      <c r="R883" s="1244"/>
      <c r="S883" s="1265"/>
      <c r="T883" s="1244"/>
      <c r="U883" s="1244"/>
    </row>
    <row r="884">
      <c r="A884" s="1235"/>
      <c r="B884" s="1235"/>
      <c r="C884" s="1246"/>
      <c r="D884" s="1274"/>
      <c r="E884" s="1248"/>
      <c r="F884" s="1248"/>
      <c r="G884" s="1271"/>
      <c r="H884" s="1250"/>
      <c r="I884" s="1251"/>
      <c r="J884" s="1271"/>
      <c r="K884" s="1271"/>
      <c r="L884" s="1254"/>
      <c r="M884" s="1244"/>
      <c r="N884" s="1273"/>
      <c r="O884" s="1244"/>
      <c r="P884" s="1244"/>
      <c r="Q884" s="1244"/>
      <c r="R884" s="1244"/>
      <c r="S884" s="1265"/>
      <c r="T884" s="1244"/>
      <c r="U884" s="1244"/>
    </row>
    <row r="885">
      <c r="A885" s="1235"/>
      <c r="B885" s="1235"/>
      <c r="C885" s="1246"/>
      <c r="D885" s="1274"/>
      <c r="E885" s="1248"/>
      <c r="F885" s="1248"/>
      <c r="G885" s="1271"/>
      <c r="H885" s="1250"/>
      <c r="I885" s="1251"/>
      <c r="J885" s="1271"/>
      <c r="K885" s="1271"/>
      <c r="L885" s="1254"/>
      <c r="M885" s="1244"/>
      <c r="N885" s="1273"/>
      <c r="O885" s="1244"/>
      <c r="P885" s="1244"/>
      <c r="Q885" s="1244"/>
      <c r="R885" s="1244"/>
      <c r="S885" s="1265"/>
      <c r="T885" s="1244"/>
      <c r="U885" s="1244"/>
    </row>
    <row r="886">
      <c r="A886" s="1235"/>
      <c r="B886" s="1235"/>
      <c r="C886" s="1246"/>
      <c r="D886" s="1274"/>
      <c r="E886" s="1248"/>
      <c r="F886" s="1248"/>
      <c r="G886" s="1271"/>
      <c r="H886" s="1250"/>
      <c r="I886" s="1251"/>
      <c r="J886" s="1271"/>
      <c r="K886" s="1271"/>
      <c r="L886" s="1254"/>
      <c r="M886" s="1244"/>
      <c r="N886" s="1273"/>
      <c r="O886" s="1244"/>
      <c r="P886" s="1244"/>
      <c r="Q886" s="1244"/>
      <c r="R886" s="1244"/>
      <c r="S886" s="1265"/>
      <c r="T886" s="1244"/>
      <c r="U886" s="1244"/>
    </row>
    <row r="887">
      <c r="A887" s="1235"/>
      <c r="B887" s="1235"/>
      <c r="C887" s="1246"/>
      <c r="D887" s="1274"/>
      <c r="E887" s="1248"/>
      <c r="F887" s="1248"/>
      <c r="G887" s="1271"/>
      <c r="H887" s="1250"/>
      <c r="I887" s="1251"/>
      <c r="J887" s="1271"/>
      <c r="K887" s="1271"/>
      <c r="L887" s="1254"/>
      <c r="M887" s="1244"/>
      <c r="N887" s="1273"/>
      <c r="O887" s="1244"/>
      <c r="P887" s="1244"/>
      <c r="Q887" s="1244"/>
      <c r="R887" s="1244"/>
      <c r="S887" s="1265"/>
      <c r="T887" s="1244"/>
      <c r="U887" s="1244"/>
    </row>
    <row r="888">
      <c r="A888" s="1235"/>
      <c r="B888" s="1235"/>
      <c r="C888" s="1246"/>
      <c r="D888" s="1274"/>
      <c r="E888" s="1248"/>
      <c r="F888" s="1248"/>
      <c r="G888" s="1271"/>
      <c r="H888" s="1250"/>
      <c r="I888" s="1251"/>
      <c r="J888" s="1271"/>
      <c r="K888" s="1271"/>
      <c r="L888" s="1254"/>
      <c r="M888" s="1244"/>
      <c r="N888" s="1273"/>
      <c r="O888" s="1244"/>
      <c r="P888" s="1244"/>
      <c r="Q888" s="1244"/>
      <c r="R888" s="1244"/>
      <c r="S888" s="1265"/>
      <c r="T888" s="1244"/>
      <c r="U888" s="1244"/>
    </row>
    <row r="889">
      <c r="A889" s="1235"/>
      <c r="B889" s="1235"/>
      <c r="C889" s="1246"/>
      <c r="D889" s="1274"/>
      <c r="E889" s="1248"/>
      <c r="F889" s="1248"/>
      <c r="G889" s="1271"/>
      <c r="H889" s="1250"/>
      <c r="I889" s="1251"/>
      <c r="J889" s="1271"/>
      <c r="K889" s="1271"/>
      <c r="L889" s="1254"/>
      <c r="M889" s="1244"/>
      <c r="N889" s="1273"/>
      <c r="O889" s="1244"/>
      <c r="P889" s="1244"/>
      <c r="Q889" s="1244"/>
      <c r="R889" s="1244"/>
      <c r="S889" s="1265"/>
      <c r="T889" s="1244"/>
      <c r="U889" s="1244"/>
    </row>
    <row r="890">
      <c r="A890" s="1235"/>
      <c r="B890" s="1235"/>
      <c r="C890" s="1246"/>
      <c r="D890" s="1274"/>
      <c r="E890" s="1248"/>
      <c r="F890" s="1248"/>
      <c r="G890" s="1271"/>
      <c r="H890" s="1250"/>
      <c r="I890" s="1251"/>
      <c r="J890" s="1271"/>
      <c r="K890" s="1271"/>
      <c r="L890" s="1254"/>
      <c r="M890" s="1244"/>
      <c r="N890" s="1273"/>
      <c r="O890" s="1244"/>
      <c r="P890" s="1244"/>
      <c r="Q890" s="1244"/>
      <c r="R890" s="1244"/>
      <c r="S890" s="1265"/>
      <c r="T890" s="1244"/>
      <c r="U890" s="1244"/>
    </row>
    <row r="891">
      <c r="A891" s="1235"/>
      <c r="B891" s="1235"/>
      <c r="C891" s="1246"/>
      <c r="D891" s="1274"/>
      <c r="E891" s="1248"/>
      <c r="F891" s="1248"/>
      <c r="G891" s="1271"/>
      <c r="H891" s="1250"/>
      <c r="I891" s="1251"/>
      <c r="J891" s="1271"/>
      <c r="K891" s="1271"/>
      <c r="L891" s="1254"/>
      <c r="M891" s="1244"/>
      <c r="N891" s="1273"/>
      <c r="O891" s="1244"/>
      <c r="P891" s="1244"/>
      <c r="Q891" s="1244"/>
      <c r="R891" s="1244"/>
      <c r="S891" s="1265"/>
      <c r="T891" s="1244"/>
      <c r="U891" s="1244"/>
    </row>
    <row r="892">
      <c r="A892" s="1235"/>
      <c r="B892" s="1235"/>
      <c r="C892" s="1246"/>
      <c r="D892" s="1274"/>
      <c r="E892" s="1248"/>
      <c r="F892" s="1248"/>
      <c r="G892" s="1271"/>
      <c r="H892" s="1250"/>
      <c r="I892" s="1251"/>
      <c r="J892" s="1271"/>
      <c r="K892" s="1271"/>
      <c r="L892" s="1254"/>
      <c r="M892" s="1244"/>
      <c r="N892" s="1273"/>
      <c r="O892" s="1244"/>
      <c r="P892" s="1244"/>
      <c r="Q892" s="1244"/>
      <c r="R892" s="1244"/>
      <c r="S892" s="1265"/>
      <c r="T892" s="1244"/>
      <c r="U892" s="1244"/>
    </row>
    <row r="893">
      <c r="A893" s="1235"/>
      <c r="B893" s="1235"/>
      <c r="C893" s="1246"/>
      <c r="D893" s="1274"/>
      <c r="E893" s="1248"/>
      <c r="F893" s="1248"/>
      <c r="G893" s="1271"/>
      <c r="H893" s="1250"/>
      <c r="I893" s="1251"/>
      <c r="J893" s="1271"/>
      <c r="K893" s="1271"/>
      <c r="L893" s="1254"/>
      <c r="M893" s="1244"/>
      <c r="N893" s="1273"/>
      <c r="O893" s="1244"/>
      <c r="P893" s="1244"/>
      <c r="Q893" s="1244"/>
      <c r="R893" s="1244"/>
      <c r="S893" s="1265"/>
      <c r="T893" s="1244"/>
      <c r="U893" s="1244"/>
    </row>
    <row r="894">
      <c r="A894" s="1235"/>
      <c r="B894" s="1235"/>
      <c r="C894" s="1246"/>
      <c r="D894" s="1274"/>
      <c r="E894" s="1248"/>
      <c r="F894" s="1248"/>
      <c r="G894" s="1271"/>
      <c r="H894" s="1250"/>
      <c r="I894" s="1251"/>
      <c r="J894" s="1271"/>
      <c r="K894" s="1271"/>
      <c r="L894" s="1254"/>
      <c r="M894" s="1244"/>
      <c r="N894" s="1273"/>
      <c r="O894" s="1244"/>
      <c r="P894" s="1244"/>
      <c r="Q894" s="1244"/>
      <c r="R894" s="1244"/>
      <c r="S894" s="1265"/>
      <c r="T894" s="1244"/>
      <c r="U894" s="1244"/>
    </row>
    <row r="895">
      <c r="A895" s="1235"/>
      <c r="B895" s="1235"/>
      <c r="C895" s="1246"/>
      <c r="D895" s="1274"/>
      <c r="E895" s="1248"/>
      <c r="F895" s="1248"/>
      <c r="G895" s="1271"/>
      <c r="H895" s="1250"/>
      <c r="I895" s="1251"/>
      <c r="J895" s="1271"/>
      <c r="K895" s="1271"/>
      <c r="L895" s="1254"/>
      <c r="M895" s="1244"/>
      <c r="N895" s="1273"/>
      <c r="O895" s="1244"/>
      <c r="P895" s="1244"/>
      <c r="Q895" s="1244"/>
      <c r="R895" s="1244"/>
      <c r="S895" s="1265"/>
      <c r="T895" s="1244"/>
      <c r="U895" s="1244"/>
    </row>
    <row r="896">
      <c r="A896" s="1235"/>
      <c r="B896" s="1235"/>
      <c r="C896" s="1246"/>
      <c r="D896" s="1274"/>
      <c r="E896" s="1248"/>
      <c r="F896" s="1248"/>
      <c r="G896" s="1271"/>
      <c r="H896" s="1250"/>
      <c r="I896" s="1251"/>
      <c r="J896" s="1271"/>
      <c r="K896" s="1271"/>
      <c r="L896" s="1254"/>
      <c r="M896" s="1244"/>
      <c r="N896" s="1273"/>
      <c r="O896" s="1244"/>
      <c r="P896" s="1244"/>
      <c r="Q896" s="1244"/>
      <c r="R896" s="1244"/>
      <c r="S896" s="1265"/>
      <c r="T896" s="1244"/>
      <c r="U896" s="1244"/>
    </row>
    <row r="897">
      <c r="A897" s="1235"/>
      <c r="B897" s="1235"/>
      <c r="C897" s="1246"/>
      <c r="D897" s="1274"/>
      <c r="E897" s="1248"/>
      <c r="F897" s="1248"/>
      <c r="G897" s="1271"/>
      <c r="H897" s="1250"/>
      <c r="I897" s="1251"/>
      <c r="J897" s="1271"/>
      <c r="K897" s="1271"/>
      <c r="L897" s="1254"/>
      <c r="M897" s="1244"/>
      <c r="N897" s="1273"/>
      <c r="O897" s="1244"/>
      <c r="P897" s="1244"/>
      <c r="Q897" s="1244"/>
      <c r="R897" s="1244"/>
      <c r="S897" s="1265"/>
      <c r="T897" s="1244"/>
      <c r="U897" s="1244"/>
    </row>
    <row r="898">
      <c r="A898" s="1235"/>
      <c r="B898" s="1235"/>
      <c r="C898" s="1246"/>
      <c r="D898" s="1274"/>
      <c r="E898" s="1248"/>
      <c r="F898" s="1248"/>
      <c r="G898" s="1271"/>
      <c r="H898" s="1250"/>
      <c r="I898" s="1251"/>
      <c r="J898" s="1271"/>
      <c r="K898" s="1271"/>
      <c r="L898" s="1254"/>
      <c r="M898" s="1244"/>
      <c r="N898" s="1273"/>
      <c r="O898" s="1244"/>
      <c r="P898" s="1244"/>
      <c r="Q898" s="1244"/>
      <c r="R898" s="1244"/>
      <c r="S898" s="1265"/>
      <c r="T898" s="1244"/>
      <c r="U898" s="1244"/>
    </row>
    <row r="899">
      <c r="A899" s="1235"/>
      <c r="B899" s="1235"/>
      <c r="C899" s="1246"/>
      <c r="D899" s="1274"/>
      <c r="E899" s="1248"/>
      <c r="F899" s="1248"/>
      <c r="G899" s="1271"/>
      <c r="H899" s="1250"/>
      <c r="I899" s="1251"/>
      <c r="J899" s="1271"/>
      <c r="K899" s="1271"/>
      <c r="L899" s="1254"/>
      <c r="M899" s="1244"/>
      <c r="N899" s="1273"/>
      <c r="O899" s="1244"/>
      <c r="P899" s="1244"/>
      <c r="Q899" s="1244"/>
      <c r="R899" s="1244"/>
      <c r="S899" s="1265"/>
      <c r="T899" s="1244"/>
      <c r="U899" s="1244"/>
    </row>
    <row r="900">
      <c r="A900" s="1235"/>
      <c r="B900" s="1235"/>
      <c r="C900" s="1246"/>
      <c r="D900" s="1274"/>
      <c r="E900" s="1248"/>
      <c r="F900" s="1248"/>
      <c r="G900" s="1271"/>
      <c r="H900" s="1250"/>
      <c r="I900" s="1251"/>
      <c r="J900" s="1271"/>
      <c r="K900" s="1271"/>
      <c r="L900" s="1254"/>
      <c r="M900" s="1244"/>
      <c r="N900" s="1273"/>
      <c r="O900" s="1244"/>
      <c r="P900" s="1244"/>
      <c r="Q900" s="1244"/>
      <c r="R900" s="1244"/>
      <c r="S900" s="1265"/>
      <c r="T900" s="1244"/>
      <c r="U900" s="1244"/>
    </row>
    <row r="901">
      <c r="A901" s="1235"/>
      <c r="B901" s="1235"/>
      <c r="C901" s="1246"/>
      <c r="D901" s="1274"/>
      <c r="E901" s="1248"/>
      <c r="F901" s="1248"/>
      <c r="G901" s="1271"/>
      <c r="H901" s="1250"/>
      <c r="I901" s="1251"/>
      <c r="J901" s="1271"/>
      <c r="K901" s="1271"/>
      <c r="L901" s="1254"/>
      <c r="M901" s="1244"/>
      <c r="N901" s="1273"/>
      <c r="O901" s="1244"/>
      <c r="P901" s="1244"/>
      <c r="Q901" s="1244"/>
      <c r="R901" s="1244"/>
      <c r="S901" s="1265"/>
      <c r="T901" s="1244"/>
      <c r="U901" s="1244"/>
    </row>
    <row r="902">
      <c r="A902" s="1235"/>
      <c r="B902" s="1235"/>
      <c r="C902" s="1246"/>
      <c r="D902" s="1274"/>
      <c r="E902" s="1248"/>
      <c r="F902" s="1248"/>
      <c r="G902" s="1271"/>
      <c r="H902" s="1250"/>
      <c r="I902" s="1251"/>
      <c r="J902" s="1271"/>
      <c r="K902" s="1271"/>
      <c r="L902" s="1254"/>
      <c r="M902" s="1244"/>
      <c r="N902" s="1273"/>
      <c r="O902" s="1244"/>
      <c r="P902" s="1244"/>
      <c r="Q902" s="1244"/>
      <c r="R902" s="1244"/>
      <c r="S902" s="1265"/>
      <c r="T902" s="1244"/>
      <c r="U902" s="1244"/>
    </row>
    <row r="903">
      <c r="A903" s="1235"/>
      <c r="B903" s="1235"/>
      <c r="C903" s="1246"/>
      <c r="D903" s="1274"/>
      <c r="E903" s="1248"/>
      <c r="F903" s="1248"/>
      <c r="G903" s="1271"/>
      <c r="H903" s="1250"/>
      <c r="I903" s="1251"/>
      <c r="J903" s="1271"/>
      <c r="K903" s="1271"/>
      <c r="L903" s="1254"/>
      <c r="M903" s="1244"/>
      <c r="N903" s="1273"/>
      <c r="O903" s="1244"/>
      <c r="P903" s="1244"/>
      <c r="Q903" s="1244"/>
      <c r="R903" s="1244"/>
      <c r="S903" s="1265"/>
      <c r="T903" s="1244"/>
      <c r="U903" s="1244"/>
    </row>
    <row r="904">
      <c r="A904" s="1235"/>
      <c r="B904" s="1235"/>
      <c r="C904" s="1246"/>
      <c r="D904" s="1274"/>
      <c r="E904" s="1248"/>
      <c r="F904" s="1248"/>
      <c r="G904" s="1271"/>
      <c r="H904" s="1250"/>
      <c r="I904" s="1251"/>
      <c r="J904" s="1271"/>
      <c r="K904" s="1271"/>
      <c r="L904" s="1254"/>
      <c r="M904" s="1244"/>
      <c r="N904" s="1273"/>
      <c r="O904" s="1244"/>
      <c r="P904" s="1244"/>
      <c r="Q904" s="1244"/>
      <c r="R904" s="1244"/>
      <c r="S904" s="1265"/>
      <c r="T904" s="1244"/>
      <c r="U904" s="1244"/>
    </row>
    <row r="905">
      <c r="A905" s="1235"/>
      <c r="B905" s="1235"/>
      <c r="C905" s="1246"/>
      <c r="D905" s="1274"/>
      <c r="E905" s="1248"/>
      <c r="F905" s="1248"/>
      <c r="G905" s="1271"/>
      <c r="H905" s="1250"/>
      <c r="I905" s="1251"/>
      <c r="J905" s="1271"/>
      <c r="K905" s="1271"/>
      <c r="L905" s="1254"/>
      <c r="M905" s="1244"/>
      <c r="N905" s="1273"/>
      <c r="O905" s="1244"/>
      <c r="P905" s="1244"/>
      <c r="Q905" s="1244"/>
      <c r="R905" s="1244"/>
      <c r="S905" s="1265"/>
      <c r="T905" s="1244"/>
      <c r="U905" s="1244"/>
    </row>
    <row r="906">
      <c r="A906" s="1235"/>
      <c r="B906" s="1235"/>
      <c r="C906" s="1246"/>
      <c r="D906" s="1274"/>
      <c r="E906" s="1248"/>
      <c r="F906" s="1248"/>
      <c r="G906" s="1271"/>
      <c r="H906" s="1250"/>
      <c r="I906" s="1251"/>
      <c r="J906" s="1271"/>
      <c r="K906" s="1271"/>
      <c r="L906" s="1254"/>
      <c r="M906" s="1244"/>
      <c r="N906" s="1273"/>
      <c r="O906" s="1244"/>
      <c r="P906" s="1244"/>
      <c r="Q906" s="1244"/>
      <c r="R906" s="1244"/>
      <c r="S906" s="1265"/>
      <c r="T906" s="1244"/>
      <c r="U906" s="1244"/>
    </row>
    <row r="907">
      <c r="A907" s="1235"/>
      <c r="B907" s="1235"/>
      <c r="C907" s="1246"/>
      <c r="D907" s="1274"/>
      <c r="E907" s="1248"/>
      <c r="F907" s="1248"/>
      <c r="G907" s="1271"/>
      <c r="H907" s="1250"/>
      <c r="I907" s="1251"/>
      <c r="J907" s="1271"/>
      <c r="K907" s="1271"/>
      <c r="L907" s="1254"/>
      <c r="M907" s="1244"/>
      <c r="N907" s="1273"/>
      <c r="O907" s="1244"/>
      <c r="P907" s="1244"/>
      <c r="Q907" s="1244"/>
      <c r="R907" s="1244"/>
      <c r="S907" s="1265"/>
      <c r="T907" s="1244"/>
      <c r="U907" s="1244"/>
    </row>
    <row r="908">
      <c r="A908" s="1235"/>
      <c r="B908" s="1235"/>
      <c r="C908" s="1246"/>
      <c r="D908" s="1274"/>
      <c r="E908" s="1248"/>
      <c r="F908" s="1248"/>
      <c r="G908" s="1271"/>
      <c r="H908" s="1250"/>
      <c r="I908" s="1251"/>
      <c r="J908" s="1271"/>
      <c r="K908" s="1271"/>
      <c r="L908" s="1254"/>
      <c r="M908" s="1244"/>
      <c r="N908" s="1273"/>
      <c r="O908" s="1244"/>
      <c r="P908" s="1244"/>
      <c r="Q908" s="1244"/>
      <c r="R908" s="1244"/>
      <c r="S908" s="1265"/>
      <c r="T908" s="1244"/>
      <c r="U908" s="1244"/>
    </row>
    <row r="909">
      <c r="A909" s="1235"/>
      <c r="B909" s="1235"/>
      <c r="C909" s="1246"/>
      <c r="D909" s="1274"/>
      <c r="E909" s="1248"/>
      <c r="F909" s="1248"/>
      <c r="G909" s="1271"/>
      <c r="H909" s="1250"/>
      <c r="I909" s="1251"/>
      <c r="J909" s="1271"/>
      <c r="K909" s="1271"/>
      <c r="L909" s="1254"/>
      <c r="M909" s="1244"/>
      <c r="N909" s="1273"/>
      <c r="O909" s="1244"/>
      <c r="P909" s="1244"/>
      <c r="Q909" s="1244"/>
      <c r="R909" s="1244"/>
      <c r="S909" s="1265"/>
      <c r="T909" s="1244"/>
      <c r="U909" s="1244"/>
    </row>
    <row r="910">
      <c r="A910" s="1235"/>
      <c r="B910" s="1235"/>
      <c r="C910" s="1246"/>
      <c r="D910" s="1274"/>
      <c r="E910" s="1248"/>
      <c r="F910" s="1248"/>
      <c r="G910" s="1271"/>
      <c r="H910" s="1250"/>
      <c r="I910" s="1251"/>
      <c r="J910" s="1271"/>
      <c r="K910" s="1271"/>
      <c r="L910" s="1254"/>
      <c r="M910" s="1244"/>
      <c r="N910" s="1273"/>
      <c r="O910" s="1244"/>
      <c r="P910" s="1244"/>
      <c r="Q910" s="1244"/>
      <c r="R910" s="1244"/>
      <c r="S910" s="1265"/>
      <c r="T910" s="1244"/>
      <c r="U910" s="1244"/>
    </row>
    <row r="911">
      <c r="A911" s="1235"/>
      <c r="B911" s="1235"/>
      <c r="C911" s="1246"/>
      <c r="D911" s="1274"/>
      <c r="E911" s="1248"/>
      <c r="F911" s="1248"/>
      <c r="G911" s="1271"/>
      <c r="H911" s="1250"/>
      <c r="I911" s="1251"/>
      <c r="J911" s="1271"/>
      <c r="K911" s="1271"/>
      <c r="L911" s="1254"/>
      <c r="M911" s="1244"/>
      <c r="N911" s="1273"/>
      <c r="O911" s="1244"/>
      <c r="P911" s="1244"/>
      <c r="Q911" s="1244"/>
      <c r="R911" s="1244"/>
      <c r="S911" s="1265"/>
      <c r="T911" s="1244"/>
      <c r="U911" s="1244"/>
    </row>
    <row r="912">
      <c r="A912" s="1235"/>
      <c r="B912" s="1235"/>
      <c r="C912" s="1246"/>
      <c r="D912" s="1274"/>
      <c r="E912" s="1248"/>
      <c r="F912" s="1248"/>
      <c r="G912" s="1271"/>
      <c r="H912" s="1250"/>
      <c r="I912" s="1251"/>
      <c r="J912" s="1271"/>
      <c r="K912" s="1271"/>
      <c r="L912" s="1254"/>
      <c r="M912" s="1244"/>
      <c r="N912" s="1273"/>
      <c r="O912" s="1244"/>
      <c r="P912" s="1244"/>
      <c r="Q912" s="1244"/>
      <c r="R912" s="1244"/>
      <c r="S912" s="1265"/>
      <c r="T912" s="1244"/>
      <c r="U912" s="1244"/>
    </row>
    <row r="913">
      <c r="A913" s="1235"/>
      <c r="B913" s="1235"/>
      <c r="C913" s="1246"/>
      <c r="D913" s="1274"/>
      <c r="E913" s="1248"/>
      <c r="F913" s="1248"/>
      <c r="G913" s="1271"/>
      <c r="H913" s="1250"/>
      <c r="I913" s="1251"/>
      <c r="J913" s="1271"/>
      <c r="K913" s="1271"/>
      <c r="L913" s="1254"/>
      <c r="M913" s="1244"/>
      <c r="N913" s="1273"/>
      <c r="O913" s="1244"/>
      <c r="P913" s="1244"/>
      <c r="Q913" s="1244"/>
      <c r="R913" s="1244"/>
      <c r="S913" s="1265"/>
      <c r="T913" s="1244"/>
      <c r="U913" s="1244"/>
    </row>
    <row r="914">
      <c r="A914" s="1235"/>
      <c r="B914" s="1235"/>
      <c r="C914" s="1246"/>
      <c r="D914" s="1274"/>
      <c r="E914" s="1248"/>
      <c r="F914" s="1248"/>
      <c r="G914" s="1271"/>
      <c r="H914" s="1250"/>
      <c r="I914" s="1251"/>
      <c r="J914" s="1271"/>
      <c r="K914" s="1271"/>
      <c r="L914" s="1254"/>
      <c r="M914" s="1244"/>
      <c r="N914" s="1273"/>
      <c r="O914" s="1244"/>
      <c r="P914" s="1244"/>
      <c r="Q914" s="1244"/>
      <c r="R914" s="1244"/>
      <c r="S914" s="1265"/>
      <c r="T914" s="1244"/>
      <c r="U914" s="1244"/>
    </row>
    <row r="915">
      <c r="A915" s="1235"/>
      <c r="B915" s="1235"/>
      <c r="C915" s="1246"/>
      <c r="D915" s="1274"/>
      <c r="E915" s="1248"/>
      <c r="F915" s="1248"/>
      <c r="G915" s="1271"/>
      <c r="H915" s="1250"/>
      <c r="I915" s="1251"/>
      <c r="J915" s="1271"/>
      <c r="K915" s="1271"/>
      <c r="L915" s="1254"/>
      <c r="M915" s="1244"/>
      <c r="N915" s="1273"/>
      <c r="O915" s="1244"/>
      <c r="P915" s="1244"/>
      <c r="Q915" s="1244"/>
      <c r="R915" s="1244"/>
      <c r="S915" s="1265"/>
      <c r="T915" s="1244"/>
      <c r="U915" s="1244"/>
    </row>
    <row r="916">
      <c r="A916" s="1235"/>
      <c r="B916" s="1235"/>
      <c r="C916" s="1246"/>
      <c r="D916" s="1274"/>
      <c r="E916" s="1248"/>
      <c r="F916" s="1248"/>
      <c r="G916" s="1271"/>
      <c r="H916" s="1250"/>
      <c r="I916" s="1251"/>
      <c r="J916" s="1271"/>
      <c r="K916" s="1271"/>
      <c r="L916" s="1254"/>
      <c r="M916" s="1244"/>
      <c r="N916" s="1273"/>
      <c r="O916" s="1244"/>
      <c r="P916" s="1244"/>
      <c r="Q916" s="1244"/>
      <c r="R916" s="1244"/>
      <c r="S916" s="1265"/>
      <c r="T916" s="1244"/>
      <c r="U916" s="1244"/>
    </row>
    <row r="917">
      <c r="A917" s="1235"/>
      <c r="B917" s="1235"/>
      <c r="C917" s="1246"/>
      <c r="D917" s="1274"/>
      <c r="E917" s="1248"/>
      <c r="F917" s="1248"/>
      <c r="G917" s="1271"/>
      <c r="H917" s="1250"/>
      <c r="I917" s="1251"/>
      <c r="J917" s="1271"/>
      <c r="K917" s="1271"/>
      <c r="L917" s="1254"/>
      <c r="M917" s="1244"/>
      <c r="N917" s="1273"/>
      <c r="O917" s="1244"/>
      <c r="P917" s="1244"/>
      <c r="Q917" s="1244"/>
      <c r="R917" s="1244"/>
      <c r="S917" s="1265"/>
      <c r="T917" s="1244"/>
      <c r="U917" s="1244"/>
    </row>
    <row r="918">
      <c r="A918" s="1235"/>
      <c r="B918" s="1235"/>
      <c r="C918" s="1246"/>
      <c r="D918" s="1274"/>
      <c r="E918" s="1248"/>
      <c r="F918" s="1248"/>
      <c r="G918" s="1271"/>
      <c r="H918" s="1250"/>
      <c r="I918" s="1251"/>
      <c r="J918" s="1271"/>
      <c r="K918" s="1271"/>
      <c r="L918" s="1254"/>
      <c r="M918" s="1244"/>
      <c r="N918" s="1273"/>
      <c r="O918" s="1244"/>
      <c r="P918" s="1244"/>
      <c r="Q918" s="1244"/>
      <c r="R918" s="1244"/>
      <c r="S918" s="1265"/>
      <c r="T918" s="1244"/>
      <c r="U918" s="1244"/>
    </row>
    <row r="919">
      <c r="A919" s="1235"/>
      <c r="B919" s="1235"/>
      <c r="C919" s="1246"/>
      <c r="D919" s="1274"/>
      <c r="E919" s="1248"/>
      <c r="F919" s="1248"/>
      <c r="G919" s="1271"/>
      <c r="H919" s="1250"/>
      <c r="I919" s="1251"/>
      <c r="J919" s="1271"/>
      <c r="K919" s="1271"/>
      <c r="L919" s="1254"/>
      <c r="M919" s="1244"/>
      <c r="N919" s="1273"/>
      <c r="O919" s="1244"/>
      <c r="P919" s="1244"/>
      <c r="Q919" s="1244"/>
      <c r="R919" s="1244"/>
      <c r="S919" s="1265"/>
      <c r="T919" s="1244"/>
      <c r="U919" s="1244"/>
    </row>
    <row r="920">
      <c r="A920" s="1235"/>
      <c r="B920" s="1235"/>
      <c r="C920" s="1246"/>
      <c r="D920" s="1274"/>
      <c r="E920" s="1248"/>
      <c r="F920" s="1248"/>
      <c r="G920" s="1271"/>
      <c r="H920" s="1250"/>
      <c r="I920" s="1251"/>
      <c r="J920" s="1271"/>
      <c r="K920" s="1271"/>
      <c r="L920" s="1254"/>
      <c r="M920" s="1244"/>
      <c r="N920" s="1273"/>
      <c r="O920" s="1244"/>
      <c r="P920" s="1244"/>
      <c r="Q920" s="1244"/>
      <c r="R920" s="1244"/>
      <c r="S920" s="1265"/>
      <c r="T920" s="1244"/>
      <c r="U920" s="1244"/>
    </row>
    <row r="921">
      <c r="A921" s="1235"/>
      <c r="B921" s="1235"/>
      <c r="C921" s="1246"/>
      <c r="D921" s="1274"/>
      <c r="E921" s="1248"/>
      <c r="F921" s="1248"/>
      <c r="G921" s="1271"/>
      <c r="H921" s="1250"/>
      <c r="I921" s="1251"/>
      <c r="J921" s="1271"/>
      <c r="K921" s="1271"/>
      <c r="L921" s="1254"/>
      <c r="M921" s="1244"/>
      <c r="N921" s="1273"/>
      <c r="O921" s="1244"/>
      <c r="P921" s="1244"/>
      <c r="Q921" s="1244"/>
      <c r="R921" s="1244"/>
      <c r="S921" s="1265"/>
      <c r="T921" s="1244"/>
      <c r="U921" s="1244"/>
    </row>
    <row r="922">
      <c r="A922" s="1235"/>
      <c r="B922" s="1235"/>
      <c r="C922" s="1246"/>
      <c r="D922" s="1274"/>
      <c r="E922" s="1248"/>
      <c r="F922" s="1248"/>
      <c r="G922" s="1271"/>
      <c r="H922" s="1250"/>
      <c r="I922" s="1251"/>
      <c r="J922" s="1271"/>
      <c r="K922" s="1271"/>
      <c r="L922" s="1254"/>
      <c r="M922" s="1244"/>
      <c r="N922" s="1273"/>
      <c r="O922" s="1244"/>
      <c r="P922" s="1244"/>
      <c r="Q922" s="1244"/>
      <c r="R922" s="1244"/>
      <c r="S922" s="1265"/>
      <c r="T922" s="1244"/>
      <c r="U922" s="1244"/>
    </row>
    <row r="923">
      <c r="A923" s="1235"/>
      <c r="B923" s="1235"/>
      <c r="C923" s="1246"/>
      <c r="D923" s="1274"/>
      <c r="E923" s="1248"/>
      <c r="F923" s="1248"/>
      <c r="G923" s="1271"/>
      <c r="H923" s="1250"/>
      <c r="I923" s="1251"/>
      <c r="J923" s="1271"/>
      <c r="K923" s="1271"/>
      <c r="L923" s="1254"/>
      <c r="M923" s="1244"/>
      <c r="N923" s="1273"/>
      <c r="O923" s="1244"/>
      <c r="P923" s="1244"/>
      <c r="Q923" s="1244"/>
      <c r="R923" s="1244"/>
      <c r="S923" s="1265"/>
      <c r="T923" s="1244"/>
      <c r="U923" s="1244"/>
    </row>
    <row r="924">
      <c r="A924" s="1235"/>
      <c r="B924" s="1235"/>
      <c r="C924" s="1246"/>
      <c r="D924" s="1274"/>
      <c r="E924" s="1248"/>
      <c r="F924" s="1248"/>
      <c r="G924" s="1271"/>
      <c r="H924" s="1250"/>
      <c r="I924" s="1251"/>
      <c r="J924" s="1271"/>
      <c r="K924" s="1271"/>
      <c r="L924" s="1254"/>
      <c r="M924" s="1244"/>
      <c r="N924" s="1273"/>
      <c r="O924" s="1244"/>
      <c r="P924" s="1244"/>
      <c r="Q924" s="1244"/>
      <c r="R924" s="1244"/>
      <c r="S924" s="1265"/>
      <c r="T924" s="1244"/>
      <c r="U924" s="1244"/>
    </row>
    <row r="925">
      <c r="A925" s="1235"/>
      <c r="B925" s="1235"/>
      <c r="C925" s="1246"/>
      <c r="D925" s="1274"/>
      <c r="E925" s="1248"/>
      <c r="F925" s="1248"/>
      <c r="G925" s="1271"/>
      <c r="H925" s="1250"/>
      <c r="I925" s="1251"/>
      <c r="J925" s="1271"/>
      <c r="K925" s="1271"/>
      <c r="L925" s="1254"/>
      <c r="M925" s="1244"/>
      <c r="N925" s="1273"/>
      <c r="O925" s="1244"/>
      <c r="P925" s="1244"/>
      <c r="Q925" s="1244"/>
      <c r="R925" s="1244"/>
      <c r="S925" s="1265"/>
      <c r="T925" s="1244"/>
      <c r="U925" s="1244"/>
    </row>
    <row r="926">
      <c r="A926" s="1235"/>
      <c r="B926" s="1235"/>
      <c r="C926" s="1246"/>
      <c r="D926" s="1274"/>
      <c r="E926" s="1248"/>
      <c r="F926" s="1248"/>
      <c r="G926" s="1271"/>
      <c r="H926" s="1250"/>
      <c r="I926" s="1251"/>
      <c r="J926" s="1271"/>
      <c r="K926" s="1271"/>
      <c r="L926" s="1254"/>
      <c r="M926" s="1244"/>
      <c r="N926" s="1273"/>
      <c r="O926" s="1244"/>
      <c r="P926" s="1244"/>
      <c r="Q926" s="1244"/>
      <c r="R926" s="1244"/>
      <c r="S926" s="1265"/>
      <c r="T926" s="1244"/>
      <c r="U926" s="1244"/>
    </row>
    <row r="927">
      <c r="A927" s="1235"/>
      <c r="B927" s="1235"/>
      <c r="C927" s="1246"/>
      <c r="D927" s="1274"/>
      <c r="E927" s="1248"/>
      <c r="F927" s="1248"/>
      <c r="G927" s="1271"/>
      <c r="H927" s="1250"/>
      <c r="I927" s="1251"/>
      <c r="J927" s="1271"/>
      <c r="K927" s="1271"/>
      <c r="L927" s="1254"/>
      <c r="M927" s="1244"/>
      <c r="N927" s="1273"/>
      <c r="O927" s="1244"/>
      <c r="P927" s="1244"/>
      <c r="Q927" s="1244"/>
      <c r="R927" s="1244"/>
      <c r="S927" s="1265"/>
      <c r="T927" s="1244"/>
      <c r="U927" s="1244"/>
    </row>
    <row r="928">
      <c r="A928" s="1235"/>
      <c r="B928" s="1235"/>
      <c r="C928" s="1246"/>
      <c r="D928" s="1274"/>
      <c r="E928" s="1248"/>
      <c r="F928" s="1248"/>
      <c r="G928" s="1271"/>
      <c r="H928" s="1250"/>
      <c r="I928" s="1251"/>
      <c r="J928" s="1271"/>
      <c r="K928" s="1271"/>
      <c r="L928" s="1254"/>
      <c r="M928" s="1244"/>
      <c r="N928" s="1273"/>
      <c r="O928" s="1244"/>
      <c r="P928" s="1244"/>
      <c r="Q928" s="1244"/>
      <c r="R928" s="1244"/>
      <c r="S928" s="1265"/>
      <c r="T928" s="1244"/>
      <c r="U928" s="1244"/>
    </row>
    <row r="929">
      <c r="A929" s="1235"/>
      <c r="B929" s="1235"/>
      <c r="C929" s="1246"/>
      <c r="D929" s="1274"/>
      <c r="E929" s="1248"/>
      <c r="F929" s="1248"/>
      <c r="G929" s="1271"/>
      <c r="H929" s="1250"/>
      <c r="I929" s="1251"/>
      <c r="J929" s="1271"/>
      <c r="K929" s="1271"/>
      <c r="L929" s="1254"/>
      <c r="M929" s="1244"/>
      <c r="N929" s="1273"/>
      <c r="O929" s="1244"/>
      <c r="P929" s="1244"/>
      <c r="Q929" s="1244"/>
      <c r="R929" s="1244"/>
      <c r="S929" s="1265"/>
      <c r="T929" s="1244"/>
      <c r="U929" s="1244"/>
    </row>
    <row r="930">
      <c r="A930" s="1235"/>
      <c r="B930" s="1235"/>
      <c r="C930" s="1246"/>
      <c r="D930" s="1274"/>
      <c r="E930" s="1248"/>
      <c r="F930" s="1248"/>
      <c r="G930" s="1271"/>
      <c r="H930" s="1250"/>
      <c r="I930" s="1251"/>
      <c r="J930" s="1271"/>
      <c r="K930" s="1271"/>
      <c r="L930" s="1254"/>
      <c r="M930" s="1244"/>
      <c r="N930" s="1273"/>
      <c r="O930" s="1244"/>
      <c r="P930" s="1244"/>
      <c r="Q930" s="1244"/>
      <c r="R930" s="1244"/>
      <c r="S930" s="1265"/>
      <c r="T930" s="1244"/>
      <c r="U930" s="1244"/>
    </row>
    <row r="931">
      <c r="A931" s="1235"/>
      <c r="B931" s="1235"/>
      <c r="C931" s="1246"/>
      <c r="D931" s="1274"/>
      <c r="E931" s="1248"/>
      <c r="F931" s="1248"/>
      <c r="G931" s="1271"/>
      <c r="H931" s="1250"/>
      <c r="I931" s="1251"/>
      <c r="J931" s="1271"/>
      <c r="K931" s="1271"/>
      <c r="L931" s="1254"/>
      <c r="M931" s="1244"/>
      <c r="N931" s="1273"/>
      <c r="O931" s="1244"/>
      <c r="P931" s="1244"/>
      <c r="Q931" s="1244"/>
      <c r="R931" s="1244"/>
      <c r="S931" s="1265"/>
      <c r="T931" s="1244"/>
      <c r="U931" s="1244"/>
    </row>
    <row r="932">
      <c r="A932" s="1235"/>
      <c r="B932" s="1235"/>
      <c r="C932" s="1246"/>
      <c r="D932" s="1274"/>
      <c r="E932" s="1248"/>
      <c r="F932" s="1248"/>
      <c r="G932" s="1271"/>
      <c r="H932" s="1250"/>
      <c r="I932" s="1251"/>
      <c r="J932" s="1271"/>
      <c r="K932" s="1271"/>
      <c r="L932" s="1254"/>
      <c r="M932" s="1244"/>
      <c r="N932" s="1273"/>
      <c r="O932" s="1244"/>
      <c r="P932" s="1244"/>
      <c r="Q932" s="1244"/>
      <c r="R932" s="1244"/>
      <c r="S932" s="1265"/>
      <c r="T932" s="1244"/>
      <c r="U932" s="1244"/>
    </row>
    <row r="933">
      <c r="A933" s="1235"/>
      <c r="B933" s="1235"/>
      <c r="C933" s="1246"/>
      <c r="D933" s="1274"/>
      <c r="E933" s="1248"/>
      <c r="F933" s="1248"/>
      <c r="G933" s="1271"/>
      <c r="H933" s="1250"/>
      <c r="I933" s="1251"/>
      <c r="J933" s="1271"/>
      <c r="K933" s="1271"/>
      <c r="L933" s="1254"/>
      <c r="M933" s="1244"/>
      <c r="N933" s="1273"/>
      <c r="O933" s="1244"/>
      <c r="P933" s="1244"/>
      <c r="Q933" s="1244"/>
      <c r="R933" s="1244"/>
      <c r="S933" s="1265"/>
      <c r="T933" s="1244"/>
      <c r="U933" s="1244"/>
    </row>
    <row r="934">
      <c r="A934" s="1235"/>
      <c r="B934" s="1235"/>
      <c r="C934" s="1246"/>
      <c r="D934" s="1274"/>
      <c r="E934" s="1248"/>
      <c r="F934" s="1248"/>
      <c r="G934" s="1271"/>
      <c r="H934" s="1250"/>
      <c r="I934" s="1251"/>
      <c r="J934" s="1271"/>
      <c r="K934" s="1271"/>
      <c r="L934" s="1254"/>
      <c r="M934" s="1244"/>
      <c r="N934" s="1273"/>
      <c r="O934" s="1244"/>
      <c r="P934" s="1244"/>
      <c r="Q934" s="1244"/>
      <c r="R934" s="1244"/>
      <c r="S934" s="1265"/>
      <c r="T934" s="1244"/>
      <c r="U934" s="1244"/>
    </row>
    <row r="935">
      <c r="A935" s="1235"/>
      <c r="B935" s="1235"/>
      <c r="C935" s="1246"/>
      <c r="D935" s="1274"/>
      <c r="E935" s="1248"/>
      <c r="F935" s="1248"/>
      <c r="G935" s="1271"/>
      <c r="H935" s="1250"/>
      <c r="I935" s="1251"/>
      <c r="J935" s="1271"/>
      <c r="K935" s="1271"/>
      <c r="L935" s="1254"/>
      <c r="M935" s="1244"/>
      <c r="N935" s="1273"/>
      <c r="O935" s="1244"/>
      <c r="P935" s="1244"/>
      <c r="Q935" s="1244"/>
      <c r="R935" s="1244"/>
      <c r="S935" s="1265"/>
      <c r="T935" s="1244"/>
      <c r="U935" s="1244"/>
    </row>
    <row r="936">
      <c r="A936" s="1235"/>
      <c r="B936" s="1235"/>
      <c r="C936" s="1246"/>
      <c r="D936" s="1274"/>
      <c r="E936" s="1248"/>
      <c r="F936" s="1248"/>
      <c r="G936" s="1271"/>
      <c r="H936" s="1250"/>
      <c r="I936" s="1251"/>
      <c r="J936" s="1271"/>
      <c r="K936" s="1271"/>
      <c r="L936" s="1254"/>
      <c r="M936" s="1244"/>
      <c r="N936" s="1273"/>
      <c r="O936" s="1244"/>
      <c r="P936" s="1244"/>
      <c r="Q936" s="1244"/>
      <c r="R936" s="1244"/>
      <c r="S936" s="1265"/>
      <c r="T936" s="1244"/>
      <c r="U936" s="1244"/>
    </row>
    <row r="937">
      <c r="A937" s="1235"/>
      <c r="B937" s="1235"/>
      <c r="C937" s="1246"/>
      <c r="D937" s="1274"/>
      <c r="E937" s="1248"/>
      <c r="F937" s="1248"/>
      <c r="G937" s="1271"/>
      <c r="H937" s="1250"/>
      <c r="I937" s="1251"/>
      <c r="J937" s="1271"/>
      <c r="K937" s="1271"/>
      <c r="L937" s="1254"/>
      <c r="M937" s="1244"/>
      <c r="N937" s="1273"/>
      <c r="O937" s="1244"/>
      <c r="P937" s="1244"/>
      <c r="Q937" s="1244"/>
      <c r="R937" s="1244"/>
      <c r="S937" s="1265"/>
      <c r="T937" s="1244"/>
      <c r="U937" s="1244"/>
    </row>
    <row r="938">
      <c r="A938" s="1235"/>
      <c r="B938" s="1235"/>
      <c r="C938" s="1246"/>
      <c r="D938" s="1274"/>
      <c r="E938" s="1248"/>
      <c r="F938" s="1248"/>
      <c r="G938" s="1271"/>
      <c r="H938" s="1250"/>
      <c r="I938" s="1251"/>
      <c r="J938" s="1271"/>
      <c r="K938" s="1271"/>
      <c r="L938" s="1254"/>
      <c r="M938" s="1244"/>
      <c r="N938" s="1273"/>
      <c r="O938" s="1244"/>
      <c r="P938" s="1244"/>
      <c r="Q938" s="1244"/>
      <c r="R938" s="1244"/>
      <c r="S938" s="1265"/>
      <c r="T938" s="1244"/>
      <c r="U938" s="1244"/>
    </row>
    <row r="939">
      <c r="A939" s="1235"/>
      <c r="B939" s="1235"/>
      <c r="C939" s="1246"/>
      <c r="D939" s="1274"/>
      <c r="E939" s="1248"/>
      <c r="F939" s="1248"/>
      <c r="G939" s="1271"/>
      <c r="H939" s="1250"/>
      <c r="I939" s="1251"/>
      <c r="J939" s="1271"/>
      <c r="K939" s="1271"/>
      <c r="L939" s="1254"/>
      <c r="M939" s="1244"/>
      <c r="N939" s="1273"/>
      <c r="O939" s="1244"/>
      <c r="P939" s="1244"/>
      <c r="Q939" s="1244"/>
      <c r="R939" s="1244"/>
      <c r="S939" s="1265"/>
      <c r="T939" s="1244"/>
      <c r="U939" s="1244"/>
    </row>
    <row r="940">
      <c r="A940" s="1235"/>
      <c r="B940" s="1235"/>
      <c r="C940" s="1246"/>
      <c r="D940" s="1274"/>
      <c r="E940" s="1248"/>
      <c r="F940" s="1248"/>
      <c r="G940" s="1271"/>
      <c r="H940" s="1250"/>
      <c r="I940" s="1251"/>
      <c r="J940" s="1271"/>
      <c r="K940" s="1271"/>
      <c r="L940" s="1254"/>
      <c r="M940" s="1244"/>
      <c r="N940" s="1273"/>
      <c r="O940" s="1244"/>
      <c r="P940" s="1244"/>
      <c r="Q940" s="1244"/>
      <c r="R940" s="1244"/>
      <c r="S940" s="1265"/>
      <c r="T940" s="1244"/>
      <c r="U940" s="1244"/>
    </row>
    <row r="941">
      <c r="A941" s="1235"/>
      <c r="B941" s="1235"/>
      <c r="C941" s="1246"/>
      <c r="D941" s="1274"/>
      <c r="E941" s="1248"/>
      <c r="F941" s="1248"/>
      <c r="G941" s="1271"/>
      <c r="H941" s="1250"/>
      <c r="I941" s="1251"/>
      <c r="J941" s="1271"/>
      <c r="K941" s="1271"/>
      <c r="L941" s="1254"/>
      <c r="M941" s="1244"/>
      <c r="N941" s="1273"/>
      <c r="O941" s="1244"/>
      <c r="P941" s="1244"/>
      <c r="Q941" s="1244"/>
      <c r="R941" s="1244"/>
      <c r="S941" s="1265"/>
      <c r="T941" s="1244"/>
      <c r="U941" s="1244"/>
    </row>
    <row r="942">
      <c r="A942" s="1235"/>
      <c r="B942" s="1235"/>
      <c r="C942" s="1246"/>
      <c r="D942" s="1274"/>
      <c r="E942" s="1248"/>
      <c r="F942" s="1248"/>
      <c r="G942" s="1271"/>
      <c r="H942" s="1250"/>
      <c r="I942" s="1251"/>
      <c r="J942" s="1271"/>
      <c r="K942" s="1271"/>
      <c r="L942" s="1254"/>
      <c r="M942" s="1244"/>
      <c r="N942" s="1273"/>
      <c r="O942" s="1244"/>
      <c r="P942" s="1244"/>
      <c r="Q942" s="1244"/>
      <c r="R942" s="1244"/>
      <c r="S942" s="1265"/>
      <c r="T942" s="1244"/>
      <c r="U942" s="1244"/>
    </row>
    <row r="943">
      <c r="A943" s="1235"/>
      <c r="B943" s="1235"/>
      <c r="C943" s="1246"/>
      <c r="D943" s="1274"/>
      <c r="E943" s="1248"/>
      <c r="F943" s="1248"/>
      <c r="G943" s="1271"/>
      <c r="H943" s="1250"/>
      <c r="I943" s="1251"/>
      <c r="J943" s="1271"/>
      <c r="K943" s="1271"/>
      <c r="L943" s="1254"/>
      <c r="M943" s="1244"/>
      <c r="N943" s="1273"/>
      <c r="O943" s="1244"/>
      <c r="P943" s="1244"/>
      <c r="Q943" s="1244"/>
      <c r="R943" s="1244"/>
      <c r="S943" s="1265"/>
      <c r="T943" s="1244"/>
      <c r="U943" s="1244"/>
    </row>
    <row r="944">
      <c r="A944" s="1235"/>
      <c r="B944" s="1235"/>
      <c r="C944" s="1246"/>
      <c r="D944" s="1274"/>
      <c r="E944" s="1248"/>
      <c r="F944" s="1248"/>
      <c r="G944" s="1271"/>
      <c r="H944" s="1250"/>
      <c r="I944" s="1251"/>
      <c r="J944" s="1271"/>
      <c r="K944" s="1271"/>
      <c r="L944" s="1254"/>
      <c r="M944" s="1244"/>
      <c r="N944" s="1273"/>
      <c r="O944" s="1244"/>
      <c r="P944" s="1244"/>
      <c r="Q944" s="1244"/>
      <c r="R944" s="1244"/>
      <c r="S944" s="1265"/>
      <c r="T944" s="1244"/>
      <c r="U944" s="1244"/>
    </row>
    <row r="945">
      <c r="A945" s="1235"/>
      <c r="B945" s="1235"/>
      <c r="C945" s="1246"/>
      <c r="D945" s="1274"/>
      <c r="E945" s="1248"/>
      <c r="F945" s="1248"/>
      <c r="G945" s="1271"/>
      <c r="H945" s="1250"/>
      <c r="I945" s="1251"/>
      <c r="J945" s="1271"/>
      <c r="K945" s="1271"/>
      <c r="L945" s="1254"/>
      <c r="M945" s="1244"/>
      <c r="N945" s="1273"/>
      <c r="O945" s="1244"/>
      <c r="P945" s="1244"/>
      <c r="Q945" s="1244"/>
      <c r="R945" s="1244"/>
      <c r="S945" s="1265"/>
      <c r="T945" s="1244"/>
      <c r="U945" s="1244"/>
    </row>
    <row r="946">
      <c r="A946" s="1235"/>
      <c r="B946" s="1235"/>
      <c r="C946" s="1246"/>
      <c r="D946" s="1274"/>
      <c r="E946" s="1248"/>
      <c r="F946" s="1248"/>
      <c r="G946" s="1271"/>
      <c r="H946" s="1250"/>
      <c r="I946" s="1251"/>
      <c r="J946" s="1271"/>
      <c r="K946" s="1271"/>
      <c r="L946" s="1254"/>
      <c r="M946" s="1244"/>
      <c r="N946" s="1273"/>
      <c r="O946" s="1244"/>
      <c r="P946" s="1244"/>
      <c r="Q946" s="1244"/>
      <c r="R946" s="1244"/>
      <c r="S946" s="1265"/>
      <c r="T946" s="1244"/>
      <c r="U946" s="1244"/>
    </row>
    <row r="947">
      <c r="A947" s="1235"/>
      <c r="B947" s="1235"/>
      <c r="C947" s="1246"/>
      <c r="D947" s="1274"/>
      <c r="E947" s="1248"/>
      <c r="F947" s="1248"/>
      <c r="G947" s="1271"/>
      <c r="H947" s="1250"/>
      <c r="I947" s="1251"/>
      <c r="J947" s="1271"/>
      <c r="K947" s="1271"/>
      <c r="L947" s="1254"/>
      <c r="M947" s="1244"/>
      <c r="N947" s="1273"/>
      <c r="O947" s="1244"/>
      <c r="P947" s="1244"/>
      <c r="Q947" s="1244"/>
      <c r="R947" s="1244"/>
      <c r="S947" s="1265"/>
      <c r="T947" s="1244"/>
      <c r="U947" s="1244"/>
    </row>
    <row r="948">
      <c r="A948" s="1235"/>
      <c r="B948" s="1235"/>
      <c r="C948" s="1246"/>
      <c r="D948" s="1274"/>
      <c r="E948" s="1248"/>
      <c r="F948" s="1248"/>
      <c r="G948" s="1271"/>
      <c r="H948" s="1250"/>
      <c r="I948" s="1251"/>
      <c r="J948" s="1271"/>
      <c r="K948" s="1271"/>
      <c r="L948" s="1254"/>
      <c r="M948" s="1244"/>
      <c r="N948" s="1273"/>
      <c r="O948" s="1244"/>
      <c r="P948" s="1244"/>
      <c r="Q948" s="1244"/>
      <c r="R948" s="1244"/>
      <c r="S948" s="1265"/>
      <c r="T948" s="1244"/>
      <c r="U948" s="1244"/>
    </row>
    <row r="949">
      <c r="A949" s="1235"/>
      <c r="B949" s="1235"/>
      <c r="C949" s="1246"/>
      <c r="D949" s="1274"/>
      <c r="E949" s="1248"/>
      <c r="F949" s="1248"/>
      <c r="G949" s="1271"/>
      <c r="H949" s="1250"/>
      <c r="I949" s="1251"/>
      <c r="J949" s="1271"/>
      <c r="K949" s="1271"/>
      <c r="L949" s="1254"/>
      <c r="M949" s="1244"/>
      <c r="N949" s="1273"/>
      <c r="O949" s="1244"/>
      <c r="P949" s="1244"/>
      <c r="Q949" s="1244"/>
      <c r="R949" s="1244"/>
      <c r="S949" s="1265"/>
      <c r="T949" s="1244"/>
      <c r="U949" s="1244"/>
    </row>
    <row r="950">
      <c r="A950" s="1235"/>
      <c r="B950" s="1235"/>
      <c r="C950" s="1246"/>
      <c r="D950" s="1274"/>
      <c r="E950" s="1248"/>
      <c r="F950" s="1248"/>
      <c r="G950" s="1271"/>
      <c r="H950" s="1250"/>
      <c r="I950" s="1251"/>
      <c r="J950" s="1271"/>
      <c r="K950" s="1271"/>
      <c r="L950" s="1254"/>
      <c r="M950" s="1244"/>
      <c r="N950" s="1273"/>
      <c r="O950" s="1244"/>
      <c r="P950" s="1244"/>
      <c r="Q950" s="1244"/>
      <c r="R950" s="1244"/>
      <c r="S950" s="1265"/>
      <c r="T950" s="1244"/>
      <c r="U950" s="1244"/>
    </row>
    <row r="951">
      <c r="A951" s="1235"/>
      <c r="B951" s="1235"/>
      <c r="C951" s="1246"/>
      <c r="D951" s="1274"/>
      <c r="E951" s="1248"/>
      <c r="F951" s="1248"/>
      <c r="G951" s="1271"/>
      <c r="H951" s="1250"/>
      <c r="I951" s="1251"/>
      <c r="J951" s="1271"/>
      <c r="K951" s="1271"/>
      <c r="L951" s="1254"/>
      <c r="M951" s="1244"/>
      <c r="N951" s="1273"/>
      <c r="O951" s="1244"/>
      <c r="P951" s="1244"/>
      <c r="Q951" s="1244"/>
      <c r="R951" s="1244"/>
      <c r="S951" s="1265"/>
      <c r="T951" s="1244"/>
      <c r="U951" s="1244"/>
    </row>
    <row r="952">
      <c r="A952" s="1235"/>
      <c r="B952" s="1235"/>
      <c r="C952" s="1246"/>
      <c r="D952" s="1274"/>
      <c r="E952" s="1248"/>
      <c r="F952" s="1248"/>
      <c r="G952" s="1271"/>
      <c r="H952" s="1250"/>
      <c r="I952" s="1251"/>
      <c r="J952" s="1271"/>
      <c r="K952" s="1271"/>
      <c r="L952" s="1254"/>
      <c r="M952" s="1244"/>
      <c r="N952" s="1273"/>
      <c r="O952" s="1244"/>
      <c r="P952" s="1244"/>
      <c r="Q952" s="1244"/>
      <c r="R952" s="1244"/>
      <c r="S952" s="1265"/>
      <c r="T952" s="1244"/>
      <c r="U952" s="1244"/>
    </row>
    <row r="953">
      <c r="A953" s="1235"/>
      <c r="B953" s="1235"/>
      <c r="C953" s="1246"/>
      <c r="D953" s="1274"/>
      <c r="E953" s="1248"/>
      <c r="F953" s="1248"/>
      <c r="G953" s="1271"/>
      <c r="H953" s="1250"/>
      <c r="I953" s="1251"/>
      <c r="J953" s="1271"/>
      <c r="K953" s="1271"/>
      <c r="L953" s="1254"/>
      <c r="M953" s="1244"/>
      <c r="N953" s="1273"/>
      <c r="O953" s="1244"/>
      <c r="P953" s="1244"/>
      <c r="Q953" s="1244"/>
      <c r="R953" s="1244"/>
      <c r="S953" s="1265"/>
      <c r="T953" s="1244"/>
      <c r="U953" s="1244"/>
    </row>
    <row r="954">
      <c r="A954" s="1235"/>
      <c r="B954" s="1235"/>
      <c r="C954" s="1246"/>
      <c r="D954" s="1274"/>
      <c r="E954" s="1248"/>
      <c r="F954" s="1248"/>
      <c r="G954" s="1271"/>
      <c r="H954" s="1250"/>
      <c r="I954" s="1251"/>
      <c r="J954" s="1271"/>
      <c r="K954" s="1271"/>
      <c r="L954" s="1254"/>
      <c r="M954" s="1244"/>
      <c r="N954" s="1273"/>
      <c r="O954" s="1244"/>
      <c r="P954" s="1244"/>
      <c r="Q954" s="1244"/>
      <c r="R954" s="1244"/>
      <c r="S954" s="1265"/>
      <c r="T954" s="1244"/>
      <c r="U954" s="1244"/>
    </row>
    <row r="955">
      <c r="A955" s="1235"/>
      <c r="B955" s="1235"/>
      <c r="C955" s="1246"/>
      <c r="D955" s="1274"/>
      <c r="E955" s="1248"/>
      <c r="F955" s="1248"/>
      <c r="G955" s="1271"/>
      <c r="H955" s="1250"/>
      <c r="I955" s="1251"/>
      <c r="J955" s="1271"/>
      <c r="K955" s="1271"/>
      <c r="L955" s="1254"/>
      <c r="M955" s="1244"/>
      <c r="N955" s="1273"/>
      <c r="O955" s="1244"/>
      <c r="P955" s="1244"/>
      <c r="Q955" s="1244"/>
      <c r="R955" s="1244"/>
      <c r="S955" s="1265"/>
      <c r="T955" s="1244"/>
      <c r="U955" s="1244"/>
    </row>
    <row r="956">
      <c r="A956" s="1235"/>
      <c r="B956" s="1235"/>
      <c r="C956" s="1246"/>
      <c r="D956" s="1274"/>
      <c r="E956" s="1248"/>
      <c r="F956" s="1248"/>
      <c r="G956" s="1271"/>
      <c r="H956" s="1250"/>
      <c r="I956" s="1251"/>
      <c r="J956" s="1271"/>
      <c r="K956" s="1271"/>
      <c r="L956" s="1254"/>
      <c r="M956" s="1244"/>
      <c r="N956" s="1273"/>
      <c r="O956" s="1244"/>
      <c r="P956" s="1244"/>
      <c r="Q956" s="1244"/>
      <c r="R956" s="1244"/>
      <c r="S956" s="1265"/>
      <c r="T956" s="1244"/>
      <c r="U956" s="1244"/>
    </row>
    <row r="957">
      <c r="A957" s="1235"/>
      <c r="B957" s="1235"/>
      <c r="C957" s="1246"/>
      <c r="D957" s="1274"/>
      <c r="E957" s="1248"/>
      <c r="F957" s="1248"/>
      <c r="G957" s="1271"/>
      <c r="H957" s="1250"/>
      <c r="I957" s="1251"/>
      <c r="J957" s="1271"/>
      <c r="K957" s="1271"/>
      <c r="L957" s="1254"/>
      <c r="M957" s="1244"/>
      <c r="N957" s="1273"/>
      <c r="O957" s="1244"/>
      <c r="P957" s="1244"/>
      <c r="Q957" s="1244"/>
      <c r="R957" s="1244"/>
      <c r="S957" s="1265"/>
      <c r="T957" s="1244"/>
      <c r="U957" s="1244"/>
    </row>
    <row r="958">
      <c r="A958" s="1235"/>
      <c r="B958" s="1235"/>
      <c r="C958" s="1246"/>
      <c r="D958" s="1274"/>
      <c r="E958" s="1248"/>
      <c r="F958" s="1248"/>
      <c r="G958" s="1271"/>
      <c r="H958" s="1250"/>
      <c r="I958" s="1251"/>
      <c r="J958" s="1271"/>
      <c r="K958" s="1271"/>
      <c r="L958" s="1254"/>
      <c r="M958" s="1244"/>
      <c r="N958" s="1273"/>
      <c r="O958" s="1244"/>
      <c r="P958" s="1244"/>
      <c r="Q958" s="1244"/>
      <c r="R958" s="1244"/>
      <c r="S958" s="1265"/>
      <c r="T958" s="1244"/>
      <c r="U958" s="1244"/>
    </row>
    <row r="959">
      <c r="A959" s="1235"/>
      <c r="B959" s="1235"/>
      <c r="C959" s="1246"/>
      <c r="D959" s="1274"/>
      <c r="E959" s="1248"/>
      <c r="F959" s="1248"/>
      <c r="G959" s="1271"/>
      <c r="H959" s="1250"/>
      <c r="I959" s="1251"/>
      <c r="J959" s="1271"/>
      <c r="K959" s="1271"/>
      <c r="L959" s="1254"/>
      <c r="M959" s="1244"/>
      <c r="N959" s="1273"/>
      <c r="O959" s="1244"/>
      <c r="P959" s="1244"/>
      <c r="Q959" s="1244"/>
      <c r="R959" s="1244"/>
      <c r="S959" s="1265"/>
      <c r="T959" s="1244"/>
      <c r="U959" s="1244"/>
    </row>
    <row r="960">
      <c r="A960" s="1235"/>
      <c r="B960" s="1235"/>
      <c r="C960" s="1246"/>
      <c r="D960" s="1274"/>
      <c r="E960" s="1248"/>
      <c r="F960" s="1248"/>
      <c r="G960" s="1271"/>
      <c r="H960" s="1250"/>
      <c r="I960" s="1251"/>
      <c r="J960" s="1271"/>
      <c r="K960" s="1271"/>
      <c r="L960" s="1254"/>
      <c r="M960" s="1244"/>
      <c r="N960" s="1273"/>
      <c r="O960" s="1244"/>
      <c r="P960" s="1244"/>
      <c r="Q960" s="1244"/>
      <c r="R960" s="1244"/>
      <c r="S960" s="1265"/>
      <c r="T960" s="1244"/>
      <c r="U960" s="1244"/>
    </row>
    <row r="961">
      <c r="A961" s="1235"/>
      <c r="B961" s="1235"/>
      <c r="C961" s="1246"/>
      <c r="D961" s="1274"/>
      <c r="E961" s="1248"/>
      <c r="F961" s="1248"/>
      <c r="G961" s="1271"/>
      <c r="H961" s="1250"/>
      <c r="I961" s="1251"/>
      <c r="J961" s="1271"/>
      <c r="K961" s="1271"/>
      <c r="L961" s="1254"/>
      <c r="M961" s="1244"/>
      <c r="N961" s="1273"/>
      <c r="O961" s="1244"/>
      <c r="P961" s="1244"/>
      <c r="Q961" s="1244"/>
      <c r="R961" s="1244"/>
      <c r="S961" s="1265"/>
      <c r="T961" s="1244"/>
      <c r="U961" s="1244"/>
    </row>
    <row r="962">
      <c r="A962" s="1235"/>
      <c r="B962" s="1235"/>
      <c r="C962" s="1246"/>
      <c r="D962" s="1274"/>
      <c r="E962" s="1248"/>
      <c r="F962" s="1248"/>
      <c r="G962" s="1271"/>
      <c r="H962" s="1250"/>
      <c r="I962" s="1251"/>
      <c r="J962" s="1271"/>
      <c r="K962" s="1271"/>
      <c r="L962" s="1254"/>
      <c r="M962" s="1244"/>
      <c r="N962" s="1273"/>
      <c r="O962" s="1244"/>
      <c r="P962" s="1244"/>
      <c r="Q962" s="1244"/>
      <c r="R962" s="1244"/>
      <c r="S962" s="1265"/>
      <c r="T962" s="1244"/>
      <c r="U962" s="1244"/>
    </row>
    <row r="963">
      <c r="A963" s="1235"/>
      <c r="B963" s="1235"/>
      <c r="C963" s="1246"/>
      <c r="D963" s="1274"/>
      <c r="E963" s="1248"/>
      <c r="F963" s="1248"/>
      <c r="G963" s="1271"/>
      <c r="H963" s="1250"/>
      <c r="I963" s="1251"/>
      <c r="J963" s="1271"/>
      <c r="K963" s="1271"/>
      <c r="L963" s="1254"/>
      <c r="M963" s="1244"/>
      <c r="N963" s="1273"/>
      <c r="O963" s="1244"/>
      <c r="P963" s="1244"/>
      <c r="Q963" s="1244"/>
      <c r="R963" s="1244"/>
      <c r="S963" s="1265"/>
      <c r="T963" s="1244"/>
      <c r="U963" s="1244"/>
    </row>
    <row r="964">
      <c r="A964" s="1235"/>
      <c r="B964" s="1235"/>
      <c r="C964" s="1246"/>
      <c r="D964" s="1274"/>
      <c r="E964" s="1248"/>
      <c r="F964" s="1248"/>
      <c r="G964" s="1271"/>
      <c r="H964" s="1250"/>
      <c r="I964" s="1251"/>
      <c r="J964" s="1271"/>
      <c r="K964" s="1271"/>
      <c r="L964" s="1254"/>
      <c r="M964" s="1244"/>
      <c r="N964" s="1273"/>
      <c r="O964" s="1244"/>
      <c r="P964" s="1244"/>
      <c r="Q964" s="1244"/>
      <c r="R964" s="1244"/>
      <c r="S964" s="1265"/>
      <c r="T964" s="1244"/>
      <c r="U964" s="1244"/>
    </row>
    <row r="965">
      <c r="A965" s="1235"/>
      <c r="B965" s="1235"/>
      <c r="C965" s="1246"/>
      <c r="D965" s="1274"/>
      <c r="E965" s="1248"/>
      <c r="F965" s="1248"/>
      <c r="G965" s="1271"/>
      <c r="H965" s="1250"/>
      <c r="I965" s="1251"/>
      <c r="J965" s="1271"/>
      <c r="K965" s="1271"/>
      <c r="L965" s="1254"/>
      <c r="M965" s="1244"/>
      <c r="N965" s="1273"/>
      <c r="O965" s="1244"/>
      <c r="P965" s="1244"/>
      <c r="Q965" s="1244"/>
      <c r="R965" s="1244"/>
      <c r="S965" s="1265"/>
      <c r="T965" s="1244"/>
      <c r="U965" s="1244"/>
    </row>
    <row r="966">
      <c r="A966" s="1235"/>
      <c r="B966" s="1235"/>
      <c r="C966" s="1246"/>
      <c r="D966" s="1274"/>
      <c r="E966" s="1248"/>
      <c r="F966" s="1248"/>
      <c r="G966" s="1271"/>
      <c r="H966" s="1250"/>
      <c r="I966" s="1251"/>
      <c r="J966" s="1271"/>
      <c r="K966" s="1271"/>
      <c r="L966" s="1254"/>
      <c r="M966" s="1244"/>
      <c r="N966" s="1273"/>
      <c r="O966" s="1244"/>
      <c r="P966" s="1244"/>
      <c r="Q966" s="1244"/>
      <c r="R966" s="1244"/>
      <c r="S966" s="1265"/>
      <c r="T966" s="1244"/>
      <c r="U966" s="1244"/>
    </row>
    <row r="967">
      <c r="A967" s="1235"/>
      <c r="B967" s="1235"/>
      <c r="C967" s="1246"/>
      <c r="D967" s="1274"/>
      <c r="E967" s="1248"/>
      <c r="F967" s="1248"/>
      <c r="G967" s="1271"/>
      <c r="H967" s="1250"/>
      <c r="I967" s="1251"/>
      <c r="J967" s="1271"/>
      <c r="K967" s="1271"/>
      <c r="L967" s="1254"/>
      <c r="M967" s="1244"/>
      <c r="N967" s="1273"/>
      <c r="O967" s="1244"/>
      <c r="P967" s="1244"/>
      <c r="Q967" s="1244"/>
      <c r="R967" s="1244"/>
      <c r="S967" s="1265"/>
      <c r="T967" s="1244"/>
      <c r="U967" s="1244"/>
    </row>
    <row r="968">
      <c r="A968" s="1235"/>
      <c r="B968" s="1235"/>
      <c r="C968" s="1246"/>
      <c r="D968" s="1274"/>
      <c r="E968" s="1248"/>
      <c r="F968" s="1248"/>
      <c r="G968" s="1271"/>
      <c r="H968" s="1250"/>
      <c r="I968" s="1251"/>
      <c r="J968" s="1271"/>
      <c r="K968" s="1271"/>
      <c r="L968" s="1254"/>
      <c r="M968" s="1244"/>
      <c r="N968" s="1273"/>
      <c r="O968" s="1244"/>
      <c r="P968" s="1244"/>
      <c r="Q968" s="1244"/>
      <c r="R968" s="1244"/>
      <c r="S968" s="1265"/>
      <c r="T968" s="1244"/>
      <c r="U968" s="1244"/>
    </row>
    <row r="969">
      <c r="A969" s="1235"/>
      <c r="B969" s="1235"/>
      <c r="C969" s="1246"/>
      <c r="D969" s="1274"/>
      <c r="E969" s="1248"/>
      <c r="F969" s="1248"/>
      <c r="G969" s="1271"/>
      <c r="H969" s="1250"/>
      <c r="I969" s="1251"/>
      <c r="J969" s="1271"/>
      <c r="K969" s="1271"/>
      <c r="L969" s="1254"/>
      <c r="M969" s="1244"/>
      <c r="N969" s="1273"/>
      <c r="O969" s="1244"/>
      <c r="P969" s="1244"/>
      <c r="Q969" s="1244"/>
      <c r="R969" s="1244"/>
      <c r="S969" s="1265"/>
      <c r="T969" s="1244"/>
      <c r="U969" s="1244"/>
    </row>
    <row r="970">
      <c r="A970" s="1235"/>
      <c r="B970" s="1235"/>
      <c r="C970" s="1246"/>
      <c r="D970" s="1274"/>
      <c r="E970" s="1248"/>
      <c r="F970" s="1248"/>
      <c r="G970" s="1271"/>
      <c r="H970" s="1250"/>
      <c r="I970" s="1251"/>
      <c r="J970" s="1271"/>
      <c r="K970" s="1271"/>
      <c r="L970" s="1254"/>
      <c r="M970" s="1244"/>
      <c r="N970" s="1273"/>
      <c r="O970" s="1244"/>
      <c r="P970" s="1244"/>
      <c r="Q970" s="1244"/>
      <c r="R970" s="1244"/>
      <c r="S970" s="1265"/>
      <c r="T970" s="1244"/>
      <c r="U970" s="1244"/>
    </row>
    <row r="971">
      <c r="A971" s="1235"/>
      <c r="B971" s="1235"/>
      <c r="C971" s="1246"/>
      <c r="D971" s="1274"/>
      <c r="E971" s="1248"/>
      <c r="F971" s="1248"/>
      <c r="G971" s="1271"/>
      <c r="H971" s="1250"/>
      <c r="I971" s="1251"/>
      <c r="J971" s="1271"/>
      <c r="K971" s="1271"/>
      <c r="L971" s="1254"/>
      <c r="M971" s="1244"/>
      <c r="N971" s="1273"/>
      <c r="O971" s="1244"/>
      <c r="P971" s="1244"/>
      <c r="Q971" s="1244"/>
      <c r="R971" s="1244"/>
      <c r="S971" s="1265"/>
      <c r="T971" s="1244"/>
      <c r="U971" s="1244"/>
    </row>
    <row r="972">
      <c r="A972" s="1235"/>
      <c r="B972" s="1235"/>
      <c r="C972" s="1246"/>
      <c r="D972" s="1274"/>
      <c r="E972" s="1248"/>
      <c r="F972" s="1248"/>
      <c r="G972" s="1271"/>
      <c r="H972" s="1250"/>
      <c r="I972" s="1251"/>
      <c r="J972" s="1271"/>
      <c r="K972" s="1271"/>
      <c r="L972" s="1254"/>
      <c r="M972" s="1244"/>
      <c r="N972" s="1273"/>
      <c r="O972" s="1244"/>
      <c r="P972" s="1244"/>
      <c r="Q972" s="1244"/>
      <c r="R972" s="1244"/>
      <c r="S972" s="1265"/>
      <c r="T972" s="1244"/>
      <c r="U972" s="1244"/>
    </row>
    <row r="973">
      <c r="A973" s="1235"/>
      <c r="B973" s="1235"/>
      <c r="C973" s="1246"/>
      <c r="D973" s="1274"/>
      <c r="E973" s="1248"/>
      <c r="F973" s="1248"/>
      <c r="G973" s="1271"/>
      <c r="H973" s="1250"/>
      <c r="I973" s="1251"/>
      <c r="J973" s="1271"/>
      <c r="K973" s="1271"/>
      <c r="L973" s="1254"/>
      <c r="M973" s="1244"/>
      <c r="N973" s="1273"/>
      <c r="O973" s="1244"/>
      <c r="P973" s="1244"/>
      <c r="Q973" s="1244"/>
      <c r="R973" s="1244"/>
      <c r="S973" s="1265"/>
      <c r="T973" s="1244"/>
      <c r="U973" s="1244"/>
    </row>
    <row r="974">
      <c r="A974" s="1235"/>
      <c r="B974" s="1235"/>
      <c r="C974" s="1246"/>
      <c r="D974" s="1274"/>
      <c r="E974" s="1248"/>
      <c r="F974" s="1248"/>
      <c r="G974" s="1271"/>
      <c r="H974" s="1250"/>
      <c r="I974" s="1251"/>
      <c r="J974" s="1271"/>
      <c r="K974" s="1271"/>
      <c r="L974" s="1254"/>
      <c r="M974" s="1244"/>
      <c r="N974" s="1273"/>
      <c r="O974" s="1244"/>
      <c r="P974" s="1244"/>
      <c r="Q974" s="1244"/>
      <c r="R974" s="1244"/>
      <c r="S974" s="1265"/>
      <c r="T974" s="1244"/>
      <c r="U974" s="1244"/>
    </row>
    <row r="975">
      <c r="A975" s="1235"/>
      <c r="B975" s="1235"/>
      <c r="C975" s="1246"/>
      <c r="D975" s="1274"/>
      <c r="E975" s="1248"/>
      <c r="F975" s="1248"/>
      <c r="G975" s="1271"/>
      <c r="H975" s="1250"/>
      <c r="I975" s="1251"/>
      <c r="J975" s="1271"/>
      <c r="K975" s="1271"/>
      <c r="L975" s="1254"/>
      <c r="M975" s="1244"/>
      <c r="N975" s="1273"/>
      <c r="O975" s="1244"/>
      <c r="P975" s="1244"/>
      <c r="Q975" s="1244"/>
      <c r="R975" s="1244"/>
      <c r="S975" s="1265"/>
      <c r="T975" s="1244"/>
      <c r="U975" s="1244"/>
    </row>
    <row r="976">
      <c r="A976" s="1235"/>
      <c r="B976" s="1235"/>
      <c r="C976" s="1246"/>
      <c r="D976" s="1274"/>
      <c r="E976" s="1248"/>
      <c r="F976" s="1248"/>
      <c r="G976" s="1271"/>
      <c r="H976" s="1250"/>
      <c r="I976" s="1251"/>
      <c r="J976" s="1271"/>
      <c r="K976" s="1271"/>
      <c r="L976" s="1254"/>
      <c r="M976" s="1244"/>
      <c r="N976" s="1273"/>
      <c r="O976" s="1244"/>
      <c r="P976" s="1244"/>
      <c r="Q976" s="1244"/>
      <c r="R976" s="1244"/>
      <c r="S976" s="1265"/>
      <c r="T976" s="1244"/>
      <c r="U976" s="1244"/>
    </row>
    <row r="977">
      <c r="A977" s="1235"/>
      <c r="B977" s="1235"/>
      <c r="C977" s="1246"/>
      <c r="D977" s="1274"/>
      <c r="E977" s="1248"/>
      <c r="F977" s="1248"/>
      <c r="G977" s="1271"/>
      <c r="H977" s="1250"/>
      <c r="I977" s="1251"/>
      <c r="J977" s="1271"/>
      <c r="K977" s="1271"/>
      <c r="L977" s="1254"/>
      <c r="M977" s="1244"/>
      <c r="N977" s="1273"/>
      <c r="O977" s="1244"/>
      <c r="P977" s="1244"/>
      <c r="Q977" s="1244"/>
      <c r="R977" s="1244"/>
      <c r="S977" s="1265"/>
      <c r="T977" s="1244"/>
      <c r="U977" s="1244"/>
    </row>
    <row r="978">
      <c r="A978" s="1235"/>
      <c r="B978" s="1235"/>
      <c r="C978" s="1246"/>
      <c r="D978" s="1274"/>
      <c r="E978" s="1248"/>
      <c r="F978" s="1248"/>
      <c r="G978" s="1271"/>
      <c r="H978" s="1250"/>
      <c r="I978" s="1251"/>
      <c r="J978" s="1271"/>
      <c r="K978" s="1271"/>
      <c r="L978" s="1254"/>
      <c r="M978" s="1244"/>
      <c r="N978" s="1273"/>
      <c r="O978" s="1244"/>
      <c r="P978" s="1244"/>
      <c r="Q978" s="1244"/>
      <c r="R978" s="1244"/>
      <c r="S978" s="1265"/>
      <c r="T978" s="1244"/>
      <c r="U978" s="1244"/>
    </row>
    <row r="979">
      <c r="A979" s="1235"/>
      <c r="B979" s="1235"/>
      <c r="C979" s="1246"/>
      <c r="D979" s="1274"/>
      <c r="E979" s="1248"/>
      <c r="F979" s="1248"/>
      <c r="G979" s="1271"/>
      <c r="H979" s="1250"/>
      <c r="I979" s="1251"/>
      <c r="J979" s="1271"/>
      <c r="K979" s="1271"/>
      <c r="L979" s="1254"/>
      <c r="M979" s="1244"/>
      <c r="N979" s="1273"/>
      <c r="O979" s="1244"/>
      <c r="P979" s="1244"/>
      <c r="Q979" s="1244"/>
      <c r="R979" s="1244"/>
      <c r="S979" s="1265"/>
      <c r="T979" s="1244"/>
      <c r="U979" s="1244"/>
    </row>
    <row r="980">
      <c r="A980" s="1235"/>
      <c r="B980" s="1235"/>
      <c r="C980" s="1246"/>
      <c r="D980" s="1274"/>
      <c r="E980" s="1248"/>
      <c r="F980" s="1248"/>
      <c r="G980" s="1271"/>
      <c r="H980" s="1250"/>
      <c r="I980" s="1251"/>
      <c r="J980" s="1271"/>
      <c r="K980" s="1271"/>
      <c r="L980" s="1254"/>
      <c r="M980" s="1244"/>
      <c r="N980" s="1273"/>
      <c r="O980" s="1244"/>
      <c r="P980" s="1244"/>
      <c r="Q980" s="1244"/>
      <c r="R980" s="1244"/>
      <c r="S980" s="1265"/>
      <c r="T980" s="1244"/>
      <c r="U980" s="1244"/>
    </row>
    <row r="981">
      <c r="A981" s="1235"/>
      <c r="B981" s="1235"/>
      <c r="C981" s="1246"/>
      <c r="D981" s="1274"/>
      <c r="E981" s="1248"/>
      <c r="F981" s="1248"/>
      <c r="G981" s="1271"/>
      <c r="H981" s="1250"/>
      <c r="I981" s="1251"/>
      <c r="J981" s="1271"/>
      <c r="K981" s="1271"/>
      <c r="L981" s="1254"/>
      <c r="M981" s="1244"/>
      <c r="N981" s="1273"/>
      <c r="O981" s="1244"/>
      <c r="P981" s="1244"/>
      <c r="Q981" s="1244"/>
      <c r="R981" s="1244"/>
      <c r="S981" s="1265"/>
      <c r="T981" s="1244"/>
      <c r="U981" s="1244"/>
    </row>
    <row r="982">
      <c r="A982" s="1235"/>
      <c r="B982" s="1235"/>
      <c r="C982" s="1246"/>
      <c r="D982" s="1274"/>
      <c r="E982" s="1248"/>
      <c r="F982" s="1248"/>
      <c r="G982" s="1271"/>
      <c r="H982" s="1250"/>
      <c r="I982" s="1251"/>
      <c r="J982" s="1271"/>
      <c r="K982" s="1271"/>
      <c r="L982" s="1254"/>
      <c r="M982" s="1244"/>
      <c r="N982" s="1273"/>
      <c r="O982" s="1244"/>
      <c r="P982" s="1244"/>
      <c r="Q982" s="1244"/>
      <c r="R982" s="1244"/>
      <c r="S982" s="1265"/>
      <c r="T982" s="1244"/>
      <c r="U982" s="1244"/>
    </row>
    <row r="983">
      <c r="A983" s="1235"/>
      <c r="B983" s="1235"/>
      <c r="C983" s="1246"/>
      <c r="D983" s="1274"/>
      <c r="E983" s="1248"/>
      <c r="F983" s="1248"/>
      <c r="G983" s="1271"/>
      <c r="H983" s="1250"/>
      <c r="I983" s="1251"/>
      <c r="J983" s="1271"/>
      <c r="K983" s="1271"/>
      <c r="L983" s="1254"/>
      <c r="M983" s="1244"/>
      <c r="N983" s="1273"/>
      <c r="O983" s="1244"/>
      <c r="P983" s="1244"/>
      <c r="Q983" s="1244"/>
      <c r="R983" s="1244"/>
      <c r="S983" s="1265"/>
      <c r="T983" s="1244"/>
      <c r="U983" s="1244"/>
    </row>
    <row r="984">
      <c r="A984" s="1235"/>
      <c r="B984" s="1235"/>
      <c r="C984" s="1246"/>
      <c r="D984" s="1274"/>
      <c r="E984" s="1248"/>
      <c r="F984" s="1248"/>
      <c r="G984" s="1271"/>
      <c r="H984" s="1250"/>
      <c r="I984" s="1251"/>
      <c r="J984" s="1271"/>
      <c r="K984" s="1271"/>
      <c r="L984" s="1254"/>
      <c r="M984" s="1244"/>
      <c r="N984" s="1273"/>
      <c r="O984" s="1244"/>
      <c r="P984" s="1244"/>
      <c r="Q984" s="1244"/>
      <c r="R984" s="1244"/>
      <c r="S984" s="1265"/>
      <c r="T984" s="1244"/>
      <c r="U984" s="1244"/>
    </row>
    <row r="985">
      <c r="A985" s="1235"/>
      <c r="B985" s="1235"/>
      <c r="C985" s="1246"/>
      <c r="D985" s="1274"/>
      <c r="E985" s="1248"/>
      <c r="F985" s="1248"/>
      <c r="G985" s="1271"/>
      <c r="H985" s="1250"/>
      <c r="I985" s="1251"/>
      <c r="J985" s="1271"/>
      <c r="K985" s="1271"/>
      <c r="L985" s="1254"/>
      <c r="M985" s="1244"/>
      <c r="N985" s="1273"/>
      <c r="O985" s="1244"/>
      <c r="P985" s="1244"/>
      <c r="Q985" s="1244"/>
      <c r="R985" s="1244"/>
      <c r="S985" s="1265"/>
      <c r="T985" s="1244"/>
      <c r="U985" s="1244"/>
    </row>
    <row r="986">
      <c r="A986" s="1235"/>
      <c r="B986" s="1235"/>
      <c r="C986" s="1246"/>
      <c r="D986" s="1274"/>
      <c r="E986" s="1248"/>
      <c r="F986" s="1248"/>
      <c r="G986" s="1271"/>
      <c r="H986" s="1250"/>
      <c r="I986" s="1251"/>
      <c r="J986" s="1271"/>
      <c r="K986" s="1271"/>
      <c r="L986" s="1254"/>
      <c r="M986" s="1244"/>
      <c r="N986" s="1273"/>
      <c r="O986" s="1244"/>
      <c r="P986" s="1244"/>
      <c r="Q986" s="1244"/>
      <c r="R986" s="1244"/>
      <c r="S986" s="1265"/>
      <c r="T986" s="1244"/>
      <c r="U986" s="1244"/>
    </row>
    <row r="987">
      <c r="A987" s="1235"/>
      <c r="B987" s="1235"/>
      <c r="C987" s="1246"/>
      <c r="D987" s="1274"/>
      <c r="E987" s="1248"/>
      <c r="F987" s="1248"/>
      <c r="G987" s="1271"/>
      <c r="H987" s="1250"/>
      <c r="I987" s="1251"/>
      <c r="J987" s="1271"/>
      <c r="K987" s="1271"/>
      <c r="L987" s="1254"/>
      <c r="M987" s="1244"/>
      <c r="N987" s="1273"/>
      <c r="O987" s="1244"/>
      <c r="P987" s="1244"/>
      <c r="Q987" s="1244"/>
      <c r="R987" s="1244"/>
      <c r="S987" s="1265"/>
      <c r="T987" s="1244"/>
      <c r="U987" s="1244"/>
    </row>
    <row r="988">
      <c r="A988" s="1235"/>
      <c r="B988" s="1235"/>
      <c r="C988" s="1246"/>
      <c r="D988" s="1274"/>
      <c r="E988" s="1248"/>
      <c r="F988" s="1248"/>
      <c r="G988" s="1271"/>
      <c r="H988" s="1250"/>
      <c r="I988" s="1251"/>
      <c r="J988" s="1271"/>
      <c r="K988" s="1271"/>
      <c r="L988" s="1254"/>
      <c r="M988" s="1244"/>
      <c r="N988" s="1273"/>
      <c r="O988" s="1244"/>
      <c r="P988" s="1244"/>
      <c r="Q988" s="1244"/>
      <c r="R988" s="1244"/>
      <c r="S988" s="1265"/>
      <c r="T988" s="1244"/>
      <c r="U988" s="1244"/>
    </row>
    <row r="989">
      <c r="A989" s="1235"/>
      <c r="B989" s="1235"/>
      <c r="C989" s="1246"/>
      <c r="D989" s="1274"/>
      <c r="E989" s="1248"/>
      <c r="F989" s="1248"/>
      <c r="G989" s="1271"/>
      <c r="H989" s="1250"/>
      <c r="I989" s="1251"/>
      <c r="J989" s="1271"/>
      <c r="K989" s="1271"/>
      <c r="L989" s="1254"/>
      <c r="M989" s="1244"/>
      <c r="N989" s="1273"/>
      <c r="O989" s="1244"/>
      <c r="P989" s="1244"/>
      <c r="Q989" s="1244"/>
      <c r="R989" s="1244"/>
      <c r="S989" s="1265"/>
      <c r="T989" s="1244"/>
      <c r="U989" s="1244"/>
    </row>
    <row r="990">
      <c r="A990" s="1235"/>
      <c r="B990" s="1235"/>
      <c r="C990" s="1246"/>
      <c r="D990" s="1274"/>
      <c r="E990" s="1248"/>
      <c r="F990" s="1248"/>
      <c r="G990" s="1271"/>
      <c r="H990" s="1250"/>
      <c r="I990" s="1251"/>
      <c r="J990" s="1271"/>
      <c r="K990" s="1271"/>
      <c r="L990" s="1254"/>
      <c r="M990" s="1244"/>
      <c r="N990" s="1273"/>
      <c r="O990" s="1244"/>
      <c r="P990" s="1244"/>
      <c r="Q990" s="1244"/>
      <c r="R990" s="1244"/>
      <c r="S990" s="1265"/>
      <c r="T990" s="1244"/>
      <c r="U990" s="1244"/>
    </row>
    <row r="991">
      <c r="A991" s="1235"/>
      <c r="B991" s="1235"/>
      <c r="C991" s="1246"/>
      <c r="D991" s="1274"/>
      <c r="E991" s="1248"/>
      <c r="F991" s="1248"/>
      <c r="G991" s="1271"/>
      <c r="H991" s="1250"/>
      <c r="I991" s="1251"/>
      <c r="J991" s="1271"/>
      <c r="K991" s="1271"/>
      <c r="L991" s="1254"/>
      <c r="M991" s="1244"/>
      <c r="N991" s="1273"/>
      <c r="O991" s="1244"/>
      <c r="P991" s="1244"/>
      <c r="Q991" s="1244"/>
      <c r="R991" s="1244"/>
      <c r="S991" s="1265"/>
      <c r="T991" s="1244"/>
      <c r="U991" s="1244"/>
    </row>
    <row r="992">
      <c r="A992" s="1235"/>
      <c r="B992" s="1235"/>
      <c r="C992" s="1246"/>
      <c r="D992" s="1274"/>
      <c r="E992" s="1248"/>
      <c r="F992" s="1248"/>
      <c r="G992" s="1271"/>
      <c r="H992" s="1250"/>
      <c r="I992" s="1251"/>
      <c r="J992" s="1271"/>
      <c r="K992" s="1271"/>
      <c r="L992" s="1254"/>
      <c r="M992" s="1244"/>
      <c r="N992" s="1273"/>
      <c r="O992" s="1244"/>
      <c r="P992" s="1244"/>
      <c r="Q992" s="1244"/>
      <c r="R992" s="1244"/>
      <c r="S992" s="1265"/>
      <c r="T992" s="1244"/>
      <c r="U992" s="1244"/>
    </row>
    <row r="993">
      <c r="A993" s="1235"/>
      <c r="B993" s="1235"/>
      <c r="C993" s="1246"/>
      <c r="D993" s="1274"/>
      <c r="E993" s="1248"/>
      <c r="F993" s="1248"/>
      <c r="G993" s="1271"/>
      <c r="H993" s="1250"/>
      <c r="I993" s="1251"/>
      <c r="J993" s="1271"/>
      <c r="K993" s="1271"/>
      <c r="L993" s="1254"/>
      <c r="M993" s="1244"/>
      <c r="N993" s="1273"/>
      <c r="O993" s="1244"/>
      <c r="P993" s="1244"/>
      <c r="Q993" s="1244"/>
      <c r="R993" s="1244"/>
      <c r="S993" s="1265"/>
      <c r="T993" s="1244"/>
      <c r="U993" s="1244"/>
    </row>
    <row r="994">
      <c r="A994" s="1235"/>
      <c r="B994" s="1235"/>
      <c r="C994" s="1246"/>
      <c r="D994" s="1274"/>
      <c r="E994" s="1248"/>
      <c r="F994" s="1248"/>
      <c r="G994" s="1271"/>
      <c r="H994" s="1250"/>
      <c r="I994" s="1251"/>
      <c r="J994" s="1271"/>
      <c r="K994" s="1271"/>
      <c r="L994" s="1254"/>
      <c r="M994" s="1244"/>
      <c r="N994" s="1273"/>
      <c r="O994" s="1244"/>
      <c r="P994" s="1244"/>
      <c r="Q994" s="1244"/>
      <c r="R994" s="1244"/>
      <c r="S994" s="1265"/>
      <c r="T994" s="1244"/>
      <c r="U994" s="1244"/>
    </row>
    <row r="995">
      <c r="A995" s="1235"/>
      <c r="B995" s="1235"/>
      <c r="C995" s="1246"/>
      <c r="D995" s="1274"/>
      <c r="E995" s="1248"/>
      <c r="F995" s="1248"/>
      <c r="G995" s="1271"/>
      <c r="H995" s="1250"/>
      <c r="I995" s="1251"/>
      <c r="J995" s="1271"/>
      <c r="K995" s="1271"/>
      <c r="L995" s="1254"/>
      <c r="M995" s="1244"/>
      <c r="N995" s="1273"/>
      <c r="O995" s="1244"/>
      <c r="P995" s="1244"/>
      <c r="Q995" s="1244"/>
      <c r="R995" s="1244"/>
      <c r="S995" s="1265"/>
      <c r="T995" s="1244"/>
      <c r="U995" s="1244"/>
    </row>
    <row r="996">
      <c r="A996" s="1235"/>
      <c r="B996" s="1235"/>
      <c r="C996" s="1246"/>
      <c r="D996" s="1274"/>
      <c r="E996" s="1248"/>
      <c r="F996" s="1248"/>
      <c r="G996" s="1271"/>
      <c r="H996" s="1250"/>
      <c r="I996" s="1251"/>
      <c r="J996" s="1271"/>
      <c r="K996" s="1271"/>
      <c r="L996" s="1254"/>
      <c r="M996" s="1244"/>
      <c r="N996" s="1273"/>
      <c r="O996" s="1244"/>
      <c r="P996" s="1244"/>
      <c r="Q996" s="1244"/>
      <c r="R996" s="1244"/>
      <c r="S996" s="1265"/>
      <c r="T996" s="1244"/>
      <c r="U996" s="1244"/>
    </row>
    <row r="997">
      <c r="A997" s="1235"/>
      <c r="B997" s="1235"/>
      <c r="C997" s="1246"/>
      <c r="D997" s="1274"/>
      <c r="E997" s="1248"/>
      <c r="F997" s="1248"/>
      <c r="G997" s="1271"/>
      <c r="H997" s="1250"/>
      <c r="I997" s="1251"/>
      <c r="J997" s="1271"/>
      <c r="K997" s="1271"/>
      <c r="L997" s="1254"/>
      <c r="M997" s="1244"/>
      <c r="N997" s="1273"/>
      <c r="O997" s="1244"/>
      <c r="P997" s="1244"/>
      <c r="Q997" s="1244"/>
      <c r="R997" s="1244"/>
      <c r="S997" s="1265"/>
      <c r="T997" s="1244"/>
      <c r="U997" s="1244"/>
    </row>
    <row r="998">
      <c r="A998" s="1235"/>
      <c r="B998" s="1235"/>
      <c r="C998" s="1246"/>
      <c r="D998" s="1274"/>
      <c r="E998" s="1248"/>
      <c r="F998" s="1248"/>
      <c r="G998" s="1271"/>
      <c r="H998" s="1250"/>
      <c r="I998" s="1251"/>
      <c r="J998" s="1271"/>
      <c r="K998" s="1271"/>
      <c r="L998" s="1254"/>
      <c r="M998" s="1244"/>
      <c r="N998" s="1273"/>
      <c r="O998" s="1244"/>
      <c r="P998" s="1244"/>
      <c r="Q998" s="1244"/>
      <c r="R998" s="1244"/>
      <c r="S998" s="1265"/>
      <c r="T998" s="1244"/>
      <c r="U998" s="1244"/>
    </row>
    <row r="999">
      <c r="A999" s="1235"/>
      <c r="B999" s="1235"/>
      <c r="C999" s="1246"/>
      <c r="D999" s="1274"/>
      <c r="E999" s="1248"/>
      <c r="F999" s="1248"/>
      <c r="G999" s="1271"/>
      <c r="H999" s="1250"/>
      <c r="I999" s="1251"/>
      <c r="J999" s="1271"/>
      <c r="K999" s="1271"/>
      <c r="L999" s="1254"/>
      <c r="M999" s="1244"/>
      <c r="N999" s="1273"/>
      <c r="O999" s="1244"/>
      <c r="P999" s="1244"/>
      <c r="Q999" s="1244"/>
      <c r="R999" s="1244"/>
      <c r="S999" s="1265"/>
      <c r="T999" s="1244"/>
      <c r="U999" s="1244"/>
    </row>
    <row r="1000">
      <c r="A1000" s="1235"/>
      <c r="B1000" s="1235"/>
      <c r="C1000" s="1246"/>
      <c r="D1000" s="1274"/>
      <c r="E1000" s="1248"/>
      <c r="F1000" s="1248"/>
      <c r="G1000" s="1271"/>
      <c r="H1000" s="1250"/>
      <c r="I1000" s="1251"/>
      <c r="J1000" s="1271"/>
      <c r="K1000" s="1271"/>
      <c r="L1000" s="1254"/>
      <c r="M1000" s="1244"/>
      <c r="N1000" s="1273"/>
      <c r="O1000" s="1244"/>
      <c r="P1000" s="1244"/>
      <c r="Q1000" s="1244"/>
      <c r="R1000" s="1244"/>
      <c r="S1000" s="1265"/>
      <c r="T1000" s="1244"/>
      <c r="U1000" s="1244"/>
    </row>
    <row r="1001">
      <c r="A1001" s="1235"/>
      <c r="B1001" s="1235"/>
      <c r="C1001" s="1246"/>
      <c r="D1001" s="1274"/>
      <c r="E1001" s="1248"/>
      <c r="F1001" s="1248"/>
      <c r="G1001" s="1271"/>
      <c r="H1001" s="1250"/>
      <c r="I1001" s="1251"/>
      <c r="J1001" s="1271"/>
      <c r="K1001" s="1271"/>
      <c r="L1001" s="1254"/>
      <c r="M1001" s="1244"/>
      <c r="N1001" s="1273"/>
      <c r="O1001" s="1244"/>
      <c r="P1001" s="1244"/>
      <c r="Q1001" s="1244"/>
      <c r="R1001" s="1244"/>
      <c r="S1001" s="1265"/>
      <c r="T1001" s="1244"/>
      <c r="U1001" s="1244"/>
    </row>
    <row r="1002">
      <c r="A1002" s="1235"/>
      <c r="B1002" s="1235"/>
      <c r="C1002" s="1246"/>
      <c r="D1002" s="1274"/>
      <c r="E1002" s="1248"/>
      <c r="F1002" s="1248"/>
      <c r="G1002" s="1271"/>
      <c r="H1002" s="1250"/>
      <c r="I1002" s="1251"/>
      <c r="J1002" s="1271"/>
      <c r="K1002" s="1271"/>
      <c r="L1002" s="1254"/>
      <c r="M1002" s="1244"/>
      <c r="N1002" s="1273"/>
      <c r="O1002" s="1244"/>
      <c r="P1002" s="1244"/>
      <c r="Q1002" s="1244"/>
      <c r="R1002" s="1244"/>
      <c r="S1002" s="1265"/>
      <c r="T1002" s="1244"/>
      <c r="U1002" s="1244"/>
    </row>
    <row r="1003">
      <c r="A1003" s="1235"/>
      <c r="B1003" s="1235"/>
      <c r="C1003" s="1246"/>
      <c r="D1003" s="1274"/>
      <c r="E1003" s="1248"/>
      <c r="F1003" s="1248"/>
      <c r="G1003" s="1271"/>
      <c r="H1003" s="1250"/>
      <c r="I1003" s="1251"/>
      <c r="J1003" s="1271"/>
      <c r="K1003" s="1271"/>
      <c r="L1003" s="1254"/>
      <c r="M1003" s="1244"/>
      <c r="N1003" s="1273"/>
      <c r="O1003" s="1244"/>
      <c r="P1003" s="1244"/>
      <c r="Q1003" s="1244"/>
      <c r="R1003" s="1244"/>
      <c r="S1003" s="1265"/>
      <c r="T1003" s="1244"/>
      <c r="U1003" s="1244"/>
    </row>
    <row r="1004">
      <c r="A1004" s="1235"/>
      <c r="B1004" s="1235"/>
      <c r="C1004" s="1246"/>
      <c r="D1004" s="1274"/>
      <c r="E1004" s="1248"/>
      <c r="F1004" s="1248"/>
      <c r="G1004" s="1271"/>
      <c r="H1004" s="1250"/>
      <c r="I1004" s="1251"/>
      <c r="J1004" s="1271"/>
      <c r="K1004" s="1271"/>
      <c r="L1004" s="1254"/>
      <c r="M1004" s="1244"/>
      <c r="N1004" s="1273"/>
      <c r="O1004" s="1244"/>
      <c r="P1004" s="1244"/>
      <c r="Q1004" s="1244"/>
      <c r="R1004" s="1244"/>
      <c r="S1004" s="1265"/>
      <c r="T1004" s="1244"/>
      <c r="U1004" s="1244"/>
    </row>
    <row r="1005">
      <c r="A1005" s="1235"/>
      <c r="B1005" s="1235"/>
      <c r="C1005" s="1246"/>
      <c r="D1005" s="1274"/>
      <c r="E1005" s="1248"/>
      <c r="F1005" s="1248"/>
      <c r="G1005" s="1271"/>
      <c r="H1005" s="1250"/>
      <c r="I1005" s="1251"/>
      <c r="J1005" s="1271"/>
      <c r="K1005" s="1271"/>
      <c r="L1005" s="1254"/>
      <c r="M1005" s="1244"/>
      <c r="N1005" s="1273"/>
      <c r="O1005" s="1244"/>
      <c r="P1005" s="1244"/>
      <c r="Q1005" s="1244"/>
      <c r="R1005" s="1244"/>
      <c r="S1005" s="1265"/>
      <c r="T1005" s="1244"/>
      <c r="U1005" s="1244"/>
    </row>
    <row r="1006">
      <c r="A1006" s="1235"/>
      <c r="B1006" s="1235"/>
      <c r="C1006" s="1246"/>
      <c r="D1006" s="1274"/>
      <c r="E1006" s="1248"/>
      <c r="F1006" s="1248"/>
      <c r="G1006" s="1271"/>
      <c r="H1006" s="1250"/>
      <c r="I1006" s="1251"/>
      <c r="J1006" s="1271"/>
      <c r="K1006" s="1271"/>
      <c r="L1006" s="1254"/>
      <c r="M1006" s="1244"/>
      <c r="N1006" s="1273"/>
      <c r="O1006" s="1244"/>
      <c r="P1006" s="1244"/>
      <c r="Q1006" s="1244"/>
      <c r="R1006" s="1244"/>
      <c r="S1006" s="1265"/>
      <c r="T1006" s="1244"/>
      <c r="U1006" s="1244"/>
    </row>
    <row r="1007">
      <c r="A1007" s="1235"/>
      <c r="B1007" s="1235"/>
      <c r="C1007" s="1246"/>
      <c r="D1007" s="1274"/>
      <c r="E1007" s="1248"/>
      <c r="F1007" s="1248"/>
      <c r="G1007" s="1271"/>
      <c r="H1007" s="1250"/>
      <c r="I1007" s="1251"/>
      <c r="J1007" s="1271"/>
      <c r="K1007" s="1271"/>
      <c r="L1007" s="1254"/>
      <c r="M1007" s="1244"/>
      <c r="N1007" s="1273"/>
      <c r="O1007" s="1244"/>
      <c r="P1007" s="1244"/>
      <c r="Q1007" s="1244"/>
      <c r="R1007" s="1244"/>
      <c r="S1007" s="1265"/>
      <c r="T1007" s="1244"/>
      <c r="U1007" s="1244"/>
    </row>
    <row r="1008">
      <c r="A1008" s="1235"/>
      <c r="B1008" s="1235"/>
      <c r="C1008" s="1246"/>
      <c r="D1008" s="1274"/>
      <c r="E1008" s="1248"/>
      <c r="F1008" s="1248"/>
      <c r="G1008" s="1271"/>
      <c r="H1008" s="1250"/>
      <c r="I1008" s="1251"/>
      <c r="J1008" s="1271"/>
      <c r="K1008" s="1271"/>
      <c r="L1008" s="1254"/>
      <c r="M1008" s="1244"/>
      <c r="N1008" s="1273"/>
      <c r="O1008" s="1244"/>
      <c r="P1008" s="1244"/>
      <c r="Q1008" s="1244"/>
      <c r="R1008" s="1244"/>
      <c r="S1008" s="1265"/>
      <c r="T1008" s="1244"/>
      <c r="U1008" s="1244"/>
    </row>
    <row r="1009">
      <c r="A1009" s="1235"/>
      <c r="B1009" s="1235"/>
      <c r="C1009" s="1246"/>
      <c r="D1009" s="1274"/>
      <c r="E1009" s="1248"/>
      <c r="F1009" s="1248"/>
      <c r="G1009" s="1271"/>
      <c r="H1009" s="1250"/>
      <c r="I1009" s="1251"/>
      <c r="J1009" s="1271"/>
      <c r="K1009" s="1271"/>
      <c r="L1009" s="1254"/>
      <c r="M1009" s="1244"/>
      <c r="N1009" s="1273"/>
      <c r="O1009" s="1244"/>
      <c r="P1009" s="1244"/>
      <c r="Q1009" s="1244"/>
      <c r="R1009" s="1244"/>
      <c r="S1009" s="1265"/>
      <c r="T1009" s="1244"/>
      <c r="U1009" s="1244"/>
    </row>
    <row r="1010">
      <c r="A1010" s="1235"/>
      <c r="B1010" s="1235"/>
      <c r="C1010" s="1246"/>
      <c r="D1010" s="1274"/>
      <c r="E1010" s="1248"/>
      <c r="F1010" s="1248"/>
      <c r="G1010" s="1271"/>
      <c r="H1010" s="1250"/>
      <c r="I1010" s="1251"/>
      <c r="J1010" s="1271"/>
      <c r="K1010" s="1271"/>
      <c r="L1010" s="1254"/>
      <c r="M1010" s="1244"/>
      <c r="N1010" s="1273"/>
      <c r="O1010" s="1244"/>
      <c r="P1010" s="1244"/>
      <c r="Q1010" s="1244"/>
      <c r="R1010" s="1244"/>
      <c r="S1010" s="1265"/>
      <c r="T1010" s="1244"/>
      <c r="U1010" s="1244"/>
    </row>
    <row r="1011">
      <c r="A1011" s="1235"/>
      <c r="B1011" s="1235"/>
      <c r="C1011" s="1246"/>
      <c r="D1011" s="1274"/>
      <c r="E1011" s="1248"/>
      <c r="F1011" s="1248"/>
      <c r="G1011" s="1271"/>
      <c r="H1011" s="1250"/>
      <c r="I1011" s="1251"/>
      <c r="J1011" s="1271"/>
      <c r="K1011" s="1271"/>
      <c r="L1011" s="1254"/>
      <c r="M1011" s="1244"/>
      <c r="N1011" s="1273"/>
      <c r="O1011" s="1244"/>
      <c r="P1011" s="1244"/>
      <c r="Q1011" s="1244"/>
      <c r="R1011" s="1244"/>
      <c r="S1011" s="1265"/>
      <c r="T1011" s="1244"/>
      <c r="U1011" s="1244"/>
    </row>
    <row r="1012">
      <c r="A1012" s="1235"/>
      <c r="B1012" s="1235"/>
      <c r="C1012" s="1246"/>
      <c r="D1012" s="1274"/>
      <c r="E1012" s="1248"/>
      <c r="F1012" s="1248"/>
      <c r="G1012" s="1271"/>
      <c r="H1012" s="1250"/>
      <c r="I1012" s="1251"/>
      <c r="J1012" s="1271"/>
      <c r="K1012" s="1271"/>
      <c r="L1012" s="1254"/>
      <c r="M1012" s="1244"/>
      <c r="N1012" s="1273"/>
      <c r="O1012" s="1244"/>
      <c r="P1012" s="1244"/>
      <c r="Q1012" s="1244"/>
      <c r="R1012" s="1244"/>
      <c r="S1012" s="1265"/>
      <c r="T1012" s="1244"/>
      <c r="U1012" s="1244"/>
    </row>
    <row r="1013">
      <c r="A1013" s="1235"/>
      <c r="B1013" s="1235"/>
      <c r="C1013" s="1246"/>
      <c r="D1013" s="1274"/>
      <c r="E1013" s="1248"/>
      <c r="F1013" s="1248"/>
      <c r="G1013" s="1271"/>
      <c r="H1013" s="1250"/>
      <c r="I1013" s="1251"/>
      <c r="J1013" s="1271"/>
      <c r="K1013" s="1271"/>
      <c r="L1013" s="1254"/>
      <c r="M1013" s="1244"/>
      <c r="N1013" s="1273"/>
      <c r="O1013" s="1244"/>
      <c r="P1013" s="1244"/>
      <c r="Q1013" s="1244"/>
      <c r="R1013" s="1244"/>
      <c r="S1013" s="1265"/>
      <c r="T1013" s="1244"/>
      <c r="U1013" s="1244"/>
    </row>
    <row r="1014">
      <c r="A1014" s="1235"/>
      <c r="B1014" s="1235"/>
      <c r="C1014" s="1246"/>
      <c r="D1014" s="1274"/>
      <c r="E1014" s="1248"/>
      <c r="F1014" s="1248"/>
      <c r="G1014" s="1271"/>
      <c r="H1014" s="1250"/>
      <c r="I1014" s="1251"/>
      <c r="J1014" s="1271"/>
      <c r="K1014" s="1271"/>
      <c r="L1014" s="1254"/>
      <c r="M1014" s="1244"/>
      <c r="N1014" s="1273"/>
      <c r="O1014" s="1244"/>
      <c r="P1014" s="1244"/>
      <c r="Q1014" s="1244"/>
      <c r="R1014" s="1244"/>
      <c r="S1014" s="1265"/>
      <c r="T1014" s="1244"/>
      <c r="U1014" s="1244"/>
    </row>
    <row r="1015">
      <c r="A1015" s="1235"/>
      <c r="B1015" s="1235"/>
      <c r="C1015" s="1246"/>
      <c r="D1015" s="1274"/>
      <c r="E1015" s="1248"/>
      <c r="F1015" s="1248"/>
      <c r="G1015" s="1271"/>
      <c r="H1015" s="1250"/>
      <c r="I1015" s="1251"/>
      <c r="J1015" s="1271"/>
      <c r="K1015" s="1271"/>
      <c r="L1015" s="1254"/>
      <c r="M1015" s="1244"/>
      <c r="N1015" s="1273"/>
      <c r="O1015" s="1244"/>
      <c r="P1015" s="1244"/>
      <c r="Q1015" s="1244"/>
      <c r="R1015" s="1244"/>
      <c r="S1015" s="1265"/>
      <c r="T1015" s="1244"/>
      <c r="U1015" s="1244"/>
    </row>
    <row r="1016">
      <c r="A1016" s="1235"/>
      <c r="B1016" s="1235"/>
      <c r="C1016" s="1246"/>
      <c r="D1016" s="1274"/>
      <c r="E1016" s="1248"/>
      <c r="F1016" s="1248"/>
      <c r="G1016" s="1271"/>
      <c r="H1016" s="1250"/>
      <c r="I1016" s="1251"/>
      <c r="J1016" s="1271"/>
      <c r="K1016" s="1271"/>
      <c r="L1016" s="1254"/>
      <c r="M1016" s="1244"/>
      <c r="N1016" s="1273"/>
      <c r="O1016" s="1244"/>
      <c r="P1016" s="1244"/>
      <c r="Q1016" s="1244"/>
      <c r="R1016" s="1244"/>
      <c r="S1016" s="1265"/>
      <c r="T1016" s="1244"/>
      <c r="U1016" s="1244"/>
    </row>
    <row r="1017">
      <c r="A1017" s="1235"/>
      <c r="B1017" s="1235"/>
      <c r="C1017" s="1246"/>
      <c r="D1017" s="1274"/>
      <c r="E1017" s="1248"/>
      <c r="F1017" s="1248"/>
      <c r="G1017" s="1271"/>
      <c r="H1017" s="1250"/>
      <c r="I1017" s="1251"/>
      <c r="J1017" s="1271"/>
      <c r="K1017" s="1271"/>
      <c r="L1017" s="1254"/>
      <c r="M1017" s="1244"/>
      <c r="N1017" s="1273"/>
      <c r="O1017" s="1244"/>
      <c r="P1017" s="1244"/>
      <c r="Q1017" s="1244"/>
      <c r="R1017" s="1244"/>
      <c r="S1017" s="1265"/>
      <c r="T1017" s="1244"/>
      <c r="U1017" s="1244"/>
    </row>
    <row r="1018">
      <c r="A1018" s="1235"/>
      <c r="B1018" s="1235"/>
      <c r="C1018" s="1246"/>
      <c r="D1018" s="1274"/>
      <c r="E1018" s="1248"/>
      <c r="F1018" s="1248"/>
      <c r="G1018" s="1271"/>
      <c r="H1018" s="1250"/>
      <c r="I1018" s="1251"/>
      <c r="J1018" s="1271"/>
      <c r="K1018" s="1271"/>
      <c r="L1018" s="1254"/>
      <c r="M1018" s="1244"/>
      <c r="N1018" s="1273"/>
      <c r="O1018" s="1244"/>
      <c r="P1018" s="1244"/>
      <c r="Q1018" s="1244"/>
      <c r="R1018" s="1244"/>
      <c r="S1018" s="1265"/>
      <c r="T1018" s="1244"/>
      <c r="U1018" s="1244"/>
    </row>
    <row r="1019">
      <c r="A1019" s="1235"/>
      <c r="B1019" s="1235"/>
      <c r="C1019" s="1246"/>
      <c r="D1019" s="1274"/>
      <c r="E1019" s="1248"/>
      <c r="F1019" s="1248"/>
      <c r="G1019" s="1271"/>
      <c r="H1019" s="1250"/>
      <c r="I1019" s="1251"/>
      <c r="J1019" s="1271"/>
      <c r="K1019" s="1271"/>
      <c r="L1019" s="1254"/>
      <c r="M1019" s="1244"/>
      <c r="N1019" s="1273"/>
      <c r="O1019" s="1244"/>
      <c r="P1019" s="1244"/>
      <c r="Q1019" s="1244"/>
      <c r="R1019" s="1244"/>
      <c r="S1019" s="1265"/>
      <c r="T1019" s="1244"/>
      <c r="U1019" s="1244"/>
    </row>
    <row r="1020">
      <c r="A1020" s="1235"/>
      <c r="B1020" s="1235"/>
      <c r="C1020" s="1246"/>
      <c r="D1020" s="1274"/>
      <c r="E1020" s="1248"/>
      <c r="F1020" s="1248"/>
      <c r="G1020" s="1271"/>
      <c r="H1020" s="1250"/>
      <c r="I1020" s="1251"/>
      <c r="J1020" s="1271"/>
      <c r="K1020" s="1271"/>
      <c r="L1020" s="1254"/>
      <c r="M1020" s="1244"/>
      <c r="N1020" s="1273"/>
      <c r="O1020" s="1244"/>
      <c r="P1020" s="1244"/>
      <c r="Q1020" s="1244"/>
      <c r="R1020" s="1244"/>
      <c r="S1020" s="1265"/>
      <c r="T1020" s="1244"/>
      <c r="U1020" s="1244"/>
    </row>
    <row r="1021">
      <c r="A1021" s="1235"/>
      <c r="B1021" s="1235"/>
      <c r="C1021" s="1246"/>
      <c r="D1021" s="1274"/>
      <c r="E1021" s="1248"/>
      <c r="F1021" s="1248"/>
      <c r="G1021" s="1271"/>
      <c r="H1021" s="1250"/>
      <c r="I1021" s="1251"/>
      <c r="J1021" s="1271"/>
      <c r="K1021" s="1271"/>
      <c r="L1021" s="1254"/>
      <c r="M1021" s="1244"/>
      <c r="N1021" s="1273"/>
      <c r="O1021" s="1244"/>
      <c r="P1021" s="1244"/>
      <c r="Q1021" s="1244"/>
      <c r="R1021" s="1244"/>
      <c r="S1021" s="1265"/>
      <c r="T1021" s="1244"/>
      <c r="U1021" s="1244"/>
    </row>
    <row r="1022">
      <c r="A1022" s="1235"/>
      <c r="B1022" s="1235"/>
      <c r="C1022" s="1246"/>
      <c r="D1022" s="1274"/>
      <c r="E1022" s="1248"/>
      <c r="F1022" s="1248"/>
      <c r="G1022" s="1271"/>
      <c r="H1022" s="1250"/>
      <c r="I1022" s="1251"/>
      <c r="J1022" s="1271"/>
      <c r="K1022" s="1271"/>
      <c r="L1022" s="1254"/>
      <c r="M1022" s="1244"/>
      <c r="N1022" s="1273"/>
      <c r="O1022" s="1244"/>
      <c r="P1022" s="1244"/>
      <c r="Q1022" s="1244"/>
      <c r="R1022" s="1244"/>
      <c r="S1022" s="1265"/>
      <c r="T1022" s="1244"/>
      <c r="U1022" s="1244"/>
    </row>
    <row r="1023">
      <c r="A1023" s="1235"/>
      <c r="B1023" s="1235"/>
      <c r="C1023" s="1246"/>
      <c r="D1023" s="1274"/>
      <c r="E1023" s="1248"/>
      <c r="F1023" s="1248"/>
      <c r="G1023" s="1271"/>
      <c r="H1023" s="1250"/>
      <c r="I1023" s="1251"/>
      <c r="J1023" s="1271"/>
      <c r="K1023" s="1271"/>
      <c r="L1023" s="1254"/>
      <c r="M1023" s="1244"/>
      <c r="N1023" s="1273"/>
      <c r="O1023" s="1244"/>
      <c r="P1023" s="1244"/>
      <c r="Q1023" s="1244"/>
      <c r="R1023" s="1244"/>
      <c r="S1023" s="1265"/>
      <c r="T1023" s="1244"/>
      <c r="U1023" s="1244"/>
    </row>
    <row r="1024">
      <c r="A1024" s="1235"/>
      <c r="B1024" s="1235"/>
      <c r="C1024" s="1246"/>
      <c r="D1024" s="1274"/>
      <c r="E1024" s="1248"/>
      <c r="F1024" s="1248"/>
      <c r="G1024" s="1271"/>
      <c r="H1024" s="1250"/>
      <c r="I1024" s="1251"/>
      <c r="J1024" s="1271"/>
      <c r="K1024" s="1271"/>
      <c r="L1024" s="1254"/>
      <c r="M1024" s="1244"/>
      <c r="N1024" s="1273"/>
      <c r="O1024" s="1244"/>
      <c r="P1024" s="1244"/>
      <c r="Q1024" s="1244"/>
      <c r="R1024" s="1244"/>
      <c r="S1024" s="1265"/>
      <c r="T1024" s="1244"/>
      <c r="U1024" s="1244"/>
    </row>
    <row r="1025">
      <c r="A1025" s="1235"/>
      <c r="B1025" s="1235"/>
      <c r="C1025" s="1246"/>
      <c r="D1025" s="1274"/>
      <c r="E1025" s="1248"/>
      <c r="F1025" s="1248"/>
      <c r="G1025" s="1271"/>
      <c r="H1025" s="1250"/>
      <c r="I1025" s="1251"/>
      <c r="J1025" s="1271"/>
      <c r="K1025" s="1271"/>
      <c r="L1025" s="1254"/>
      <c r="M1025" s="1244"/>
      <c r="N1025" s="1273"/>
      <c r="O1025" s="1244"/>
      <c r="P1025" s="1244"/>
      <c r="Q1025" s="1244"/>
      <c r="R1025" s="1244"/>
      <c r="S1025" s="1265"/>
      <c r="T1025" s="1244"/>
      <c r="U1025" s="1244"/>
    </row>
    <row r="1026">
      <c r="A1026" s="1235"/>
      <c r="B1026" s="1235"/>
      <c r="C1026" s="1246"/>
      <c r="D1026" s="1274"/>
      <c r="E1026" s="1248"/>
      <c r="F1026" s="1248"/>
      <c r="G1026" s="1271"/>
      <c r="H1026" s="1250"/>
      <c r="I1026" s="1251"/>
      <c r="J1026" s="1271"/>
      <c r="K1026" s="1271"/>
      <c r="L1026" s="1254"/>
      <c r="M1026" s="1244"/>
      <c r="N1026" s="1273"/>
      <c r="O1026" s="1244"/>
      <c r="P1026" s="1244"/>
      <c r="Q1026" s="1244"/>
      <c r="R1026" s="1244"/>
      <c r="S1026" s="1265"/>
      <c r="T1026" s="1244"/>
      <c r="U1026" s="1244"/>
    </row>
    <row r="1027">
      <c r="A1027" s="1235"/>
      <c r="B1027" s="1235"/>
      <c r="C1027" s="1246"/>
      <c r="D1027" s="1274"/>
      <c r="E1027" s="1248"/>
      <c r="F1027" s="1248"/>
      <c r="G1027" s="1271"/>
      <c r="H1027" s="1250"/>
      <c r="I1027" s="1251"/>
      <c r="J1027" s="1271"/>
      <c r="K1027" s="1271"/>
      <c r="L1027" s="1254"/>
      <c r="M1027" s="1244"/>
      <c r="N1027" s="1273"/>
      <c r="O1027" s="1244"/>
      <c r="P1027" s="1244"/>
      <c r="Q1027" s="1244"/>
      <c r="R1027" s="1244"/>
      <c r="S1027" s="1265"/>
      <c r="T1027" s="1244"/>
      <c r="U1027" s="1244"/>
    </row>
    <row r="1028">
      <c r="A1028" s="1235"/>
      <c r="B1028" s="1235"/>
      <c r="C1028" s="1246"/>
      <c r="D1028" s="1274"/>
      <c r="E1028" s="1248"/>
      <c r="F1028" s="1248"/>
      <c r="G1028" s="1271"/>
      <c r="H1028" s="1250"/>
      <c r="I1028" s="1251"/>
      <c r="J1028" s="1271"/>
      <c r="K1028" s="1271"/>
      <c r="L1028" s="1254"/>
      <c r="M1028" s="1244"/>
      <c r="N1028" s="1273"/>
      <c r="O1028" s="1244"/>
      <c r="P1028" s="1244"/>
      <c r="Q1028" s="1244"/>
      <c r="R1028" s="1244"/>
      <c r="S1028" s="1265"/>
      <c r="T1028" s="1244"/>
      <c r="U1028" s="1244"/>
    </row>
    <row r="1029">
      <c r="A1029" s="1235"/>
      <c r="B1029" s="1235"/>
      <c r="C1029" s="1246"/>
      <c r="D1029" s="1274"/>
      <c r="E1029" s="1248"/>
      <c r="F1029" s="1248"/>
      <c r="G1029" s="1271"/>
      <c r="H1029" s="1250"/>
      <c r="I1029" s="1251"/>
      <c r="J1029" s="1271"/>
      <c r="K1029" s="1271"/>
      <c r="L1029" s="1254"/>
      <c r="M1029" s="1244"/>
      <c r="N1029" s="1273"/>
      <c r="O1029" s="1244"/>
      <c r="P1029" s="1244"/>
      <c r="Q1029" s="1244"/>
      <c r="R1029" s="1244"/>
      <c r="S1029" s="1265"/>
      <c r="T1029" s="1244"/>
      <c r="U1029" s="1244"/>
    </row>
    <row r="1030">
      <c r="A1030" s="1235"/>
      <c r="B1030" s="1235"/>
      <c r="C1030" s="1246"/>
      <c r="D1030" s="1274"/>
      <c r="E1030" s="1248"/>
      <c r="F1030" s="1248"/>
      <c r="G1030" s="1271"/>
      <c r="H1030" s="1250"/>
      <c r="I1030" s="1251"/>
      <c r="J1030" s="1271"/>
      <c r="K1030" s="1271"/>
      <c r="L1030" s="1254"/>
      <c r="M1030" s="1244"/>
      <c r="N1030" s="1273"/>
      <c r="O1030" s="1244"/>
      <c r="P1030" s="1244"/>
      <c r="Q1030" s="1244"/>
      <c r="R1030" s="1244"/>
      <c r="S1030" s="1265"/>
      <c r="T1030" s="1244"/>
      <c r="U1030" s="1244"/>
    </row>
    <row r="1031">
      <c r="A1031" s="1235"/>
      <c r="B1031" s="1235"/>
      <c r="C1031" s="1246"/>
      <c r="D1031" s="1274"/>
      <c r="E1031" s="1248"/>
      <c r="F1031" s="1248"/>
      <c r="G1031" s="1271"/>
      <c r="H1031" s="1250"/>
      <c r="I1031" s="1251"/>
      <c r="J1031" s="1271"/>
      <c r="K1031" s="1271"/>
      <c r="L1031" s="1254"/>
      <c r="M1031" s="1244"/>
      <c r="N1031" s="1273"/>
      <c r="O1031" s="1244"/>
      <c r="P1031" s="1244"/>
      <c r="Q1031" s="1244"/>
      <c r="R1031" s="1244"/>
      <c r="S1031" s="1265"/>
      <c r="T1031" s="1244"/>
      <c r="U1031" s="1244"/>
    </row>
    <row r="1032">
      <c r="A1032" s="1235"/>
      <c r="B1032" s="1235"/>
      <c r="C1032" s="1246"/>
      <c r="D1032" s="1274"/>
      <c r="E1032" s="1248"/>
      <c r="F1032" s="1248"/>
      <c r="G1032" s="1271"/>
      <c r="H1032" s="1250"/>
      <c r="I1032" s="1251"/>
      <c r="J1032" s="1271"/>
      <c r="K1032" s="1271"/>
      <c r="L1032" s="1254"/>
      <c r="M1032" s="1244"/>
      <c r="N1032" s="1273"/>
      <c r="O1032" s="1244"/>
      <c r="P1032" s="1244"/>
      <c r="Q1032" s="1244"/>
      <c r="R1032" s="1244"/>
      <c r="S1032" s="1265"/>
      <c r="T1032" s="1244"/>
      <c r="U1032" s="1244"/>
    </row>
    <row r="1033">
      <c r="A1033" s="1235"/>
      <c r="B1033" s="1235"/>
      <c r="C1033" s="1246"/>
      <c r="D1033" s="1274"/>
      <c r="E1033" s="1248"/>
      <c r="F1033" s="1248"/>
      <c r="G1033" s="1271"/>
      <c r="H1033" s="1250"/>
      <c r="I1033" s="1251"/>
      <c r="J1033" s="1271"/>
      <c r="K1033" s="1271"/>
      <c r="L1033" s="1254"/>
      <c r="M1033" s="1244"/>
      <c r="N1033" s="1273"/>
      <c r="O1033" s="1244"/>
      <c r="P1033" s="1244"/>
      <c r="Q1033" s="1244"/>
      <c r="R1033" s="1244"/>
      <c r="S1033" s="1265"/>
      <c r="T1033" s="1244"/>
      <c r="U1033" s="1244"/>
    </row>
    <row r="1034">
      <c r="A1034" s="1235"/>
      <c r="B1034" s="1235"/>
      <c r="C1034" s="1246"/>
      <c r="D1034" s="1274"/>
      <c r="E1034" s="1248"/>
      <c r="F1034" s="1248"/>
      <c r="G1034" s="1271"/>
      <c r="H1034" s="1250"/>
      <c r="I1034" s="1251"/>
      <c r="J1034" s="1271"/>
      <c r="K1034" s="1271"/>
      <c r="L1034" s="1254"/>
      <c r="M1034" s="1244"/>
      <c r="N1034" s="1273"/>
      <c r="O1034" s="1244"/>
      <c r="P1034" s="1244"/>
      <c r="Q1034" s="1244"/>
      <c r="R1034" s="1244"/>
      <c r="S1034" s="1265"/>
      <c r="T1034" s="1244"/>
      <c r="U1034" s="1244"/>
    </row>
    <row r="1035">
      <c r="A1035" s="1235"/>
      <c r="B1035" s="1235"/>
      <c r="C1035" s="1246"/>
      <c r="D1035" s="1274"/>
      <c r="E1035" s="1248"/>
      <c r="F1035" s="1248"/>
      <c r="G1035" s="1271"/>
      <c r="H1035" s="1250"/>
      <c r="I1035" s="1251"/>
      <c r="J1035" s="1271"/>
      <c r="K1035" s="1271"/>
      <c r="L1035" s="1254"/>
      <c r="M1035" s="1244"/>
      <c r="N1035" s="1273"/>
      <c r="O1035" s="1244"/>
      <c r="P1035" s="1244"/>
      <c r="Q1035" s="1244"/>
      <c r="R1035" s="1244"/>
      <c r="S1035" s="1265"/>
      <c r="T1035" s="1244"/>
      <c r="U1035" s="1244"/>
    </row>
    <row r="1036">
      <c r="A1036" s="1235"/>
      <c r="B1036" s="1235"/>
      <c r="C1036" s="1246"/>
      <c r="D1036" s="1274"/>
      <c r="E1036" s="1248"/>
      <c r="F1036" s="1248"/>
      <c r="G1036" s="1271"/>
      <c r="H1036" s="1250"/>
      <c r="I1036" s="1251"/>
      <c r="J1036" s="1271"/>
      <c r="K1036" s="1271"/>
      <c r="L1036" s="1254"/>
      <c r="M1036" s="1244"/>
      <c r="N1036" s="1273"/>
      <c r="O1036" s="1244"/>
      <c r="P1036" s="1244"/>
      <c r="Q1036" s="1244"/>
      <c r="R1036" s="1244"/>
      <c r="S1036" s="1265"/>
      <c r="T1036" s="1244"/>
      <c r="U1036" s="1244"/>
    </row>
    <row r="1037">
      <c r="A1037" s="1235"/>
      <c r="B1037" s="1235"/>
      <c r="C1037" s="1246"/>
      <c r="D1037" s="1274"/>
      <c r="E1037" s="1248"/>
      <c r="F1037" s="1248"/>
      <c r="G1037" s="1271"/>
      <c r="H1037" s="1250"/>
      <c r="I1037" s="1251"/>
      <c r="J1037" s="1271"/>
      <c r="K1037" s="1271"/>
      <c r="L1037" s="1254"/>
      <c r="M1037" s="1244"/>
      <c r="N1037" s="1273"/>
      <c r="O1037" s="1244"/>
      <c r="P1037" s="1244"/>
      <c r="Q1037" s="1244"/>
      <c r="R1037" s="1244"/>
      <c r="S1037" s="1265"/>
      <c r="T1037" s="1244"/>
      <c r="U1037" s="1244"/>
    </row>
    <row r="1038">
      <c r="A1038" s="1235"/>
      <c r="B1038" s="1235"/>
      <c r="C1038" s="1246"/>
      <c r="D1038" s="1274"/>
      <c r="E1038" s="1248"/>
      <c r="F1038" s="1248"/>
      <c r="G1038" s="1271"/>
      <c r="H1038" s="1250"/>
      <c r="I1038" s="1251"/>
      <c r="J1038" s="1271"/>
      <c r="K1038" s="1271"/>
      <c r="L1038" s="1254"/>
      <c r="M1038" s="1244"/>
      <c r="N1038" s="1273"/>
      <c r="O1038" s="1244"/>
      <c r="P1038" s="1244"/>
      <c r="Q1038" s="1244"/>
      <c r="R1038" s="1244"/>
      <c r="S1038" s="1265"/>
      <c r="T1038" s="1244"/>
      <c r="U1038" s="1244"/>
    </row>
    <row r="1039">
      <c r="A1039" s="1235"/>
      <c r="B1039" s="1235"/>
      <c r="C1039" s="1246"/>
      <c r="D1039" s="1274"/>
      <c r="E1039" s="1248"/>
      <c r="F1039" s="1248"/>
      <c r="G1039" s="1271"/>
      <c r="H1039" s="1250"/>
      <c r="I1039" s="1251"/>
      <c r="J1039" s="1271"/>
      <c r="K1039" s="1271"/>
      <c r="L1039" s="1254"/>
      <c r="M1039" s="1244"/>
      <c r="N1039" s="1273"/>
      <c r="O1039" s="1244"/>
      <c r="P1039" s="1244"/>
      <c r="Q1039" s="1244"/>
      <c r="R1039" s="1244"/>
      <c r="S1039" s="1265"/>
      <c r="T1039" s="1244"/>
      <c r="U1039" s="1244"/>
    </row>
    <row r="1040">
      <c r="A1040" s="1235"/>
      <c r="B1040" s="1235"/>
      <c r="C1040" s="1246"/>
      <c r="D1040" s="1274"/>
      <c r="E1040" s="1248"/>
      <c r="F1040" s="1248"/>
      <c r="G1040" s="1271"/>
      <c r="H1040" s="1250"/>
      <c r="I1040" s="1251"/>
      <c r="J1040" s="1271"/>
      <c r="K1040" s="1271"/>
      <c r="L1040" s="1254"/>
      <c r="M1040" s="1244"/>
      <c r="N1040" s="1273"/>
      <c r="O1040" s="1244"/>
      <c r="P1040" s="1244"/>
      <c r="Q1040" s="1244"/>
      <c r="R1040" s="1244"/>
      <c r="S1040" s="1265"/>
      <c r="T1040" s="1244"/>
      <c r="U1040" s="1244"/>
    </row>
    <row r="1041">
      <c r="A1041" s="1235"/>
      <c r="B1041" s="1235"/>
      <c r="C1041" s="1246"/>
      <c r="D1041" s="1274"/>
      <c r="E1041" s="1248"/>
      <c r="F1041" s="1248"/>
      <c r="G1041" s="1271"/>
      <c r="H1041" s="1250"/>
      <c r="I1041" s="1251"/>
      <c r="J1041" s="1271"/>
      <c r="K1041" s="1271"/>
      <c r="L1041" s="1254"/>
      <c r="M1041" s="1244"/>
      <c r="N1041" s="1273"/>
      <c r="O1041" s="1244"/>
      <c r="P1041" s="1244"/>
      <c r="Q1041" s="1244"/>
      <c r="R1041" s="1244"/>
      <c r="S1041" s="1265"/>
      <c r="T1041" s="1244"/>
      <c r="U1041" s="1244"/>
    </row>
    <row r="1042">
      <c r="A1042" s="1235"/>
      <c r="B1042" s="1235"/>
      <c r="C1042" s="1246"/>
      <c r="D1042" s="1274"/>
      <c r="E1042" s="1248"/>
      <c r="F1042" s="1248"/>
      <c r="G1042" s="1271"/>
      <c r="H1042" s="1250"/>
      <c r="I1042" s="1251"/>
      <c r="J1042" s="1271"/>
      <c r="K1042" s="1271"/>
      <c r="L1042" s="1254"/>
      <c r="M1042" s="1244"/>
      <c r="N1042" s="1273"/>
      <c r="O1042" s="1244"/>
      <c r="P1042" s="1244"/>
      <c r="Q1042" s="1244"/>
      <c r="R1042" s="1244"/>
      <c r="S1042" s="1265"/>
      <c r="T1042" s="1244"/>
      <c r="U1042" s="1244"/>
    </row>
    <row r="1043">
      <c r="A1043" s="1235"/>
      <c r="B1043" s="1235"/>
      <c r="C1043" s="1246"/>
      <c r="D1043" s="1274"/>
      <c r="E1043" s="1248"/>
      <c r="F1043" s="1248"/>
      <c r="G1043" s="1271"/>
      <c r="H1043" s="1250"/>
      <c r="I1043" s="1251"/>
      <c r="J1043" s="1271"/>
      <c r="K1043" s="1271"/>
      <c r="L1043" s="1254"/>
      <c r="M1043" s="1244"/>
      <c r="N1043" s="1273"/>
      <c r="O1043" s="1244"/>
      <c r="P1043" s="1244"/>
      <c r="Q1043" s="1244"/>
      <c r="R1043" s="1244"/>
      <c r="S1043" s="1265"/>
      <c r="T1043" s="1244"/>
      <c r="U1043" s="1244"/>
    </row>
    <row r="1044">
      <c r="A1044" s="1235"/>
      <c r="B1044" s="1235"/>
      <c r="C1044" s="1246"/>
      <c r="D1044" s="1274"/>
      <c r="E1044" s="1248"/>
      <c r="F1044" s="1248"/>
      <c r="G1044" s="1271"/>
      <c r="H1044" s="1250"/>
      <c r="I1044" s="1251"/>
      <c r="J1044" s="1271"/>
      <c r="K1044" s="1271"/>
      <c r="L1044" s="1254"/>
      <c r="M1044" s="1244"/>
      <c r="N1044" s="1273"/>
      <c r="O1044" s="1244"/>
      <c r="P1044" s="1244"/>
      <c r="Q1044" s="1244"/>
      <c r="R1044" s="1244"/>
      <c r="S1044" s="1265"/>
      <c r="T1044" s="1244"/>
      <c r="U1044" s="1244"/>
    </row>
    <row r="1045">
      <c r="A1045" s="1235"/>
      <c r="B1045" s="1235"/>
      <c r="C1045" s="1246"/>
      <c r="D1045" s="1274"/>
      <c r="E1045" s="1248"/>
      <c r="F1045" s="1248"/>
      <c r="G1045" s="1271"/>
      <c r="H1045" s="1250"/>
      <c r="I1045" s="1251"/>
      <c r="J1045" s="1271"/>
      <c r="K1045" s="1271"/>
      <c r="L1045" s="1254"/>
      <c r="M1045" s="1244"/>
      <c r="N1045" s="1273"/>
      <c r="O1045" s="1244"/>
      <c r="P1045" s="1244"/>
      <c r="Q1045" s="1244"/>
      <c r="R1045" s="1244"/>
      <c r="S1045" s="1265"/>
      <c r="T1045" s="1244"/>
      <c r="U1045" s="1244"/>
    </row>
    <row r="1046">
      <c r="A1046" s="1235"/>
      <c r="B1046" s="1235"/>
      <c r="C1046" s="1246"/>
      <c r="D1046" s="1274"/>
      <c r="E1046" s="1248"/>
      <c r="F1046" s="1248"/>
      <c r="G1046" s="1271"/>
      <c r="H1046" s="1250"/>
      <c r="I1046" s="1251"/>
      <c r="J1046" s="1271"/>
      <c r="K1046" s="1271"/>
      <c r="L1046" s="1254"/>
      <c r="M1046" s="1244"/>
      <c r="N1046" s="1273"/>
      <c r="O1046" s="1244"/>
      <c r="P1046" s="1244"/>
      <c r="Q1046" s="1244"/>
      <c r="R1046" s="1244"/>
      <c r="S1046" s="1265"/>
      <c r="T1046" s="1244"/>
      <c r="U1046" s="1244"/>
    </row>
    <row r="1047">
      <c r="A1047" s="1235"/>
      <c r="B1047" s="1235"/>
      <c r="C1047" s="1246"/>
      <c r="D1047" s="1274"/>
      <c r="E1047" s="1248"/>
      <c r="F1047" s="1248"/>
      <c r="G1047" s="1271"/>
      <c r="H1047" s="1250"/>
      <c r="I1047" s="1251"/>
      <c r="J1047" s="1271"/>
      <c r="K1047" s="1271"/>
      <c r="L1047" s="1254"/>
      <c r="M1047" s="1244"/>
      <c r="N1047" s="1273"/>
      <c r="O1047" s="1244"/>
      <c r="P1047" s="1244"/>
      <c r="Q1047" s="1244"/>
      <c r="R1047" s="1244"/>
      <c r="S1047" s="1265"/>
      <c r="T1047" s="1244"/>
      <c r="U1047" s="1244"/>
    </row>
    <row r="1048">
      <c r="A1048" s="1235"/>
      <c r="B1048" s="1235"/>
      <c r="C1048" s="1246"/>
      <c r="D1048" s="1274"/>
      <c r="E1048" s="1248"/>
      <c r="F1048" s="1248"/>
      <c r="G1048" s="1271"/>
      <c r="H1048" s="1250"/>
      <c r="I1048" s="1251"/>
      <c r="J1048" s="1271"/>
      <c r="K1048" s="1271"/>
      <c r="L1048" s="1254"/>
      <c r="M1048" s="1244"/>
      <c r="N1048" s="1273"/>
      <c r="O1048" s="1244"/>
      <c r="P1048" s="1244"/>
      <c r="Q1048" s="1244"/>
      <c r="R1048" s="1244"/>
      <c r="S1048" s="1265"/>
      <c r="T1048" s="1244"/>
      <c r="U1048" s="1244"/>
    </row>
    <row r="1049">
      <c r="A1049" s="1235"/>
      <c r="B1049" s="1235"/>
      <c r="C1049" s="1246"/>
      <c r="D1049" s="1274"/>
      <c r="E1049" s="1248"/>
      <c r="F1049" s="1248"/>
      <c r="G1049" s="1271"/>
      <c r="H1049" s="1250"/>
      <c r="I1049" s="1251"/>
      <c r="J1049" s="1271"/>
      <c r="K1049" s="1271"/>
      <c r="L1049" s="1254"/>
      <c r="M1049" s="1244"/>
      <c r="N1049" s="1273"/>
      <c r="O1049" s="1244"/>
      <c r="P1049" s="1244"/>
      <c r="Q1049" s="1244"/>
      <c r="R1049" s="1244"/>
      <c r="S1049" s="1265"/>
      <c r="T1049" s="1244"/>
      <c r="U1049" s="1244"/>
    </row>
    <row r="1050">
      <c r="A1050" s="1235"/>
      <c r="B1050" s="1235"/>
      <c r="C1050" s="1246"/>
      <c r="D1050" s="1274"/>
      <c r="E1050" s="1248"/>
      <c r="F1050" s="1248"/>
      <c r="G1050" s="1271"/>
      <c r="H1050" s="1250"/>
      <c r="I1050" s="1251"/>
      <c r="J1050" s="1271"/>
      <c r="K1050" s="1271"/>
      <c r="L1050" s="1254"/>
      <c r="M1050" s="1244"/>
      <c r="N1050" s="1273"/>
      <c r="O1050" s="1244"/>
      <c r="P1050" s="1244"/>
      <c r="Q1050" s="1244"/>
      <c r="R1050" s="1244"/>
      <c r="S1050" s="1265"/>
      <c r="T1050" s="1244"/>
      <c r="U1050" s="1244"/>
    </row>
    <row r="1051">
      <c r="A1051" s="1235"/>
      <c r="B1051" s="1235"/>
      <c r="C1051" s="1246"/>
      <c r="D1051" s="1274"/>
      <c r="E1051" s="1248"/>
      <c r="F1051" s="1248"/>
      <c r="G1051" s="1271"/>
      <c r="H1051" s="1250"/>
      <c r="I1051" s="1251"/>
      <c r="J1051" s="1271"/>
      <c r="K1051" s="1271"/>
      <c r="L1051" s="1254"/>
      <c r="M1051" s="1244"/>
      <c r="N1051" s="1273"/>
      <c r="O1051" s="1244"/>
      <c r="P1051" s="1244"/>
      <c r="Q1051" s="1244"/>
      <c r="R1051" s="1244"/>
      <c r="S1051" s="1265"/>
      <c r="T1051" s="1244"/>
      <c r="U1051" s="1244"/>
    </row>
    <row r="1052">
      <c r="A1052" s="1235"/>
      <c r="B1052" s="1235"/>
      <c r="C1052" s="1246"/>
      <c r="D1052" s="1274"/>
      <c r="E1052" s="1248"/>
      <c r="F1052" s="1248"/>
      <c r="G1052" s="1271"/>
      <c r="H1052" s="1250"/>
      <c r="I1052" s="1251"/>
      <c r="J1052" s="1271"/>
      <c r="K1052" s="1271"/>
      <c r="L1052" s="1254"/>
      <c r="M1052" s="1244"/>
      <c r="N1052" s="1273"/>
      <c r="O1052" s="1244"/>
      <c r="P1052" s="1244"/>
      <c r="Q1052" s="1244"/>
      <c r="R1052" s="1244"/>
      <c r="S1052" s="1265"/>
      <c r="T1052" s="1244"/>
      <c r="U1052" s="1244"/>
    </row>
    <row r="1053">
      <c r="A1053" s="1235"/>
      <c r="B1053" s="1235"/>
      <c r="C1053" s="1246"/>
      <c r="D1053" s="1274"/>
      <c r="E1053" s="1248"/>
      <c r="F1053" s="1248"/>
      <c r="G1053" s="1271"/>
      <c r="H1053" s="1250"/>
      <c r="I1053" s="1251"/>
      <c r="J1053" s="1271"/>
      <c r="K1053" s="1271"/>
      <c r="L1053" s="1254"/>
      <c r="M1053" s="1244"/>
      <c r="N1053" s="1273"/>
      <c r="O1053" s="1244"/>
      <c r="P1053" s="1244"/>
      <c r="Q1053" s="1244"/>
      <c r="R1053" s="1244"/>
      <c r="S1053" s="1265"/>
      <c r="T1053" s="1244"/>
      <c r="U1053" s="1244"/>
    </row>
    <row r="1054">
      <c r="A1054" s="1235"/>
      <c r="B1054" s="1235"/>
      <c r="C1054" s="1246"/>
      <c r="D1054" s="1274"/>
      <c r="E1054" s="1248"/>
      <c r="F1054" s="1248"/>
      <c r="G1054" s="1271"/>
      <c r="H1054" s="1250"/>
      <c r="I1054" s="1251"/>
      <c r="J1054" s="1271"/>
      <c r="K1054" s="1271"/>
      <c r="L1054" s="1254"/>
      <c r="M1054" s="1244"/>
      <c r="N1054" s="1273"/>
      <c r="O1054" s="1244"/>
      <c r="P1054" s="1244"/>
      <c r="Q1054" s="1244"/>
      <c r="R1054" s="1244"/>
      <c r="S1054" s="1265"/>
      <c r="T1054" s="1244"/>
      <c r="U1054" s="1244"/>
    </row>
    <row r="1055">
      <c r="A1055" s="1235"/>
      <c r="B1055" s="1235"/>
      <c r="C1055" s="1246"/>
      <c r="D1055" s="1274"/>
      <c r="E1055" s="1248"/>
      <c r="F1055" s="1248"/>
      <c r="G1055" s="1271"/>
      <c r="H1055" s="1250"/>
      <c r="I1055" s="1251"/>
      <c r="J1055" s="1271"/>
      <c r="K1055" s="1271"/>
      <c r="L1055" s="1254"/>
      <c r="M1055" s="1244"/>
      <c r="N1055" s="1273"/>
      <c r="O1055" s="1244"/>
      <c r="P1055" s="1244"/>
      <c r="Q1055" s="1244"/>
      <c r="R1055" s="1244"/>
      <c r="S1055" s="1265"/>
      <c r="T1055" s="1244"/>
      <c r="U1055" s="1244"/>
    </row>
    <row r="1056">
      <c r="A1056" s="1235"/>
      <c r="B1056" s="1235"/>
      <c r="C1056" s="1246"/>
      <c r="D1056" s="1274"/>
      <c r="E1056" s="1248"/>
      <c r="F1056" s="1248"/>
      <c r="G1056" s="1271"/>
      <c r="H1056" s="1250"/>
      <c r="I1056" s="1251"/>
      <c r="J1056" s="1271"/>
      <c r="K1056" s="1271"/>
      <c r="L1056" s="1254"/>
      <c r="M1056" s="1244"/>
      <c r="N1056" s="1273"/>
      <c r="O1056" s="1244"/>
      <c r="P1056" s="1244"/>
      <c r="Q1056" s="1244"/>
      <c r="R1056" s="1244"/>
      <c r="S1056" s="1265"/>
      <c r="T1056" s="1244"/>
      <c r="U1056" s="1244"/>
    </row>
    <row r="1057">
      <c r="A1057" s="1235"/>
      <c r="B1057" s="1235"/>
      <c r="C1057" s="1246"/>
      <c r="D1057" s="1274"/>
      <c r="E1057" s="1248"/>
      <c r="F1057" s="1248"/>
      <c r="G1057" s="1271"/>
      <c r="H1057" s="1250"/>
      <c r="I1057" s="1251"/>
      <c r="J1057" s="1271"/>
      <c r="K1057" s="1271"/>
      <c r="L1057" s="1254"/>
      <c r="M1057" s="1244"/>
      <c r="N1057" s="1273"/>
      <c r="O1057" s="1244"/>
      <c r="P1057" s="1244"/>
      <c r="Q1057" s="1244"/>
      <c r="R1057" s="1244"/>
      <c r="S1057" s="1265"/>
      <c r="T1057" s="1244"/>
      <c r="U1057" s="1244"/>
    </row>
    <row r="1058">
      <c r="A1058" s="1235"/>
      <c r="B1058" s="1235"/>
      <c r="C1058" s="1246"/>
      <c r="D1058" s="1274"/>
      <c r="E1058" s="1248"/>
      <c r="F1058" s="1248"/>
      <c r="G1058" s="1271"/>
      <c r="H1058" s="1250"/>
      <c r="I1058" s="1251"/>
      <c r="J1058" s="1271"/>
      <c r="K1058" s="1271"/>
      <c r="L1058" s="1254"/>
      <c r="M1058" s="1244"/>
      <c r="N1058" s="1273"/>
      <c r="O1058" s="1244"/>
      <c r="P1058" s="1244"/>
      <c r="Q1058" s="1244"/>
      <c r="R1058" s="1244"/>
      <c r="S1058" s="1265"/>
      <c r="T1058" s="1244"/>
      <c r="U1058" s="1244"/>
    </row>
    <row r="1059">
      <c r="A1059" s="1235"/>
      <c r="B1059" s="1235"/>
      <c r="C1059" s="1246"/>
      <c r="D1059" s="1274"/>
      <c r="E1059" s="1248"/>
      <c r="F1059" s="1248"/>
      <c r="G1059" s="1271"/>
      <c r="H1059" s="1250"/>
      <c r="I1059" s="1251"/>
      <c r="J1059" s="1271"/>
      <c r="K1059" s="1271"/>
      <c r="L1059" s="1254"/>
      <c r="M1059" s="1244"/>
      <c r="N1059" s="1273"/>
      <c r="O1059" s="1244"/>
      <c r="P1059" s="1244"/>
      <c r="Q1059" s="1244"/>
      <c r="R1059" s="1244"/>
      <c r="S1059" s="1265"/>
      <c r="T1059" s="1244"/>
      <c r="U1059" s="1244"/>
    </row>
    <row r="1060">
      <c r="A1060" s="1235"/>
      <c r="B1060" s="1235"/>
      <c r="C1060" s="1246"/>
      <c r="D1060" s="1274"/>
      <c r="E1060" s="1248"/>
      <c r="F1060" s="1248"/>
      <c r="G1060" s="1271"/>
      <c r="H1060" s="1250"/>
      <c r="I1060" s="1251"/>
      <c r="J1060" s="1271"/>
      <c r="K1060" s="1271"/>
      <c r="L1060" s="1254"/>
      <c r="M1060" s="1244"/>
      <c r="N1060" s="1273"/>
      <c r="O1060" s="1244"/>
      <c r="P1060" s="1244"/>
      <c r="Q1060" s="1244"/>
      <c r="R1060" s="1244"/>
      <c r="S1060" s="1265"/>
      <c r="T1060" s="1244"/>
      <c r="U1060" s="1244"/>
    </row>
    <row r="1061">
      <c r="A1061" s="1235"/>
      <c r="B1061" s="1235"/>
      <c r="C1061" s="1246"/>
      <c r="D1061" s="1274"/>
      <c r="E1061" s="1248"/>
      <c r="F1061" s="1248"/>
      <c r="G1061" s="1271"/>
      <c r="H1061" s="1250"/>
      <c r="I1061" s="1251"/>
      <c r="J1061" s="1271"/>
      <c r="K1061" s="1271"/>
      <c r="L1061" s="1254"/>
      <c r="M1061" s="1244"/>
      <c r="N1061" s="1273"/>
      <c r="O1061" s="1244"/>
      <c r="P1061" s="1244"/>
      <c r="Q1061" s="1244"/>
      <c r="R1061" s="1244"/>
      <c r="S1061" s="1265"/>
      <c r="T1061" s="1244"/>
      <c r="U1061" s="1244"/>
    </row>
    <row r="1062">
      <c r="A1062" s="1235"/>
      <c r="B1062" s="1235"/>
      <c r="C1062" s="1246"/>
      <c r="D1062" s="1274"/>
      <c r="E1062" s="1248"/>
      <c r="F1062" s="1248"/>
      <c r="G1062" s="1271"/>
      <c r="H1062" s="1250"/>
      <c r="I1062" s="1251"/>
      <c r="J1062" s="1271"/>
      <c r="K1062" s="1271"/>
      <c r="L1062" s="1254"/>
      <c r="M1062" s="1244"/>
      <c r="N1062" s="1273"/>
      <c r="O1062" s="1244"/>
      <c r="P1062" s="1244"/>
      <c r="Q1062" s="1244"/>
      <c r="R1062" s="1244"/>
      <c r="S1062" s="1265"/>
      <c r="T1062" s="1244"/>
      <c r="U1062" s="1244"/>
    </row>
    <row r="1063">
      <c r="A1063" s="1235"/>
      <c r="B1063" s="1235"/>
      <c r="C1063" s="1246"/>
      <c r="D1063" s="1274"/>
      <c r="E1063" s="1248"/>
      <c r="F1063" s="1248"/>
      <c r="G1063" s="1271"/>
      <c r="H1063" s="1250"/>
      <c r="I1063" s="1251"/>
      <c r="J1063" s="1271"/>
      <c r="K1063" s="1271"/>
      <c r="L1063" s="1254"/>
      <c r="M1063" s="1244"/>
      <c r="N1063" s="1273"/>
      <c r="O1063" s="1244"/>
      <c r="P1063" s="1244"/>
      <c r="Q1063" s="1244"/>
      <c r="R1063" s="1244"/>
      <c r="S1063" s="1265"/>
      <c r="T1063" s="1244"/>
      <c r="U1063" s="1244"/>
    </row>
    <row r="1064">
      <c r="A1064" s="1235"/>
      <c r="B1064" s="1235"/>
      <c r="C1064" s="1246"/>
      <c r="D1064" s="1274"/>
      <c r="E1064" s="1248"/>
      <c r="F1064" s="1248"/>
      <c r="G1064" s="1271"/>
      <c r="H1064" s="1250"/>
      <c r="I1064" s="1251"/>
      <c r="J1064" s="1271"/>
      <c r="K1064" s="1271"/>
      <c r="L1064" s="1254"/>
      <c r="M1064" s="1244"/>
      <c r="N1064" s="1273"/>
      <c r="O1064" s="1244"/>
      <c r="P1064" s="1244"/>
      <c r="Q1064" s="1244"/>
      <c r="R1064" s="1244"/>
      <c r="S1064" s="1265"/>
      <c r="T1064" s="1244"/>
      <c r="U1064" s="1244"/>
    </row>
    <row r="1065">
      <c r="A1065" s="1235"/>
      <c r="B1065" s="1235"/>
      <c r="C1065" s="1246"/>
      <c r="D1065" s="1274"/>
      <c r="E1065" s="1248"/>
      <c r="F1065" s="1248"/>
      <c r="G1065" s="1271"/>
      <c r="H1065" s="1250"/>
      <c r="I1065" s="1251"/>
      <c r="J1065" s="1271"/>
      <c r="K1065" s="1271"/>
      <c r="L1065" s="1254"/>
      <c r="M1065" s="1244"/>
      <c r="N1065" s="1273"/>
      <c r="O1065" s="1244"/>
      <c r="P1065" s="1244"/>
      <c r="Q1065" s="1244"/>
      <c r="R1065" s="1244"/>
      <c r="S1065" s="1265"/>
      <c r="T1065" s="1244"/>
      <c r="U1065" s="1244"/>
    </row>
    <row r="1066">
      <c r="A1066" s="1235"/>
      <c r="B1066" s="1235"/>
      <c r="C1066" s="1246"/>
      <c r="D1066" s="1274"/>
      <c r="E1066" s="1248"/>
      <c r="F1066" s="1248"/>
      <c r="G1066" s="1271"/>
      <c r="H1066" s="1250"/>
      <c r="I1066" s="1251"/>
      <c r="J1066" s="1271"/>
      <c r="K1066" s="1271"/>
      <c r="L1066" s="1254"/>
      <c r="M1066" s="1244"/>
      <c r="N1066" s="1273"/>
      <c r="O1066" s="1244"/>
      <c r="P1066" s="1244"/>
      <c r="Q1066" s="1244"/>
      <c r="R1066" s="1244"/>
      <c r="S1066" s="1265"/>
      <c r="T1066" s="1244"/>
      <c r="U1066" s="1244"/>
    </row>
    <row r="1067">
      <c r="A1067" s="1235"/>
      <c r="B1067" s="1235"/>
      <c r="C1067" s="1246"/>
      <c r="D1067" s="1274"/>
      <c r="E1067" s="1248"/>
      <c r="F1067" s="1248"/>
      <c r="G1067" s="1271"/>
      <c r="H1067" s="1250"/>
      <c r="I1067" s="1251"/>
      <c r="J1067" s="1271"/>
      <c r="K1067" s="1271"/>
      <c r="L1067" s="1254"/>
      <c r="M1067" s="1244"/>
      <c r="N1067" s="1273"/>
      <c r="O1067" s="1244"/>
      <c r="P1067" s="1244"/>
      <c r="Q1067" s="1244"/>
      <c r="R1067" s="1244"/>
      <c r="S1067" s="1265"/>
      <c r="T1067" s="1244"/>
      <c r="U1067" s="1244"/>
    </row>
    <row r="1068">
      <c r="A1068" s="1235"/>
      <c r="B1068" s="1235"/>
      <c r="C1068" s="1246"/>
      <c r="D1068" s="1274"/>
      <c r="E1068" s="1248"/>
      <c r="F1068" s="1248"/>
      <c r="G1068" s="1271"/>
      <c r="H1068" s="1250"/>
      <c r="I1068" s="1251"/>
      <c r="J1068" s="1271"/>
      <c r="K1068" s="1271"/>
      <c r="L1068" s="1254"/>
      <c r="M1068" s="1244"/>
      <c r="N1068" s="1273"/>
      <c r="O1068" s="1244"/>
      <c r="P1068" s="1244"/>
      <c r="Q1068" s="1244"/>
      <c r="R1068" s="1244"/>
      <c r="S1068" s="1265"/>
      <c r="T1068" s="1244"/>
      <c r="U1068" s="1244"/>
    </row>
    <row r="1069">
      <c r="A1069" s="1235"/>
      <c r="B1069" s="1235"/>
      <c r="C1069" s="1246"/>
      <c r="D1069" s="1274"/>
      <c r="E1069" s="1248"/>
      <c r="F1069" s="1248"/>
      <c r="G1069" s="1271"/>
      <c r="H1069" s="1250"/>
      <c r="I1069" s="1251"/>
      <c r="J1069" s="1271"/>
      <c r="K1069" s="1271"/>
      <c r="L1069" s="1254"/>
      <c r="M1069" s="1244"/>
      <c r="N1069" s="1273"/>
      <c r="O1069" s="1244"/>
      <c r="P1069" s="1244"/>
      <c r="Q1069" s="1244"/>
      <c r="R1069" s="1244"/>
      <c r="S1069" s="1265"/>
      <c r="T1069" s="1244"/>
      <c r="U1069" s="1244"/>
    </row>
    <row r="1070">
      <c r="A1070" s="1235"/>
      <c r="B1070" s="1235"/>
      <c r="C1070" s="1246"/>
      <c r="D1070" s="1274"/>
      <c r="E1070" s="1248"/>
      <c r="F1070" s="1248"/>
      <c r="G1070" s="1271"/>
      <c r="H1070" s="1250"/>
      <c r="I1070" s="1251"/>
      <c r="J1070" s="1271"/>
      <c r="K1070" s="1271"/>
      <c r="L1070" s="1254"/>
      <c r="M1070" s="1244"/>
      <c r="N1070" s="1273"/>
      <c r="O1070" s="1244"/>
      <c r="P1070" s="1244"/>
      <c r="Q1070" s="1244"/>
      <c r="R1070" s="1244"/>
      <c r="S1070" s="1265"/>
      <c r="T1070" s="1244"/>
      <c r="U1070" s="1244"/>
    </row>
    <row r="1071">
      <c r="A1071" s="1235"/>
      <c r="B1071" s="1235"/>
      <c r="C1071" s="1246"/>
      <c r="D1071" s="1274"/>
      <c r="E1071" s="1248"/>
      <c r="F1071" s="1248"/>
      <c r="G1071" s="1271"/>
      <c r="H1071" s="1250"/>
      <c r="I1071" s="1251"/>
      <c r="J1071" s="1271"/>
      <c r="K1071" s="1271"/>
      <c r="L1071" s="1254"/>
      <c r="M1071" s="1244"/>
      <c r="N1071" s="1273"/>
      <c r="O1071" s="1244"/>
      <c r="P1071" s="1244"/>
      <c r="Q1071" s="1244"/>
      <c r="R1071" s="1244"/>
      <c r="S1071" s="1265"/>
      <c r="T1071" s="1244"/>
      <c r="U1071" s="1244"/>
    </row>
    <row r="1072">
      <c r="A1072" s="1235"/>
      <c r="B1072" s="1235"/>
      <c r="C1072" s="1246"/>
      <c r="D1072" s="1274"/>
      <c r="E1072" s="1248"/>
      <c r="F1072" s="1248"/>
      <c r="G1072" s="1271"/>
      <c r="H1072" s="1250"/>
      <c r="I1072" s="1251"/>
      <c r="J1072" s="1271"/>
      <c r="K1072" s="1271"/>
      <c r="L1072" s="1254"/>
      <c r="M1072" s="1244"/>
      <c r="N1072" s="1273"/>
      <c r="O1072" s="1244"/>
      <c r="P1072" s="1244"/>
      <c r="Q1072" s="1244"/>
      <c r="R1072" s="1244"/>
      <c r="S1072" s="1265"/>
      <c r="T1072" s="1244"/>
      <c r="U1072" s="1244"/>
    </row>
    <row r="1073">
      <c r="A1073" s="1235"/>
      <c r="B1073" s="1235"/>
      <c r="C1073" s="1246"/>
      <c r="D1073" s="1274"/>
      <c r="E1073" s="1248"/>
      <c r="F1073" s="1248"/>
      <c r="G1073" s="1271"/>
      <c r="H1073" s="1250"/>
      <c r="I1073" s="1251"/>
      <c r="J1073" s="1271"/>
      <c r="K1073" s="1271"/>
      <c r="L1073" s="1254"/>
      <c r="M1073" s="1244"/>
      <c r="N1073" s="1273"/>
      <c r="O1073" s="1244"/>
      <c r="P1073" s="1244"/>
      <c r="Q1073" s="1244"/>
      <c r="R1073" s="1244"/>
      <c r="S1073" s="1265"/>
      <c r="T1073" s="1244"/>
      <c r="U1073" s="1244"/>
    </row>
    <row r="1074">
      <c r="A1074" s="1235"/>
      <c r="B1074" s="1235"/>
      <c r="C1074" s="1246"/>
      <c r="D1074" s="1274"/>
      <c r="E1074" s="1248"/>
      <c r="F1074" s="1248"/>
      <c r="G1074" s="1271"/>
      <c r="H1074" s="1250"/>
      <c r="I1074" s="1251"/>
      <c r="J1074" s="1271"/>
      <c r="K1074" s="1271"/>
      <c r="L1074" s="1254"/>
      <c r="M1074" s="1244"/>
      <c r="N1074" s="1273"/>
      <c r="O1074" s="1244"/>
      <c r="P1074" s="1244"/>
      <c r="Q1074" s="1244"/>
      <c r="R1074" s="1244"/>
      <c r="S1074" s="1265"/>
      <c r="T1074" s="1244"/>
      <c r="U1074" s="1244"/>
    </row>
    <row r="1075">
      <c r="A1075" s="1235"/>
      <c r="B1075" s="1235"/>
      <c r="C1075" s="1246"/>
      <c r="D1075" s="1274"/>
      <c r="E1075" s="1248"/>
      <c r="F1075" s="1248"/>
      <c r="G1075" s="1271"/>
      <c r="H1075" s="1250"/>
      <c r="I1075" s="1251"/>
      <c r="J1075" s="1271"/>
      <c r="K1075" s="1271"/>
      <c r="L1075" s="1254"/>
      <c r="M1075" s="1244"/>
      <c r="N1075" s="1273"/>
      <c r="O1075" s="1244"/>
      <c r="P1075" s="1244"/>
      <c r="Q1075" s="1244"/>
      <c r="R1075" s="1244"/>
      <c r="S1075" s="1265"/>
      <c r="T1075" s="1244"/>
      <c r="U1075" s="1244"/>
    </row>
    <row r="1076">
      <c r="A1076" s="1235"/>
      <c r="B1076" s="1235"/>
      <c r="C1076" s="1246"/>
      <c r="D1076" s="1274"/>
      <c r="E1076" s="1248"/>
      <c r="F1076" s="1248"/>
      <c r="G1076" s="1271"/>
      <c r="H1076" s="1250"/>
      <c r="I1076" s="1251"/>
      <c r="J1076" s="1271"/>
      <c r="K1076" s="1271"/>
      <c r="L1076" s="1254"/>
      <c r="M1076" s="1244"/>
      <c r="N1076" s="1273"/>
      <c r="O1076" s="1244"/>
      <c r="P1076" s="1244"/>
      <c r="Q1076" s="1244"/>
      <c r="R1076" s="1244"/>
      <c r="S1076" s="1265"/>
      <c r="T1076" s="1244"/>
      <c r="U1076" s="1244"/>
    </row>
    <row r="1077">
      <c r="A1077" s="1235"/>
      <c r="B1077" s="1235"/>
      <c r="C1077" s="1246"/>
      <c r="D1077" s="1274"/>
      <c r="E1077" s="1248"/>
      <c r="F1077" s="1248"/>
      <c r="G1077" s="1271"/>
      <c r="H1077" s="1250"/>
      <c r="I1077" s="1251"/>
      <c r="J1077" s="1271"/>
      <c r="K1077" s="1271"/>
      <c r="L1077" s="1254"/>
      <c r="M1077" s="1244"/>
      <c r="N1077" s="1273"/>
      <c r="O1077" s="1244"/>
      <c r="P1077" s="1244"/>
      <c r="Q1077" s="1244"/>
      <c r="R1077" s="1244"/>
      <c r="S1077" s="1265"/>
      <c r="T1077" s="1244"/>
      <c r="U1077" s="1244"/>
    </row>
    <row r="1078">
      <c r="A1078" s="1235"/>
      <c r="B1078" s="1235"/>
      <c r="C1078" s="1246"/>
      <c r="D1078" s="1274"/>
      <c r="E1078" s="1248"/>
      <c r="F1078" s="1248"/>
      <c r="G1078" s="1271"/>
      <c r="H1078" s="1250"/>
      <c r="I1078" s="1251"/>
      <c r="J1078" s="1271"/>
      <c r="K1078" s="1271"/>
      <c r="L1078" s="1254"/>
      <c r="M1078" s="1244"/>
      <c r="N1078" s="1273"/>
      <c r="O1078" s="1244"/>
      <c r="P1078" s="1244"/>
      <c r="Q1078" s="1244"/>
      <c r="R1078" s="1244"/>
      <c r="S1078" s="1265"/>
      <c r="T1078" s="1244"/>
      <c r="U1078" s="1244"/>
    </row>
    <row r="1079">
      <c r="A1079" s="1235"/>
      <c r="B1079" s="1235"/>
      <c r="C1079" s="1246"/>
      <c r="D1079" s="1274"/>
      <c r="E1079" s="1248"/>
      <c r="F1079" s="1248"/>
      <c r="G1079" s="1271"/>
      <c r="H1079" s="1250"/>
      <c r="I1079" s="1251"/>
      <c r="J1079" s="1271"/>
      <c r="K1079" s="1271"/>
      <c r="L1079" s="1254"/>
      <c r="M1079" s="1244"/>
      <c r="N1079" s="1273"/>
      <c r="O1079" s="1244"/>
      <c r="P1079" s="1244"/>
      <c r="Q1079" s="1244"/>
      <c r="R1079" s="1244"/>
      <c r="S1079" s="1265"/>
      <c r="T1079" s="1244"/>
      <c r="U1079" s="1244"/>
    </row>
    <row r="1080">
      <c r="A1080" s="1235"/>
      <c r="B1080" s="1235"/>
      <c r="C1080" s="1246"/>
      <c r="D1080" s="1274"/>
      <c r="E1080" s="1248"/>
      <c r="F1080" s="1248"/>
      <c r="G1080" s="1271"/>
      <c r="H1080" s="1250"/>
      <c r="I1080" s="1251"/>
      <c r="J1080" s="1271"/>
      <c r="K1080" s="1271"/>
      <c r="L1080" s="1254"/>
      <c r="M1080" s="1244"/>
      <c r="N1080" s="1273"/>
      <c r="O1080" s="1244"/>
      <c r="P1080" s="1244"/>
      <c r="Q1080" s="1244"/>
      <c r="R1080" s="1244"/>
      <c r="S1080" s="1265"/>
      <c r="T1080" s="1244"/>
      <c r="U1080" s="1244"/>
    </row>
    <row r="1081">
      <c r="A1081" s="1235"/>
      <c r="B1081" s="1235"/>
      <c r="C1081" s="1246"/>
      <c r="D1081" s="1274"/>
      <c r="E1081" s="1248"/>
      <c r="F1081" s="1248"/>
      <c r="G1081" s="1271"/>
      <c r="H1081" s="1250"/>
      <c r="I1081" s="1251"/>
      <c r="J1081" s="1271"/>
      <c r="K1081" s="1271"/>
      <c r="L1081" s="1254"/>
      <c r="M1081" s="1244"/>
      <c r="N1081" s="1273"/>
      <c r="O1081" s="1244"/>
      <c r="P1081" s="1244"/>
      <c r="Q1081" s="1244"/>
      <c r="R1081" s="1244"/>
      <c r="S1081" s="1265"/>
      <c r="T1081" s="1244"/>
      <c r="U1081" s="1244"/>
    </row>
    <row r="1082">
      <c r="A1082" s="1235"/>
      <c r="B1082" s="1235"/>
      <c r="C1082" s="1246"/>
      <c r="D1082" s="1274"/>
      <c r="E1082" s="1248"/>
      <c r="F1082" s="1248"/>
      <c r="G1082" s="1271"/>
      <c r="H1082" s="1250"/>
      <c r="I1082" s="1251"/>
      <c r="J1082" s="1271"/>
      <c r="K1082" s="1271"/>
      <c r="L1082" s="1254"/>
      <c r="M1082" s="1244"/>
      <c r="N1082" s="1273"/>
      <c r="O1082" s="1244"/>
      <c r="P1082" s="1244"/>
      <c r="Q1082" s="1244"/>
      <c r="R1082" s="1244"/>
      <c r="S1082" s="1265"/>
      <c r="T1082" s="1244"/>
      <c r="U1082" s="1244"/>
    </row>
    <row r="1083">
      <c r="A1083" s="1235"/>
      <c r="B1083" s="1235"/>
      <c r="C1083" s="1246"/>
      <c r="D1083" s="1274"/>
      <c r="E1083" s="1248"/>
      <c r="F1083" s="1248"/>
      <c r="G1083" s="1271"/>
      <c r="H1083" s="1250"/>
      <c r="I1083" s="1251"/>
      <c r="J1083" s="1271"/>
      <c r="K1083" s="1271"/>
      <c r="L1083" s="1254"/>
      <c r="M1083" s="1244"/>
      <c r="N1083" s="1273"/>
      <c r="O1083" s="1244"/>
      <c r="P1083" s="1244"/>
      <c r="Q1083" s="1244"/>
      <c r="R1083" s="1244"/>
      <c r="S1083" s="1265"/>
      <c r="T1083" s="1244"/>
      <c r="U1083" s="1244"/>
    </row>
    <row r="1084">
      <c r="A1084" s="1235"/>
      <c r="B1084" s="1235"/>
      <c r="C1084" s="1246"/>
      <c r="D1084" s="1274"/>
      <c r="E1084" s="1248"/>
      <c r="F1084" s="1248"/>
      <c r="G1084" s="1271"/>
      <c r="H1084" s="1250"/>
      <c r="I1084" s="1251"/>
      <c r="J1084" s="1271"/>
      <c r="K1084" s="1271"/>
      <c r="L1084" s="1254"/>
      <c r="M1084" s="1244"/>
      <c r="N1084" s="1273"/>
      <c r="O1084" s="1244"/>
      <c r="P1084" s="1244"/>
      <c r="Q1084" s="1244"/>
      <c r="R1084" s="1244"/>
      <c r="S1084" s="1265"/>
      <c r="T1084" s="1244"/>
      <c r="U1084" s="1244"/>
    </row>
    <row r="1085">
      <c r="A1085" s="1235"/>
      <c r="B1085" s="1235"/>
      <c r="C1085" s="1246"/>
      <c r="D1085" s="1274"/>
      <c r="E1085" s="1248"/>
      <c r="F1085" s="1248"/>
      <c r="G1085" s="1271"/>
      <c r="H1085" s="1250"/>
      <c r="I1085" s="1251"/>
      <c r="J1085" s="1271"/>
      <c r="K1085" s="1271"/>
      <c r="L1085" s="1254"/>
      <c r="M1085" s="1244"/>
      <c r="N1085" s="1273"/>
      <c r="O1085" s="1244"/>
      <c r="P1085" s="1244"/>
      <c r="Q1085" s="1244"/>
      <c r="R1085" s="1244"/>
      <c r="S1085" s="1265"/>
      <c r="T1085" s="1244"/>
      <c r="U1085" s="1244"/>
    </row>
    <row r="1086">
      <c r="A1086" s="1235"/>
      <c r="B1086" s="1235"/>
      <c r="C1086" s="1246"/>
      <c r="D1086" s="1274"/>
      <c r="E1086" s="1248"/>
      <c r="F1086" s="1248"/>
      <c r="G1086" s="1271"/>
      <c r="H1086" s="1250"/>
      <c r="I1086" s="1251"/>
      <c r="J1086" s="1271"/>
      <c r="K1086" s="1271"/>
      <c r="L1086" s="1254"/>
      <c r="M1086" s="1244"/>
      <c r="N1086" s="1273"/>
      <c r="O1086" s="1244"/>
      <c r="P1086" s="1244"/>
      <c r="Q1086" s="1244"/>
      <c r="R1086" s="1244"/>
      <c r="S1086" s="1265"/>
      <c r="T1086" s="1244"/>
      <c r="U1086" s="1244"/>
    </row>
    <row r="1087">
      <c r="A1087" s="1235"/>
      <c r="B1087" s="1235"/>
      <c r="C1087" s="1246"/>
      <c r="D1087" s="1274"/>
      <c r="E1087" s="1248"/>
      <c r="F1087" s="1248"/>
      <c r="G1087" s="1271"/>
      <c r="H1087" s="1250"/>
      <c r="I1087" s="1251"/>
      <c r="J1087" s="1271"/>
      <c r="K1087" s="1271"/>
      <c r="L1087" s="1254"/>
      <c r="M1087" s="1244"/>
      <c r="N1087" s="1273"/>
      <c r="O1087" s="1244"/>
      <c r="P1087" s="1244"/>
      <c r="Q1087" s="1244"/>
      <c r="R1087" s="1244"/>
      <c r="S1087" s="1265"/>
      <c r="T1087" s="1244"/>
      <c r="U1087" s="1244"/>
    </row>
    <row r="1088">
      <c r="A1088" s="1235"/>
      <c r="B1088" s="1235"/>
      <c r="C1088" s="1246"/>
      <c r="D1088" s="1274"/>
      <c r="E1088" s="1248"/>
      <c r="F1088" s="1248"/>
      <c r="G1088" s="1271"/>
      <c r="H1088" s="1250"/>
      <c r="I1088" s="1251"/>
      <c r="J1088" s="1271"/>
      <c r="K1088" s="1271"/>
      <c r="L1088" s="1254"/>
      <c r="M1088" s="1244"/>
      <c r="N1088" s="1273"/>
      <c r="O1088" s="1244"/>
      <c r="P1088" s="1244"/>
      <c r="Q1088" s="1244"/>
      <c r="R1088" s="1244"/>
      <c r="S1088" s="1265"/>
      <c r="T1088" s="1244"/>
      <c r="U1088" s="1244"/>
    </row>
    <row r="1089">
      <c r="A1089" s="1235"/>
      <c r="B1089" s="1235"/>
      <c r="C1089" s="1246"/>
      <c r="D1089" s="1274"/>
      <c r="E1089" s="1248"/>
      <c r="F1089" s="1248"/>
      <c r="G1089" s="1271"/>
      <c r="H1089" s="1250"/>
      <c r="I1089" s="1251"/>
      <c r="J1089" s="1271"/>
      <c r="K1089" s="1271"/>
      <c r="L1089" s="1254"/>
      <c r="M1089" s="1244"/>
      <c r="N1089" s="1273"/>
      <c r="O1089" s="1244"/>
      <c r="P1089" s="1244"/>
      <c r="Q1089" s="1244"/>
      <c r="R1089" s="1244"/>
      <c r="S1089" s="1265"/>
      <c r="T1089" s="1244"/>
      <c r="U1089" s="1244"/>
    </row>
    <row r="1090">
      <c r="A1090" s="1235"/>
      <c r="B1090" s="1235"/>
      <c r="C1090" s="1246"/>
      <c r="D1090" s="1274"/>
      <c r="E1090" s="1248"/>
      <c r="F1090" s="1248"/>
      <c r="G1090" s="1271"/>
      <c r="H1090" s="1250"/>
      <c r="I1090" s="1251"/>
      <c r="J1090" s="1271"/>
      <c r="K1090" s="1271"/>
      <c r="L1090" s="1254"/>
      <c r="M1090" s="1244"/>
      <c r="N1090" s="1273"/>
      <c r="O1090" s="1244"/>
      <c r="P1090" s="1244"/>
      <c r="Q1090" s="1244"/>
      <c r="R1090" s="1244"/>
      <c r="S1090" s="1265"/>
      <c r="T1090" s="1244"/>
      <c r="U1090" s="1244"/>
    </row>
    <row r="1091">
      <c r="A1091" s="1235"/>
      <c r="B1091" s="1235"/>
      <c r="C1091" s="1246"/>
      <c r="D1091" s="1274"/>
      <c r="E1091" s="1248"/>
      <c r="F1091" s="1248"/>
      <c r="G1091" s="1271"/>
      <c r="H1091" s="1250"/>
      <c r="I1091" s="1251"/>
      <c r="J1091" s="1271"/>
      <c r="K1091" s="1271"/>
      <c r="L1091" s="1254"/>
      <c r="M1091" s="1244"/>
      <c r="N1091" s="1273"/>
      <c r="O1091" s="1244"/>
      <c r="P1091" s="1244"/>
      <c r="Q1091" s="1244"/>
      <c r="R1091" s="1244"/>
      <c r="S1091" s="1265"/>
      <c r="T1091" s="1244"/>
      <c r="U1091" s="1244"/>
    </row>
    <row r="1092">
      <c r="A1092" s="1235"/>
      <c r="B1092" s="1235"/>
      <c r="C1092" s="1246"/>
      <c r="D1092" s="1274"/>
      <c r="E1092" s="1248"/>
      <c r="F1092" s="1248"/>
      <c r="G1092" s="1271"/>
      <c r="H1092" s="1250"/>
      <c r="I1092" s="1251"/>
      <c r="J1092" s="1271"/>
      <c r="K1092" s="1271"/>
      <c r="L1092" s="1254"/>
      <c r="M1092" s="1244"/>
      <c r="N1092" s="1273"/>
      <c r="O1092" s="1244"/>
      <c r="P1092" s="1244"/>
      <c r="Q1092" s="1244"/>
      <c r="R1092" s="1244"/>
      <c r="S1092" s="1265"/>
      <c r="T1092" s="1244"/>
      <c r="U1092" s="1244"/>
    </row>
    <row r="1093">
      <c r="A1093" s="1235"/>
      <c r="B1093" s="1235"/>
      <c r="C1093" s="1246"/>
      <c r="D1093" s="1274"/>
      <c r="E1093" s="1248"/>
      <c r="F1093" s="1248"/>
      <c r="G1093" s="1271"/>
      <c r="H1093" s="1250"/>
      <c r="I1093" s="1251"/>
      <c r="J1093" s="1271"/>
      <c r="K1093" s="1271"/>
      <c r="L1093" s="1254"/>
      <c r="M1093" s="1244"/>
      <c r="N1093" s="1273"/>
      <c r="O1093" s="1244"/>
      <c r="P1093" s="1244"/>
      <c r="Q1093" s="1244"/>
      <c r="R1093" s="1244"/>
      <c r="S1093" s="1265"/>
      <c r="T1093" s="1244"/>
      <c r="U1093" s="1244"/>
    </row>
    <row r="1094">
      <c r="A1094" s="1235"/>
      <c r="B1094" s="1235"/>
      <c r="C1094" s="1246"/>
      <c r="D1094" s="1274"/>
      <c r="E1094" s="1248"/>
      <c r="F1094" s="1248"/>
      <c r="G1094" s="1271"/>
      <c r="H1094" s="1250"/>
      <c r="I1094" s="1251"/>
      <c r="J1094" s="1271"/>
      <c r="K1094" s="1271"/>
      <c r="L1094" s="1254"/>
      <c r="M1094" s="1244"/>
      <c r="N1094" s="1273"/>
      <c r="O1094" s="1244"/>
      <c r="P1094" s="1244"/>
      <c r="Q1094" s="1244"/>
      <c r="R1094" s="1244"/>
      <c r="S1094" s="1265"/>
      <c r="T1094" s="1244"/>
      <c r="U1094" s="1244"/>
    </row>
    <row r="1095">
      <c r="A1095" s="1235"/>
      <c r="B1095" s="1235"/>
      <c r="C1095" s="1246"/>
      <c r="D1095" s="1274"/>
      <c r="E1095" s="1248"/>
      <c r="F1095" s="1248"/>
      <c r="G1095" s="1271"/>
      <c r="H1095" s="1250"/>
      <c r="I1095" s="1251"/>
      <c r="J1095" s="1271"/>
      <c r="K1095" s="1271"/>
      <c r="L1095" s="1254"/>
      <c r="M1095" s="1244"/>
      <c r="N1095" s="1273"/>
      <c r="O1095" s="1244"/>
      <c r="P1095" s="1244"/>
      <c r="Q1095" s="1244"/>
      <c r="R1095" s="1244"/>
      <c r="S1095" s="1265"/>
      <c r="T1095" s="1244"/>
      <c r="U1095" s="1244"/>
    </row>
    <row r="1096">
      <c r="A1096" s="1235"/>
      <c r="B1096" s="1235"/>
      <c r="C1096" s="1246"/>
      <c r="D1096" s="1274"/>
      <c r="E1096" s="1248"/>
      <c r="F1096" s="1248"/>
      <c r="G1096" s="1271"/>
      <c r="H1096" s="1250"/>
      <c r="I1096" s="1251"/>
      <c r="J1096" s="1271"/>
      <c r="K1096" s="1271"/>
      <c r="L1096" s="1254"/>
      <c r="M1096" s="1244"/>
      <c r="N1096" s="1273"/>
      <c r="O1096" s="1244"/>
      <c r="P1096" s="1244"/>
      <c r="Q1096" s="1244"/>
      <c r="R1096" s="1244"/>
      <c r="S1096" s="1265"/>
      <c r="T1096" s="1244"/>
      <c r="U1096" s="1244"/>
    </row>
    <row r="1097">
      <c r="A1097" s="1235"/>
      <c r="B1097" s="1235"/>
      <c r="C1097" s="1246"/>
      <c r="D1097" s="1274"/>
      <c r="E1097" s="1248"/>
      <c r="F1097" s="1248"/>
      <c r="G1097" s="1271"/>
      <c r="H1097" s="1250"/>
      <c r="I1097" s="1251"/>
      <c r="J1097" s="1271"/>
      <c r="K1097" s="1271"/>
      <c r="L1097" s="1254"/>
      <c r="M1097" s="1244"/>
      <c r="N1097" s="1273"/>
      <c r="O1097" s="1244"/>
      <c r="P1097" s="1244"/>
      <c r="Q1097" s="1244"/>
      <c r="R1097" s="1244"/>
      <c r="S1097" s="1265"/>
      <c r="T1097" s="1244"/>
      <c r="U1097" s="1244"/>
    </row>
    <row r="1098">
      <c r="A1098" s="1235"/>
      <c r="B1098" s="1235"/>
      <c r="C1098" s="1246"/>
      <c r="D1098" s="1274"/>
      <c r="E1098" s="1248"/>
      <c r="F1098" s="1248"/>
      <c r="G1098" s="1271"/>
      <c r="H1098" s="1250"/>
      <c r="I1098" s="1251"/>
      <c r="J1098" s="1271"/>
      <c r="K1098" s="1271"/>
      <c r="L1098" s="1254"/>
      <c r="M1098" s="1244"/>
      <c r="N1098" s="1273"/>
      <c r="O1098" s="1244"/>
      <c r="P1098" s="1244"/>
      <c r="Q1098" s="1244"/>
      <c r="R1098" s="1244"/>
      <c r="S1098" s="1265"/>
      <c r="T1098" s="1244"/>
      <c r="U1098" s="1244"/>
    </row>
    <row r="1099">
      <c r="A1099" s="1235"/>
      <c r="B1099" s="1235"/>
      <c r="C1099" s="1246"/>
      <c r="D1099" s="1274"/>
      <c r="E1099" s="1248"/>
      <c r="F1099" s="1248"/>
      <c r="G1099" s="1271"/>
      <c r="H1099" s="1250"/>
      <c r="I1099" s="1251"/>
      <c r="J1099" s="1271"/>
      <c r="K1099" s="1271"/>
      <c r="L1099" s="1254"/>
      <c r="M1099" s="1244"/>
      <c r="N1099" s="1273"/>
      <c r="O1099" s="1244"/>
      <c r="P1099" s="1244"/>
      <c r="Q1099" s="1244"/>
      <c r="R1099" s="1244"/>
      <c r="S1099" s="1265"/>
      <c r="T1099" s="1244"/>
      <c r="U1099" s="1244"/>
    </row>
    <row r="1100">
      <c r="A1100" s="1235"/>
      <c r="B1100" s="1235"/>
      <c r="C1100" s="1246"/>
      <c r="D1100" s="1274"/>
      <c r="E1100" s="1248"/>
      <c r="F1100" s="1248"/>
      <c r="G1100" s="1271"/>
      <c r="H1100" s="1250"/>
      <c r="I1100" s="1251"/>
      <c r="J1100" s="1271"/>
      <c r="K1100" s="1271"/>
      <c r="L1100" s="1254"/>
      <c r="M1100" s="1244"/>
      <c r="N1100" s="1273"/>
      <c r="O1100" s="1244"/>
      <c r="P1100" s="1244"/>
      <c r="Q1100" s="1244"/>
      <c r="R1100" s="1244"/>
      <c r="S1100" s="1265"/>
      <c r="T1100" s="1244"/>
      <c r="U1100" s="1244"/>
    </row>
    <row r="1101">
      <c r="A1101" s="1235"/>
      <c r="B1101" s="1235"/>
      <c r="C1101" s="1246"/>
      <c r="D1101" s="1274"/>
      <c r="E1101" s="1248"/>
      <c r="F1101" s="1248"/>
      <c r="G1101" s="1271"/>
      <c r="H1101" s="1250"/>
      <c r="I1101" s="1251"/>
      <c r="J1101" s="1271"/>
      <c r="K1101" s="1271"/>
      <c r="L1101" s="1254"/>
      <c r="M1101" s="1244"/>
      <c r="N1101" s="1273"/>
      <c r="O1101" s="1244"/>
      <c r="P1101" s="1244"/>
      <c r="Q1101" s="1244"/>
      <c r="R1101" s="1244"/>
      <c r="S1101" s="1265"/>
      <c r="T1101" s="1244"/>
      <c r="U1101" s="1244"/>
    </row>
    <row r="1102">
      <c r="A1102" s="1235"/>
      <c r="B1102" s="1235"/>
      <c r="C1102" s="1246"/>
      <c r="D1102" s="1274"/>
      <c r="E1102" s="1248"/>
      <c r="F1102" s="1248"/>
      <c r="G1102" s="1271"/>
      <c r="H1102" s="1250"/>
      <c r="I1102" s="1251"/>
      <c r="J1102" s="1271"/>
      <c r="K1102" s="1271"/>
      <c r="L1102" s="1254"/>
      <c r="M1102" s="1244"/>
      <c r="N1102" s="1273"/>
      <c r="O1102" s="1244"/>
      <c r="P1102" s="1244"/>
      <c r="Q1102" s="1244"/>
      <c r="R1102" s="1244"/>
      <c r="S1102" s="1265"/>
      <c r="T1102" s="1244"/>
      <c r="U1102" s="1244"/>
    </row>
    <row r="1103">
      <c r="A1103" s="1235"/>
      <c r="B1103" s="1235"/>
      <c r="C1103" s="1246"/>
      <c r="D1103" s="1274"/>
      <c r="E1103" s="1248"/>
      <c r="F1103" s="1248"/>
      <c r="G1103" s="1271"/>
      <c r="H1103" s="1250"/>
      <c r="I1103" s="1251"/>
      <c r="J1103" s="1271"/>
      <c r="K1103" s="1271"/>
      <c r="L1103" s="1254"/>
      <c r="M1103" s="1244"/>
      <c r="N1103" s="1273"/>
      <c r="O1103" s="1244"/>
      <c r="P1103" s="1244"/>
      <c r="Q1103" s="1244"/>
      <c r="R1103" s="1244"/>
      <c r="S1103" s="1265"/>
      <c r="T1103" s="1244"/>
      <c r="U1103" s="1244"/>
    </row>
    <row r="1104">
      <c r="A1104" s="1235"/>
      <c r="B1104" s="1235"/>
      <c r="C1104" s="1246"/>
      <c r="D1104" s="1274"/>
      <c r="E1104" s="1248"/>
      <c r="F1104" s="1248"/>
      <c r="G1104" s="1271"/>
      <c r="H1104" s="1250"/>
      <c r="I1104" s="1251"/>
      <c r="J1104" s="1271"/>
      <c r="K1104" s="1271"/>
      <c r="L1104" s="1254"/>
      <c r="M1104" s="1244"/>
      <c r="N1104" s="1273"/>
      <c r="O1104" s="1244"/>
      <c r="P1104" s="1244"/>
      <c r="Q1104" s="1244"/>
      <c r="R1104" s="1244"/>
      <c r="S1104" s="1265"/>
      <c r="T1104" s="1244"/>
      <c r="U1104" s="1244"/>
    </row>
    <row r="1105">
      <c r="A1105" s="1235"/>
      <c r="B1105" s="1235"/>
      <c r="C1105" s="1246"/>
      <c r="D1105" s="1274"/>
      <c r="E1105" s="1248"/>
      <c r="F1105" s="1248"/>
      <c r="G1105" s="1271"/>
      <c r="H1105" s="1250"/>
      <c r="I1105" s="1251"/>
      <c r="J1105" s="1271"/>
      <c r="K1105" s="1271"/>
      <c r="L1105" s="1254"/>
      <c r="M1105" s="1244"/>
      <c r="N1105" s="1273"/>
      <c r="O1105" s="1244"/>
      <c r="P1105" s="1244"/>
      <c r="Q1105" s="1244"/>
      <c r="R1105" s="1244"/>
      <c r="S1105" s="1265"/>
      <c r="T1105" s="1244"/>
      <c r="U1105" s="1244"/>
    </row>
    <row r="1106">
      <c r="A1106" s="1235"/>
      <c r="B1106" s="1235"/>
      <c r="C1106" s="1246"/>
      <c r="D1106" s="1274"/>
      <c r="E1106" s="1248"/>
      <c r="F1106" s="1248"/>
      <c r="G1106" s="1271"/>
      <c r="H1106" s="1250"/>
      <c r="I1106" s="1251"/>
      <c r="J1106" s="1271"/>
      <c r="K1106" s="1271"/>
      <c r="L1106" s="1254"/>
      <c r="M1106" s="1244"/>
      <c r="N1106" s="1273"/>
      <c r="O1106" s="1244"/>
      <c r="P1106" s="1244"/>
      <c r="Q1106" s="1244"/>
      <c r="R1106" s="1244"/>
      <c r="S1106" s="1265"/>
      <c r="T1106" s="1244"/>
      <c r="U1106" s="1244"/>
    </row>
    <row r="1107">
      <c r="A1107" s="1235"/>
      <c r="B1107" s="1235"/>
      <c r="C1107" s="1246"/>
      <c r="D1107" s="1274"/>
      <c r="E1107" s="1248"/>
      <c r="F1107" s="1248"/>
      <c r="G1107" s="1271"/>
      <c r="H1107" s="1250"/>
      <c r="I1107" s="1251"/>
      <c r="J1107" s="1271"/>
      <c r="K1107" s="1271"/>
      <c r="L1107" s="1254"/>
      <c r="M1107" s="1244"/>
      <c r="N1107" s="1273"/>
      <c r="O1107" s="1244"/>
      <c r="P1107" s="1244"/>
      <c r="Q1107" s="1244"/>
      <c r="R1107" s="1244"/>
      <c r="S1107" s="1265"/>
      <c r="T1107" s="1244"/>
      <c r="U1107" s="1244"/>
    </row>
    <row r="1108">
      <c r="A1108" s="1235"/>
      <c r="B1108" s="1235"/>
      <c r="C1108" s="1246"/>
      <c r="D1108" s="1274"/>
      <c r="E1108" s="1248"/>
      <c r="F1108" s="1248"/>
      <c r="G1108" s="1271"/>
      <c r="H1108" s="1250"/>
      <c r="I1108" s="1251"/>
      <c r="J1108" s="1271"/>
      <c r="K1108" s="1271"/>
      <c r="L1108" s="1254"/>
      <c r="M1108" s="1244"/>
      <c r="N1108" s="1273"/>
      <c r="O1108" s="1244"/>
      <c r="P1108" s="1244"/>
      <c r="Q1108" s="1244"/>
      <c r="R1108" s="1244"/>
      <c r="S1108" s="1265"/>
      <c r="T1108" s="1244"/>
      <c r="U1108" s="1244"/>
    </row>
    <row r="1109">
      <c r="A1109" s="1235"/>
      <c r="B1109" s="1235"/>
      <c r="C1109" s="1246"/>
      <c r="D1109" s="1274"/>
      <c r="E1109" s="1248"/>
      <c r="F1109" s="1248"/>
      <c r="G1109" s="1271"/>
      <c r="H1109" s="1250"/>
      <c r="I1109" s="1251"/>
      <c r="J1109" s="1271"/>
      <c r="K1109" s="1271"/>
      <c r="L1109" s="1254"/>
      <c r="M1109" s="1244"/>
      <c r="N1109" s="1273"/>
      <c r="O1109" s="1244"/>
      <c r="P1109" s="1244"/>
      <c r="Q1109" s="1244"/>
      <c r="R1109" s="1244"/>
      <c r="S1109" s="1265"/>
      <c r="T1109" s="1244"/>
      <c r="U1109" s="1244"/>
    </row>
    <row r="1110">
      <c r="A1110" s="1235"/>
      <c r="B1110" s="1235"/>
      <c r="C1110" s="1246"/>
      <c r="D1110" s="1274"/>
      <c r="E1110" s="1248"/>
      <c r="F1110" s="1248"/>
      <c r="G1110" s="1271"/>
      <c r="H1110" s="1250"/>
      <c r="I1110" s="1251"/>
      <c r="J1110" s="1271"/>
      <c r="K1110" s="1271"/>
      <c r="L1110" s="1254"/>
      <c r="M1110" s="1244"/>
      <c r="N1110" s="1273"/>
      <c r="O1110" s="1244"/>
      <c r="P1110" s="1244"/>
      <c r="Q1110" s="1244"/>
      <c r="R1110" s="1244"/>
      <c r="S1110" s="1265"/>
      <c r="T1110" s="1244"/>
      <c r="U1110" s="1244"/>
    </row>
    <row r="1111">
      <c r="A1111" s="1235"/>
      <c r="B1111" s="1235"/>
      <c r="C1111" s="1246"/>
      <c r="D1111" s="1274"/>
      <c r="E1111" s="1248"/>
      <c r="F1111" s="1248"/>
      <c r="G1111" s="1271"/>
      <c r="H1111" s="1250"/>
      <c r="I1111" s="1251"/>
      <c r="J1111" s="1271"/>
      <c r="K1111" s="1271"/>
      <c r="L1111" s="1254"/>
      <c r="M1111" s="1244"/>
      <c r="N1111" s="1273"/>
      <c r="O1111" s="1244"/>
      <c r="P1111" s="1244"/>
      <c r="Q1111" s="1244"/>
      <c r="R1111" s="1244"/>
      <c r="S1111" s="1265"/>
      <c r="T1111" s="1244"/>
      <c r="U1111" s="1244"/>
    </row>
    <row r="1112">
      <c r="A1112" s="1235"/>
      <c r="B1112" s="1235"/>
      <c r="C1112" s="1246"/>
      <c r="D1112" s="1274"/>
      <c r="E1112" s="1248"/>
      <c r="F1112" s="1248"/>
      <c r="G1112" s="1271"/>
      <c r="H1112" s="1250"/>
      <c r="I1112" s="1251"/>
      <c r="J1112" s="1271"/>
      <c r="K1112" s="1271"/>
      <c r="L1112" s="1254"/>
      <c r="M1112" s="1244"/>
      <c r="N1112" s="1273"/>
      <c r="O1112" s="1244"/>
      <c r="P1112" s="1244"/>
      <c r="Q1112" s="1244"/>
      <c r="R1112" s="1244"/>
      <c r="S1112" s="1265"/>
      <c r="T1112" s="1244"/>
      <c r="U1112" s="1244"/>
    </row>
    <row r="1113">
      <c r="A1113" s="1235"/>
      <c r="B1113" s="1235"/>
      <c r="C1113" s="1246"/>
      <c r="D1113" s="1274"/>
      <c r="E1113" s="1248"/>
      <c r="F1113" s="1248"/>
      <c r="G1113" s="1271"/>
      <c r="H1113" s="1250"/>
      <c r="I1113" s="1251"/>
      <c r="J1113" s="1271"/>
      <c r="K1113" s="1271"/>
      <c r="L1113" s="1254"/>
      <c r="M1113" s="1244"/>
      <c r="N1113" s="1273"/>
      <c r="O1113" s="1244"/>
      <c r="P1113" s="1244"/>
      <c r="Q1113" s="1244"/>
      <c r="R1113" s="1244"/>
      <c r="S1113" s="1265"/>
      <c r="T1113" s="1244"/>
      <c r="U1113" s="1244"/>
    </row>
    <row r="1114">
      <c r="A1114" s="1235"/>
      <c r="B1114" s="1235"/>
      <c r="C1114" s="1246"/>
      <c r="D1114" s="1274"/>
      <c r="E1114" s="1248"/>
      <c r="F1114" s="1248"/>
      <c r="G1114" s="1271"/>
      <c r="H1114" s="1250"/>
      <c r="I1114" s="1251"/>
      <c r="J1114" s="1271"/>
      <c r="K1114" s="1271"/>
      <c r="L1114" s="1254"/>
      <c r="M1114" s="1244"/>
      <c r="N1114" s="1273"/>
      <c r="O1114" s="1244"/>
      <c r="P1114" s="1244"/>
      <c r="Q1114" s="1244"/>
      <c r="R1114" s="1244"/>
      <c r="S1114" s="1265"/>
      <c r="T1114" s="1244"/>
      <c r="U1114" s="1244"/>
    </row>
    <row r="1115">
      <c r="A1115" s="1235"/>
      <c r="B1115" s="1235"/>
      <c r="C1115" s="1246"/>
      <c r="D1115" s="1274"/>
      <c r="E1115" s="1248"/>
      <c r="F1115" s="1248"/>
      <c r="G1115" s="1271"/>
      <c r="H1115" s="1250"/>
      <c r="I1115" s="1251"/>
      <c r="J1115" s="1271"/>
      <c r="K1115" s="1271"/>
      <c r="L1115" s="1254"/>
      <c r="M1115" s="1244"/>
      <c r="N1115" s="1273"/>
      <c r="O1115" s="1244"/>
      <c r="P1115" s="1244"/>
      <c r="Q1115" s="1244"/>
      <c r="R1115" s="1244"/>
      <c r="S1115" s="1265"/>
      <c r="T1115" s="1244"/>
      <c r="U1115" s="1244"/>
    </row>
    <row r="1116">
      <c r="A1116" s="1235"/>
      <c r="B1116" s="1235"/>
      <c r="C1116" s="1246"/>
      <c r="D1116" s="1274"/>
      <c r="E1116" s="1248"/>
      <c r="F1116" s="1248"/>
      <c r="G1116" s="1271"/>
      <c r="H1116" s="1250"/>
      <c r="I1116" s="1251"/>
      <c r="J1116" s="1271"/>
      <c r="K1116" s="1271"/>
      <c r="L1116" s="1254"/>
      <c r="M1116" s="1244"/>
      <c r="N1116" s="1273"/>
      <c r="O1116" s="1244"/>
      <c r="P1116" s="1244"/>
      <c r="Q1116" s="1244"/>
      <c r="R1116" s="1244"/>
      <c r="S1116" s="1265"/>
      <c r="T1116" s="1244"/>
      <c r="U1116" s="1244"/>
    </row>
    <row r="1117">
      <c r="A1117" s="1235"/>
      <c r="B1117" s="1235"/>
      <c r="C1117" s="1246"/>
      <c r="D1117" s="1274"/>
      <c r="E1117" s="1248"/>
      <c r="F1117" s="1248"/>
      <c r="G1117" s="1271"/>
      <c r="H1117" s="1250"/>
      <c r="I1117" s="1251"/>
      <c r="J1117" s="1271"/>
      <c r="K1117" s="1271"/>
      <c r="L1117" s="1254"/>
      <c r="M1117" s="1244"/>
      <c r="N1117" s="1273"/>
      <c r="O1117" s="1244"/>
      <c r="P1117" s="1244"/>
      <c r="Q1117" s="1244"/>
      <c r="R1117" s="1244"/>
      <c r="S1117" s="1265"/>
      <c r="T1117" s="1244"/>
      <c r="U1117" s="1244"/>
    </row>
    <row r="1118">
      <c r="A1118" s="1235"/>
      <c r="B1118" s="1235"/>
      <c r="C1118" s="1246"/>
      <c r="D1118" s="1274"/>
      <c r="E1118" s="1248"/>
      <c r="F1118" s="1248"/>
      <c r="G1118" s="1271"/>
      <c r="H1118" s="1250"/>
      <c r="I1118" s="1251"/>
      <c r="J1118" s="1271"/>
      <c r="K1118" s="1271"/>
      <c r="L1118" s="1254"/>
      <c r="M1118" s="1244"/>
      <c r="N1118" s="1273"/>
      <c r="O1118" s="1244"/>
      <c r="P1118" s="1244"/>
      <c r="Q1118" s="1244"/>
      <c r="R1118" s="1244"/>
      <c r="S1118" s="1265"/>
      <c r="T1118" s="1244"/>
      <c r="U1118" s="1244"/>
    </row>
    <row r="1119">
      <c r="A1119" s="1235"/>
      <c r="B1119" s="1235"/>
      <c r="C1119" s="1246"/>
      <c r="D1119" s="1274"/>
      <c r="E1119" s="1248"/>
      <c r="F1119" s="1248"/>
      <c r="G1119" s="1271"/>
      <c r="H1119" s="1250"/>
      <c r="I1119" s="1251"/>
      <c r="J1119" s="1271"/>
      <c r="K1119" s="1271"/>
      <c r="L1119" s="1254"/>
      <c r="M1119" s="1244"/>
      <c r="N1119" s="1273"/>
      <c r="O1119" s="1244"/>
      <c r="P1119" s="1244"/>
      <c r="Q1119" s="1244"/>
      <c r="R1119" s="1244"/>
      <c r="S1119" s="1265"/>
      <c r="T1119" s="1244"/>
      <c r="U1119" s="1244"/>
    </row>
    <row r="1120">
      <c r="A1120" s="1235"/>
      <c r="B1120" s="1235"/>
      <c r="C1120" s="1246"/>
      <c r="D1120" s="1274"/>
      <c r="E1120" s="1248"/>
      <c r="F1120" s="1248"/>
      <c r="G1120" s="1271"/>
      <c r="H1120" s="1250"/>
      <c r="I1120" s="1251"/>
      <c r="J1120" s="1271"/>
      <c r="K1120" s="1271"/>
      <c r="L1120" s="1254"/>
      <c r="M1120" s="1244"/>
      <c r="N1120" s="1273"/>
      <c r="O1120" s="1244"/>
      <c r="P1120" s="1244"/>
      <c r="Q1120" s="1244"/>
      <c r="R1120" s="1244"/>
      <c r="S1120" s="1265"/>
      <c r="T1120" s="1244"/>
      <c r="U1120" s="1244"/>
    </row>
    <row r="1121">
      <c r="A1121" s="1235"/>
      <c r="B1121" s="1235"/>
      <c r="C1121" s="1246"/>
      <c r="D1121" s="1274"/>
      <c r="E1121" s="1248"/>
      <c r="F1121" s="1248"/>
      <c r="G1121" s="1271"/>
      <c r="H1121" s="1250"/>
      <c r="I1121" s="1251"/>
      <c r="J1121" s="1271"/>
      <c r="K1121" s="1271"/>
      <c r="L1121" s="1254"/>
      <c r="M1121" s="1244"/>
      <c r="N1121" s="1273"/>
      <c r="O1121" s="1244"/>
      <c r="P1121" s="1244"/>
      <c r="Q1121" s="1244"/>
      <c r="R1121" s="1244"/>
      <c r="S1121" s="1265"/>
      <c r="T1121" s="1244"/>
      <c r="U1121" s="1244"/>
    </row>
    <row r="1122">
      <c r="A1122" s="1235"/>
      <c r="B1122" s="1235"/>
      <c r="C1122" s="1246"/>
      <c r="D1122" s="1274"/>
      <c r="E1122" s="1248"/>
      <c r="F1122" s="1248"/>
      <c r="G1122" s="1271"/>
      <c r="H1122" s="1250"/>
      <c r="I1122" s="1251"/>
      <c r="J1122" s="1271"/>
      <c r="K1122" s="1271"/>
      <c r="L1122" s="1254"/>
      <c r="M1122" s="1244"/>
      <c r="N1122" s="1273"/>
      <c r="O1122" s="1244"/>
      <c r="P1122" s="1244"/>
      <c r="Q1122" s="1244"/>
      <c r="R1122" s="1244"/>
      <c r="S1122" s="1265"/>
      <c r="T1122" s="1244"/>
      <c r="U1122" s="1244"/>
    </row>
    <row r="1123">
      <c r="A1123" s="1235"/>
      <c r="B1123" s="1235"/>
      <c r="C1123" s="1246"/>
      <c r="D1123" s="1274"/>
      <c r="E1123" s="1248"/>
      <c r="F1123" s="1248"/>
      <c r="G1123" s="1271"/>
      <c r="H1123" s="1250"/>
      <c r="I1123" s="1251"/>
      <c r="J1123" s="1271"/>
      <c r="K1123" s="1271"/>
      <c r="L1123" s="1254"/>
      <c r="M1123" s="1244"/>
      <c r="N1123" s="1273"/>
      <c r="O1123" s="1244"/>
      <c r="P1123" s="1244"/>
      <c r="Q1123" s="1244"/>
      <c r="R1123" s="1244"/>
      <c r="S1123" s="1265"/>
      <c r="T1123" s="1244"/>
      <c r="U1123" s="1244"/>
    </row>
    <row r="1124">
      <c r="A1124" s="1235"/>
      <c r="B1124" s="1235"/>
      <c r="C1124" s="1246"/>
      <c r="D1124" s="1274"/>
      <c r="E1124" s="1248"/>
      <c r="F1124" s="1248"/>
      <c r="G1124" s="1271"/>
      <c r="H1124" s="1250"/>
      <c r="I1124" s="1251"/>
      <c r="J1124" s="1271"/>
      <c r="K1124" s="1271"/>
      <c r="L1124" s="1254"/>
      <c r="M1124" s="1244"/>
      <c r="N1124" s="1273"/>
      <c r="O1124" s="1244"/>
      <c r="P1124" s="1244"/>
      <c r="Q1124" s="1244"/>
      <c r="R1124" s="1244"/>
      <c r="S1124" s="1265"/>
      <c r="T1124" s="1244"/>
      <c r="U1124" s="1244"/>
    </row>
    <row r="1125">
      <c r="A1125" s="1235"/>
      <c r="B1125" s="1235"/>
      <c r="C1125" s="1246"/>
      <c r="D1125" s="1274"/>
      <c r="E1125" s="1248"/>
      <c r="F1125" s="1248"/>
      <c r="G1125" s="1271"/>
      <c r="H1125" s="1250"/>
      <c r="I1125" s="1251"/>
      <c r="J1125" s="1271"/>
      <c r="K1125" s="1271"/>
      <c r="L1125" s="1254"/>
      <c r="M1125" s="1244"/>
      <c r="N1125" s="1273"/>
      <c r="O1125" s="1244"/>
      <c r="P1125" s="1244"/>
      <c r="Q1125" s="1244"/>
      <c r="R1125" s="1244"/>
      <c r="S1125" s="1265"/>
      <c r="T1125" s="1244"/>
      <c r="U1125" s="1244"/>
    </row>
    <row r="1126">
      <c r="A1126" s="1235"/>
      <c r="B1126" s="1235"/>
      <c r="C1126" s="1246"/>
      <c r="D1126" s="1274"/>
      <c r="E1126" s="1248"/>
      <c r="F1126" s="1248"/>
      <c r="G1126" s="1271"/>
      <c r="H1126" s="1250"/>
      <c r="I1126" s="1251"/>
      <c r="J1126" s="1271"/>
      <c r="K1126" s="1271"/>
      <c r="L1126" s="1254"/>
      <c r="M1126" s="1244"/>
      <c r="N1126" s="1273"/>
      <c r="O1126" s="1244"/>
      <c r="P1126" s="1244"/>
      <c r="Q1126" s="1244"/>
      <c r="R1126" s="1244"/>
      <c r="S1126" s="1265"/>
      <c r="T1126" s="1244"/>
      <c r="U1126" s="1244"/>
    </row>
    <row r="1127">
      <c r="A1127" s="1235"/>
      <c r="B1127" s="1235"/>
      <c r="C1127" s="1246"/>
      <c r="D1127" s="1274"/>
      <c r="E1127" s="1248"/>
      <c r="F1127" s="1248"/>
      <c r="G1127" s="1271"/>
      <c r="H1127" s="1250"/>
      <c r="I1127" s="1251"/>
      <c r="J1127" s="1271"/>
      <c r="K1127" s="1271"/>
      <c r="L1127" s="1254"/>
      <c r="M1127" s="1244"/>
      <c r="N1127" s="1273"/>
      <c r="O1127" s="1244"/>
      <c r="P1127" s="1244"/>
      <c r="Q1127" s="1244"/>
      <c r="R1127" s="1244"/>
      <c r="S1127" s="1265"/>
      <c r="T1127" s="1244"/>
      <c r="U1127" s="1244"/>
    </row>
    <row r="1128">
      <c r="A1128" s="1235"/>
      <c r="B1128" s="1235"/>
      <c r="C1128" s="1246"/>
      <c r="D1128" s="1274"/>
      <c r="E1128" s="1248"/>
      <c r="F1128" s="1248"/>
      <c r="G1128" s="1271"/>
      <c r="H1128" s="1250"/>
      <c r="I1128" s="1251"/>
      <c r="J1128" s="1271"/>
      <c r="K1128" s="1271"/>
      <c r="L1128" s="1254"/>
      <c r="M1128" s="1244"/>
      <c r="N1128" s="1273"/>
      <c r="O1128" s="1244"/>
      <c r="P1128" s="1244"/>
      <c r="Q1128" s="1244"/>
      <c r="R1128" s="1244"/>
      <c r="S1128" s="1265"/>
      <c r="T1128" s="1244"/>
      <c r="U1128" s="1244"/>
    </row>
    <row r="1129">
      <c r="A1129" s="1235"/>
      <c r="B1129" s="1235"/>
      <c r="C1129" s="1246"/>
      <c r="D1129" s="1274"/>
      <c r="E1129" s="1248"/>
      <c r="F1129" s="1248"/>
      <c r="G1129" s="1271"/>
      <c r="H1129" s="1250"/>
      <c r="I1129" s="1251"/>
      <c r="J1129" s="1271"/>
      <c r="K1129" s="1271"/>
      <c r="L1129" s="1254"/>
      <c r="M1129" s="1244"/>
      <c r="N1129" s="1273"/>
      <c r="O1129" s="1244"/>
      <c r="P1129" s="1244"/>
      <c r="Q1129" s="1244"/>
      <c r="R1129" s="1244"/>
      <c r="S1129" s="1265"/>
      <c r="T1129" s="1244"/>
      <c r="U1129" s="1244"/>
    </row>
    <row r="1130">
      <c r="A1130" s="1235"/>
      <c r="B1130" s="1235"/>
      <c r="C1130" s="1246"/>
      <c r="D1130" s="1274"/>
      <c r="E1130" s="1248"/>
      <c r="F1130" s="1248"/>
      <c r="G1130" s="1271"/>
      <c r="H1130" s="1250"/>
      <c r="I1130" s="1251"/>
      <c r="J1130" s="1271"/>
      <c r="K1130" s="1271"/>
      <c r="L1130" s="1254"/>
      <c r="M1130" s="1244"/>
      <c r="N1130" s="1273"/>
      <c r="O1130" s="1244"/>
      <c r="P1130" s="1244"/>
      <c r="Q1130" s="1244"/>
      <c r="R1130" s="1244"/>
      <c r="S1130" s="1265"/>
      <c r="T1130" s="1244"/>
      <c r="U1130" s="1244"/>
    </row>
    <row r="1131">
      <c r="A1131" s="1235"/>
      <c r="B1131" s="1235"/>
      <c r="C1131" s="1246"/>
      <c r="D1131" s="1274"/>
      <c r="E1131" s="1248"/>
      <c r="F1131" s="1248"/>
      <c r="G1131" s="1271"/>
      <c r="H1131" s="1250"/>
      <c r="I1131" s="1251"/>
      <c r="J1131" s="1271"/>
      <c r="K1131" s="1271"/>
      <c r="L1131" s="1254"/>
      <c r="M1131" s="1244"/>
      <c r="N1131" s="1273"/>
      <c r="O1131" s="1244"/>
      <c r="P1131" s="1244"/>
      <c r="Q1131" s="1244"/>
      <c r="R1131" s="1244"/>
      <c r="S1131" s="1265"/>
      <c r="T1131" s="1244"/>
      <c r="U1131" s="1244"/>
    </row>
    <row r="1132">
      <c r="A1132" s="1235"/>
      <c r="B1132" s="1235"/>
      <c r="C1132" s="1246"/>
      <c r="D1132" s="1274"/>
      <c r="E1132" s="1248"/>
      <c r="F1132" s="1248"/>
      <c r="G1132" s="1271"/>
      <c r="H1132" s="1250"/>
      <c r="I1132" s="1251"/>
      <c r="J1132" s="1271"/>
      <c r="K1132" s="1271"/>
      <c r="L1132" s="1254"/>
      <c r="M1132" s="1244"/>
      <c r="N1132" s="1273"/>
      <c r="O1132" s="1244"/>
      <c r="P1132" s="1244"/>
      <c r="Q1132" s="1244"/>
      <c r="R1132" s="1244"/>
      <c r="S1132" s="1265"/>
      <c r="T1132" s="1244"/>
      <c r="U1132" s="1244"/>
    </row>
    <row r="1133">
      <c r="A1133" s="1235"/>
      <c r="B1133" s="1235"/>
      <c r="C1133" s="1246"/>
      <c r="D1133" s="1274"/>
      <c r="E1133" s="1248"/>
      <c r="F1133" s="1248"/>
      <c r="G1133" s="1271"/>
      <c r="H1133" s="1250"/>
      <c r="I1133" s="1251"/>
      <c r="J1133" s="1271"/>
      <c r="K1133" s="1271"/>
      <c r="L1133" s="1254"/>
      <c r="M1133" s="1244"/>
      <c r="N1133" s="1273"/>
      <c r="O1133" s="1244"/>
      <c r="P1133" s="1244"/>
      <c r="Q1133" s="1244"/>
      <c r="R1133" s="1244"/>
      <c r="S1133" s="1265"/>
      <c r="T1133" s="1244"/>
      <c r="U1133" s="1244"/>
    </row>
    <row r="1134">
      <c r="A1134" s="1235"/>
      <c r="B1134" s="1235"/>
      <c r="C1134" s="1246"/>
      <c r="D1134" s="1274"/>
      <c r="E1134" s="1248"/>
      <c r="F1134" s="1248"/>
      <c r="G1134" s="1271"/>
      <c r="H1134" s="1250"/>
      <c r="I1134" s="1251"/>
      <c r="J1134" s="1271"/>
      <c r="K1134" s="1271"/>
      <c r="L1134" s="1254"/>
      <c r="M1134" s="1244"/>
      <c r="N1134" s="1273"/>
      <c r="O1134" s="1244"/>
      <c r="P1134" s="1244"/>
      <c r="Q1134" s="1244"/>
      <c r="R1134" s="1244"/>
      <c r="S1134" s="1265"/>
      <c r="T1134" s="1244"/>
      <c r="U1134" s="1244"/>
    </row>
    <row r="1135">
      <c r="A1135" s="1235"/>
      <c r="B1135" s="1235"/>
      <c r="C1135" s="1246"/>
      <c r="D1135" s="1274"/>
      <c r="E1135" s="1248"/>
      <c r="F1135" s="1248"/>
      <c r="G1135" s="1271"/>
      <c r="H1135" s="1250"/>
      <c r="I1135" s="1251"/>
      <c r="J1135" s="1271"/>
      <c r="K1135" s="1271"/>
      <c r="L1135" s="1254"/>
      <c r="M1135" s="1244"/>
      <c r="N1135" s="1273"/>
      <c r="O1135" s="1244"/>
      <c r="P1135" s="1244"/>
      <c r="Q1135" s="1244"/>
      <c r="R1135" s="1244"/>
      <c r="S1135" s="1265"/>
      <c r="T1135" s="1244"/>
      <c r="U1135" s="1244"/>
    </row>
    <row r="1136">
      <c r="A1136" s="1235"/>
      <c r="B1136" s="1235"/>
      <c r="C1136" s="1246"/>
      <c r="D1136" s="1274"/>
      <c r="E1136" s="1248"/>
      <c r="F1136" s="1248"/>
      <c r="G1136" s="1271"/>
      <c r="H1136" s="1250"/>
      <c r="I1136" s="1251"/>
      <c r="J1136" s="1271"/>
      <c r="K1136" s="1271"/>
      <c r="L1136" s="1254"/>
      <c r="M1136" s="1244"/>
      <c r="N1136" s="1273"/>
      <c r="O1136" s="1244"/>
      <c r="P1136" s="1244"/>
      <c r="Q1136" s="1244"/>
      <c r="R1136" s="1244"/>
      <c r="S1136" s="1265"/>
      <c r="T1136" s="1244"/>
      <c r="U1136" s="1244"/>
    </row>
    <row r="1137">
      <c r="A1137" s="1235"/>
      <c r="B1137" s="1235"/>
      <c r="C1137" s="1246"/>
      <c r="D1137" s="1274"/>
      <c r="E1137" s="1248"/>
      <c r="F1137" s="1248"/>
      <c r="G1137" s="1271"/>
      <c r="H1137" s="1250"/>
      <c r="I1137" s="1251"/>
      <c r="J1137" s="1271"/>
      <c r="K1137" s="1271"/>
      <c r="L1137" s="1254"/>
      <c r="M1137" s="1244"/>
      <c r="N1137" s="1273"/>
      <c r="O1137" s="1244"/>
      <c r="P1137" s="1244"/>
      <c r="Q1137" s="1244"/>
      <c r="R1137" s="1244"/>
      <c r="S1137" s="1265"/>
      <c r="T1137" s="1244"/>
      <c r="U1137" s="1244"/>
    </row>
    <row r="1138">
      <c r="A1138" s="1235"/>
      <c r="B1138" s="1235"/>
      <c r="C1138" s="1246"/>
      <c r="D1138" s="1274"/>
      <c r="E1138" s="1248"/>
      <c r="F1138" s="1248"/>
      <c r="G1138" s="1271"/>
      <c r="H1138" s="1250"/>
      <c r="I1138" s="1251"/>
      <c r="J1138" s="1271"/>
      <c r="K1138" s="1271"/>
      <c r="L1138" s="1254"/>
      <c r="M1138" s="1244"/>
      <c r="N1138" s="1273"/>
      <c r="O1138" s="1244"/>
      <c r="P1138" s="1244"/>
      <c r="Q1138" s="1244"/>
      <c r="R1138" s="1244"/>
      <c r="S1138" s="1265"/>
      <c r="T1138" s="1244"/>
      <c r="U1138" s="1244"/>
    </row>
    <row r="1139">
      <c r="A1139" s="1235"/>
      <c r="B1139" s="1235"/>
      <c r="C1139" s="1246"/>
      <c r="D1139" s="1274"/>
      <c r="E1139" s="1248"/>
      <c r="F1139" s="1248"/>
      <c r="G1139" s="1271"/>
      <c r="H1139" s="1250"/>
      <c r="I1139" s="1251"/>
      <c r="J1139" s="1271"/>
      <c r="K1139" s="1271"/>
      <c r="L1139" s="1254"/>
      <c r="M1139" s="1244"/>
      <c r="N1139" s="1273"/>
      <c r="O1139" s="1244"/>
      <c r="P1139" s="1244"/>
      <c r="Q1139" s="1244"/>
      <c r="R1139" s="1244"/>
      <c r="S1139" s="1265"/>
      <c r="T1139" s="1244"/>
      <c r="U1139" s="1244"/>
    </row>
    <row r="1140">
      <c r="A1140" s="1235"/>
      <c r="B1140" s="1235"/>
      <c r="C1140" s="1246"/>
      <c r="D1140" s="1274"/>
      <c r="E1140" s="1248"/>
      <c r="F1140" s="1248"/>
      <c r="G1140" s="1271"/>
      <c r="H1140" s="1250"/>
      <c r="I1140" s="1251"/>
      <c r="J1140" s="1271"/>
      <c r="K1140" s="1271"/>
      <c r="L1140" s="1254"/>
      <c r="M1140" s="1244"/>
      <c r="N1140" s="1273"/>
      <c r="O1140" s="1244"/>
      <c r="P1140" s="1244"/>
      <c r="Q1140" s="1244"/>
      <c r="R1140" s="1244"/>
      <c r="S1140" s="1265"/>
      <c r="T1140" s="1244"/>
      <c r="U1140" s="1244"/>
    </row>
    <row r="1141">
      <c r="A1141" s="1235"/>
      <c r="B1141" s="1235"/>
      <c r="C1141" s="1246"/>
      <c r="D1141" s="1274"/>
      <c r="E1141" s="1248"/>
      <c r="F1141" s="1248"/>
      <c r="G1141" s="1271"/>
      <c r="H1141" s="1250"/>
      <c r="I1141" s="1251"/>
      <c r="J1141" s="1271"/>
      <c r="K1141" s="1271"/>
      <c r="L1141" s="1254"/>
      <c r="M1141" s="1244"/>
      <c r="N1141" s="1273"/>
      <c r="O1141" s="1244"/>
      <c r="P1141" s="1244"/>
      <c r="Q1141" s="1244"/>
      <c r="R1141" s="1244"/>
      <c r="S1141" s="1265"/>
      <c r="T1141" s="1244"/>
      <c r="U1141" s="1244"/>
    </row>
    <row r="1142">
      <c r="A1142" s="1235"/>
      <c r="B1142" s="1235"/>
      <c r="C1142" s="1246"/>
      <c r="D1142" s="1274"/>
      <c r="E1142" s="1248"/>
      <c r="F1142" s="1248"/>
      <c r="G1142" s="1271"/>
      <c r="H1142" s="1250"/>
      <c r="I1142" s="1251"/>
      <c r="J1142" s="1271"/>
      <c r="K1142" s="1271"/>
      <c r="L1142" s="1254"/>
      <c r="M1142" s="1244"/>
      <c r="N1142" s="1273"/>
      <c r="O1142" s="1244"/>
      <c r="P1142" s="1244"/>
      <c r="Q1142" s="1244"/>
      <c r="R1142" s="1244"/>
      <c r="S1142" s="1265"/>
      <c r="T1142" s="1244"/>
      <c r="U1142" s="1244"/>
    </row>
    <row r="1143">
      <c r="A1143" s="1235"/>
      <c r="B1143" s="1235"/>
      <c r="C1143" s="1246"/>
      <c r="D1143" s="1274"/>
      <c r="E1143" s="1248"/>
      <c r="F1143" s="1248"/>
      <c r="G1143" s="1271"/>
      <c r="H1143" s="1250"/>
      <c r="I1143" s="1251"/>
      <c r="J1143" s="1271"/>
      <c r="K1143" s="1271"/>
      <c r="L1143" s="1254"/>
      <c r="M1143" s="1244"/>
      <c r="N1143" s="1273"/>
      <c r="O1143" s="1244"/>
      <c r="P1143" s="1244"/>
      <c r="Q1143" s="1244"/>
      <c r="R1143" s="1244"/>
      <c r="S1143" s="1265"/>
      <c r="T1143" s="1244"/>
      <c r="U1143" s="1244"/>
    </row>
    <row r="1144">
      <c r="A1144" s="1235"/>
      <c r="B1144" s="1235"/>
      <c r="C1144" s="1246"/>
      <c r="D1144" s="1274"/>
      <c r="E1144" s="1248"/>
      <c r="F1144" s="1248"/>
      <c r="G1144" s="1271"/>
      <c r="H1144" s="1250"/>
      <c r="I1144" s="1251"/>
      <c r="J1144" s="1271"/>
      <c r="K1144" s="1271"/>
      <c r="L1144" s="1254"/>
      <c r="M1144" s="1244"/>
      <c r="N1144" s="1273"/>
      <c r="O1144" s="1244"/>
      <c r="P1144" s="1244"/>
      <c r="Q1144" s="1244"/>
      <c r="R1144" s="1244"/>
      <c r="S1144" s="1265"/>
      <c r="T1144" s="1244"/>
      <c r="U1144" s="1244"/>
    </row>
    <row r="1145">
      <c r="A1145" s="1235"/>
      <c r="B1145" s="1235"/>
      <c r="C1145" s="1246"/>
      <c r="D1145" s="1274"/>
      <c r="E1145" s="1248"/>
      <c r="F1145" s="1248"/>
      <c r="G1145" s="1271"/>
      <c r="H1145" s="1250"/>
      <c r="I1145" s="1251"/>
      <c r="J1145" s="1271"/>
      <c r="K1145" s="1271"/>
      <c r="L1145" s="1254"/>
      <c r="M1145" s="1244"/>
      <c r="N1145" s="1273"/>
      <c r="O1145" s="1244"/>
      <c r="P1145" s="1244"/>
      <c r="Q1145" s="1244"/>
      <c r="R1145" s="1244"/>
      <c r="S1145" s="1265"/>
      <c r="T1145" s="1244"/>
      <c r="U1145" s="1244"/>
    </row>
    <row r="1146">
      <c r="A1146" s="1235"/>
      <c r="B1146" s="1235"/>
      <c r="C1146" s="1246"/>
      <c r="D1146" s="1274"/>
      <c r="E1146" s="1248"/>
      <c r="F1146" s="1248"/>
      <c r="G1146" s="1271"/>
      <c r="H1146" s="1250"/>
      <c r="I1146" s="1251"/>
      <c r="J1146" s="1271"/>
      <c r="K1146" s="1271"/>
      <c r="L1146" s="1254"/>
      <c r="M1146" s="1244"/>
      <c r="N1146" s="1273"/>
      <c r="O1146" s="1244"/>
      <c r="P1146" s="1244"/>
      <c r="Q1146" s="1244"/>
      <c r="R1146" s="1244"/>
      <c r="S1146" s="1265"/>
      <c r="T1146" s="1244"/>
      <c r="U1146" s="1244"/>
    </row>
    <row r="1147">
      <c r="A1147" s="1235"/>
      <c r="B1147" s="1235"/>
      <c r="C1147" s="1246"/>
      <c r="D1147" s="1274"/>
      <c r="E1147" s="1248"/>
      <c r="F1147" s="1248"/>
      <c r="G1147" s="1271"/>
      <c r="H1147" s="1250"/>
      <c r="I1147" s="1251"/>
      <c r="J1147" s="1271"/>
      <c r="K1147" s="1271"/>
      <c r="L1147" s="1254"/>
      <c r="M1147" s="1244"/>
      <c r="N1147" s="1273"/>
      <c r="O1147" s="1244"/>
      <c r="P1147" s="1244"/>
      <c r="Q1147" s="1244"/>
      <c r="R1147" s="1244"/>
      <c r="S1147" s="1265"/>
      <c r="T1147" s="1244"/>
      <c r="U1147" s="1244"/>
    </row>
    <row r="1148">
      <c r="A1148" s="1235"/>
      <c r="B1148" s="1235"/>
      <c r="C1148" s="1246"/>
      <c r="D1148" s="1274"/>
      <c r="E1148" s="1248"/>
      <c r="F1148" s="1248"/>
      <c r="G1148" s="1271"/>
      <c r="H1148" s="1250"/>
      <c r="I1148" s="1251"/>
      <c r="J1148" s="1271"/>
      <c r="K1148" s="1271"/>
      <c r="L1148" s="1254"/>
      <c r="M1148" s="1244"/>
      <c r="N1148" s="1273"/>
      <c r="O1148" s="1244"/>
      <c r="P1148" s="1244"/>
      <c r="Q1148" s="1244"/>
      <c r="R1148" s="1244"/>
      <c r="S1148" s="1265"/>
      <c r="T1148" s="1244"/>
      <c r="U1148" s="1244"/>
    </row>
    <row r="1149">
      <c r="A1149" s="1235"/>
      <c r="B1149" s="1235"/>
      <c r="C1149" s="1246"/>
      <c r="D1149" s="1274"/>
      <c r="E1149" s="1248"/>
      <c r="F1149" s="1248"/>
      <c r="G1149" s="1271"/>
      <c r="H1149" s="1250"/>
      <c r="I1149" s="1251"/>
      <c r="J1149" s="1271"/>
      <c r="K1149" s="1271"/>
      <c r="L1149" s="1254"/>
      <c r="M1149" s="1244"/>
      <c r="N1149" s="1273"/>
      <c r="O1149" s="1244"/>
      <c r="P1149" s="1244"/>
      <c r="Q1149" s="1244"/>
      <c r="R1149" s="1244"/>
      <c r="S1149" s="1265"/>
      <c r="T1149" s="1244"/>
      <c r="U1149" s="1244"/>
    </row>
    <row r="1150">
      <c r="A1150" s="1235"/>
      <c r="B1150" s="1235"/>
      <c r="C1150" s="1246"/>
      <c r="D1150" s="1274"/>
      <c r="E1150" s="1248"/>
      <c r="F1150" s="1248"/>
      <c r="G1150" s="1271"/>
      <c r="H1150" s="1250"/>
      <c r="I1150" s="1251"/>
      <c r="J1150" s="1271"/>
      <c r="K1150" s="1271"/>
      <c r="L1150" s="1254"/>
      <c r="M1150" s="1244"/>
      <c r="N1150" s="1273"/>
      <c r="O1150" s="1244"/>
      <c r="P1150" s="1244"/>
      <c r="Q1150" s="1244"/>
      <c r="R1150" s="1244"/>
      <c r="S1150" s="1265"/>
      <c r="T1150" s="1244"/>
      <c r="U1150" s="1244"/>
    </row>
    <row r="1151">
      <c r="A1151" s="1235"/>
      <c r="B1151" s="1235"/>
      <c r="C1151" s="1246"/>
      <c r="D1151" s="1274"/>
      <c r="E1151" s="1248"/>
      <c r="F1151" s="1248"/>
      <c r="G1151" s="1271"/>
      <c r="H1151" s="1250"/>
      <c r="I1151" s="1251"/>
      <c r="J1151" s="1271"/>
      <c r="K1151" s="1271"/>
      <c r="L1151" s="1254"/>
      <c r="M1151" s="1244"/>
      <c r="N1151" s="1273"/>
      <c r="O1151" s="1244"/>
      <c r="P1151" s="1244"/>
      <c r="Q1151" s="1244"/>
      <c r="R1151" s="1244"/>
      <c r="S1151" s="1265"/>
      <c r="T1151" s="1244"/>
      <c r="U1151" s="1244"/>
    </row>
    <row r="1152">
      <c r="A1152" s="1235"/>
      <c r="B1152" s="1235"/>
      <c r="C1152" s="1246"/>
      <c r="D1152" s="1274"/>
      <c r="E1152" s="1248"/>
      <c r="F1152" s="1248"/>
      <c r="G1152" s="1271"/>
      <c r="H1152" s="1250"/>
      <c r="I1152" s="1251"/>
      <c r="J1152" s="1271"/>
      <c r="K1152" s="1271"/>
      <c r="L1152" s="1254"/>
      <c r="M1152" s="1244"/>
      <c r="N1152" s="1273"/>
      <c r="O1152" s="1244"/>
      <c r="P1152" s="1244"/>
      <c r="Q1152" s="1244"/>
      <c r="R1152" s="1244"/>
      <c r="S1152" s="1265"/>
      <c r="T1152" s="1244"/>
      <c r="U1152" s="1244"/>
    </row>
    <row r="1153">
      <c r="A1153" s="1235"/>
      <c r="B1153" s="1235"/>
      <c r="C1153" s="1246"/>
      <c r="D1153" s="1274"/>
      <c r="E1153" s="1248"/>
      <c r="F1153" s="1248"/>
      <c r="G1153" s="1271"/>
      <c r="H1153" s="1250"/>
      <c r="I1153" s="1251"/>
      <c r="J1153" s="1271"/>
      <c r="K1153" s="1271"/>
      <c r="L1153" s="1254"/>
      <c r="M1153" s="1244"/>
      <c r="N1153" s="1273"/>
      <c r="O1153" s="1244"/>
      <c r="P1153" s="1244"/>
      <c r="Q1153" s="1244"/>
      <c r="R1153" s="1244"/>
      <c r="S1153" s="1265"/>
      <c r="T1153" s="1244"/>
      <c r="U1153" s="1244"/>
    </row>
    <row r="1154">
      <c r="A1154" s="1235"/>
      <c r="B1154" s="1235"/>
      <c r="C1154" s="1246"/>
      <c r="D1154" s="1274"/>
      <c r="E1154" s="1248"/>
      <c r="F1154" s="1248"/>
      <c r="G1154" s="1271"/>
      <c r="H1154" s="1250"/>
      <c r="I1154" s="1251"/>
      <c r="J1154" s="1271"/>
      <c r="K1154" s="1271"/>
      <c r="L1154" s="1254"/>
      <c r="M1154" s="1244"/>
      <c r="N1154" s="1273"/>
      <c r="O1154" s="1244"/>
      <c r="P1154" s="1244"/>
      <c r="Q1154" s="1244"/>
      <c r="R1154" s="1244"/>
      <c r="S1154" s="1265"/>
      <c r="T1154" s="1244"/>
      <c r="U1154" s="1244"/>
    </row>
    <row r="1155">
      <c r="A1155" s="1235"/>
      <c r="B1155" s="1235"/>
      <c r="C1155" s="1246"/>
      <c r="D1155" s="1274"/>
      <c r="E1155" s="1248"/>
      <c r="F1155" s="1248"/>
      <c r="G1155" s="1271"/>
      <c r="H1155" s="1250"/>
      <c r="I1155" s="1251"/>
      <c r="J1155" s="1271"/>
      <c r="K1155" s="1271"/>
      <c r="L1155" s="1254"/>
      <c r="M1155" s="1244"/>
      <c r="N1155" s="1273"/>
      <c r="O1155" s="1244"/>
      <c r="P1155" s="1244"/>
      <c r="Q1155" s="1244"/>
      <c r="R1155" s="1244"/>
      <c r="S1155" s="1265"/>
      <c r="T1155" s="1244"/>
      <c r="U1155" s="1244"/>
    </row>
    <row r="1156">
      <c r="A1156" s="1235"/>
      <c r="B1156" s="1235"/>
      <c r="C1156" s="1246"/>
      <c r="D1156" s="1274"/>
      <c r="E1156" s="1248"/>
      <c r="F1156" s="1248"/>
      <c r="G1156" s="1271"/>
      <c r="H1156" s="1250"/>
      <c r="I1156" s="1251"/>
      <c r="J1156" s="1271"/>
      <c r="K1156" s="1271"/>
      <c r="L1156" s="1254"/>
      <c r="M1156" s="1244"/>
      <c r="N1156" s="1273"/>
      <c r="O1156" s="1244"/>
      <c r="P1156" s="1244"/>
      <c r="Q1156" s="1244"/>
      <c r="R1156" s="1244"/>
      <c r="S1156" s="1265"/>
      <c r="T1156" s="1244"/>
      <c r="U1156" s="1244"/>
    </row>
    <row r="1157">
      <c r="A1157" s="1235"/>
      <c r="B1157" s="1235"/>
      <c r="C1157" s="1246"/>
      <c r="D1157" s="1274"/>
      <c r="E1157" s="1248"/>
      <c r="F1157" s="1248"/>
      <c r="G1157" s="1271"/>
      <c r="H1157" s="1250"/>
      <c r="I1157" s="1251"/>
      <c r="J1157" s="1271"/>
      <c r="K1157" s="1271"/>
      <c r="L1157" s="1254"/>
      <c r="M1157" s="1244"/>
      <c r="N1157" s="1273"/>
      <c r="O1157" s="1244"/>
      <c r="P1157" s="1244"/>
      <c r="Q1157" s="1244"/>
      <c r="R1157" s="1244"/>
      <c r="S1157" s="1265"/>
      <c r="T1157" s="1244"/>
      <c r="U1157" s="1244"/>
    </row>
    <row r="1158">
      <c r="A1158" s="1235"/>
      <c r="B1158" s="1235"/>
      <c r="C1158" s="1246"/>
      <c r="D1158" s="1274"/>
      <c r="E1158" s="1248"/>
      <c r="F1158" s="1248"/>
      <c r="G1158" s="1271"/>
      <c r="H1158" s="1250"/>
      <c r="I1158" s="1251"/>
      <c r="J1158" s="1271"/>
      <c r="K1158" s="1271"/>
      <c r="L1158" s="1254"/>
      <c r="M1158" s="1244"/>
      <c r="N1158" s="1273"/>
      <c r="O1158" s="1244"/>
      <c r="P1158" s="1244"/>
      <c r="Q1158" s="1244"/>
      <c r="R1158" s="1244"/>
      <c r="S1158" s="1265"/>
      <c r="T1158" s="1244"/>
      <c r="U1158" s="1244"/>
    </row>
    <row r="1159">
      <c r="A1159" s="1235"/>
      <c r="B1159" s="1235"/>
      <c r="C1159" s="1246"/>
      <c r="D1159" s="1274"/>
      <c r="E1159" s="1248"/>
      <c r="F1159" s="1248"/>
      <c r="G1159" s="1271"/>
      <c r="H1159" s="1250"/>
      <c r="I1159" s="1251"/>
      <c r="J1159" s="1271"/>
      <c r="K1159" s="1271"/>
      <c r="L1159" s="1254"/>
      <c r="M1159" s="1244"/>
      <c r="N1159" s="1273"/>
      <c r="O1159" s="1244"/>
      <c r="P1159" s="1244"/>
      <c r="Q1159" s="1244"/>
      <c r="R1159" s="1244"/>
      <c r="S1159" s="1265"/>
      <c r="T1159" s="1244"/>
      <c r="U1159" s="1244"/>
    </row>
    <row r="1160">
      <c r="A1160" s="1235"/>
      <c r="B1160" s="1235"/>
      <c r="C1160" s="1246"/>
      <c r="D1160" s="1274"/>
      <c r="E1160" s="1248"/>
      <c r="F1160" s="1248"/>
      <c r="G1160" s="1271"/>
      <c r="H1160" s="1250"/>
      <c r="I1160" s="1251"/>
      <c r="J1160" s="1271"/>
      <c r="K1160" s="1271"/>
      <c r="L1160" s="1254"/>
      <c r="M1160" s="1244"/>
      <c r="N1160" s="1273"/>
      <c r="O1160" s="1244"/>
      <c r="P1160" s="1244"/>
      <c r="Q1160" s="1244"/>
      <c r="R1160" s="1244"/>
      <c r="S1160" s="1265"/>
      <c r="T1160" s="1244"/>
      <c r="U1160" s="1244"/>
    </row>
    <row r="1161">
      <c r="A1161" s="1235"/>
      <c r="B1161" s="1235"/>
      <c r="C1161" s="1246"/>
      <c r="D1161" s="1274"/>
      <c r="E1161" s="1248"/>
      <c r="F1161" s="1248"/>
      <c r="G1161" s="1271"/>
      <c r="H1161" s="1250"/>
      <c r="I1161" s="1251"/>
      <c r="J1161" s="1271"/>
      <c r="K1161" s="1271"/>
      <c r="L1161" s="1254"/>
      <c r="M1161" s="1244"/>
      <c r="N1161" s="1273"/>
      <c r="O1161" s="1244"/>
      <c r="P1161" s="1244"/>
      <c r="Q1161" s="1244"/>
      <c r="R1161" s="1244"/>
      <c r="S1161" s="1265"/>
      <c r="T1161" s="1244"/>
      <c r="U1161" s="1244"/>
    </row>
    <row r="1162">
      <c r="A1162" s="1235"/>
      <c r="B1162" s="1235"/>
      <c r="C1162" s="1246"/>
      <c r="D1162" s="1274"/>
      <c r="E1162" s="1248"/>
      <c r="F1162" s="1248"/>
      <c r="G1162" s="1271"/>
      <c r="H1162" s="1250"/>
      <c r="I1162" s="1251"/>
      <c r="J1162" s="1271"/>
      <c r="K1162" s="1271"/>
      <c r="L1162" s="1254"/>
      <c r="M1162" s="1244"/>
      <c r="N1162" s="1273"/>
      <c r="O1162" s="1244"/>
      <c r="P1162" s="1244"/>
      <c r="Q1162" s="1244"/>
      <c r="R1162" s="1244"/>
      <c r="S1162" s="1265"/>
      <c r="T1162" s="1244"/>
      <c r="U1162" s="1244"/>
    </row>
    <row r="1163">
      <c r="A1163" s="1235"/>
      <c r="B1163" s="1235"/>
      <c r="C1163" s="1246"/>
      <c r="D1163" s="1274"/>
      <c r="E1163" s="1248"/>
      <c r="F1163" s="1248"/>
      <c r="G1163" s="1271"/>
      <c r="H1163" s="1250"/>
      <c r="I1163" s="1251"/>
      <c r="J1163" s="1271"/>
      <c r="K1163" s="1271"/>
      <c r="L1163" s="1254"/>
      <c r="M1163" s="1244"/>
      <c r="N1163" s="1273"/>
      <c r="O1163" s="1244"/>
      <c r="P1163" s="1244"/>
      <c r="Q1163" s="1244"/>
      <c r="R1163" s="1244"/>
      <c r="S1163" s="1265"/>
      <c r="T1163" s="1244"/>
      <c r="U1163" s="1244"/>
    </row>
    <row r="1164">
      <c r="A1164" s="1235"/>
      <c r="B1164" s="1235"/>
      <c r="C1164" s="1246"/>
      <c r="D1164" s="1274"/>
      <c r="E1164" s="1248"/>
      <c r="F1164" s="1248"/>
      <c r="G1164" s="1271"/>
      <c r="H1164" s="1250"/>
      <c r="I1164" s="1251"/>
      <c r="J1164" s="1271"/>
      <c r="K1164" s="1271"/>
      <c r="L1164" s="1254"/>
      <c r="M1164" s="1244"/>
      <c r="N1164" s="1273"/>
      <c r="O1164" s="1244"/>
      <c r="P1164" s="1244"/>
      <c r="Q1164" s="1244"/>
      <c r="R1164" s="1244"/>
      <c r="S1164" s="1265"/>
      <c r="T1164" s="1244"/>
      <c r="U1164" s="1244"/>
    </row>
    <row r="1165">
      <c r="A1165" s="1235"/>
      <c r="B1165" s="1235"/>
      <c r="C1165" s="1246"/>
      <c r="D1165" s="1274"/>
      <c r="E1165" s="1248"/>
      <c r="F1165" s="1248"/>
      <c r="G1165" s="1271"/>
      <c r="H1165" s="1250"/>
      <c r="I1165" s="1251"/>
      <c r="J1165" s="1271"/>
      <c r="K1165" s="1271"/>
      <c r="L1165" s="1254"/>
      <c r="M1165" s="1244"/>
      <c r="N1165" s="1273"/>
      <c r="O1165" s="1244"/>
      <c r="P1165" s="1244"/>
      <c r="Q1165" s="1244"/>
      <c r="R1165" s="1244"/>
      <c r="S1165" s="1265"/>
      <c r="T1165" s="1244"/>
      <c r="U1165" s="1244"/>
    </row>
    <row r="1166">
      <c r="A1166" s="1235"/>
      <c r="B1166" s="1235"/>
      <c r="C1166" s="1246"/>
      <c r="D1166" s="1274"/>
      <c r="E1166" s="1248"/>
      <c r="F1166" s="1248"/>
      <c r="G1166" s="1271"/>
      <c r="H1166" s="1250"/>
      <c r="I1166" s="1251"/>
      <c r="J1166" s="1271"/>
      <c r="K1166" s="1271"/>
      <c r="L1166" s="1254"/>
      <c r="M1166" s="1244"/>
      <c r="N1166" s="1273"/>
      <c r="O1166" s="1244"/>
      <c r="P1166" s="1244"/>
      <c r="Q1166" s="1244"/>
      <c r="R1166" s="1244"/>
      <c r="S1166" s="1265"/>
      <c r="T1166" s="1244"/>
      <c r="U1166" s="1244"/>
    </row>
    <row r="1167">
      <c r="A1167" s="1235"/>
      <c r="B1167" s="1235"/>
      <c r="C1167" s="1246"/>
      <c r="D1167" s="1274"/>
      <c r="E1167" s="1248"/>
      <c r="F1167" s="1248"/>
      <c r="G1167" s="1271"/>
      <c r="H1167" s="1250"/>
      <c r="I1167" s="1251"/>
      <c r="J1167" s="1271"/>
      <c r="K1167" s="1271"/>
      <c r="L1167" s="1254"/>
      <c r="M1167" s="1244"/>
      <c r="N1167" s="1273"/>
      <c r="O1167" s="1244"/>
      <c r="P1167" s="1244"/>
      <c r="Q1167" s="1244"/>
      <c r="R1167" s="1244"/>
      <c r="S1167" s="1265"/>
      <c r="T1167" s="1244"/>
      <c r="U1167" s="1244"/>
    </row>
    <row r="1168">
      <c r="A1168" s="1235"/>
      <c r="B1168" s="1235"/>
      <c r="C1168" s="1246"/>
      <c r="D1168" s="1274"/>
      <c r="E1168" s="1248"/>
      <c r="F1168" s="1248"/>
      <c r="G1168" s="1271"/>
      <c r="H1168" s="1250"/>
      <c r="I1168" s="1251"/>
      <c r="J1168" s="1271"/>
      <c r="K1168" s="1271"/>
      <c r="L1168" s="1254"/>
      <c r="M1168" s="1244"/>
      <c r="N1168" s="1273"/>
      <c r="O1168" s="1244"/>
      <c r="P1168" s="1244"/>
      <c r="Q1168" s="1244"/>
      <c r="R1168" s="1244"/>
      <c r="S1168" s="1265"/>
      <c r="T1168" s="1244"/>
      <c r="U1168" s="1244"/>
    </row>
    <row r="1169">
      <c r="A1169" s="1235"/>
      <c r="B1169" s="1235"/>
      <c r="C1169" s="1246"/>
      <c r="D1169" s="1274"/>
      <c r="E1169" s="1248"/>
      <c r="F1169" s="1248"/>
      <c r="G1169" s="1271"/>
      <c r="H1169" s="1250"/>
      <c r="I1169" s="1251"/>
      <c r="J1169" s="1271"/>
      <c r="K1169" s="1271"/>
      <c r="L1169" s="1254"/>
      <c r="M1169" s="1244"/>
      <c r="N1169" s="1273"/>
      <c r="O1169" s="1244"/>
      <c r="P1169" s="1244"/>
      <c r="Q1169" s="1244"/>
      <c r="R1169" s="1244"/>
      <c r="S1169" s="1265"/>
      <c r="T1169" s="1244"/>
      <c r="U1169" s="1244"/>
    </row>
    <row r="1170">
      <c r="A1170" s="1235"/>
      <c r="B1170" s="1235"/>
      <c r="C1170" s="1246"/>
      <c r="D1170" s="1274"/>
      <c r="E1170" s="1248"/>
      <c r="F1170" s="1248"/>
      <c r="G1170" s="1271"/>
      <c r="H1170" s="1250"/>
      <c r="I1170" s="1251"/>
      <c r="J1170" s="1271"/>
      <c r="K1170" s="1271"/>
      <c r="L1170" s="1254"/>
      <c r="M1170" s="1244"/>
      <c r="N1170" s="1273"/>
      <c r="O1170" s="1244"/>
      <c r="P1170" s="1244"/>
      <c r="Q1170" s="1244"/>
      <c r="R1170" s="1244"/>
      <c r="S1170" s="1265"/>
      <c r="T1170" s="1244"/>
      <c r="U1170" s="1244"/>
    </row>
    <row r="1171">
      <c r="A1171" s="1235"/>
      <c r="B1171" s="1235"/>
      <c r="C1171" s="1246"/>
      <c r="D1171" s="1274"/>
      <c r="E1171" s="1248"/>
      <c r="F1171" s="1248"/>
      <c r="G1171" s="1271"/>
      <c r="H1171" s="1250"/>
      <c r="I1171" s="1251"/>
      <c r="J1171" s="1271"/>
      <c r="K1171" s="1271"/>
      <c r="L1171" s="1254"/>
      <c r="M1171" s="1244"/>
      <c r="N1171" s="1273"/>
      <c r="O1171" s="1244"/>
      <c r="P1171" s="1244"/>
      <c r="Q1171" s="1244"/>
      <c r="R1171" s="1244"/>
      <c r="S1171" s="1265"/>
      <c r="T1171" s="1244"/>
      <c r="U1171" s="1244"/>
    </row>
    <row r="1172">
      <c r="A1172" s="1235"/>
      <c r="B1172" s="1235"/>
      <c r="C1172" s="1246"/>
      <c r="D1172" s="1274"/>
      <c r="E1172" s="1248"/>
      <c r="F1172" s="1248"/>
      <c r="G1172" s="1271"/>
      <c r="H1172" s="1250"/>
      <c r="I1172" s="1251"/>
      <c r="J1172" s="1271"/>
      <c r="K1172" s="1271"/>
      <c r="L1172" s="1254"/>
      <c r="M1172" s="1244"/>
      <c r="N1172" s="1273"/>
      <c r="O1172" s="1244"/>
      <c r="P1172" s="1244"/>
      <c r="Q1172" s="1244"/>
      <c r="R1172" s="1244"/>
      <c r="S1172" s="1265"/>
      <c r="T1172" s="1244"/>
      <c r="U1172" s="1244"/>
    </row>
    <row r="1173">
      <c r="A1173" s="1235"/>
      <c r="B1173" s="1235"/>
      <c r="C1173" s="1246"/>
      <c r="D1173" s="1274"/>
      <c r="E1173" s="1248"/>
      <c r="F1173" s="1248"/>
      <c r="G1173" s="1271"/>
      <c r="H1173" s="1250"/>
      <c r="I1173" s="1251"/>
      <c r="J1173" s="1271"/>
      <c r="K1173" s="1271"/>
      <c r="L1173" s="1254"/>
      <c r="M1173" s="1244"/>
      <c r="N1173" s="1273"/>
      <c r="O1173" s="1244"/>
      <c r="P1173" s="1244"/>
      <c r="Q1173" s="1244"/>
      <c r="R1173" s="1244"/>
      <c r="S1173" s="1265"/>
      <c r="T1173" s="1244"/>
      <c r="U1173" s="1244"/>
    </row>
    <row r="1174">
      <c r="A1174" s="1235"/>
      <c r="B1174" s="1235"/>
      <c r="C1174" s="1246"/>
      <c r="D1174" s="1274"/>
      <c r="E1174" s="1248"/>
      <c r="F1174" s="1248"/>
      <c r="G1174" s="1271"/>
      <c r="H1174" s="1250"/>
      <c r="I1174" s="1251"/>
      <c r="J1174" s="1271"/>
      <c r="K1174" s="1271"/>
      <c r="L1174" s="1254"/>
      <c r="M1174" s="1244"/>
      <c r="N1174" s="1273"/>
      <c r="O1174" s="1244"/>
      <c r="P1174" s="1244"/>
      <c r="Q1174" s="1244"/>
      <c r="R1174" s="1244"/>
      <c r="S1174" s="1265"/>
      <c r="T1174" s="1244"/>
      <c r="U1174" s="1244"/>
    </row>
    <row r="1175">
      <c r="A1175" s="1235"/>
      <c r="B1175" s="1235"/>
      <c r="C1175" s="1246"/>
      <c r="D1175" s="1274"/>
      <c r="E1175" s="1248"/>
      <c r="F1175" s="1248"/>
      <c r="G1175" s="1271"/>
      <c r="H1175" s="1250"/>
      <c r="I1175" s="1251"/>
      <c r="J1175" s="1271"/>
      <c r="K1175" s="1271"/>
      <c r="L1175" s="1254"/>
      <c r="M1175" s="1244"/>
      <c r="N1175" s="1273"/>
      <c r="O1175" s="1244"/>
      <c r="P1175" s="1244"/>
      <c r="Q1175" s="1244"/>
      <c r="R1175" s="1244"/>
      <c r="S1175" s="1265"/>
      <c r="T1175" s="1244"/>
      <c r="U1175" s="1244"/>
    </row>
    <row r="1176">
      <c r="A1176" s="1235"/>
      <c r="B1176" s="1235"/>
      <c r="C1176" s="1246"/>
      <c r="D1176" s="1274"/>
      <c r="E1176" s="1248"/>
      <c r="F1176" s="1248"/>
      <c r="G1176" s="1271"/>
      <c r="H1176" s="1250"/>
      <c r="I1176" s="1251"/>
      <c r="J1176" s="1271"/>
      <c r="K1176" s="1271"/>
      <c r="L1176" s="1254"/>
      <c r="M1176" s="1244"/>
      <c r="N1176" s="1273"/>
      <c r="O1176" s="1244"/>
      <c r="P1176" s="1244"/>
      <c r="Q1176" s="1244"/>
      <c r="R1176" s="1244"/>
      <c r="S1176" s="1265"/>
      <c r="T1176" s="1244"/>
      <c r="U1176" s="1244"/>
    </row>
    <row r="1177">
      <c r="A1177" s="1235"/>
      <c r="B1177" s="1235"/>
      <c r="C1177" s="1246"/>
      <c r="D1177" s="1274"/>
      <c r="E1177" s="1248"/>
      <c r="F1177" s="1248"/>
      <c r="G1177" s="1271"/>
      <c r="H1177" s="1250"/>
      <c r="I1177" s="1251"/>
      <c r="J1177" s="1271"/>
      <c r="K1177" s="1271"/>
      <c r="L1177" s="1254"/>
      <c r="M1177" s="1244"/>
      <c r="N1177" s="1273"/>
      <c r="O1177" s="1244"/>
      <c r="P1177" s="1244"/>
      <c r="Q1177" s="1244"/>
      <c r="R1177" s="1244"/>
      <c r="S1177" s="1265"/>
      <c r="T1177" s="1244"/>
      <c r="U1177" s="1244"/>
    </row>
    <row r="1178">
      <c r="A1178" s="1235"/>
      <c r="B1178" s="1235"/>
      <c r="C1178" s="1246"/>
      <c r="D1178" s="1274"/>
      <c r="E1178" s="1248"/>
      <c r="F1178" s="1248"/>
      <c r="G1178" s="1271"/>
      <c r="H1178" s="1250"/>
      <c r="I1178" s="1251"/>
      <c r="J1178" s="1271"/>
      <c r="K1178" s="1271"/>
      <c r="L1178" s="1254"/>
      <c r="M1178" s="1244"/>
      <c r="N1178" s="1273"/>
      <c r="O1178" s="1244"/>
      <c r="P1178" s="1244"/>
      <c r="Q1178" s="1244"/>
      <c r="R1178" s="1244"/>
      <c r="S1178" s="1265"/>
      <c r="T1178" s="1244"/>
      <c r="U1178" s="1244"/>
    </row>
    <row r="1179">
      <c r="A1179" s="1235"/>
      <c r="B1179" s="1235"/>
      <c r="C1179" s="1246"/>
      <c r="D1179" s="1274"/>
      <c r="E1179" s="1248"/>
      <c r="F1179" s="1248"/>
      <c r="G1179" s="1271"/>
      <c r="H1179" s="1250"/>
      <c r="I1179" s="1251"/>
      <c r="J1179" s="1271"/>
      <c r="K1179" s="1271"/>
      <c r="L1179" s="1254"/>
      <c r="M1179" s="1244"/>
      <c r="N1179" s="1273"/>
      <c r="O1179" s="1244"/>
      <c r="P1179" s="1244"/>
      <c r="Q1179" s="1244"/>
      <c r="R1179" s="1244"/>
      <c r="S1179" s="1265"/>
      <c r="T1179" s="1244"/>
      <c r="U1179" s="1244"/>
    </row>
    <row r="1180">
      <c r="A1180" s="1235"/>
      <c r="B1180" s="1235"/>
      <c r="C1180" s="1246"/>
      <c r="D1180" s="1274"/>
      <c r="E1180" s="1248"/>
      <c r="F1180" s="1248"/>
      <c r="G1180" s="1271"/>
      <c r="H1180" s="1250"/>
      <c r="I1180" s="1251"/>
      <c r="J1180" s="1271"/>
      <c r="K1180" s="1271"/>
      <c r="L1180" s="1254"/>
      <c r="M1180" s="1244"/>
      <c r="N1180" s="1273"/>
      <c r="O1180" s="1244"/>
      <c r="P1180" s="1244"/>
      <c r="Q1180" s="1244"/>
      <c r="R1180" s="1244"/>
      <c r="S1180" s="1265"/>
      <c r="T1180" s="1244"/>
      <c r="U1180" s="1244"/>
    </row>
    <row r="1181">
      <c r="A1181" s="1235"/>
      <c r="B1181" s="1235"/>
      <c r="C1181" s="1246"/>
      <c r="D1181" s="1274"/>
      <c r="E1181" s="1248"/>
      <c r="F1181" s="1248"/>
      <c r="G1181" s="1271"/>
      <c r="H1181" s="1250"/>
      <c r="I1181" s="1251"/>
      <c r="J1181" s="1271"/>
      <c r="K1181" s="1271"/>
      <c r="L1181" s="1254"/>
      <c r="M1181" s="1244"/>
      <c r="N1181" s="1273"/>
      <c r="O1181" s="1244"/>
      <c r="P1181" s="1244"/>
      <c r="Q1181" s="1244"/>
      <c r="R1181" s="1244"/>
      <c r="S1181" s="1265"/>
      <c r="T1181" s="1244"/>
      <c r="U1181" s="1244"/>
    </row>
    <row r="1182">
      <c r="A1182" s="1235"/>
      <c r="B1182" s="1235"/>
      <c r="C1182" s="1246"/>
      <c r="D1182" s="1274"/>
      <c r="E1182" s="1248"/>
      <c r="F1182" s="1248"/>
      <c r="G1182" s="1271"/>
      <c r="H1182" s="1250"/>
      <c r="I1182" s="1251"/>
      <c r="J1182" s="1271"/>
      <c r="K1182" s="1271"/>
      <c r="L1182" s="1254"/>
      <c r="M1182" s="1244"/>
      <c r="N1182" s="1273"/>
      <c r="O1182" s="1244"/>
      <c r="P1182" s="1244"/>
      <c r="Q1182" s="1244"/>
      <c r="R1182" s="1244"/>
      <c r="S1182" s="1265"/>
      <c r="T1182" s="1244"/>
      <c r="U1182" s="1244"/>
    </row>
    <row r="1183">
      <c r="A1183" s="1235"/>
      <c r="B1183" s="1235"/>
      <c r="C1183" s="1246"/>
      <c r="D1183" s="1274"/>
      <c r="E1183" s="1248"/>
      <c r="F1183" s="1248"/>
      <c r="G1183" s="1271"/>
      <c r="H1183" s="1250"/>
      <c r="I1183" s="1251"/>
      <c r="J1183" s="1271"/>
      <c r="K1183" s="1271"/>
      <c r="L1183" s="1254"/>
      <c r="M1183" s="1244"/>
      <c r="N1183" s="1273"/>
      <c r="O1183" s="1244"/>
      <c r="P1183" s="1244"/>
      <c r="Q1183" s="1244"/>
      <c r="R1183" s="1244"/>
      <c r="S1183" s="1265"/>
      <c r="T1183" s="1244"/>
      <c r="U1183" s="1244"/>
    </row>
    <row r="1184">
      <c r="A1184" s="1235"/>
      <c r="B1184" s="1235"/>
      <c r="C1184" s="1246"/>
      <c r="D1184" s="1274"/>
      <c r="E1184" s="1248"/>
      <c r="F1184" s="1248"/>
      <c r="G1184" s="1271"/>
      <c r="H1184" s="1250"/>
      <c r="I1184" s="1251"/>
      <c r="J1184" s="1271"/>
      <c r="K1184" s="1271"/>
      <c r="L1184" s="1254"/>
      <c r="M1184" s="1244"/>
      <c r="N1184" s="1273"/>
      <c r="O1184" s="1244"/>
      <c r="P1184" s="1244"/>
      <c r="Q1184" s="1244"/>
      <c r="R1184" s="1244"/>
      <c r="S1184" s="1265"/>
      <c r="T1184" s="1244"/>
      <c r="U1184" s="1244"/>
    </row>
    <row r="1185">
      <c r="A1185" s="1235"/>
      <c r="B1185" s="1235"/>
      <c r="C1185" s="1246"/>
      <c r="D1185" s="1274"/>
      <c r="E1185" s="1248"/>
      <c r="F1185" s="1248"/>
      <c r="G1185" s="1271"/>
      <c r="H1185" s="1250"/>
      <c r="I1185" s="1251"/>
      <c r="J1185" s="1271"/>
      <c r="K1185" s="1271"/>
      <c r="L1185" s="1254"/>
      <c r="M1185" s="1244"/>
      <c r="N1185" s="1273"/>
      <c r="O1185" s="1244"/>
      <c r="P1185" s="1244"/>
      <c r="Q1185" s="1244"/>
      <c r="R1185" s="1244"/>
      <c r="S1185" s="1265"/>
      <c r="T1185" s="1244"/>
      <c r="U1185" s="1244"/>
    </row>
    <row r="1186">
      <c r="A1186" s="1235"/>
      <c r="B1186" s="1235"/>
      <c r="C1186" s="1246"/>
      <c r="D1186" s="1274"/>
      <c r="E1186" s="1248"/>
      <c r="F1186" s="1248"/>
      <c r="G1186" s="1271"/>
      <c r="H1186" s="1250"/>
      <c r="I1186" s="1251"/>
      <c r="J1186" s="1271"/>
      <c r="K1186" s="1271"/>
      <c r="L1186" s="1254"/>
      <c r="M1186" s="1244"/>
      <c r="N1186" s="1273"/>
      <c r="O1186" s="1244"/>
      <c r="P1186" s="1244"/>
      <c r="Q1186" s="1244"/>
      <c r="R1186" s="1244"/>
      <c r="S1186" s="1265"/>
      <c r="T1186" s="1244"/>
      <c r="U1186" s="1244"/>
    </row>
    <row r="1187">
      <c r="A1187" s="1235"/>
      <c r="B1187" s="1235"/>
      <c r="C1187" s="1246"/>
      <c r="D1187" s="1274"/>
      <c r="E1187" s="1248"/>
      <c r="F1187" s="1248"/>
      <c r="G1187" s="1271"/>
      <c r="H1187" s="1250"/>
      <c r="I1187" s="1251"/>
      <c r="J1187" s="1271"/>
      <c r="K1187" s="1271"/>
      <c r="L1187" s="1254"/>
      <c r="M1187" s="1244"/>
      <c r="N1187" s="1273"/>
      <c r="O1187" s="1244"/>
      <c r="P1187" s="1244"/>
      <c r="Q1187" s="1244"/>
      <c r="R1187" s="1244"/>
      <c r="S1187" s="1265"/>
      <c r="T1187" s="1244"/>
      <c r="U1187" s="1244"/>
    </row>
    <row r="1188">
      <c r="A1188" s="1235"/>
      <c r="B1188" s="1235"/>
      <c r="C1188" s="1246"/>
      <c r="D1188" s="1274"/>
      <c r="E1188" s="1248"/>
      <c r="F1188" s="1248"/>
      <c r="G1188" s="1271"/>
      <c r="H1188" s="1250"/>
      <c r="I1188" s="1251"/>
      <c r="J1188" s="1271"/>
      <c r="K1188" s="1271"/>
      <c r="L1188" s="1254"/>
      <c r="M1188" s="1244"/>
      <c r="N1188" s="1273"/>
      <c r="O1188" s="1244"/>
      <c r="P1188" s="1244"/>
      <c r="Q1188" s="1244"/>
      <c r="R1188" s="1244"/>
      <c r="S1188" s="1265"/>
      <c r="T1188" s="1244"/>
      <c r="U1188" s="1244"/>
    </row>
    <row r="1189">
      <c r="A1189" s="1235"/>
      <c r="B1189" s="1235"/>
      <c r="C1189" s="1246"/>
      <c r="D1189" s="1274"/>
      <c r="E1189" s="1248"/>
      <c r="F1189" s="1248"/>
      <c r="G1189" s="1271"/>
      <c r="H1189" s="1250"/>
      <c r="I1189" s="1251"/>
      <c r="J1189" s="1271"/>
      <c r="K1189" s="1271"/>
      <c r="L1189" s="1254"/>
      <c r="M1189" s="1244"/>
      <c r="N1189" s="1273"/>
      <c r="O1189" s="1244"/>
      <c r="P1189" s="1244"/>
      <c r="Q1189" s="1244"/>
      <c r="R1189" s="1244"/>
      <c r="S1189" s="1265"/>
      <c r="T1189" s="1244"/>
      <c r="U1189" s="1244"/>
    </row>
    <row r="1190">
      <c r="A1190" s="1235"/>
      <c r="B1190" s="1235"/>
      <c r="C1190" s="1246"/>
      <c r="D1190" s="1274"/>
      <c r="E1190" s="1248"/>
      <c r="F1190" s="1248"/>
      <c r="G1190" s="1271"/>
      <c r="H1190" s="1250"/>
      <c r="I1190" s="1251"/>
      <c r="J1190" s="1271"/>
      <c r="K1190" s="1271"/>
      <c r="L1190" s="1254"/>
      <c r="M1190" s="1244"/>
      <c r="N1190" s="1273"/>
      <c r="O1190" s="1244"/>
      <c r="P1190" s="1244"/>
      <c r="Q1190" s="1244"/>
      <c r="R1190" s="1244"/>
      <c r="S1190" s="1265"/>
      <c r="T1190" s="1244"/>
      <c r="U1190" s="1244"/>
    </row>
    <row r="1191">
      <c r="A1191" s="1235"/>
      <c r="B1191" s="1235"/>
      <c r="C1191" s="1246"/>
      <c r="D1191" s="1274"/>
      <c r="E1191" s="1248"/>
      <c r="F1191" s="1248"/>
      <c r="G1191" s="1271"/>
      <c r="H1191" s="1250"/>
      <c r="I1191" s="1251"/>
      <c r="J1191" s="1271"/>
      <c r="K1191" s="1271"/>
      <c r="L1191" s="1254"/>
      <c r="M1191" s="1244"/>
      <c r="N1191" s="1273"/>
      <c r="O1191" s="1244"/>
      <c r="P1191" s="1244"/>
      <c r="Q1191" s="1244"/>
      <c r="R1191" s="1244"/>
      <c r="S1191" s="1265"/>
      <c r="T1191" s="1244"/>
      <c r="U1191" s="1244"/>
    </row>
    <row r="1192">
      <c r="A1192" s="1235"/>
      <c r="B1192" s="1235"/>
      <c r="C1192" s="1246"/>
      <c r="D1192" s="1274"/>
      <c r="E1192" s="1248"/>
      <c r="F1192" s="1248"/>
      <c r="G1192" s="1271"/>
      <c r="H1192" s="1250"/>
      <c r="I1192" s="1251"/>
      <c r="J1192" s="1271"/>
      <c r="K1192" s="1271"/>
      <c r="L1192" s="1254"/>
      <c r="M1192" s="1244"/>
      <c r="N1192" s="1273"/>
      <c r="O1192" s="1244"/>
      <c r="P1192" s="1244"/>
      <c r="Q1192" s="1244"/>
      <c r="R1192" s="1244"/>
      <c r="S1192" s="1265"/>
      <c r="T1192" s="1244"/>
      <c r="U1192" s="1244"/>
    </row>
    <row r="1193">
      <c r="A1193" s="1235"/>
      <c r="B1193" s="1235"/>
      <c r="C1193" s="1246"/>
      <c r="D1193" s="1274"/>
      <c r="E1193" s="1248"/>
      <c r="F1193" s="1248"/>
      <c r="G1193" s="1271"/>
      <c r="H1193" s="1250"/>
      <c r="I1193" s="1251"/>
      <c r="J1193" s="1271"/>
      <c r="K1193" s="1271"/>
      <c r="L1193" s="1254"/>
      <c r="M1193" s="1244"/>
      <c r="N1193" s="1273"/>
      <c r="O1193" s="1244"/>
      <c r="P1193" s="1244"/>
      <c r="Q1193" s="1244"/>
      <c r="R1193" s="1244"/>
      <c r="S1193" s="1265"/>
      <c r="T1193" s="1244"/>
      <c r="U1193" s="1244"/>
    </row>
    <row r="1194">
      <c r="A1194" s="1235"/>
      <c r="B1194" s="1235"/>
      <c r="C1194" s="1246"/>
      <c r="D1194" s="1274"/>
      <c r="E1194" s="1248"/>
      <c r="F1194" s="1248"/>
      <c r="G1194" s="1271"/>
      <c r="H1194" s="1250"/>
      <c r="I1194" s="1251"/>
      <c r="J1194" s="1271"/>
      <c r="K1194" s="1271"/>
      <c r="L1194" s="1254"/>
      <c r="M1194" s="1244"/>
      <c r="N1194" s="1273"/>
      <c r="O1194" s="1244"/>
      <c r="P1194" s="1244"/>
      <c r="Q1194" s="1244"/>
      <c r="R1194" s="1244"/>
      <c r="S1194" s="1265"/>
      <c r="T1194" s="1244"/>
      <c r="U1194" s="1244"/>
    </row>
    <row r="1195">
      <c r="A1195" s="1235"/>
      <c r="B1195" s="1235"/>
      <c r="C1195" s="1246"/>
      <c r="D1195" s="1274"/>
      <c r="E1195" s="1248"/>
      <c r="F1195" s="1248"/>
      <c r="G1195" s="1271"/>
      <c r="H1195" s="1250"/>
      <c r="I1195" s="1251"/>
      <c r="J1195" s="1271"/>
      <c r="K1195" s="1271"/>
      <c r="L1195" s="1254"/>
      <c r="M1195" s="1244"/>
      <c r="N1195" s="1273"/>
      <c r="O1195" s="1244"/>
      <c r="P1195" s="1244"/>
      <c r="Q1195" s="1244"/>
      <c r="R1195" s="1244"/>
      <c r="S1195" s="1265"/>
      <c r="T1195" s="1244"/>
      <c r="U1195" s="1244"/>
    </row>
    <row r="1196">
      <c r="A1196" s="1235"/>
      <c r="B1196" s="1235"/>
      <c r="C1196" s="1246"/>
      <c r="D1196" s="1274"/>
      <c r="E1196" s="1248"/>
      <c r="F1196" s="1248"/>
      <c r="G1196" s="1271"/>
      <c r="H1196" s="1250"/>
      <c r="I1196" s="1251"/>
      <c r="J1196" s="1271"/>
      <c r="K1196" s="1271"/>
      <c r="L1196" s="1254"/>
      <c r="M1196" s="1244"/>
      <c r="N1196" s="1273"/>
      <c r="O1196" s="1244"/>
      <c r="P1196" s="1244"/>
      <c r="Q1196" s="1244"/>
      <c r="R1196" s="1244"/>
      <c r="S1196" s="1265"/>
      <c r="T1196" s="1244"/>
      <c r="U1196" s="1244"/>
    </row>
    <row r="1197">
      <c r="A1197" s="1235"/>
      <c r="B1197" s="1235"/>
      <c r="C1197" s="1246"/>
      <c r="D1197" s="1274"/>
      <c r="E1197" s="1248"/>
      <c r="F1197" s="1248"/>
      <c r="G1197" s="1271"/>
      <c r="H1197" s="1250"/>
      <c r="I1197" s="1251"/>
      <c r="J1197" s="1271"/>
      <c r="K1197" s="1271"/>
      <c r="L1197" s="1254"/>
      <c r="M1197" s="1244"/>
      <c r="N1197" s="1273"/>
      <c r="O1197" s="1244"/>
      <c r="P1197" s="1244"/>
      <c r="Q1197" s="1244"/>
      <c r="R1197" s="1244"/>
      <c r="S1197" s="1265"/>
      <c r="T1197" s="1244"/>
      <c r="U1197" s="1244"/>
    </row>
    <row r="1198">
      <c r="A1198" s="1235"/>
      <c r="B1198" s="1235"/>
      <c r="C1198" s="1246"/>
      <c r="D1198" s="1274"/>
      <c r="E1198" s="1248"/>
      <c r="F1198" s="1248"/>
      <c r="G1198" s="1271"/>
      <c r="H1198" s="1250"/>
      <c r="I1198" s="1251"/>
      <c r="J1198" s="1271"/>
      <c r="K1198" s="1271"/>
      <c r="L1198" s="1254"/>
      <c r="M1198" s="1244"/>
      <c r="N1198" s="1273"/>
      <c r="O1198" s="1244"/>
      <c r="P1198" s="1244"/>
      <c r="Q1198" s="1244"/>
      <c r="R1198" s="1244"/>
      <c r="S1198" s="1265"/>
      <c r="T1198" s="1244"/>
      <c r="U1198" s="1244"/>
    </row>
    <row r="1199">
      <c r="A1199" s="1235"/>
      <c r="B1199" s="1235"/>
      <c r="C1199" s="1246"/>
      <c r="D1199" s="1274"/>
      <c r="E1199" s="1248"/>
      <c r="F1199" s="1248"/>
      <c r="G1199" s="1271"/>
      <c r="H1199" s="1250"/>
      <c r="I1199" s="1251"/>
      <c r="J1199" s="1271"/>
      <c r="K1199" s="1271"/>
      <c r="L1199" s="1254"/>
      <c r="M1199" s="1244"/>
      <c r="N1199" s="1273"/>
      <c r="O1199" s="1244"/>
      <c r="P1199" s="1244"/>
      <c r="Q1199" s="1244"/>
      <c r="R1199" s="1244"/>
      <c r="S1199" s="1265"/>
      <c r="T1199" s="1244"/>
      <c r="U1199" s="1244"/>
    </row>
    <row r="1200">
      <c r="A1200" s="1235"/>
      <c r="B1200" s="1235"/>
      <c r="C1200" s="1246"/>
      <c r="D1200" s="1274"/>
      <c r="E1200" s="1248"/>
      <c r="F1200" s="1248"/>
      <c r="G1200" s="1271"/>
      <c r="H1200" s="1250"/>
      <c r="I1200" s="1251"/>
      <c r="J1200" s="1271"/>
      <c r="K1200" s="1271"/>
      <c r="L1200" s="1254"/>
      <c r="M1200" s="1244"/>
      <c r="N1200" s="1273"/>
      <c r="O1200" s="1244"/>
      <c r="P1200" s="1244"/>
      <c r="Q1200" s="1244"/>
      <c r="R1200" s="1244"/>
      <c r="S1200" s="1265"/>
      <c r="T1200" s="1244"/>
      <c r="U1200" s="1244"/>
    </row>
    <row r="1201">
      <c r="A1201" s="1235"/>
      <c r="B1201" s="1235"/>
      <c r="C1201" s="1246"/>
      <c r="D1201" s="1274"/>
      <c r="E1201" s="1248"/>
      <c r="F1201" s="1248"/>
      <c r="G1201" s="1271"/>
      <c r="H1201" s="1250"/>
      <c r="I1201" s="1251"/>
      <c r="J1201" s="1271"/>
      <c r="K1201" s="1271"/>
      <c r="L1201" s="1254"/>
      <c r="M1201" s="1244"/>
      <c r="N1201" s="1273"/>
      <c r="O1201" s="1244"/>
      <c r="P1201" s="1244"/>
      <c r="Q1201" s="1244"/>
      <c r="R1201" s="1244"/>
      <c r="S1201" s="1265"/>
      <c r="T1201" s="1244"/>
      <c r="U1201" s="1244"/>
    </row>
    <row r="1202">
      <c r="A1202" s="1235"/>
      <c r="B1202" s="1235"/>
      <c r="C1202" s="1246"/>
      <c r="D1202" s="1274"/>
      <c r="E1202" s="1248"/>
      <c r="F1202" s="1248"/>
      <c r="G1202" s="1271"/>
      <c r="H1202" s="1250"/>
      <c r="I1202" s="1251"/>
      <c r="J1202" s="1271"/>
      <c r="K1202" s="1271"/>
      <c r="L1202" s="1254"/>
      <c r="M1202" s="1244"/>
      <c r="N1202" s="1273"/>
      <c r="O1202" s="1244"/>
      <c r="P1202" s="1244"/>
      <c r="Q1202" s="1244"/>
      <c r="R1202" s="1244"/>
      <c r="S1202" s="1265"/>
      <c r="T1202" s="1244"/>
      <c r="U1202" s="1244"/>
    </row>
    <row r="1203">
      <c r="A1203" s="1235"/>
      <c r="B1203" s="1235"/>
      <c r="C1203" s="1246"/>
      <c r="D1203" s="1274"/>
      <c r="E1203" s="1248"/>
      <c r="F1203" s="1248"/>
      <c r="G1203" s="1271"/>
      <c r="H1203" s="1250"/>
      <c r="I1203" s="1251"/>
      <c r="J1203" s="1271"/>
      <c r="K1203" s="1271"/>
      <c r="L1203" s="1254"/>
      <c r="M1203" s="1244"/>
      <c r="N1203" s="1273"/>
      <c r="O1203" s="1244"/>
      <c r="P1203" s="1244"/>
      <c r="Q1203" s="1244"/>
      <c r="R1203" s="1244"/>
      <c r="S1203" s="1265"/>
      <c r="T1203" s="1244"/>
      <c r="U1203" s="1244"/>
    </row>
    <row r="1204">
      <c r="A1204" s="1235"/>
      <c r="B1204" s="1235"/>
      <c r="C1204" s="1246"/>
      <c r="D1204" s="1274"/>
      <c r="E1204" s="1248"/>
      <c r="F1204" s="1248"/>
      <c r="G1204" s="1271"/>
      <c r="H1204" s="1250"/>
      <c r="I1204" s="1251"/>
      <c r="J1204" s="1271"/>
      <c r="K1204" s="1271"/>
      <c r="L1204" s="1254"/>
      <c r="M1204" s="1244"/>
      <c r="N1204" s="1273"/>
      <c r="O1204" s="1244"/>
      <c r="P1204" s="1244"/>
      <c r="Q1204" s="1244"/>
      <c r="R1204" s="1244"/>
      <c r="S1204" s="1265"/>
      <c r="T1204" s="1244"/>
      <c r="U1204" s="1244"/>
    </row>
    <row r="1205">
      <c r="A1205" s="1235"/>
      <c r="B1205" s="1235"/>
      <c r="C1205" s="1246"/>
      <c r="D1205" s="1274"/>
      <c r="E1205" s="1248"/>
      <c r="F1205" s="1248"/>
      <c r="G1205" s="1271"/>
      <c r="H1205" s="1250"/>
      <c r="I1205" s="1251"/>
      <c r="J1205" s="1271"/>
      <c r="K1205" s="1271"/>
      <c r="L1205" s="1254"/>
      <c r="M1205" s="1244"/>
      <c r="N1205" s="1273"/>
      <c r="O1205" s="1244"/>
      <c r="P1205" s="1244"/>
      <c r="Q1205" s="1244"/>
      <c r="R1205" s="1244"/>
      <c r="S1205" s="1265"/>
      <c r="T1205" s="1244"/>
      <c r="U1205" s="1244"/>
    </row>
    <row r="1206">
      <c r="A1206" s="1235"/>
      <c r="B1206" s="1235"/>
      <c r="C1206" s="1246"/>
      <c r="D1206" s="1274"/>
      <c r="E1206" s="1248"/>
      <c r="F1206" s="1248"/>
      <c r="G1206" s="1271"/>
      <c r="H1206" s="1250"/>
      <c r="I1206" s="1251"/>
      <c r="J1206" s="1271"/>
      <c r="K1206" s="1271"/>
      <c r="L1206" s="1254"/>
      <c r="M1206" s="1244"/>
      <c r="N1206" s="1273"/>
      <c r="O1206" s="1244"/>
      <c r="P1206" s="1244"/>
      <c r="Q1206" s="1244"/>
      <c r="R1206" s="1244"/>
      <c r="S1206" s="1265"/>
      <c r="T1206" s="1244"/>
      <c r="U1206" s="1244"/>
    </row>
    <row r="1207">
      <c r="A1207" s="1235"/>
      <c r="B1207" s="1235"/>
      <c r="C1207" s="1246"/>
      <c r="D1207" s="1274"/>
      <c r="E1207" s="1248"/>
      <c r="F1207" s="1248"/>
      <c r="G1207" s="1271"/>
      <c r="H1207" s="1250"/>
      <c r="I1207" s="1251"/>
      <c r="J1207" s="1271"/>
      <c r="K1207" s="1271"/>
      <c r="L1207" s="1254"/>
      <c r="M1207" s="1244"/>
      <c r="N1207" s="1273"/>
      <c r="O1207" s="1244"/>
      <c r="P1207" s="1244"/>
      <c r="Q1207" s="1244"/>
      <c r="R1207" s="1244"/>
      <c r="S1207" s="1265"/>
      <c r="T1207" s="1244"/>
      <c r="U1207" s="1244"/>
    </row>
    <row r="1208">
      <c r="A1208" s="1235"/>
      <c r="B1208" s="1235"/>
      <c r="C1208" s="1246"/>
      <c r="D1208" s="1274"/>
      <c r="E1208" s="1248"/>
      <c r="F1208" s="1248"/>
      <c r="G1208" s="1271"/>
      <c r="H1208" s="1250"/>
      <c r="I1208" s="1251"/>
      <c r="J1208" s="1271"/>
      <c r="K1208" s="1271"/>
      <c r="L1208" s="1254"/>
      <c r="M1208" s="1244"/>
      <c r="N1208" s="1273"/>
      <c r="O1208" s="1244"/>
      <c r="P1208" s="1244"/>
      <c r="Q1208" s="1244"/>
      <c r="R1208" s="1244"/>
      <c r="S1208" s="1265"/>
      <c r="T1208" s="1244"/>
      <c r="U1208" s="1244"/>
    </row>
    <row r="1209">
      <c r="A1209" s="1235"/>
      <c r="B1209" s="1235"/>
      <c r="C1209" s="1246"/>
      <c r="D1209" s="1274"/>
      <c r="E1209" s="1248"/>
      <c r="F1209" s="1248"/>
      <c r="G1209" s="1271"/>
      <c r="H1209" s="1250"/>
      <c r="I1209" s="1251"/>
      <c r="J1209" s="1271"/>
      <c r="K1209" s="1271"/>
      <c r="L1209" s="1254"/>
      <c r="M1209" s="1244"/>
      <c r="N1209" s="1273"/>
      <c r="O1209" s="1244"/>
      <c r="P1209" s="1244"/>
      <c r="Q1209" s="1244"/>
      <c r="R1209" s="1244"/>
      <c r="S1209" s="1265"/>
      <c r="T1209" s="1244"/>
      <c r="U1209" s="1244"/>
    </row>
    <row r="1210">
      <c r="A1210" s="1235"/>
      <c r="B1210" s="1235"/>
      <c r="C1210" s="1246"/>
      <c r="D1210" s="1274"/>
      <c r="E1210" s="1248"/>
      <c r="F1210" s="1248"/>
      <c r="G1210" s="1271"/>
      <c r="H1210" s="1250"/>
      <c r="I1210" s="1251"/>
      <c r="J1210" s="1271"/>
      <c r="K1210" s="1271"/>
      <c r="L1210" s="1254"/>
      <c r="M1210" s="1244"/>
      <c r="N1210" s="1273"/>
      <c r="O1210" s="1244"/>
      <c r="P1210" s="1244"/>
      <c r="Q1210" s="1244"/>
      <c r="R1210" s="1244"/>
      <c r="S1210" s="1265"/>
      <c r="T1210" s="1244"/>
      <c r="U1210" s="1244"/>
    </row>
    <row r="1211">
      <c r="A1211" s="1235"/>
      <c r="B1211" s="1235"/>
      <c r="C1211" s="1246"/>
      <c r="D1211" s="1274"/>
      <c r="E1211" s="1248"/>
      <c r="F1211" s="1248"/>
      <c r="G1211" s="1271"/>
      <c r="H1211" s="1250"/>
      <c r="I1211" s="1251"/>
      <c r="J1211" s="1271"/>
      <c r="K1211" s="1271"/>
      <c r="L1211" s="1254"/>
      <c r="M1211" s="1244"/>
      <c r="N1211" s="1273"/>
      <c r="O1211" s="1244"/>
      <c r="P1211" s="1244"/>
      <c r="Q1211" s="1244"/>
      <c r="R1211" s="1244"/>
      <c r="S1211" s="1265"/>
      <c r="T1211" s="1244"/>
      <c r="U1211" s="1244"/>
    </row>
    <row r="1212">
      <c r="A1212" s="1235"/>
      <c r="B1212" s="1235"/>
      <c r="C1212" s="1246"/>
      <c r="D1212" s="1274"/>
      <c r="E1212" s="1248"/>
      <c r="F1212" s="1248"/>
      <c r="G1212" s="1271"/>
      <c r="H1212" s="1250"/>
      <c r="I1212" s="1251"/>
      <c r="J1212" s="1271"/>
      <c r="K1212" s="1271"/>
      <c r="L1212" s="1254"/>
      <c r="M1212" s="1244"/>
      <c r="N1212" s="1273"/>
      <c r="O1212" s="1244"/>
      <c r="P1212" s="1244"/>
      <c r="Q1212" s="1244"/>
      <c r="R1212" s="1244"/>
      <c r="S1212" s="1265"/>
      <c r="T1212" s="1244"/>
      <c r="U1212" s="1244"/>
    </row>
    <row r="1213">
      <c r="A1213" s="1235"/>
      <c r="B1213" s="1235"/>
      <c r="C1213" s="1246"/>
      <c r="D1213" s="1274"/>
      <c r="E1213" s="1248"/>
      <c r="F1213" s="1248"/>
      <c r="G1213" s="1271"/>
      <c r="H1213" s="1250"/>
      <c r="I1213" s="1251"/>
      <c r="J1213" s="1271"/>
      <c r="K1213" s="1271"/>
      <c r="L1213" s="1254"/>
      <c r="M1213" s="1244"/>
      <c r="N1213" s="1273"/>
      <c r="O1213" s="1244"/>
      <c r="P1213" s="1244"/>
      <c r="Q1213" s="1244"/>
      <c r="R1213" s="1244"/>
      <c r="S1213" s="1265"/>
      <c r="T1213" s="1244"/>
      <c r="U1213" s="1244"/>
    </row>
    <row r="1214">
      <c r="A1214" s="1235"/>
      <c r="B1214" s="1235"/>
      <c r="C1214" s="1246"/>
      <c r="D1214" s="1274"/>
      <c r="E1214" s="1248"/>
      <c r="F1214" s="1248"/>
      <c r="G1214" s="1271"/>
      <c r="H1214" s="1250"/>
      <c r="I1214" s="1251"/>
      <c r="J1214" s="1271"/>
      <c r="K1214" s="1271"/>
      <c r="L1214" s="1254"/>
      <c r="M1214" s="1244"/>
      <c r="N1214" s="1273"/>
      <c r="O1214" s="1244"/>
      <c r="P1214" s="1244"/>
      <c r="Q1214" s="1244"/>
      <c r="R1214" s="1244"/>
      <c r="S1214" s="1265"/>
      <c r="T1214" s="1244"/>
      <c r="U1214" s="1244"/>
    </row>
    <row r="1215">
      <c r="A1215" s="1235"/>
      <c r="B1215" s="1235"/>
      <c r="C1215" s="1246"/>
      <c r="D1215" s="1274"/>
      <c r="E1215" s="1248"/>
      <c r="F1215" s="1248"/>
      <c r="G1215" s="1271"/>
      <c r="H1215" s="1250"/>
      <c r="I1215" s="1251"/>
      <c r="J1215" s="1271"/>
      <c r="K1215" s="1271"/>
      <c r="L1215" s="1254"/>
      <c r="M1215" s="1244"/>
      <c r="N1215" s="1273"/>
      <c r="O1215" s="1244"/>
      <c r="P1215" s="1244"/>
      <c r="Q1215" s="1244"/>
      <c r="R1215" s="1244"/>
      <c r="S1215" s="1265"/>
      <c r="T1215" s="1244"/>
      <c r="U1215" s="1244"/>
    </row>
    <row r="1216">
      <c r="A1216" s="1235"/>
      <c r="B1216" s="1235"/>
      <c r="C1216" s="1246"/>
      <c r="D1216" s="1274"/>
      <c r="E1216" s="1248"/>
      <c r="F1216" s="1248"/>
      <c r="G1216" s="1271"/>
      <c r="H1216" s="1250"/>
      <c r="I1216" s="1251"/>
      <c r="J1216" s="1271"/>
      <c r="K1216" s="1271"/>
      <c r="L1216" s="1254"/>
      <c r="M1216" s="1244"/>
      <c r="N1216" s="1273"/>
      <c r="O1216" s="1244"/>
      <c r="P1216" s="1244"/>
      <c r="Q1216" s="1244"/>
      <c r="R1216" s="1244"/>
      <c r="S1216" s="1265"/>
      <c r="T1216" s="1244"/>
      <c r="U1216" s="1244"/>
    </row>
    <row r="1217">
      <c r="A1217" s="1235"/>
      <c r="B1217" s="1235"/>
      <c r="C1217" s="1246"/>
      <c r="D1217" s="1274"/>
      <c r="E1217" s="1248"/>
      <c r="F1217" s="1248"/>
      <c r="G1217" s="1271"/>
      <c r="H1217" s="1250"/>
      <c r="I1217" s="1251"/>
      <c r="J1217" s="1271"/>
      <c r="K1217" s="1271"/>
      <c r="L1217" s="1254"/>
      <c r="M1217" s="1244"/>
      <c r="N1217" s="1273"/>
      <c r="O1217" s="1244"/>
      <c r="P1217" s="1244"/>
      <c r="Q1217" s="1244"/>
      <c r="R1217" s="1244"/>
      <c r="S1217" s="1265"/>
      <c r="T1217" s="1244"/>
      <c r="U1217" s="1244"/>
    </row>
    <row r="1218">
      <c r="A1218" s="1235"/>
      <c r="B1218" s="1235"/>
      <c r="C1218" s="1246"/>
      <c r="D1218" s="1274"/>
      <c r="E1218" s="1248"/>
      <c r="F1218" s="1248"/>
      <c r="G1218" s="1271"/>
      <c r="H1218" s="1250"/>
      <c r="I1218" s="1251"/>
      <c r="J1218" s="1271"/>
      <c r="K1218" s="1271"/>
      <c r="L1218" s="1254"/>
      <c r="M1218" s="1244"/>
      <c r="N1218" s="1273"/>
      <c r="O1218" s="1244"/>
      <c r="P1218" s="1244"/>
      <c r="Q1218" s="1244"/>
      <c r="R1218" s="1244"/>
      <c r="S1218" s="1265"/>
      <c r="T1218" s="1244"/>
      <c r="U1218" s="1244"/>
    </row>
    <row r="1219">
      <c r="A1219" s="1235"/>
      <c r="B1219" s="1235"/>
      <c r="C1219" s="1246"/>
      <c r="D1219" s="1274"/>
      <c r="E1219" s="1248"/>
      <c r="F1219" s="1248"/>
      <c r="G1219" s="1271"/>
      <c r="H1219" s="1250"/>
      <c r="I1219" s="1251"/>
      <c r="J1219" s="1271"/>
      <c r="K1219" s="1271"/>
      <c r="L1219" s="1254"/>
      <c r="M1219" s="1244"/>
      <c r="N1219" s="1273"/>
      <c r="O1219" s="1244"/>
      <c r="P1219" s="1244"/>
      <c r="Q1219" s="1244"/>
      <c r="R1219" s="1244"/>
      <c r="S1219" s="1265"/>
      <c r="T1219" s="1244"/>
      <c r="U1219" s="1244"/>
    </row>
    <row r="1220">
      <c r="A1220" s="1235"/>
      <c r="B1220" s="1235"/>
      <c r="C1220" s="1246"/>
      <c r="D1220" s="1274"/>
      <c r="E1220" s="1248"/>
      <c r="F1220" s="1248"/>
      <c r="G1220" s="1271"/>
      <c r="H1220" s="1250"/>
      <c r="I1220" s="1251"/>
      <c r="J1220" s="1271"/>
      <c r="K1220" s="1271"/>
      <c r="L1220" s="1254"/>
      <c r="M1220" s="1244"/>
      <c r="N1220" s="1273"/>
      <c r="O1220" s="1244"/>
      <c r="P1220" s="1244"/>
      <c r="Q1220" s="1244"/>
      <c r="R1220" s="1244"/>
      <c r="S1220" s="1265"/>
      <c r="T1220" s="1244"/>
      <c r="U1220" s="1244"/>
    </row>
    <row r="1221">
      <c r="A1221" s="1235"/>
      <c r="B1221" s="1235"/>
      <c r="C1221" s="1246"/>
      <c r="D1221" s="1274"/>
      <c r="E1221" s="1248"/>
      <c r="F1221" s="1248"/>
      <c r="G1221" s="1271"/>
      <c r="H1221" s="1250"/>
      <c r="I1221" s="1251"/>
      <c r="J1221" s="1271"/>
      <c r="K1221" s="1271"/>
      <c r="L1221" s="1254"/>
      <c r="M1221" s="1244"/>
      <c r="N1221" s="1273"/>
      <c r="O1221" s="1244"/>
      <c r="P1221" s="1244"/>
      <c r="Q1221" s="1244"/>
      <c r="R1221" s="1244"/>
      <c r="S1221" s="1265"/>
      <c r="T1221" s="1244"/>
      <c r="U1221" s="1244"/>
    </row>
    <row r="1222">
      <c r="A1222" s="1235"/>
      <c r="B1222" s="1235"/>
      <c r="C1222" s="1246"/>
      <c r="D1222" s="1274"/>
      <c r="E1222" s="1248"/>
      <c r="F1222" s="1248"/>
      <c r="G1222" s="1271"/>
      <c r="H1222" s="1250"/>
      <c r="I1222" s="1251"/>
      <c r="J1222" s="1271"/>
      <c r="K1222" s="1271"/>
      <c r="L1222" s="1254"/>
      <c r="M1222" s="1244"/>
      <c r="N1222" s="1273"/>
      <c r="O1222" s="1244"/>
      <c r="P1222" s="1244"/>
      <c r="Q1222" s="1244"/>
      <c r="R1222" s="1244"/>
      <c r="S1222" s="1265"/>
      <c r="T1222" s="1244"/>
      <c r="U1222" s="1244"/>
    </row>
    <row r="1223">
      <c r="A1223" s="1235"/>
      <c r="B1223" s="1235"/>
      <c r="C1223" s="1246"/>
      <c r="D1223" s="1274"/>
      <c r="E1223" s="1248"/>
      <c r="F1223" s="1248"/>
      <c r="G1223" s="1271"/>
      <c r="H1223" s="1250"/>
      <c r="I1223" s="1251"/>
      <c r="J1223" s="1271"/>
      <c r="K1223" s="1271"/>
      <c r="L1223" s="1254"/>
      <c r="M1223" s="1244"/>
      <c r="N1223" s="1273"/>
      <c r="O1223" s="1244"/>
      <c r="P1223" s="1244"/>
      <c r="Q1223" s="1244"/>
      <c r="R1223" s="1244"/>
      <c r="S1223" s="1265"/>
      <c r="T1223" s="1244"/>
      <c r="U1223" s="1244"/>
    </row>
    <row r="1224">
      <c r="A1224" s="1235"/>
      <c r="B1224" s="1235"/>
      <c r="C1224" s="1246"/>
      <c r="D1224" s="1274"/>
      <c r="E1224" s="1248"/>
      <c r="F1224" s="1248"/>
      <c r="G1224" s="1271"/>
      <c r="H1224" s="1250"/>
      <c r="I1224" s="1251"/>
      <c r="J1224" s="1271"/>
      <c r="K1224" s="1271"/>
      <c r="L1224" s="1254"/>
      <c r="M1224" s="1244"/>
      <c r="N1224" s="1273"/>
      <c r="O1224" s="1244"/>
      <c r="P1224" s="1244"/>
      <c r="Q1224" s="1244"/>
      <c r="R1224" s="1244"/>
      <c r="S1224" s="1265"/>
      <c r="T1224" s="1244"/>
      <c r="U1224" s="1244"/>
    </row>
    <row r="1225">
      <c r="A1225" s="1235"/>
      <c r="B1225" s="1235"/>
      <c r="C1225" s="1246"/>
      <c r="D1225" s="1274"/>
      <c r="E1225" s="1248"/>
      <c r="F1225" s="1248"/>
      <c r="G1225" s="1271"/>
      <c r="H1225" s="1250"/>
      <c r="I1225" s="1251"/>
      <c r="J1225" s="1271"/>
      <c r="K1225" s="1271"/>
      <c r="L1225" s="1254"/>
      <c r="M1225" s="1244"/>
      <c r="N1225" s="1273"/>
      <c r="O1225" s="1244"/>
      <c r="P1225" s="1244"/>
      <c r="Q1225" s="1244"/>
      <c r="R1225" s="1244"/>
      <c r="S1225" s="1265"/>
      <c r="T1225" s="1244"/>
      <c r="U1225" s="1244"/>
    </row>
    <row r="1226">
      <c r="A1226" s="1235"/>
      <c r="B1226" s="1235"/>
      <c r="C1226" s="1246"/>
      <c r="D1226" s="1274"/>
      <c r="E1226" s="1248"/>
      <c r="F1226" s="1248"/>
      <c r="G1226" s="1271"/>
      <c r="H1226" s="1250"/>
      <c r="I1226" s="1251"/>
      <c r="J1226" s="1271"/>
      <c r="K1226" s="1271"/>
      <c r="L1226" s="1254"/>
      <c r="M1226" s="1244"/>
      <c r="N1226" s="1273"/>
      <c r="O1226" s="1244"/>
      <c r="P1226" s="1244"/>
      <c r="Q1226" s="1244"/>
      <c r="R1226" s="1244"/>
      <c r="S1226" s="1265"/>
      <c r="T1226" s="1244"/>
      <c r="U1226" s="1244"/>
    </row>
    <row r="1227">
      <c r="A1227" s="1235"/>
      <c r="B1227" s="1235"/>
      <c r="C1227" s="1246"/>
      <c r="D1227" s="1274"/>
      <c r="E1227" s="1248"/>
      <c r="F1227" s="1248"/>
      <c r="G1227" s="1271"/>
      <c r="H1227" s="1250"/>
      <c r="I1227" s="1251"/>
      <c r="J1227" s="1271"/>
      <c r="K1227" s="1271"/>
      <c r="L1227" s="1254"/>
      <c r="M1227" s="1244"/>
      <c r="N1227" s="1273"/>
      <c r="O1227" s="1244"/>
      <c r="P1227" s="1244"/>
      <c r="Q1227" s="1244"/>
      <c r="R1227" s="1244"/>
      <c r="S1227" s="1265"/>
      <c r="T1227" s="1244"/>
      <c r="U1227" s="1244"/>
    </row>
    <row r="1228">
      <c r="A1228" s="1235"/>
      <c r="B1228" s="1235"/>
      <c r="C1228" s="1246"/>
      <c r="D1228" s="1274"/>
      <c r="E1228" s="1248"/>
      <c r="F1228" s="1248"/>
      <c r="G1228" s="1271"/>
      <c r="H1228" s="1250"/>
      <c r="I1228" s="1251"/>
      <c r="J1228" s="1271"/>
      <c r="K1228" s="1271"/>
      <c r="L1228" s="1254"/>
      <c r="M1228" s="1244"/>
      <c r="N1228" s="1273"/>
      <c r="O1228" s="1244"/>
      <c r="P1228" s="1244"/>
      <c r="Q1228" s="1244"/>
      <c r="R1228" s="1244"/>
      <c r="S1228" s="1265"/>
      <c r="T1228" s="1244"/>
      <c r="U1228" s="1244"/>
    </row>
    <row r="1229">
      <c r="A1229" s="1235"/>
      <c r="B1229" s="1235"/>
      <c r="C1229" s="1246"/>
      <c r="D1229" s="1274"/>
      <c r="E1229" s="1248"/>
      <c r="F1229" s="1248"/>
      <c r="G1229" s="1271"/>
      <c r="H1229" s="1250"/>
      <c r="I1229" s="1251"/>
      <c r="J1229" s="1271"/>
      <c r="K1229" s="1271"/>
      <c r="L1229" s="1254"/>
      <c r="M1229" s="1244"/>
      <c r="N1229" s="1273"/>
      <c r="O1229" s="1244"/>
      <c r="P1229" s="1244"/>
      <c r="Q1229" s="1244"/>
      <c r="R1229" s="1244"/>
      <c r="S1229" s="1265"/>
      <c r="T1229" s="1244"/>
      <c r="U1229" s="1244"/>
    </row>
    <row r="1230">
      <c r="A1230" s="1235"/>
      <c r="B1230" s="1235"/>
      <c r="C1230" s="1246"/>
      <c r="D1230" s="1274"/>
      <c r="E1230" s="1248"/>
      <c r="F1230" s="1248"/>
      <c r="G1230" s="1271"/>
      <c r="H1230" s="1250"/>
      <c r="I1230" s="1251"/>
      <c r="J1230" s="1271"/>
      <c r="K1230" s="1271"/>
      <c r="L1230" s="1254"/>
      <c r="M1230" s="1244"/>
      <c r="N1230" s="1273"/>
      <c r="O1230" s="1244"/>
      <c r="P1230" s="1244"/>
      <c r="Q1230" s="1244"/>
      <c r="R1230" s="1244"/>
      <c r="S1230" s="1265"/>
      <c r="T1230" s="1244"/>
      <c r="U1230" s="1244"/>
    </row>
    <row r="1231">
      <c r="A1231" s="1235"/>
      <c r="B1231" s="1235"/>
      <c r="C1231" s="1246"/>
      <c r="D1231" s="1274"/>
      <c r="E1231" s="1248"/>
      <c r="F1231" s="1248"/>
      <c r="G1231" s="1271"/>
      <c r="H1231" s="1250"/>
      <c r="I1231" s="1251"/>
      <c r="J1231" s="1271"/>
      <c r="K1231" s="1271"/>
      <c r="L1231" s="1254"/>
      <c r="M1231" s="1244"/>
      <c r="N1231" s="1273"/>
      <c r="O1231" s="1244"/>
      <c r="P1231" s="1244"/>
      <c r="Q1231" s="1244"/>
      <c r="R1231" s="1244"/>
      <c r="S1231" s="1265"/>
      <c r="T1231" s="1244"/>
      <c r="U1231" s="1244"/>
    </row>
    <row r="1232">
      <c r="A1232" s="1235"/>
      <c r="B1232" s="1235"/>
      <c r="C1232" s="1246"/>
      <c r="D1232" s="1274"/>
      <c r="E1232" s="1248"/>
      <c r="F1232" s="1248"/>
      <c r="G1232" s="1271"/>
      <c r="H1232" s="1250"/>
      <c r="I1232" s="1251"/>
      <c r="J1232" s="1271"/>
      <c r="K1232" s="1271"/>
      <c r="L1232" s="1254"/>
      <c r="M1232" s="1244"/>
      <c r="N1232" s="1273"/>
      <c r="O1232" s="1244"/>
      <c r="P1232" s="1244"/>
      <c r="Q1232" s="1244"/>
      <c r="R1232" s="1244"/>
      <c r="S1232" s="1265"/>
      <c r="T1232" s="1244"/>
      <c r="U1232" s="1244"/>
    </row>
    <row r="1233">
      <c r="A1233" s="1235"/>
      <c r="B1233" s="1235"/>
      <c r="C1233" s="1246"/>
      <c r="D1233" s="1274"/>
      <c r="E1233" s="1248"/>
      <c r="F1233" s="1248"/>
      <c r="G1233" s="1271"/>
      <c r="H1233" s="1250"/>
      <c r="I1233" s="1251"/>
      <c r="J1233" s="1271"/>
      <c r="K1233" s="1271"/>
      <c r="L1233" s="1254"/>
      <c r="M1233" s="1244"/>
      <c r="N1233" s="1273"/>
      <c r="O1233" s="1244"/>
      <c r="P1233" s="1244"/>
      <c r="Q1233" s="1244"/>
      <c r="R1233" s="1244"/>
      <c r="S1233" s="1265"/>
      <c r="T1233" s="1244"/>
      <c r="U1233" s="1244"/>
    </row>
    <row r="1234">
      <c r="A1234" s="1235"/>
      <c r="B1234" s="1235"/>
      <c r="C1234" s="1246"/>
      <c r="D1234" s="1274"/>
      <c r="E1234" s="1248"/>
      <c r="F1234" s="1248"/>
      <c r="G1234" s="1271"/>
      <c r="H1234" s="1250"/>
      <c r="I1234" s="1251"/>
      <c r="J1234" s="1271"/>
      <c r="K1234" s="1271"/>
      <c r="L1234" s="1254"/>
      <c r="M1234" s="1244"/>
      <c r="N1234" s="1273"/>
      <c r="O1234" s="1244"/>
      <c r="P1234" s="1244"/>
      <c r="Q1234" s="1244"/>
      <c r="R1234" s="1244"/>
      <c r="S1234" s="1265"/>
      <c r="T1234" s="1244"/>
      <c r="U1234" s="1244"/>
    </row>
    <row r="1235">
      <c r="A1235" s="1235"/>
      <c r="B1235" s="1235"/>
      <c r="C1235" s="1246"/>
      <c r="D1235" s="1274"/>
      <c r="E1235" s="1248"/>
      <c r="F1235" s="1248"/>
      <c r="G1235" s="1271"/>
      <c r="H1235" s="1250"/>
      <c r="I1235" s="1251"/>
      <c r="J1235" s="1271"/>
      <c r="K1235" s="1271"/>
      <c r="L1235" s="1254"/>
      <c r="M1235" s="1244"/>
      <c r="N1235" s="1273"/>
      <c r="O1235" s="1244"/>
      <c r="P1235" s="1244"/>
      <c r="Q1235" s="1244"/>
      <c r="R1235" s="1244"/>
      <c r="S1235" s="1265"/>
      <c r="T1235" s="1244"/>
      <c r="U1235" s="1244"/>
    </row>
    <row r="1236">
      <c r="A1236" s="1235"/>
      <c r="B1236" s="1235"/>
      <c r="C1236" s="1246"/>
      <c r="D1236" s="1274"/>
      <c r="E1236" s="1248"/>
      <c r="F1236" s="1248"/>
      <c r="G1236" s="1271"/>
      <c r="H1236" s="1250"/>
      <c r="I1236" s="1251"/>
      <c r="J1236" s="1271"/>
      <c r="K1236" s="1271"/>
      <c r="L1236" s="1254"/>
      <c r="M1236" s="1244"/>
      <c r="N1236" s="1273"/>
      <c r="O1236" s="1244"/>
      <c r="P1236" s="1244"/>
      <c r="Q1236" s="1244"/>
      <c r="R1236" s="1244"/>
      <c r="S1236" s="1265"/>
      <c r="T1236" s="1244"/>
      <c r="U1236" s="1244"/>
    </row>
    <row r="1237">
      <c r="A1237" s="1235"/>
      <c r="B1237" s="1235"/>
      <c r="C1237" s="1246"/>
      <c r="D1237" s="1274"/>
      <c r="E1237" s="1248"/>
      <c r="F1237" s="1248"/>
      <c r="G1237" s="1271"/>
      <c r="H1237" s="1250"/>
      <c r="I1237" s="1251"/>
      <c r="J1237" s="1271"/>
      <c r="K1237" s="1271"/>
      <c r="L1237" s="1254"/>
      <c r="M1237" s="1244"/>
      <c r="N1237" s="1273"/>
      <c r="O1237" s="1244"/>
      <c r="P1237" s="1244"/>
      <c r="Q1237" s="1244"/>
      <c r="R1237" s="1244"/>
      <c r="S1237" s="1265"/>
      <c r="T1237" s="1244"/>
      <c r="U1237" s="1244"/>
    </row>
    <row r="1238">
      <c r="A1238" s="1235"/>
      <c r="B1238" s="1235"/>
      <c r="C1238" s="1246"/>
      <c r="D1238" s="1274"/>
      <c r="E1238" s="1248"/>
      <c r="F1238" s="1248"/>
      <c r="G1238" s="1271"/>
      <c r="H1238" s="1250"/>
      <c r="I1238" s="1251"/>
      <c r="J1238" s="1271"/>
      <c r="K1238" s="1271"/>
      <c r="L1238" s="1254"/>
      <c r="M1238" s="1244"/>
      <c r="N1238" s="1273"/>
      <c r="O1238" s="1244"/>
      <c r="P1238" s="1244"/>
      <c r="Q1238" s="1244"/>
      <c r="R1238" s="1244"/>
      <c r="S1238" s="1265"/>
      <c r="T1238" s="1244"/>
      <c r="U1238" s="1244"/>
    </row>
    <row r="1239">
      <c r="A1239" s="1235"/>
      <c r="B1239" s="1235"/>
      <c r="C1239" s="1246"/>
      <c r="D1239" s="1274"/>
      <c r="E1239" s="1248"/>
      <c r="F1239" s="1248"/>
      <c r="G1239" s="1271"/>
      <c r="H1239" s="1250"/>
      <c r="I1239" s="1251"/>
      <c r="J1239" s="1271"/>
      <c r="K1239" s="1271"/>
      <c r="L1239" s="1254"/>
      <c r="M1239" s="1244"/>
      <c r="N1239" s="1273"/>
      <c r="O1239" s="1244"/>
      <c r="P1239" s="1244"/>
      <c r="Q1239" s="1244"/>
      <c r="R1239" s="1244"/>
      <c r="S1239" s="1265"/>
      <c r="T1239" s="1244"/>
      <c r="U1239" s="1244"/>
    </row>
    <row r="1240">
      <c r="A1240" s="1235"/>
      <c r="B1240" s="1235"/>
      <c r="C1240" s="1246"/>
      <c r="D1240" s="1274"/>
      <c r="E1240" s="1248"/>
      <c r="F1240" s="1248"/>
      <c r="G1240" s="1271"/>
      <c r="H1240" s="1250"/>
      <c r="I1240" s="1251"/>
      <c r="J1240" s="1271"/>
      <c r="K1240" s="1271"/>
      <c r="L1240" s="1254"/>
      <c r="M1240" s="1244"/>
      <c r="N1240" s="1273"/>
      <c r="O1240" s="1244"/>
      <c r="P1240" s="1244"/>
      <c r="Q1240" s="1244"/>
      <c r="R1240" s="1244"/>
      <c r="S1240" s="1265"/>
      <c r="T1240" s="1244"/>
      <c r="U1240" s="1244"/>
    </row>
    <row r="1241">
      <c r="A1241" s="1235"/>
      <c r="B1241" s="1235"/>
      <c r="C1241" s="1246"/>
      <c r="D1241" s="1274"/>
      <c r="E1241" s="1248"/>
      <c r="F1241" s="1248"/>
      <c r="G1241" s="1271"/>
      <c r="H1241" s="1250"/>
      <c r="I1241" s="1251"/>
      <c r="J1241" s="1271"/>
      <c r="K1241" s="1271"/>
      <c r="L1241" s="1254"/>
      <c r="M1241" s="1244"/>
      <c r="N1241" s="1273"/>
      <c r="O1241" s="1244"/>
      <c r="P1241" s="1244"/>
      <c r="Q1241" s="1244"/>
      <c r="R1241" s="1244"/>
      <c r="S1241" s="1265"/>
      <c r="T1241" s="1244"/>
      <c r="U1241" s="1244"/>
    </row>
    <row r="1242">
      <c r="A1242" s="1235"/>
      <c r="B1242" s="1235"/>
      <c r="C1242" s="1246"/>
      <c r="D1242" s="1274"/>
      <c r="E1242" s="1248"/>
      <c r="F1242" s="1248"/>
      <c r="G1242" s="1271"/>
      <c r="H1242" s="1250"/>
      <c r="I1242" s="1251"/>
      <c r="J1242" s="1271"/>
      <c r="K1242" s="1271"/>
      <c r="L1242" s="1254"/>
      <c r="M1242" s="1244"/>
      <c r="N1242" s="1273"/>
      <c r="O1242" s="1244"/>
      <c r="P1242" s="1244"/>
      <c r="Q1242" s="1244"/>
      <c r="R1242" s="1244"/>
      <c r="S1242" s="1265"/>
      <c r="T1242" s="1244"/>
      <c r="U1242" s="1244"/>
    </row>
    <row r="1243">
      <c r="A1243" s="1235"/>
      <c r="B1243" s="1235"/>
      <c r="C1243" s="1246"/>
      <c r="D1243" s="1274"/>
      <c r="E1243" s="1248"/>
      <c r="F1243" s="1248"/>
      <c r="G1243" s="1271"/>
      <c r="H1243" s="1250"/>
      <c r="I1243" s="1251"/>
      <c r="J1243" s="1271"/>
      <c r="K1243" s="1271"/>
      <c r="L1243" s="1254"/>
      <c r="M1243" s="1244"/>
      <c r="N1243" s="1273"/>
      <c r="O1243" s="1244"/>
      <c r="P1243" s="1244"/>
      <c r="Q1243" s="1244"/>
      <c r="R1243" s="1244"/>
      <c r="S1243" s="1265"/>
      <c r="T1243" s="1244"/>
      <c r="U1243" s="1244"/>
    </row>
    <row r="1244">
      <c r="A1244" s="1235"/>
      <c r="B1244" s="1235"/>
      <c r="C1244" s="1246"/>
      <c r="D1244" s="1274"/>
      <c r="E1244" s="1248"/>
      <c r="F1244" s="1248"/>
      <c r="G1244" s="1271"/>
      <c r="H1244" s="1250"/>
      <c r="I1244" s="1251"/>
      <c r="J1244" s="1271"/>
      <c r="K1244" s="1271"/>
      <c r="L1244" s="1254"/>
      <c r="M1244" s="1244"/>
      <c r="N1244" s="1273"/>
      <c r="O1244" s="1244"/>
      <c r="P1244" s="1244"/>
      <c r="Q1244" s="1244"/>
      <c r="R1244" s="1244"/>
      <c r="S1244" s="1265"/>
      <c r="T1244" s="1244"/>
      <c r="U1244" s="1244"/>
    </row>
    <row r="1245">
      <c r="A1245" s="1235"/>
      <c r="B1245" s="1235"/>
      <c r="C1245" s="1246"/>
      <c r="D1245" s="1274"/>
      <c r="E1245" s="1248"/>
      <c r="F1245" s="1248"/>
      <c r="G1245" s="1271"/>
      <c r="H1245" s="1250"/>
      <c r="I1245" s="1251"/>
      <c r="J1245" s="1271"/>
      <c r="K1245" s="1271"/>
      <c r="L1245" s="1254"/>
      <c r="M1245" s="1244"/>
      <c r="N1245" s="1273"/>
      <c r="O1245" s="1244"/>
      <c r="P1245" s="1244"/>
      <c r="Q1245" s="1244"/>
      <c r="R1245" s="1244"/>
      <c r="S1245" s="1265"/>
      <c r="T1245" s="1244"/>
      <c r="U1245" s="1244"/>
    </row>
    <row r="1246">
      <c r="A1246" s="1235"/>
      <c r="B1246" s="1235"/>
      <c r="C1246" s="1246"/>
      <c r="D1246" s="1274"/>
      <c r="E1246" s="1248"/>
      <c r="F1246" s="1248"/>
      <c r="G1246" s="1271"/>
      <c r="H1246" s="1250"/>
      <c r="I1246" s="1251"/>
      <c r="J1246" s="1271"/>
      <c r="K1246" s="1271"/>
      <c r="L1246" s="1254"/>
      <c r="M1246" s="1244"/>
      <c r="N1246" s="1273"/>
      <c r="O1246" s="1244"/>
      <c r="P1246" s="1244"/>
      <c r="Q1246" s="1244"/>
      <c r="R1246" s="1244"/>
      <c r="S1246" s="1265"/>
      <c r="T1246" s="1244"/>
      <c r="U1246" s="1244"/>
    </row>
    <row r="1247">
      <c r="A1247" s="1235"/>
      <c r="B1247" s="1235"/>
      <c r="C1247" s="1246"/>
      <c r="D1247" s="1274"/>
      <c r="E1247" s="1248"/>
      <c r="F1247" s="1248"/>
      <c r="G1247" s="1271"/>
      <c r="H1247" s="1250"/>
      <c r="I1247" s="1251"/>
      <c r="J1247" s="1271"/>
      <c r="K1247" s="1271"/>
      <c r="L1247" s="1254"/>
      <c r="M1247" s="1244"/>
      <c r="N1247" s="1273"/>
      <c r="O1247" s="1244"/>
      <c r="P1247" s="1244"/>
      <c r="Q1247" s="1244"/>
      <c r="R1247" s="1244"/>
      <c r="S1247" s="1265"/>
      <c r="T1247" s="1244"/>
      <c r="U1247" s="1244"/>
    </row>
    <row r="1248">
      <c r="A1248" s="1235"/>
      <c r="B1248" s="1235"/>
      <c r="C1248" s="1246"/>
      <c r="D1248" s="1274"/>
      <c r="E1248" s="1248"/>
      <c r="F1248" s="1248"/>
      <c r="G1248" s="1271"/>
      <c r="H1248" s="1250"/>
      <c r="I1248" s="1251"/>
      <c r="J1248" s="1271"/>
      <c r="K1248" s="1271"/>
      <c r="L1248" s="1254"/>
      <c r="M1248" s="1244"/>
      <c r="N1248" s="1273"/>
      <c r="O1248" s="1244"/>
      <c r="P1248" s="1244"/>
      <c r="Q1248" s="1244"/>
      <c r="R1248" s="1244"/>
      <c r="S1248" s="1265"/>
      <c r="T1248" s="1244"/>
      <c r="U1248" s="1244"/>
    </row>
    <row r="1249">
      <c r="A1249" s="1235"/>
      <c r="B1249" s="1235"/>
      <c r="C1249" s="1246"/>
      <c r="D1249" s="1274"/>
      <c r="E1249" s="1248"/>
      <c r="F1249" s="1248"/>
      <c r="G1249" s="1271"/>
      <c r="H1249" s="1250"/>
      <c r="I1249" s="1251"/>
      <c r="J1249" s="1271"/>
      <c r="K1249" s="1271"/>
      <c r="L1249" s="1254"/>
      <c r="M1249" s="1244"/>
      <c r="N1249" s="1273"/>
      <c r="O1249" s="1244"/>
      <c r="P1249" s="1244"/>
      <c r="Q1249" s="1244"/>
      <c r="R1249" s="1244"/>
      <c r="S1249" s="1265"/>
      <c r="T1249" s="1244"/>
      <c r="U1249" s="1244"/>
    </row>
    <row r="1250">
      <c r="A1250" s="1235"/>
      <c r="B1250" s="1235"/>
      <c r="C1250" s="1246"/>
      <c r="D1250" s="1274"/>
      <c r="E1250" s="1248"/>
      <c r="F1250" s="1248"/>
      <c r="G1250" s="1271"/>
      <c r="H1250" s="1250"/>
      <c r="I1250" s="1251"/>
      <c r="J1250" s="1271"/>
      <c r="K1250" s="1271"/>
      <c r="L1250" s="1254"/>
      <c r="M1250" s="1244"/>
      <c r="N1250" s="1273"/>
      <c r="O1250" s="1244"/>
      <c r="P1250" s="1244"/>
      <c r="Q1250" s="1244"/>
      <c r="R1250" s="1244"/>
      <c r="S1250" s="1265"/>
      <c r="T1250" s="1244"/>
      <c r="U1250" s="1244"/>
    </row>
    <row r="1251">
      <c r="A1251" s="1235"/>
      <c r="B1251" s="1235"/>
      <c r="C1251" s="1246"/>
      <c r="D1251" s="1274"/>
      <c r="E1251" s="1248"/>
      <c r="F1251" s="1248"/>
      <c r="G1251" s="1271"/>
      <c r="H1251" s="1250"/>
      <c r="I1251" s="1251"/>
      <c r="J1251" s="1271"/>
      <c r="K1251" s="1271"/>
      <c r="L1251" s="1254"/>
      <c r="M1251" s="1244"/>
      <c r="N1251" s="1273"/>
      <c r="O1251" s="1244"/>
      <c r="P1251" s="1244"/>
      <c r="Q1251" s="1244"/>
      <c r="R1251" s="1244"/>
      <c r="S1251" s="1265"/>
      <c r="T1251" s="1244"/>
      <c r="U1251" s="1244"/>
    </row>
    <row r="1252">
      <c r="A1252" s="1235"/>
      <c r="B1252" s="1235"/>
      <c r="C1252" s="1246"/>
      <c r="D1252" s="1274"/>
      <c r="E1252" s="1248"/>
      <c r="F1252" s="1248"/>
      <c r="G1252" s="1271"/>
      <c r="H1252" s="1250"/>
      <c r="I1252" s="1251"/>
      <c r="J1252" s="1271"/>
      <c r="K1252" s="1271"/>
      <c r="L1252" s="1254"/>
      <c r="M1252" s="1244"/>
      <c r="N1252" s="1273"/>
      <c r="O1252" s="1244"/>
      <c r="P1252" s="1244"/>
      <c r="Q1252" s="1244"/>
      <c r="R1252" s="1244"/>
      <c r="S1252" s="1265"/>
      <c r="T1252" s="1244"/>
      <c r="U1252" s="1244"/>
    </row>
    <row r="1253">
      <c r="A1253" s="1235"/>
      <c r="B1253" s="1235"/>
      <c r="C1253" s="1246"/>
      <c r="D1253" s="1274"/>
      <c r="E1253" s="1248"/>
      <c r="F1253" s="1248"/>
      <c r="G1253" s="1271"/>
      <c r="H1253" s="1250"/>
      <c r="I1253" s="1251"/>
      <c r="J1253" s="1271"/>
      <c r="K1253" s="1271"/>
      <c r="L1253" s="1254"/>
      <c r="M1253" s="1244"/>
      <c r="N1253" s="1273"/>
      <c r="O1253" s="1244"/>
      <c r="P1253" s="1244"/>
      <c r="Q1253" s="1244"/>
      <c r="R1253" s="1244"/>
      <c r="S1253" s="1265"/>
      <c r="T1253" s="1244"/>
      <c r="U1253" s="1244"/>
    </row>
    <row r="1254">
      <c r="A1254" s="1235"/>
      <c r="B1254" s="1235"/>
      <c r="C1254" s="1246"/>
      <c r="D1254" s="1274"/>
      <c r="E1254" s="1248"/>
      <c r="F1254" s="1248"/>
      <c r="G1254" s="1271"/>
      <c r="H1254" s="1250"/>
      <c r="I1254" s="1251"/>
      <c r="J1254" s="1271"/>
      <c r="K1254" s="1271"/>
      <c r="L1254" s="1254"/>
      <c r="M1254" s="1244"/>
      <c r="N1254" s="1273"/>
      <c r="O1254" s="1244"/>
      <c r="P1254" s="1244"/>
      <c r="Q1254" s="1244"/>
      <c r="R1254" s="1244"/>
      <c r="S1254" s="1265"/>
      <c r="T1254" s="1244"/>
      <c r="U1254" s="1244"/>
    </row>
    <row r="1255">
      <c r="A1255" s="1235"/>
      <c r="B1255" s="1235"/>
      <c r="C1255" s="1246"/>
      <c r="D1255" s="1274"/>
      <c r="E1255" s="1248"/>
      <c r="F1255" s="1248"/>
      <c r="G1255" s="1271"/>
      <c r="H1255" s="1250"/>
      <c r="I1255" s="1251"/>
      <c r="J1255" s="1271"/>
      <c r="K1255" s="1271"/>
      <c r="L1255" s="1254"/>
      <c r="M1255" s="1244"/>
      <c r="N1255" s="1273"/>
      <c r="O1255" s="1244"/>
      <c r="P1255" s="1244"/>
      <c r="Q1255" s="1244"/>
      <c r="R1255" s="1244"/>
      <c r="S1255" s="1265"/>
      <c r="T1255" s="1244"/>
      <c r="U1255" s="1244"/>
    </row>
    <row r="1256">
      <c r="A1256" s="1235"/>
      <c r="B1256" s="1235"/>
      <c r="C1256" s="1246"/>
      <c r="D1256" s="1274"/>
      <c r="E1256" s="1248"/>
      <c r="F1256" s="1248"/>
      <c r="G1256" s="1271"/>
      <c r="H1256" s="1250"/>
      <c r="I1256" s="1251"/>
      <c r="J1256" s="1271"/>
      <c r="K1256" s="1271"/>
      <c r="L1256" s="1254"/>
      <c r="M1256" s="1244"/>
      <c r="N1256" s="1273"/>
      <c r="O1256" s="1244"/>
      <c r="P1256" s="1244"/>
      <c r="Q1256" s="1244"/>
      <c r="R1256" s="1244"/>
      <c r="S1256" s="1265"/>
      <c r="T1256" s="1244"/>
      <c r="U1256" s="1244"/>
    </row>
    <row r="1257">
      <c r="A1257" s="1235"/>
      <c r="B1257" s="1235"/>
      <c r="C1257" s="1246"/>
      <c r="D1257" s="1274"/>
      <c r="E1257" s="1248"/>
      <c r="F1257" s="1248"/>
      <c r="G1257" s="1271"/>
      <c r="H1257" s="1250"/>
      <c r="I1257" s="1251"/>
      <c r="J1257" s="1271"/>
      <c r="K1257" s="1271"/>
      <c r="L1257" s="1254"/>
      <c r="M1257" s="1244"/>
      <c r="N1257" s="1273"/>
      <c r="O1257" s="1244"/>
      <c r="P1257" s="1244"/>
      <c r="Q1257" s="1244"/>
      <c r="R1257" s="1244"/>
      <c r="S1257" s="1265"/>
      <c r="T1257" s="1244"/>
      <c r="U1257" s="1244"/>
    </row>
    <row r="1258">
      <c r="A1258" s="1235"/>
      <c r="B1258" s="1235"/>
      <c r="C1258" s="1246"/>
      <c r="D1258" s="1274"/>
      <c r="E1258" s="1248"/>
      <c r="F1258" s="1248"/>
      <c r="G1258" s="1271"/>
      <c r="H1258" s="1250"/>
      <c r="I1258" s="1251"/>
      <c r="J1258" s="1271"/>
      <c r="K1258" s="1271"/>
      <c r="L1258" s="1254"/>
      <c r="M1258" s="1244"/>
      <c r="N1258" s="1273"/>
      <c r="O1258" s="1244"/>
      <c r="P1258" s="1244"/>
      <c r="Q1258" s="1244"/>
      <c r="R1258" s="1244"/>
      <c r="S1258" s="1265"/>
      <c r="T1258" s="1244"/>
      <c r="U1258" s="1244"/>
    </row>
    <row r="1259">
      <c r="A1259" s="1235"/>
      <c r="B1259" s="1235"/>
      <c r="C1259" s="1246"/>
      <c r="D1259" s="1274"/>
      <c r="E1259" s="1248"/>
      <c r="F1259" s="1248"/>
      <c r="G1259" s="1271"/>
      <c r="H1259" s="1250"/>
      <c r="I1259" s="1251"/>
      <c r="J1259" s="1271"/>
      <c r="K1259" s="1271"/>
      <c r="L1259" s="1254"/>
      <c r="M1259" s="1244"/>
      <c r="N1259" s="1273"/>
      <c r="O1259" s="1244"/>
      <c r="P1259" s="1244"/>
      <c r="Q1259" s="1244"/>
      <c r="R1259" s="1244"/>
      <c r="S1259" s="1265"/>
      <c r="T1259" s="1244"/>
      <c r="U1259" s="1244"/>
    </row>
    <row r="1260">
      <c r="A1260" s="1235"/>
      <c r="B1260" s="1235"/>
      <c r="C1260" s="1246"/>
      <c r="D1260" s="1274"/>
      <c r="E1260" s="1248"/>
      <c r="F1260" s="1248"/>
      <c r="G1260" s="1271"/>
      <c r="H1260" s="1250"/>
      <c r="I1260" s="1251"/>
      <c r="J1260" s="1271"/>
      <c r="K1260" s="1271"/>
      <c r="L1260" s="1254"/>
      <c r="M1260" s="1244"/>
      <c r="N1260" s="1273"/>
      <c r="O1260" s="1244"/>
      <c r="P1260" s="1244"/>
      <c r="Q1260" s="1244"/>
      <c r="R1260" s="1244"/>
      <c r="S1260" s="1265"/>
      <c r="T1260" s="1244"/>
      <c r="U1260" s="1244"/>
    </row>
    <row r="1261">
      <c r="A1261" s="1235"/>
      <c r="B1261" s="1235"/>
      <c r="C1261" s="1246"/>
      <c r="D1261" s="1274"/>
      <c r="E1261" s="1248"/>
      <c r="F1261" s="1248"/>
      <c r="G1261" s="1271"/>
      <c r="H1261" s="1250"/>
      <c r="I1261" s="1251"/>
      <c r="J1261" s="1271"/>
      <c r="K1261" s="1271"/>
      <c r="L1261" s="1254"/>
      <c r="M1261" s="1244"/>
      <c r="N1261" s="1273"/>
      <c r="O1261" s="1244"/>
      <c r="P1261" s="1244"/>
      <c r="Q1261" s="1244"/>
      <c r="R1261" s="1244"/>
      <c r="S1261" s="1265"/>
      <c r="T1261" s="1244"/>
      <c r="U1261" s="1244"/>
    </row>
    <row r="1262">
      <c r="A1262" s="1235"/>
      <c r="B1262" s="1235"/>
      <c r="C1262" s="1246"/>
      <c r="D1262" s="1274"/>
      <c r="E1262" s="1248"/>
      <c r="F1262" s="1248"/>
      <c r="G1262" s="1271"/>
      <c r="H1262" s="1250"/>
      <c r="I1262" s="1251"/>
      <c r="J1262" s="1271"/>
      <c r="K1262" s="1271"/>
      <c r="L1262" s="1254"/>
      <c r="M1262" s="1244"/>
      <c r="N1262" s="1273"/>
      <c r="O1262" s="1244"/>
      <c r="P1262" s="1244"/>
      <c r="Q1262" s="1244"/>
      <c r="R1262" s="1244"/>
      <c r="S1262" s="1265"/>
      <c r="T1262" s="1244"/>
      <c r="U1262" s="1244"/>
    </row>
    <row r="1263">
      <c r="A1263" s="1235"/>
      <c r="B1263" s="1235"/>
      <c r="C1263" s="1246"/>
      <c r="D1263" s="1274"/>
      <c r="E1263" s="1248"/>
      <c r="F1263" s="1248"/>
      <c r="G1263" s="1271"/>
      <c r="H1263" s="1250"/>
      <c r="I1263" s="1251"/>
      <c r="J1263" s="1271"/>
      <c r="K1263" s="1271"/>
      <c r="L1263" s="1254"/>
      <c r="M1263" s="1244"/>
      <c r="N1263" s="1273"/>
      <c r="O1263" s="1244"/>
      <c r="P1263" s="1244"/>
      <c r="Q1263" s="1244"/>
      <c r="R1263" s="1244"/>
      <c r="S1263" s="1265"/>
      <c r="T1263" s="1244"/>
      <c r="U1263" s="1244"/>
    </row>
    <row r="1264">
      <c r="A1264" s="1235"/>
      <c r="B1264" s="1235"/>
      <c r="C1264" s="1246"/>
      <c r="D1264" s="1274"/>
      <c r="E1264" s="1248"/>
      <c r="F1264" s="1248"/>
      <c r="G1264" s="1271"/>
      <c r="H1264" s="1250"/>
      <c r="I1264" s="1251"/>
      <c r="J1264" s="1271"/>
      <c r="K1264" s="1271"/>
      <c r="L1264" s="1254"/>
      <c r="M1264" s="1244"/>
      <c r="N1264" s="1273"/>
      <c r="O1264" s="1244"/>
      <c r="P1264" s="1244"/>
      <c r="Q1264" s="1244"/>
      <c r="R1264" s="1244"/>
      <c r="S1264" s="1265"/>
      <c r="T1264" s="1244"/>
      <c r="U1264" s="1244"/>
    </row>
    <row r="1265">
      <c r="A1265" s="1235"/>
      <c r="B1265" s="1235"/>
      <c r="C1265" s="1246"/>
      <c r="D1265" s="1274"/>
      <c r="E1265" s="1248"/>
      <c r="F1265" s="1248"/>
      <c r="G1265" s="1271"/>
      <c r="H1265" s="1250"/>
      <c r="I1265" s="1251"/>
      <c r="J1265" s="1271"/>
      <c r="K1265" s="1271"/>
      <c r="L1265" s="1254"/>
      <c r="M1265" s="1244"/>
      <c r="N1265" s="1273"/>
      <c r="O1265" s="1244"/>
      <c r="P1265" s="1244"/>
      <c r="Q1265" s="1244"/>
      <c r="R1265" s="1244"/>
      <c r="S1265" s="1265"/>
      <c r="T1265" s="1244"/>
      <c r="U1265" s="1244"/>
    </row>
    <row r="1266">
      <c r="A1266" s="1235"/>
      <c r="B1266" s="1235"/>
      <c r="C1266" s="1246"/>
      <c r="D1266" s="1274"/>
      <c r="E1266" s="1248"/>
      <c r="F1266" s="1248"/>
      <c r="G1266" s="1271"/>
      <c r="H1266" s="1250"/>
      <c r="I1266" s="1251"/>
      <c r="J1266" s="1271"/>
      <c r="K1266" s="1271"/>
      <c r="L1266" s="1254"/>
      <c r="M1266" s="1244"/>
      <c r="N1266" s="1273"/>
      <c r="O1266" s="1244"/>
      <c r="P1266" s="1244"/>
      <c r="Q1266" s="1244"/>
      <c r="R1266" s="1244"/>
      <c r="S1266" s="1265"/>
      <c r="T1266" s="1244"/>
      <c r="U1266" s="1244"/>
    </row>
    <row r="1267">
      <c r="A1267" s="1235"/>
      <c r="B1267" s="1235"/>
      <c r="C1267" s="1246"/>
      <c r="D1267" s="1274"/>
      <c r="E1267" s="1248"/>
      <c r="F1267" s="1248"/>
      <c r="G1267" s="1271"/>
      <c r="H1267" s="1250"/>
      <c r="I1267" s="1251"/>
      <c r="J1267" s="1271"/>
      <c r="K1267" s="1271"/>
      <c r="L1267" s="1254"/>
      <c r="M1267" s="1244"/>
      <c r="N1267" s="1273"/>
      <c r="O1267" s="1244"/>
      <c r="P1267" s="1244"/>
      <c r="Q1267" s="1244"/>
      <c r="R1267" s="1244"/>
      <c r="S1267" s="1265"/>
      <c r="T1267" s="1244"/>
      <c r="U1267" s="1244"/>
    </row>
    <row r="1268">
      <c r="A1268" s="1235"/>
      <c r="B1268" s="1235"/>
      <c r="C1268" s="1246"/>
      <c r="D1268" s="1274"/>
      <c r="E1268" s="1248"/>
      <c r="F1268" s="1248"/>
      <c r="G1268" s="1271"/>
      <c r="H1268" s="1250"/>
      <c r="I1268" s="1251"/>
      <c r="J1268" s="1271"/>
      <c r="K1268" s="1271"/>
      <c r="L1268" s="1254"/>
      <c r="M1268" s="1244"/>
      <c r="N1268" s="1273"/>
      <c r="O1268" s="1244"/>
      <c r="P1268" s="1244"/>
      <c r="Q1268" s="1244"/>
      <c r="R1268" s="1244"/>
      <c r="S1268" s="1265"/>
      <c r="T1268" s="1244"/>
      <c r="U1268" s="1244"/>
    </row>
    <row r="1269">
      <c r="A1269" s="1235"/>
      <c r="B1269" s="1235"/>
      <c r="C1269" s="1246"/>
      <c r="D1269" s="1274"/>
      <c r="E1269" s="1248"/>
      <c r="F1269" s="1248"/>
      <c r="G1269" s="1271"/>
      <c r="H1269" s="1250"/>
      <c r="I1269" s="1251"/>
      <c r="J1269" s="1271"/>
      <c r="K1269" s="1271"/>
      <c r="L1269" s="1254"/>
      <c r="M1269" s="1244"/>
      <c r="N1269" s="1273"/>
      <c r="O1269" s="1244"/>
      <c r="P1269" s="1244"/>
      <c r="Q1269" s="1244"/>
      <c r="R1269" s="1244"/>
      <c r="S1269" s="1265"/>
      <c r="T1269" s="1244"/>
      <c r="U1269" s="1244"/>
    </row>
    <row r="1270">
      <c r="A1270" s="1235"/>
      <c r="B1270" s="1235"/>
      <c r="C1270" s="1246"/>
      <c r="D1270" s="1274"/>
      <c r="E1270" s="1248"/>
      <c r="F1270" s="1248"/>
      <c r="G1270" s="1271"/>
      <c r="H1270" s="1250"/>
      <c r="I1270" s="1251"/>
      <c r="J1270" s="1271"/>
      <c r="K1270" s="1271"/>
      <c r="L1270" s="1254"/>
      <c r="M1270" s="1244"/>
      <c r="N1270" s="1273"/>
      <c r="O1270" s="1244"/>
      <c r="P1270" s="1244"/>
      <c r="Q1270" s="1244"/>
      <c r="R1270" s="1244"/>
      <c r="S1270" s="1265"/>
      <c r="T1270" s="1244"/>
      <c r="U1270" s="1244"/>
    </row>
    <row r="1271">
      <c r="A1271" s="1235"/>
      <c r="B1271" s="1235"/>
      <c r="C1271" s="1246"/>
      <c r="D1271" s="1274"/>
      <c r="E1271" s="1248"/>
      <c r="F1271" s="1248"/>
      <c r="G1271" s="1271"/>
      <c r="H1271" s="1250"/>
      <c r="I1271" s="1251"/>
      <c r="J1271" s="1271"/>
      <c r="K1271" s="1271"/>
      <c r="L1271" s="1254"/>
      <c r="M1271" s="1244"/>
      <c r="N1271" s="1273"/>
      <c r="O1271" s="1244"/>
      <c r="P1271" s="1244"/>
      <c r="Q1271" s="1244"/>
      <c r="R1271" s="1244"/>
      <c r="S1271" s="1265"/>
      <c r="T1271" s="1244"/>
      <c r="U1271" s="1244"/>
    </row>
    <row r="1272">
      <c r="A1272" s="1235"/>
      <c r="B1272" s="1235"/>
      <c r="C1272" s="1246"/>
      <c r="D1272" s="1274"/>
      <c r="E1272" s="1248"/>
      <c r="F1272" s="1248"/>
      <c r="G1272" s="1271"/>
      <c r="H1272" s="1250"/>
      <c r="I1272" s="1251"/>
      <c r="J1272" s="1271"/>
      <c r="K1272" s="1271"/>
      <c r="L1272" s="1254"/>
      <c r="M1272" s="1244"/>
      <c r="N1272" s="1273"/>
      <c r="O1272" s="1244"/>
      <c r="P1272" s="1244"/>
      <c r="Q1272" s="1244"/>
      <c r="R1272" s="1244"/>
      <c r="S1272" s="1265"/>
      <c r="T1272" s="1244"/>
      <c r="U1272" s="1244"/>
    </row>
    <row r="1273">
      <c r="A1273" s="1235"/>
      <c r="B1273" s="1235"/>
      <c r="C1273" s="1246"/>
      <c r="D1273" s="1274"/>
      <c r="E1273" s="1248"/>
      <c r="F1273" s="1248"/>
      <c r="G1273" s="1271"/>
      <c r="H1273" s="1250"/>
      <c r="I1273" s="1251"/>
      <c r="J1273" s="1271"/>
      <c r="K1273" s="1271"/>
      <c r="L1273" s="1254"/>
      <c r="M1273" s="1244"/>
      <c r="N1273" s="1273"/>
      <c r="O1273" s="1244"/>
      <c r="P1273" s="1244"/>
      <c r="Q1273" s="1244"/>
      <c r="R1273" s="1244"/>
      <c r="S1273" s="1265"/>
      <c r="T1273" s="1244"/>
      <c r="U1273" s="1244"/>
    </row>
    <row r="1274">
      <c r="A1274" s="1235"/>
      <c r="B1274" s="1235"/>
      <c r="C1274" s="1246"/>
      <c r="D1274" s="1274"/>
      <c r="E1274" s="1248"/>
      <c r="F1274" s="1248"/>
      <c r="G1274" s="1271"/>
      <c r="H1274" s="1250"/>
      <c r="I1274" s="1251"/>
      <c r="J1274" s="1271"/>
      <c r="K1274" s="1271"/>
      <c r="L1274" s="1254"/>
      <c r="M1274" s="1244"/>
      <c r="N1274" s="1273"/>
      <c r="O1274" s="1244"/>
      <c r="P1274" s="1244"/>
      <c r="Q1274" s="1244"/>
      <c r="R1274" s="1244"/>
      <c r="S1274" s="1265"/>
      <c r="T1274" s="1244"/>
      <c r="U1274" s="1244"/>
    </row>
    <row r="1275">
      <c r="A1275" s="1235"/>
      <c r="B1275" s="1235"/>
      <c r="C1275" s="1246"/>
      <c r="D1275" s="1274"/>
      <c r="E1275" s="1248"/>
      <c r="F1275" s="1248"/>
      <c r="G1275" s="1271"/>
      <c r="H1275" s="1250"/>
      <c r="I1275" s="1251"/>
      <c r="J1275" s="1271"/>
      <c r="K1275" s="1271"/>
      <c r="L1275" s="1254"/>
      <c r="M1275" s="1244"/>
      <c r="N1275" s="1273"/>
      <c r="O1275" s="1244"/>
      <c r="P1275" s="1244"/>
      <c r="Q1275" s="1244"/>
      <c r="R1275" s="1244"/>
      <c r="S1275" s="1265"/>
      <c r="T1275" s="1244"/>
      <c r="U1275" s="1244"/>
    </row>
    <row r="1276">
      <c r="A1276" s="1235"/>
      <c r="B1276" s="1235"/>
      <c r="C1276" s="1246"/>
      <c r="D1276" s="1274"/>
      <c r="E1276" s="1248"/>
      <c r="F1276" s="1248"/>
      <c r="G1276" s="1271"/>
      <c r="H1276" s="1250"/>
      <c r="I1276" s="1251"/>
      <c r="J1276" s="1271"/>
      <c r="K1276" s="1271"/>
      <c r="L1276" s="1254"/>
      <c r="M1276" s="1244"/>
      <c r="N1276" s="1273"/>
      <c r="O1276" s="1244"/>
      <c r="P1276" s="1244"/>
      <c r="Q1276" s="1244"/>
      <c r="R1276" s="1244"/>
      <c r="S1276" s="1265"/>
      <c r="T1276" s="1244"/>
      <c r="U1276" s="1244"/>
    </row>
    <row r="1277">
      <c r="A1277" s="1235"/>
      <c r="B1277" s="1235"/>
      <c r="C1277" s="1246"/>
      <c r="D1277" s="1274"/>
      <c r="E1277" s="1248"/>
      <c r="F1277" s="1248"/>
      <c r="G1277" s="1271"/>
      <c r="H1277" s="1250"/>
      <c r="I1277" s="1251"/>
      <c r="J1277" s="1271"/>
      <c r="K1277" s="1271"/>
      <c r="L1277" s="1254"/>
      <c r="M1277" s="1244"/>
      <c r="N1277" s="1273"/>
      <c r="O1277" s="1244"/>
      <c r="P1277" s="1244"/>
      <c r="Q1277" s="1244"/>
      <c r="R1277" s="1244"/>
      <c r="S1277" s="1265"/>
      <c r="T1277" s="1244"/>
      <c r="U1277" s="1244"/>
    </row>
    <row r="1278">
      <c r="A1278" s="1235"/>
      <c r="B1278" s="1235"/>
      <c r="C1278" s="1246"/>
      <c r="D1278" s="1274"/>
      <c r="E1278" s="1248"/>
      <c r="F1278" s="1248"/>
      <c r="G1278" s="1271"/>
      <c r="H1278" s="1250"/>
      <c r="I1278" s="1251"/>
      <c r="J1278" s="1271"/>
      <c r="K1278" s="1271"/>
      <c r="L1278" s="1254"/>
      <c r="M1278" s="1244"/>
      <c r="N1278" s="1273"/>
      <c r="O1278" s="1244"/>
      <c r="P1278" s="1244"/>
      <c r="Q1278" s="1244"/>
      <c r="R1278" s="1244"/>
      <c r="S1278" s="1265"/>
      <c r="T1278" s="1244"/>
      <c r="U1278" s="1244"/>
    </row>
    <row r="1279">
      <c r="A1279" s="1235"/>
      <c r="B1279" s="1235"/>
      <c r="C1279" s="1246"/>
      <c r="D1279" s="1274"/>
      <c r="E1279" s="1248"/>
      <c r="F1279" s="1248"/>
      <c r="G1279" s="1271"/>
      <c r="H1279" s="1250"/>
      <c r="I1279" s="1251"/>
      <c r="J1279" s="1271"/>
      <c r="K1279" s="1271"/>
      <c r="L1279" s="1254"/>
      <c r="M1279" s="1244"/>
      <c r="N1279" s="1273"/>
      <c r="O1279" s="1244"/>
      <c r="P1279" s="1244"/>
      <c r="Q1279" s="1244"/>
      <c r="R1279" s="1244"/>
      <c r="S1279" s="1265"/>
      <c r="T1279" s="1244"/>
      <c r="U1279" s="1244"/>
    </row>
    <row r="1280">
      <c r="A1280" s="1235"/>
      <c r="B1280" s="1235"/>
      <c r="C1280" s="1246"/>
      <c r="D1280" s="1274"/>
      <c r="E1280" s="1248"/>
      <c r="F1280" s="1248"/>
      <c r="G1280" s="1271"/>
      <c r="H1280" s="1250"/>
      <c r="I1280" s="1251"/>
      <c r="J1280" s="1271"/>
      <c r="K1280" s="1271"/>
      <c r="L1280" s="1254"/>
      <c r="M1280" s="1244"/>
      <c r="N1280" s="1273"/>
      <c r="O1280" s="1244"/>
      <c r="P1280" s="1244"/>
      <c r="Q1280" s="1244"/>
      <c r="R1280" s="1244"/>
      <c r="S1280" s="1265"/>
      <c r="T1280" s="1244"/>
      <c r="U1280" s="1244"/>
    </row>
    <row r="1281">
      <c r="A1281" s="1235"/>
      <c r="B1281" s="1235"/>
      <c r="C1281" s="1246"/>
      <c r="D1281" s="1274"/>
      <c r="E1281" s="1248"/>
      <c r="F1281" s="1248"/>
      <c r="G1281" s="1271"/>
      <c r="H1281" s="1250"/>
      <c r="I1281" s="1251"/>
      <c r="J1281" s="1271"/>
      <c r="K1281" s="1271"/>
      <c r="L1281" s="1254"/>
      <c r="M1281" s="1244"/>
      <c r="N1281" s="1273"/>
      <c r="O1281" s="1244"/>
      <c r="P1281" s="1244"/>
      <c r="Q1281" s="1244"/>
      <c r="R1281" s="1244"/>
      <c r="S1281" s="1265"/>
      <c r="T1281" s="1244"/>
      <c r="U1281" s="1244"/>
    </row>
    <row r="1282">
      <c r="A1282" s="1235"/>
      <c r="B1282" s="1235"/>
      <c r="C1282" s="1246"/>
      <c r="D1282" s="1274"/>
      <c r="E1282" s="1248"/>
      <c r="F1282" s="1248"/>
      <c r="G1282" s="1271"/>
      <c r="H1282" s="1250"/>
      <c r="I1282" s="1251"/>
      <c r="J1282" s="1271"/>
      <c r="K1282" s="1271"/>
      <c r="L1282" s="1254"/>
      <c r="M1282" s="1244"/>
      <c r="N1282" s="1273"/>
      <c r="O1282" s="1244"/>
      <c r="P1282" s="1244"/>
      <c r="Q1282" s="1244"/>
      <c r="R1282" s="1244"/>
      <c r="S1282" s="1265"/>
      <c r="T1282" s="1244"/>
      <c r="U1282" s="1244"/>
    </row>
    <row r="1283">
      <c r="A1283" s="1235"/>
      <c r="B1283" s="1235"/>
      <c r="C1283" s="1246"/>
      <c r="D1283" s="1274"/>
      <c r="E1283" s="1248"/>
      <c r="F1283" s="1248"/>
      <c r="G1283" s="1271"/>
      <c r="H1283" s="1250"/>
      <c r="I1283" s="1251"/>
      <c r="J1283" s="1271"/>
      <c r="K1283" s="1271"/>
      <c r="L1283" s="1254"/>
      <c r="M1283" s="1244"/>
      <c r="N1283" s="1273"/>
      <c r="O1283" s="1244"/>
      <c r="P1283" s="1244"/>
      <c r="Q1283" s="1244"/>
      <c r="R1283" s="1244"/>
      <c r="S1283" s="1265"/>
      <c r="T1283" s="1244"/>
      <c r="U1283" s="1244"/>
    </row>
    <row r="1284">
      <c r="A1284" s="1235"/>
      <c r="B1284" s="1235"/>
      <c r="C1284" s="1246"/>
      <c r="D1284" s="1274"/>
      <c r="E1284" s="1248"/>
      <c r="F1284" s="1248"/>
      <c r="G1284" s="1271"/>
      <c r="H1284" s="1250"/>
      <c r="I1284" s="1251"/>
      <c r="J1284" s="1271"/>
      <c r="K1284" s="1271"/>
      <c r="L1284" s="1254"/>
      <c r="M1284" s="1244"/>
      <c r="N1284" s="1273"/>
      <c r="O1284" s="1244"/>
      <c r="P1284" s="1244"/>
      <c r="Q1284" s="1244"/>
      <c r="R1284" s="1244"/>
      <c r="S1284" s="1265"/>
      <c r="T1284" s="1244"/>
      <c r="U1284" s="1244"/>
    </row>
    <row r="1285">
      <c r="A1285" s="1235"/>
      <c r="B1285" s="1235"/>
      <c r="C1285" s="1246"/>
      <c r="D1285" s="1274"/>
      <c r="E1285" s="1248"/>
      <c r="F1285" s="1248"/>
      <c r="G1285" s="1271"/>
      <c r="H1285" s="1250"/>
      <c r="I1285" s="1251"/>
      <c r="J1285" s="1271"/>
      <c r="K1285" s="1271"/>
      <c r="L1285" s="1254"/>
      <c r="M1285" s="1244"/>
      <c r="N1285" s="1273"/>
      <c r="O1285" s="1244"/>
      <c r="P1285" s="1244"/>
      <c r="Q1285" s="1244"/>
      <c r="R1285" s="1244"/>
      <c r="S1285" s="1265"/>
      <c r="T1285" s="1244"/>
      <c r="U1285" s="1244"/>
    </row>
    <row r="1286">
      <c r="A1286" s="1235"/>
      <c r="B1286" s="1235"/>
      <c r="C1286" s="1246"/>
      <c r="D1286" s="1274"/>
      <c r="E1286" s="1248"/>
      <c r="F1286" s="1248"/>
      <c r="G1286" s="1271"/>
      <c r="H1286" s="1250"/>
      <c r="I1286" s="1251"/>
      <c r="J1286" s="1271"/>
      <c r="K1286" s="1271"/>
      <c r="L1286" s="1254"/>
      <c r="M1286" s="1244"/>
      <c r="N1286" s="1273"/>
      <c r="O1286" s="1244"/>
      <c r="P1286" s="1244"/>
      <c r="Q1286" s="1244"/>
      <c r="R1286" s="1244"/>
      <c r="S1286" s="1265"/>
      <c r="T1286" s="1244"/>
      <c r="U1286" s="1244"/>
    </row>
    <row r="1287">
      <c r="A1287" s="1235"/>
      <c r="B1287" s="1235"/>
      <c r="C1287" s="1246"/>
      <c r="D1287" s="1274"/>
      <c r="E1287" s="1248"/>
      <c r="F1287" s="1248"/>
      <c r="G1287" s="1271"/>
      <c r="H1287" s="1250"/>
      <c r="I1287" s="1251"/>
      <c r="J1287" s="1271"/>
      <c r="K1287" s="1271"/>
      <c r="L1287" s="1254"/>
      <c r="M1287" s="1244"/>
      <c r="N1287" s="1273"/>
      <c r="O1287" s="1244"/>
      <c r="P1287" s="1244"/>
      <c r="Q1287" s="1244"/>
      <c r="R1287" s="1244"/>
      <c r="S1287" s="1265"/>
      <c r="T1287" s="1244"/>
      <c r="U1287" s="1244"/>
    </row>
    <row r="1288">
      <c r="A1288" s="1235"/>
      <c r="B1288" s="1235"/>
      <c r="C1288" s="1246"/>
      <c r="D1288" s="1274"/>
      <c r="E1288" s="1248"/>
      <c r="F1288" s="1248"/>
      <c r="G1288" s="1271"/>
      <c r="H1288" s="1250"/>
      <c r="I1288" s="1251"/>
      <c r="J1288" s="1271"/>
      <c r="K1288" s="1271"/>
      <c r="L1288" s="1254"/>
      <c r="M1288" s="1244"/>
      <c r="N1288" s="1273"/>
      <c r="O1288" s="1244"/>
      <c r="P1288" s="1244"/>
      <c r="Q1288" s="1244"/>
      <c r="R1288" s="1244"/>
      <c r="S1288" s="1265"/>
      <c r="T1288" s="1244"/>
      <c r="U1288" s="1244"/>
    </row>
    <row r="1289">
      <c r="A1289" s="1235"/>
      <c r="B1289" s="1235"/>
      <c r="C1289" s="1246"/>
      <c r="D1289" s="1274"/>
      <c r="E1289" s="1248"/>
      <c r="F1289" s="1248"/>
      <c r="G1289" s="1271"/>
      <c r="H1289" s="1250"/>
      <c r="I1289" s="1251"/>
      <c r="J1289" s="1271"/>
      <c r="K1289" s="1271"/>
      <c r="L1289" s="1254"/>
      <c r="M1289" s="1244"/>
      <c r="N1289" s="1273"/>
      <c r="O1289" s="1244"/>
      <c r="P1289" s="1244"/>
      <c r="Q1289" s="1244"/>
      <c r="R1289" s="1244"/>
      <c r="S1289" s="1265"/>
      <c r="T1289" s="1244"/>
      <c r="U1289" s="1244"/>
    </row>
    <row r="1290">
      <c r="A1290" s="1235"/>
      <c r="B1290" s="1235"/>
      <c r="C1290" s="1246"/>
      <c r="D1290" s="1274"/>
      <c r="E1290" s="1248"/>
      <c r="F1290" s="1248"/>
      <c r="G1290" s="1271"/>
      <c r="H1290" s="1250"/>
      <c r="I1290" s="1251"/>
      <c r="J1290" s="1271"/>
      <c r="K1290" s="1271"/>
      <c r="L1290" s="1254"/>
      <c r="M1290" s="1244"/>
      <c r="N1290" s="1273"/>
      <c r="O1290" s="1244"/>
      <c r="P1290" s="1244"/>
      <c r="Q1290" s="1244"/>
      <c r="R1290" s="1244"/>
      <c r="S1290" s="1265"/>
      <c r="T1290" s="1244"/>
      <c r="U1290" s="1244"/>
    </row>
    <row r="1291">
      <c r="A1291" s="1235"/>
      <c r="B1291" s="1235"/>
      <c r="C1291" s="1246"/>
      <c r="D1291" s="1274"/>
      <c r="E1291" s="1248"/>
      <c r="F1291" s="1248"/>
      <c r="G1291" s="1271"/>
      <c r="H1291" s="1250"/>
      <c r="I1291" s="1251"/>
      <c r="J1291" s="1271"/>
      <c r="K1291" s="1271"/>
      <c r="L1291" s="1254"/>
      <c r="M1291" s="1244"/>
      <c r="N1291" s="1273"/>
      <c r="O1291" s="1244"/>
      <c r="P1291" s="1244"/>
      <c r="Q1291" s="1244"/>
      <c r="R1291" s="1244"/>
      <c r="S1291" s="1265"/>
      <c r="T1291" s="1244"/>
      <c r="U1291" s="1244"/>
    </row>
    <row r="1292">
      <c r="A1292" s="1235"/>
      <c r="B1292" s="1235"/>
      <c r="C1292" s="1246"/>
      <c r="D1292" s="1274"/>
      <c r="E1292" s="1248"/>
      <c r="F1292" s="1248"/>
      <c r="G1292" s="1271"/>
      <c r="H1292" s="1250"/>
      <c r="I1292" s="1251"/>
      <c r="J1292" s="1271"/>
      <c r="K1292" s="1271"/>
      <c r="L1292" s="1254"/>
      <c r="M1292" s="1244"/>
      <c r="N1292" s="1273"/>
      <c r="O1292" s="1244"/>
      <c r="P1292" s="1244"/>
      <c r="Q1292" s="1244"/>
      <c r="R1292" s="1244"/>
      <c r="S1292" s="1265"/>
      <c r="T1292" s="1244"/>
      <c r="U1292" s="1244"/>
    </row>
    <row r="1293">
      <c r="A1293" s="1235"/>
      <c r="B1293" s="1235"/>
      <c r="C1293" s="1246"/>
      <c r="D1293" s="1274"/>
      <c r="E1293" s="1248"/>
      <c r="F1293" s="1248"/>
      <c r="G1293" s="1271"/>
      <c r="H1293" s="1250"/>
      <c r="I1293" s="1251"/>
      <c r="J1293" s="1271"/>
      <c r="K1293" s="1271"/>
      <c r="L1293" s="1254"/>
      <c r="M1293" s="1244"/>
      <c r="N1293" s="1273"/>
      <c r="O1293" s="1244"/>
      <c r="P1293" s="1244"/>
      <c r="Q1293" s="1244"/>
      <c r="R1293" s="1244"/>
      <c r="S1293" s="1265"/>
      <c r="T1293" s="1244"/>
      <c r="U1293" s="1244"/>
    </row>
    <row r="1294">
      <c r="A1294" s="1235"/>
      <c r="B1294" s="1235"/>
      <c r="C1294" s="1246"/>
      <c r="D1294" s="1274"/>
      <c r="E1294" s="1248"/>
      <c r="F1294" s="1248"/>
      <c r="G1294" s="1271"/>
      <c r="H1294" s="1250"/>
      <c r="I1294" s="1251"/>
      <c r="J1294" s="1271"/>
      <c r="K1294" s="1271"/>
      <c r="L1294" s="1254"/>
      <c r="M1294" s="1244"/>
      <c r="N1294" s="1273"/>
      <c r="O1294" s="1244"/>
      <c r="P1294" s="1244"/>
      <c r="Q1294" s="1244"/>
      <c r="R1294" s="1244"/>
      <c r="S1294" s="1265"/>
      <c r="T1294" s="1244"/>
      <c r="U1294" s="1244"/>
    </row>
    <row r="1295">
      <c r="A1295" s="1235"/>
      <c r="B1295" s="1235"/>
      <c r="C1295" s="1246"/>
      <c r="D1295" s="1274"/>
      <c r="E1295" s="1248"/>
      <c r="F1295" s="1248"/>
      <c r="G1295" s="1271"/>
      <c r="H1295" s="1250"/>
      <c r="I1295" s="1251"/>
      <c r="J1295" s="1271"/>
      <c r="K1295" s="1271"/>
      <c r="L1295" s="1254"/>
      <c r="M1295" s="1244"/>
      <c r="N1295" s="1273"/>
      <c r="O1295" s="1244"/>
      <c r="P1295" s="1244"/>
      <c r="Q1295" s="1244"/>
      <c r="R1295" s="1244"/>
      <c r="S1295" s="1265"/>
      <c r="T1295" s="1244"/>
      <c r="U1295" s="1244"/>
    </row>
    <row r="1296">
      <c r="A1296" s="1235"/>
      <c r="B1296" s="1235"/>
      <c r="C1296" s="1246"/>
      <c r="D1296" s="1274"/>
      <c r="E1296" s="1248"/>
      <c r="F1296" s="1248"/>
      <c r="G1296" s="1271"/>
      <c r="H1296" s="1250"/>
      <c r="I1296" s="1251"/>
      <c r="J1296" s="1271"/>
      <c r="K1296" s="1271"/>
      <c r="L1296" s="1254"/>
      <c r="M1296" s="1244"/>
      <c r="N1296" s="1273"/>
      <c r="O1296" s="1244"/>
      <c r="P1296" s="1244"/>
      <c r="Q1296" s="1244"/>
      <c r="R1296" s="1244"/>
      <c r="S1296" s="1265"/>
      <c r="T1296" s="1244"/>
      <c r="U1296" s="1244"/>
    </row>
    <row r="1297">
      <c r="A1297" s="1235"/>
      <c r="B1297" s="1235"/>
      <c r="C1297" s="1246"/>
      <c r="D1297" s="1274"/>
      <c r="E1297" s="1248"/>
      <c r="F1297" s="1248"/>
      <c r="G1297" s="1271"/>
      <c r="H1297" s="1250"/>
      <c r="I1297" s="1251"/>
      <c r="J1297" s="1271"/>
      <c r="K1297" s="1271"/>
      <c r="L1297" s="1254"/>
      <c r="M1297" s="1244"/>
      <c r="N1297" s="1273"/>
      <c r="O1297" s="1244"/>
      <c r="P1297" s="1244"/>
      <c r="Q1297" s="1244"/>
      <c r="R1297" s="1244"/>
      <c r="S1297" s="1265"/>
      <c r="T1297" s="1244"/>
      <c r="U1297" s="1244"/>
    </row>
    <row r="1298">
      <c r="A1298" s="1235"/>
      <c r="B1298" s="1235"/>
      <c r="C1298" s="1246"/>
      <c r="D1298" s="1274"/>
      <c r="E1298" s="1248"/>
      <c r="F1298" s="1248"/>
      <c r="G1298" s="1271"/>
      <c r="H1298" s="1250"/>
      <c r="I1298" s="1251"/>
      <c r="J1298" s="1271"/>
      <c r="K1298" s="1271"/>
      <c r="L1298" s="1254"/>
      <c r="M1298" s="1244"/>
      <c r="N1298" s="1273"/>
      <c r="O1298" s="1244"/>
      <c r="P1298" s="1244"/>
      <c r="Q1298" s="1244"/>
      <c r="R1298" s="1244"/>
      <c r="S1298" s="1265"/>
      <c r="T1298" s="1244"/>
      <c r="U1298" s="1244"/>
    </row>
    <row r="1299">
      <c r="A1299" s="1235"/>
      <c r="B1299" s="1235"/>
      <c r="C1299" s="1246"/>
      <c r="D1299" s="1274"/>
      <c r="E1299" s="1248"/>
      <c r="F1299" s="1248"/>
      <c r="G1299" s="1271"/>
      <c r="H1299" s="1250"/>
      <c r="I1299" s="1251"/>
      <c r="J1299" s="1271"/>
      <c r="K1299" s="1271"/>
      <c r="L1299" s="1254"/>
      <c r="M1299" s="1244"/>
      <c r="N1299" s="1273"/>
      <c r="O1299" s="1244"/>
      <c r="P1299" s="1244"/>
      <c r="Q1299" s="1244"/>
      <c r="R1299" s="1244"/>
      <c r="S1299" s="1265"/>
      <c r="T1299" s="1244"/>
      <c r="U1299" s="1244"/>
    </row>
    <row r="1300">
      <c r="A1300" s="1235"/>
      <c r="B1300" s="1235"/>
      <c r="C1300" s="1246"/>
      <c r="D1300" s="1274"/>
      <c r="E1300" s="1248"/>
      <c r="F1300" s="1248"/>
      <c r="G1300" s="1271"/>
      <c r="H1300" s="1250"/>
      <c r="I1300" s="1251"/>
      <c r="J1300" s="1271"/>
      <c r="K1300" s="1271"/>
      <c r="L1300" s="1254"/>
      <c r="M1300" s="1244"/>
      <c r="N1300" s="1273"/>
      <c r="O1300" s="1244"/>
      <c r="P1300" s="1244"/>
      <c r="Q1300" s="1244"/>
      <c r="R1300" s="1244"/>
      <c r="S1300" s="1265"/>
      <c r="T1300" s="1244"/>
      <c r="U1300" s="1244"/>
    </row>
    <row r="1301">
      <c r="A1301" s="1235"/>
      <c r="B1301" s="1235"/>
      <c r="C1301" s="1246"/>
      <c r="D1301" s="1274"/>
      <c r="E1301" s="1248"/>
      <c r="F1301" s="1248"/>
      <c r="G1301" s="1271"/>
      <c r="H1301" s="1250"/>
      <c r="I1301" s="1251"/>
      <c r="J1301" s="1271"/>
      <c r="K1301" s="1271"/>
      <c r="L1301" s="1254"/>
      <c r="M1301" s="1244"/>
      <c r="N1301" s="1273"/>
      <c r="O1301" s="1244"/>
      <c r="P1301" s="1244"/>
      <c r="Q1301" s="1244"/>
      <c r="R1301" s="1244"/>
      <c r="S1301" s="1265"/>
      <c r="T1301" s="1244"/>
      <c r="U1301" s="1244"/>
    </row>
    <row r="1302">
      <c r="A1302" s="1235"/>
      <c r="B1302" s="1235"/>
      <c r="C1302" s="1246"/>
      <c r="D1302" s="1274"/>
      <c r="E1302" s="1248"/>
      <c r="F1302" s="1248"/>
      <c r="G1302" s="1271"/>
      <c r="H1302" s="1250"/>
      <c r="I1302" s="1251"/>
      <c r="J1302" s="1271"/>
      <c r="K1302" s="1271"/>
      <c r="L1302" s="1254"/>
      <c r="M1302" s="1244"/>
      <c r="N1302" s="1273"/>
      <c r="O1302" s="1244"/>
      <c r="P1302" s="1244"/>
      <c r="Q1302" s="1244"/>
      <c r="R1302" s="1244"/>
      <c r="S1302" s="1265"/>
      <c r="T1302" s="1244"/>
      <c r="U1302" s="1244"/>
    </row>
    <row r="1303">
      <c r="A1303" s="1235"/>
      <c r="B1303" s="1235"/>
      <c r="C1303" s="1246"/>
      <c r="D1303" s="1274"/>
      <c r="E1303" s="1248"/>
      <c r="F1303" s="1248"/>
      <c r="G1303" s="1271"/>
      <c r="H1303" s="1250"/>
      <c r="I1303" s="1251"/>
      <c r="J1303" s="1271"/>
      <c r="K1303" s="1271"/>
      <c r="L1303" s="1254"/>
      <c r="M1303" s="1244"/>
      <c r="N1303" s="1273"/>
      <c r="O1303" s="1244"/>
      <c r="P1303" s="1244"/>
      <c r="Q1303" s="1244"/>
      <c r="R1303" s="1244"/>
      <c r="S1303" s="1265"/>
      <c r="T1303" s="1244"/>
      <c r="U1303" s="1244"/>
    </row>
    <row r="1304">
      <c r="A1304" s="1235"/>
      <c r="B1304" s="1235"/>
      <c r="C1304" s="1246"/>
      <c r="D1304" s="1274"/>
      <c r="E1304" s="1248"/>
      <c r="F1304" s="1248"/>
      <c r="G1304" s="1271"/>
      <c r="H1304" s="1250"/>
      <c r="I1304" s="1251"/>
      <c r="J1304" s="1271"/>
      <c r="K1304" s="1271"/>
      <c r="L1304" s="1254"/>
      <c r="M1304" s="1244"/>
      <c r="N1304" s="1273"/>
      <c r="O1304" s="1244"/>
      <c r="P1304" s="1244"/>
      <c r="Q1304" s="1244"/>
      <c r="R1304" s="1244"/>
      <c r="S1304" s="1265"/>
      <c r="T1304" s="1244"/>
      <c r="U1304" s="1244"/>
    </row>
    <row r="1305">
      <c r="A1305" s="1235"/>
      <c r="B1305" s="1235"/>
      <c r="C1305" s="1246"/>
      <c r="D1305" s="1274"/>
      <c r="E1305" s="1248"/>
      <c r="F1305" s="1248"/>
      <c r="G1305" s="1271"/>
      <c r="H1305" s="1250"/>
      <c r="I1305" s="1251"/>
      <c r="J1305" s="1271"/>
      <c r="K1305" s="1271"/>
      <c r="L1305" s="1254"/>
      <c r="M1305" s="1244"/>
      <c r="N1305" s="1273"/>
      <c r="O1305" s="1244"/>
      <c r="P1305" s="1244"/>
      <c r="Q1305" s="1244"/>
      <c r="R1305" s="1244"/>
      <c r="S1305" s="1265"/>
      <c r="T1305" s="1244"/>
      <c r="U1305" s="1244"/>
    </row>
    <row r="1306">
      <c r="A1306" s="1235"/>
      <c r="B1306" s="1235"/>
      <c r="C1306" s="1246"/>
      <c r="D1306" s="1274"/>
      <c r="E1306" s="1248"/>
      <c r="F1306" s="1248"/>
      <c r="G1306" s="1271"/>
      <c r="H1306" s="1250"/>
      <c r="I1306" s="1251"/>
      <c r="J1306" s="1271"/>
      <c r="K1306" s="1271"/>
      <c r="L1306" s="1254"/>
      <c r="M1306" s="1244"/>
      <c r="N1306" s="1273"/>
      <c r="O1306" s="1244"/>
      <c r="P1306" s="1244"/>
      <c r="Q1306" s="1244"/>
      <c r="R1306" s="1244"/>
      <c r="S1306" s="1265"/>
      <c r="T1306" s="1244"/>
      <c r="U1306" s="1244"/>
    </row>
    <row r="1307">
      <c r="A1307" s="1235"/>
      <c r="B1307" s="1235"/>
      <c r="C1307" s="1246"/>
      <c r="D1307" s="1274"/>
      <c r="E1307" s="1248"/>
      <c r="F1307" s="1248"/>
      <c r="G1307" s="1271"/>
      <c r="H1307" s="1250"/>
      <c r="I1307" s="1251"/>
      <c r="J1307" s="1271"/>
      <c r="K1307" s="1271"/>
      <c r="L1307" s="1254"/>
      <c r="M1307" s="1244"/>
      <c r="N1307" s="1273"/>
      <c r="O1307" s="1244"/>
      <c r="P1307" s="1244"/>
      <c r="Q1307" s="1244"/>
      <c r="R1307" s="1244"/>
      <c r="S1307" s="1265"/>
      <c r="T1307" s="1244"/>
      <c r="U1307" s="1244"/>
    </row>
    <row r="1308">
      <c r="A1308" s="1235"/>
      <c r="B1308" s="1235"/>
      <c r="C1308" s="1246"/>
      <c r="D1308" s="1274"/>
      <c r="E1308" s="1248"/>
      <c r="F1308" s="1248"/>
      <c r="G1308" s="1271"/>
      <c r="H1308" s="1250"/>
      <c r="I1308" s="1251"/>
      <c r="J1308" s="1271"/>
      <c r="K1308" s="1271"/>
      <c r="L1308" s="1254"/>
      <c r="M1308" s="1244"/>
      <c r="N1308" s="1273"/>
      <c r="O1308" s="1244"/>
      <c r="P1308" s="1244"/>
      <c r="Q1308" s="1244"/>
      <c r="R1308" s="1244"/>
      <c r="S1308" s="1265"/>
      <c r="T1308" s="1244"/>
      <c r="U1308" s="1244"/>
    </row>
    <row r="1309">
      <c r="A1309" s="1235"/>
      <c r="B1309" s="1235"/>
      <c r="C1309" s="1246"/>
      <c r="D1309" s="1274"/>
      <c r="E1309" s="1248"/>
      <c r="F1309" s="1248"/>
      <c r="G1309" s="1271"/>
      <c r="H1309" s="1250"/>
      <c r="I1309" s="1251"/>
      <c r="J1309" s="1271"/>
      <c r="K1309" s="1271"/>
      <c r="L1309" s="1254"/>
      <c r="M1309" s="1244"/>
      <c r="N1309" s="1273"/>
      <c r="O1309" s="1244"/>
      <c r="P1309" s="1244"/>
      <c r="Q1309" s="1244"/>
      <c r="R1309" s="1244"/>
      <c r="S1309" s="1265"/>
      <c r="T1309" s="1244"/>
      <c r="U1309" s="1244"/>
    </row>
    <row r="1310">
      <c r="A1310" s="1235"/>
      <c r="B1310" s="1235"/>
      <c r="C1310" s="1246"/>
      <c r="D1310" s="1274"/>
      <c r="E1310" s="1248"/>
      <c r="F1310" s="1248"/>
      <c r="G1310" s="1271"/>
      <c r="H1310" s="1250"/>
      <c r="I1310" s="1251"/>
      <c r="J1310" s="1271"/>
      <c r="K1310" s="1271"/>
      <c r="L1310" s="1254"/>
      <c r="M1310" s="1244"/>
      <c r="N1310" s="1273"/>
      <c r="O1310" s="1244"/>
      <c r="P1310" s="1244"/>
      <c r="Q1310" s="1244"/>
      <c r="R1310" s="1244"/>
      <c r="S1310" s="1265"/>
      <c r="T1310" s="1244"/>
      <c r="U1310" s="1244"/>
    </row>
    <row r="1311">
      <c r="A1311" s="1235"/>
      <c r="B1311" s="1235"/>
      <c r="C1311" s="1246"/>
      <c r="D1311" s="1274"/>
      <c r="E1311" s="1248"/>
      <c r="F1311" s="1248"/>
      <c r="G1311" s="1271"/>
      <c r="H1311" s="1250"/>
      <c r="I1311" s="1251"/>
      <c r="J1311" s="1271"/>
      <c r="K1311" s="1271"/>
      <c r="L1311" s="1254"/>
      <c r="M1311" s="1244"/>
      <c r="N1311" s="1273"/>
      <c r="O1311" s="1244"/>
      <c r="P1311" s="1244"/>
      <c r="Q1311" s="1244"/>
      <c r="R1311" s="1244"/>
      <c r="S1311" s="1265"/>
      <c r="T1311" s="1244"/>
      <c r="U1311" s="1244"/>
    </row>
    <row r="1312">
      <c r="A1312" s="1235"/>
      <c r="B1312" s="1235"/>
      <c r="C1312" s="1246"/>
      <c r="D1312" s="1274"/>
      <c r="E1312" s="1248"/>
      <c r="F1312" s="1248"/>
      <c r="G1312" s="1271"/>
      <c r="H1312" s="1250"/>
      <c r="I1312" s="1251"/>
      <c r="J1312" s="1271"/>
      <c r="K1312" s="1271"/>
      <c r="L1312" s="1254"/>
      <c r="M1312" s="1244"/>
      <c r="N1312" s="1273"/>
      <c r="O1312" s="1244"/>
      <c r="P1312" s="1244"/>
      <c r="Q1312" s="1244"/>
      <c r="R1312" s="1244"/>
      <c r="S1312" s="1265"/>
      <c r="T1312" s="1244"/>
      <c r="U1312" s="1244"/>
    </row>
    <row r="1313">
      <c r="A1313" s="1235"/>
      <c r="B1313" s="1235"/>
      <c r="C1313" s="1246"/>
      <c r="D1313" s="1274"/>
      <c r="E1313" s="1248"/>
      <c r="F1313" s="1248"/>
      <c r="G1313" s="1271"/>
      <c r="H1313" s="1250"/>
      <c r="I1313" s="1251"/>
      <c r="J1313" s="1271"/>
      <c r="K1313" s="1271"/>
      <c r="L1313" s="1254"/>
      <c r="M1313" s="1244"/>
      <c r="N1313" s="1273"/>
      <c r="O1313" s="1244"/>
      <c r="P1313" s="1244"/>
      <c r="Q1313" s="1244"/>
      <c r="R1313" s="1244"/>
      <c r="S1313" s="1265"/>
      <c r="T1313" s="1244"/>
      <c r="U1313" s="1244"/>
    </row>
    <row r="1314">
      <c r="A1314" s="1235"/>
      <c r="B1314" s="1235"/>
      <c r="C1314" s="1246"/>
      <c r="D1314" s="1274"/>
      <c r="E1314" s="1248"/>
      <c r="F1314" s="1248"/>
      <c r="G1314" s="1271"/>
      <c r="H1314" s="1250"/>
      <c r="I1314" s="1251"/>
      <c r="J1314" s="1271"/>
      <c r="K1314" s="1271"/>
      <c r="L1314" s="1254"/>
      <c r="M1314" s="1244"/>
      <c r="N1314" s="1273"/>
      <c r="O1314" s="1244"/>
      <c r="P1314" s="1244"/>
      <c r="Q1314" s="1244"/>
      <c r="R1314" s="1244"/>
      <c r="S1314" s="1265"/>
      <c r="T1314" s="1244"/>
      <c r="U1314" s="1244"/>
    </row>
    <row r="1315">
      <c r="A1315" s="1235"/>
      <c r="B1315" s="1235"/>
      <c r="C1315" s="1246"/>
      <c r="D1315" s="1274"/>
      <c r="E1315" s="1248"/>
      <c r="F1315" s="1248"/>
      <c r="G1315" s="1271"/>
      <c r="H1315" s="1250"/>
      <c r="I1315" s="1251"/>
      <c r="J1315" s="1271"/>
      <c r="K1315" s="1271"/>
      <c r="L1315" s="1254"/>
      <c r="M1315" s="1244"/>
      <c r="N1315" s="1273"/>
      <c r="O1315" s="1244"/>
      <c r="P1315" s="1244"/>
      <c r="Q1315" s="1244"/>
      <c r="R1315" s="1244"/>
      <c r="S1315" s="1265"/>
      <c r="T1315" s="1244"/>
      <c r="U1315" s="1244"/>
    </row>
    <row r="1316">
      <c r="A1316" s="1235"/>
      <c r="B1316" s="1235"/>
      <c r="C1316" s="1246"/>
      <c r="D1316" s="1274"/>
      <c r="E1316" s="1248"/>
      <c r="F1316" s="1248"/>
      <c r="G1316" s="1271"/>
      <c r="H1316" s="1250"/>
      <c r="I1316" s="1251"/>
      <c r="J1316" s="1271"/>
      <c r="K1316" s="1271"/>
      <c r="L1316" s="1254"/>
      <c r="M1316" s="1244"/>
      <c r="N1316" s="1273"/>
      <c r="O1316" s="1244"/>
      <c r="P1316" s="1244"/>
      <c r="Q1316" s="1244"/>
      <c r="R1316" s="1244"/>
      <c r="S1316" s="1265"/>
      <c r="T1316" s="1244"/>
      <c r="U1316" s="1244"/>
    </row>
    <row r="1317">
      <c r="A1317" s="1235"/>
      <c r="B1317" s="1235"/>
      <c r="C1317" s="1246"/>
      <c r="D1317" s="1274"/>
      <c r="E1317" s="1248"/>
      <c r="F1317" s="1248"/>
      <c r="G1317" s="1271"/>
      <c r="H1317" s="1250"/>
      <c r="I1317" s="1251"/>
      <c r="J1317" s="1271"/>
      <c r="K1317" s="1271"/>
      <c r="L1317" s="1254"/>
      <c r="M1317" s="1244"/>
      <c r="N1317" s="1273"/>
      <c r="O1317" s="1244"/>
      <c r="P1317" s="1244"/>
      <c r="Q1317" s="1244"/>
      <c r="R1317" s="1244"/>
      <c r="S1317" s="1265"/>
      <c r="T1317" s="1244"/>
      <c r="U1317" s="1244"/>
    </row>
    <row r="1318">
      <c r="A1318" s="1235"/>
      <c r="B1318" s="1235"/>
      <c r="C1318" s="1246"/>
      <c r="D1318" s="1274"/>
      <c r="E1318" s="1248"/>
      <c r="F1318" s="1248"/>
      <c r="G1318" s="1271"/>
      <c r="H1318" s="1250"/>
      <c r="I1318" s="1251"/>
      <c r="J1318" s="1271"/>
      <c r="K1318" s="1271"/>
      <c r="L1318" s="1254"/>
      <c r="M1318" s="1244"/>
      <c r="N1318" s="1273"/>
      <c r="O1318" s="1244"/>
      <c r="P1318" s="1244"/>
      <c r="Q1318" s="1244"/>
      <c r="R1318" s="1244"/>
      <c r="S1318" s="1265"/>
      <c r="T1318" s="1244"/>
      <c r="U1318" s="1244"/>
    </row>
    <row r="1319">
      <c r="A1319" s="1235"/>
      <c r="B1319" s="1235"/>
      <c r="C1319" s="1246"/>
      <c r="D1319" s="1274"/>
      <c r="E1319" s="1248"/>
      <c r="F1319" s="1248"/>
      <c r="G1319" s="1271"/>
      <c r="H1319" s="1250"/>
      <c r="I1319" s="1251"/>
      <c r="J1319" s="1271"/>
      <c r="K1319" s="1271"/>
      <c r="L1319" s="1254"/>
      <c r="M1319" s="1244"/>
      <c r="N1319" s="1273"/>
      <c r="O1319" s="1244"/>
      <c r="P1319" s="1244"/>
      <c r="Q1319" s="1244"/>
      <c r="R1319" s="1244"/>
      <c r="S1319" s="1265"/>
      <c r="T1319" s="1244"/>
      <c r="U1319" s="1244"/>
    </row>
    <row r="1320">
      <c r="A1320" s="1235"/>
      <c r="B1320" s="1235"/>
      <c r="C1320" s="1246"/>
      <c r="D1320" s="1274"/>
      <c r="E1320" s="1248"/>
      <c r="F1320" s="1248"/>
      <c r="G1320" s="1271"/>
      <c r="H1320" s="1250"/>
      <c r="I1320" s="1251"/>
      <c r="J1320" s="1271"/>
      <c r="K1320" s="1271"/>
      <c r="L1320" s="1254"/>
      <c r="M1320" s="1244"/>
      <c r="N1320" s="1273"/>
      <c r="O1320" s="1244"/>
      <c r="P1320" s="1244"/>
      <c r="Q1320" s="1244"/>
      <c r="R1320" s="1244"/>
      <c r="S1320" s="1265"/>
      <c r="T1320" s="1244"/>
      <c r="U1320" s="1244"/>
    </row>
    <row r="1321">
      <c r="A1321" s="1235"/>
      <c r="B1321" s="1235"/>
      <c r="C1321" s="1246"/>
      <c r="D1321" s="1274"/>
      <c r="E1321" s="1248"/>
      <c r="F1321" s="1248"/>
      <c r="G1321" s="1271"/>
      <c r="H1321" s="1250"/>
      <c r="I1321" s="1251"/>
      <c r="J1321" s="1271"/>
      <c r="K1321" s="1271"/>
      <c r="L1321" s="1254"/>
      <c r="M1321" s="1244"/>
      <c r="N1321" s="1273"/>
      <c r="O1321" s="1244"/>
      <c r="P1321" s="1244"/>
      <c r="Q1321" s="1244"/>
      <c r="R1321" s="1244"/>
      <c r="S1321" s="1265"/>
      <c r="T1321" s="1244"/>
      <c r="U1321" s="1244"/>
    </row>
    <row r="1322">
      <c r="A1322" s="1235"/>
      <c r="B1322" s="1235"/>
      <c r="C1322" s="1246"/>
      <c r="D1322" s="1274"/>
      <c r="E1322" s="1248"/>
      <c r="F1322" s="1248"/>
      <c r="G1322" s="1271"/>
      <c r="H1322" s="1250"/>
      <c r="I1322" s="1251"/>
      <c r="J1322" s="1271"/>
      <c r="K1322" s="1271"/>
      <c r="L1322" s="1254"/>
      <c r="M1322" s="1244"/>
      <c r="N1322" s="1273"/>
      <c r="O1322" s="1244"/>
      <c r="P1322" s="1244"/>
      <c r="Q1322" s="1244"/>
      <c r="R1322" s="1244"/>
      <c r="S1322" s="1265"/>
      <c r="T1322" s="1244"/>
      <c r="U1322" s="1244"/>
    </row>
    <row r="1323">
      <c r="A1323" s="1235"/>
      <c r="B1323" s="1235"/>
      <c r="C1323" s="1246"/>
      <c r="D1323" s="1274"/>
      <c r="E1323" s="1248"/>
      <c r="F1323" s="1248"/>
      <c r="G1323" s="1271"/>
      <c r="H1323" s="1250"/>
      <c r="I1323" s="1251"/>
      <c r="J1323" s="1271"/>
      <c r="K1323" s="1271"/>
      <c r="L1323" s="1254"/>
      <c r="M1323" s="1244"/>
      <c r="N1323" s="1273"/>
      <c r="O1323" s="1244"/>
      <c r="P1323" s="1244"/>
      <c r="Q1323" s="1244"/>
      <c r="R1323" s="1244"/>
      <c r="S1323" s="1265"/>
      <c r="T1323" s="1244"/>
      <c r="U1323" s="1244"/>
    </row>
    <row r="1324">
      <c r="A1324" s="1235"/>
      <c r="B1324" s="1235"/>
      <c r="C1324" s="1246"/>
      <c r="D1324" s="1274"/>
      <c r="E1324" s="1248"/>
      <c r="F1324" s="1248"/>
      <c r="G1324" s="1271"/>
      <c r="H1324" s="1250"/>
      <c r="I1324" s="1251"/>
      <c r="J1324" s="1271"/>
      <c r="K1324" s="1271"/>
      <c r="L1324" s="1254"/>
      <c r="M1324" s="1244"/>
      <c r="N1324" s="1273"/>
      <c r="O1324" s="1244"/>
      <c r="P1324" s="1244"/>
      <c r="Q1324" s="1244"/>
      <c r="R1324" s="1244"/>
      <c r="S1324" s="1265"/>
      <c r="T1324" s="1244"/>
      <c r="U1324" s="1244"/>
    </row>
    <row r="1325">
      <c r="A1325" s="1235"/>
      <c r="B1325" s="1235"/>
      <c r="C1325" s="1246"/>
      <c r="D1325" s="1274"/>
      <c r="E1325" s="1248"/>
      <c r="F1325" s="1248"/>
      <c r="G1325" s="1271"/>
      <c r="H1325" s="1250"/>
      <c r="I1325" s="1251"/>
      <c r="J1325" s="1271"/>
      <c r="K1325" s="1271"/>
      <c r="L1325" s="1254"/>
      <c r="M1325" s="1244"/>
      <c r="N1325" s="1273"/>
      <c r="O1325" s="1244"/>
      <c r="P1325" s="1244"/>
      <c r="Q1325" s="1244"/>
      <c r="R1325" s="1244"/>
      <c r="S1325" s="1265"/>
      <c r="T1325" s="1244"/>
      <c r="U1325" s="1244"/>
    </row>
    <row r="1326">
      <c r="A1326" s="1235"/>
      <c r="B1326" s="1235"/>
      <c r="C1326" s="1246"/>
      <c r="D1326" s="1274"/>
      <c r="E1326" s="1248"/>
      <c r="F1326" s="1248"/>
      <c r="G1326" s="1271"/>
      <c r="H1326" s="1250"/>
      <c r="I1326" s="1251"/>
      <c r="J1326" s="1271"/>
      <c r="K1326" s="1271"/>
      <c r="L1326" s="1254"/>
      <c r="M1326" s="1244"/>
      <c r="N1326" s="1273"/>
      <c r="O1326" s="1244"/>
      <c r="P1326" s="1244"/>
      <c r="Q1326" s="1244"/>
      <c r="R1326" s="1244"/>
      <c r="S1326" s="1265"/>
      <c r="T1326" s="1244"/>
      <c r="U1326" s="1244"/>
    </row>
    <row r="1327">
      <c r="A1327" s="1235"/>
      <c r="B1327" s="1235"/>
      <c r="C1327" s="1246"/>
      <c r="D1327" s="1274"/>
      <c r="E1327" s="1248"/>
      <c r="F1327" s="1248"/>
      <c r="G1327" s="1271"/>
      <c r="H1327" s="1250"/>
      <c r="I1327" s="1251"/>
      <c r="J1327" s="1271"/>
      <c r="K1327" s="1271"/>
      <c r="L1327" s="1254"/>
      <c r="M1327" s="1244"/>
      <c r="N1327" s="1273"/>
      <c r="O1327" s="1244"/>
      <c r="P1327" s="1244"/>
      <c r="Q1327" s="1244"/>
      <c r="R1327" s="1244"/>
      <c r="S1327" s="1265"/>
      <c r="T1327" s="1244"/>
      <c r="U1327" s="1244"/>
    </row>
    <row r="1328">
      <c r="A1328" s="1235"/>
      <c r="B1328" s="1235"/>
      <c r="C1328" s="1246"/>
      <c r="D1328" s="1274"/>
      <c r="E1328" s="1248"/>
      <c r="F1328" s="1248"/>
      <c r="G1328" s="1271"/>
      <c r="H1328" s="1250"/>
      <c r="I1328" s="1251"/>
      <c r="J1328" s="1271"/>
      <c r="K1328" s="1271"/>
      <c r="L1328" s="1254"/>
      <c r="M1328" s="1244"/>
      <c r="N1328" s="1273"/>
      <c r="O1328" s="1244"/>
      <c r="P1328" s="1244"/>
      <c r="Q1328" s="1244"/>
      <c r="R1328" s="1244"/>
      <c r="S1328" s="1265"/>
      <c r="T1328" s="1244"/>
      <c r="U1328" s="1244"/>
    </row>
    <row r="1329">
      <c r="A1329" s="1235"/>
      <c r="B1329" s="1235"/>
      <c r="C1329" s="1246"/>
      <c r="D1329" s="1274"/>
      <c r="E1329" s="1248"/>
      <c r="F1329" s="1248"/>
      <c r="G1329" s="1271"/>
      <c r="H1329" s="1250"/>
      <c r="I1329" s="1251"/>
      <c r="J1329" s="1271"/>
      <c r="K1329" s="1271"/>
      <c r="L1329" s="1254"/>
      <c r="M1329" s="1244"/>
      <c r="N1329" s="1273"/>
      <c r="O1329" s="1244"/>
      <c r="P1329" s="1244"/>
      <c r="Q1329" s="1244"/>
      <c r="R1329" s="1244"/>
      <c r="S1329" s="1265"/>
      <c r="T1329" s="1244"/>
      <c r="U1329" s="1244"/>
    </row>
    <row r="1330">
      <c r="A1330" s="1235"/>
      <c r="B1330" s="1235"/>
      <c r="C1330" s="1246"/>
      <c r="D1330" s="1274"/>
      <c r="E1330" s="1248"/>
      <c r="F1330" s="1248"/>
      <c r="G1330" s="1271"/>
      <c r="H1330" s="1250"/>
      <c r="I1330" s="1251"/>
      <c r="J1330" s="1271"/>
      <c r="K1330" s="1271"/>
      <c r="L1330" s="1254"/>
      <c r="M1330" s="1244"/>
      <c r="N1330" s="1273"/>
      <c r="O1330" s="1244"/>
      <c r="P1330" s="1244"/>
      <c r="Q1330" s="1244"/>
      <c r="R1330" s="1244"/>
      <c r="S1330" s="1265"/>
      <c r="T1330" s="1244"/>
      <c r="U1330" s="1244"/>
    </row>
    <row r="1331">
      <c r="A1331" s="1235"/>
      <c r="B1331" s="1235"/>
      <c r="C1331" s="1246"/>
      <c r="D1331" s="1274"/>
      <c r="E1331" s="1248"/>
      <c r="F1331" s="1248"/>
      <c r="G1331" s="1271"/>
      <c r="H1331" s="1250"/>
      <c r="I1331" s="1251"/>
      <c r="J1331" s="1271"/>
      <c r="K1331" s="1271"/>
      <c r="L1331" s="1254"/>
      <c r="M1331" s="1244"/>
      <c r="N1331" s="1273"/>
      <c r="O1331" s="1244"/>
      <c r="P1331" s="1244"/>
      <c r="Q1331" s="1244"/>
      <c r="R1331" s="1244"/>
      <c r="S1331" s="1265"/>
      <c r="T1331" s="1244"/>
      <c r="U1331" s="1244"/>
    </row>
    <row r="1332">
      <c r="A1332" s="1235"/>
      <c r="B1332" s="1235"/>
      <c r="C1332" s="1246"/>
      <c r="D1332" s="1274"/>
      <c r="E1332" s="1248"/>
      <c r="F1332" s="1248"/>
      <c r="G1332" s="1271"/>
      <c r="H1332" s="1250"/>
      <c r="I1332" s="1251"/>
      <c r="J1332" s="1271"/>
      <c r="K1332" s="1271"/>
      <c r="L1332" s="1254"/>
      <c r="M1332" s="1244"/>
      <c r="N1332" s="1273"/>
      <c r="O1332" s="1244"/>
      <c r="P1332" s="1244"/>
      <c r="Q1332" s="1244"/>
      <c r="R1332" s="1244"/>
      <c r="S1332" s="1265"/>
      <c r="T1332" s="1244"/>
      <c r="U1332" s="1244"/>
    </row>
    <row r="1333">
      <c r="A1333" s="1235"/>
      <c r="B1333" s="1235"/>
      <c r="C1333" s="1246"/>
      <c r="D1333" s="1274"/>
      <c r="E1333" s="1248"/>
      <c r="F1333" s="1248"/>
      <c r="G1333" s="1271"/>
      <c r="H1333" s="1250"/>
      <c r="I1333" s="1251"/>
      <c r="J1333" s="1271"/>
      <c r="K1333" s="1271"/>
      <c r="L1333" s="1254"/>
      <c r="M1333" s="1244"/>
      <c r="N1333" s="1273"/>
      <c r="O1333" s="1244"/>
      <c r="P1333" s="1244"/>
      <c r="Q1333" s="1244"/>
      <c r="R1333" s="1244"/>
      <c r="S1333" s="1265"/>
      <c r="T1333" s="1244"/>
      <c r="U1333" s="1244"/>
    </row>
    <row r="1334">
      <c r="A1334" s="1235"/>
      <c r="B1334" s="1235"/>
      <c r="C1334" s="1246"/>
      <c r="D1334" s="1274"/>
      <c r="E1334" s="1248"/>
      <c r="F1334" s="1248"/>
      <c r="G1334" s="1271"/>
      <c r="H1334" s="1250"/>
      <c r="I1334" s="1251"/>
      <c r="J1334" s="1271"/>
      <c r="K1334" s="1271"/>
      <c r="L1334" s="1254"/>
      <c r="M1334" s="1244"/>
      <c r="N1334" s="1273"/>
      <c r="O1334" s="1244"/>
      <c r="P1334" s="1244"/>
      <c r="Q1334" s="1244"/>
      <c r="R1334" s="1244"/>
      <c r="S1334" s="1265"/>
      <c r="T1334" s="1244"/>
      <c r="U1334" s="1244"/>
    </row>
    <row r="1335">
      <c r="A1335" s="1235"/>
      <c r="B1335" s="1235"/>
      <c r="C1335" s="1246"/>
      <c r="D1335" s="1274"/>
      <c r="E1335" s="1248"/>
      <c r="F1335" s="1248"/>
      <c r="G1335" s="1271"/>
      <c r="H1335" s="1250"/>
      <c r="I1335" s="1251"/>
      <c r="J1335" s="1271"/>
      <c r="K1335" s="1271"/>
      <c r="L1335" s="1254"/>
      <c r="M1335" s="1244"/>
      <c r="N1335" s="1273"/>
      <c r="O1335" s="1244"/>
      <c r="P1335" s="1244"/>
      <c r="Q1335" s="1244"/>
      <c r="R1335" s="1244"/>
      <c r="S1335" s="1265"/>
      <c r="T1335" s="1244"/>
      <c r="U1335" s="1244"/>
    </row>
    <row r="1336">
      <c r="A1336" s="1235"/>
      <c r="B1336" s="1235"/>
      <c r="C1336" s="1246"/>
      <c r="D1336" s="1274"/>
      <c r="E1336" s="1248"/>
      <c r="F1336" s="1248"/>
      <c r="G1336" s="1271"/>
      <c r="H1336" s="1250"/>
      <c r="I1336" s="1251"/>
      <c r="J1336" s="1271"/>
      <c r="K1336" s="1271"/>
      <c r="L1336" s="1254"/>
      <c r="M1336" s="1244"/>
      <c r="N1336" s="1273"/>
      <c r="O1336" s="1244"/>
      <c r="P1336" s="1244"/>
      <c r="Q1336" s="1244"/>
      <c r="R1336" s="1244"/>
      <c r="S1336" s="1265"/>
      <c r="T1336" s="1244"/>
      <c r="U1336" s="1244"/>
    </row>
    <row r="1337">
      <c r="A1337" s="1235"/>
      <c r="B1337" s="1235"/>
      <c r="C1337" s="1246"/>
      <c r="D1337" s="1274"/>
      <c r="E1337" s="1248"/>
      <c r="F1337" s="1248"/>
      <c r="G1337" s="1271"/>
      <c r="H1337" s="1250"/>
      <c r="I1337" s="1251"/>
      <c r="J1337" s="1271"/>
      <c r="K1337" s="1271"/>
      <c r="L1337" s="1254"/>
      <c r="M1337" s="1244"/>
      <c r="N1337" s="1273"/>
      <c r="O1337" s="1244"/>
      <c r="P1337" s="1244"/>
      <c r="Q1337" s="1244"/>
      <c r="R1337" s="1244"/>
      <c r="S1337" s="1265"/>
      <c r="T1337" s="1244"/>
      <c r="U1337" s="1244"/>
    </row>
    <row r="1338">
      <c r="A1338" s="1235"/>
      <c r="B1338" s="1235"/>
      <c r="C1338" s="1246"/>
      <c r="D1338" s="1274"/>
      <c r="E1338" s="1248"/>
      <c r="F1338" s="1248"/>
      <c r="G1338" s="1271"/>
      <c r="H1338" s="1250"/>
      <c r="I1338" s="1251"/>
      <c r="J1338" s="1271"/>
      <c r="K1338" s="1271"/>
      <c r="L1338" s="1254"/>
      <c r="M1338" s="1244"/>
      <c r="N1338" s="1273"/>
      <c r="O1338" s="1244"/>
      <c r="P1338" s="1244"/>
      <c r="Q1338" s="1244"/>
      <c r="R1338" s="1244"/>
      <c r="S1338" s="1265"/>
      <c r="T1338" s="1244"/>
      <c r="U1338" s="1244"/>
    </row>
    <row r="1339">
      <c r="A1339" s="1235"/>
      <c r="B1339" s="1235"/>
      <c r="C1339" s="1246"/>
      <c r="D1339" s="1274"/>
      <c r="E1339" s="1248"/>
      <c r="F1339" s="1248"/>
      <c r="G1339" s="1271"/>
      <c r="H1339" s="1250"/>
      <c r="I1339" s="1251"/>
      <c r="J1339" s="1271"/>
      <c r="K1339" s="1271"/>
      <c r="L1339" s="1254"/>
      <c r="M1339" s="1244"/>
      <c r="N1339" s="1273"/>
      <c r="O1339" s="1244"/>
      <c r="P1339" s="1244"/>
      <c r="Q1339" s="1244"/>
      <c r="R1339" s="1244"/>
      <c r="S1339" s="1265"/>
      <c r="T1339" s="1244"/>
      <c r="U1339" s="1244"/>
    </row>
    <row r="1340">
      <c r="A1340" s="1235"/>
      <c r="B1340" s="1235"/>
      <c r="C1340" s="1246"/>
      <c r="D1340" s="1274"/>
      <c r="E1340" s="1248"/>
      <c r="F1340" s="1248"/>
      <c r="G1340" s="1271"/>
      <c r="H1340" s="1250"/>
      <c r="I1340" s="1251"/>
      <c r="J1340" s="1271"/>
      <c r="K1340" s="1271"/>
      <c r="L1340" s="1254"/>
      <c r="M1340" s="1244"/>
      <c r="N1340" s="1273"/>
      <c r="O1340" s="1244"/>
      <c r="P1340" s="1244"/>
      <c r="Q1340" s="1244"/>
      <c r="R1340" s="1244"/>
      <c r="S1340" s="1265"/>
      <c r="T1340" s="1244"/>
      <c r="U1340" s="1244"/>
    </row>
    <row r="1341">
      <c r="A1341" s="1235"/>
      <c r="B1341" s="1235"/>
      <c r="C1341" s="1246"/>
      <c r="D1341" s="1274"/>
      <c r="E1341" s="1248"/>
      <c r="F1341" s="1248"/>
      <c r="G1341" s="1271"/>
      <c r="H1341" s="1250"/>
      <c r="I1341" s="1251"/>
      <c r="J1341" s="1271"/>
      <c r="K1341" s="1271"/>
      <c r="L1341" s="1254"/>
      <c r="M1341" s="1244"/>
      <c r="N1341" s="1273"/>
      <c r="O1341" s="1244"/>
      <c r="P1341" s="1244"/>
      <c r="Q1341" s="1244"/>
      <c r="R1341" s="1244"/>
      <c r="S1341" s="1265"/>
      <c r="T1341" s="1244"/>
      <c r="U1341" s="1244"/>
    </row>
    <row r="1342">
      <c r="A1342" s="1235"/>
      <c r="B1342" s="1235"/>
      <c r="C1342" s="1246"/>
      <c r="D1342" s="1274"/>
      <c r="E1342" s="1248"/>
      <c r="F1342" s="1248"/>
      <c r="G1342" s="1271"/>
      <c r="H1342" s="1250"/>
      <c r="I1342" s="1251"/>
      <c r="J1342" s="1271"/>
      <c r="K1342" s="1271"/>
      <c r="L1342" s="1254"/>
      <c r="M1342" s="1244"/>
      <c r="N1342" s="1273"/>
      <c r="O1342" s="1244"/>
      <c r="P1342" s="1244"/>
      <c r="Q1342" s="1244"/>
      <c r="R1342" s="1244"/>
      <c r="S1342" s="1265"/>
      <c r="T1342" s="1244"/>
      <c r="U1342" s="1244"/>
    </row>
    <row r="1343">
      <c r="A1343" s="1235"/>
      <c r="B1343" s="1235"/>
      <c r="C1343" s="1246"/>
      <c r="D1343" s="1274"/>
      <c r="E1343" s="1248"/>
      <c r="F1343" s="1248"/>
      <c r="G1343" s="1271"/>
      <c r="H1343" s="1250"/>
      <c r="I1343" s="1251"/>
      <c r="J1343" s="1271"/>
      <c r="K1343" s="1271"/>
      <c r="L1343" s="1254"/>
      <c r="M1343" s="1244"/>
      <c r="N1343" s="1273"/>
      <c r="O1343" s="1244"/>
      <c r="P1343" s="1244"/>
      <c r="Q1343" s="1244"/>
      <c r="R1343" s="1244"/>
      <c r="S1343" s="1265"/>
      <c r="T1343" s="1244"/>
      <c r="U1343" s="1244"/>
    </row>
    <row r="1344">
      <c r="A1344" s="1235"/>
      <c r="B1344" s="1235"/>
      <c r="C1344" s="1246"/>
      <c r="D1344" s="1274"/>
      <c r="E1344" s="1248"/>
      <c r="F1344" s="1248"/>
      <c r="G1344" s="1271"/>
      <c r="H1344" s="1250"/>
      <c r="I1344" s="1251"/>
      <c r="J1344" s="1271"/>
      <c r="K1344" s="1271"/>
      <c r="L1344" s="1254"/>
      <c r="M1344" s="1244"/>
      <c r="N1344" s="1273"/>
      <c r="O1344" s="1244"/>
      <c r="P1344" s="1244"/>
      <c r="Q1344" s="1244"/>
      <c r="R1344" s="1244"/>
      <c r="S1344" s="1265"/>
      <c r="T1344" s="1244"/>
      <c r="U1344" s="1244"/>
    </row>
    <row r="1345">
      <c r="A1345" s="1235"/>
      <c r="B1345" s="1235"/>
      <c r="C1345" s="1246"/>
      <c r="D1345" s="1274"/>
      <c r="E1345" s="1248"/>
      <c r="F1345" s="1248"/>
      <c r="G1345" s="1271"/>
      <c r="H1345" s="1250"/>
      <c r="I1345" s="1251"/>
      <c r="J1345" s="1271"/>
      <c r="K1345" s="1271"/>
      <c r="L1345" s="1254"/>
      <c r="M1345" s="1244"/>
      <c r="N1345" s="1273"/>
      <c r="O1345" s="1244"/>
      <c r="P1345" s="1244"/>
      <c r="Q1345" s="1244"/>
      <c r="R1345" s="1244"/>
      <c r="S1345" s="1265"/>
      <c r="T1345" s="1244"/>
      <c r="U1345" s="1244"/>
    </row>
    <row r="1346">
      <c r="A1346" s="1235"/>
      <c r="B1346" s="1235"/>
      <c r="C1346" s="1246"/>
      <c r="D1346" s="1274"/>
      <c r="E1346" s="1248"/>
      <c r="F1346" s="1248"/>
      <c r="G1346" s="1271"/>
      <c r="H1346" s="1250"/>
      <c r="I1346" s="1251"/>
      <c r="J1346" s="1271"/>
      <c r="K1346" s="1271"/>
      <c r="L1346" s="1254"/>
      <c r="M1346" s="1244"/>
      <c r="N1346" s="1273"/>
      <c r="O1346" s="1244"/>
      <c r="P1346" s="1244"/>
      <c r="Q1346" s="1244"/>
      <c r="R1346" s="1244"/>
      <c r="S1346" s="1265"/>
      <c r="T1346" s="1244"/>
      <c r="U1346" s="1244"/>
    </row>
    <row r="1347">
      <c r="A1347" s="1235"/>
      <c r="B1347" s="1235"/>
      <c r="C1347" s="1246"/>
      <c r="D1347" s="1274"/>
      <c r="E1347" s="1248"/>
      <c r="F1347" s="1248"/>
      <c r="G1347" s="1271"/>
      <c r="H1347" s="1250"/>
      <c r="I1347" s="1251"/>
      <c r="J1347" s="1271"/>
      <c r="K1347" s="1271"/>
      <c r="L1347" s="1254"/>
      <c r="M1347" s="1244"/>
      <c r="N1347" s="1273"/>
      <c r="O1347" s="1244"/>
      <c r="P1347" s="1244"/>
      <c r="Q1347" s="1244"/>
      <c r="R1347" s="1244"/>
      <c r="S1347" s="1265"/>
      <c r="T1347" s="1244"/>
      <c r="U1347" s="1244"/>
    </row>
    <row r="1348">
      <c r="A1348" s="1235"/>
      <c r="B1348" s="1235"/>
      <c r="C1348" s="1246"/>
      <c r="D1348" s="1274"/>
      <c r="E1348" s="1248"/>
      <c r="F1348" s="1248"/>
      <c r="G1348" s="1271"/>
      <c r="H1348" s="1250"/>
      <c r="I1348" s="1251"/>
      <c r="J1348" s="1271"/>
      <c r="K1348" s="1271"/>
      <c r="L1348" s="1254"/>
      <c r="M1348" s="1244"/>
      <c r="N1348" s="1273"/>
      <c r="O1348" s="1244"/>
      <c r="P1348" s="1244"/>
      <c r="Q1348" s="1244"/>
      <c r="R1348" s="1244"/>
      <c r="S1348" s="1265"/>
      <c r="T1348" s="1244"/>
      <c r="U1348" s="1244"/>
    </row>
    <row r="1349">
      <c r="A1349" s="1235"/>
      <c r="B1349" s="1235"/>
      <c r="C1349" s="1246"/>
      <c r="D1349" s="1274"/>
      <c r="E1349" s="1248"/>
      <c r="F1349" s="1248"/>
      <c r="G1349" s="1271"/>
      <c r="H1349" s="1250"/>
      <c r="I1349" s="1251"/>
      <c r="J1349" s="1271"/>
      <c r="K1349" s="1271"/>
      <c r="L1349" s="1254"/>
      <c r="M1349" s="1244"/>
      <c r="N1349" s="1273"/>
      <c r="O1349" s="1244"/>
      <c r="P1349" s="1244"/>
      <c r="Q1349" s="1244"/>
      <c r="R1349" s="1244"/>
      <c r="S1349" s="1265"/>
      <c r="T1349" s="1244"/>
      <c r="U1349" s="1244"/>
    </row>
    <row r="1350">
      <c r="A1350" s="1235"/>
      <c r="B1350" s="1235"/>
      <c r="C1350" s="1246"/>
      <c r="D1350" s="1274"/>
      <c r="E1350" s="1248"/>
      <c r="F1350" s="1248"/>
      <c r="G1350" s="1271"/>
      <c r="H1350" s="1250"/>
      <c r="I1350" s="1251"/>
      <c r="J1350" s="1271"/>
      <c r="K1350" s="1271"/>
      <c r="L1350" s="1254"/>
      <c r="M1350" s="1244"/>
      <c r="N1350" s="1273"/>
      <c r="O1350" s="1244"/>
      <c r="P1350" s="1244"/>
      <c r="Q1350" s="1244"/>
      <c r="R1350" s="1244"/>
      <c r="S1350" s="1265"/>
      <c r="T1350" s="1244"/>
      <c r="U1350" s="1244"/>
    </row>
    <row r="1351">
      <c r="A1351" s="1235"/>
      <c r="B1351" s="1235"/>
      <c r="C1351" s="1246"/>
      <c r="D1351" s="1274"/>
      <c r="E1351" s="1248"/>
      <c r="F1351" s="1248"/>
      <c r="G1351" s="1271"/>
      <c r="H1351" s="1250"/>
      <c r="I1351" s="1251"/>
      <c r="J1351" s="1271"/>
      <c r="K1351" s="1271"/>
      <c r="L1351" s="1254"/>
      <c r="M1351" s="1244"/>
      <c r="N1351" s="1273"/>
      <c r="O1351" s="1244"/>
      <c r="P1351" s="1244"/>
      <c r="Q1351" s="1244"/>
      <c r="R1351" s="1244"/>
      <c r="S1351" s="1265"/>
      <c r="T1351" s="1244"/>
      <c r="U1351" s="1244"/>
    </row>
    <row r="1352">
      <c r="A1352" s="1235"/>
      <c r="B1352" s="1235"/>
      <c r="C1352" s="1246"/>
      <c r="D1352" s="1274"/>
      <c r="E1352" s="1248"/>
      <c r="F1352" s="1248"/>
      <c r="G1352" s="1271"/>
      <c r="H1352" s="1250"/>
      <c r="I1352" s="1251"/>
      <c r="J1352" s="1271"/>
      <c r="K1352" s="1271"/>
      <c r="L1352" s="1254"/>
      <c r="M1352" s="1244"/>
      <c r="N1352" s="1273"/>
      <c r="O1352" s="1244"/>
      <c r="P1352" s="1244"/>
      <c r="Q1352" s="1244"/>
      <c r="R1352" s="1244"/>
      <c r="S1352" s="1265"/>
      <c r="T1352" s="1244"/>
      <c r="U1352" s="1244"/>
    </row>
    <row r="1353">
      <c r="A1353" s="1235"/>
      <c r="B1353" s="1235"/>
      <c r="C1353" s="1246"/>
      <c r="D1353" s="1274"/>
      <c r="E1353" s="1248"/>
      <c r="F1353" s="1248"/>
      <c r="G1353" s="1271"/>
      <c r="H1353" s="1250"/>
      <c r="I1353" s="1251"/>
      <c r="J1353" s="1271"/>
      <c r="K1353" s="1271"/>
      <c r="L1353" s="1254"/>
      <c r="M1353" s="1244"/>
      <c r="N1353" s="1273"/>
      <c r="O1353" s="1244"/>
      <c r="P1353" s="1244"/>
      <c r="Q1353" s="1244"/>
      <c r="R1353" s="1244"/>
      <c r="S1353" s="1265"/>
      <c r="T1353" s="1244"/>
      <c r="U1353" s="1244"/>
    </row>
    <row r="1354">
      <c r="A1354" s="1235"/>
      <c r="B1354" s="1235"/>
      <c r="C1354" s="1246"/>
      <c r="D1354" s="1274"/>
      <c r="E1354" s="1248"/>
      <c r="F1354" s="1248"/>
      <c r="G1354" s="1271"/>
      <c r="H1354" s="1250"/>
      <c r="I1354" s="1251"/>
      <c r="J1354" s="1271"/>
      <c r="K1354" s="1271"/>
      <c r="L1354" s="1254"/>
      <c r="M1354" s="1244"/>
      <c r="N1354" s="1273"/>
      <c r="O1354" s="1244"/>
      <c r="P1354" s="1244"/>
      <c r="Q1354" s="1244"/>
      <c r="R1354" s="1244"/>
      <c r="S1354" s="1265"/>
      <c r="T1354" s="1244"/>
      <c r="U1354" s="1244"/>
    </row>
    <row r="1355">
      <c r="A1355" s="1235"/>
      <c r="B1355" s="1235"/>
      <c r="C1355" s="1246"/>
      <c r="D1355" s="1274"/>
      <c r="E1355" s="1248"/>
      <c r="F1355" s="1248"/>
      <c r="G1355" s="1271"/>
      <c r="H1355" s="1250"/>
      <c r="I1355" s="1251"/>
      <c r="J1355" s="1271"/>
      <c r="K1355" s="1271"/>
      <c r="L1355" s="1254"/>
      <c r="M1355" s="1244"/>
      <c r="N1355" s="1273"/>
      <c r="O1355" s="1244"/>
      <c r="P1355" s="1244"/>
      <c r="Q1355" s="1244"/>
      <c r="R1355" s="1244"/>
      <c r="S1355" s="1265"/>
      <c r="T1355" s="1244"/>
      <c r="U1355" s="1244"/>
    </row>
    <row r="1356">
      <c r="A1356" s="1235"/>
      <c r="B1356" s="1235"/>
      <c r="C1356" s="1246"/>
      <c r="D1356" s="1274"/>
      <c r="E1356" s="1248"/>
      <c r="F1356" s="1248"/>
      <c r="G1356" s="1271"/>
      <c r="H1356" s="1250"/>
      <c r="I1356" s="1251"/>
      <c r="J1356" s="1271"/>
      <c r="K1356" s="1271"/>
      <c r="L1356" s="1254"/>
      <c r="M1356" s="1244"/>
      <c r="N1356" s="1273"/>
      <c r="O1356" s="1244"/>
      <c r="P1356" s="1244"/>
      <c r="Q1356" s="1244"/>
      <c r="R1356" s="1244"/>
      <c r="S1356" s="1265"/>
      <c r="T1356" s="1244"/>
      <c r="U1356" s="1244"/>
    </row>
    <row r="1357">
      <c r="A1357" s="1235"/>
      <c r="B1357" s="1235"/>
      <c r="C1357" s="1246"/>
      <c r="D1357" s="1274"/>
      <c r="E1357" s="1248"/>
      <c r="F1357" s="1248"/>
      <c r="G1357" s="1271"/>
      <c r="H1357" s="1250"/>
      <c r="I1357" s="1251"/>
      <c r="J1357" s="1271"/>
      <c r="K1357" s="1271"/>
      <c r="L1357" s="1254"/>
      <c r="M1357" s="1244"/>
      <c r="N1357" s="1273"/>
      <c r="O1357" s="1244"/>
      <c r="P1357" s="1244"/>
      <c r="Q1357" s="1244"/>
      <c r="R1357" s="1244"/>
      <c r="S1357" s="1265"/>
      <c r="T1357" s="1244"/>
      <c r="U1357" s="1244"/>
    </row>
    <row r="1358">
      <c r="A1358" s="1235"/>
      <c r="B1358" s="1235"/>
      <c r="C1358" s="1246"/>
      <c r="D1358" s="1274"/>
      <c r="E1358" s="1248"/>
      <c r="F1358" s="1248"/>
      <c r="G1358" s="1271"/>
      <c r="H1358" s="1250"/>
      <c r="I1358" s="1251"/>
      <c r="J1358" s="1271"/>
      <c r="K1358" s="1271"/>
      <c r="L1358" s="1254"/>
      <c r="M1358" s="1244"/>
      <c r="N1358" s="1273"/>
      <c r="O1358" s="1244"/>
      <c r="P1358" s="1244"/>
      <c r="Q1358" s="1244"/>
      <c r="R1358" s="1244"/>
      <c r="S1358" s="1265"/>
      <c r="T1358" s="1244"/>
      <c r="U1358" s="1244"/>
    </row>
    <row r="1359">
      <c r="A1359" s="1235"/>
      <c r="B1359" s="1235"/>
      <c r="C1359" s="1246"/>
      <c r="D1359" s="1274"/>
      <c r="E1359" s="1248"/>
      <c r="F1359" s="1248"/>
      <c r="G1359" s="1271"/>
      <c r="H1359" s="1250"/>
      <c r="I1359" s="1251"/>
      <c r="J1359" s="1271"/>
      <c r="K1359" s="1271"/>
      <c r="L1359" s="1254"/>
      <c r="M1359" s="1244"/>
      <c r="N1359" s="1273"/>
      <c r="O1359" s="1244"/>
      <c r="P1359" s="1244"/>
      <c r="Q1359" s="1244"/>
      <c r="R1359" s="1244"/>
      <c r="S1359" s="1265"/>
      <c r="T1359" s="1244"/>
      <c r="U1359" s="1244"/>
    </row>
    <row r="1360">
      <c r="A1360" s="1235"/>
      <c r="B1360" s="1235"/>
      <c r="C1360" s="1246"/>
      <c r="D1360" s="1274"/>
      <c r="E1360" s="1248"/>
      <c r="F1360" s="1248"/>
      <c r="G1360" s="1271"/>
      <c r="H1360" s="1250"/>
      <c r="I1360" s="1251"/>
      <c r="J1360" s="1271"/>
      <c r="K1360" s="1271"/>
      <c r="L1360" s="1254"/>
      <c r="M1360" s="1244"/>
      <c r="N1360" s="1273"/>
      <c r="O1360" s="1244"/>
      <c r="P1360" s="1244"/>
      <c r="Q1360" s="1244"/>
      <c r="R1360" s="1244"/>
      <c r="S1360" s="1265"/>
      <c r="T1360" s="1244"/>
      <c r="U1360" s="1244"/>
    </row>
    <row r="1361">
      <c r="A1361" s="1235"/>
      <c r="B1361" s="1235"/>
      <c r="C1361" s="1246"/>
      <c r="D1361" s="1274"/>
      <c r="E1361" s="1248"/>
      <c r="F1361" s="1248"/>
      <c r="G1361" s="1271"/>
      <c r="H1361" s="1250"/>
      <c r="I1361" s="1251"/>
      <c r="J1361" s="1271"/>
      <c r="K1361" s="1271"/>
      <c r="L1361" s="1254"/>
      <c r="M1361" s="1244"/>
      <c r="N1361" s="1273"/>
      <c r="O1361" s="1244"/>
      <c r="P1361" s="1244"/>
      <c r="Q1361" s="1244"/>
      <c r="R1361" s="1244"/>
      <c r="S1361" s="1265"/>
      <c r="T1361" s="1244"/>
      <c r="U1361" s="1244"/>
    </row>
    <row r="1362">
      <c r="A1362" s="1235"/>
      <c r="B1362" s="1235"/>
      <c r="C1362" s="1246"/>
      <c r="D1362" s="1274"/>
      <c r="E1362" s="1248"/>
      <c r="F1362" s="1248"/>
      <c r="G1362" s="1271"/>
      <c r="H1362" s="1250"/>
      <c r="I1362" s="1251"/>
      <c r="J1362" s="1271"/>
      <c r="K1362" s="1271"/>
      <c r="L1362" s="1254"/>
      <c r="M1362" s="1244"/>
      <c r="N1362" s="1273"/>
      <c r="O1362" s="1244"/>
      <c r="P1362" s="1244"/>
      <c r="Q1362" s="1244"/>
      <c r="R1362" s="1244"/>
      <c r="S1362" s="1265"/>
      <c r="T1362" s="1244"/>
      <c r="U1362" s="1244"/>
    </row>
    <row r="1363">
      <c r="A1363" s="1235"/>
      <c r="B1363" s="1235"/>
      <c r="C1363" s="1246"/>
      <c r="D1363" s="1274"/>
      <c r="E1363" s="1248"/>
      <c r="F1363" s="1248"/>
      <c r="G1363" s="1271"/>
      <c r="H1363" s="1250"/>
      <c r="I1363" s="1251"/>
      <c r="J1363" s="1271"/>
      <c r="K1363" s="1271"/>
      <c r="L1363" s="1254"/>
      <c r="M1363" s="1244"/>
      <c r="N1363" s="1273"/>
      <c r="O1363" s="1244"/>
      <c r="P1363" s="1244"/>
      <c r="Q1363" s="1244"/>
      <c r="R1363" s="1244"/>
      <c r="S1363" s="1265"/>
      <c r="T1363" s="1244"/>
      <c r="U1363" s="1244"/>
    </row>
    <row r="1364">
      <c r="A1364" s="1235"/>
      <c r="B1364" s="1235"/>
      <c r="C1364" s="1246"/>
      <c r="D1364" s="1274"/>
      <c r="E1364" s="1248"/>
      <c r="F1364" s="1248"/>
      <c r="G1364" s="1271"/>
      <c r="H1364" s="1250"/>
      <c r="I1364" s="1251"/>
      <c r="J1364" s="1271"/>
      <c r="K1364" s="1271"/>
      <c r="L1364" s="1254"/>
      <c r="M1364" s="1244"/>
      <c r="N1364" s="1273"/>
      <c r="O1364" s="1244"/>
      <c r="P1364" s="1244"/>
      <c r="Q1364" s="1244"/>
      <c r="R1364" s="1244"/>
      <c r="S1364" s="1265"/>
      <c r="T1364" s="1244"/>
      <c r="U1364" s="1244"/>
    </row>
    <row r="1365">
      <c r="A1365" s="1235"/>
      <c r="B1365" s="1235"/>
      <c r="C1365" s="1246"/>
      <c r="D1365" s="1274"/>
      <c r="E1365" s="1248"/>
      <c r="F1365" s="1248"/>
      <c r="G1365" s="1271"/>
      <c r="H1365" s="1250"/>
      <c r="I1365" s="1251"/>
      <c r="J1365" s="1271"/>
      <c r="K1365" s="1271"/>
      <c r="L1365" s="1254"/>
      <c r="M1365" s="1244"/>
      <c r="N1365" s="1273"/>
      <c r="O1365" s="1244"/>
      <c r="P1365" s="1244"/>
      <c r="Q1365" s="1244"/>
      <c r="R1365" s="1244"/>
      <c r="S1365" s="1265"/>
      <c r="T1365" s="1244"/>
      <c r="U1365" s="1244"/>
    </row>
    <row r="1366">
      <c r="A1366" s="1235"/>
      <c r="B1366" s="1235"/>
      <c r="C1366" s="1246"/>
      <c r="D1366" s="1274"/>
      <c r="E1366" s="1248"/>
      <c r="F1366" s="1248"/>
      <c r="G1366" s="1271"/>
      <c r="H1366" s="1250"/>
      <c r="I1366" s="1251"/>
      <c r="J1366" s="1271"/>
      <c r="K1366" s="1271"/>
      <c r="L1366" s="1254"/>
      <c r="M1366" s="1244"/>
      <c r="N1366" s="1273"/>
      <c r="O1366" s="1244"/>
      <c r="P1366" s="1244"/>
      <c r="Q1366" s="1244"/>
      <c r="R1366" s="1244"/>
      <c r="S1366" s="1265"/>
      <c r="T1366" s="1244"/>
      <c r="U1366" s="1244"/>
    </row>
    <row r="1367">
      <c r="A1367" s="1235"/>
      <c r="B1367" s="1235"/>
      <c r="C1367" s="1246"/>
      <c r="D1367" s="1274"/>
      <c r="E1367" s="1248"/>
      <c r="F1367" s="1248"/>
      <c r="G1367" s="1271"/>
      <c r="H1367" s="1250"/>
      <c r="I1367" s="1251"/>
      <c r="J1367" s="1271"/>
      <c r="K1367" s="1271"/>
      <c r="L1367" s="1254"/>
      <c r="M1367" s="1244"/>
      <c r="N1367" s="1273"/>
      <c r="O1367" s="1244"/>
      <c r="P1367" s="1244"/>
      <c r="Q1367" s="1244"/>
      <c r="R1367" s="1244"/>
      <c r="S1367" s="1265"/>
      <c r="T1367" s="1244"/>
      <c r="U1367" s="1244"/>
    </row>
    <row r="1368">
      <c r="A1368" s="1235"/>
      <c r="B1368" s="1235"/>
      <c r="C1368" s="1246"/>
      <c r="D1368" s="1274"/>
      <c r="E1368" s="1248"/>
      <c r="F1368" s="1248"/>
      <c r="G1368" s="1271"/>
      <c r="H1368" s="1250"/>
      <c r="I1368" s="1251"/>
      <c r="J1368" s="1271"/>
      <c r="K1368" s="1271"/>
      <c r="L1368" s="1254"/>
      <c r="M1368" s="1244"/>
      <c r="N1368" s="1273"/>
      <c r="O1368" s="1244"/>
      <c r="P1368" s="1244"/>
      <c r="Q1368" s="1244"/>
      <c r="R1368" s="1244"/>
      <c r="S1368" s="1265"/>
      <c r="T1368" s="1244"/>
      <c r="U1368" s="1244"/>
    </row>
    <row r="1369">
      <c r="A1369" s="1235"/>
      <c r="B1369" s="1235"/>
      <c r="C1369" s="1246"/>
      <c r="D1369" s="1274"/>
      <c r="E1369" s="1248"/>
      <c r="F1369" s="1248"/>
      <c r="G1369" s="1271"/>
      <c r="H1369" s="1250"/>
      <c r="I1369" s="1251"/>
      <c r="J1369" s="1271"/>
      <c r="K1369" s="1271"/>
      <c r="L1369" s="1254"/>
      <c r="M1369" s="1244"/>
      <c r="N1369" s="1273"/>
      <c r="O1369" s="1244"/>
      <c r="P1369" s="1244"/>
      <c r="Q1369" s="1244"/>
      <c r="R1369" s="1244"/>
      <c r="S1369" s="1265"/>
      <c r="T1369" s="1244"/>
      <c r="U1369" s="1244"/>
    </row>
    <row r="1370">
      <c r="A1370" s="1235"/>
      <c r="B1370" s="1235"/>
      <c r="C1370" s="1246"/>
      <c r="D1370" s="1274"/>
      <c r="E1370" s="1248"/>
      <c r="F1370" s="1248"/>
      <c r="G1370" s="1271"/>
      <c r="H1370" s="1250"/>
      <c r="I1370" s="1251"/>
      <c r="J1370" s="1271"/>
      <c r="K1370" s="1271"/>
      <c r="L1370" s="1254"/>
      <c r="M1370" s="1244"/>
      <c r="N1370" s="1273"/>
      <c r="O1370" s="1244"/>
      <c r="P1370" s="1244"/>
      <c r="Q1370" s="1244"/>
      <c r="R1370" s="1244"/>
      <c r="S1370" s="1265"/>
      <c r="T1370" s="1244"/>
      <c r="U1370" s="1244"/>
    </row>
    <row r="1371">
      <c r="A1371" s="1235"/>
      <c r="B1371" s="1235"/>
      <c r="C1371" s="1246"/>
      <c r="D1371" s="1274"/>
      <c r="E1371" s="1248"/>
      <c r="F1371" s="1248"/>
      <c r="G1371" s="1271"/>
      <c r="H1371" s="1250"/>
      <c r="I1371" s="1251"/>
      <c r="J1371" s="1271"/>
      <c r="K1371" s="1271"/>
      <c r="L1371" s="1254"/>
      <c r="M1371" s="1244"/>
      <c r="N1371" s="1273"/>
      <c r="O1371" s="1244"/>
      <c r="P1371" s="1244"/>
      <c r="Q1371" s="1244"/>
      <c r="R1371" s="1244"/>
      <c r="S1371" s="1265"/>
      <c r="T1371" s="1244"/>
      <c r="U1371" s="1244"/>
    </row>
    <row r="1372">
      <c r="A1372" s="1235"/>
      <c r="B1372" s="1235"/>
      <c r="C1372" s="1246"/>
      <c r="D1372" s="1274"/>
      <c r="E1372" s="1248"/>
      <c r="F1372" s="1248"/>
      <c r="G1372" s="1271"/>
      <c r="H1372" s="1250"/>
      <c r="I1372" s="1251"/>
      <c r="J1372" s="1271"/>
      <c r="K1372" s="1271"/>
      <c r="L1372" s="1254"/>
      <c r="M1372" s="1244"/>
      <c r="N1372" s="1273"/>
      <c r="O1372" s="1244"/>
      <c r="P1372" s="1244"/>
      <c r="Q1372" s="1244"/>
      <c r="R1372" s="1244"/>
      <c r="S1372" s="1265"/>
      <c r="T1372" s="1244"/>
      <c r="U1372" s="1244"/>
    </row>
    <row r="1373">
      <c r="A1373" s="1235"/>
      <c r="B1373" s="1235"/>
      <c r="C1373" s="1246"/>
      <c r="D1373" s="1274"/>
      <c r="E1373" s="1248"/>
      <c r="F1373" s="1248"/>
      <c r="G1373" s="1271"/>
      <c r="H1373" s="1250"/>
      <c r="I1373" s="1251"/>
      <c r="J1373" s="1271"/>
      <c r="K1373" s="1271"/>
      <c r="L1373" s="1254"/>
      <c r="M1373" s="1244"/>
      <c r="N1373" s="1273"/>
      <c r="O1373" s="1244"/>
      <c r="P1373" s="1244"/>
      <c r="Q1373" s="1244"/>
      <c r="R1373" s="1244"/>
      <c r="S1373" s="1265"/>
      <c r="T1373" s="1244"/>
      <c r="U1373" s="1244"/>
    </row>
    <row r="1374">
      <c r="A1374" s="1235"/>
      <c r="B1374" s="1235"/>
      <c r="C1374" s="1246"/>
      <c r="D1374" s="1274"/>
      <c r="E1374" s="1248"/>
      <c r="F1374" s="1248"/>
      <c r="G1374" s="1271"/>
      <c r="H1374" s="1250"/>
      <c r="I1374" s="1251"/>
      <c r="J1374" s="1271"/>
      <c r="K1374" s="1271"/>
      <c r="L1374" s="1254"/>
      <c r="M1374" s="1244"/>
      <c r="N1374" s="1273"/>
      <c r="O1374" s="1244"/>
      <c r="P1374" s="1244"/>
      <c r="Q1374" s="1244"/>
      <c r="R1374" s="1244"/>
      <c r="S1374" s="1265"/>
      <c r="T1374" s="1244"/>
      <c r="U1374" s="1244"/>
    </row>
    <row r="1375">
      <c r="A1375" s="1235"/>
      <c r="B1375" s="1235"/>
      <c r="C1375" s="1246"/>
      <c r="D1375" s="1274"/>
      <c r="E1375" s="1248"/>
      <c r="F1375" s="1248"/>
      <c r="G1375" s="1271"/>
      <c r="H1375" s="1250"/>
      <c r="I1375" s="1251"/>
      <c r="J1375" s="1271"/>
      <c r="K1375" s="1271"/>
      <c r="L1375" s="1254"/>
      <c r="M1375" s="1244"/>
      <c r="N1375" s="1273"/>
      <c r="O1375" s="1244"/>
      <c r="P1375" s="1244"/>
      <c r="Q1375" s="1244"/>
      <c r="R1375" s="1244"/>
      <c r="S1375" s="1265"/>
      <c r="T1375" s="1244"/>
      <c r="U1375" s="1244"/>
    </row>
    <row r="1376">
      <c r="A1376" s="1235"/>
      <c r="B1376" s="1235"/>
      <c r="C1376" s="1246"/>
      <c r="D1376" s="1274"/>
      <c r="E1376" s="1248"/>
      <c r="F1376" s="1248"/>
      <c r="G1376" s="1271"/>
      <c r="H1376" s="1250"/>
      <c r="I1376" s="1251"/>
      <c r="J1376" s="1271"/>
      <c r="K1376" s="1271"/>
      <c r="L1376" s="1254"/>
      <c r="M1376" s="1244"/>
      <c r="N1376" s="1273"/>
      <c r="O1376" s="1244"/>
      <c r="P1376" s="1244"/>
      <c r="Q1376" s="1244"/>
      <c r="R1376" s="1244"/>
      <c r="S1376" s="1265"/>
      <c r="T1376" s="1244"/>
      <c r="U1376" s="1244"/>
    </row>
    <row r="1377">
      <c r="A1377" s="1235"/>
      <c r="B1377" s="1235"/>
      <c r="C1377" s="1246"/>
      <c r="D1377" s="1274"/>
      <c r="E1377" s="1248"/>
      <c r="F1377" s="1248"/>
      <c r="G1377" s="1271"/>
      <c r="H1377" s="1250"/>
      <c r="I1377" s="1251"/>
      <c r="J1377" s="1271"/>
      <c r="K1377" s="1271"/>
      <c r="L1377" s="1254"/>
      <c r="M1377" s="1244"/>
      <c r="N1377" s="1273"/>
      <c r="O1377" s="1244"/>
      <c r="P1377" s="1244"/>
      <c r="Q1377" s="1244"/>
      <c r="R1377" s="1244"/>
      <c r="S1377" s="1265"/>
      <c r="T1377" s="1244"/>
      <c r="U1377" s="1244"/>
    </row>
    <row r="1378">
      <c r="A1378" s="1235"/>
      <c r="B1378" s="1235"/>
      <c r="C1378" s="1246"/>
      <c r="D1378" s="1274"/>
      <c r="E1378" s="1248"/>
      <c r="F1378" s="1248"/>
      <c r="G1378" s="1271"/>
      <c r="H1378" s="1250"/>
      <c r="I1378" s="1251"/>
      <c r="J1378" s="1271"/>
      <c r="K1378" s="1271"/>
      <c r="L1378" s="1254"/>
      <c r="M1378" s="1244"/>
      <c r="N1378" s="1273"/>
      <c r="O1378" s="1244"/>
      <c r="P1378" s="1244"/>
      <c r="Q1378" s="1244"/>
      <c r="R1378" s="1244"/>
      <c r="S1378" s="1265"/>
      <c r="T1378" s="1244"/>
      <c r="U1378" s="1244"/>
    </row>
    <row r="1379">
      <c r="A1379" s="1235"/>
      <c r="B1379" s="1235"/>
      <c r="C1379" s="1246"/>
      <c r="D1379" s="1274"/>
      <c r="E1379" s="1248"/>
      <c r="F1379" s="1248"/>
      <c r="G1379" s="1271"/>
      <c r="H1379" s="1250"/>
      <c r="I1379" s="1251"/>
      <c r="J1379" s="1271"/>
      <c r="K1379" s="1271"/>
      <c r="L1379" s="1254"/>
      <c r="M1379" s="1244"/>
      <c r="N1379" s="1273"/>
      <c r="O1379" s="1244"/>
      <c r="P1379" s="1244"/>
      <c r="Q1379" s="1244"/>
      <c r="R1379" s="1244"/>
      <c r="S1379" s="1265"/>
      <c r="T1379" s="1244"/>
      <c r="U1379" s="1244"/>
    </row>
    <row r="1380">
      <c r="A1380" s="1235"/>
      <c r="B1380" s="1235"/>
      <c r="C1380" s="1246"/>
      <c r="D1380" s="1274"/>
      <c r="E1380" s="1248"/>
      <c r="F1380" s="1248"/>
      <c r="G1380" s="1271"/>
      <c r="H1380" s="1250"/>
      <c r="I1380" s="1251"/>
      <c r="J1380" s="1271"/>
      <c r="K1380" s="1271"/>
      <c r="L1380" s="1254"/>
      <c r="M1380" s="1244"/>
      <c r="N1380" s="1273"/>
      <c r="O1380" s="1244"/>
      <c r="P1380" s="1244"/>
      <c r="Q1380" s="1244"/>
      <c r="R1380" s="1244"/>
      <c r="S1380" s="1265"/>
      <c r="T1380" s="1244"/>
      <c r="U1380" s="1244"/>
    </row>
    <row r="1381">
      <c r="A1381" s="1235"/>
      <c r="B1381" s="1235"/>
      <c r="C1381" s="1246"/>
      <c r="D1381" s="1274"/>
      <c r="E1381" s="1248"/>
      <c r="F1381" s="1248"/>
      <c r="G1381" s="1271"/>
      <c r="H1381" s="1250"/>
      <c r="I1381" s="1251"/>
      <c r="J1381" s="1271"/>
      <c r="K1381" s="1271"/>
      <c r="L1381" s="1254"/>
      <c r="M1381" s="1244"/>
      <c r="N1381" s="1273"/>
      <c r="O1381" s="1244"/>
      <c r="P1381" s="1244"/>
      <c r="Q1381" s="1244"/>
      <c r="R1381" s="1244"/>
      <c r="S1381" s="1265"/>
      <c r="T1381" s="1244"/>
      <c r="U1381" s="1244"/>
    </row>
    <row r="1382">
      <c r="A1382" s="1235"/>
      <c r="B1382" s="1235"/>
      <c r="C1382" s="1246"/>
      <c r="D1382" s="1274"/>
      <c r="E1382" s="1248"/>
      <c r="F1382" s="1248"/>
      <c r="G1382" s="1271"/>
      <c r="H1382" s="1250"/>
      <c r="I1382" s="1251"/>
      <c r="J1382" s="1271"/>
      <c r="K1382" s="1271"/>
      <c r="L1382" s="1254"/>
      <c r="M1382" s="1244"/>
      <c r="N1382" s="1273"/>
      <c r="O1382" s="1244"/>
      <c r="P1382" s="1244"/>
      <c r="Q1382" s="1244"/>
      <c r="R1382" s="1244"/>
      <c r="S1382" s="1265"/>
      <c r="T1382" s="1244"/>
      <c r="U1382" s="1244"/>
    </row>
    <row r="1383">
      <c r="A1383" s="1235"/>
      <c r="B1383" s="1235"/>
      <c r="C1383" s="1246"/>
      <c r="D1383" s="1274"/>
      <c r="E1383" s="1248"/>
      <c r="F1383" s="1248"/>
      <c r="G1383" s="1271"/>
      <c r="H1383" s="1250"/>
      <c r="I1383" s="1251"/>
      <c r="J1383" s="1271"/>
      <c r="K1383" s="1271"/>
      <c r="L1383" s="1254"/>
      <c r="M1383" s="1244"/>
      <c r="N1383" s="1273"/>
      <c r="O1383" s="1244"/>
      <c r="P1383" s="1244"/>
      <c r="Q1383" s="1244"/>
      <c r="R1383" s="1244"/>
      <c r="S1383" s="1265"/>
      <c r="T1383" s="1244"/>
      <c r="U1383" s="1244"/>
    </row>
    <row r="1384">
      <c r="A1384" s="1235"/>
      <c r="B1384" s="1235"/>
      <c r="C1384" s="1246"/>
      <c r="D1384" s="1274"/>
      <c r="E1384" s="1248"/>
      <c r="F1384" s="1248"/>
      <c r="G1384" s="1271"/>
      <c r="H1384" s="1250"/>
      <c r="I1384" s="1251"/>
      <c r="J1384" s="1271"/>
      <c r="K1384" s="1271"/>
      <c r="L1384" s="1254"/>
      <c r="M1384" s="1244"/>
      <c r="N1384" s="1273"/>
      <c r="O1384" s="1244"/>
      <c r="P1384" s="1244"/>
      <c r="Q1384" s="1244"/>
      <c r="R1384" s="1244"/>
      <c r="S1384" s="1265"/>
      <c r="T1384" s="1244"/>
      <c r="U1384" s="1244"/>
    </row>
    <row r="1385">
      <c r="A1385" s="1235"/>
      <c r="B1385" s="1235"/>
      <c r="C1385" s="1246"/>
      <c r="D1385" s="1274"/>
      <c r="E1385" s="1248"/>
      <c r="F1385" s="1248"/>
      <c r="G1385" s="1271"/>
      <c r="H1385" s="1250"/>
      <c r="I1385" s="1251"/>
      <c r="J1385" s="1271"/>
      <c r="K1385" s="1271"/>
      <c r="L1385" s="1254"/>
      <c r="M1385" s="1244"/>
      <c r="N1385" s="1273"/>
      <c r="O1385" s="1244"/>
      <c r="P1385" s="1244"/>
      <c r="Q1385" s="1244"/>
      <c r="R1385" s="1244"/>
      <c r="S1385" s="1265"/>
      <c r="T1385" s="1244"/>
      <c r="U1385" s="1244"/>
    </row>
    <row r="1386">
      <c r="A1386" s="1235"/>
      <c r="B1386" s="1235"/>
      <c r="C1386" s="1246"/>
      <c r="D1386" s="1274"/>
      <c r="E1386" s="1248"/>
      <c r="F1386" s="1248"/>
      <c r="G1386" s="1271"/>
      <c r="H1386" s="1250"/>
      <c r="I1386" s="1251"/>
      <c r="J1386" s="1271"/>
      <c r="K1386" s="1271"/>
      <c r="L1386" s="1254"/>
      <c r="M1386" s="1244"/>
      <c r="N1386" s="1273"/>
      <c r="O1386" s="1244"/>
      <c r="P1386" s="1244"/>
      <c r="Q1386" s="1244"/>
      <c r="R1386" s="1244"/>
      <c r="S1386" s="1265"/>
      <c r="T1386" s="1244"/>
      <c r="U1386" s="1244"/>
    </row>
    <row r="1387">
      <c r="A1387" s="1235"/>
      <c r="B1387" s="1235"/>
      <c r="C1387" s="1246"/>
      <c r="D1387" s="1274"/>
      <c r="E1387" s="1248"/>
      <c r="F1387" s="1248"/>
      <c r="G1387" s="1271"/>
      <c r="H1387" s="1250"/>
      <c r="I1387" s="1251"/>
      <c r="J1387" s="1271"/>
      <c r="K1387" s="1271"/>
      <c r="L1387" s="1254"/>
      <c r="M1387" s="1244"/>
      <c r="N1387" s="1273"/>
      <c r="O1387" s="1244"/>
      <c r="P1387" s="1244"/>
      <c r="Q1387" s="1244"/>
      <c r="R1387" s="1244"/>
      <c r="S1387" s="1265"/>
      <c r="T1387" s="1244"/>
      <c r="U1387" s="1244"/>
    </row>
    <row r="1388">
      <c r="A1388" s="1235"/>
      <c r="B1388" s="1235"/>
      <c r="C1388" s="1246"/>
      <c r="D1388" s="1274"/>
      <c r="E1388" s="1248"/>
      <c r="F1388" s="1248"/>
      <c r="G1388" s="1271"/>
      <c r="H1388" s="1250"/>
      <c r="I1388" s="1251"/>
      <c r="J1388" s="1271"/>
      <c r="K1388" s="1271"/>
      <c r="L1388" s="1254"/>
      <c r="M1388" s="1244"/>
      <c r="N1388" s="1273"/>
      <c r="O1388" s="1244"/>
      <c r="P1388" s="1244"/>
      <c r="Q1388" s="1244"/>
      <c r="R1388" s="1244"/>
      <c r="S1388" s="1265"/>
      <c r="T1388" s="1244"/>
      <c r="U1388" s="1244"/>
    </row>
    <row r="1389">
      <c r="A1389" s="1235"/>
      <c r="B1389" s="1235"/>
      <c r="C1389" s="1246"/>
      <c r="D1389" s="1274"/>
      <c r="E1389" s="1248"/>
      <c r="F1389" s="1248"/>
      <c r="G1389" s="1271"/>
      <c r="H1389" s="1250"/>
      <c r="I1389" s="1251"/>
      <c r="J1389" s="1271"/>
      <c r="K1389" s="1271"/>
      <c r="L1389" s="1254"/>
      <c r="M1389" s="1244"/>
      <c r="N1389" s="1273"/>
      <c r="O1389" s="1244"/>
      <c r="P1389" s="1244"/>
      <c r="Q1389" s="1244"/>
      <c r="R1389" s="1244"/>
      <c r="S1389" s="1265"/>
      <c r="T1389" s="1244"/>
      <c r="U1389" s="1244"/>
    </row>
    <row r="1390">
      <c r="A1390" s="1235"/>
      <c r="B1390" s="1235"/>
      <c r="C1390" s="1246"/>
      <c r="D1390" s="1274"/>
      <c r="E1390" s="1248"/>
      <c r="F1390" s="1248"/>
      <c r="G1390" s="1271"/>
      <c r="H1390" s="1250"/>
      <c r="I1390" s="1251"/>
      <c r="J1390" s="1271"/>
      <c r="K1390" s="1271"/>
      <c r="L1390" s="1254"/>
      <c r="M1390" s="1244"/>
      <c r="N1390" s="1273"/>
      <c r="O1390" s="1244"/>
      <c r="P1390" s="1244"/>
      <c r="Q1390" s="1244"/>
      <c r="R1390" s="1244"/>
      <c r="S1390" s="1265"/>
      <c r="T1390" s="1244"/>
      <c r="U1390" s="1244"/>
    </row>
    <row r="1391">
      <c r="A1391" s="1235"/>
      <c r="B1391" s="1235"/>
      <c r="C1391" s="1246"/>
      <c r="D1391" s="1274"/>
      <c r="E1391" s="1248"/>
      <c r="F1391" s="1248"/>
      <c r="G1391" s="1271"/>
      <c r="H1391" s="1250"/>
      <c r="I1391" s="1251"/>
      <c r="J1391" s="1271"/>
      <c r="K1391" s="1271"/>
      <c r="L1391" s="1254"/>
      <c r="M1391" s="1244"/>
      <c r="N1391" s="1273"/>
      <c r="O1391" s="1244"/>
      <c r="P1391" s="1244"/>
      <c r="Q1391" s="1244"/>
      <c r="R1391" s="1244"/>
      <c r="S1391" s="1265"/>
      <c r="T1391" s="1244"/>
      <c r="U1391" s="1244"/>
    </row>
    <row r="1392">
      <c r="A1392" s="1235"/>
      <c r="B1392" s="1235"/>
      <c r="C1392" s="1246"/>
      <c r="D1392" s="1274"/>
      <c r="E1392" s="1248"/>
      <c r="F1392" s="1248"/>
      <c r="G1392" s="1271"/>
      <c r="H1392" s="1250"/>
      <c r="I1392" s="1251"/>
      <c r="J1392" s="1271"/>
      <c r="K1392" s="1271"/>
      <c r="L1392" s="1254"/>
      <c r="M1392" s="1244"/>
      <c r="N1392" s="1273"/>
      <c r="O1392" s="1244"/>
      <c r="P1392" s="1244"/>
      <c r="Q1392" s="1244"/>
      <c r="R1392" s="1244"/>
      <c r="S1392" s="1265"/>
      <c r="T1392" s="1244"/>
      <c r="U1392" s="1244"/>
    </row>
    <row r="1393">
      <c r="A1393" s="1235"/>
      <c r="B1393" s="1235"/>
      <c r="C1393" s="1246"/>
      <c r="D1393" s="1274"/>
      <c r="E1393" s="1248"/>
      <c r="F1393" s="1248"/>
      <c r="G1393" s="1271"/>
      <c r="H1393" s="1250"/>
      <c r="I1393" s="1251"/>
      <c r="J1393" s="1271"/>
      <c r="K1393" s="1271"/>
      <c r="L1393" s="1254"/>
      <c r="M1393" s="1244"/>
      <c r="N1393" s="1273"/>
      <c r="O1393" s="1244"/>
      <c r="P1393" s="1244"/>
      <c r="Q1393" s="1244"/>
      <c r="R1393" s="1244"/>
      <c r="S1393" s="1265"/>
      <c r="T1393" s="1244"/>
      <c r="U1393" s="1244"/>
    </row>
    <row r="1394">
      <c r="A1394" s="1235"/>
      <c r="B1394" s="1235"/>
      <c r="C1394" s="1246"/>
      <c r="D1394" s="1274"/>
      <c r="E1394" s="1248"/>
      <c r="F1394" s="1248"/>
      <c r="G1394" s="1271"/>
      <c r="H1394" s="1250"/>
      <c r="I1394" s="1251"/>
      <c r="J1394" s="1271"/>
      <c r="K1394" s="1271"/>
      <c r="L1394" s="1254"/>
      <c r="M1394" s="1244"/>
      <c r="N1394" s="1273"/>
      <c r="O1394" s="1244"/>
      <c r="P1394" s="1244"/>
      <c r="Q1394" s="1244"/>
      <c r="R1394" s="1244"/>
      <c r="S1394" s="1265"/>
      <c r="T1394" s="1244"/>
      <c r="U1394" s="1244"/>
    </row>
    <row r="1395">
      <c r="A1395" s="1235"/>
      <c r="B1395" s="1235"/>
      <c r="C1395" s="1246"/>
      <c r="D1395" s="1274"/>
      <c r="E1395" s="1248"/>
      <c r="F1395" s="1248"/>
      <c r="G1395" s="1271"/>
      <c r="H1395" s="1250"/>
      <c r="I1395" s="1251"/>
      <c r="J1395" s="1271"/>
      <c r="K1395" s="1271"/>
      <c r="L1395" s="1254"/>
      <c r="M1395" s="1244"/>
      <c r="N1395" s="1273"/>
      <c r="O1395" s="1244"/>
      <c r="P1395" s="1244"/>
      <c r="Q1395" s="1244"/>
      <c r="R1395" s="1244"/>
      <c r="S1395" s="1265"/>
      <c r="T1395" s="1244"/>
      <c r="U1395" s="1244"/>
    </row>
    <row r="1396">
      <c r="A1396" s="1235"/>
      <c r="B1396" s="1235"/>
      <c r="C1396" s="1246"/>
      <c r="D1396" s="1274"/>
      <c r="E1396" s="1248"/>
      <c r="F1396" s="1248"/>
      <c r="G1396" s="1271"/>
      <c r="H1396" s="1250"/>
      <c r="I1396" s="1251"/>
      <c r="J1396" s="1271"/>
      <c r="K1396" s="1271"/>
      <c r="L1396" s="1254"/>
      <c r="M1396" s="1244"/>
      <c r="N1396" s="1273"/>
      <c r="O1396" s="1244"/>
      <c r="P1396" s="1244"/>
      <c r="Q1396" s="1244"/>
      <c r="R1396" s="1244"/>
      <c r="S1396" s="1265"/>
      <c r="T1396" s="1244"/>
      <c r="U1396" s="1244"/>
    </row>
    <row r="1397">
      <c r="A1397" s="1235"/>
      <c r="B1397" s="1235"/>
      <c r="C1397" s="1246"/>
      <c r="D1397" s="1274"/>
      <c r="E1397" s="1248"/>
      <c r="F1397" s="1248"/>
      <c r="G1397" s="1271"/>
      <c r="H1397" s="1250"/>
      <c r="I1397" s="1251"/>
      <c r="J1397" s="1271"/>
      <c r="K1397" s="1271"/>
      <c r="L1397" s="1254"/>
      <c r="M1397" s="1244"/>
      <c r="N1397" s="1273"/>
      <c r="O1397" s="1244"/>
      <c r="P1397" s="1244"/>
      <c r="Q1397" s="1244"/>
      <c r="R1397" s="1244"/>
      <c r="S1397" s="1265"/>
      <c r="T1397" s="1244"/>
      <c r="U1397" s="1244"/>
    </row>
    <row r="1398">
      <c r="A1398" s="1235"/>
      <c r="B1398" s="1235"/>
      <c r="C1398" s="1246"/>
      <c r="D1398" s="1274"/>
      <c r="E1398" s="1248"/>
      <c r="F1398" s="1248"/>
      <c r="G1398" s="1271"/>
      <c r="H1398" s="1250"/>
      <c r="I1398" s="1251"/>
      <c r="J1398" s="1271"/>
      <c r="K1398" s="1271"/>
      <c r="L1398" s="1254"/>
      <c r="M1398" s="1244"/>
      <c r="N1398" s="1273"/>
      <c r="O1398" s="1244"/>
      <c r="P1398" s="1244"/>
      <c r="Q1398" s="1244"/>
      <c r="R1398" s="1244"/>
      <c r="S1398" s="1265"/>
      <c r="T1398" s="1244"/>
      <c r="U1398" s="1244"/>
    </row>
    <row r="1399">
      <c r="A1399" s="1235"/>
      <c r="B1399" s="1235"/>
      <c r="C1399" s="1246"/>
      <c r="D1399" s="1274"/>
      <c r="E1399" s="1248"/>
      <c r="F1399" s="1248"/>
      <c r="G1399" s="1271"/>
      <c r="H1399" s="1250"/>
      <c r="I1399" s="1251"/>
      <c r="J1399" s="1271"/>
      <c r="K1399" s="1271"/>
      <c r="L1399" s="1254"/>
      <c r="M1399" s="1244"/>
      <c r="N1399" s="1273"/>
      <c r="O1399" s="1244"/>
      <c r="P1399" s="1244"/>
      <c r="Q1399" s="1244"/>
      <c r="R1399" s="1244"/>
      <c r="S1399" s="1265"/>
      <c r="T1399" s="1244"/>
      <c r="U1399" s="1244"/>
    </row>
    <row r="1400">
      <c r="A1400" s="1235"/>
      <c r="B1400" s="1235"/>
      <c r="C1400" s="1246"/>
      <c r="D1400" s="1274"/>
      <c r="E1400" s="1248"/>
      <c r="F1400" s="1248"/>
      <c r="G1400" s="1271"/>
      <c r="H1400" s="1250"/>
      <c r="I1400" s="1251"/>
      <c r="J1400" s="1271"/>
      <c r="K1400" s="1271"/>
      <c r="L1400" s="1254"/>
      <c r="M1400" s="1244"/>
      <c r="N1400" s="1273"/>
      <c r="O1400" s="1244"/>
      <c r="P1400" s="1244"/>
      <c r="Q1400" s="1244"/>
      <c r="R1400" s="1244"/>
      <c r="S1400" s="1265"/>
      <c r="T1400" s="1244"/>
      <c r="U1400" s="1244"/>
    </row>
    <row r="1401">
      <c r="A1401" s="1235"/>
      <c r="B1401" s="1235"/>
      <c r="C1401" s="1246"/>
      <c r="D1401" s="1274"/>
      <c r="E1401" s="1248"/>
      <c r="F1401" s="1248"/>
      <c r="G1401" s="1271"/>
      <c r="H1401" s="1250"/>
      <c r="I1401" s="1251"/>
      <c r="J1401" s="1271"/>
      <c r="K1401" s="1271"/>
      <c r="L1401" s="1254"/>
      <c r="M1401" s="1244"/>
      <c r="N1401" s="1273"/>
      <c r="O1401" s="1244"/>
      <c r="P1401" s="1244"/>
      <c r="Q1401" s="1244"/>
      <c r="R1401" s="1244"/>
      <c r="S1401" s="1265"/>
      <c r="T1401" s="1244"/>
      <c r="U1401" s="1244"/>
    </row>
    <row r="1402">
      <c r="A1402" s="1235"/>
      <c r="B1402" s="1235"/>
      <c r="C1402" s="1246"/>
      <c r="D1402" s="1274"/>
      <c r="E1402" s="1248"/>
      <c r="F1402" s="1248"/>
      <c r="G1402" s="1271"/>
      <c r="H1402" s="1250"/>
      <c r="I1402" s="1251"/>
      <c r="J1402" s="1271"/>
      <c r="K1402" s="1271"/>
      <c r="L1402" s="1254"/>
      <c r="M1402" s="1244"/>
      <c r="N1402" s="1273"/>
      <c r="O1402" s="1244"/>
      <c r="P1402" s="1244"/>
      <c r="Q1402" s="1244"/>
      <c r="R1402" s="1244"/>
      <c r="S1402" s="1265"/>
      <c r="T1402" s="1244"/>
      <c r="U1402" s="1244"/>
    </row>
    <row r="1403">
      <c r="A1403" s="1235"/>
      <c r="B1403" s="1235"/>
      <c r="C1403" s="1246"/>
      <c r="D1403" s="1274"/>
      <c r="E1403" s="1248"/>
      <c r="F1403" s="1248"/>
      <c r="G1403" s="1271"/>
      <c r="H1403" s="1250"/>
      <c r="I1403" s="1251"/>
      <c r="J1403" s="1271"/>
      <c r="K1403" s="1271"/>
      <c r="L1403" s="1254"/>
      <c r="M1403" s="1244"/>
      <c r="N1403" s="1273"/>
      <c r="O1403" s="1244"/>
      <c r="P1403" s="1244"/>
      <c r="Q1403" s="1244"/>
      <c r="R1403" s="1244"/>
      <c r="S1403" s="1265"/>
      <c r="T1403" s="1244"/>
      <c r="U1403" s="1244"/>
    </row>
    <row r="1404">
      <c r="A1404" s="1235"/>
      <c r="B1404" s="1235"/>
      <c r="C1404" s="1246"/>
      <c r="D1404" s="1274"/>
      <c r="E1404" s="1248"/>
      <c r="F1404" s="1248"/>
      <c r="G1404" s="1271"/>
      <c r="H1404" s="1250"/>
      <c r="I1404" s="1251"/>
      <c r="J1404" s="1271"/>
      <c r="K1404" s="1271"/>
      <c r="L1404" s="1254"/>
      <c r="M1404" s="1244"/>
      <c r="N1404" s="1273"/>
      <c r="O1404" s="1244"/>
      <c r="P1404" s="1244"/>
      <c r="Q1404" s="1244"/>
      <c r="R1404" s="1244"/>
      <c r="S1404" s="1265"/>
      <c r="T1404" s="1244"/>
      <c r="U1404" s="1244"/>
    </row>
    <row r="1405">
      <c r="A1405" s="1235"/>
      <c r="B1405" s="1235"/>
      <c r="C1405" s="1246"/>
      <c r="D1405" s="1274"/>
      <c r="E1405" s="1248"/>
      <c r="F1405" s="1248"/>
      <c r="G1405" s="1271"/>
      <c r="H1405" s="1250"/>
      <c r="I1405" s="1251"/>
      <c r="J1405" s="1271"/>
      <c r="K1405" s="1271"/>
      <c r="L1405" s="1254"/>
      <c r="M1405" s="1244"/>
      <c r="N1405" s="1273"/>
      <c r="O1405" s="1244"/>
      <c r="P1405" s="1244"/>
      <c r="Q1405" s="1244"/>
      <c r="R1405" s="1244"/>
      <c r="S1405" s="1265"/>
      <c r="T1405" s="1244"/>
      <c r="U1405" s="1244"/>
    </row>
    <row r="1406">
      <c r="A1406" s="1235"/>
      <c r="B1406" s="1235"/>
      <c r="C1406" s="1246"/>
      <c r="D1406" s="1274"/>
      <c r="E1406" s="1248"/>
      <c r="F1406" s="1248"/>
      <c r="G1406" s="1271"/>
      <c r="H1406" s="1250"/>
      <c r="I1406" s="1251"/>
      <c r="J1406" s="1271"/>
      <c r="K1406" s="1271"/>
      <c r="L1406" s="1254"/>
      <c r="M1406" s="1244"/>
      <c r="N1406" s="1273"/>
      <c r="O1406" s="1244"/>
      <c r="P1406" s="1244"/>
      <c r="Q1406" s="1244"/>
      <c r="R1406" s="1244"/>
      <c r="S1406" s="1265"/>
      <c r="T1406" s="1244"/>
      <c r="U1406" s="1244"/>
    </row>
    <row r="1407">
      <c r="A1407" s="1235"/>
      <c r="B1407" s="1235"/>
      <c r="C1407" s="1246"/>
      <c r="D1407" s="1274"/>
      <c r="E1407" s="1248"/>
      <c r="F1407" s="1248"/>
      <c r="G1407" s="1271"/>
      <c r="H1407" s="1250"/>
      <c r="I1407" s="1251"/>
      <c r="J1407" s="1271"/>
      <c r="K1407" s="1271"/>
      <c r="L1407" s="1254"/>
      <c r="M1407" s="1244"/>
      <c r="N1407" s="1273"/>
      <c r="O1407" s="1244"/>
      <c r="P1407" s="1244"/>
      <c r="Q1407" s="1244"/>
      <c r="R1407" s="1244"/>
      <c r="S1407" s="1265"/>
      <c r="T1407" s="1244"/>
      <c r="U1407" s="1244"/>
    </row>
    <row r="1408">
      <c r="A1408" s="1235"/>
      <c r="B1408" s="1235"/>
      <c r="C1408" s="1246"/>
      <c r="D1408" s="1274"/>
      <c r="E1408" s="1248"/>
      <c r="F1408" s="1248"/>
      <c r="G1408" s="1271"/>
      <c r="H1408" s="1250"/>
      <c r="I1408" s="1251"/>
      <c r="J1408" s="1271"/>
      <c r="K1408" s="1271"/>
      <c r="L1408" s="1254"/>
      <c r="M1408" s="1244"/>
      <c r="N1408" s="1273"/>
      <c r="O1408" s="1244"/>
      <c r="P1408" s="1244"/>
      <c r="Q1408" s="1244"/>
      <c r="R1408" s="1244"/>
      <c r="S1408" s="1265"/>
      <c r="T1408" s="1244"/>
      <c r="U1408" s="1244"/>
    </row>
    <row r="1409">
      <c r="A1409" s="1235"/>
      <c r="B1409" s="1235"/>
      <c r="C1409" s="1246"/>
      <c r="D1409" s="1274"/>
      <c r="E1409" s="1248"/>
      <c r="F1409" s="1248"/>
      <c r="G1409" s="1271"/>
      <c r="H1409" s="1250"/>
      <c r="I1409" s="1251"/>
      <c r="J1409" s="1271"/>
      <c r="K1409" s="1271"/>
      <c r="L1409" s="1254"/>
      <c r="M1409" s="1244"/>
      <c r="N1409" s="1273"/>
      <c r="O1409" s="1244"/>
      <c r="P1409" s="1244"/>
      <c r="Q1409" s="1244"/>
      <c r="R1409" s="1244"/>
      <c r="S1409" s="1265"/>
      <c r="T1409" s="1244"/>
      <c r="U1409" s="1244"/>
    </row>
    <row r="1410">
      <c r="A1410" s="1235"/>
      <c r="B1410" s="1235"/>
      <c r="C1410" s="1246"/>
      <c r="D1410" s="1274"/>
      <c r="E1410" s="1248"/>
      <c r="F1410" s="1248"/>
      <c r="G1410" s="1271"/>
      <c r="H1410" s="1250"/>
      <c r="I1410" s="1251"/>
      <c r="J1410" s="1271"/>
      <c r="K1410" s="1271"/>
      <c r="L1410" s="1254"/>
      <c r="M1410" s="1244"/>
      <c r="N1410" s="1273"/>
      <c r="O1410" s="1244"/>
      <c r="P1410" s="1244"/>
      <c r="Q1410" s="1244"/>
      <c r="R1410" s="1244"/>
      <c r="S1410" s="1265"/>
      <c r="T1410" s="1244"/>
      <c r="U1410" s="1244"/>
    </row>
    <row r="1411">
      <c r="A1411" s="1235"/>
      <c r="B1411" s="1235"/>
      <c r="C1411" s="1246"/>
      <c r="D1411" s="1274"/>
      <c r="E1411" s="1248"/>
      <c r="F1411" s="1248"/>
      <c r="G1411" s="1271"/>
      <c r="H1411" s="1250"/>
      <c r="I1411" s="1251"/>
      <c r="J1411" s="1271"/>
      <c r="K1411" s="1271"/>
      <c r="L1411" s="1254"/>
      <c r="M1411" s="1244"/>
      <c r="N1411" s="1273"/>
      <c r="O1411" s="1244"/>
      <c r="P1411" s="1244"/>
      <c r="Q1411" s="1244"/>
      <c r="R1411" s="1244"/>
      <c r="S1411" s="1265"/>
      <c r="T1411" s="1244"/>
      <c r="U1411" s="1244"/>
    </row>
    <row r="1412">
      <c r="A1412" s="1235"/>
      <c r="B1412" s="1235"/>
      <c r="C1412" s="1246"/>
      <c r="D1412" s="1274"/>
      <c r="E1412" s="1248"/>
      <c r="F1412" s="1248"/>
      <c r="G1412" s="1271"/>
      <c r="H1412" s="1250"/>
      <c r="I1412" s="1251"/>
      <c r="J1412" s="1271"/>
      <c r="K1412" s="1271"/>
      <c r="L1412" s="1254"/>
      <c r="M1412" s="1244"/>
      <c r="N1412" s="1273"/>
      <c r="O1412" s="1244"/>
      <c r="P1412" s="1244"/>
      <c r="Q1412" s="1244"/>
      <c r="R1412" s="1244"/>
      <c r="S1412" s="1265"/>
      <c r="T1412" s="1244"/>
      <c r="U1412" s="1244"/>
    </row>
    <row r="1413">
      <c r="A1413" s="1235"/>
      <c r="B1413" s="1235"/>
      <c r="C1413" s="1246"/>
      <c r="D1413" s="1274"/>
      <c r="E1413" s="1248"/>
      <c r="F1413" s="1248"/>
      <c r="G1413" s="1271"/>
      <c r="H1413" s="1250"/>
      <c r="I1413" s="1251"/>
      <c r="J1413" s="1271"/>
      <c r="K1413" s="1271"/>
      <c r="L1413" s="1254"/>
      <c r="M1413" s="1244"/>
      <c r="N1413" s="1273"/>
      <c r="O1413" s="1244"/>
      <c r="P1413" s="1244"/>
      <c r="Q1413" s="1244"/>
      <c r="R1413" s="1244"/>
      <c r="S1413" s="1265"/>
      <c r="T1413" s="1244"/>
      <c r="U1413" s="1244"/>
    </row>
    <row r="1414">
      <c r="A1414" s="1235"/>
      <c r="B1414" s="1235"/>
      <c r="C1414" s="1246"/>
      <c r="D1414" s="1274"/>
      <c r="E1414" s="1248"/>
      <c r="F1414" s="1248"/>
      <c r="G1414" s="1271"/>
      <c r="H1414" s="1250"/>
      <c r="I1414" s="1251"/>
      <c r="J1414" s="1271"/>
      <c r="K1414" s="1271"/>
      <c r="L1414" s="1254"/>
      <c r="M1414" s="1244"/>
      <c r="N1414" s="1273"/>
      <c r="O1414" s="1244"/>
      <c r="P1414" s="1244"/>
      <c r="Q1414" s="1244"/>
      <c r="R1414" s="1244"/>
      <c r="S1414" s="1265"/>
      <c r="T1414" s="1244"/>
      <c r="U1414" s="1244"/>
    </row>
    <row r="1415">
      <c r="A1415" s="1235"/>
      <c r="B1415" s="1235"/>
      <c r="C1415" s="1246"/>
      <c r="D1415" s="1274"/>
      <c r="E1415" s="1248"/>
      <c r="F1415" s="1248"/>
      <c r="G1415" s="1271"/>
      <c r="H1415" s="1250"/>
      <c r="I1415" s="1251"/>
      <c r="J1415" s="1271"/>
      <c r="K1415" s="1271"/>
      <c r="L1415" s="1254"/>
      <c r="M1415" s="1244"/>
      <c r="N1415" s="1273"/>
      <c r="O1415" s="1244"/>
      <c r="P1415" s="1244"/>
      <c r="Q1415" s="1244"/>
      <c r="R1415" s="1244"/>
      <c r="S1415" s="1265"/>
      <c r="T1415" s="1244"/>
      <c r="U1415" s="1244"/>
    </row>
    <row r="1416">
      <c r="A1416" s="1235"/>
      <c r="B1416" s="1235"/>
      <c r="C1416" s="1246"/>
      <c r="D1416" s="1274"/>
      <c r="E1416" s="1248"/>
      <c r="F1416" s="1248"/>
      <c r="G1416" s="1271"/>
      <c r="H1416" s="1250"/>
      <c r="I1416" s="1251"/>
      <c r="J1416" s="1271"/>
      <c r="K1416" s="1271"/>
      <c r="L1416" s="1254"/>
      <c r="M1416" s="1244"/>
      <c r="N1416" s="1273"/>
      <c r="O1416" s="1244"/>
      <c r="P1416" s="1244"/>
      <c r="Q1416" s="1244"/>
      <c r="R1416" s="1244"/>
      <c r="S1416" s="1265"/>
      <c r="T1416" s="1244"/>
      <c r="U1416" s="1244"/>
    </row>
    <row r="1417">
      <c r="A1417" s="1235"/>
      <c r="B1417" s="1235"/>
      <c r="C1417" s="1246"/>
      <c r="D1417" s="1274"/>
      <c r="E1417" s="1248"/>
      <c r="F1417" s="1248"/>
      <c r="G1417" s="1271"/>
      <c r="H1417" s="1250"/>
      <c r="I1417" s="1251"/>
      <c r="J1417" s="1271"/>
      <c r="K1417" s="1271"/>
      <c r="L1417" s="1254"/>
      <c r="M1417" s="1244"/>
      <c r="N1417" s="1273"/>
      <c r="O1417" s="1244"/>
      <c r="P1417" s="1244"/>
      <c r="Q1417" s="1244"/>
      <c r="R1417" s="1244"/>
      <c r="S1417" s="1265"/>
      <c r="T1417" s="1244"/>
      <c r="U1417" s="1244"/>
    </row>
    <row r="1418">
      <c r="A1418" s="1235"/>
      <c r="B1418" s="1235"/>
      <c r="C1418" s="1246"/>
      <c r="D1418" s="1274"/>
      <c r="E1418" s="1248"/>
      <c r="F1418" s="1248"/>
      <c r="G1418" s="1271"/>
      <c r="H1418" s="1250"/>
      <c r="I1418" s="1251"/>
      <c r="J1418" s="1271"/>
      <c r="K1418" s="1271"/>
      <c r="L1418" s="1254"/>
      <c r="M1418" s="1244"/>
      <c r="N1418" s="1273"/>
      <c r="O1418" s="1244"/>
      <c r="P1418" s="1244"/>
      <c r="Q1418" s="1244"/>
      <c r="R1418" s="1244"/>
      <c r="S1418" s="1265"/>
      <c r="T1418" s="1244"/>
      <c r="U1418" s="1244"/>
    </row>
    <row r="1419">
      <c r="A1419" s="1235"/>
      <c r="B1419" s="1235"/>
      <c r="C1419" s="1246"/>
      <c r="D1419" s="1274"/>
      <c r="E1419" s="1248"/>
      <c r="F1419" s="1248"/>
      <c r="G1419" s="1271"/>
      <c r="H1419" s="1250"/>
      <c r="I1419" s="1251"/>
      <c r="J1419" s="1271"/>
      <c r="K1419" s="1271"/>
      <c r="L1419" s="1254"/>
      <c r="M1419" s="1244"/>
      <c r="N1419" s="1273"/>
      <c r="O1419" s="1244"/>
      <c r="P1419" s="1244"/>
      <c r="Q1419" s="1244"/>
      <c r="R1419" s="1244"/>
      <c r="S1419" s="1265"/>
      <c r="T1419" s="1244"/>
      <c r="U1419" s="1244"/>
    </row>
    <row r="1420">
      <c r="A1420" s="1235"/>
      <c r="B1420" s="1235"/>
      <c r="C1420" s="1246"/>
      <c r="D1420" s="1274"/>
      <c r="E1420" s="1248"/>
      <c r="F1420" s="1248"/>
      <c r="G1420" s="1271"/>
      <c r="H1420" s="1250"/>
      <c r="I1420" s="1251"/>
      <c r="J1420" s="1271"/>
      <c r="K1420" s="1271"/>
      <c r="L1420" s="1254"/>
      <c r="M1420" s="1244"/>
      <c r="N1420" s="1273"/>
      <c r="O1420" s="1244"/>
      <c r="P1420" s="1244"/>
      <c r="Q1420" s="1244"/>
      <c r="R1420" s="1244"/>
      <c r="S1420" s="1265"/>
      <c r="T1420" s="1244"/>
      <c r="U1420" s="1244"/>
    </row>
    <row r="1421">
      <c r="A1421" s="1235"/>
      <c r="B1421" s="1235"/>
      <c r="C1421" s="1246"/>
      <c r="D1421" s="1274"/>
      <c r="E1421" s="1248"/>
      <c r="F1421" s="1248"/>
      <c r="G1421" s="1271"/>
      <c r="H1421" s="1250"/>
      <c r="I1421" s="1251"/>
      <c r="J1421" s="1271"/>
      <c r="K1421" s="1271"/>
      <c r="L1421" s="1254"/>
      <c r="M1421" s="1244"/>
      <c r="N1421" s="1273"/>
      <c r="O1421" s="1244"/>
      <c r="P1421" s="1244"/>
      <c r="Q1421" s="1244"/>
      <c r="R1421" s="1244"/>
      <c r="S1421" s="1265"/>
      <c r="T1421" s="1244"/>
      <c r="U1421" s="1244"/>
    </row>
    <row r="1422">
      <c r="A1422" s="1235"/>
      <c r="B1422" s="1235"/>
      <c r="C1422" s="1246"/>
      <c r="D1422" s="1274"/>
      <c r="E1422" s="1248"/>
      <c r="F1422" s="1248"/>
      <c r="G1422" s="1271"/>
      <c r="H1422" s="1250"/>
      <c r="I1422" s="1251"/>
      <c r="J1422" s="1271"/>
      <c r="K1422" s="1271"/>
      <c r="L1422" s="1254"/>
      <c r="M1422" s="1244"/>
      <c r="N1422" s="1273"/>
      <c r="O1422" s="1244"/>
      <c r="P1422" s="1244"/>
      <c r="Q1422" s="1244"/>
      <c r="R1422" s="1244"/>
      <c r="S1422" s="1265"/>
      <c r="T1422" s="1244"/>
      <c r="U1422" s="1244"/>
    </row>
    <row r="1423">
      <c r="A1423" s="1235"/>
      <c r="B1423" s="1235"/>
      <c r="C1423" s="1246"/>
      <c r="D1423" s="1274"/>
      <c r="E1423" s="1248"/>
      <c r="F1423" s="1248"/>
      <c r="G1423" s="1271"/>
      <c r="H1423" s="1250"/>
      <c r="I1423" s="1251"/>
      <c r="J1423" s="1271"/>
      <c r="K1423" s="1271"/>
      <c r="L1423" s="1254"/>
      <c r="M1423" s="1244"/>
      <c r="N1423" s="1273"/>
      <c r="O1423" s="1244"/>
      <c r="P1423" s="1244"/>
      <c r="Q1423" s="1244"/>
      <c r="R1423" s="1244"/>
      <c r="S1423" s="1265"/>
      <c r="T1423" s="1244"/>
      <c r="U1423" s="1244"/>
    </row>
    <row r="1424">
      <c r="A1424" s="1235"/>
      <c r="B1424" s="1235"/>
      <c r="C1424" s="1246"/>
      <c r="D1424" s="1274"/>
      <c r="E1424" s="1248"/>
      <c r="F1424" s="1248"/>
      <c r="G1424" s="1271"/>
      <c r="H1424" s="1250"/>
      <c r="I1424" s="1251"/>
      <c r="J1424" s="1271"/>
      <c r="K1424" s="1271"/>
      <c r="L1424" s="1254"/>
      <c r="M1424" s="1244"/>
      <c r="N1424" s="1273"/>
      <c r="O1424" s="1244"/>
      <c r="P1424" s="1244"/>
      <c r="Q1424" s="1244"/>
      <c r="R1424" s="1244"/>
      <c r="S1424" s="1265"/>
      <c r="T1424" s="1244"/>
      <c r="U1424" s="1244"/>
    </row>
    <row r="1425">
      <c r="A1425" s="1235"/>
      <c r="B1425" s="1235"/>
      <c r="C1425" s="1246"/>
      <c r="D1425" s="1274"/>
      <c r="E1425" s="1248"/>
      <c r="F1425" s="1248"/>
      <c r="G1425" s="1271"/>
      <c r="H1425" s="1250"/>
      <c r="I1425" s="1251"/>
      <c r="J1425" s="1271"/>
      <c r="K1425" s="1271"/>
      <c r="L1425" s="1254"/>
      <c r="M1425" s="1244"/>
      <c r="N1425" s="1273"/>
      <c r="O1425" s="1244"/>
      <c r="P1425" s="1244"/>
      <c r="Q1425" s="1244"/>
      <c r="R1425" s="1244"/>
      <c r="S1425" s="1265"/>
      <c r="T1425" s="1244"/>
      <c r="U1425" s="1244"/>
    </row>
    <row r="1426">
      <c r="A1426" s="1235"/>
      <c r="B1426" s="1235"/>
      <c r="C1426" s="1246"/>
      <c r="D1426" s="1274"/>
      <c r="E1426" s="1248"/>
      <c r="F1426" s="1248"/>
      <c r="G1426" s="1271"/>
      <c r="H1426" s="1250"/>
      <c r="I1426" s="1251"/>
      <c r="J1426" s="1271"/>
      <c r="K1426" s="1271"/>
      <c r="L1426" s="1254"/>
      <c r="M1426" s="1244"/>
      <c r="N1426" s="1273"/>
      <c r="O1426" s="1244"/>
      <c r="P1426" s="1244"/>
      <c r="Q1426" s="1244"/>
      <c r="R1426" s="1244"/>
      <c r="S1426" s="1265"/>
      <c r="T1426" s="1244"/>
      <c r="U1426" s="1244"/>
    </row>
    <row r="1427">
      <c r="A1427" s="1235"/>
      <c r="B1427" s="1235"/>
      <c r="C1427" s="1246"/>
      <c r="D1427" s="1274"/>
      <c r="E1427" s="1248"/>
      <c r="F1427" s="1248"/>
      <c r="G1427" s="1271"/>
      <c r="H1427" s="1250"/>
      <c r="I1427" s="1251"/>
      <c r="J1427" s="1271"/>
      <c r="K1427" s="1271"/>
      <c r="L1427" s="1254"/>
      <c r="M1427" s="1244"/>
      <c r="N1427" s="1273"/>
      <c r="O1427" s="1244"/>
      <c r="P1427" s="1244"/>
      <c r="Q1427" s="1244"/>
      <c r="R1427" s="1244"/>
      <c r="S1427" s="1265"/>
      <c r="T1427" s="1244"/>
      <c r="U1427" s="1244"/>
    </row>
    <row r="1428">
      <c r="A1428" s="1235"/>
      <c r="B1428" s="1235"/>
      <c r="C1428" s="1246"/>
      <c r="D1428" s="1274"/>
      <c r="E1428" s="1248"/>
      <c r="F1428" s="1248"/>
      <c r="G1428" s="1271"/>
      <c r="H1428" s="1250"/>
      <c r="I1428" s="1251"/>
      <c r="J1428" s="1271"/>
      <c r="K1428" s="1271"/>
      <c r="L1428" s="1254"/>
      <c r="M1428" s="1244"/>
      <c r="N1428" s="1273"/>
      <c r="O1428" s="1244"/>
      <c r="P1428" s="1244"/>
      <c r="Q1428" s="1244"/>
      <c r="R1428" s="1244"/>
      <c r="S1428" s="1265"/>
      <c r="T1428" s="1244"/>
      <c r="U1428" s="1244"/>
    </row>
    <row r="1429">
      <c r="A1429" s="1235"/>
      <c r="B1429" s="1235"/>
      <c r="C1429" s="1246"/>
      <c r="D1429" s="1274"/>
      <c r="E1429" s="1248"/>
      <c r="F1429" s="1248"/>
      <c r="G1429" s="1271"/>
      <c r="H1429" s="1250"/>
      <c r="I1429" s="1251"/>
      <c r="J1429" s="1271"/>
      <c r="K1429" s="1271"/>
      <c r="L1429" s="1254"/>
      <c r="M1429" s="1244"/>
      <c r="N1429" s="1273"/>
      <c r="O1429" s="1244"/>
      <c r="P1429" s="1244"/>
      <c r="Q1429" s="1244"/>
      <c r="R1429" s="1244"/>
      <c r="S1429" s="1265"/>
      <c r="T1429" s="1244"/>
      <c r="U1429" s="1244"/>
    </row>
    <row r="1430">
      <c r="A1430" s="1235"/>
      <c r="B1430" s="1235"/>
      <c r="C1430" s="1246"/>
      <c r="D1430" s="1274"/>
      <c r="E1430" s="1248"/>
      <c r="F1430" s="1248"/>
      <c r="G1430" s="1271"/>
      <c r="H1430" s="1250"/>
      <c r="I1430" s="1251"/>
      <c r="J1430" s="1271"/>
      <c r="K1430" s="1271"/>
      <c r="L1430" s="1254"/>
      <c r="M1430" s="1244"/>
      <c r="N1430" s="1273"/>
      <c r="O1430" s="1244"/>
      <c r="P1430" s="1244"/>
      <c r="Q1430" s="1244"/>
      <c r="R1430" s="1244"/>
      <c r="S1430" s="1265"/>
      <c r="T1430" s="1244"/>
      <c r="U1430" s="1244"/>
    </row>
    <row r="1431">
      <c r="A1431" s="1235"/>
      <c r="B1431" s="1235"/>
      <c r="C1431" s="1246"/>
      <c r="D1431" s="1274"/>
      <c r="E1431" s="1248"/>
      <c r="F1431" s="1248"/>
      <c r="G1431" s="1271"/>
      <c r="H1431" s="1250"/>
      <c r="I1431" s="1251"/>
      <c r="J1431" s="1271"/>
      <c r="K1431" s="1271"/>
      <c r="L1431" s="1254"/>
      <c r="M1431" s="1244"/>
      <c r="N1431" s="1273"/>
      <c r="O1431" s="1244"/>
      <c r="P1431" s="1244"/>
      <c r="Q1431" s="1244"/>
      <c r="R1431" s="1244"/>
      <c r="S1431" s="1265"/>
      <c r="T1431" s="1244"/>
      <c r="U1431" s="1244"/>
    </row>
    <row r="1432">
      <c r="A1432" s="1235"/>
      <c r="B1432" s="1235"/>
      <c r="C1432" s="1246"/>
      <c r="D1432" s="1274"/>
      <c r="E1432" s="1248"/>
      <c r="F1432" s="1248"/>
      <c r="G1432" s="1271"/>
      <c r="H1432" s="1250"/>
      <c r="I1432" s="1251"/>
      <c r="J1432" s="1271"/>
      <c r="K1432" s="1271"/>
      <c r="L1432" s="1254"/>
      <c r="M1432" s="1244"/>
      <c r="N1432" s="1273"/>
      <c r="O1432" s="1244"/>
      <c r="P1432" s="1244"/>
      <c r="Q1432" s="1244"/>
      <c r="R1432" s="1244"/>
      <c r="S1432" s="1265"/>
      <c r="T1432" s="1244"/>
      <c r="U1432" s="1244"/>
    </row>
    <row r="1433">
      <c r="A1433" s="1235"/>
      <c r="B1433" s="1235"/>
      <c r="C1433" s="1246"/>
      <c r="D1433" s="1274"/>
      <c r="E1433" s="1248"/>
      <c r="F1433" s="1248"/>
      <c r="G1433" s="1271"/>
      <c r="H1433" s="1250"/>
      <c r="I1433" s="1251"/>
      <c r="J1433" s="1271"/>
      <c r="K1433" s="1271"/>
      <c r="L1433" s="1254"/>
      <c r="M1433" s="1244"/>
      <c r="N1433" s="1273"/>
      <c r="O1433" s="1244"/>
      <c r="P1433" s="1244"/>
      <c r="Q1433" s="1244"/>
      <c r="R1433" s="1244"/>
      <c r="S1433" s="1265"/>
      <c r="T1433" s="1244"/>
      <c r="U1433" s="1244"/>
    </row>
    <row r="1434">
      <c r="A1434" s="1235"/>
      <c r="B1434" s="1235"/>
      <c r="C1434" s="1246"/>
      <c r="D1434" s="1274"/>
      <c r="E1434" s="1248"/>
      <c r="F1434" s="1248"/>
      <c r="G1434" s="1271"/>
      <c r="H1434" s="1250"/>
      <c r="I1434" s="1251"/>
      <c r="J1434" s="1271"/>
      <c r="K1434" s="1271"/>
      <c r="L1434" s="1254"/>
      <c r="M1434" s="1244"/>
      <c r="N1434" s="1273"/>
      <c r="O1434" s="1244"/>
      <c r="P1434" s="1244"/>
      <c r="Q1434" s="1244"/>
      <c r="R1434" s="1244"/>
      <c r="S1434" s="1265"/>
      <c r="T1434" s="1244"/>
      <c r="U1434" s="1244"/>
    </row>
    <row r="1435">
      <c r="A1435" s="1235"/>
      <c r="B1435" s="1235"/>
      <c r="C1435" s="1246"/>
      <c r="D1435" s="1274"/>
      <c r="E1435" s="1248"/>
      <c r="F1435" s="1248"/>
      <c r="G1435" s="1271"/>
      <c r="H1435" s="1250"/>
      <c r="I1435" s="1251"/>
      <c r="J1435" s="1271"/>
      <c r="K1435" s="1271"/>
      <c r="L1435" s="1254"/>
      <c r="M1435" s="1244"/>
      <c r="N1435" s="1273"/>
      <c r="O1435" s="1244"/>
      <c r="P1435" s="1244"/>
      <c r="Q1435" s="1244"/>
      <c r="R1435" s="1244"/>
      <c r="S1435" s="1265"/>
      <c r="T1435" s="1244"/>
      <c r="U1435" s="1244"/>
    </row>
    <row r="1436">
      <c r="A1436" s="1235"/>
      <c r="B1436" s="1235"/>
      <c r="C1436" s="1246"/>
      <c r="D1436" s="1274"/>
      <c r="E1436" s="1248"/>
      <c r="F1436" s="1248"/>
      <c r="G1436" s="1271"/>
      <c r="H1436" s="1250"/>
      <c r="I1436" s="1251"/>
      <c r="J1436" s="1271"/>
      <c r="K1436" s="1271"/>
      <c r="L1436" s="1254"/>
      <c r="M1436" s="1244"/>
      <c r="N1436" s="1273"/>
      <c r="O1436" s="1244"/>
      <c r="P1436" s="1244"/>
      <c r="Q1436" s="1244"/>
      <c r="R1436" s="1244"/>
      <c r="S1436" s="1265"/>
      <c r="T1436" s="1244"/>
      <c r="U1436" s="1244"/>
    </row>
    <row r="1437">
      <c r="A1437" s="1235"/>
      <c r="B1437" s="1235"/>
      <c r="C1437" s="1246"/>
      <c r="D1437" s="1274"/>
      <c r="E1437" s="1248"/>
      <c r="F1437" s="1248"/>
      <c r="G1437" s="1271"/>
      <c r="H1437" s="1250"/>
      <c r="I1437" s="1251"/>
      <c r="J1437" s="1271"/>
      <c r="K1437" s="1271"/>
      <c r="L1437" s="1254"/>
      <c r="M1437" s="1244"/>
      <c r="N1437" s="1273"/>
      <c r="O1437" s="1244"/>
      <c r="P1437" s="1244"/>
      <c r="Q1437" s="1244"/>
      <c r="R1437" s="1244"/>
      <c r="S1437" s="1265"/>
      <c r="T1437" s="1244"/>
      <c r="U1437" s="1244"/>
    </row>
    <row r="1438">
      <c r="A1438" s="1235"/>
      <c r="B1438" s="1235"/>
      <c r="C1438" s="1246"/>
      <c r="D1438" s="1274"/>
      <c r="E1438" s="1248"/>
      <c r="F1438" s="1248"/>
      <c r="G1438" s="1271"/>
      <c r="H1438" s="1250"/>
      <c r="I1438" s="1251"/>
      <c r="J1438" s="1271"/>
      <c r="K1438" s="1271"/>
      <c r="L1438" s="1254"/>
      <c r="M1438" s="1244"/>
      <c r="N1438" s="1273"/>
      <c r="O1438" s="1244"/>
      <c r="P1438" s="1244"/>
      <c r="Q1438" s="1244"/>
      <c r="R1438" s="1244"/>
      <c r="S1438" s="1265"/>
      <c r="T1438" s="1244"/>
      <c r="U1438" s="1244"/>
    </row>
    <row r="1439">
      <c r="A1439" s="1235"/>
      <c r="B1439" s="1235"/>
      <c r="C1439" s="1246"/>
      <c r="D1439" s="1274"/>
      <c r="E1439" s="1248"/>
      <c r="F1439" s="1248"/>
      <c r="G1439" s="1271"/>
      <c r="H1439" s="1250"/>
      <c r="I1439" s="1251"/>
      <c r="J1439" s="1271"/>
      <c r="K1439" s="1271"/>
      <c r="L1439" s="1254"/>
      <c r="M1439" s="1244"/>
      <c r="N1439" s="1273"/>
      <c r="O1439" s="1244"/>
      <c r="P1439" s="1244"/>
      <c r="Q1439" s="1244"/>
      <c r="R1439" s="1244"/>
      <c r="S1439" s="1265"/>
      <c r="T1439" s="1244"/>
      <c r="U1439" s="1244"/>
    </row>
    <row r="1440">
      <c r="A1440" s="1235"/>
      <c r="B1440" s="1235"/>
      <c r="C1440" s="1246"/>
      <c r="D1440" s="1274"/>
      <c r="E1440" s="1248"/>
      <c r="F1440" s="1248"/>
      <c r="G1440" s="1271"/>
      <c r="H1440" s="1250"/>
      <c r="I1440" s="1251"/>
      <c r="J1440" s="1271"/>
      <c r="K1440" s="1271"/>
      <c r="L1440" s="1254"/>
      <c r="M1440" s="1244"/>
      <c r="N1440" s="1273"/>
      <c r="O1440" s="1244"/>
      <c r="P1440" s="1244"/>
      <c r="Q1440" s="1244"/>
      <c r="R1440" s="1244"/>
      <c r="S1440" s="1265"/>
      <c r="T1440" s="1244"/>
      <c r="U1440" s="1244"/>
    </row>
    <row r="1441">
      <c r="A1441" s="1235"/>
      <c r="B1441" s="1235"/>
      <c r="C1441" s="1246"/>
      <c r="D1441" s="1274"/>
      <c r="E1441" s="1248"/>
      <c r="F1441" s="1248"/>
      <c r="G1441" s="1271"/>
      <c r="H1441" s="1250"/>
      <c r="I1441" s="1251"/>
      <c r="J1441" s="1271"/>
      <c r="K1441" s="1271"/>
      <c r="L1441" s="1254"/>
      <c r="M1441" s="1244"/>
      <c r="N1441" s="1273"/>
      <c r="O1441" s="1244"/>
      <c r="P1441" s="1244"/>
      <c r="Q1441" s="1244"/>
      <c r="R1441" s="1244"/>
      <c r="S1441" s="1265"/>
      <c r="T1441" s="1244"/>
      <c r="U1441" s="1244"/>
    </row>
    <row r="1442">
      <c r="A1442" s="1235"/>
      <c r="B1442" s="1235"/>
      <c r="C1442" s="1246"/>
      <c r="D1442" s="1274"/>
      <c r="E1442" s="1248"/>
      <c r="F1442" s="1248"/>
      <c r="G1442" s="1271"/>
      <c r="H1442" s="1250"/>
      <c r="I1442" s="1251"/>
      <c r="J1442" s="1271"/>
      <c r="K1442" s="1271"/>
      <c r="L1442" s="1254"/>
      <c r="M1442" s="1244"/>
      <c r="N1442" s="1273"/>
      <c r="O1442" s="1244"/>
      <c r="P1442" s="1244"/>
      <c r="Q1442" s="1244"/>
      <c r="R1442" s="1244"/>
      <c r="S1442" s="1265"/>
      <c r="T1442" s="1244"/>
      <c r="U1442" s="1244"/>
    </row>
    <row r="1443">
      <c r="A1443" s="1235"/>
      <c r="B1443" s="1235"/>
      <c r="C1443" s="1246"/>
      <c r="D1443" s="1274"/>
      <c r="E1443" s="1248"/>
      <c r="F1443" s="1248"/>
      <c r="G1443" s="1271"/>
      <c r="H1443" s="1250"/>
      <c r="I1443" s="1251"/>
      <c r="J1443" s="1271"/>
      <c r="K1443" s="1271"/>
      <c r="L1443" s="1254"/>
      <c r="M1443" s="1244"/>
      <c r="N1443" s="1273"/>
      <c r="O1443" s="1244"/>
      <c r="P1443" s="1244"/>
      <c r="Q1443" s="1244"/>
      <c r="R1443" s="1244"/>
      <c r="S1443" s="1265"/>
      <c r="T1443" s="1244"/>
      <c r="U1443" s="1244"/>
    </row>
    <row r="1444">
      <c r="A1444" s="1235"/>
      <c r="B1444" s="1235"/>
      <c r="C1444" s="1246"/>
      <c r="D1444" s="1274"/>
      <c r="E1444" s="1248"/>
      <c r="F1444" s="1248"/>
      <c r="G1444" s="1271"/>
      <c r="H1444" s="1250"/>
      <c r="I1444" s="1251"/>
      <c r="J1444" s="1271"/>
      <c r="K1444" s="1271"/>
      <c r="L1444" s="1254"/>
      <c r="M1444" s="1244"/>
      <c r="N1444" s="1273"/>
      <c r="O1444" s="1244"/>
      <c r="P1444" s="1244"/>
      <c r="Q1444" s="1244"/>
      <c r="R1444" s="1244"/>
      <c r="S1444" s="1265"/>
      <c r="T1444" s="1244"/>
      <c r="U1444" s="1244"/>
    </row>
    <row r="1445">
      <c r="A1445" s="1235"/>
      <c r="B1445" s="1235"/>
      <c r="C1445" s="1246"/>
      <c r="D1445" s="1274"/>
      <c r="E1445" s="1248"/>
      <c r="F1445" s="1248"/>
      <c r="G1445" s="1271"/>
      <c r="H1445" s="1250"/>
      <c r="I1445" s="1251"/>
      <c r="J1445" s="1271"/>
      <c r="K1445" s="1271"/>
      <c r="L1445" s="1254"/>
      <c r="M1445" s="1244"/>
      <c r="N1445" s="1273"/>
      <c r="O1445" s="1244"/>
      <c r="P1445" s="1244"/>
      <c r="Q1445" s="1244"/>
      <c r="R1445" s="1244"/>
      <c r="S1445" s="1265"/>
      <c r="T1445" s="1244"/>
      <c r="U1445" s="1244"/>
    </row>
    <row r="1446">
      <c r="A1446" s="1235"/>
      <c r="B1446" s="1235"/>
      <c r="C1446" s="1246"/>
      <c r="D1446" s="1274"/>
      <c r="E1446" s="1248"/>
      <c r="F1446" s="1248"/>
      <c r="G1446" s="1271"/>
      <c r="H1446" s="1250"/>
      <c r="I1446" s="1251"/>
      <c r="J1446" s="1271"/>
      <c r="K1446" s="1271"/>
      <c r="L1446" s="1254"/>
      <c r="M1446" s="1244"/>
      <c r="N1446" s="1273"/>
      <c r="O1446" s="1244"/>
      <c r="P1446" s="1244"/>
      <c r="Q1446" s="1244"/>
      <c r="R1446" s="1244"/>
      <c r="S1446" s="1265"/>
      <c r="T1446" s="1244"/>
      <c r="U1446" s="1244"/>
    </row>
    <row r="1447">
      <c r="A1447" s="1235"/>
      <c r="B1447" s="1235"/>
      <c r="C1447" s="1246"/>
      <c r="D1447" s="1274"/>
      <c r="E1447" s="1248"/>
      <c r="F1447" s="1248"/>
      <c r="G1447" s="1271"/>
      <c r="H1447" s="1250"/>
      <c r="I1447" s="1251"/>
      <c r="J1447" s="1271"/>
      <c r="K1447" s="1271"/>
      <c r="L1447" s="1254"/>
      <c r="M1447" s="1244"/>
      <c r="N1447" s="1273"/>
      <c r="O1447" s="1244"/>
      <c r="P1447" s="1244"/>
      <c r="Q1447" s="1244"/>
      <c r="R1447" s="1244"/>
      <c r="S1447" s="1265"/>
      <c r="T1447" s="1244"/>
      <c r="U1447" s="1244"/>
    </row>
    <row r="1448">
      <c r="A1448" s="1235"/>
      <c r="B1448" s="1235"/>
      <c r="C1448" s="1246"/>
      <c r="D1448" s="1274"/>
      <c r="E1448" s="1248"/>
      <c r="F1448" s="1248"/>
      <c r="G1448" s="1271"/>
      <c r="H1448" s="1250"/>
      <c r="I1448" s="1251"/>
      <c r="J1448" s="1271"/>
      <c r="K1448" s="1271"/>
      <c r="L1448" s="1254"/>
      <c r="M1448" s="1244"/>
      <c r="N1448" s="1273"/>
      <c r="O1448" s="1244"/>
      <c r="P1448" s="1244"/>
      <c r="Q1448" s="1244"/>
      <c r="R1448" s="1244"/>
      <c r="S1448" s="1265"/>
      <c r="T1448" s="1244"/>
      <c r="U1448" s="1244"/>
    </row>
    <row r="1449">
      <c r="A1449" s="1235"/>
      <c r="B1449" s="1235"/>
      <c r="C1449" s="1246"/>
      <c r="D1449" s="1274"/>
      <c r="E1449" s="1248"/>
      <c r="F1449" s="1248"/>
      <c r="G1449" s="1271"/>
      <c r="H1449" s="1250"/>
      <c r="I1449" s="1251"/>
      <c r="J1449" s="1271"/>
      <c r="K1449" s="1271"/>
      <c r="L1449" s="1254"/>
      <c r="M1449" s="1244"/>
      <c r="N1449" s="1273"/>
      <c r="O1449" s="1244"/>
      <c r="P1449" s="1244"/>
      <c r="Q1449" s="1244"/>
      <c r="R1449" s="1244"/>
      <c r="S1449" s="1265"/>
      <c r="T1449" s="1244"/>
      <c r="U1449" s="1244"/>
    </row>
    <row r="1450">
      <c r="A1450" s="1235"/>
      <c r="B1450" s="1235"/>
      <c r="C1450" s="1246"/>
      <c r="D1450" s="1274"/>
      <c r="E1450" s="1248"/>
      <c r="F1450" s="1248"/>
      <c r="G1450" s="1271"/>
      <c r="H1450" s="1250"/>
      <c r="I1450" s="1251"/>
      <c r="J1450" s="1271"/>
      <c r="K1450" s="1271"/>
      <c r="L1450" s="1254"/>
      <c r="M1450" s="1244"/>
      <c r="N1450" s="1273"/>
      <c r="O1450" s="1244"/>
      <c r="P1450" s="1244"/>
      <c r="Q1450" s="1244"/>
      <c r="R1450" s="1244"/>
      <c r="S1450" s="1265"/>
      <c r="T1450" s="1244"/>
      <c r="U1450" s="1244"/>
    </row>
    <row r="1451">
      <c r="A1451" s="1235"/>
      <c r="B1451" s="1235"/>
      <c r="C1451" s="1246"/>
      <c r="D1451" s="1274"/>
      <c r="E1451" s="1248"/>
      <c r="F1451" s="1248"/>
      <c r="G1451" s="1271"/>
      <c r="H1451" s="1250"/>
      <c r="I1451" s="1251"/>
      <c r="J1451" s="1271"/>
      <c r="K1451" s="1271"/>
      <c r="L1451" s="1254"/>
      <c r="M1451" s="1244"/>
      <c r="N1451" s="1273"/>
      <c r="O1451" s="1244"/>
      <c r="P1451" s="1244"/>
      <c r="Q1451" s="1244"/>
      <c r="R1451" s="1244"/>
      <c r="S1451" s="1265"/>
      <c r="T1451" s="1244"/>
      <c r="U1451" s="1244"/>
    </row>
    <row r="1452">
      <c r="A1452" s="1235"/>
      <c r="B1452" s="1235"/>
      <c r="C1452" s="1246"/>
      <c r="D1452" s="1274"/>
      <c r="E1452" s="1248"/>
      <c r="F1452" s="1248"/>
      <c r="G1452" s="1271"/>
      <c r="H1452" s="1250"/>
      <c r="I1452" s="1251"/>
      <c r="J1452" s="1271"/>
      <c r="K1452" s="1271"/>
      <c r="L1452" s="1254"/>
      <c r="M1452" s="1244"/>
      <c r="N1452" s="1273"/>
      <c r="O1452" s="1244"/>
      <c r="P1452" s="1244"/>
      <c r="Q1452" s="1244"/>
      <c r="R1452" s="1244"/>
      <c r="S1452" s="1265"/>
      <c r="T1452" s="1244"/>
      <c r="U1452" s="1244"/>
    </row>
    <row r="1453">
      <c r="A1453" s="1235"/>
      <c r="B1453" s="1235"/>
      <c r="C1453" s="1246"/>
      <c r="D1453" s="1274"/>
      <c r="E1453" s="1248"/>
      <c r="F1453" s="1248"/>
      <c r="G1453" s="1271"/>
      <c r="H1453" s="1250"/>
      <c r="I1453" s="1251"/>
      <c r="J1453" s="1271"/>
      <c r="K1453" s="1271"/>
      <c r="L1453" s="1254"/>
      <c r="M1453" s="1244"/>
      <c r="N1453" s="1273"/>
      <c r="O1453" s="1244"/>
      <c r="P1453" s="1244"/>
      <c r="Q1453" s="1244"/>
      <c r="R1453" s="1244"/>
      <c r="S1453" s="1265"/>
      <c r="T1453" s="1244"/>
      <c r="U1453" s="1244"/>
    </row>
    <row r="1454">
      <c r="A1454" s="1235"/>
      <c r="B1454" s="1235"/>
      <c r="C1454" s="1246"/>
      <c r="D1454" s="1274"/>
      <c r="E1454" s="1248"/>
      <c r="F1454" s="1248"/>
      <c r="G1454" s="1271"/>
      <c r="H1454" s="1250"/>
      <c r="I1454" s="1251"/>
      <c r="J1454" s="1271"/>
      <c r="K1454" s="1271"/>
      <c r="L1454" s="1254"/>
      <c r="M1454" s="1244"/>
      <c r="N1454" s="1273"/>
      <c r="O1454" s="1244"/>
      <c r="P1454" s="1244"/>
      <c r="Q1454" s="1244"/>
      <c r="R1454" s="1244"/>
      <c r="S1454" s="1265"/>
      <c r="T1454" s="1244"/>
      <c r="U1454" s="1244"/>
    </row>
    <row r="1455">
      <c r="A1455" s="1235"/>
      <c r="B1455" s="1235"/>
      <c r="C1455" s="1246"/>
      <c r="D1455" s="1274"/>
      <c r="E1455" s="1248"/>
      <c r="F1455" s="1248"/>
      <c r="G1455" s="1271"/>
      <c r="H1455" s="1250"/>
      <c r="I1455" s="1251"/>
      <c r="J1455" s="1271"/>
      <c r="K1455" s="1271"/>
      <c r="L1455" s="1254"/>
      <c r="M1455" s="1244"/>
      <c r="N1455" s="1273"/>
      <c r="O1455" s="1244"/>
      <c r="P1455" s="1244"/>
      <c r="Q1455" s="1244"/>
      <c r="R1455" s="1244"/>
      <c r="S1455" s="1265"/>
      <c r="T1455" s="1244"/>
      <c r="U1455" s="1244"/>
    </row>
    <row r="1456">
      <c r="A1456" s="1235"/>
      <c r="B1456" s="1235"/>
      <c r="C1456" s="1246"/>
      <c r="D1456" s="1274"/>
      <c r="E1456" s="1248"/>
      <c r="F1456" s="1248"/>
      <c r="G1456" s="1271"/>
      <c r="H1456" s="1250"/>
      <c r="I1456" s="1251"/>
      <c r="J1456" s="1271"/>
      <c r="K1456" s="1271"/>
      <c r="L1456" s="1254"/>
      <c r="M1456" s="1244"/>
      <c r="N1456" s="1273"/>
      <c r="O1456" s="1244"/>
      <c r="P1456" s="1244"/>
      <c r="Q1456" s="1244"/>
      <c r="R1456" s="1244"/>
      <c r="S1456" s="1265"/>
      <c r="T1456" s="1244"/>
      <c r="U1456" s="1244"/>
    </row>
    <row r="1457">
      <c r="A1457" s="1235"/>
      <c r="B1457" s="1235"/>
      <c r="C1457" s="1246"/>
      <c r="D1457" s="1274"/>
      <c r="E1457" s="1248"/>
      <c r="F1457" s="1248"/>
      <c r="G1457" s="1271"/>
      <c r="H1457" s="1250"/>
      <c r="I1457" s="1251"/>
      <c r="J1457" s="1271"/>
      <c r="K1457" s="1271"/>
      <c r="L1457" s="1254"/>
      <c r="M1457" s="1244"/>
      <c r="N1457" s="1273"/>
      <c r="O1457" s="1244"/>
      <c r="P1457" s="1244"/>
      <c r="Q1457" s="1244"/>
      <c r="R1457" s="1244"/>
      <c r="S1457" s="1265"/>
      <c r="T1457" s="1244"/>
      <c r="U1457" s="1244"/>
    </row>
    <row r="1458">
      <c r="A1458" s="1235"/>
      <c r="B1458" s="1235"/>
      <c r="C1458" s="1246"/>
      <c r="D1458" s="1274"/>
      <c r="E1458" s="1248"/>
      <c r="F1458" s="1248"/>
      <c r="G1458" s="1271"/>
      <c r="H1458" s="1250"/>
      <c r="I1458" s="1251"/>
      <c r="J1458" s="1271"/>
      <c r="K1458" s="1271"/>
      <c r="L1458" s="1254"/>
      <c r="M1458" s="1244"/>
      <c r="N1458" s="1273"/>
      <c r="O1458" s="1244"/>
      <c r="P1458" s="1244"/>
      <c r="Q1458" s="1244"/>
      <c r="R1458" s="1244"/>
      <c r="S1458" s="1265"/>
      <c r="T1458" s="1244"/>
      <c r="U1458" s="1244"/>
    </row>
    <row r="1459">
      <c r="A1459" s="1235"/>
      <c r="B1459" s="1235"/>
      <c r="C1459" s="1246"/>
      <c r="D1459" s="1274"/>
      <c r="E1459" s="1248"/>
      <c r="F1459" s="1248"/>
      <c r="G1459" s="1271"/>
      <c r="H1459" s="1250"/>
      <c r="I1459" s="1251"/>
      <c r="J1459" s="1271"/>
      <c r="K1459" s="1271"/>
      <c r="L1459" s="1254"/>
      <c r="M1459" s="1244"/>
      <c r="N1459" s="1273"/>
      <c r="O1459" s="1244"/>
      <c r="P1459" s="1244"/>
      <c r="Q1459" s="1244"/>
      <c r="R1459" s="1244"/>
      <c r="S1459" s="1265"/>
      <c r="T1459" s="1244"/>
      <c r="U1459" s="1244"/>
    </row>
    <row r="1460">
      <c r="A1460" s="1235"/>
      <c r="B1460" s="1235"/>
      <c r="C1460" s="1246"/>
      <c r="D1460" s="1274"/>
      <c r="E1460" s="1248"/>
      <c r="F1460" s="1248"/>
      <c r="G1460" s="1271"/>
      <c r="H1460" s="1250"/>
      <c r="I1460" s="1251"/>
      <c r="J1460" s="1271"/>
      <c r="K1460" s="1271"/>
      <c r="L1460" s="1254"/>
      <c r="M1460" s="1244"/>
      <c r="N1460" s="1273"/>
      <c r="O1460" s="1244"/>
      <c r="P1460" s="1244"/>
      <c r="Q1460" s="1244"/>
      <c r="R1460" s="1244"/>
      <c r="S1460" s="1265"/>
      <c r="T1460" s="1244"/>
      <c r="U1460" s="1244"/>
    </row>
    <row r="1461">
      <c r="A1461" s="1235"/>
      <c r="B1461" s="1235"/>
      <c r="C1461" s="1246"/>
      <c r="D1461" s="1274"/>
      <c r="E1461" s="1248"/>
      <c r="F1461" s="1248"/>
      <c r="G1461" s="1271"/>
      <c r="H1461" s="1250"/>
      <c r="I1461" s="1251"/>
      <c r="J1461" s="1271"/>
      <c r="K1461" s="1271"/>
      <c r="L1461" s="1254"/>
      <c r="M1461" s="1244"/>
      <c r="N1461" s="1273"/>
      <c r="O1461" s="1244"/>
      <c r="P1461" s="1244"/>
      <c r="Q1461" s="1244"/>
      <c r="R1461" s="1244"/>
      <c r="S1461" s="1265"/>
      <c r="T1461" s="1244"/>
      <c r="U1461" s="1244"/>
    </row>
    <row r="1462">
      <c r="A1462" s="1235"/>
      <c r="B1462" s="1235"/>
      <c r="C1462" s="1246"/>
      <c r="D1462" s="1274"/>
      <c r="E1462" s="1248"/>
      <c r="F1462" s="1248"/>
      <c r="G1462" s="1271"/>
      <c r="H1462" s="1250"/>
      <c r="I1462" s="1251"/>
      <c r="J1462" s="1271"/>
      <c r="K1462" s="1271"/>
      <c r="L1462" s="1254"/>
      <c r="M1462" s="1244"/>
      <c r="N1462" s="1273"/>
      <c r="O1462" s="1244"/>
      <c r="P1462" s="1244"/>
      <c r="Q1462" s="1244"/>
      <c r="R1462" s="1244"/>
      <c r="S1462" s="1265"/>
      <c r="T1462" s="1244"/>
      <c r="U1462" s="1244"/>
    </row>
    <row r="1463">
      <c r="A1463" s="1235"/>
      <c r="B1463" s="1235"/>
      <c r="C1463" s="1246"/>
      <c r="D1463" s="1274"/>
      <c r="E1463" s="1248"/>
      <c r="F1463" s="1248"/>
      <c r="G1463" s="1271"/>
      <c r="H1463" s="1250"/>
      <c r="I1463" s="1251"/>
      <c r="J1463" s="1271"/>
      <c r="K1463" s="1271"/>
      <c r="L1463" s="1254"/>
      <c r="M1463" s="1244"/>
      <c r="N1463" s="1273"/>
      <c r="O1463" s="1244"/>
      <c r="P1463" s="1244"/>
      <c r="Q1463" s="1244"/>
      <c r="R1463" s="1244"/>
      <c r="S1463" s="1265"/>
      <c r="T1463" s="1244"/>
      <c r="U1463" s="1244"/>
    </row>
    <row r="1464">
      <c r="A1464" s="1235"/>
      <c r="B1464" s="1235"/>
      <c r="C1464" s="1246"/>
      <c r="D1464" s="1274"/>
      <c r="E1464" s="1248"/>
      <c r="F1464" s="1248"/>
      <c r="G1464" s="1271"/>
      <c r="H1464" s="1250"/>
      <c r="I1464" s="1251"/>
      <c r="J1464" s="1271"/>
      <c r="K1464" s="1271"/>
      <c r="L1464" s="1254"/>
      <c r="M1464" s="1244"/>
      <c r="N1464" s="1273"/>
      <c r="O1464" s="1244"/>
      <c r="P1464" s="1244"/>
      <c r="Q1464" s="1244"/>
      <c r="R1464" s="1244"/>
      <c r="S1464" s="1265"/>
      <c r="T1464" s="1244"/>
      <c r="U1464" s="1244"/>
    </row>
    <row r="1465">
      <c r="A1465" s="1235"/>
      <c r="B1465" s="1235"/>
      <c r="C1465" s="1246"/>
      <c r="D1465" s="1274"/>
      <c r="E1465" s="1248"/>
      <c r="F1465" s="1248"/>
      <c r="G1465" s="1271"/>
      <c r="H1465" s="1250"/>
      <c r="I1465" s="1251"/>
      <c r="J1465" s="1271"/>
      <c r="K1465" s="1271"/>
      <c r="L1465" s="1254"/>
      <c r="M1465" s="1244"/>
      <c r="N1465" s="1273"/>
      <c r="O1465" s="1244"/>
      <c r="P1465" s="1244"/>
      <c r="Q1465" s="1244"/>
      <c r="R1465" s="1244"/>
      <c r="S1465" s="1265"/>
      <c r="T1465" s="1244"/>
      <c r="U1465" s="1244"/>
    </row>
    <row r="1466">
      <c r="A1466" s="1235"/>
      <c r="B1466" s="1235"/>
      <c r="C1466" s="1246"/>
      <c r="D1466" s="1274"/>
      <c r="E1466" s="1248"/>
      <c r="F1466" s="1248"/>
      <c r="G1466" s="1271"/>
      <c r="H1466" s="1250"/>
      <c r="I1466" s="1251"/>
      <c r="J1466" s="1271"/>
      <c r="K1466" s="1271"/>
      <c r="L1466" s="1254"/>
      <c r="M1466" s="1244"/>
      <c r="N1466" s="1273"/>
      <c r="O1466" s="1244"/>
      <c r="P1466" s="1244"/>
      <c r="Q1466" s="1244"/>
      <c r="R1466" s="1244"/>
      <c r="S1466" s="1265"/>
      <c r="T1466" s="1244"/>
      <c r="U1466" s="1244"/>
    </row>
    <row r="1467">
      <c r="A1467" s="1235"/>
      <c r="B1467" s="1235"/>
      <c r="C1467" s="1246"/>
      <c r="D1467" s="1274"/>
      <c r="E1467" s="1248"/>
      <c r="F1467" s="1248"/>
      <c r="G1467" s="1271"/>
      <c r="H1467" s="1250"/>
      <c r="I1467" s="1251"/>
      <c r="J1467" s="1271"/>
      <c r="K1467" s="1271"/>
      <c r="L1467" s="1254"/>
      <c r="M1467" s="1244"/>
      <c r="N1467" s="1273"/>
      <c r="O1467" s="1244"/>
      <c r="P1467" s="1244"/>
      <c r="Q1467" s="1244"/>
      <c r="R1467" s="1244"/>
      <c r="S1467" s="1265"/>
      <c r="T1467" s="1244"/>
      <c r="U1467" s="1244"/>
    </row>
    <row r="1468">
      <c r="A1468" s="1235"/>
      <c r="B1468" s="1235"/>
      <c r="C1468" s="1246"/>
      <c r="D1468" s="1274"/>
      <c r="E1468" s="1248"/>
      <c r="F1468" s="1248"/>
      <c r="G1468" s="1271"/>
      <c r="H1468" s="1250"/>
      <c r="I1468" s="1251"/>
      <c r="J1468" s="1271"/>
      <c r="K1468" s="1271"/>
      <c r="L1468" s="1254"/>
      <c r="M1468" s="1244"/>
      <c r="N1468" s="1273"/>
      <c r="O1468" s="1244"/>
      <c r="P1468" s="1244"/>
      <c r="Q1468" s="1244"/>
      <c r="R1468" s="1244"/>
      <c r="S1468" s="1265"/>
      <c r="T1468" s="1244"/>
      <c r="U1468" s="1244"/>
    </row>
    <row r="1469">
      <c r="A1469" s="1235"/>
      <c r="B1469" s="1235"/>
      <c r="C1469" s="1246"/>
      <c r="D1469" s="1274"/>
      <c r="E1469" s="1248"/>
      <c r="F1469" s="1248"/>
      <c r="G1469" s="1271"/>
      <c r="H1469" s="1250"/>
      <c r="I1469" s="1251"/>
      <c r="J1469" s="1271"/>
      <c r="K1469" s="1271"/>
      <c r="L1469" s="1254"/>
      <c r="M1469" s="1244"/>
      <c r="N1469" s="1273"/>
      <c r="O1469" s="1244"/>
      <c r="P1469" s="1244"/>
      <c r="Q1469" s="1244"/>
      <c r="R1469" s="1244"/>
      <c r="S1469" s="1265"/>
      <c r="T1469" s="1244"/>
      <c r="U1469" s="1244"/>
    </row>
    <row r="1470">
      <c r="A1470" s="1235"/>
      <c r="B1470" s="1235"/>
      <c r="C1470" s="1246"/>
      <c r="D1470" s="1274"/>
      <c r="E1470" s="1248"/>
      <c r="F1470" s="1248"/>
      <c r="G1470" s="1271"/>
      <c r="H1470" s="1250"/>
      <c r="I1470" s="1251"/>
      <c r="J1470" s="1271"/>
      <c r="K1470" s="1271"/>
      <c r="L1470" s="1254"/>
      <c r="M1470" s="1244"/>
      <c r="N1470" s="1273"/>
      <c r="O1470" s="1244"/>
      <c r="P1470" s="1244"/>
      <c r="Q1470" s="1244"/>
      <c r="R1470" s="1244"/>
      <c r="S1470" s="1265"/>
      <c r="T1470" s="1244"/>
      <c r="U1470" s="1244"/>
    </row>
    <row r="1471">
      <c r="A1471" s="1235"/>
      <c r="B1471" s="1235"/>
      <c r="C1471" s="1246"/>
      <c r="D1471" s="1274"/>
      <c r="E1471" s="1248"/>
      <c r="F1471" s="1248"/>
      <c r="G1471" s="1271"/>
      <c r="H1471" s="1250"/>
      <c r="I1471" s="1251"/>
      <c r="J1471" s="1271"/>
      <c r="K1471" s="1271"/>
      <c r="L1471" s="1254"/>
      <c r="M1471" s="1244"/>
      <c r="N1471" s="1273"/>
      <c r="O1471" s="1244"/>
      <c r="P1471" s="1244"/>
      <c r="Q1471" s="1244"/>
      <c r="R1471" s="1244"/>
      <c r="S1471" s="1265"/>
      <c r="T1471" s="1244"/>
      <c r="U1471" s="1244"/>
    </row>
    <row r="1472">
      <c r="A1472" s="1235"/>
      <c r="B1472" s="1235"/>
      <c r="C1472" s="1246"/>
      <c r="D1472" s="1274"/>
      <c r="E1472" s="1248"/>
      <c r="F1472" s="1248"/>
      <c r="G1472" s="1271"/>
      <c r="H1472" s="1250"/>
      <c r="I1472" s="1251"/>
      <c r="J1472" s="1271"/>
      <c r="K1472" s="1271"/>
      <c r="L1472" s="1254"/>
      <c r="M1472" s="1244"/>
      <c r="N1472" s="1273"/>
      <c r="O1472" s="1244"/>
      <c r="P1472" s="1244"/>
      <c r="Q1472" s="1244"/>
      <c r="R1472" s="1244"/>
      <c r="S1472" s="1265"/>
      <c r="T1472" s="1244"/>
      <c r="U1472" s="1244"/>
    </row>
    <row r="1473">
      <c r="A1473" s="1235"/>
      <c r="B1473" s="1235"/>
      <c r="C1473" s="1246"/>
      <c r="D1473" s="1274"/>
      <c r="E1473" s="1248"/>
      <c r="F1473" s="1248"/>
      <c r="G1473" s="1271"/>
      <c r="H1473" s="1250"/>
      <c r="I1473" s="1251"/>
      <c r="J1473" s="1271"/>
      <c r="K1473" s="1271"/>
      <c r="L1473" s="1254"/>
      <c r="M1473" s="1244"/>
      <c r="N1473" s="1273"/>
      <c r="O1473" s="1244"/>
      <c r="P1473" s="1244"/>
      <c r="Q1473" s="1244"/>
      <c r="R1473" s="1244"/>
      <c r="S1473" s="1265"/>
      <c r="T1473" s="1244"/>
      <c r="U1473" s="1244"/>
    </row>
    <row r="1474">
      <c r="A1474" s="1235"/>
      <c r="B1474" s="1235"/>
      <c r="C1474" s="1246"/>
      <c r="D1474" s="1274"/>
      <c r="E1474" s="1248"/>
      <c r="F1474" s="1248"/>
      <c r="G1474" s="1271"/>
      <c r="H1474" s="1250"/>
      <c r="I1474" s="1251"/>
      <c r="J1474" s="1271"/>
      <c r="K1474" s="1271"/>
      <c r="L1474" s="1254"/>
      <c r="M1474" s="1244"/>
      <c r="N1474" s="1273"/>
      <c r="O1474" s="1244"/>
      <c r="P1474" s="1244"/>
      <c r="Q1474" s="1244"/>
      <c r="R1474" s="1244"/>
      <c r="S1474" s="1265"/>
      <c r="T1474" s="1244"/>
      <c r="U1474" s="1244"/>
    </row>
    <row r="1475">
      <c r="A1475" s="1235"/>
      <c r="B1475" s="1235"/>
      <c r="C1475" s="1246"/>
      <c r="D1475" s="1274"/>
      <c r="E1475" s="1248"/>
      <c r="F1475" s="1248"/>
      <c r="G1475" s="1271"/>
      <c r="H1475" s="1250"/>
      <c r="I1475" s="1251"/>
      <c r="J1475" s="1271"/>
      <c r="K1475" s="1271"/>
      <c r="L1475" s="1254"/>
      <c r="M1475" s="1244"/>
      <c r="N1475" s="1273"/>
      <c r="O1475" s="1244"/>
      <c r="P1475" s="1244"/>
      <c r="Q1475" s="1244"/>
      <c r="R1475" s="1244"/>
      <c r="S1475" s="1265"/>
      <c r="T1475" s="1244"/>
      <c r="U1475" s="1244"/>
    </row>
    <row r="1476">
      <c r="A1476" s="1235"/>
      <c r="B1476" s="1235"/>
      <c r="C1476" s="1246"/>
      <c r="D1476" s="1274"/>
      <c r="E1476" s="1248"/>
      <c r="F1476" s="1248"/>
      <c r="G1476" s="1271"/>
      <c r="H1476" s="1250"/>
      <c r="I1476" s="1251"/>
      <c r="J1476" s="1271"/>
      <c r="K1476" s="1271"/>
      <c r="L1476" s="1254"/>
      <c r="M1476" s="1244"/>
      <c r="N1476" s="1273"/>
      <c r="O1476" s="1244"/>
      <c r="P1476" s="1244"/>
      <c r="Q1476" s="1244"/>
      <c r="R1476" s="1244"/>
      <c r="S1476" s="1265"/>
      <c r="T1476" s="1244"/>
      <c r="U1476" s="1244"/>
    </row>
    <row r="1477">
      <c r="A1477" s="1235"/>
      <c r="B1477" s="1235"/>
      <c r="C1477" s="1246"/>
      <c r="D1477" s="1274"/>
      <c r="E1477" s="1248"/>
      <c r="F1477" s="1248"/>
      <c r="G1477" s="1271"/>
      <c r="H1477" s="1250"/>
      <c r="I1477" s="1251"/>
      <c r="J1477" s="1271"/>
      <c r="K1477" s="1271"/>
      <c r="L1477" s="1254"/>
      <c r="M1477" s="1244"/>
      <c r="N1477" s="1273"/>
      <c r="O1477" s="1244"/>
      <c r="P1477" s="1244"/>
      <c r="Q1477" s="1244"/>
      <c r="R1477" s="1244"/>
      <c r="S1477" s="1265"/>
      <c r="T1477" s="1244"/>
      <c r="U1477" s="1244"/>
    </row>
    <row r="1478">
      <c r="A1478" s="1235"/>
      <c r="B1478" s="1235"/>
      <c r="C1478" s="1246"/>
      <c r="D1478" s="1274"/>
      <c r="E1478" s="1248"/>
      <c r="F1478" s="1248"/>
      <c r="G1478" s="1271"/>
      <c r="H1478" s="1250"/>
      <c r="I1478" s="1251"/>
      <c r="J1478" s="1271"/>
      <c r="K1478" s="1271"/>
      <c r="L1478" s="1254"/>
      <c r="M1478" s="1244"/>
      <c r="N1478" s="1273"/>
      <c r="O1478" s="1244"/>
      <c r="P1478" s="1244"/>
      <c r="Q1478" s="1244"/>
      <c r="R1478" s="1244"/>
      <c r="S1478" s="1265"/>
      <c r="T1478" s="1244"/>
      <c r="U1478" s="1244"/>
    </row>
    <row r="1479">
      <c r="A1479" s="1235"/>
      <c r="B1479" s="1235"/>
      <c r="C1479" s="1246"/>
      <c r="D1479" s="1274"/>
      <c r="E1479" s="1248"/>
      <c r="F1479" s="1248"/>
      <c r="G1479" s="1271"/>
      <c r="H1479" s="1250"/>
      <c r="I1479" s="1251"/>
      <c r="J1479" s="1271"/>
      <c r="K1479" s="1271"/>
      <c r="L1479" s="1254"/>
      <c r="M1479" s="1244"/>
      <c r="N1479" s="1273"/>
      <c r="O1479" s="1244"/>
      <c r="P1479" s="1244"/>
      <c r="Q1479" s="1244"/>
      <c r="R1479" s="1244"/>
      <c r="S1479" s="1265"/>
      <c r="T1479" s="1244"/>
      <c r="U1479" s="1244"/>
    </row>
    <row r="1480">
      <c r="A1480" s="1235"/>
      <c r="B1480" s="1235"/>
      <c r="C1480" s="1246"/>
      <c r="D1480" s="1274"/>
      <c r="E1480" s="1248"/>
      <c r="F1480" s="1248"/>
      <c r="G1480" s="1271"/>
      <c r="H1480" s="1250"/>
      <c r="I1480" s="1251"/>
      <c r="J1480" s="1271"/>
      <c r="K1480" s="1271"/>
      <c r="L1480" s="1254"/>
      <c r="M1480" s="1244"/>
      <c r="N1480" s="1273"/>
      <c r="O1480" s="1244"/>
      <c r="P1480" s="1244"/>
      <c r="Q1480" s="1244"/>
      <c r="R1480" s="1244"/>
      <c r="S1480" s="1265"/>
      <c r="T1480" s="1244"/>
      <c r="U1480" s="1244"/>
    </row>
    <row r="1481">
      <c r="A1481" s="1235"/>
      <c r="B1481" s="1235"/>
      <c r="C1481" s="1246"/>
      <c r="D1481" s="1274"/>
      <c r="E1481" s="1248"/>
      <c r="F1481" s="1248"/>
      <c r="G1481" s="1271"/>
      <c r="H1481" s="1250"/>
      <c r="I1481" s="1251"/>
      <c r="J1481" s="1271"/>
      <c r="K1481" s="1271"/>
      <c r="L1481" s="1254"/>
      <c r="M1481" s="1244"/>
      <c r="N1481" s="1273"/>
      <c r="O1481" s="1244"/>
      <c r="P1481" s="1244"/>
      <c r="Q1481" s="1244"/>
      <c r="R1481" s="1244"/>
      <c r="S1481" s="1265"/>
      <c r="T1481" s="1244"/>
      <c r="U1481" s="1244"/>
    </row>
    <row r="1482">
      <c r="A1482" s="1235"/>
      <c r="B1482" s="1235"/>
      <c r="C1482" s="1246"/>
      <c r="D1482" s="1274"/>
      <c r="E1482" s="1248"/>
      <c r="F1482" s="1248"/>
      <c r="G1482" s="1271"/>
      <c r="H1482" s="1250"/>
      <c r="I1482" s="1251"/>
      <c r="J1482" s="1271"/>
      <c r="K1482" s="1271"/>
      <c r="L1482" s="1254"/>
      <c r="M1482" s="1244"/>
      <c r="N1482" s="1273"/>
      <c r="O1482" s="1244"/>
      <c r="P1482" s="1244"/>
      <c r="Q1482" s="1244"/>
      <c r="R1482" s="1244"/>
      <c r="S1482" s="1265"/>
      <c r="T1482" s="1244"/>
      <c r="U1482" s="1244"/>
    </row>
    <row r="1483">
      <c r="A1483" s="1235"/>
      <c r="B1483" s="1235"/>
      <c r="C1483" s="1246"/>
      <c r="D1483" s="1274"/>
      <c r="E1483" s="1248"/>
      <c r="F1483" s="1248"/>
      <c r="G1483" s="1271"/>
      <c r="H1483" s="1250"/>
      <c r="I1483" s="1251"/>
      <c r="J1483" s="1271"/>
      <c r="K1483" s="1271"/>
      <c r="L1483" s="1254"/>
      <c r="M1483" s="1244"/>
      <c r="N1483" s="1273"/>
      <c r="O1483" s="1244"/>
      <c r="P1483" s="1244"/>
      <c r="Q1483" s="1244"/>
      <c r="R1483" s="1244"/>
      <c r="S1483" s="1265"/>
      <c r="T1483" s="1244"/>
      <c r="U1483" s="1244"/>
    </row>
    <row r="1484">
      <c r="A1484" s="1235"/>
      <c r="B1484" s="1235"/>
      <c r="C1484" s="1246"/>
      <c r="D1484" s="1274"/>
      <c r="E1484" s="1248"/>
      <c r="F1484" s="1248"/>
      <c r="G1484" s="1271"/>
      <c r="H1484" s="1250"/>
      <c r="I1484" s="1251"/>
      <c r="J1484" s="1271"/>
      <c r="K1484" s="1271"/>
      <c r="L1484" s="1254"/>
      <c r="M1484" s="1244"/>
      <c r="N1484" s="1273"/>
      <c r="O1484" s="1244"/>
      <c r="P1484" s="1244"/>
      <c r="Q1484" s="1244"/>
      <c r="R1484" s="1244"/>
      <c r="S1484" s="1265"/>
      <c r="T1484" s="1244"/>
      <c r="U1484" s="1244"/>
    </row>
    <row r="1485">
      <c r="A1485" s="1235"/>
      <c r="B1485" s="1235"/>
      <c r="C1485" s="1246"/>
      <c r="D1485" s="1274"/>
      <c r="E1485" s="1248"/>
      <c r="F1485" s="1248"/>
      <c r="G1485" s="1271"/>
      <c r="H1485" s="1250"/>
      <c r="I1485" s="1251"/>
      <c r="J1485" s="1271"/>
      <c r="K1485" s="1271"/>
      <c r="L1485" s="1254"/>
      <c r="M1485" s="1244"/>
      <c r="N1485" s="1273"/>
      <c r="O1485" s="1244"/>
      <c r="P1485" s="1244"/>
      <c r="Q1485" s="1244"/>
      <c r="R1485" s="1244"/>
      <c r="S1485" s="1265"/>
      <c r="T1485" s="1244"/>
      <c r="U1485" s="1244"/>
    </row>
    <row r="1486">
      <c r="A1486" s="1235"/>
      <c r="B1486" s="1235"/>
      <c r="C1486" s="1246"/>
      <c r="D1486" s="1274"/>
      <c r="E1486" s="1248"/>
      <c r="F1486" s="1248"/>
      <c r="G1486" s="1271"/>
      <c r="H1486" s="1250"/>
      <c r="I1486" s="1251"/>
      <c r="J1486" s="1271"/>
      <c r="K1486" s="1271"/>
      <c r="L1486" s="1254"/>
      <c r="M1486" s="1244"/>
      <c r="N1486" s="1273"/>
      <c r="O1486" s="1244"/>
      <c r="P1486" s="1244"/>
      <c r="Q1486" s="1244"/>
      <c r="R1486" s="1244"/>
      <c r="S1486" s="1265"/>
      <c r="T1486" s="1244"/>
      <c r="U1486" s="1244"/>
    </row>
    <row r="1487">
      <c r="A1487" s="1235"/>
      <c r="B1487" s="1235"/>
      <c r="C1487" s="1246"/>
      <c r="D1487" s="1274"/>
      <c r="E1487" s="1248"/>
      <c r="F1487" s="1248"/>
      <c r="G1487" s="1271"/>
      <c r="H1487" s="1250"/>
      <c r="I1487" s="1251"/>
      <c r="J1487" s="1271"/>
      <c r="K1487" s="1271"/>
      <c r="L1487" s="1254"/>
      <c r="M1487" s="1244"/>
      <c r="N1487" s="1273"/>
      <c r="O1487" s="1244"/>
      <c r="P1487" s="1244"/>
      <c r="Q1487" s="1244"/>
      <c r="R1487" s="1244"/>
      <c r="S1487" s="1265"/>
      <c r="T1487" s="1244"/>
      <c r="U1487" s="1244"/>
    </row>
    <row r="1488">
      <c r="A1488" s="1235"/>
      <c r="B1488" s="1235"/>
      <c r="C1488" s="1246"/>
      <c r="D1488" s="1274"/>
      <c r="E1488" s="1248"/>
      <c r="F1488" s="1248"/>
      <c r="G1488" s="1271"/>
      <c r="H1488" s="1250"/>
      <c r="I1488" s="1251"/>
      <c r="J1488" s="1271"/>
      <c r="K1488" s="1271"/>
      <c r="L1488" s="1254"/>
      <c r="M1488" s="1244"/>
      <c r="N1488" s="1273"/>
      <c r="O1488" s="1244"/>
      <c r="P1488" s="1244"/>
      <c r="Q1488" s="1244"/>
      <c r="R1488" s="1244"/>
      <c r="S1488" s="1265"/>
      <c r="T1488" s="1244"/>
      <c r="U1488" s="1244"/>
    </row>
    <row r="1489">
      <c r="A1489" s="1235"/>
      <c r="B1489" s="1235"/>
      <c r="C1489" s="1246"/>
      <c r="D1489" s="1274"/>
      <c r="E1489" s="1248"/>
      <c r="F1489" s="1248"/>
      <c r="G1489" s="1271"/>
      <c r="H1489" s="1250"/>
      <c r="I1489" s="1251"/>
      <c r="J1489" s="1271"/>
      <c r="K1489" s="1271"/>
      <c r="L1489" s="1254"/>
      <c r="M1489" s="1244"/>
      <c r="N1489" s="1273"/>
      <c r="O1489" s="1244"/>
      <c r="P1489" s="1244"/>
      <c r="Q1489" s="1244"/>
      <c r="R1489" s="1244"/>
      <c r="S1489" s="1265"/>
      <c r="T1489" s="1244"/>
      <c r="U1489" s="1244"/>
    </row>
    <row r="1490">
      <c r="A1490" s="1235"/>
      <c r="B1490" s="1235"/>
      <c r="C1490" s="1246"/>
      <c r="D1490" s="1274"/>
      <c r="E1490" s="1248"/>
      <c r="F1490" s="1248"/>
      <c r="G1490" s="1271"/>
      <c r="H1490" s="1250"/>
      <c r="I1490" s="1251"/>
      <c r="J1490" s="1271"/>
      <c r="K1490" s="1271"/>
      <c r="L1490" s="1254"/>
      <c r="M1490" s="1244"/>
      <c r="N1490" s="1273"/>
      <c r="O1490" s="1244"/>
      <c r="P1490" s="1244"/>
      <c r="Q1490" s="1244"/>
      <c r="R1490" s="1244"/>
      <c r="S1490" s="1265"/>
      <c r="T1490" s="1244"/>
      <c r="U1490" s="1244"/>
    </row>
    <row r="1491">
      <c r="A1491" s="1235"/>
      <c r="B1491" s="1235"/>
      <c r="C1491" s="1246"/>
      <c r="D1491" s="1274"/>
      <c r="E1491" s="1248"/>
      <c r="F1491" s="1248"/>
      <c r="G1491" s="1271"/>
      <c r="H1491" s="1250"/>
      <c r="I1491" s="1251"/>
      <c r="J1491" s="1271"/>
      <c r="K1491" s="1271"/>
      <c r="L1491" s="1254"/>
      <c r="M1491" s="1244"/>
      <c r="N1491" s="1273"/>
      <c r="O1491" s="1244"/>
      <c r="P1491" s="1244"/>
      <c r="Q1491" s="1244"/>
      <c r="R1491" s="1244"/>
      <c r="S1491" s="1265"/>
      <c r="T1491" s="1244"/>
      <c r="U1491" s="1244"/>
    </row>
    <row r="1492">
      <c r="A1492" s="1235"/>
      <c r="B1492" s="1235"/>
      <c r="C1492" s="1246"/>
      <c r="D1492" s="1274"/>
      <c r="E1492" s="1248"/>
      <c r="F1492" s="1248"/>
      <c r="G1492" s="1271"/>
      <c r="H1492" s="1250"/>
      <c r="I1492" s="1251"/>
      <c r="J1492" s="1271"/>
      <c r="K1492" s="1271"/>
      <c r="L1492" s="1254"/>
      <c r="M1492" s="1244"/>
      <c r="N1492" s="1273"/>
      <c r="O1492" s="1244"/>
      <c r="P1492" s="1244"/>
      <c r="Q1492" s="1244"/>
      <c r="R1492" s="1244"/>
      <c r="S1492" s="1265"/>
      <c r="T1492" s="1244"/>
      <c r="U1492" s="1244"/>
    </row>
    <row r="1493">
      <c r="A1493" s="1235"/>
      <c r="B1493" s="1235"/>
      <c r="C1493" s="1246"/>
      <c r="D1493" s="1274"/>
      <c r="E1493" s="1248"/>
      <c r="F1493" s="1248"/>
      <c r="G1493" s="1271"/>
      <c r="H1493" s="1250"/>
      <c r="I1493" s="1251"/>
      <c r="J1493" s="1271"/>
      <c r="K1493" s="1271"/>
      <c r="L1493" s="1254"/>
      <c r="M1493" s="1244"/>
      <c r="N1493" s="1273"/>
      <c r="O1493" s="1244"/>
      <c r="P1493" s="1244"/>
      <c r="Q1493" s="1244"/>
      <c r="R1493" s="1244"/>
      <c r="S1493" s="1265"/>
      <c r="T1493" s="1244"/>
      <c r="U1493" s="1244"/>
    </row>
    <row r="1494">
      <c r="A1494" s="1235"/>
      <c r="B1494" s="1235"/>
      <c r="C1494" s="1246"/>
      <c r="D1494" s="1274"/>
      <c r="E1494" s="1248"/>
      <c r="F1494" s="1248"/>
      <c r="G1494" s="1271"/>
      <c r="H1494" s="1250"/>
      <c r="I1494" s="1251"/>
      <c r="J1494" s="1271"/>
      <c r="K1494" s="1271"/>
      <c r="L1494" s="1254"/>
      <c r="M1494" s="1244"/>
      <c r="N1494" s="1273"/>
      <c r="O1494" s="1244"/>
      <c r="P1494" s="1244"/>
      <c r="Q1494" s="1244"/>
      <c r="R1494" s="1244"/>
      <c r="S1494" s="1265"/>
      <c r="T1494" s="1244"/>
      <c r="U1494" s="1244"/>
    </row>
    <row r="1495">
      <c r="A1495" s="1235"/>
      <c r="B1495" s="1235"/>
      <c r="C1495" s="1246"/>
      <c r="D1495" s="1274"/>
      <c r="E1495" s="1248"/>
      <c r="F1495" s="1248"/>
      <c r="G1495" s="1271"/>
      <c r="H1495" s="1250"/>
      <c r="I1495" s="1251"/>
      <c r="J1495" s="1271"/>
      <c r="K1495" s="1271"/>
      <c r="L1495" s="1254"/>
      <c r="M1495" s="1244"/>
      <c r="N1495" s="1273"/>
      <c r="O1495" s="1244"/>
      <c r="P1495" s="1244"/>
      <c r="Q1495" s="1244"/>
      <c r="R1495" s="1244"/>
      <c r="S1495" s="1265"/>
      <c r="T1495" s="1244"/>
      <c r="U1495" s="1244"/>
    </row>
    <row r="1496">
      <c r="A1496" s="1235"/>
      <c r="B1496" s="1235"/>
      <c r="C1496" s="1246"/>
      <c r="D1496" s="1274"/>
      <c r="E1496" s="1248"/>
      <c r="F1496" s="1248"/>
      <c r="G1496" s="1271"/>
      <c r="H1496" s="1250"/>
      <c r="I1496" s="1251"/>
      <c r="J1496" s="1271"/>
      <c r="K1496" s="1271"/>
      <c r="L1496" s="1254"/>
      <c r="M1496" s="1244"/>
      <c r="N1496" s="1273"/>
      <c r="O1496" s="1244"/>
      <c r="P1496" s="1244"/>
      <c r="Q1496" s="1244"/>
      <c r="R1496" s="1244"/>
      <c r="S1496" s="1265"/>
      <c r="T1496" s="1244"/>
      <c r="U1496" s="1244"/>
    </row>
    <row r="1497">
      <c r="A1497" s="1235"/>
      <c r="B1497" s="1235"/>
      <c r="C1497" s="1246"/>
      <c r="D1497" s="1274"/>
      <c r="E1497" s="1248"/>
      <c r="F1497" s="1248"/>
      <c r="G1497" s="1271"/>
      <c r="H1497" s="1250"/>
      <c r="I1497" s="1251"/>
      <c r="J1497" s="1271"/>
      <c r="K1497" s="1271"/>
      <c r="L1497" s="1254"/>
      <c r="M1497" s="1244"/>
      <c r="N1497" s="1273"/>
      <c r="O1497" s="1244"/>
      <c r="P1497" s="1244"/>
      <c r="Q1497" s="1244"/>
      <c r="R1497" s="1244"/>
      <c r="S1497" s="1265"/>
      <c r="T1497" s="1244"/>
      <c r="U1497" s="1244"/>
    </row>
    <row r="1498">
      <c r="A1498" s="1235"/>
      <c r="B1498" s="1235"/>
      <c r="C1498" s="1246"/>
      <c r="D1498" s="1274"/>
      <c r="E1498" s="1248"/>
      <c r="F1498" s="1248"/>
      <c r="G1498" s="1271"/>
      <c r="H1498" s="1250"/>
      <c r="I1498" s="1251"/>
      <c r="J1498" s="1271"/>
      <c r="K1498" s="1271"/>
      <c r="L1498" s="1254"/>
      <c r="M1498" s="1244"/>
      <c r="N1498" s="1273"/>
      <c r="O1498" s="1244"/>
      <c r="P1498" s="1244"/>
      <c r="Q1498" s="1244"/>
      <c r="R1498" s="1244"/>
      <c r="S1498" s="1265"/>
      <c r="T1498" s="1244"/>
      <c r="U1498" s="1244"/>
    </row>
    <row r="1499">
      <c r="A1499" s="1235"/>
      <c r="B1499" s="1235"/>
      <c r="C1499" s="1246"/>
      <c r="D1499" s="1274"/>
      <c r="E1499" s="1248"/>
      <c r="F1499" s="1248"/>
      <c r="G1499" s="1271"/>
      <c r="H1499" s="1250"/>
      <c r="I1499" s="1251"/>
      <c r="J1499" s="1271"/>
      <c r="K1499" s="1271"/>
      <c r="L1499" s="1254"/>
      <c r="M1499" s="1244"/>
      <c r="N1499" s="1273"/>
      <c r="O1499" s="1244"/>
      <c r="P1499" s="1244"/>
      <c r="Q1499" s="1244"/>
      <c r="R1499" s="1244"/>
      <c r="S1499" s="1265"/>
      <c r="T1499" s="1244"/>
      <c r="U1499" s="1244"/>
    </row>
    <row r="1500">
      <c r="A1500" s="1235"/>
      <c r="B1500" s="1235"/>
      <c r="C1500" s="1246"/>
      <c r="D1500" s="1274"/>
      <c r="E1500" s="1248"/>
      <c r="F1500" s="1248"/>
      <c r="G1500" s="1271"/>
      <c r="H1500" s="1250"/>
      <c r="I1500" s="1251"/>
      <c r="J1500" s="1271"/>
      <c r="K1500" s="1271"/>
      <c r="L1500" s="1254"/>
      <c r="M1500" s="1244"/>
      <c r="N1500" s="1273"/>
      <c r="O1500" s="1244"/>
      <c r="P1500" s="1244"/>
      <c r="Q1500" s="1244"/>
      <c r="R1500" s="1244"/>
      <c r="S1500" s="1265"/>
      <c r="T1500" s="1244"/>
      <c r="U1500" s="1244"/>
    </row>
    <row r="1501">
      <c r="A1501" s="1235"/>
      <c r="B1501" s="1235"/>
      <c r="C1501" s="1246"/>
      <c r="D1501" s="1274"/>
      <c r="E1501" s="1248"/>
      <c r="F1501" s="1248"/>
      <c r="G1501" s="1271"/>
      <c r="H1501" s="1250"/>
      <c r="I1501" s="1251"/>
      <c r="J1501" s="1271"/>
      <c r="K1501" s="1271"/>
      <c r="L1501" s="1254"/>
      <c r="M1501" s="1244"/>
      <c r="N1501" s="1273"/>
      <c r="O1501" s="1244"/>
      <c r="P1501" s="1244"/>
      <c r="Q1501" s="1244"/>
      <c r="R1501" s="1244"/>
      <c r="S1501" s="1265"/>
      <c r="T1501" s="1244"/>
      <c r="U1501" s="1244"/>
    </row>
    <row r="1502">
      <c r="A1502" s="1235"/>
      <c r="B1502" s="1235"/>
      <c r="C1502" s="1246"/>
      <c r="D1502" s="1274"/>
      <c r="E1502" s="1248"/>
      <c r="F1502" s="1248"/>
      <c r="G1502" s="1271"/>
      <c r="H1502" s="1250"/>
      <c r="I1502" s="1251"/>
      <c r="J1502" s="1271"/>
      <c r="K1502" s="1271"/>
      <c r="L1502" s="1254"/>
      <c r="M1502" s="1244"/>
      <c r="N1502" s="1273"/>
      <c r="O1502" s="1244"/>
      <c r="P1502" s="1244"/>
      <c r="Q1502" s="1244"/>
      <c r="R1502" s="1244"/>
      <c r="S1502" s="1265"/>
      <c r="T1502" s="1244"/>
      <c r="U1502" s="1244"/>
    </row>
    <row r="1503">
      <c r="A1503" s="1235"/>
      <c r="B1503" s="1235"/>
      <c r="C1503" s="1246"/>
      <c r="D1503" s="1274"/>
      <c r="E1503" s="1248"/>
      <c r="F1503" s="1248"/>
      <c r="G1503" s="1271"/>
      <c r="H1503" s="1250"/>
      <c r="I1503" s="1251"/>
      <c r="J1503" s="1271"/>
      <c r="K1503" s="1271"/>
      <c r="L1503" s="1254"/>
      <c r="M1503" s="1244"/>
      <c r="N1503" s="1273"/>
      <c r="O1503" s="1244"/>
      <c r="P1503" s="1244"/>
      <c r="Q1503" s="1244"/>
      <c r="R1503" s="1244"/>
      <c r="S1503" s="1265"/>
      <c r="T1503" s="1244"/>
      <c r="U1503" s="1244"/>
    </row>
    <row r="1504">
      <c r="A1504" s="1235"/>
      <c r="B1504" s="1235"/>
      <c r="C1504" s="1246"/>
      <c r="D1504" s="1274"/>
      <c r="E1504" s="1248"/>
      <c r="F1504" s="1248"/>
      <c r="G1504" s="1271"/>
      <c r="H1504" s="1250"/>
      <c r="I1504" s="1251"/>
      <c r="J1504" s="1271"/>
      <c r="K1504" s="1271"/>
      <c r="L1504" s="1254"/>
      <c r="M1504" s="1244"/>
      <c r="N1504" s="1273"/>
      <c r="O1504" s="1244"/>
      <c r="P1504" s="1244"/>
      <c r="Q1504" s="1244"/>
      <c r="R1504" s="1244"/>
      <c r="S1504" s="1265"/>
      <c r="T1504" s="1244"/>
      <c r="U1504" s="1244"/>
    </row>
    <row r="1505">
      <c r="A1505" s="1235"/>
      <c r="B1505" s="1235"/>
      <c r="C1505" s="1246"/>
      <c r="D1505" s="1274"/>
      <c r="E1505" s="1248"/>
      <c r="F1505" s="1248"/>
      <c r="G1505" s="1271"/>
      <c r="H1505" s="1250"/>
      <c r="I1505" s="1251"/>
      <c r="J1505" s="1271"/>
      <c r="K1505" s="1271"/>
      <c r="L1505" s="1254"/>
      <c r="M1505" s="1244"/>
      <c r="N1505" s="1273"/>
      <c r="O1505" s="1244"/>
      <c r="P1505" s="1244"/>
      <c r="Q1505" s="1244"/>
      <c r="R1505" s="1244"/>
      <c r="S1505" s="1265"/>
      <c r="T1505" s="1244"/>
      <c r="U1505" s="1244"/>
    </row>
    <row r="1506">
      <c r="A1506" s="1235"/>
      <c r="B1506" s="1235"/>
      <c r="C1506" s="1246"/>
      <c r="D1506" s="1274"/>
      <c r="E1506" s="1248"/>
      <c r="F1506" s="1248"/>
      <c r="G1506" s="1271"/>
      <c r="H1506" s="1250"/>
      <c r="I1506" s="1251"/>
      <c r="J1506" s="1271"/>
      <c r="K1506" s="1271"/>
      <c r="L1506" s="1254"/>
      <c r="M1506" s="1244"/>
      <c r="N1506" s="1273"/>
      <c r="O1506" s="1244"/>
      <c r="P1506" s="1244"/>
      <c r="Q1506" s="1244"/>
      <c r="R1506" s="1244"/>
      <c r="S1506" s="1265"/>
      <c r="T1506" s="1244"/>
      <c r="U1506" s="1244"/>
    </row>
    <row r="1507">
      <c r="A1507" s="1235"/>
      <c r="B1507" s="1235"/>
      <c r="C1507" s="1246"/>
      <c r="D1507" s="1274"/>
      <c r="E1507" s="1248"/>
      <c r="F1507" s="1248"/>
      <c r="G1507" s="1271"/>
      <c r="H1507" s="1250"/>
      <c r="I1507" s="1251"/>
      <c r="J1507" s="1271"/>
      <c r="K1507" s="1271"/>
      <c r="L1507" s="1254"/>
      <c r="M1507" s="1244"/>
      <c r="N1507" s="1273"/>
      <c r="O1507" s="1244"/>
      <c r="P1507" s="1244"/>
      <c r="Q1507" s="1244"/>
      <c r="R1507" s="1244"/>
      <c r="S1507" s="1265"/>
      <c r="T1507" s="1244"/>
      <c r="U1507" s="1244"/>
    </row>
    <row r="1508">
      <c r="A1508" s="1235"/>
      <c r="B1508" s="1235"/>
      <c r="C1508" s="1246"/>
      <c r="D1508" s="1274"/>
      <c r="E1508" s="1248"/>
      <c r="F1508" s="1248"/>
      <c r="G1508" s="1271"/>
      <c r="H1508" s="1250"/>
      <c r="I1508" s="1251"/>
      <c r="J1508" s="1271"/>
      <c r="K1508" s="1271"/>
      <c r="L1508" s="1254"/>
      <c r="M1508" s="1244"/>
      <c r="N1508" s="1273"/>
      <c r="O1508" s="1244"/>
      <c r="P1508" s="1244"/>
      <c r="Q1508" s="1244"/>
      <c r="R1508" s="1244"/>
      <c r="S1508" s="1265"/>
      <c r="T1508" s="1244"/>
      <c r="U1508" s="1244"/>
    </row>
    <row r="1509">
      <c r="A1509" s="1235"/>
      <c r="B1509" s="1235"/>
      <c r="C1509" s="1246"/>
      <c r="D1509" s="1274"/>
      <c r="E1509" s="1248"/>
      <c r="F1509" s="1248"/>
      <c r="G1509" s="1271"/>
      <c r="H1509" s="1250"/>
      <c r="I1509" s="1251"/>
      <c r="J1509" s="1271"/>
      <c r="K1509" s="1271"/>
      <c r="L1509" s="1254"/>
      <c r="M1509" s="1244"/>
      <c r="N1509" s="1273"/>
      <c r="O1509" s="1244"/>
      <c r="P1509" s="1244"/>
      <c r="Q1509" s="1244"/>
      <c r="R1509" s="1244"/>
      <c r="S1509" s="1265"/>
      <c r="T1509" s="1244"/>
      <c r="U1509" s="1244"/>
    </row>
    <row r="1510">
      <c r="A1510" s="1235"/>
      <c r="B1510" s="1235"/>
      <c r="C1510" s="1246"/>
      <c r="D1510" s="1274"/>
      <c r="E1510" s="1248"/>
      <c r="F1510" s="1248"/>
      <c r="G1510" s="1271"/>
      <c r="H1510" s="1250"/>
      <c r="I1510" s="1251"/>
      <c r="J1510" s="1271"/>
      <c r="K1510" s="1271"/>
      <c r="L1510" s="1254"/>
      <c r="M1510" s="1244"/>
      <c r="N1510" s="1273"/>
      <c r="O1510" s="1244"/>
      <c r="P1510" s="1244"/>
      <c r="Q1510" s="1244"/>
      <c r="R1510" s="1244"/>
      <c r="S1510" s="1265"/>
      <c r="T1510" s="1244"/>
      <c r="U1510" s="1244"/>
    </row>
    <row r="1511">
      <c r="A1511" s="1235"/>
      <c r="B1511" s="1235"/>
      <c r="C1511" s="1246"/>
      <c r="D1511" s="1274"/>
      <c r="E1511" s="1248"/>
      <c r="F1511" s="1248"/>
      <c r="G1511" s="1271"/>
      <c r="H1511" s="1250"/>
      <c r="I1511" s="1251"/>
      <c r="J1511" s="1271"/>
      <c r="K1511" s="1271"/>
      <c r="L1511" s="1254"/>
      <c r="M1511" s="1244"/>
      <c r="N1511" s="1273"/>
      <c r="O1511" s="1244"/>
      <c r="P1511" s="1244"/>
      <c r="Q1511" s="1244"/>
      <c r="R1511" s="1244"/>
      <c r="S1511" s="1265"/>
      <c r="T1511" s="1244"/>
      <c r="U1511" s="1244"/>
    </row>
    <row r="1512">
      <c r="A1512" s="1235"/>
      <c r="B1512" s="1235"/>
      <c r="C1512" s="1246"/>
      <c r="D1512" s="1274"/>
      <c r="E1512" s="1248"/>
      <c r="F1512" s="1248"/>
      <c r="G1512" s="1271"/>
      <c r="H1512" s="1250"/>
      <c r="I1512" s="1251"/>
      <c r="J1512" s="1271"/>
      <c r="K1512" s="1271"/>
      <c r="L1512" s="1254"/>
      <c r="M1512" s="1244"/>
      <c r="N1512" s="1273"/>
      <c r="O1512" s="1244"/>
      <c r="P1512" s="1244"/>
      <c r="Q1512" s="1244"/>
      <c r="R1512" s="1244"/>
      <c r="S1512" s="1265"/>
      <c r="T1512" s="1244"/>
      <c r="U1512" s="1244"/>
    </row>
    <row r="1513">
      <c r="A1513" s="1235"/>
      <c r="B1513" s="1235"/>
      <c r="C1513" s="1246"/>
      <c r="D1513" s="1274"/>
      <c r="E1513" s="1248"/>
      <c r="F1513" s="1248"/>
      <c r="G1513" s="1271"/>
      <c r="H1513" s="1250"/>
      <c r="I1513" s="1251"/>
      <c r="J1513" s="1271"/>
      <c r="K1513" s="1271"/>
      <c r="L1513" s="1254"/>
      <c r="M1513" s="1244"/>
      <c r="N1513" s="1273"/>
      <c r="O1513" s="1244"/>
      <c r="P1513" s="1244"/>
      <c r="Q1513" s="1244"/>
      <c r="R1513" s="1244"/>
      <c r="S1513" s="1265"/>
      <c r="T1513" s="1244"/>
      <c r="U1513" s="1244"/>
    </row>
    <row r="1514">
      <c r="A1514" s="1235"/>
      <c r="B1514" s="1235"/>
      <c r="C1514" s="1246"/>
      <c r="D1514" s="1274"/>
      <c r="E1514" s="1248"/>
      <c r="F1514" s="1248"/>
      <c r="G1514" s="1271"/>
      <c r="H1514" s="1250"/>
      <c r="I1514" s="1251"/>
      <c r="J1514" s="1271"/>
      <c r="K1514" s="1271"/>
      <c r="L1514" s="1254"/>
      <c r="M1514" s="1244"/>
      <c r="N1514" s="1273"/>
      <c r="O1514" s="1244"/>
      <c r="P1514" s="1244"/>
      <c r="Q1514" s="1244"/>
      <c r="R1514" s="1244"/>
      <c r="S1514" s="1265"/>
      <c r="T1514" s="1244"/>
      <c r="U1514" s="1244"/>
    </row>
    <row r="1515">
      <c r="A1515" s="1235"/>
      <c r="B1515" s="1235"/>
      <c r="C1515" s="1246"/>
      <c r="D1515" s="1274"/>
      <c r="E1515" s="1248"/>
      <c r="F1515" s="1248"/>
      <c r="G1515" s="1271"/>
      <c r="H1515" s="1250"/>
      <c r="I1515" s="1251"/>
      <c r="J1515" s="1271"/>
      <c r="K1515" s="1271"/>
      <c r="L1515" s="1254"/>
      <c r="M1515" s="1244"/>
      <c r="N1515" s="1273"/>
      <c r="O1515" s="1244"/>
      <c r="P1515" s="1244"/>
      <c r="Q1515" s="1244"/>
      <c r="R1515" s="1244"/>
      <c r="S1515" s="1265"/>
      <c r="T1515" s="1244"/>
      <c r="U1515" s="1244"/>
    </row>
    <row r="1516">
      <c r="A1516" s="1235"/>
      <c r="B1516" s="1235"/>
      <c r="C1516" s="1246"/>
      <c r="D1516" s="1274"/>
      <c r="E1516" s="1248"/>
      <c r="F1516" s="1248"/>
      <c r="G1516" s="1271"/>
      <c r="H1516" s="1250"/>
      <c r="I1516" s="1251"/>
      <c r="J1516" s="1271"/>
      <c r="K1516" s="1271"/>
      <c r="L1516" s="1254"/>
      <c r="M1516" s="1244"/>
      <c r="N1516" s="1273"/>
      <c r="O1516" s="1244"/>
      <c r="P1516" s="1244"/>
      <c r="Q1516" s="1244"/>
      <c r="R1516" s="1244"/>
      <c r="S1516" s="1265"/>
      <c r="T1516" s="1244"/>
      <c r="U1516" s="1244"/>
    </row>
    <row r="1517">
      <c r="A1517" s="1235"/>
      <c r="B1517" s="1235"/>
      <c r="C1517" s="1246"/>
      <c r="D1517" s="1274"/>
      <c r="E1517" s="1248"/>
      <c r="F1517" s="1248"/>
      <c r="G1517" s="1271"/>
      <c r="H1517" s="1250"/>
      <c r="I1517" s="1251"/>
      <c r="J1517" s="1271"/>
      <c r="K1517" s="1271"/>
      <c r="L1517" s="1254"/>
      <c r="M1517" s="1244"/>
      <c r="N1517" s="1273"/>
      <c r="O1517" s="1244"/>
      <c r="P1517" s="1244"/>
      <c r="Q1517" s="1244"/>
      <c r="R1517" s="1244"/>
      <c r="S1517" s="1265"/>
      <c r="T1517" s="1244"/>
      <c r="U1517" s="1244"/>
    </row>
    <row r="1518">
      <c r="A1518" s="1235"/>
      <c r="B1518" s="1235"/>
      <c r="C1518" s="1246"/>
      <c r="D1518" s="1274"/>
      <c r="E1518" s="1248"/>
      <c r="F1518" s="1248"/>
      <c r="G1518" s="1271"/>
      <c r="H1518" s="1250"/>
      <c r="I1518" s="1251"/>
      <c r="J1518" s="1271"/>
      <c r="K1518" s="1271"/>
      <c r="L1518" s="1254"/>
      <c r="M1518" s="1244"/>
      <c r="N1518" s="1273"/>
      <c r="O1518" s="1244"/>
      <c r="P1518" s="1244"/>
      <c r="Q1518" s="1244"/>
      <c r="R1518" s="1244"/>
      <c r="S1518" s="1265"/>
      <c r="T1518" s="1244"/>
      <c r="U1518" s="1244"/>
    </row>
    <row r="1519">
      <c r="A1519" s="1235"/>
      <c r="B1519" s="1235"/>
      <c r="C1519" s="1246"/>
      <c r="D1519" s="1274"/>
      <c r="E1519" s="1248"/>
      <c r="F1519" s="1248"/>
      <c r="G1519" s="1271"/>
      <c r="H1519" s="1250"/>
      <c r="I1519" s="1251"/>
      <c r="J1519" s="1271"/>
      <c r="K1519" s="1271"/>
      <c r="L1519" s="1254"/>
      <c r="M1519" s="1244"/>
      <c r="N1519" s="1273"/>
      <c r="O1519" s="1244"/>
      <c r="P1519" s="1244"/>
      <c r="Q1519" s="1244"/>
      <c r="R1519" s="1244"/>
      <c r="S1519" s="1265"/>
      <c r="T1519" s="1244"/>
      <c r="U1519" s="1244"/>
    </row>
    <row r="1520">
      <c r="A1520" s="1235"/>
      <c r="B1520" s="1235"/>
      <c r="C1520" s="1246"/>
      <c r="D1520" s="1274"/>
      <c r="E1520" s="1248"/>
      <c r="F1520" s="1248"/>
      <c r="G1520" s="1271"/>
      <c r="H1520" s="1250"/>
      <c r="I1520" s="1251"/>
      <c r="J1520" s="1271"/>
      <c r="K1520" s="1271"/>
      <c r="L1520" s="1254"/>
      <c r="M1520" s="1244"/>
      <c r="N1520" s="1273"/>
      <c r="O1520" s="1244"/>
      <c r="P1520" s="1244"/>
      <c r="Q1520" s="1244"/>
      <c r="R1520" s="1244"/>
      <c r="S1520" s="1265"/>
      <c r="T1520" s="1244"/>
      <c r="U1520" s="1244"/>
    </row>
    <row r="1521">
      <c r="A1521" s="1235"/>
      <c r="B1521" s="1235"/>
      <c r="C1521" s="1246"/>
      <c r="D1521" s="1274"/>
      <c r="E1521" s="1248"/>
      <c r="F1521" s="1248"/>
      <c r="G1521" s="1271"/>
      <c r="H1521" s="1250"/>
      <c r="I1521" s="1251"/>
      <c r="J1521" s="1271"/>
      <c r="K1521" s="1271"/>
      <c r="L1521" s="1254"/>
      <c r="M1521" s="1244"/>
      <c r="N1521" s="1273"/>
      <c r="O1521" s="1244"/>
      <c r="P1521" s="1244"/>
      <c r="Q1521" s="1244"/>
      <c r="R1521" s="1244"/>
      <c r="S1521" s="1265"/>
      <c r="T1521" s="1244"/>
      <c r="U1521" s="1244"/>
    </row>
    <row r="1522">
      <c r="A1522" s="1235"/>
      <c r="B1522" s="1235"/>
      <c r="C1522" s="1246"/>
      <c r="D1522" s="1274"/>
      <c r="E1522" s="1248"/>
      <c r="F1522" s="1248"/>
      <c r="G1522" s="1271"/>
      <c r="H1522" s="1250"/>
      <c r="I1522" s="1251"/>
      <c r="J1522" s="1271"/>
      <c r="K1522" s="1271"/>
      <c r="L1522" s="1254"/>
      <c r="M1522" s="1244"/>
      <c r="N1522" s="1273"/>
      <c r="O1522" s="1244"/>
      <c r="P1522" s="1244"/>
      <c r="Q1522" s="1244"/>
      <c r="R1522" s="1244"/>
      <c r="S1522" s="1265"/>
      <c r="T1522" s="1244"/>
      <c r="U1522" s="1244"/>
    </row>
    <row r="1523">
      <c r="A1523" s="1235"/>
      <c r="B1523" s="1235"/>
      <c r="C1523" s="1246"/>
      <c r="D1523" s="1274"/>
      <c r="E1523" s="1248"/>
      <c r="F1523" s="1248"/>
      <c r="G1523" s="1271"/>
      <c r="H1523" s="1250"/>
      <c r="I1523" s="1251"/>
      <c r="J1523" s="1271"/>
      <c r="K1523" s="1271"/>
      <c r="L1523" s="1254"/>
      <c r="M1523" s="1244"/>
      <c r="N1523" s="1273"/>
      <c r="O1523" s="1244"/>
      <c r="P1523" s="1244"/>
      <c r="Q1523" s="1244"/>
      <c r="R1523" s="1244"/>
      <c r="S1523" s="1265"/>
      <c r="T1523" s="1244"/>
      <c r="U1523" s="1244"/>
    </row>
    <row r="1524">
      <c r="A1524" s="1235"/>
      <c r="B1524" s="1235"/>
      <c r="C1524" s="1246"/>
      <c r="D1524" s="1274"/>
      <c r="E1524" s="1248"/>
      <c r="F1524" s="1248"/>
      <c r="G1524" s="1271"/>
      <c r="H1524" s="1250"/>
      <c r="I1524" s="1251"/>
      <c r="J1524" s="1271"/>
      <c r="K1524" s="1271"/>
      <c r="L1524" s="1254"/>
      <c r="M1524" s="1244"/>
      <c r="N1524" s="1273"/>
      <c r="O1524" s="1244"/>
      <c r="P1524" s="1244"/>
      <c r="Q1524" s="1244"/>
      <c r="R1524" s="1244"/>
      <c r="S1524" s="1265"/>
      <c r="T1524" s="1244"/>
      <c r="U1524" s="1244"/>
    </row>
    <row r="1525">
      <c r="A1525" s="1235"/>
      <c r="B1525" s="1235"/>
      <c r="C1525" s="1246"/>
      <c r="D1525" s="1274"/>
      <c r="E1525" s="1248"/>
      <c r="F1525" s="1248"/>
      <c r="G1525" s="1271"/>
      <c r="H1525" s="1250"/>
      <c r="I1525" s="1251"/>
      <c r="J1525" s="1271"/>
      <c r="K1525" s="1271"/>
      <c r="L1525" s="1254"/>
      <c r="M1525" s="1244"/>
      <c r="N1525" s="1273"/>
      <c r="O1525" s="1244"/>
      <c r="P1525" s="1244"/>
      <c r="Q1525" s="1244"/>
      <c r="R1525" s="1244"/>
      <c r="S1525" s="1265"/>
      <c r="T1525" s="1244"/>
      <c r="U1525" s="1244"/>
    </row>
    <row r="1526">
      <c r="A1526" s="1235"/>
      <c r="B1526" s="1235"/>
      <c r="C1526" s="1246"/>
      <c r="D1526" s="1274"/>
      <c r="E1526" s="1248"/>
      <c r="F1526" s="1248"/>
      <c r="G1526" s="1271"/>
      <c r="H1526" s="1250"/>
      <c r="I1526" s="1251"/>
      <c r="J1526" s="1271"/>
      <c r="K1526" s="1271"/>
      <c r="L1526" s="1254"/>
      <c r="M1526" s="1244"/>
      <c r="N1526" s="1273"/>
      <c r="O1526" s="1244"/>
      <c r="P1526" s="1244"/>
      <c r="Q1526" s="1244"/>
      <c r="R1526" s="1244"/>
      <c r="S1526" s="1265"/>
      <c r="T1526" s="1244"/>
      <c r="U1526" s="1244"/>
    </row>
    <row r="1527">
      <c r="A1527" s="1235"/>
      <c r="B1527" s="1235"/>
      <c r="C1527" s="1246"/>
      <c r="D1527" s="1274"/>
      <c r="E1527" s="1248"/>
      <c r="F1527" s="1248"/>
      <c r="G1527" s="1271"/>
      <c r="H1527" s="1250"/>
      <c r="I1527" s="1251"/>
      <c r="J1527" s="1271"/>
      <c r="K1527" s="1271"/>
      <c r="L1527" s="1254"/>
      <c r="M1527" s="1244"/>
      <c r="N1527" s="1273"/>
      <c r="O1527" s="1244"/>
      <c r="P1527" s="1244"/>
      <c r="Q1527" s="1244"/>
      <c r="R1527" s="1244"/>
      <c r="S1527" s="1265"/>
      <c r="T1527" s="1244"/>
      <c r="U1527" s="1244"/>
    </row>
    <row r="1528">
      <c r="A1528" s="1235"/>
      <c r="B1528" s="1235"/>
      <c r="C1528" s="1246"/>
      <c r="D1528" s="1274"/>
      <c r="E1528" s="1248"/>
      <c r="F1528" s="1248"/>
      <c r="G1528" s="1271"/>
      <c r="H1528" s="1250"/>
      <c r="I1528" s="1251"/>
      <c r="J1528" s="1271"/>
      <c r="K1528" s="1271"/>
      <c r="L1528" s="1254"/>
      <c r="M1528" s="1244"/>
      <c r="N1528" s="1273"/>
      <c r="O1528" s="1244"/>
      <c r="P1528" s="1244"/>
      <c r="Q1528" s="1244"/>
      <c r="R1528" s="1244"/>
      <c r="S1528" s="1265"/>
      <c r="T1528" s="1244"/>
      <c r="U1528" s="1244"/>
    </row>
    <row r="1529">
      <c r="A1529" s="1235"/>
      <c r="B1529" s="1235"/>
      <c r="C1529" s="1246"/>
      <c r="D1529" s="1274"/>
      <c r="E1529" s="1248"/>
      <c r="F1529" s="1248"/>
      <c r="G1529" s="1271"/>
      <c r="H1529" s="1250"/>
      <c r="I1529" s="1251"/>
      <c r="J1529" s="1271"/>
      <c r="K1529" s="1271"/>
      <c r="L1529" s="1254"/>
      <c r="M1529" s="1244"/>
      <c r="N1529" s="1273"/>
      <c r="O1529" s="1244"/>
      <c r="P1529" s="1244"/>
      <c r="Q1529" s="1244"/>
      <c r="R1529" s="1244"/>
      <c r="S1529" s="1265"/>
      <c r="T1529" s="1244"/>
      <c r="U1529" s="1244"/>
    </row>
    <row r="1530">
      <c r="A1530" s="1235"/>
      <c r="B1530" s="1235"/>
      <c r="C1530" s="1246"/>
      <c r="D1530" s="1274"/>
      <c r="E1530" s="1248"/>
      <c r="F1530" s="1248"/>
      <c r="G1530" s="1271"/>
      <c r="H1530" s="1250"/>
      <c r="I1530" s="1251"/>
      <c r="J1530" s="1271"/>
      <c r="K1530" s="1271"/>
      <c r="L1530" s="1254"/>
      <c r="M1530" s="1244"/>
      <c r="N1530" s="1273"/>
      <c r="O1530" s="1244"/>
      <c r="P1530" s="1244"/>
      <c r="Q1530" s="1244"/>
      <c r="R1530" s="1244"/>
      <c r="S1530" s="1265"/>
      <c r="T1530" s="1244"/>
      <c r="U1530" s="1244"/>
    </row>
    <row r="1531">
      <c r="A1531" s="1235"/>
      <c r="B1531" s="1235"/>
      <c r="C1531" s="1246"/>
      <c r="D1531" s="1274"/>
      <c r="E1531" s="1248"/>
      <c r="F1531" s="1248"/>
      <c r="G1531" s="1271"/>
      <c r="H1531" s="1250"/>
      <c r="I1531" s="1251"/>
      <c r="J1531" s="1271"/>
      <c r="K1531" s="1271"/>
      <c r="L1531" s="1254"/>
      <c r="M1531" s="1244"/>
      <c r="N1531" s="1273"/>
      <c r="O1531" s="1244"/>
      <c r="P1531" s="1244"/>
      <c r="Q1531" s="1244"/>
      <c r="R1531" s="1244"/>
      <c r="S1531" s="1265"/>
      <c r="T1531" s="1244"/>
      <c r="U1531" s="1244"/>
    </row>
    <row r="1532">
      <c r="A1532" s="1235"/>
      <c r="B1532" s="1235"/>
      <c r="C1532" s="1246"/>
      <c r="D1532" s="1274"/>
      <c r="E1532" s="1248"/>
      <c r="F1532" s="1248"/>
      <c r="G1532" s="1271"/>
      <c r="H1532" s="1250"/>
      <c r="I1532" s="1251"/>
      <c r="J1532" s="1271"/>
      <c r="K1532" s="1271"/>
      <c r="L1532" s="1254"/>
      <c r="M1532" s="1244"/>
      <c r="N1532" s="1273"/>
      <c r="O1532" s="1244"/>
      <c r="P1532" s="1244"/>
      <c r="Q1532" s="1244"/>
      <c r="R1532" s="1244"/>
      <c r="S1532" s="1265"/>
      <c r="T1532" s="1244"/>
      <c r="U1532" s="1244"/>
    </row>
    <row r="1533">
      <c r="A1533" s="1235"/>
      <c r="B1533" s="1235"/>
      <c r="C1533" s="1246"/>
      <c r="D1533" s="1274"/>
      <c r="E1533" s="1248"/>
      <c r="F1533" s="1248"/>
      <c r="G1533" s="1271"/>
      <c r="H1533" s="1250"/>
      <c r="I1533" s="1251"/>
      <c r="J1533" s="1271"/>
      <c r="K1533" s="1271"/>
      <c r="L1533" s="1254"/>
      <c r="M1533" s="1244"/>
      <c r="N1533" s="1273"/>
      <c r="O1533" s="1244"/>
      <c r="P1533" s="1244"/>
      <c r="Q1533" s="1244"/>
      <c r="R1533" s="1244"/>
      <c r="S1533" s="1265"/>
      <c r="T1533" s="1244"/>
      <c r="U1533" s="1244"/>
    </row>
    <row r="1534">
      <c r="A1534" s="1235"/>
      <c r="B1534" s="1235"/>
      <c r="C1534" s="1246"/>
      <c r="D1534" s="1274"/>
      <c r="E1534" s="1248"/>
      <c r="F1534" s="1248"/>
      <c r="G1534" s="1271"/>
      <c r="H1534" s="1250"/>
      <c r="I1534" s="1251"/>
      <c r="J1534" s="1271"/>
      <c r="K1534" s="1271"/>
      <c r="L1534" s="1254"/>
      <c r="M1534" s="1244"/>
      <c r="N1534" s="1273"/>
      <c r="O1534" s="1244"/>
      <c r="P1534" s="1244"/>
      <c r="Q1534" s="1244"/>
      <c r="R1534" s="1244"/>
      <c r="S1534" s="1265"/>
      <c r="T1534" s="1244"/>
      <c r="U1534" s="1244"/>
    </row>
    <row r="1535">
      <c r="A1535" s="1235"/>
      <c r="B1535" s="1235"/>
      <c r="C1535" s="1246"/>
      <c r="D1535" s="1274"/>
      <c r="E1535" s="1248"/>
      <c r="F1535" s="1248"/>
      <c r="G1535" s="1271"/>
      <c r="H1535" s="1250"/>
      <c r="I1535" s="1251"/>
      <c r="J1535" s="1271"/>
      <c r="K1535" s="1271"/>
      <c r="L1535" s="1254"/>
      <c r="M1535" s="1244"/>
      <c r="N1535" s="1273"/>
      <c r="O1535" s="1244"/>
      <c r="P1535" s="1244"/>
      <c r="Q1535" s="1244"/>
      <c r="R1535" s="1244"/>
      <c r="S1535" s="1265"/>
      <c r="T1535" s="1244"/>
      <c r="U1535" s="1244"/>
    </row>
    <row r="1536">
      <c r="A1536" s="1235"/>
      <c r="B1536" s="1235"/>
      <c r="C1536" s="1246"/>
      <c r="D1536" s="1274"/>
      <c r="E1536" s="1248"/>
      <c r="F1536" s="1248"/>
      <c r="G1536" s="1271"/>
      <c r="H1536" s="1250"/>
      <c r="I1536" s="1251"/>
      <c r="J1536" s="1271"/>
      <c r="K1536" s="1271"/>
      <c r="L1536" s="1254"/>
      <c r="M1536" s="1244"/>
      <c r="N1536" s="1273"/>
      <c r="O1536" s="1244"/>
      <c r="P1536" s="1244"/>
      <c r="Q1536" s="1244"/>
      <c r="R1536" s="1244"/>
      <c r="S1536" s="1265"/>
      <c r="T1536" s="1244"/>
      <c r="U1536" s="1244"/>
    </row>
    <row r="1537">
      <c r="A1537" s="1235"/>
      <c r="B1537" s="1235"/>
      <c r="C1537" s="1246"/>
      <c r="D1537" s="1274"/>
      <c r="E1537" s="1248"/>
      <c r="F1537" s="1248"/>
      <c r="G1537" s="1271"/>
      <c r="H1537" s="1250"/>
      <c r="I1537" s="1251"/>
      <c r="J1537" s="1271"/>
      <c r="K1537" s="1271"/>
      <c r="L1537" s="1254"/>
      <c r="M1537" s="1244"/>
      <c r="N1537" s="1273"/>
      <c r="O1537" s="1244"/>
      <c r="P1537" s="1244"/>
      <c r="Q1537" s="1244"/>
      <c r="R1537" s="1244"/>
      <c r="S1537" s="1265"/>
      <c r="T1537" s="1244"/>
      <c r="U1537" s="1244"/>
    </row>
    <row r="1538">
      <c r="A1538" s="1235"/>
      <c r="B1538" s="1235"/>
      <c r="C1538" s="1246"/>
      <c r="D1538" s="1274"/>
      <c r="E1538" s="1248"/>
      <c r="F1538" s="1248"/>
      <c r="G1538" s="1271"/>
      <c r="H1538" s="1250"/>
      <c r="I1538" s="1251"/>
      <c r="J1538" s="1271"/>
      <c r="K1538" s="1271"/>
      <c r="L1538" s="1254"/>
      <c r="M1538" s="1244"/>
      <c r="N1538" s="1273"/>
      <c r="O1538" s="1244"/>
      <c r="P1538" s="1244"/>
      <c r="Q1538" s="1244"/>
      <c r="R1538" s="1244"/>
      <c r="S1538" s="1265"/>
      <c r="T1538" s="1244"/>
      <c r="U1538" s="1244"/>
    </row>
    <row r="1539">
      <c r="A1539" s="1235"/>
      <c r="B1539" s="1235"/>
      <c r="C1539" s="1246"/>
      <c r="D1539" s="1274"/>
      <c r="E1539" s="1248"/>
      <c r="F1539" s="1248"/>
      <c r="G1539" s="1271"/>
      <c r="H1539" s="1250"/>
      <c r="I1539" s="1251"/>
      <c r="J1539" s="1271"/>
      <c r="K1539" s="1271"/>
      <c r="L1539" s="1254"/>
      <c r="M1539" s="1244"/>
      <c r="N1539" s="1273"/>
      <c r="O1539" s="1244"/>
      <c r="P1539" s="1244"/>
      <c r="Q1539" s="1244"/>
      <c r="R1539" s="1244"/>
      <c r="S1539" s="1265"/>
      <c r="T1539" s="1244"/>
      <c r="U1539" s="1244"/>
    </row>
    <row r="1540">
      <c r="A1540" s="1235"/>
      <c r="B1540" s="1235"/>
      <c r="C1540" s="1246"/>
      <c r="D1540" s="1274"/>
      <c r="E1540" s="1248"/>
      <c r="F1540" s="1248"/>
      <c r="G1540" s="1271"/>
      <c r="H1540" s="1250"/>
      <c r="I1540" s="1251"/>
      <c r="J1540" s="1271"/>
      <c r="K1540" s="1271"/>
      <c r="L1540" s="1254"/>
      <c r="M1540" s="1244"/>
      <c r="N1540" s="1273"/>
      <c r="O1540" s="1244"/>
      <c r="P1540" s="1244"/>
      <c r="Q1540" s="1244"/>
      <c r="R1540" s="1244"/>
      <c r="S1540" s="1265"/>
      <c r="T1540" s="1244"/>
      <c r="U1540" s="1244"/>
    </row>
    <row r="1541">
      <c r="A1541" s="1235"/>
      <c r="B1541" s="1235"/>
      <c r="C1541" s="1246"/>
      <c r="D1541" s="1274"/>
      <c r="E1541" s="1248"/>
      <c r="F1541" s="1248"/>
      <c r="G1541" s="1271"/>
      <c r="H1541" s="1250"/>
      <c r="I1541" s="1251"/>
      <c r="J1541" s="1271"/>
      <c r="K1541" s="1271"/>
      <c r="L1541" s="1254"/>
      <c r="M1541" s="1244"/>
      <c r="N1541" s="1273"/>
      <c r="O1541" s="1244"/>
      <c r="P1541" s="1244"/>
      <c r="Q1541" s="1244"/>
      <c r="R1541" s="1244"/>
      <c r="S1541" s="1265"/>
      <c r="T1541" s="1244"/>
      <c r="U1541" s="1244"/>
    </row>
    <row r="1542">
      <c r="A1542" s="1235"/>
      <c r="B1542" s="1235"/>
      <c r="C1542" s="1246"/>
      <c r="D1542" s="1274"/>
      <c r="E1542" s="1248"/>
      <c r="F1542" s="1248"/>
      <c r="G1542" s="1271"/>
      <c r="H1542" s="1250"/>
      <c r="I1542" s="1251"/>
      <c r="J1542" s="1271"/>
      <c r="K1542" s="1271"/>
      <c r="L1542" s="1254"/>
      <c r="M1542" s="1244"/>
      <c r="N1542" s="1273"/>
      <c r="O1542" s="1244"/>
      <c r="P1542" s="1244"/>
      <c r="Q1542" s="1244"/>
      <c r="R1542" s="1244"/>
      <c r="S1542" s="1265"/>
      <c r="T1542" s="1244"/>
      <c r="U1542" s="1244"/>
    </row>
    <row r="1543">
      <c r="A1543" s="1235"/>
      <c r="B1543" s="1235"/>
      <c r="C1543" s="1246"/>
      <c r="D1543" s="1274"/>
      <c r="E1543" s="1248"/>
      <c r="F1543" s="1248"/>
      <c r="G1543" s="1271"/>
      <c r="H1543" s="1250"/>
      <c r="I1543" s="1251"/>
      <c r="J1543" s="1271"/>
      <c r="K1543" s="1271"/>
      <c r="L1543" s="1254"/>
      <c r="M1543" s="1244"/>
      <c r="N1543" s="1273"/>
      <c r="O1543" s="1244"/>
      <c r="P1543" s="1244"/>
      <c r="Q1543" s="1244"/>
      <c r="R1543" s="1244"/>
      <c r="S1543" s="1265"/>
      <c r="T1543" s="1244"/>
      <c r="U1543" s="1244"/>
    </row>
    <row r="1544">
      <c r="A1544" s="1235"/>
      <c r="B1544" s="1235"/>
      <c r="C1544" s="1246"/>
      <c r="D1544" s="1274"/>
      <c r="E1544" s="1248"/>
      <c r="F1544" s="1248"/>
      <c r="G1544" s="1271"/>
      <c r="H1544" s="1250"/>
      <c r="I1544" s="1251"/>
      <c r="J1544" s="1271"/>
      <c r="K1544" s="1271"/>
      <c r="L1544" s="1254"/>
      <c r="M1544" s="1244"/>
      <c r="N1544" s="1273"/>
      <c r="O1544" s="1244"/>
      <c r="P1544" s="1244"/>
      <c r="Q1544" s="1244"/>
      <c r="R1544" s="1244"/>
      <c r="S1544" s="1265"/>
      <c r="T1544" s="1244"/>
      <c r="U1544" s="1244"/>
    </row>
    <row r="1545">
      <c r="A1545" s="1235"/>
      <c r="B1545" s="1235"/>
      <c r="C1545" s="1246"/>
      <c r="D1545" s="1274"/>
      <c r="E1545" s="1248"/>
      <c r="F1545" s="1248"/>
      <c r="G1545" s="1271"/>
      <c r="H1545" s="1250"/>
      <c r="I1545" s="1251"/>
      <c r="J1545" s="1271"/>
      <c r="K1545" s="1271"/>
      <c r="L1545" s="1254"/>
      <c r="M1545" s="1244"/>
      <c r="N1545" s="1273"/>
      <c r="O1545" s="1244"/>
      <c r="P1545" s="1244"/>
      <c r="Q1545" s="1244"/>
      <c r="R1545" s="1244"/>
      <c r="S1545" s="1265"/>
      <c r="T1545" s="1244"/>
      <c r="U1545" s="1244"/>
    </row>
    <row r="1546">
      <c r="A1546" s="1235"/>
      <c r="B1546" s="1235"/>
      <c r="C1546" s="1246"/>
      <c r="D1546" s="1274"/>
      <c r="E1546" s="1248"/>
      <c r="F1546" s="1248"/>
      <c r="G1546" s="1271"/>
      <c r="H1546" s="1250"/>
      <c r="I1546" s="1251"/>
      <c r="J1546" s="1271"/>
      <c r="K1546" s="1271"/>
      <c r="L1546" s="1254"/>
      <c r="M1546" s="1244"/>
      <c r="N1546" s="1273"/>
      <c r="O1546" s="1244"/>
      <c r="P1546" s="1244"/>
      <c r="Q1546" s="1244"/>
      <c r="R1546" s="1244"/>
      <c r="S1546" s="1265"/>
      <c r="T1546" s="1244"/>
      <c r="U1546" s="1244"/>
    </row>
    <row r="1547">
      <c r="A1547" s="1235"/>
      <c r="B1547" s="1235"/>
      <c r="C1547" s="1246"/>
      <c r="D1547" s="1274"/>
      <c r="E1547" s="1248"/>
      <c r="F1547" s="1248"/>
      <c r="G1547" s="1271"/>
      <c r="H1547" s="1250"/>
      <c r="I1547" s="1251"/>
      <c r="J1547" s="1271"/>
      <c r="K1547" s="1271"/>
      <c r="L1547" s="1254"/>
      <c r="M1547" s="1244"/>
      <c r="N1547" s="1273"/>
      <c r="O1547" s="1244"/>
      <c r="P1547" s="1244"/>
      <c r="Q1547" s="1244"/>
      <c r="R1547" s="1244"/>
      <c r="S1547" s="1265"/>
      <c r="T1547" s="1244"/>
      <c r="U1547" s="1244"/>
    </row>
    <row r="1548">
      <c r="A1548" s="1235"/>
      <c r="B1548" s="1235"/>
      <c r="C1548" s="1246"/>
      <c r="D1548" s="1274"/>
      <c r="E1548" s="1248"/>
      <c r="F1548" s="1248"/>
      <c r="G1548" s="1271"/>
      <c r="H1548" s="1250"/>
      <c r="I1548" s="1251"/>
      <c r="J1548" s="1271"/>
      <c r="K1548" s="1271"/>
      <c r="L1548" s="1254"/>
      <c r="M1548" s="1244"/>
      <c r="N1548" s="1273"/>
      <c r="O1548" s="1244"/>
      <c r="P1548" s="1244"/>
      <c r="Q1548" s="1244"/>
      <c r="R1548" s="1244"/>
      <c r="S1548" s="1265"/>
      <c r="T1548" s="1244"/>
      <c r="U1548" s="1244"/>
    </row>
    <row r="1549">
      <c r="A1549" s="1235"/>
      <c r="B1549" s="1235"/>
      <c r="C1549" s="1246"/>
      <c r="D1549" s="1274"/>
      <c r="E1549" s="1248"/>
      <c r="F1549" s="1248"/>
      <c r="G1549" s="1271"/>
      <c r="H1549" s="1250"/>
      <c r="I1549" s="1251"/>
      <c r="J1549" s="1271"/>
      <c r="K1549" s="1271"/>
      <c r="L1549" s="1254"/>
      <c r="M1549" s="1244"/>
      <c r="N1549" s="1273"/>
      <c r="O1549" s="1244"/>
      <c r="P1549" s="1244"/>
      <c r="Q1549" s="1244"/>
      <c r="R1549" s="1244"/>
      <c r="S1549" s="1265"/>
      <c r="T1549" s="1244"/>
      <c r="U1549" s="1244"/>
    </row>
    <row r="1550">
      <c r="A1550" s="1235"/>
      <c r="B1550" s="1235"/>
      <c r="C1550" s="1246"/>
      <c r="D1550" s="1274"/>
      <c r="E1550" s="1248"/>
      <c r="F1550" s="1248"/>
      <c r="G1550" s="1271"/>
      <c r="H1550" s="1250"/>
      <c r="I1550" s="1251"/>
      <c r="J1550" s="1271"/>
      <c r="K1550" s="1271"/>
      <c r="L1550" s="1254"/>
      <c r="M1550" s="1244"/>
      <c r="N1550" s="1273"/>
      <c r="O1550" s="1244"/>
      <c r="P1550" s="1244"/>
      <c r="Q1550" s="1244"/>
      <c r="R1550" s="1244"/>
      <c r="S1550" s="1265"/>
      <c r="T1550" s="1244"/>
      <c r="U1550" s="1244"/>
    </row>
    <row r="1551">
      <c r="A1551" s="1235"/>
      <c r="B1551" s="1235"/>
      <c r="C1551" s="1246"/>
      <c r="D1551" s="1274"/>
      <c r="E1551" s="1248"/>
      <c r="F1551" s="1248"/>
      <c r="G1551" s="1271"/>
      <c r="H1551" s="1250"/>
      <c r="I1551" s="1251"/>
      <c r="J1551" s="1271"/>
      <c r="K1551" s="1271"/>
      <c r="L1551" s="1254"/>
      <c r="M1551" s="1244"/>
      <c r="N1551" s="1273"/>
      <c r="O1551" s="1244"/>
      <c r="P1551" s="1244"/>
      <c r="Q1551" s="1244"/>
      <c r="R1551" s="1244"/>
      <c r="S1551" s="1265"/>
      <c r="T1551" s="1244"/>
      <c r="U1551" s="1244"/>
    </row>
    <row r="1552">
      <c r="A1552" s="1235"/>
      <c r="B1552" s="1235"/>
      <c r="C1552" s="1246"/>
      <c r="D1552" s="1274"/>
      <c r="E1552" s="1248"/>
      <c r="F1552" s="1248"/>
      <c r="G1552" s="1271"/>
      <c r="H1552" s="1250"/>
      <c r="I1552" s="1251"/>
      <c r="J1552" s="1271"/>
      <c r="K1552" s="1271"/>
      <c r="L1552" s="1254"/>
      <c r="M1552" s="1244"/>
      <c r="N1552" s="1273"/>
      <c r="O1552" s="1244"/>
      <c r="P1552" s="1244"/>
      <c r="Q1552" s="1244"/>
      <c r="R1552" s="1244"/>
      <c r="S1552" s="1265"/>
      <c r="T1552" s="1244"/>
      <c r="U1552" s="1244"/>
    </row>
    <row r="1553">
      <c r="A1553" s="1235"/>
      <c r="B1553" s="1235"/>
      <c r="C1553" s="1246"/>
      <c r="D1553" s="1274"/>
      <c r="E1553" s="1248"/>
      <c r="F1553" s="1248"/>
      <c r="G1553" s="1271"/>
      <c r="H1553" s="1250"/>
      <c r="I1553" s="1251"/>
      <c r="J1553" s="1271"/>
      <c r="K1553" s="1271"/>
      <c r="L1553" s="1254"/>
      <c r="M1553" s="1244"/>
      <c r="N1553" s="1273"/>
      <c r="O1553" s="1244"/>
      <c r="P1553" s="1244"/>
      <c r="Q1553" s="1244"/>
      <c r="R1553" s="1244"/>
      <c r="S1553" s="1265"/>
      <c r="T1553" s="1244"/>
      <c r="U1553" s="1244"/>
    </row>
    <row r="1554">
      <c r="A1554" s="1235"/>
      <c r="B1554" s="1235"/>
      <c r="C1554" s="1246"/>
      <c r="D1554" s="1274"/>
      <c r="E1554" s="1248"/>
      <c r="F1554" s="1248"/>
      <c r="G1554" s="1271"/>
      <c r="H1554" s="1250"/>
      <c r="I1554" s="1251"/>
      <c r="J1554" s="1271"/>
      <c r="K1554" s="1271"/>
      <c r="L1554" s="1254"/>
      <c r="M1554" s="1244"/>
      <c r="N1554" s="1273"/>
      <c r="O1554" s="1244"/>
      <c r="P1554" s="1244"/>
      <c r="Q1554" s="1244"/>
      <c r="R1554" s="1244"/>
      <c r="S1554" s="1265"/>
      <c r="T1554" s="1244"/>
      <c r="U1554" s="1244"/>
    </row>
    <row r="1555">
      <c r="A1555" s="1235"/>
      <c r="B1555" s="1235"/>
      <c r="C1555" s="1246"/>
      <c r="D1555" s="1274"/>
      <c r="E1555" s="1248"/>
      <c r="F1555" s="1248"/>
      <c r="G1555" s="1271"/>
      <c r="H1555" s="1250"/>
      <c r="I1555" s="1251"/>
      <c r="J1555" s="1271"/>
      <c r="K1555" s="1271"/>
      <c r="L1555" s="1254"/>
      <c r="M1555" s="1244"/>
      <c r="N1555" s="1273"/>
      <c r="O1555" s="1244"/>
      <c r="P1555" s="1244"/>
      <c r="Q1555" s="1244"/>
      <c r="R1555" s="1244"/>
      <c r="S1555" s="1265"/>
      <c r="T1555" s="1244"/>
      <c r="U1555" s="1244"/>
    </row>
    <row r="1556">
      <c r="A1556" s="1235"/>
      <c r="B1556" s="1235"/>
      <c r="C1556" s="1246"/>
      <c r="D1556" s="1274"/>
      <c r="E1556" s="1248"/>
      <c r="F1556" s="1248"/>
      <c r="G1556" s="1271"/>
      <c r="H1556" s="1250"/>
      <c r="I1556" s="1251"/>
      <c r="J1556" s="1271"/>
      <c r="K1556" s="1271"/>
      <c r="L1556" s="1254"/>
      <c r="M1556" s="1244"/>
      <c r="N1556" s="1273"/>
      <c r="O1556" s="1244"/>
      <c r="P1556" s="1244"/>
      <c r="Q1556" s="1244"/>
      <c r="R1556" s="1244"/>
      <c r="S1556" s="1265"/>
      <c r="T1556" s="1244"/>
      <c r="U1556" s="1244"/>
    </row>
    <row r="1557">
      <c r="A1557" s="1235"/>
      <c r="B1557" s="1235"/>
      <c r="C1557" s="1246"/>
      <c r="D1557" s="1274"/>
      <c r="E1557" s="1248"/>
      <c r="F1557" s="1248"/>
      <c r="G1557" s="1271"/>
      <c r="H1557" s="1250"/>
      <c r="I1557" s="1251"/>
      <c r="J1557" s="1271"/>
      <c r="K1557" s="1271"/>
      <c r="L1557" s="1254"/>
      <c r="M1557" s="1244"/>
      <c r="N1557" s="1273"/>
      <c r="O1557" s="1244"/>
      <c r="P1557" s="1244"/>
      <c r="Q1557" s="1244"/>
      <c r="R1557" s="1244"/>
      <c r="S1557" s="1265"/>
      <c r="T1557" s="1244"/>
      <c r="U1557" s="1244"/>
    </row>
    <row r="1558">
      <c r="A1558" s="1235"/>
      <c r="B1558" s="1235"/>
      <c r="C1558" s="1246"/>
      <c r="D1558" s="1274"/>
      <c r="E1558" s="1248"/>
      <c r="F1558" s="1248"/>
      <c r="G1558" s="1271"/>
      <c r="H1558" s="1250"/>
      <c r="I1558" s="1251"/>
      <c r="J1558" s="1271"/>
      <c r="K1558" s="1271"/>
      <c r="L1558" s="1254"/>
      <c r="M1558" s="1244"/>
      <c r="N1558" s="1273"/>
      <c r="O1558" s="1244"/>
      <c r="P1558" s="1244"/>
      <c r="Q1558" s="1244"/>
      <c r="R1558" s="1244"/>
      <c r="S1558" s="1265"/>
      <c r="T1558" s="1244"/>
      <c r="U1558" s="1244"/>
    </row>
    <row r="1559">
      <c r="A1559" s="1235"/>
      <c r="B1559" s="1235"/>
      <c r="C1559" s="1246"/>
      <c r="D1559" s="1274"/>
      <c r="E1559" s="1248"/>
      <c r="F1559" s="1248"/>
      <c r="G1559" s="1271"/>
      <c r="H1559" s="1250"/>
      <c r="I1559" s="1251"/>
      <c r="J1559" s="1271"/>
      <c r="K1559" s="1271"/>
      <c r="L1559" s="1254"/>
      <c r="M1559" s="1244"/>
      <c r="N1559" s="1273"/>
      <c r="O1559" s="1244"/>
      <c r="P1559" s="1244"/>
      <c r="Q1559" s="1244"/>
      <c r="R1559" s="1244"/>
      <c r="S1559" s="1265"/>
      <c r="T1559" s="1244"/>
      <c r="U1559" s="1244"/>
    </row>
    <row r="1560">
      <c r="A1560" s="1235"/>
      <c r="B1560" s="1235"/>
      <c r="C1560" s="1246"/>
      <c r="D1560" s="1274"/>
      <c r="E1560" s="1248"/>
      <c r="F1560" s="1248"/>
      <c r="G1560" s="1271"/>
      <c r="H1560" s="1250"/>
      <c r="I1560" s="1251"/>
      <c r="J1560" s="1271"/>
      <c r="K1560" s="1271"/>
      <c r="L1560" s="1254"/>
      <c r="M1560" s="1244"/>
      <c r="N1560" s="1273"/>
      <c r="O1560" s="1244"/>
      <c r="P1560" s="1244"/>
      <c r="Q1560" s="1244"/>
      <c r="R1560" s="1244"/>
      <c r="S1560" s="1265"/>
      <c r="T1560" s="1244"/>
      <c r="U1560" s="1244"/>
    </row>
    <row r="1561">
      <c r="A1561" s="1235"/>
      <c r="B1561" s="1235"/>
      <c r="C1561" s="1246"/>
      <c r="D1561" s="1274"/>
      <c r="E1561" s="1248"/>
      <c r="F1561" s="1248"/>
      <c r="G1561" s="1271"/>
      <c r="H1561" s="1250"/>
      <c r="I1561" s="1251"/>
      <c r="J1561" s="1271"/>
      <c r="K1561" s="1271"/>
      <c r="L1561" s="1254"/>
      <c r="M1561" s="1244"/>
      <c r="N1561" s="1273"/>
      <c r="O1561" s="1244"/>
      <c r="P1561" s="1244"/>
      <c r="Q1561" s="1244"/>
      <c r="R1561" s="1244"/>
      <c r="S1561" s="1265"/>
      <c r="T1561" s="1244"/>
      <c r="U1561" s="1244"/>
    </row>
    <row r="1562">
      <c r="A1562" s="1235"/>
      <c r="B1562" s="1235"/>
      <c r="C1562" s="1246"/>
      <c r="D1562" s="1274"/>
      <c r="E1562" s="1248"/>
      <c r="F1562" s="1248"/>
      <c r="G1562" s="1271"/>
      <c r="H1562" s="1250"/>
      <c r="I1562" s="1251"/>
      <c r="J1562" s="1271"/>
      <c r="K1562" s="1271"/>
      <c r="L1562" s="1254"/>
      <c r="M1562" s="1244"/>
      <c r="N1562" s="1273"/>
      <c r="O1562" s="1244"/>
      <c r="P1562" s="1244"/>
      <c r="Q1562" s="1244"/>
      <c r="R1562" s="1244"/>
      <c r="S1562" s="1265"/>
      <c r="T1562" s="1244"/>
      <c r="U1562" s="1244"/>
    </row>
    <row r="1563">
      <c r="A1563" s="1235"/>
      <c r="B1563" s="1235"/>
      <c r="C1563" s="1246"/>
      <c r="D1563" s="1274"/>
      <c r="E1563" s="1248"/>
      <c r="F1563" s="1248"/>
      <c r="G1563" s="1271"/>
      <c r="H1563" s="1250"/>
      <c r="I1563" s="1251"/>
      <c r="J1563" s="1271"/>
      <c r="K1563" s="1271"/>
      <c r="L1563" s="1254"/>
      <c r="M1563" s="1244"/>
      <c r="N1563" s="1273"/>
      <c r="O1563" s="1244"/>
      <c r="P1563" s="1244"/>
      <c r="Q1563" s="1244"/>
      <c r="R1563" s="1244"/>
      <c r="S1563" s="1265"/>
      <c r="T1563" s="1244"/>
      <c r="U1563" s="1244"/>
    </row>
    <row r="1564">
      <c r="A1564" s="1235"/>
      <c r="B1564" s="1235"/>
      <c r="C1564" s="1246"/>
      <c r="D1564" s="1274"/>
      <c r="E1564" s="1248"/>
      <c r="F1564" s="1248"/>
      <c r="G1564" s="1271"/>
      <c r="H1564" s="1250"/>
      <c r="I1564" s="1251"/>
      <c r="J1564" s="1271"/>
      <c r="K1564" s="1271"/>
      <c r="L1564" s="1254"/>
      <c r="M1564" s="1244"/>
      <c r="N1564" s="1273"/>
      <c r="O1564" s="1244"/>
      <c r="P1564" s="1244"/>
      <c r="Q1564" s="1244"/>
      <c r="R1564" s="1244"/>
      <c r="S1564" s="1265"/>
      <c r="T1564" s="1244"/>
      <c r="U1564" s="1244"/>
    </row>
    <row r="1565">
      <c r="A1565" s="1235"/>
      <c r="B1565" s="1235"/>
      <c r="C1565" s="1246"/>
      <c r="D1565" s="1274"/>
      <c r="E1565" s="1248"/>
      <c r="F1565" s="1248"/>
      <c r="G1565" s="1271"/>
      <c r="H1565" s="1250"/>
      <c r="I1565" s="1251"/>
      <c r="J1565" s="1271"/>
      <c r="K1565" s="1271"/>
      <c r="L1565" s="1254"/>
      <c r="M1565" s="1244"/>
      <c r="N1565" s="1273"/>
      <c r="O1565" s="1244"/>
      <c r="P1565" s="1244"/>
      <c r="Q1565" s="1244"/>
      <c r="R1565" s="1244"/>
      <c r="S1565" s="1265"/>
      <c r="T1565" s="1244"/>
      <c r="U1565" s="1244"/>
    </row>
    <row r="1566">
      <c r="A1566" s="1235"/>
      <c r="B1566" s="1235"/>
      <c r="C1566" s="1246"/>
      <c r="D1566" s="1274"/>
      <c r="E1566" s="1248"/>
      <c r="F1566" s="1248"/>
      <c r="G1566" s="1271"/>
      <c r="H1566" s="1250"/>
      <c r="I1566" s="1251"/>
      <c r="J1566" s="1271"/>
      <c r="K1566" s="1271"/>
      <c r="L1566" s="1254"/>
      <c r="M1566" s="1244"/>
      <c r="N1566" s="1273"/>
      <c r="O1566" s="1244"/>
      <c r="P1566" s="1244"/>
      <c r="Q1566" s="1244"/>
      <c r="R1566" s="1244"/>
      <c r="S1566" s="1265"/>
      <c r="T1566" s="1244"/>
      <c r="U1566" s="1244"/>
    </row>
    <row r="1567">
      <c r="A1567" s="1235"/>
      <c r="B1567" s="1235"/>
      <c r="C1567" s="1246"/>
      <c r="D1567" s="1274"/>
      <c r="E1567" s="1248"/>
      <c r="F1567" s="1248"/>
      <c r="G1567" s="1271"/>
      <c r="H1567" s="1250"/>
      <c r="I1567" s="1251"/>
      <c r="J1567" s="1271"/>
      <c r="K1567" s="1271"/>
      <c r="L1567" s="1254"/>
      <c r="M1567" s="1244"/>
      <c r="N1567" s="1273"/>
      <c r="O1567" s="1244"/>
      <c r="P1567" s="1244"/>
      <c r="Q1567" s="1244"/>
      <c r="R1567" s="1244"/>
      <c r="S1567" s="1265"/>
      <c r="T1567" s="1244"/>
      <c r="U1567" s="1244"/>
    </row>
    <row r="1568">
      <c r="A1568" s="1235"/>
      <c r="B1568" s="1235"/>
      <c r="C1568" s="1246"/>
      <c r="D1568" s="1274"/>
      <c r="E1568" s="1248"/>
      <c r="F1568" s="1248"/>
      <c r="G1568" s="1271"/>
      <c r="H1568" s="1250"/>
      <c r="I1568" s="1251"/>
      <c r="J1568" s="1271"/>
      <c r="K1568" s="1271"/>
      <c r="L1568" s="1254"/>
      <c r="M1568" s="1244"/>
      <c r="N1568" s="1273"/>
      <c r="O1568" s="1244"/>
      <c r="P1568" s="1244"/>
      <c r="Q1568" s="1244"/>
      <c r="R1568" s="1244"/>
      <c r="S1568" s="1265"/>
      <c r="T1568" s="1244"/>
      <c r="U1568" s="1244"/>
    </row>
    <row r="1569">
      <c r="A1569" s="1235"/>
      <c r="B1569" s="1235"/>
      <c r="C1569" s="1246"/>
      <c r="D1569" s="1274"/>
      <c r="E1569" s="1248"/>
      <c r="F1569" s="1248"/>
      <c r="G1569" s="1271"/>
      <c r="H1569" s="1250"/>
      <c r="I1569" s="1251"/>
      <c r="J1569" s="1271"/>
      <c r="K1569" s="1271"/>
      <c r="L1569" s="1254"/>
      <c r="M1569" s="1244"/>
      <c r="N1569" s="1273"/>
      <c r="O1569" s="1244"/>
      <c r="P1569" s="1244"/>
      <c r="Q1569" s="1244"/>
      <c r="R1569" s="1244"/>
      <c r="S1569" s="1265"/>
      <c r="T1569" s="1244"/>
      <c r="U1569" s="1244"/>
    </row>
    <row r="1570">
      <c r="A1570" s="1235"/>
      <c r="B1570" s="1235"/>
      <c r="C1570" s="1246"/>
      <c r="D1570" s="1274"/>
      <c r="E1570" s="1248"/>
      <c r="F1570" s="1248"/>
      <c r="G1570" s="1271"/>
      <c r="H1570" s="1250"/>
      <c r="I1570" s="1251"/>
      <c r="J1570" s="1271"/>
      <c r="K1570" s="1271"/>
      <c r="L1570" s="1254"/>
      <c r="M1570" s="1244"/>
      <c r="N1570" s="1273"/>
      <c r="O1570" s="1244"/>
      <c r="P1570" s="1244"/>
      <c r="Q1570" s="1244"/>
      <c r="R1570" s="1244"/>
      <c r="S1570" s="1265"/>
      <c r="T1570" s="1244"/>
      <c r="U1570" s="1244"/>
    </row>
    <row r="1571">
      <c r="A1571" s="1235"/>
      <c r="B1571" s="1235"/>
      <c r="C1571" s="1246"/>
      <c r="D1571" s="1274"/>
      <c r="E1571" s="1248"/>
      <c r="F1571" s="1248"/>
      <c r="G1571" s="1271"/>
      <c r="H1571" s="1250"/>
      <c r="I1571" s="1251"/>
      <c r="J1571" s="1271"/>
      <c r="K1571" s="1271"/>
      <c r="L1571" s="1254"/>
      <c r="M1571" s="1244"/>
      <c r="N1571" s="1273"/>
      <c r="O1571" s="1244"/>
      <c r="P1571" s="1244"/>
      <c r="Q1571" s="1244"/>
      <c r="R1571" s="1244"/>
      <c r="S1571" s="1265"/>
      <c r="T1571" s="1244"/>
      <c r="U1571" s="1244"/>
    </row>
    <row r="1572">
      <c r="A1572" s="1235"/>
      <c r="B1572" s="1235"/>
      <c r="C1572" s="1246"/>
      <c r="D1572" s="1274"/>
      <c r="E1572" s="1248"/>
      <c r="F1572" s="1248"/>
      <c r="G1572" s="1271"/>
      <c r="H1572" s="1250"/>
      <c r="I1572" s="1251"/>
      <c r="J1572" s="1271"/>
      <c r="K1572" s="1271"/>
      <c r="L1572" s="1254"/>
      <c r="M1572" s="1244"/>
      <c r="N1572" s="1273"/>
      <c r="O1572" s="1244"/>
      <c r="P1572" s="1244"/>
      <c r="Q1572" s="1244"/>
      <c r="R1572" s="1244"/>
      <c r="S1572" s="1265"/>
      <c r="T1572" s="1244"/>
      <c r="U1572" s="1244"/>
    </row>
    <row r="1573">
      <c r="A1573" s="1235"/>
      <c r="B1573" s="1235"/>
      <c r="C1573" s="1246"/>
      <c r="D1573" s="1274"/>
      <c r="E1573" s="1248"/>
      <c r="F1573" s="1248"/>
      <c r="G1573" s="1271"/>
      <c r="H1573" s="1250"/>
      <c r="I1573" s="1251"/>
      <c r="J1573" s="1271"/>
      <c r="K1573" s="1271"/>
      <c r="L1573" s="1254"/>
      <c r="M1573" s="1244"/>
      <c r="N1573" s="1273"/>
      <c r="O1573" s="1244"/>
      <c r="P1573" s="1244"/>
      <c r="Q1573" s="1244"/>
      <c r="R1573" s="1244"/>
      <c r="S1573" s="1265"/>
      <c r="T1573" s="1244"/>
      <c r="U1573" s="1244"/>
    </row>
    <row r="1574">
      <c r="A1574" s="1235"/>
      <c r="B1574" s="1235"/>
      <c r="C1574" s="1246"/>
      <c r="D1574" s="1274"/>
      <c r="E1574" s="1248"/>
      <c r="F1574" s="1248"/>
      <c r="G1574" s="1271"/>
      <c r="H1574" s="1250"/>
      <c r="I1574" s="1251"/>
      <c r="J1574" s="1271"/>
      <c r="K1574" s="1271"/>
      <c r="L1574" s="1254"/>
      <c r="M1574" s="1244"/>
      <c r="N1574" s="1273"/>
      <c r="O1574" s="1244"/>
      <c r="P1574" s="1244"/>
      <c r="Q1574" s="1244"/>
      <c r="R1574" s="1244"/>
      <c r="S1574" s="1265"/>
      <c r="T1574" s="1244"/>
      <c r="U1574" s="1244"/>
    </row>
    <row r="1575">
      <c r="A1575" s="1235"/>
      <c r="B1575" s="1235"/>
      <c r="C1575" s="1246"/>
      <c r="D1575" s="1274"/>
      <c r="E1575" s="1248"/>
      <c r="F1575" s="1248"/>
      <c r="G1575" s="1271"/>
      <c r="H1575" s="1250"/>
      <c r="I1575" s="1251"/>
      <c r="J1575" s="1271"/>
      <c r="K1575" s="1271"/>
      <c r="L1575" s="1254"/>
      <c r="M1575" s="1244"/>
      <c r="N1575" s="1273"/>
      <c r="O1575" s="1244"/>
      <c r="P1575" s="1244"/>
      <c r="Q1575" s="1244"/>
      <c r="R1575" s="1244"/>
      <c r="S1575" s="1265"/>
      <c r="T1575" s="1244"/>
      <c r="U1575" s="1244"/>
    </row>
    <row r="1576">
      <c r="A1576" s="1235"/>
      <c r="B1576" s="1235"/>
      <c r="C1576" s="1246"/>
      <c r="D1576" s="1274"/>
      <c r="E1576" s="1248"/>
      <c r="F1576" s="1248"/>
      <c r="G1576" s="1271"/>
      <c r="H1576" s="1250"/>
      <c r="I1576" s="1251"/>
      <c r="J1576" s="1271"/>
      <c r="K1576" s="1271"/>
      <c r="L1576" s="1254"/>
      <c r="M1576" s="1244"/>
      <c r="N1576" s="1273"/>
      <c r="O1576" s="1244"/>
      <c r="P1576" s="1244"/>
      <c r="Q1576" s="1244"/>
      <c r="R1576" s="1244"/>
      <c r="S1576" s="1265"/>
      <c r="T1576" s="1244"/>
      <c r="U1576" s="1244"/>
    </row>
    <row r="1577">
      <c r="A1577" s="1235"/>
      <c r="B1577" s="1235"/>
      <c r="C1577" s="1246"/>
      <c r="D1577" s="1274"/>
      <c r="E1577" s="1248"/>
      <c r="F1577" s="1248"/>
      <c r="G1577" s="1271"/>
      <c r="H1577" s="1250"/>
      <c r="I1577" s="1251"/>
      <c r="J1577" s="1271"/>
      <c r="K1577" s="1271"/>
      <c r="L1577" s="1254"/>
      <c r="M1577" s="1244"/>
      <c r="N1577" s="1273"/>
      <c r="O1577" s="1244"/>
      <c r="P1577" s="1244"/>
      <c r="Q1577" s="1244"/>
      <c r="R1577" s="1244"/>
      <c r="S1577" s="1265"/>
      <c r="T1577" s="1244"/>
      <c r="U1577" s="1244"/>
    </row>
    <row r="1578">
      <c r="A1578" s="1235"/>
      <c r="B1578" s="1235"/>
      <c r="C1578" s="1246"/>
      <c r="D1578" s="1274"/>
      <c r="E1578" s="1248"/>
      <c r="F1578" s="1248"/>
      <c r="G1578" s="1271"/>
      <c r="H1578" s="1250"/>
      <c r="I1578" s="1251"/>
      <c r="J1578" s="1271"/>
      <c r="K1578" s="1271"/>
      <c r="L1578" s="1254"/>
      <c r="M1578" s="1244"/>
      <c r="N1578" s="1273"/>
      <c r="O1578" s="1244"/>
      <c r="P1578" s="1244"/>
      <c r="Q1578" s="1244"/>
      <c r="R1578" s="1244"/>
      <c r="S1578" s="1265"/>
      <c r="T1578" s="1244"/>
      <c r="U1578" s="1244"/>
    </row>
    <row r="1579">
      <c r="A1579" s="1235"/>
      <c r="B1579" s="1235"/>
      <c r="C1579" s="1246"/>
      <c r="D1579" s="1274"/>
      <c r="E1579" s="1248"/>
      <c r="F1579" s="1248"/>
      <c r="G1579" s="1271"/>
      <c r="H1579" s="1250"/>
      <c r="I1579" s="1251"/>
      <c r="J1579" s="1271"/>
      <c r="K1579" s="1271"/>
      <c r="L1579" s="1254"/>
      <c r="M1579" s="1244"/>
      <c r="N1579" s="1273"/>
      <c r="O1579" s="1244"/>
      <c r="P1579" s="1244"/>
      <c r="Q1579" s="1244"/>
      <c r="R1579" s="1244"/>
      <c r="S1579" s="1265"/>
      <c r="T1579" s="1244"/>
      <c r="U1579" s="1244"/>
    </row>
    <row r="1580">
      <c r="A1580" s="1235"/>
      <c r="B1580" s="1235"/>
      <c r="C1580" s="1246"/>
      <c r="D1580" s="1274"/>
      <c r="E1580" s="1248"/>
      <c r="F1580" s="1248"/>
      <c r="G1580" s="1271"/>
      <c r="H1580" s="1250"/>
      <c r="I1580" s="1251"/>
      <c r="J1580" s="1271"/>
      <c r="K1580" s="1271"/>
      <c r="L1580" s="1254"/>
      <c r="M1580" s="1244"/>
      <c r="N1580" s="1273"/>
      <c r="O1580" s="1244"/>
      <c r="P1580" s="1244"/>
      <c r="Q1580" s="1244"/>
      <c r="R1580" s="1244"/>
      <c r="S1580" s="1265"/>
      <c r="T1580" s="1244"/>
      <c r="U1580" s="1244"/>
    </row>
    <row r="1581">
      <c r="A1581" s="1235"/>
      <c r="B1581" s="1235"/>
      <c r="C1581" s="1246"/>
      <c r="D1581" s="1274"/>
      <c r="E1581" s="1248"/>
      <c r="F1581" s="1248"/>
      <c r="G1581" s="1271"/>
      <c r="H1581" s="1250"/>
      <c r="I1581" s="1251"/>
      <c r="J1581" s="1271"/>
      <c r="K1581" s="1271"/>
      <c r="L1581" s="1254"/>
      <c r="M1581" s="1244"/>
      <c r="N1581" s="1273"/>
      <c r="O1581" s="1244"/>
      <c r="P1581" s="1244"/>
      <c r="Q1581" s="1244"/>
      <c r="R1581" s="1244"/>
      <c r="S1581" s="1265"/>
      <c r="T1581" s="1244"/>
      <c r="U1581" s="1244"/>
    </row>
    <row r="1582">
      <c r="A1582" s="1235"/>
      <c r="B1582" s="1235"/>
      <c r="C1582" s="1246"/>
      <c r="D1582" s="1274"/>
      <c r="E1582" s="1248"/>
      <c r="F1582" s="1248"/>
      <c r="G1582" s="1271"/>
      <c r="H1582" s="1250"/>
      <c r="I1582" s="1251"/>
      <c r="J1582" s="1271"/>
      <c r="K1582" s="1271"/>
      <c r="L1582" s="1254"/>
      <c r="M1582" s="1244"/>
      <c r="N1582" s="1273"/>
      <c r="O1582" s="1244"/>
      <c r="P1582" s="1244"/>
      <c r="Q1582" s="1244"/>
      <c r="R1582" s="1244"/>
      <c r="S1582" s="1265"/>
      <c r="T1582" s="1244"/>
      <c r="U1582" s="1244"/>
    </row>
    <row r="1583">
      <c r="A1583" s="1235"/>
      <c r="B1583" s="1235"/>
      <c r="C1583" s="1246"/>
      <c r="D1583" s="1274"/>
      <c r="E1583" s="1248"/>
      <c r="F1583" s="1248"/>
      <c r="G1583" s="1271"/>
      <c r="H1583" s="1250"/>
      <c r="I1583" s="1251"/>
      <c r="J1583" s="1271"/>
      <c r="K1583" s="1271"/>
      <c r="L1583" s="1254"/>
      <c r="M1583" s="1244"/>
      <c r="N1583" s="1273"/>
      <c r="O1583" s="1244"/>
      <c r="P1583" s="1244"/>
      <c r="Q1583" s="1244"/>
      <c r="R1583" s="1244"/>
      <c r="S1583" s="1265"/>
      <c r="T1583" s="1244"/>
      <c r="U1583" s="1244"/>
    </row>
    <row r="1584">
      <c r="A1584" s="1235"/>
      <c r="B1584" s="1235"/>
      <c r="C1584" s="1246"/>
      <c r="D1584" s="1274"/>
      <c r="E1584" s="1248"/>
      <c r="F1584" s="1248"/>
      <c r="G1584" s="1271"/>
      <c r="H1584" s="1250"/>
      <c r="I1584" s="1251"/>
      <c r="J1584" s="1271"/>
      <c r="K1584" s="1271"/>
      <c r="L1584" s="1254"/>
      <c r="M1584" s="1244"/>
      <c r="N1584" s="1273"/>
      <c r="O1584" s="1244"/>
      <c r="P1584" s="1244"/>
      <c r="Q1584" s="1244"/>
      <c r="R1584" s="1244"/>
      <c r="S1584" s="1265"/>
      <c r="T1584" s="1244"/>
      <c r="U1584" s="1244"/>
    </row>
    <row r="1585">
      <c r="A1585" s="1235"/>
      <c r="B1585" s="1235"/>
      <c r="C1585" s="1246"/>
      <c r="D1585" s="1274"/>
      <c r="E1585" s="1248"/>
      <c r="F1585" s="1248"/>
      <c r="G1585" s="1271"/>
      <c r="H1585" s="1250"/>
      <c r="I1585" s="1251"/>
      <c r="J1585" s="1271"/>
      <c r="K1585" s="1271"/>
      <c r="L1585" s="1254"/>
      <c r="M1585" s="1244"/>
      <c r="N1585" s="1273"/>
      <c r="O1585" s="1244"/>
      <c r="P1585" s="1244"/>
      <c r="Q1585" s="1244"/>
      <c r="R1585" s="1244"/>
      <c r="S1585" s="1265"/>
      <c r="T1585" s="1244"/>
      <c r="U1585" s="1244"/>
    </row>
    <row r="1586">
      <c r="A1586" s="1235"/>
      <c r="B1586" s="1235"/>
      <c r="C1586" s="1246"/>
      <c r="D1586" s="1274"/>
      <c r="E1586" s="1248"/>
      <c r="F1586" s="1248"/>
      <c r="G1586" s="1271"/>
      <c r="H1586" s="1250"/>
      <c r="I1586" s="1251"/>
      <c r="J1586" s="1271"/>
      <c r="K1586" s="1271"/>
      <c r="L1586" s="1254"/>
      <c r="M1586" s="1244"/>
      <c r="N1586" s="1273"/>
      <c r="O1586" s="1244"/>
      <c r="P1586" s="1244"/>
      <c r="Q1586" s="1244"/>
      <c r="R1586" s="1244"/>
      <c r="S1586" s="1265"/>
      <c r="T1586" s="1244"/>
      <c r="U1586" s="1244"/>
    </row>
    <row r="1587">
      <c r="A1587" s="1235"/>
      <c r="B1587" s="1235"/>
      <c r="C1587" s="1246"/>
      <c r="D1587" s="1274"/>
      <c r="E1587" s="1248"/>
      <c r="F1587" s="1248"/>
      <c r="G1587" s="1271"/>
      <c r="H1587" s="1250"/>
      <c r="I1587" s="1251"/>
      <c r="J1587" s="1271"/>
      <c r="K1587" s="1271"/>
      <c r="L1587" s="1254"/>
      <c r="M1587" s="1244"/>
      <c r="N1587" s="1273"/>
      <c r="O1587" s="1244"/>
      <c r="P1587" s="1244"/>
      <c r="Q1587" s="1244"/>
      <c r="R1587" s="1244"/>
      <c r="S1587" s="1265"/>
      <c r="T1587" s="1244"/>
      <c r="U1587" s="1244"/>
    </row>
    <row r="1588">
      <c r="A1588" s="1235"/>
      <c r="B1588" s="1235"/>
      <c r="C1588" s="1246"/>
      <c r="D1588" s="1274"/>
      <c r="E1588" s="1248"/>
      <c r="F1588" s="1248"/>
      <c r="G1588" s="1271"/>
      <c r="H1588" s="1250"/>
      <c r="I1588" s="1251"/>
      <c r="J1588" s="1271"/>
      <c r="K1588" s="1271"/>
      <c r="L1588" s="1254"/>
      <c r="M1588" s="1244"/>
      <c r="N1588" s="1273"/>
      <c r="O1588" s="1244"/>
      <c r="P1588" s="1244"/>
      <c r="Q1588" s="1244"/>
      <c r="R1588" s="1244"/>
      <c r="S1588" s="1265"/>
      <c r="T1588" s="1244"/>
      <c r="U1588" s="1244"/>
    </row>
    <row r="1589">
      <c r="A1589" s="1235"/>
      <c r="B1589" s="1235"/>
      <c r="C1589" s="1246"/>
      <c r="D1589" s="1274"/>
      <c r="E1589" s="1248"/>
      <c r="F1589" s="1248"/>
      <c r="G1589" s="1271"/>
      <c r="H1589" s="1250"/>
      <c r="I1589" s="1251"/>
      <c r="J1589" s="1271"/>
      <c r="K1589" s="1271"/>
      <c r="L1589" s="1254"/>
      <c r="M1589" s="1244"/>
      <c r="N1589" s="1273"/>
      <c r="O1589" s="1244"/>
      <c r="P1589" s="1244"/>
      <c r="Q1589" s="1244"/>
      <c r="R1589" s="1244"/>
      <c r="S1589" s="1265"/>
      <c r="T1589" s="1244"/>
      <c r="U1589" s="1244"/>
    </row>
    <row r="1590">
      <c r="A1590" s="1235"/>
      <c r="B1590" s="1235"/>
      <c r="C1590" s="1246"/>
      <c r="D1590" s="1274"/>
      <c r="E1590" s="1248"/>
      <c r="F1590" s="1248"/>
      <c r="G1590" s="1271"/>
      <c r="H1590" s="1250"/>
      <c r="I1590" s="1251"/>
      <c r="J1590" s="1271"/>
      <c r="K1590" s="1271"/>
      <c r="L1590" s="1254"/>
      <c r="M1590" s="1244"/>
      <c r="N1590" s="1273"/>
      <c r="O1590" s="1244"/>
      <c r="P1590" s="1244"/>
      <c r="Q1590" s="1244"/>
      <c r="R1590" s="1244"/>
      <c r="S1590" s="1265"/>
      <c r="T1590" s="1244"/>
      <c r="U1590" s="1244"/>
    </row>
    <row r="1591">
      <c r="A1591" s="1235"/>
      <c r="B1591" s="1235"/>
      <c r="C1591" s="1246"/>
      <c r="D1591" s="1274"/>
      <c r="E1591" s="1248"/>
      <c r="F1591" s="1248"/>
      <c r="G1591" s="1271"/>
      <c r="H1591" s="1250"/>
      <c r="I1591" s="1251"/>
      <c r="J1591" s="1271"/>
      <c r="K1591" s="1271"/>
      <c r="L1591" s="1254"/>
      <c r="M1591" s="1244"/>
      <c r="N1591" s="1273"/>
      <c r="O1591" s="1244"/>
      <c r="P1591" s="1244"/>
      <c r="Q1591" s="1244"/>
      <c r="R1591" s="1244"/>
      <c r="S1591" s="1265"/>
      <c r="T1591" s="1244"/>
      <c r="U1591" s="1244"/>
    </row>
    <row r="1592">
      <c r="A1592" s="1235"/>
      <c r="B1592" s="1235"/>
      <c r="C1592" s="1246"/>
      <c r="D1592" s="1274"/>
      <c r="E1592" s="1248"/>
      <c r="F1592" s="1248"/>
      <c r="G1592" s="1271"/>
      <c r="H1592" s="1250"/>
      <c r="I1592" s="1251"/>
      <c r="J1592" s="1271"/>
      <c r="K1592" s="1271"/>
      <c r="L1592" s="1254"/>
      <c r="M1592" s="1244"/>
      <c r="N1592" s="1273"/>
      <c r="O1592" s="1244"/>
      <c r="P1592" s="1244"/>
      <c r="Q1592" s="1244"/>
      <c r="R1592" s="1244"/>
      <c r="S1592" s="1265"/>
      <c r="T1592" s="1244"/>
      <c r="U1592" s="1244"/>
    </row>
    <row r="1593">
      <c r="A1593" s="1235"/>
      <c r="B1593" s="1235"/>
      <c r="C1593" s="1246"/>
      <c r="D1593" s="1274"/>
      <c r="E1593" s="1248"/>
      <c r="F1593" s="1248"/>
      <c r="G1593" s="1271"/>
      <c r="H1593" s="1250"/>
      <c r="I1593" s="1251"/>
      <c r="J1593" s="1271"/>
      <c r="K1593" s="1271"/>
      <c r="L1593" s="1254"/>
      <c r="M1593" s="1244"/>
      <c r="N1593" s="1273"/>
      <c r="O1593" s="1244"/>
      <c r="P1593" s="1244"/>
      <c r="Q1593" s="1244"/>
      <c r="R1593" s="1244"/>
      <c r="S1593" s="1265"/>
      <c r="T1593" s="1244"/>
      <c r="U1593" s="1244"/>
    </row>
    <row r="1594">
      <c r="A1594" s="1235"/>
      <c r="B1594" s="1235"/>
      <c r="C1594" s="1246"/>
      <c r="D1594" s="1274"/>
      <c r="E1594" s="1248"/>
      <c r="F1594" s="1248"/>
      <c r="G1594" s="1271"/>
      <c r="H1594" s="1250"/>
      <c r="I1594" s="1251"/>
      <c r="J1594" s="1271"/>
      <c r="K1594" s="1271"/>
      <c r="L1594" s="1254"/>
      <c r="M1594" s="1244"/>
      <c r="N1594" s="1273"/>
      <c r="O1594" s="1244"/>
      <c r="P1594" s="1244"/>
      <c r="Q1594" s="1244"/>
      <c r="R1594" s="1244"/>
      <c r="S1594" s="1265"/>
      <c r="T1594" s="1244"/>
      <c r="U1594" s="1244"/>
    </row>
    <row r="1595">
      <c r="A1595" s="1235"/>
      <c r="B1595" s="1235"/>
      <c r="C1595" s="1246"/>
      <c r="D1595" s="1274"/>
      <c r="E1595" s="1248"/>
      <c r="F1595" s="1248"/>
      <c r="G1595" s="1271"/>
      <c r="H1595" s="1250"/>
      <c r="I1595" s="1251"/>
      <c r="J1595" s="1271"/>
      <c r="K1595" s="1271"/>
      <c r="L1595" s="1254"/>
      <c r="M1595" s="1244"/>
      <c r="N1595" s="1273"/>
      <c r="O1595" s="1244"/>
      <c r="P1595" s="1244"/>
      <c r="Q1595" s="1244"/>
      <c r="R1595" s="1244"/>
      <c r="S1595" s="1265"/>
      <c r="T1595" s="1244"/>
      <c r="U1595" s="1244"/>
    </row>
    <row r="1596">
      <c r="A1596" s="1235"/>
      <c r="B1596" s="1235"/>
      <c r="C1596" s="1246"/>
      <c r="D1596" s="1274"/>
      <c r="E1596" s="1248"/>
      <c r="F1596" s="1248"/>
      <c r="G1596" s="1271"/>
      <c r="H1596" s="1250"/>
      <c r="I1596" s="1251"/>
      <c r="J1596" s="1271"/>
      <c r="K1596" s="1271"/>
      <c r="L1596" s="1254"/>
      <c r="M1596" s="1244"/>
      <c r="N1596" s="1273"/>
      <c r="O1596" s="1244"/>
      <c r="P1596" s="1244"/>
      <c r="Q1596" s="1244"/>
      <c r="R1596" s="1244"/>
      <c r="S1596" s="1265"/>
      <c r="T1596" s="1244"/>
      <c r="U1596" s="1244"/>
    </row>
    <row r="1597">
      <c r="A1597" s="1235"/>
      <c r="B1597" s="1235"/>
      <c r="C1597" s="1246"/>
      <c r="D1597" s="1274"/>
      <c r="E1597" s="1248"/>
      <c r="F1597" s="1248"/>
      <c r="G1597" s="1271"/>
      <c r="H1597" s="1250"/>
      <c r="I1597" s="1251"/>
      <c r="J1597" s="1271"/>
      <c r="K1597" s="1271"/>
      <c r="L1597" s="1254"/>
      <c r="M1597" s="1244"/>
      <c r="N1597" s="1273"/>
      <c r="O1597" s="1244"/>
      <c r="P1597" s="1244"/>
      <c r="Q1597" s="1244"/>
      <c r="R1597" s="1244"/>
      <c r="S1597" s="1265"/>
      <c r="T1597" s="1244"/>
      <c r="U1597" s="1244"/>
    </row>
    <row r="1598">
      <c r="A1598" s="1235"/>
      <c r="B1598" s="1235"/>
      <c r="C1598" s="1246"/>
      <c r="D1598" s="1274"/>
      <c r="E1598" s="1248"/>
      <c r="F1598" s="1248"/>
      <c r="G1598" s="1271"/>
      <c r="H1598" s="1250"/>
      <c r="I1598" s="1251"/>
      <c r="J1598" s="1271"/>
      <c r="K1598" s="1271"/>
      <c r="L1598" s="1254"/>
      <c r="M1598" s="1244"/>
      <c r="N1598" s="1273"/>
      <c r="O1598" s="1244"/>
      <c r="P1598" s="1244"/>
      <c r="Q1598" s="1244"/>
      <c r="R1598" s="1244"/>
      <c r="S1598" s="1265"/>
      <c r="T1598" s="1244"/>
      <c r="U1598" s="1244"/>
    </row>
    <row r="1599">
      <c r="A1599" s="1235"/>
      <c r="B1599" s="1235"/>
      <c r="C1599" s="1246"/>
      <c r="D1599" s="1274"/>
      <c r="E1599" s="1248"/>
      <c r="F1599" s="1248"/>
      <c r="G1599" s="1271"/>
      <c r="H1599" s="1250"/>
      <c r="I1599" s="1251"/>
      <c r="J1599" s="1271"/>
      <c r="K1599" s="1271"/>
      <c r="L1599" s="1254"/>
      <c r="M1599" s="1244"/>
      <c r="N1599" s="1273"/>
      <c r="O1599" s="1244"/>
      <c r="P1599" s="1244"/>
      <c r="Q1599" s="1244"/>
      <c r="R1599" s="1244"/>
      <c r="S1599" s="1265"/>
      <c r="T1599" s="1244"/>
      <c r="U1599" s="1244"/>
    </row>
    <row r="1600">
      <c r="A1600" s="1235"/>
      <c r="B1600" s="1235"/>
      <c r="C1600" s="1246"/>
      <c r="D1600" s="1274"/>
      <c r="E1600" s="1248"/>
      <c r="F1600" s="1248"/>
      <c r="G1600" s="1271"/>
      <c r="H1600" s="1250"/>
      <c r="I1600" s="1251"/>
      <c r="J1600" s="1271"/>
      <c r="K1600" s="1271"/>
      <c r="L1600" s="1254"/>
      <c r="M1600" s="1244"/>
      <c r="N1600" s="1273"/>
      <c r="O1600" s="1244"/>
      <c r="P1600" s="1244"/>
      <c r="Q1600" s="1244"/>
      <c r="R1600" s="1244"/>
      <c r="S1600" s="1265"/>
      <c r="T1600" s="1244"/>
      <c r="U1600" s="1244"/>
    </row>
    <row r="1601">
      <c r="A1601" s="1235"/>
      <c r="B1601" s="1235"/>
      <c r="C1601" s="1246"/>
      <c r="D1601" s="1274"/>
      <c r="E1601" s="1248"/>
      <c r="F1601" s="1248"/>
      <c r="G1601" s="1271"/>
      <c r="H1601" s="1250"/>
      <c r="I1601" s="1251"/>
      <c r="J1601" s="1271"/>
      <c r="K1601" s="1271"/>
      <c r="L1601" s="1254"/>
      <c r="M1601" s="1244"/>
      <c r="N1601" s="1273"/>
      <c r="O1601" s="1244"/>
      <c r="P1601" s="1244"/>
      <c r="Q1601" s="1244"/>
      <c r="R1601" s="1244"/>
      <c r="S1601" s="1265"/>
      <c r="T1601" s="1244"/>
      <c r="U1601" s="1244"/>
    </row>
    <row r="1602">
      <c r="A1602" s="1235"/>
      <c r="B1602" s="1235"/>
      <c r="C1602" s="1246"/>
      <c r="D1602" s="1274"/>
      <c r="E1602" s="1248"/>
      <c r="F1602" s="1248"/>
      <c r="G1602" s="1271"/>
      <c r="H1602" s="1250"/>
      <c r="I1602" s="1251"/>
      <c r="J1602" s="1271"/>
      <c r="K1602" s="1271"/>
      <c r="L1602" s="1254"/>
      <c r="M1602" s="1244"/>
      <c r="N1602" s="1273"/>
      <c r="O1602" s="1244"/>
      <c r="P1602" s="1244"/>
      <c r="Q1602" s="1244"/>
      <c r="R1602" s="1244"/>
      <c r="S1602" s="1265"/>
      <c r="T1602" s="1244"/>
      <c r="U1602" s="1244"/>
    </row>
    <row r="1603">
      <c r="A1603" s="1235"/>
      <c r="B1603" s="1235"/>
      <c r="C1603" s="1246"/>
      <c r="D1603" s="1274"/>
      <c r="E1603" s="1248"/>
      <c r="F1603" s="1248"/>
      <c r="G1603" s="1271"/>
      <c r="H1603" s="1250"/>
      <c r="I1603" s="1251"/>
      <c r="J1603" s="1271"/>
      <c r="K1603" s="1271"/>
      <c r="L1603" s="1254"/>
      <c r="M1603" s="1244"/>
      <c r="N1603" s="1273"/>
      <c r="O1603" s="1244"/>
      <c r="P1603" s="1244"/>
      <c r="Q1603" s="1244"/>
      <c r="R1603" s="1244"/>
      <c r="S1603" s="1265"/>
      <c r="T1603" s="1244"/>
      <c r="U1603" s="1244"/>
    </row>
    <row r="1604">
      <c r="A1604" s="1235"/>
      <c r="B1604" s="1235"/>
      <c r="C1604" s="1246"/>
      <c r="D1604" s="1274"/>
      <c r="E1604" s="1248"/>
      <c r="F1604" s="1248"/>
      <c r="G1604" s="1271"/>
      <c r="H1604" s="1250"/>
      <c r="I1604" s="1251"/>
      <c r="J1604" s="1271"/>
      <c r="K1604" s="1271"/>
      <c r="L1604" s="1254"/>
      <c r="M1604" s="1244"/>
      <c r="N1604" s="1273"/>
      <c r="O1604" s="1244"/>
      <c r="P1604" s="1244"/>
      <c r="Q1604" s="1244"/>
      <c r="R1604" s="1244"/>
      <c r="S1604" s="1265"/>
      <c r="T1604" s="1244"/>
      <c r="U1604" s="1244"/>
    </row>
    <row r="1605">
      <c r="A1605" s="1235"/>
      <c r="B1605" s="1235"/>
      <c r="C1605" s="1246"/>
      <c r="D1605" s="1274"/>
      <c r="E1605" s="1248"/>
      <c r="F1605" s="1248"/>
      <c r="G1605" s="1271"/>
      <c r="H1605" s="1250"/>
      <c r="I1605" s="1251"/>
      <c r="J1605" s="1271"/>
      <c r="K1605" s="1271"/>
      <c r="L1605" s="1254"/>
      <c r="M1605" s="1244"/>
      <c r="N1605" s="1273"/>
      <c r="O1605" s="1244"/>
      <c r="P1605" s="1244"/>
      <c r="Q1605" s="1244"/>
      <c r="R1605" s="1244"/>
      <c r="S1605" s="1265"/>
      <c r="T1605" s="1244"/>
      <c r="U1605" s="1244"/>
    </row>
    <row r="1606">
      <c r="A1606" s="1235"/>
      <c r="B1606" s="1235"/>
      <c r="C1606" s="1246"/>
      <c r="D1606" s="1274"/>
      <c r="E1606" s="1248"/>
      <c r="F1606" s="1248"/>
      <c r="G1606" s="1271"/>
      <c r="H1606" s="1250"/>
      <c r="I1606" s="1251"/>
      <c r="J1606" s="1271"/>
      <c r="K1606" s="1271"/>
      <c r="L1606" s="1254"/>
      <c r="M1606" s="1244"/>
      <c r="N1606" s="1273"/>
      <c r="O1606" s="1244"/>
      <c r="P1606" s="1244"/>
      <c r="Q1606" s="1244"/>
      <c r="R1606" s="1244"/>
      <c r="S1606" s="1265"/>
      <c r="T1606" s="1244"/>
      <c r="U1606" s="1244"/>
    </row>
    <row r="1607">
      <c r="A1607" s="1235"/>
      <c r="B1607" s="1235"/>
      <c r="C1607" s="1246"/>
      <c r="D1607" s="1274"/>
      <c r="E1607" s="1248"/>
      <c r="F1607" s="1248"/>
      <c r="G1607" s="1271"/>
      <c r="H1607" s="1250"/>
      <c r="I1607" s="1251"/>
      <c r="J1607" s="1271"/>
      <c r="K1607" s="1271"/>
      <c r="L1607" s="1254"/>
      <c r="M1607" s="1244"/>
      <c r="N1607" s="1273"/>
      <c r="O1607" s="1244"/>
      <c r="P1607" s="1244"/>
      <c r="Q1607" s="1244"/>
      <c r="R1607" s="1244"/>
      <c r="S1607" s="1265"/>
      <c r="T1607" s="1244"/>
      <c r="U1607" s="1244"/>
    </row>
    <row r="1608">
      <c r="A1608" s="1235"/>
      <c r="B1608" s="1235"/>
      <c r="C1608" s="1246"/>
      <c r="D1608" s="1274"/>
      <c r="E1608" s="1248"/>
      <c r="F1608" s="1248"/>
      <c r="G1608" s="1271"/>
      <c r="H1608" s="1250"/>
      <c r="I1608" s="1251"/>
      <c r="J1608" s="1271"/>
      <c r="K1608" s="1271"/>
      <c r="L1608" s="1254"/>
      <c r="M1608" s="1244"/>
      <c r="N1608" s="1273"/>
      <c r="O1608" s="1244"/>
      <c r="P1608" s="1244"/>
      <c r="Q1608" s="1244"/>
      <c r="R1608" s="1244"/>
      <c r="S1608" s="1265"/>
      <c r="T1608" s="1244"/>
      <c r="U1608" s="1244"/>
    </row>
    <row r="1609">
      <c r="A1609" s="1235"/>
      <c r="B1609" s="1235"/>
      <c r="C1609" s="1246"/>
      <c r="D1609" s="1274"/>
      <c r="E1609" s="1248"/>
      <c r="F1609" s="1248"/>
      <c r="G1609" s="1271"/>
      <c r="H1609" s="1250"/>
      <c r="I1609" s="1251"/>
      <c r="J1609" s="1271"/>
      <c r="K1609" s="1271"/>
      <c r="L1609" s="1254"/>
      <c r="M1609" s="1244"/>
      <c r="N1609" s="1273"/>
      <c r="O1609" s="1244"/>
      <c r="P1609" s="1244"/>
      <c r="Q1609" s="1244"/>
      <c r="R1609" s="1244"/>
      <c r="S1609" s="1265"/>
      <c r="T1609" s="1244"/>
      <c r="U1609" s="1244"/>
    </row>
    <row r="1610">
      <c r="A1610" s="1235"/>
      <c r="B1610" s="1235"/>
      <c r="C1610" s="1246"/>
      <c r="D1610" s="1274"/>
      <c r="E1610" s="1248"/>
      <c r="F1610" s="1248"/>
      <c r="G1610" s="1271"/>
      <c r="H1610" s="1250"/>
      <c r="I1610" s="1251"/>
      <c r="J1610" s="1271"/>
      <c r="K1610" s="1271"/>
      <c r="L1610" s="1254"/>
      <c r="M1610" s="1244"/>
      <c r="N1610" s="1273"/>
      <c r="O1610" s="1244"/>
      <c r="P1610" s="1244"/>
      <c r="Q1610" s="1244"/>
      <c r="R1610" s="1244"/>
      <c r="S1610" s="1265"/>
      <c r="T1610" s="1244"/>
      <c r="U1610" s="1244"/>
    </row>
    <row r="1611">
      <c r="A1611" s="1235"/>
      <c r="B1611" s="1235"/>
      <c r="C1611" s="1246"/>
      <c r="D1611" s="1274"/>
      <c r="E1611" s="1248"/>
      <c r="F1611" s="1248"/>
      <c r="G1611" s="1271"/>
      <c r="H1611" s="1250"/>
      <c r="I1611" s="1251"/>
      <c r="J1611" s="1271"/>
      <c r="K1611" s="1271"/>
      <c r="L1611" s="1254"/>
      <c r="M1611" s="1244"/>
      <c r="N1611" s="1273"/>
      <c r="O1611" s="1244"/>
      <c r="P1611" s="1244"/>
      <c r="Q1611" s="1244"/>
      <c r="R1611" s="1244"/>
      <c r="S1611" s="1265"/>
      <c r="T1611" s="1244"/>
      <c r="U1611" s="1244"/>
    </row>
    <row r="1612">
      <c r="A1612" s="1235"/>
      <c r="B1612" s="1235"/>
      <c r="C1612" s="1246"/>
      <c r="D1612" s="1274"/>
      <c r="E1612" s="1248"/>
      <c r="F1612" s="1248"/>
      <c r="G1612" s="1271"/>
      <c r="H1612" s="1250"/>
      <c r="I1612" s="1251"/>
      <c r="J1612" s="1271"/>
      <c r="K1612" s="1271"/>
      <c r="L1612" s="1254"/>
      <c r="M1612" s="1244"/>
      <c r="N1612" s="1273"/>
      <c r="O1612" s="1244"/>
      <c r="P1612" s="1244"/>
      <c r="Q1612" s="1244"/>
      <c r="R1612" s="1244"/>
      <c r="S1612" s="1265"/>
      <c r="T1612" s="1244"/>
      <c r="U1612" s="1244"/>
    </row>
    <row r="1613">
      <c r="A1613" s="1235"/>
      <c r="B1613" s="1235"/>
      <c r="C1613" s="1246"/>
      <c r="D1613" s="1274"/>
      <c r="E1613" s="1248"/>
      <c r="F1613" s="1248"/>
      <c r="G1613" s="1271"/>
      <c r="H1613" s="1250"/>
      <c r="I1613" s="1251"/>
      <c r="J1613" s="1271"/>
      <c r="K1613" s="1271"/>
      <c r="L1613" s="1254"/>
      <c r="M1613" s="1244"/>
      <c r="N1613" s="1273"/>
      <c r="O1613" s="1244"/>
      <c r="P1613" s="1244"/>
      <c r="Q1613" s="1244"/>
      <c r="R1613" s="1244"/>
      <c r="S1613" s="1265"/>
      <c r="T1613" s="1244"/>
      <c r="U1613" s="1244"/>
    </row>
    <row r="1614">
      <c r="A1614" s="1235"/>
      <c r="B1614" s="1235"/>
      <c r="C1614" s="1246"/>
      <c r="D1614" s="1274"/>
      <c r="E1614" s="1248"/>
      <c r="F1614" s="1248"/>
      <c r="G1614" s="1271"/>
      <c r="H1614" s="1250"/>
      <c r="I1614" s="1251"/>
      <c r="J1614" s="1271"/>
      <c r="K1614" s="1271"/>
      <c r="L1614" s="1254"/>
      <c r="M1614" s="1244"/>
      <c r="N1614" s="1273"/>
      <c r="O1614" s="1244"/>
      <c r="P1614" s="1244"/>
      <c r="Q1614" s="1244"/>
      <c r="R1614" s="1244"/>
      <c r="S1614" s="1265"/>
      <c r="T1614" s="1244"/>
      <c r="U1614" s="1244"/>
    </row>
    <row r="1615">
      <c r="A1615" s="1235"/>
      <c r="B1615" s="1235"/>
      <c r="C1615" s="1246"/>
      <c r="D1615" s="1274"/>
      <c r="E1615" s="1248"/>
      <c r="F1615" s="1248"/>
      <c r="G1615" s="1271"/>
      <c r="H1615" s="1250"/>
      <c r="I1615" s="1251"/>
      <c r="J1615" s="1271"/>
      <c r="K1615" s="1271"/>
      <c r="L1615" s="1254"/>
      <c r="M1615" s="1244"/>
      <c r="N1615" s="1273"/>
      <c r="O1615" s="1244"/>
      <c r="P1615" s="1244"/>
      <c r="Q1615" s="1244"/>
      <c r="R1615" s="1244"/>
      <c r="S1615" s="1265"/>
      <c r="T1615" s="1244"/>
      <c r="U1615" s="1244"/>
    </row>
    <row r="1616">
      <c r="A1616" s="1235"/>
      <c r="B1616" s="1235"/>
      <c r="C1616" s="1246"/>
      <c r="D1616" s="1274"/>
      <c r="E1616" s="1248"/>
      <c r="F1616" s="1248"/>
      <c r="G1616" s="1271"/>
      <c r="H1616" s="1250"/>
      <c r="I1616" s="1251"/>
      <c r="J1616" s="1271"/>
      <c r="K1616" s="1271"/>
      <c r="L1616" s="1254"/>
      <c r="M1616" s="1244"/>
      <c r="N1616" s="1273"/>
      <c r="O1616" s="1244"/>
      <c r="P1616" s="1244"/>
      <c r="Q1616" s="1244"/>
      <c r="R1616" s="1244"/>
      <c r="S1616" s="1265"/>
      <c r="T1616" s="1244"/>
      <c r="U1616" s="1244"/>
    </row>
    <row r="1617">
      <c r="A1617" s="1235"/>
      <c r="B1617" s="1235"/>
      <c r="C1617" s="1246"/>
      <c r="D1617" s="1274"/>
      <c r="E1617" s="1248"/>
      <c r="F1617" s="1248"/>
      <c r="G1617" s="1271"/>
      <c r="H1617" s="1250"/>
      <c r="I1617" s="1251"/>
      <c r="J1617" s="1271"/>
      <c r="K1617" s="1271"/>
      <c r="L1617" s="1254"/>
      <c r="M1617" s="1244"/>
      <c r="N1617" s="1273"/>
      <c r="O1617" s="1244"/>
      <c r="P1617" s="1244"/>
      <c r="Q1617" s="1244"/>
      <c r="R1617" s="1244"/>
      <c r="S1617" s="1265"/>
      <c r="T1617" s="1244"/>
      <c r="U1617" s="1244"/>
    </row>
    <row r="1618">
      <c r="A1618" s="1235"/>
      <c r="B1618" s="1235"/>
      <c r="C1618" s="1246"/>
      <c r="D1618" s="1274"/>
      <c r="E1618" s="1248"/>
      <c r="F1618" s="1248"/>
      <c r="G1618" s="1271"/>
      <c r="H1618" s="1250"/>
      <c r="I1618" s="1251"/>
      <c r="J1618" s="1271"/>
      <c r="K1618" s="1271"/>
      <c r="L1618" s="1254"/>
      <c r="M1618" s="1244"/>
      <c r="N1618" s="1273"/>
      <c r="O1618" s="1244"/>
      <c r="P1618" s="1244"/>
      <c r="Q1618" s="1244"/>
      <c r="R1618" s="1244"/>
      <c r="S1618" s="1265"/>
      <c r="T1618" s="1244"/>
      <c r="U1618" s="1244"/>
    </row>
    <row r="1619">
      <c r="A1619" s="1235"/>
      <c r="B1619" s="1235"/>
      <c r="C1619" s="1246"/>
      <c r="D1619" s="1274"/>
      <c r="E1619" s="1248"/>
      <c r="F1619" s="1248"/>
      <c r="G1619" s="1271"/>
      <c r="H1619" s="1250"/>
      <c r="I1619" s="1251"/>
      <c r="J1619" s="1271"/>
      <c r="K1619" s="1271"/>
      <c r="L1619" s="1254"/>
      <c r="M1619" s="1244"/>
      <c r="N1619" s="1273"/>
      <c r="O1619" s="1244"/>
      <c r="P1619" s="1244"/>
      <c r="Q1619" s="1244"/>
      <c r="R1619" s="1244"/>
      <c r="S1619" s="1265"/>
      <c r="T1619" s="1244"/>
      <c r="U1619" s="1244"/>
    </row>
    <row r="1620">
      <c r="A1620" s="1235"/>
      <c r="B1620" s="1235"/>
      <c r="C1620" s="1246"/>
      <c r="D1620" s="1274"/>
      <c r="E1620" s="1248"/>
      <c r="F1620" s="1248"/>
      <c r="G1620" s="1271"/>
      <c r="H1620" s="1250"/>
      <c r="I1620" s="1251"/>
      <c r="J1620" s="1271"/>
      <c r="K1620" s="1271"/>
      <c r="L1620" s="1254"/>
      <c r="M1620" s="1244"/>
      <c r="N1620" s="1273"/>
      <c r="O1620" s="1244"/>
      <c r="P1620" s="1244"/>
      <c r="Q1620" s="1244"/>
      <c r="R1620" s="1244"/>
      <c r="S1620" s="1265"/>
      <c r="T1620" s="1244"/>
      <c r="U1620" s="1244"/>
    </row>
    <row r="1621">
      <c r="A1621" s="1235"/>
      <c r="B1621" s="1235"/>
      <c r="C1621" s="1246"/>
      <c r="D1621" s="1274"/>
      <c r="E1621" s="1248"/>
      <c r="F1621" s="1248"/>
      <c r="G1621" s="1271"/>
      <c r="H1621" s="1250"/>
      <c r="I1621" s="1251"/>
      <c r="J1621" s="1271"/>
      <c r="K1621" s="1271"/>
      <c r="L1621" s="1254"/>
      <c r="M1621" s="1244"/>
      <c r="N1621" s="1273"/>
      <c r="O1621" s="1244"/>
      <c r="P1621" s="1244"/>
      <c r="Q1621" s="1244"/>
      <c r="R1621" s="1244"/>
      <c r="S1621" s="1265"/>
      <c r="T1621" s="1244"/>
      <c r="U1621" s="1244"/>
    </row>
    <row r="1622">
      <c r="A1622" s="1235"/>
      <c r="B1622" s="1235"/>
      <c r="C1622" s="1246"/>
      <c r="D1622" s="1274"/>
      <c r="E1622" s="1248"/>
      <c r="F1622" s="1248"/>
      <c r="G1622" s="1271"/>
      <c r="H1622" s="1250"/>
      <c r="I1622" s="1251"/>
      <c r="J1622" s="1271"/>
      <c r="K1622" s="1271"/>
      <c r="L1622" s="1254"/>
      <c r="M1622" s="1244"/>
      <c r="N1622" s="1273"/>
      <c r="O1622" s="1244"/>
      <c r="P1622" s="1244"/>
      <c r="Q1622" s="1244"/>
      <c r="R1622" s="1244"/>
      <c r="S1622" s="1265"/>
      <c r="T1622" s="1244"/>
      <c r="U1622" s="1244"/>
    </row>
    <row r="1623">
      <c r="A1623" s="1235"/>
      <c r="B1623" s="1235"/>
      <c r="C1623" s="1246"/>
      <c r="D1623" s="1274"/>
      <c r="E1623" s="1248"/>
      <c r="F1623" s="1248"/>
      <c r="G1623" s="1271"/>
      <c r="H1623" s="1250"/>
      <c r="I1623" s="1251"/>
      <c r="J1623" s="1271"/>
      <c r="K1623" s="1271"/>
      <c r="L1623" s="1254"/>
      <c r="M1623" s="1244"/>
      <c r="N1623" s="1273"/>
      <c r="O1623" s="1244"/>
      <c r="P1623" s="1244"/>
      <c r="Q1623" s="1244"/>
      <c r="R1623" s="1244"/>
      <c r="S1623" s="1265"/>
      <c r="T1623" s="1244"/>
      <c r="U1623" s="1244"/>
    </row>
    <row r="1624">
      <c r="A1624" s="1235"/>
      <c r="B1624" s="1235"/>
      <c r="C1624" s="1246"/>
      <c r="D1624" s="1274"/>
      <c r="E1624" s="1248"/>
      <c r="F1624" s="1248"/>
      <c r="G1624" s="1271"/>
      <c r="H1624" s="1250"/>
      <c r="I1624" s="1251"/>
      <c r="J1624" s="1271"/>
      <c r="K1624" s="1271"/>
      <c r="L1624" s="1254"/>
      <c r="M1624" s="1244"/>
      <c r="N1624" s="1273"/>
      <c r="O1624" s="1244"/>
      <c r="P1624" s="1244"/>
      <c r="Q1624" s="1244"/>
      <c r="R1624" s="1244"/>
      <c r="S1624" s="1265"/>
      <c r="T1624" s="1244"/>
      <c r="U1624" s="1244"/>
    </row>
    <row r="1625">
      <c r="A1625" s="1235"/>
      <c r="B1625" s="1235"/>
      <c r="C1625" s="1246"/>
      <c r="D1625" s="1274"/>
      <c r="E1625" s="1248"/>
      <c r="F1625" s="1248"/>
      <c r="G1625" s="1271"/>
      <c r="H1625" s="1250"/>
      <c r="I1625" s="1251"/>
      <c r="J1625" s="1271"/>
      <c r="K1625" s="1271"/>
      <c r="L1625" s="1254"/>
      <c r="M1625" s="1244"/>
      <c r="N1625" s="1273"/>
      <c r="O1625" s="1244"/>
      <c r="P1625" s="1244"/>
      <c r="Q1625" s="1244"/>
      <c r="R1625" s="1244"/>
      <c r="S1625" s="1265"/>
      <c r="T1625" s="1244"/>
      <c r="U1625" s="1244"/>
    </row>
    <row r="1626">
      <c r="A1626" s="1235"/>
      <c r="B1626" s="1235"/>
      <c r="C1626" s="1246"/>
      <c r="D1626" s="1274"/>
      <c r="E1626" s="1248"/>
      <c r="F1626" s="1248"/>
      <c r="G1626" s="1271"/>
      <c r="H1626" s="1250"/>
      <c r="I1626" s="1251"/>
      <c r="J1626" s="1271"/>
      <c r="K1626" s="1271"/>
      <c r="L1626" s="1254"/>
      <c r="M1626" s="1244"/>
      <c r="N1626" s="1273"/>
      <c r="O1626" s="1244"/>
      <c r="P1626" s="1244"/>
      <c r="Q1626" s="1244"/>
      <c r="R1626" s="1244"/>
      <c r="S1626" s="1265"/>
      <c r="T1626" s="1244"/>
      <c r="U1626" s="1244"/>
    </row>
    <row r="1627">
      <c r="A1627" s="1235"/>
      <c r="B1627" s="1235"/>
      <c r="C1627" s="1246"/>
      <c r="D1627" s="1274"/>
      <c r="E1627" s="1248"/>
      <c r="F1627" s="1248"/>
      <c r="G1627" s="1271"/>
      <c r="H1627" s="1250"/>
      <c r="I1627" s="1251"/>
      <c r="J1627" s="1271"/>
      <c r="K1627" s="1271"/>
      <c r="L1627" s="1254"/>
      <c r="M1627" s="1244"/>
      <c r="N1627" s="1273"/>
      <c r="O1627" s="1244"/>
      <c r="P1627" s="1244"/>
      <c r="Q1627" s="1244"/>
      <c r="R1627" s="1244"/>
      <c r="S1627" s="1265"/>
      <c r="T1627" s="1244"/>
      <c r="U1627" s="1244"/>
    </row>
    <row r="1628">
      <c r="A1628" s="1235"/>
      <c r="B1628" s="1235"/>
      <c r="C1628" s="1246"/>
      <c r="D1628" s="1274"/>
      <c r="E1628" s="1248"/>
      <c r="F1628" s="1248"/>
      <c r="G1628" s="1271"/>
      <c r="H1628" s="1250"/>
      <c r="I1628" s="1251"/>
      <c r="J1628" s="1271"/>
      <c r="K1628" s="1271"/>
      <c r="L1628" s="1254"/>
      <c r="M1628" s="1244"/>
      <c r="N1628" s="1273"/>
      <c r="O1628" s="1244"/>
      <c r="P1628" s="1244"/>
      <c r="Q1628" s="1244"/>
      <c r="R1628" s="1244"/>
      <c r="S1628" s="1265"/>
      <c r="T1628" s="1244"/>
      <c r="U1628" s="1244"/>
    </row>
    <row r="1629">
      <c r="A1629" s="1235"/>
      <c r="B1629" s="1235"/>
      <c r="C1629" s="1246"/>
      <c r="D1629" s="1274"/>
      <c r="E1629" s="1248"/>
      <c r="F1629" s="1248"/>
      <c r="G1629" s="1271"/>
      <c r="H1629" s="1250"/>
      <c r="I1629" s="1251"/>
      <c r="J1629" s="1271"/>
      <c r="K1629" s="1271"/>
      <c r="L1629" s="1254"/>
      <c r="M1629" s="1244"/>
      <c r="N1629" s="1273"/>
      <c r="O1629" s="1244"/>
      <c r="P1629" s="1244"/>
      <c r="Q1629" s="1244"/>
      <c r="R1629" s="1244"/>
      <c r="S1629" s="1265"/>
      <c r="T1629" s="1244"/>
      <c r="U1629" s="1244"/>
    </row>
    <row r="1630">
      <c r="A1630" s="1235"/>
      <c r="B1630" s="1235"/>
      <c r="C1630" s="1246"/>
      <c r="D1630" s="1274"/>
      <c r="E1630" s="1248"/>
      <c r="F1630" s="1248"/>
      <c r="G1630" s="1271"/>
      <c r="H1630" s="1250"/>
      <c r="I1630" s="1251"/>
      <c r="J1630" s="1271"/>
      <c r="K1630" s="1271"/>
      <c r="L1630" s="1254"/>
      <c r="M1630" s="1244"/>
      <c r="N1630" s="1273"/>
      <c r="O1630" s="1244"/>
      <c r="P1630" s="1244"/>
      <c r="Q1630" s="1244"/>
      <c r="R1630" s="1244"/>
      <c r="S1630" s="1265"/>
      <c r="T1630" s="1244"/>
      <c r="U1630" s="1244"/>
    </row>
    <row r="1631">
      <c r="A1631" s="1235"/>
      <c r="B1631" s="1235"/>
      <c r="C1631" s="1246"/>
      <c r="D1631" s="1274"/>
      <c r="E1631" s="1248"/>
      <c r="F1631" s="1248"/>
      <c r="G1631" s="1271"/>
      <c r="H1631" s="1250"/>
      <c r="I1631" s="1251"/>
      <c r="J1631" s="1271"/>
      <c r="K1631" s="1271"/>
      <c r="L1631" s="1254"/>
      <c r="M1631" s="1244"/>
      <c r="N1631" s="1273"/>
      <c r="O1631" s="1244"/>
      <c r="P1631" s="1244"/>
      <c r="Q1631" s="1244"/>
      <c r="R1631" s="1244"/>
      <c r="S1631" s="1265"/>
      <c r="T1631" s="1244"/>
      <c r="U1631" s="1244"/>
    </row>
    <row r="1632">
      <c r="A1632" s="1235"/>
      <c r="B1632" s="1235"/>
      <c r="C1632" s="1246"/>
      <c r="D1632" s="1274"/>
      <c r="E1632" s="1248"/>
      <c r="F1632" s="1248"/>
      <c r="G1632" s="1271"/>
      <c r="H1632" s="1250"/>
      <c r="I1632" s="1251"/>
      <c r="J1632" s="1271"/>
      <c r="K1632" s="1271"/>
      <c r="L1632" s="1254"/>
      <c r="M1632" s="1244"/>
      <c r="N1632" s="1273"/>
      <c r="O1632" s="1244"/>
      <c r="P1632" s="1244"/>
      <c r="Q1632" s="1244"/>
      <c r="R1632" s="1244"/>
      <c r="S1632" s="1265"/>
      <c r="T1632" s="1244"/>
      <c r="U1632" s="1244"/>
    </row>
    <row r="1633">
      <c r="A1633" s="1235"/>
      <c r="B1633" s="1235"/>
      <c r="C1633" s="1246"/>
      <c r="D1633" s="1274"/>
      <c r="E1633" s="1248"/>
      <c r="F1633" s="1248"/>
      <c r="G1633" s="1271"/>
      <c r="H1633" s="1250"/>
      <c r="I1633" s="1251"/>
      <c r="J1633" s="1271"/>
      <c r="K1633" s="1271"/>
      <c r="L1633" s="1254"/>
      <c r="M1633" s="1244"/>
      <c r="N1633" s="1273"/>
      <c r="O1633" s="1244"/>
      <c r="P1633" s="1244"/>
      <c r="Q1633" s="1244"/>
      <c r="R1633" s="1244"/>
      <c r="S1633" s="1265"/>
      <c r="T1633" s="1244"/>
      <c r="U1633" s="1244"/>
    </row>
    <row r="1634">
      <c r="A1634" s="1235"/>
      <c r="B1634" s="1235"/>
      <c r="C1634" s="1246"/>
      <c r="D1634" s="1274"/>
      <c r="E1634" s="1248"/>
      <c r="F1634" s="1248"/>
      <c r="G1634" s="1271"/>
      <c r="H1634" s="1250"/>
      <c r="I1634" s="1251"/>
      <c r="J1634" s="1271"/>
      <c r="K1634" s="1271"/>
      <c r="L1634" s="1254"/>
      <c r="M1634" s="1244"/>
      <c r="N1634" s="1273"/>
      <c r="O1634" s="1244"/>
      <c r="P1634" s="1244"/>
      <c r="Q1634" s="1244"/>
      <c r="R1634" s="1244"/>
      <c r="S1634" s="1265"/>
      <c r="T1634" s="1244"/>
      <c r="U1634" s="1244"/>
    </row>
    <row r="1635">
      <c r="A1635" s="1235"/>
      <c r="B1635" s="1235"/>
      <c r="C1635" s="1246"/>
      <c r="D1635" s="1274"/>
      <c r="E1635" s="1248"/>
      <c r="F1635" s="1248"/>
      <c r="G1635" s="1271"/>
      <c r="H1635" s="1250"/>
      <c r="I1635" s="1251"/>
      <c r="J1635" s="1271"/>
      <c r="K1635" s="1271"/>
      <c r="L1635" s="1254"/>
      <c r="M1635" s="1244"/>
      <c r="N1635" s="1273"/>
      <c r="O1635" s="1244"/>
      <c r="P1635" s="1244"/>
      <c r="Q1635" s="1244"/>
      <c r="R1635" s="1244"/>
      <c r="S1635" s="1265"/>
      <c r="T1635" s="1244"/>
      <c r="U1635" s="1244"/>
    </row>
    <row r="1636">
      <c r="A1636" s="1235"/>
      <c r="B1636" s="1235"/>
      <c r="C1636" s="1246"/>
      <c r="D1636" s="1274"/>
      <c r="E1636" s="1248"/>
      <c r="F1636" s="1248"/>
      <c r="G1636" s="1271"/>
      <c r="H1636" s="1250"/>
      <c r="I1636" s="1251"/>
      <c r="J1636" s="1271"/>
      <c r="K1636" s="1271"/>
      <c r="L1636" s="1254"/>
      <c r="M1636" s="1244"/>
      <c r="N1636" s="1273"/>
      <c r="O1636" s="1244"/>
      <c r="P1636" s="1244"/>
      <c r="Q1636" s="1244"/>
      <c r="R1636" s="1244"/>
      <c r="S1636" s="1265"/>
      <c r="T1636" s="1244"/>
      <c r="U1636" s="1244"/>
    </row>
    <row r="1637">
      <c r="A1637" s="1235"/>
      <c r="B1637" s="1235"/>
      <c r="C1637" s="1246"/>
      <c r="D1637" s="1274"/>
      <c r="E1637" s="1248"/>
      <c r="F1637" s="1248"/>
      <c r="G1637" s="1271"/>
      <c r="H1637" s="1250"/>
      <c r="I1637" s="1251"/>
      <c r="J1637" s="1271"/>
      <c r="K1637" s="1271"/>
      <c r="L1637" s="1254"/>
      <c r="M1637" s="1244"/>
      <c r="N1637" s="1273"/>
      <c r="O1637" s="1244"/>
      <c r="P1637" s="1244"/>
      <c r="Q1637" s="1244"/>
      <c r="R1637" s="1244"/>
      <c r="S1637" s="1265"/>
      <c r="T1637" s="1244"/>
      <c r="U1637" s="1244"/>
    </row>
    <row r="1638">
      <c r="A1638" s="1235"/>
      <c r="B1638" s="1235"/>
      <c r="C1638" s="1246"/>
      <c r="D1638" s="1274"/>
      <c r="E1638" s="1248"/>
      <c r="F1638" s="1248"/>
      <c r="G1638" s="1271"/>
      <c r="H1638" s="1250"/>
      <c r="I1638" s="1251"/>
      <c r="J1638" s="1271"/>
      <c r="K1638" s="1271"/>
      <c r="L1638" s="1254"/>
      <c r="M1638" s="1244"/>
      <c r="N1638" s="1273"/>
      <c r="O1638" s="1244"/>
      <c r="P1638" s="1244"/>
      <c r="Q1638" s="1244"/>
      <c r="R1638" s="1244"/>
      <c r="S1638" s="1265"/>
      <c r="T1638" s="1244"/>
      <c r="U1638" s="1244"/>
    </row>
    <row r="1639">
      <c r="A1639" s="1235"/>
      <c r="B1639" s="1235"/>
      <c r="C1639" s="1246"/>
      <c r="D1639" s="1274"/>
      <c r="E1639" s="1248"/>
      <c r="F1639" s="1248"/>
      <c r="G1639" s="1271"/>
      <c r="H1639" s="1250"/>
      <c r="I1639" s="1251"/>
      <c r="J1639" s="1271"/>
      <c r="K1639" s="1271"/>
      <c r="L1639" s="1254"/>
      <c r="M1639" s="1244"/>
      <c r="N1639" s="1273"/>
      <c r="O1639" s="1244"/>
      <c r="P1639" s="1244"/>
      <c r="Q1639" s="1244"/>
      <c r="R1639" s="1244"/>
      <c r="S1639" s="1265"/>
      <c r="T1639" s="1244"/>
      <c r="U1639" s="1244"/>
    </row>
    <row r="1640">
      <c r="A1640" s="1235"/>
      <c r="B1640" s="1235"/>
      <c r="C1640" s="1246"/>
      <c r="D1640" s="1274"/>
      <c r="E1640" s="1248"/>
      <c r="F1640" s="1248"/>
      <c r="G1640" s="1271"/>
      <c r="H1640" s="1250"/>
      <c r="I1640" s="1251"/>
      <c r="J1640" s="1271"/>
      <c r="K1640" s="1271"/>
      <c r="L1640" s="1254"/>
      <c r="M1640" s="1244"/>
      <c r="N1640" s="1273"/>
      <c r="O1640" s="1244"/>
      <c r="P1640" s="1244"/>
      <c r="Q1640" s="1244"/>
      <c r="R1640" s="1244"/>
      <c r="S1640" s="1265"/>
      <c r="T1640" s="1244"/>
      <c r="U1640" s="1244"/>
    </row>
    <row r="1641">
      <c r="A1641" s="1235"/>
      <c r="B1641" s="1235"/>
      <c r="C1641" s="1246"/>
      <c r="D1641" s="1274"/>
      <c r="E1641" s="1248"/>
      <c r="F1641" s="1248"/>
      <c r="G1641" s="1271"/>
      <c r="H1641" s="1250"/>
      <c r="I1641" s="1251"/>
      <c r="J1641" s="1271"/>
      <c r="K1641" s="1271"/>
      <c r="L1641" s="1254"/>
      <c r="M1641" s="1244"/>
      <c r="N1641" s="1273"/>
      <c r="O1641" s="1244"/>
      <c r="P1641" s="1244"/>
      <c r="Q1641" s="1244"/>
      <c r="R1641" s="1244"/>
      <c r="S1641" s="1265"/>
      <c r="T1641" s="1244"/>
      <c r="U1641" s="1244"/>
    </row>
    <row r="1642">
      <c r="A1642" s="1235"/>
      <c r="B1642" s="1235"/>
      <c r="C1642" s="1246"/>
      <c r="D1642" s="1274"/>
      <c r="E1642" s="1248"/>
      <c r="F1642" s="1248"/>
      <c r="G1642" s="1271"/>
      <c r="H1642" s="1250"/>
      <c r="I1642" s="1251"/>
      <c r="J1642" s="1271"/>
      <c r="K1642" s="1271"/>
      <c r="L1642" s="1254"/>
      <c r="M1642" s="1244"/>
      <c r="N1642" s="1273"/>
      <c r="O1642" s="1244"/>
      <c r="P1642" s="1244"/>
      <c r="Q1642" s="1244"/>
      <c r="R1642" s="1244"/>
      <c r="S1642" s="1265"/>
      <c r="T1642" s="1244"/>
      <c r="U1642" s="1244"/>
    </row>
    <row r="1643">
      <c r="A1643" s="1235"/>
      <c r="B1643" s="1235"/>
      <c r="C1643" s="1246"/>
      <c r="D1643" s="1274"/>
      <c r="E1643" s="1248"/>
      <c r="F1643" s="1248"/>
      <c r="G1643" s="1271"/>
      <c r="H1643" s="1250"/>
      <c r="I1643" s="1251"/>
      <c r="J1643" s="1271"/>
      <c r="K1643" s="1271"/>
      <c r="L1643" s="1254"/>
      <c r="M1643" s="1244"/>
      <c r="N1643" s="1273"/>
      <c r="O1643" s="1244"/>
      <c r="P1643" s="1244"/>
      <c r="Q1643" s="1244"/>
      <c r="R1643" s="1244"/>
      <c r="S1643" s="1265"/>
      <c r="T1643" s="1244"/>
      <c r="U1643" s="1244"/>
    </row>
    <row r="1644">
      <c r="A1644" s="1235"/>
      <c r="B1644" s="1235"/>
      <c r="C1644" s="1246"/>
      <c r="D1644" s="1274"/>
      <c r="E1644" s="1248"/>
      <c r="F1644" s="1248"/>
      <c r="G1644" s="1271"/>
      <c r="H1644" s="1250"/>
      <c r="I1644" s="1251"/>
      <c r="J1644" s="1271"/>
      <c r="K1644" s="1271"/>
      <c r="L1644" s="1254"/>
      <c r="M1644" s="1244"/>
      <c r="N1644" s="1273"/>
      <c r="O1644" s="1244"/>
      <c r="P1644" s="1244"/>
      <c r="Q1644" s="1244"/>
      <c r="R1644" s="1244"/>
      <c r="S1644" s="1265"/>
      <c r="T1644" s="1244"/>
      <c r="U1644" s="1244"/>
    </row>
    <row r="1645">
      <c r="A1645" s="1235"/>
      <c r="B1645" s="1235"/>
      <c r="C1645" s="1246"/>
      <c r="D1645" s="1274"/>
      <c r="E1645" s="1248"/>
      <c r="F1645" s="1248"/>
      <c r="G1645" s="1271"/>
      <c r="H1645" s="1250"/>
      <c r="I1645" s="1251"/>
      <c r="J1645" s="1271"/>
      <c r="K1645" s="1271"/>
      <c r="L1645" s="1254"/>
      <c r="M1645" s="1244"/>
      <c r="N1645" s="1273"/>
      <c r="O1645" s="1244"/>
      <c r="P1645" s="1244"/>
      <c r="Q1645" s="1244"/>
      <c r="R1645" s="1244"/>
      <c r="S1645" s="1265"/>
      <c r="T1645" s="1244"/>
      <c r="U1645" s="1244"/>
    </row>
    <row r="1646">
      <c r="A1646" s="1235"/>
      <c r="B1646" s="1235"/>
      <c r="C1646" s="1246"/>
      <c r="D1646" s="1274"/>
      <c r="E1646" s="1248"/>
      <c r="F1646" s="1248"/>
      <c r="G1646" s="1271"/>
      <c r="H1646" s="1250"/>
      <c r="I1646" s="1251"/>
      <c r="J1646" s="1271"/>
      <c r="K1646" s="1271"/>
      <c r="L1646" s="1254"/>
      <c r="M1646" s="1244"/>
      <c r="N1646" s="1273"/>
      <c r="O1646" s="1244"/>
      <c r="P1646" s="1244"/>
      <c r="Q1646" s="1244"/>
      <c r="R1646" s="1244"/>
      <c r="S1646" s="1265"/>
      <c r="T1646" s="1244"/>
      <c r="U1646" s="1244"/>
    </row>
    <row r="1647">
      <c r="A1647" s="1235"/>
      <c r="B1647" s="1235"/>
      <c r="C1647" s="1246"/>
      <c r="D1647" s="1274"/>
      <c r="E1647" s="1248"/>
      <c r="F1647" s="1248"/>
      <c r="G1647" s="1271"/>
      <c r="H1647" s="1250"/>
      <c r="I1647" s="1251"/>
      <c r="J1647" s="1271"/>
      <c r="K1647" s="1271"/>
      <c r="L1647" s="1254"/>
      <c r="M1647" s="1244"/>
      <c r="N1647" s="1273"/>
      <c r="O1647" s="1244"/>
      <c r="P1647" s="1244"/>
      <c r="Q1647" s="1244"/>
      <c r="R1647" s="1244"/>
      <c r="S1647" s="1265"/>
      <c r="T1647" s="1244"/>
      <c r="U1647" s="1244"/>
    </row>
    <row r="1648">
      <c r="A1648" s="1235"/>
      <c r="B1648" s="1235"/>
      <c r="C1648" s="1246"/>
      <c r="D1648" s="1274"/>
      <c r="E1648" s="1248"/>
      <c r="F1648" s="1248"/>
      <c r="G1648" s="1271"/>
      <c r="H1648" s="1250"/>
      <c r="I1648" s="1251"/>
      <c r="J1648" s="1271"/>
      <c r="K1648" s="1271"/>
      <c r="L1648" s="1254"/>
      <c r="M1648" s="1244"/>
      <c r="N1648" s="1273"/>
      <c r="O1648" s="1244"/>
      <c r="P1648" s="1244"/>
      <c r="Q1648" s="1244"/>
      <c r="R1648" s="1244"/>
      <c r="S1648" s="1265"/>
      <c r="T1648" s="1244"/>
      <c r="U1648" s="1244"/>
    </row>
    <row r="1649">
      <c r="A1649" s="1235"/>
      <c r="B1649" s="1235"/>
      <c r="C1649" s="1246"/>
      <c r="D1649" s="1274"/>
      <c r="E1649" s="1248"/>
      <c r="F1649" s="1248"/>
      <c r="G1649" s="1271"/>
      <c r="H1649" s="1250"/>
      <c r="I1649" s="1251"/>
      <c r="J1649" s="1271"/>
      <c r="K1649" s="1271"/>
      <c r="L1649" s="1254"/>
      <c r="M1649" s="1244"/>
      <c r="N1649" s="1273"/>
      <c r="O1649" s="1244"/>
      <c r="P1649" s="1244"/>
      <c r="Q1649" s="1244"/>
      <c r="R1649" s="1244"/>
      <c r="S1649" s="1265"/>
      <c r="T1649" s="1244"/>
      <c r="U1649" s="1244"/>
    </row>
    <row r="1650">
      <c r="A1650" s="1235"/>
      <c r="B1650" s="1235"/>
      <c r="C1650" s="1246"/>
      <c r="D1650" s="1274"/>
      <c r="E1650" s="1248"/>
      <c r="F1650" s="1248"/>
      <c r="G1650" s="1271"/>
      <c r="H1650" s="1250"/>
      <c r="I1650" s="1251"/>
      <c r="J1650" s="1271"/>
      <c r="K1650" s="1271"/>
      <c r="L1650" s="1254"/>
      <c r="M1650" s="1244"/>
      <c r="N1650" s="1273"/>
      <c r="O1650" s="1244"/>
      <c r="P1650" s="1244"/>
      <c r="Q1650" s="1244"/>
      <c r="R1650" s="1244"/>
      <c r="S1650" s="1265"/>
      <c r="T1650" s="1244"/>
      <c r="U1650" s="1244"/>
    </row>
    <row r="1651">
      <c r="A1651" s="1235"/>
      <c r="B1651" s="1235"/>
      <c r="C1651" s="1246"/>
      <c r="D1651" s="1274"/>
      <c r="E1651" s="1248"/>
      <c r="F1651" s="1248"/>
      <c r="G1651" s="1271"/>
      <c r="H1651" s="1250"/>
      <c r="I1651" s="1251"/>
      <c r="J1651" s="1271"/>
      <c r="K1651" s="1271"/>
      <c r="L1651" s="1254"/>
      <c r="M1651" s="1244"/>
      <c r="N1651" s="1273"/>
      <c r="O1651" s="1244"/>
      <c r="P1651" s="1244"/>
      <c r="Q1651" s="1244"/>
      <c r="R1651" s="1244"/>
      <c r="S1651" s="1265"/>
      <c r="T1651" s="1244"/>
      <c r="U1651" s="1244"/>
    </row>
    <row r="1652">
      <c r="A1652" s="1235"/>
      <c r="B1652" s="1235"/>
      <c r="C1652" s="1246"/>
      <c r="D1652" s="1274"/>
      <c r="E1652" s="1248"/>
      <c r="F1652" s="1248"/>
      <c r="G1652" s="1271"/>
      <c r="H1652" s="1250"/>
      <c r="I1652" s="1251"/>
      <c r="J1652" s="1271"/>
      <c r="K1652" s="1271"/>
      <c r="L1652" s="1254"/>
      <c r="M1652" s="1244"/>
      <c r="N1652" s="1273"/>
      <c r="O1652" s="1244"/>
      <c r="P1652" s="1244"/>
      <c r="Q1652" s="1244"/>
      <c r="R1652" s="1244"/>
      <c r="S1652" s="1265"/>
      <c r="T1652" s="1244"/>
      <c r="U1652" s="1244"/>
    </row>
    <row r="1653">
      <c r="A1653" s="1235"/>
      <c r="B1653" s="1235"/>
      <c r="C1653" s="1246"/>
      <c r="D1653" s="1274"/>
      <c r="E1653" s="1248"/>
      <c r="F1653" s="1248"/>
      <c r="G1653" s="1271"/>
      <c r="H1653" s="1250"/>
      <c r="I1653" s="1251"/>
      <c r="J1653" s="1271"/>
      <c r="K1653" s="1271"/>
      <c r="L1653" s="1254"/>
      <c r="M1653" s="1244"/>
      <c r="N1653" s="1273"/>
      <c r="O1653" s="1244"/>
      <c r="P1653" s="1244"/>
      <c r="Q1653" s="1244"/>
      <c r="R1653" s="1244"/>
      <c r="S1653" s="1265"/>
      <c r="T1653" s="1244"/>
      <c r="U1653" s="1244"/>
    </row>
    <row r="1654">
      <c r="A1654" s="1235"/>
      <c r="B1654" s="1235"/>
      <c r="C1654" s="1246"/>
      <c r="D1654" s="1274"/>
      <c r="E1654" s="1248"/>
      <c r="F1654" s="1248"/>
      <c r="G1654" s="1271"/>
      <c r="H1654" s="1250"/>
      <c r="I1654" s="1251"/>
      <c r="J1654" s="1271"/>
      <c r="K1654" s="1271"/>
      <c r="L1654" s="1254"/>
      <c r="M1654" s="1244"/>
      <c r="N1654" s="1273"/>
      <c r="O1654" s="1244"/>
      <c r="P1654" s="1244"/>
      <c r="Q1654" s="1244"/>
      <c r="R1654" s="1244"/>
      <c r="S1654" s="1265"/>
      <c r="T1654" s="1244"/>
      <c r="U1654" s="1244"/>
    </row>
    <row r="1655">
      <c r="A1655" s="1235"/>
      <c r="B1655" s="1235"/>
      <c r="C1655" s="1246"/>
      <c r="D1655" s="1274"/>
      <c r="E1655" s="1248"/>
      <c r="F1655" s="1248"/>
      <c r="G1655" s="1271"/>
      <c r="H1655" s="1250"/>
      <c r="I1655" s="1251"/>
      <c r="J1655" s="1271"/>
      <c r="K1655" s="1271"/>
      <c r="L1655" s="1254"/>
      <c r="M1655" s="1244"/>
      <c r="N1655" s="1273"/>
      <c r="O1655" s="1244"/>
      <c r="P1655" s="1244"/>
      <c r="Q1655" s="1244"/>
      <c r="R1655" s="1244"/>
      <c r="S1655" s="1265"/>
      <c r="T1655" s="1244"/>
      <c r="U1655" s="1244"/>
    </row>
    <row r="1656">
      <c r="A1656" s="1235"/>
      <c r="B1656" s="1235"/>
      <c r="C1656" s="1246"/>
      <c r="D1656" s="1274"/>
      <c r="E1656" s="1248"/>
      <c r="F1656" s="1248"/>
      <c r="G1656" s="1271"/>
      <c r="H1656" s="1250"/>
      <c r="I1656" s="1251"/>
      <c r="J1656" s="1271"/>
      <c r="K1656" s="1271"/>
      <c r="L1656" s="1254"/>
      <c r="M1656" s="1244"/>
      <c r="N1656" s="1273"/>
      <c r="O1656" s="1244"/>
      <c r="P1656" s="1244"/>
      <c r="Q1656" s="1244"/>
      <c r="R1656" s="1244"/>
      <c r="S1656" s="1265"/>
      <c r="T1656" s="1244"/>
      <c r="U1656" s="1244"/>
    </row>
    <row r="1657">
      <c r="A1657" s="1235"/>
      <c r="B1657" s="1235"/>
      <c r="C1657" s="1246"/>
      <c r="D1657" s="1274"/>
      <c r="E1657" s="1248"/>
      <c r="F1657" s="1248"/>
      <c r="G1657" s="1271"/>
      <c r="H1657" s="1250"/>
      <c r="I1657" s="1251"/>
      <c r="J1657" s="1271"/>
      <c r="K1657" s="1271"/>
      <c r="L1657" s="1254"/>
      <c r="M1657" s="1244"/>
      <c r="N1657" s="1273"/>
      <c r="O1657" s="1244"/>
      <c r="P1657" s="1244"/>
      <c r="Q1657" s="1244"/>
      <c r="R1657" s="1244"/>
      <c r="S1657" s="1265"/>
      <c r="T1657" s="1244"/>
      <c r="U1657" s="1244"/>
    </row>
    <row r="1658">
      <c r="A1658" s="1235"/>
      <c r="B1658" s="1235"/>
      <c r="C1658" s="1246"/>
      <c r="D1658" s="1274"/>
      <c r="E1658" s="1248"/>
      <c r="F1658" s="1248"/>
      <c r="G1658" s="1271"/>
      <c r="H1658" s="1250"/>
      <c r="I1658" s="1251"/>
      <c r="J1658" s="1271"/>
      <c r="K1658" s="1271"/>
      <c r="L1658" s="1254"/>
      <c r="M1658" s="1244"/>
      <c r="N1658" s="1273"/>
      <c r="O1658" s="1244"/>
      <c r="P1658" s="1244"/>
      <c r="Q1658" s="1244"/>
      <c r="R1658" s="1244"/>
      <c r="S1658" s="1265"/>
      <c r="T1658" s="1244"/>
      <c r="U1658" s="1244"/>
    </row>
    <row r="1659">
      <c r="A1659" s="1235"/>
      <c r="B1659" s="1235"/>
      <c r="C1659" s="1246"/>
      <c r="D1659" s="1274"/>
      <c r="E1659" s="1248"/>
      <c r="F1659" s="1248"/>
      <c r="G1659" s="1271"/>
      <c r="H1659" s="1250"/>
      <c r="I1659" s="1251"/>
      <c r="J1659" s="1271"/>
      <c r="K1659" s="1271"/>
      <c r="L1659" s="1254"/>
      <c r="M1659" s="1244"/>
      <c r="N1659" s="1273"/>
      <c r="O1659" s="1244"/>
      <c r="P1659" s="1244"/>
      <c r="Q1659" s="1244"/>
      <c r="R1659" s="1244"/>
      <c r="S1659" s="1265"/>
      <c r="T1659" s="1244"/>
      <c r="U1659" s="1244"/>
    </row>
    <row r="1660">
      <c r="A1660" s="1235"/>
      <c r="B1660" s="1235"/>
      <c r="C1660" s="1246"/>
      <c r="D1660" s="1274"/>
      <c r="E1660" s="1248"/>
      <c r="F1660" s="1248"/>
      <c r="G1660" s="1271"/>
      <c r="H1660" s="1250"/>
      <c r="I1660" s="1251"/>
      <c r="J1660" s="1271"/>
      <c r="K1660" s="1271"/>
      <c r="L1660" s="1254"/>
      <c r="M1660" s="1244"/>
      <c r="N1660" s="1273"/>
      <c r="O1660" s="1244"/>
      <c r="P1660" s="1244"/>
      <c r="Q1660" s="1244"/>
      <c r="R1660" s="1244"/>
      <c r="S1660" s="1265"/>
      <c r="T1660" s="1244"/>
      <c r="U1660" s="1244"/>
    </row>
    <row r="1661">
      <c r="A1661" s="1235"/>
      <c r="B1661" s="1235"/>
      <c r="C1661" s="1246"/>
      <c r="D1661" s="1274"/>
      <c r="E1661" s="1248"/>
      <c r="F1661" s="1248"/>
      <c r="G1661" s="1271"/>
      <c r="H1661" s="1250"/>
      <c r="I1661" s="1251"/>
      <c r="J1661" s="1271"/>
      <c r="K1661" s="1271"/>
      <c r="L1661" s="1254"/>
      <c r="M1661" s="1244"/>
      <c r="N1661" s="1273"/>
      <c r="O1661" s="1244"/>
      <c r="P1661" s="1244"/>
      <c r="Q1661" s="1244"/>
      <c r="R1661" s="1244"/>
      <c r="S1661" s="1265"/>
      <c r="T1661" s="1244"/>
      <c r="U1661" s="1244"/>
    </row>
    <row r="1662">
      <c r="A1662" s="1235"/>
      <c r="B1662" s="1235"/>
      <c r="C1662" s="1246"/>
      <c r="D1662" s="1274"/>
      <c r="E1662" s="1248"/>
      <c r="F1662" s="1248"/>
      <c r="G1662" s="1271"/>
      <c r="H1662" s="1250"/>
      <c r="I1662" s="1251"/>
      <c r="J1662" s="1271"/>
      <c r="K1662" s="1271"/>
      <c r="L1662" s="1254"/>
      <c r="M1662" s="1244"/>
      <c r="N1662" s="1273"/>
      <c r="O1662" s="1244"/>
      <c r="P1662" s="1244"/>
      <c r="Q1662" s="1244"/>
      <c r="R1662" s="1244"/>
      <c r="S1662" s="1265"/>
      <c r="T1662" s="1244"/>
      <c r="U1662" s="1244"/>
    </row>
    <row r="1663">
      <c r="A1663" s="1235"/>
      <c r="B1663" s="1235"/>
      <c r="C1663" s="1246"/>
      <c r="D1663" s="1274"/>
      <c r="E1663" s="1248"/>
      <c r="F1663" s="1248"/>
      <c r="G1663" s="1271"/>
      <c r="H1663" s="1250"/>
      <c r="I1663" s="1251"/>
      <c r="J1663" s="1271"/>
      <c r="K1663" s="1271"/>
      <c r="L1663" s="1254"/>
      <c r="M1663" s="1244"/>
      <c r="N1663" s="1273"/>
      <c r="O1663" s="1244"/>
      <c r="P1663" s="1244"/>
      <c r="Q1663" s="1244"/>
      <c r="R1663" s="1244"/>
      <c r="S1663" s="1265"/>
      <c r="T1663" s="1244"/>
      <c r="U1663" s="1244"/>
    </row>
    <row r="1664">
      <c r="A1664" s="1235"/>
      <c r="B1664" s="1235"/>
      <c r="C1664" s="1246"/>
      <c r="D1664" s="1274"/>
      <c r="E1664" s="1248"/>
      <c r="F1664" s="1248"/>
      <c r="G1664" s="1271"/>
      <c r="H1664" s="1250"/>
      <c r="I1664" s="1251"/>
      <c r="J1664" s="1271"/>
      <c r="K1664" s="1271"/>
      <c r="L1664" s="1254"/>
      <c r="M1664" s="1244"/>
      <c r="N1664" s="1273"/>
      <c r="O1664" s="1244"/>
      <c r="P1664" s="1244"/>
      <c r="Q1664" s="1244"/>
      <c r="R1664" s="1244"/>
      <c r="S1664" s="1265"/>
      <c r="T1664" s="1244"/>
      <c r="U1664" s="1244"/>
    </row>
    <row r="1665">
      <c r="A1665" s="1235"/>
      <c r="B1665" s="1235"/>
      <c r="C1665" s="1246"/>
      <c r="D1665" s="1274"/>
      <c r="E1665" s="1248"/>
      <c r="F1665" s="1248"/>
      <c r="G1665" s="1271"/>
      <c r="H1665" s="1250"/>
      <c r="I1665" s="1251"/>
      <c r="J1665" s="1271"/>
      <c r="K1665" s="1271"/>
      <c r="L1665" s="1254"/>
      <c r="M1665" s="1244"/>
      <c r="N1665" s="1273"/>
      <c r="O1665" s="1244"/>
      <c r="P1665" s="1244"/>
      <c r="Q1665" s="1244"/>
      <c r="R1665" s="1244"/>
      <c r="S1665" s="1265"/>
      <c r="T1665" s="1244"/>
      <c r="U1665" s="1244"/>
    </row>
    <row r="1666">
      <c r="A1666" s="1235"/>
      <c r="B1666" s="1235"/>
      <c r="C1666" s="1246"/>
      <c r="D1666" s="1274"/>
      <c r="E1666" s="1248"/>
      <c r="F1666" s="1248"/>
      <c r="G1666" s="1271"/>
      <c r="H1666" s="1250"/>
      <c r="I1666" s="1251"/>
      <c r="J1666" s="1271"/>
      <c r="K1666" s="1271"/>
      <c r="L1666" s="1254"/>
      <c r="M1666" s="1244"/>
      <c r="N1666" s="1273"/>
      <c r="O1666" s="1244"/>
      <c r="P1666" s="1244"/>
      <c r="Q1666" s="1244"/>
      <c r="R1666" s="1244"/>
      <c r="S1666" s="1265"/>
      <c r="T1666" s="1244"/>
      <c r="U1666" s="1244"/>
    </row>
    <row r="1667">
      <c r="A1667" s="1235"/>
      <c r="B1667" s="1235"/>
      <c r="C1667" s="1246"/>
      <c r="D1667" s="1274"/>
      <c r="E1667" s="1248"/>
      <c r="F1667" s="1248"/>
      <c r="G1667" s="1271"/>
      <c r="H1667" s="1250"/>
      <c r="I1667" s="1251"/>
      <c r="J1667" s="1271"/>
      <c r="K1667" s="1271"/>
      <c r="L1667" s="1254"/>
      <c r="M1667" s="1244"/>
      <c r="N1667" s="1273"/>
      <c r="O1667" s="1244"/>
      <c r="P1667" s="1244"/>
      <c r="Q1667" s="1244"/>
      <c r="R1667" s="1244"/>
      <c r="S1667" s="1265"/>
      <c r="T1667" s="1244"/>
      <c r="U1667" s="1244"/>
    </row>
    <row r="1668">
      <c r="A1668" s="1235"/>
      <c r="B1668" s="1235"/>
      <c r="C1668" s="1246"/>
      <c r="D1668" s="1274"/>
      <c r="E1668" s="1248"/>
      <c r="F1668" s="1248"/>
      <c r="G1668" s="1271"/>
      <c r="H1668" s="1250"/>
      <c r="I1668" s="1251"/>
      <c r="J1668" s="1271"/>
      <c r="K1668" s="1271"/>
      <c r="L1668" s="1254"/>
      <c r="M1668" s="1244"/>
      <c r="N1668" s="1273"/>
      <c r="O1668" s="1244"/>
      <c r="P1668" s="1244"/>
      <c r="Q1668" s="1244"/>
      <c r="R1668" s="1244"/>
      <c r="S1668" s="1265"/>
      <c r="T1668" s="1244"/>
      <c r="U1668" s="1244"/>
    </row>
    <row r="1669">
      <c r="A1669" s="1235"/>
      <c r="B1669" s="1235"/>
      <c r="C1669" s="1246"/>
      <c r="D1669" s="1274"/>
      <c r="E1669" s="1248"/>
      <c r="F1669" s="1248"/>
      <c r="G1669" s="1271"/>
      <c r="H1669" s="1250"/>
      <c r="I1669" s="1251"/>
      <c r="J1669" s="1271"/>
      <c r="K1669" s="1271"/>
      <c r="L1669" s="1254"/>
      <c r="M1669" s="1244"/>
      <c r="N1669" s="1273"/>
      <c r="O1669" s="1244"/>
      <c r="P1669" s="1244"/>
      <c r="Q1669" s="1244"/>
      <c r="R1669" s="1244"/>
      <c r="S1669" s="1265"/>
      <c r="T1669" s="1244"/>
      <c r="U1669" s="1244"/>
    </row>
    <row r="1670">
      <c r="A1670" s="1235"/>
      <c r="B1670" s="1235"/>
      <c r="C1670" s="1246"/>
      <c r="D1670" s="1274"/>
      <c r="E1670" s="1248"/>
      <c r="F1670" s="1248"/>
      <c r="G1670" s="1271"/>
      <c r="H1670" s="1250"/>
      <c r="I1670" s="1251"/>
      <c r="J1670" s="1271"/>
      <c r="K1670" s="1271"/>
      <c r="L1670" s="1254"/>
      <c r="M1670" s="1244"/>
      <c r="N1670" s="1273"/>
      <c r="O1670" s="1244"/>
      <c r="P1670" s="1244"/>
      <c r="Q1670" s="1244"/>
      <c r="R1670" s="1244"/>
      <c r="S1670" s="1265"/>
      <c r="T1670" s="1244"/>
      <c r="U1670" s="1244"/>
    </row>
    <row r="1671">
      <c r="A1671" s="1235"/>
      <c r="B1671" s="1235"/>
      <c r="C1671" s="1246"/>
      <c r="D1671" s="1274"/>
      <c r="E1671" s="1248"/>
      <c r="F1671" s="1248"/>
      <c r="G1671" s="1271"/>
      <c r="H1671" s="1250"/>
      <c r="I1671" s="1251"/>
      <c r="J1671" s="1271"/>
      <c r="K1671" s="1271"/>
      <c r="L1671" s="1254"/>
      <c r="M1671" s="1244"/>
      <c r="N1671" s="1273"/>
      <c r="O1671" s="1244"/>
      <c r="P1671" s="1244"/>
      <c r="Q1671" s="1244"/>
      <c r="R1671" s="1244"/>
      <c r="S1671" s="1265"/>
      <c r="T1671" s="1244"/>
      <c r="U1671" s="1244"/>
    </row>
    <row r="1672">
      <c r="A1672" s="1235"/>
      <c r="B1672" s="1235"/>
      <c r="C1672" s="1246"/>
      <c r="D1672" s="1274"/>
      <c r="E1672" s="1248"/>
      <c r="F1672" s="1248"/>
      <c r="G1672" s="1271"/>
      <c r="H1672" s="1250"/>
      <c r="I1672" s="1251"/>
      <c r="J1672" s="1271"/>
      <c r="K1672" s="1271"/>
      <c r="L1672" s="1254"/>
      <c r="M1672" s="1244"/>
      <c r="N1672" s="1273"/>
      <c r="O1672" s="1244"/>
      <c r="P1672" s="1244"/>
      <c r="Q1672" s="1244"/>
      <c r="R1672" s="1244"/>
      <c r="S1672" s="1265"/>
      <c r="T1672" s="1244"/>
      <c r="U1672" s="1244"/>
    </row>
    <row r="1673">
      <c r="A1673" s="1235"/>
      <c r="B1673" s="1235"/>
      <c r="C1673" s="1246"/>
      <c r="D1673" s="1274"/>
      <c r="E1673" s="1248"/>
      <c r="F1673" s="1248"/>
      <c r="G1673" s="1271"/>
      <c r="H1673" s="1250"/>
      <c r="I1673" s="1251"/>
      <c r="J1673" s="1271"/>
      <c r="K1673" s="1271"/>
      <c r="L1673" s="1254"/>
      <c r="M1673" s="1244"/>
      <c r="N1673" s="1273"/>
      <c r="O1673" s="1244"/>
      <c r="P1673" s="1244"/>
      <c r="Q1673" s="1244"/>
      <c r="R1673" s="1244"/>
      <c r="S1673" s="1265"/>
      <c r="T1673" s="1244"/>
      <c r="U1673" s="1244"/>
    </row>
    <row r="1674">
      <c r="A1674" s="1235"/>
      <c r="B1674" s="1235"/>
      <c r="C1674" s="1246"/>
      <c r="D1674" s="1274"/>
      <c r="E1674" s="1248"/>
      <c r="F1674" s="1248"/>
      <c r="G1674" s="1271"/>
      <c r="H1674" s="1250"/>
      <c r="I1674" s="1251"/>
      <c r="J1674" s="1271"/>
      <c r="K1674" s="1271"/>
      <c r="L1674" s="1254"/>
      <c r="M1674" s="1244"/>
      <c r="N1674" s="1273"/>
      <c r="O1674" s="1244"/>
      <c r="P1674" s="1244"/>
      <c r="Q1674" s="1244"/>
      <c r="R1674" s="1244"/>
      <c r="S1674" s="1265"/>
      <c r="T1674" s="1244"/>
      <c r="U1674" s="1244"/>
    </row>
    <row r="1675">
      <c r="A1675" s="1235"/>
      <c r="B1675" s="1235"/>
      <c r="C1675" s="1246"/>
      <c r="D1675" s="1274"/>
      <c r="E1675" s="1248"/>
      <c r="F1675" s="1248"/>
      <c r="G1675" s="1271"/>
      <c r="H1675" s="1250"/>
      <c r="I1675" s="1251"/>
      <c r="J1675" s="1271"/>
      <c r="K1675" s="1271"/>
      <c r="L1675" s="1254"/>
      <c r="M1675" s="1244"/>
      <c r="N1675" s="1273"/>
      <c r="O1675" s="1244"/>
      <c r="P1675" s="1244"/>
      <c r="Q1675" s="1244"/>
      <c r="R1675" s="1244"/>
      <c r="S1675" s="1265"/>
      <c r="T1675" s="1244"/>
      <c r="U1675" s="1244"/>
    </row>
    <row r="1676">
      <c r="A1676" s="1235"/>
      <c r="B1676" s="1235"/>
      <c r="C1676" s="1246"/>
      <c r="D1676" s="1274"/>
      <c r="E1676" s="1248"/>
      <c r="F1676" s="1248"/>
      <c r="G1676" s="1271"/>
      <c r="H1676" s="1250"/>
      <c r="I1676" s="1251"/>
      <c r="J1676" s="1271"/>
      <c r="K1676" s="1271"/>
      <c r="L1676" s="1254"/>
      <c r="M1676" s="1244"/>
      <c r="N1676" s="1273"/>
      <c r="O1676" s="1244"/>
      <c r="P1676" s="1244"/>
      <c r="Q1676" s="1244"/>
      <c r="R1676" s="1244"/>
      <c r="S1676" s="1265"/>
      <c r="T1676" s="1244"/>
      <c r="U1676" s="1244"/>
    </row>
    <row r="1677">
      <c r="A1677" s="1235"/>
      <c r="B1677" s="1235"/>
      <c r="C1677" s="1246"/>
      <c r="D1677" s="1274"/>
      <c r="E1677" s="1248"/>
      <c r="F1677" s="1248"/>
      <c r="G1677" s="1271"/>
      <c r="H1677" s="1250"/>
      <c r="I1677" s="1251"/>
      <c r="J1677" s="1271"/>
      <c r="K1677" s="1271"/>
      <c r="L1677" s="1254"/>
      <c r="M1677" s="1244"/>
      <c r="N1677" s="1273"/>
      <c r="O1677" s="1244"/>
      <c r="P1677" s="1244"/>
      <c r="Q1677" s="1244"/>
      <c r="R1677" s="1244"/>
      <c r="S1677" s="1265"/>
      <c r="T1677" s="1244"/>
      <c r="U1677" s="1244"/>
    </row>
    <row r="1678">
      <c r="A1678" s="1235"/>
      <c r="B1678" s="1235"/>
      <c r="C1678" s="1246"/>
      <c r="D1678" s="1274"/>
      <c r="E1678" s="1248"/>
      <c r="F1678" s="1248"/>
      <c r="G1678" s="1271"/>
      <c r="H1678" s="1250"/>
      <c r="I1678" s="1251"/>
      <c r="J1678" s="1271"/>
      <c r="K1678" s="1271"/>
      <c r="L1678" s="1254"/>
      <c r="M1678" s="1244"/>
      <c r="N1678" s="1273"/>
      <c r="O1678" s="1244"/>
      <c r="P1678" s="1244"/>
      <c r="Q1678" s="1244"/>
      <c r="R1678" s="1244"/>
      <c r="S1678" s="1265"/>
      <c r="T1678" s="1244"/>
      <c r="U1678" s="1244"/>
    </row>
    <row r="1679">
      <c r="A1679" s="1235"/>
      <c r="B1679" s="1235"/>
      <c r="C1679" s="1246"/>
      <c r="D1679" s="1274"/>
      <c r="E1679" s="1248"/>
      <c r="F1679" s="1248"/>
      <c r="G1679" s="1271"/>
      <c r="H1679" s="1250"/>
      <c r="I1679" s="1251"/>
      <c r="J1679" s="1271"/>
      <c r="K1679" s="1271"/>
      <c r="L1679" s="1254"/>
      <c r="M1679" s="1244"/>
      <c r="N1679" s="1273"/>
      <c r="O1679" s="1244"/>
      <c r="P1679" s="1244"/>
      <c r="Q1679" s="1244"/>
      <c r="R1679" s="1244"/>
      <c r="S1679" s="1265"/>
      <c r="T1679" s="1244"/>
      <c r="U1679" s="1244"/>
    </row>
    <row r="1680">
      <c r="A1680" s="1235"/>
      <c r="B1680" s="1235"/>
      <c r="C1680" s="1246"/>
      <c r="D1680" s="1274"/>
      <c r="E1680" s="1248"/>
      <c r="F1680" s="1248"/>
      <c r="G1680" s="1271"/>
      <c r="H1680" s="1250"/>
      <c r="I1680" s="1251"/>
      <c r="J1680" s="1271"/>
      <c r="K1680" s="1271"/>
      <c r="L1680" s="1254"/>
      <c r="M1680" s="1244"/>
      <c r="N1680" s="1273"/>
      <c r="O1680" s="1244"/>
      <c r="P1680" s="1244"/>
      <c r="Q1680" s="1244"/>
      <c r="R1680" s="1244"/>
      <c r="S1680" s="1265"/>
      <c r="T1680" s="1244"/>
      <c r="U1680" s="1244"/>
    </row>
    <row r="1681">
      <c r="A1681" s="1235"/>
      <c r="B1681" s="1235"/>
      <c r="C1681" s="1246"/>
      <c r="D1681" s="1274"/>
      <c r="E1681" s="1248"/>
      <c r="F1681" s="1248"/>
      <c r="G1681" s="1271"/>
      <c r="H1681" s="1250"/>
      <c r="I1681" s="1251"/>
      <c r="J1681" s="1271"/>
      <c r="K1681" s="1271"/>
      <c r="L1681" s="1254"/>
      <c r="M1681" s="1244"/>
      <c r="N1681" s="1273"/>
      <c r="O1681" s="1244"/>
      <c r="P1681" s="1244"/>
      <c r="Q1681" s="1244"/>
      <c r="R1681" s="1244"/>
      <c r="S1681" s="1265"/>
      <c r="T1681" s="1244"/>
      <c r="U1681" s="1244"/>
    </row>
    <row r="1682">
      <c r="A1682" s="1235"/>
      <c r="B1682" s="1235"/>
      <c r="C1682" s="1246"/>
      <c r="D1682" s="1274"/>
      <c r="E1682" s="1248"/>
      <c r="F1682" s="1248"/>
      <c r="G1682" s="1271"/>
      <c r="H1682" s="1250"/>
      <c r="I1682" s="1251"/>
      <c r="J1682" s="1271"/>
      <c r="K1682" s="1271"/>
      <c r="L1682" s="1254"/>
      <c r="M1682" s="1244"/>
      <c r="N1682" s="1273"/>
      <c r="O1682" s="1244"/>
      <c r="P1682" s="1244"/>
      <c r="Q1682" s="1244"/>
      <c r="R1682" s="1244"/>
      <c r="S1682" s="1265"/>
      <c r="T1682" s="1244"/>
      <c r="U1682" s="1244"/>
    </row>
    <row r="1683">
      <c r="A1683" s="1235"/>
      <c r="B1683" s="1235"/>
      <c r="C1683" s="1246"/>
      <c r="D1683" s="1274"/>
      <c r="E1683" s="1248"/>
      <c r="F1683" s="1248"/>
      <c r="G1683" s="1271"/>
      <c r="H1683" s="1250"/>
      <c r="I1683" s="1251"/>
      <c r="J1683" s="1271"/>
      <c r="K1683" s="1271"/>
      <c r="L1683" s="1254"/>
      <c r="M1683" s="1244"/>
      <c r="N1683" s="1273"/>
      <c r="O1683" s="1244"/>
      <c r="P1683" s="1244"/>
      <c r="Q1683" s="1244"/>
      <c r="R1683" s="1244"/>
      <c r="S1683" s="1265"/>
      <c r="T1683" s="1244"/>
      <c r="U1683" s="1244"/>
    </row>
    <row r="1684">
      <c r="A1684" s="1235"/>
      <c r="B1684" s="1235"/>
      <c r="C1684" s="1246"/>
      <c r="D1684" s="1274"/>
      <c r="E1684" s="1248"/>
      <c r="F1684" s="1248"/>
      <c r="G1684" s="1271"/>
      <c r="H1684" s="1250"/>
      <c r="I1684" s="1251"/>
      <c r="J1684" s="1271"/>
      <c r="K1684" s="1271"/>
      <c r="L1684" s="1254"/>
      <c r="M1684" s="1244"/>
      <c r="N1684" s="1273"/>
      <c r="O1684" s="1244"/>
      <c r="P1684" s="1244"/>
      <c r="Q1684" s="1244"/>
      <c r="R1684" s="1244"/>
      <c r="S1684" s="1265"/>
      <c r="T1684" s="1244"/>
      <c r="U1684" s="1244"/>
    </row>
    <row r="1685">
      <c r="A1685" s="1235"/>
      <c r="B1685" s="1235"/>
      <c r="C1685" s="1246"/>
      <c r="D1685" s="1274"/>
      <c r="E1685" s="1248"/>
      <c r="F1685" s="1248"/>
      <c r="G1685" s="1271"/>
      <c r="H1685" s="1250"/>
      <c r="I1685" s="1251"/>
      <c r="J1685" s="1271"/>
      <c r="K1685" s="1271"/>
      <c r="L1685" s="1254"/>
      <c r="M1685" s="1244"/>
      <c r="N1685" s="1273"/>
      <c r="O1685" s="1244"/>
      <c r="P1685" s="1244"/>
      <c r="Q1685" s="1244"/>
      <c r="R1685" s="1244"/>
      <c r="S1685" s="1265"/>
      <c r="T1685" s="1244"/>
      <c r="U1685" s="1244"/>
    </row>
    <row r="1686">
      <c r="A1686" s="1235"/>
      <c r="B1686" s="1235"/>
      <c r="C1686" s="1246"/>
      <c r="D1686" s="1274"/>
      <c r="E1686" s="1248"/>
      <c r="F1686" s="1248"/>
      <c r="G1686" s="1271"/>
      <c r="H1686" s="1250"/>
      <c r="I1686" s="1251"/>
      <c r="J1686" s="1271"/>
      <c r="K1686" s="1271"/>
      <c r="L1686" s="1254"/>
      <c r="M1686" s="1244"/>
      <c r="N1686" s="1273"/>
      <c r="O1686" s="1244"/>
      <c r="P1686" s="1244"/>
      <c r="Q1686" s="1244"/>
      <c r="R1686" s="1244"/>
      <c r="S1686" s="1265"/>
      <c r="T1686" s="1244"/>
      <c r="U1686" s="1244"/>
    </row>
    <row r="1687">
      <c r="A1687" s="1235"/>
      <c r="B1687" s="1235"/>
      <c r="C1687" s="1246"/>
      <c r="D1687" s="1274"/>
      <c r="E1687" s="1248"/>
      <c r="F1687" s="1248"/>
      <c r="G1687" s="1271"/>
      <c r="H1687" s="1250"/>
      <c r="I1687" s="1251"/>
      <c r="J1687" s="1271"/>
      <c r="K1687" s="1271"/>
      <c r="L1687" s="1254"/>
      <c r="M1687" s="1244"/>
      <c r="N1687" s="1273"/>
      <c r="O1687" s="1244"/>
      <c r="P1687" s="1244"/>
      <c r="Q1687" s="1244"/>
      <c r="R1687" s="1244"/>
      <c r="S1687" s="1265"/>
      <c r="T1687" s="1244"/>
      <c r="U1687" s="1244"/>
    </row>
    <row r="1688">
      <c r="A1688" s="1235"/>
      <c r="B1688" s="1235"/>
      <c r="C1688" s="1246"/>
      <c r="D1688" s="1274"/>
      <c r="E1688" s="1248"/>
      <c r="F1688" s="1248"/>
      <c r="G1688" s="1271"/>
      <c r="H1688" s="1250"/>
      <c r="I1688" s="1251"/>
      <c r="J1688" s="1271"/>
      <c r="K1688" s="1271"/>
      <c r="L1688" s="1254"/>
      <c r="M1688" s="1244"/>
      <c r="N1688" s="1273"/>
      <c r="O1688" s="1244"/>
      <c r="P1688" s="1244"/>
      <c r="Q1688" s="1244"/>
      <c r="R1688" s="1244"/>
      <c r="S1688" s="1265"/>
      <c r="T1688" s="1244"/>
      <c r="U1688" s="1244"/>
    </row>
    <row r="1689">
      <c r="A1689" s="1235"/>
      <c r="B1689" s="1235"/>
      <c r="C1689" s="1246"/>
      <c r="D1689" s="1274"/>
      <c r="E1689" s="1248"/>
      <c r="F1689" s="1248"/>
      <c r="G1689" s="1271"/>
      <c r="H1689" s="1250"/>
      <c r="I1689" s="1251"/>
      <c r="J1689" s="1271"/>
      <c r="K1689" s="1271"/>
      <c r="L1689" s="1254"/>
      <c r="M1689" s="1244"/>
      <c r="N1689" s="1273"/>
      <c r="O1689" s="1244"/>
      <c r="P1689" s="1244"/>
      <c r="Q1689" s="1244"/>
      <c r="R1689" s="1244"/>
      <c r="S1689" s="1265"/>
      <c r="T1689" s="1244"/>
      <c r="U1689" s="1244"/>
    </row>
    <row r="1690">
      <c r="A1690" s="1235"/>
      <c r="B1690" s="1235"/>
      <c r="C1690" s="1246"/>
      <c r="D1690" s="1274"/>
      <c r="E1690" s="1248"/>
      <c r="F1690" s="1248"/>
      <c r="G1690" s="1271"/>
      <c r="H1690" s="1250"/>
      <c r="I1690" s="1251"/>
      <c r="J1690" s="1271"/>
      <c r="K1690" s="1271"/>
      <c r="L1690" s="1254"/>
      <c r="M1690" s="1244"/>
      <c r="N1690" s="1273"/>
      <c r="O1690" s="1244"/>
      <c r="P1690" s="1244"/>
      <c r="Q1690" s="1244"/>
      <c r="R1690" s="1244"/>
      <c r="S1690" s="1265"/>
      <c r="T1690" s="1244"/>
      <c r="U1690" s="1244"/>
    </row>
    <row r="1691">
      <c r="A1691" s="1235"/>
      <c r="B1691" s="1235"/>
      <c r="C1691" s="1246"/>
      <c r="D1691" s="1274"/>
      <c r="E1691" s="1248"/>
      <c r="F1691" s="1248"/>
      <c r="G1691" s="1271"/>
      <c r="H1691" s="1250"/>
      <c r="I1691" s="1251"/>
      <c r="J1691" s="1271"/>
      <c r="K1691" s="1271"/>
      <c r="L1691" s="1254"/>
      <c r="M1691" s="1244"/>
      <c r="N1691" s="1273"/>
      <c r="O1691" s="1244"/>
      <c r="P1691" s="1244"/>
      <c r="Q1691" s="1244"/>
      <c r="R1691" s="1244"/>
      <c r="S1691" s="1265"/>
      <c r="T1691" s="1244"/>
      <c r="U1691" s="1244"/>
    </row>
    <row r="1692">
      <c r="A1692" s="1235"/>
      <c r="B1692" s="1235"/>
      <c r="C1692" s="1246"/>
      <c r="D1692" s="1274"/>
      <c r="E1692" s="1248"/>
      <c r="F1692" s="1248"/>
      <c r="G1692" s="1271"/>
      <c r="H1692" s="1250"/>
      <c r="I1692" s="1251"/>
      <c r="J1692" s="1271"/>
      <c r="K1692" s="1271"/>
      <c r="L1692" s="1254"/>
      <c r="M1692" s="1244"/>
      <c r="N1692" s="1273"/>
      <c r="O1692" s="1244"/>
      <c r="P1692" s="1244"/>
      <c r="Q1692" s="1244"/>
      <c r="R1692" s="1244"/>
      <c r="S1692" s="1265"/>
      <c r="T1692" s="1244"/>
      <c r="U1692" s="1244"/>
    </row>
    <row r="1693">
      <c r="A1693" s="1235"/>
      <c r="B1693" s="1235"/>
      <c r="C1693" s="1246"/>
      <c r="D1693" s="1274"/>
      <c r="E1693" s="1248"/>
      <c r="F1693" s="1248"/>
      <c r="G1693" s="1271"/>
      <c r="H1693" s="1250"/>
      <c r="I1693" s="1251"/>
      <c r="J1693" s="1271"/>
      <c r="K1693" s="1271"/>
      <c r="L1693" s="1254"/>
      <c r="M1693" s="1244"/>
      <c r="N1693" s="1273"/>
      <c r="O1693" s="1244"/>
      <c r="P1693" s="1244"/>
      <c r="Q1693" s="1244"/>
      <c r="R1693" s="1244"/>
      <c r="S1693" s="1265"/>
      <c r="T1693" s="1244"/>
      <c r="U1693" s="1244"/>
    </row>
    <row r="1694">
      <c r="A1694" s="1235"/>
      <c r="B1694" s="1235"/>
      <c r="C1694" s="1246"/>
      <c r="D1694" s="1274"/>
      <c r="E1694" s="1248"/>
      <c r="F1694" s="1248"/>
      <c r="G1694" s="1271"/>
      <c r="H1694" s="1250"/>
      <c r="I1694" s="1251"/>
      <c r="J1694" s="1271"/>
      <c r="K1694" s="1271"/>
      <c r="L1694" s="1254"/>
      <c r="M1694" s="1244"/>
      <c r="N1694" s="1273"/>
      <c r="O1694" s="1244"/>
      <c r="P1694" s="1244"/>
      <c r="Q1694" s="1244"/>
      <c r="R1694" s="1244"/>
      <c r="S1694" s="1265"/>
      <c r="T1694" s="1244"/>
      <c r="U1694" s="1244"/>
    </row>
    <row r="1695">
      <c r="A1695" s="1235"/>
      <c r="B1695" s="1235"/>
      <c r="C1695" s="1246"/>
      <c r="D1695" s="1274"/>
      <c r="E1695" s="1248"/>
      <c r="F1695" s="1248"/>
      <c r="G1695" s="1271"/>
      <c r="H1695" s="1250"/>
      <c r="I1695" s="1251"/>
      <c r="J1695" s="1271"/>
      <c r="K1695" s="1271"/>
      <c r="L1695" s="1254"/>
      <c r="M1695" s="1244"/>
      <c r="N1695" s="1273"/>
      <c r="O1695" s="1244"/>
      <c r="P1695" s="1244"/>
      <c r="Q1695" s="1244"/>
      <c r="R1695" s="1244"/>
      <c r="S1695" s="1265"/>
      <c r="T1695" s="1244"/>
      <c r="U1695" s="1244"/>
    </row>
    <row r="1696">
      <c r="A1696" s="1235"/>
      <c r="B1696" s="1235"/>
      <c r="C1696" s="1246"/>
      <c r="D1696" s="1274"/>
      <c r="E1696" s="1248"/>
      <c r="F1696" s="1248"/>
      <c r="G1696" s="1271"/>
      <c r="H1696" s="1250"/>
      <c r="I1696" s="1251"/>
      <c r="J1696" s="1271"/>
      <c r="K1696" s="1271"/>
      <c r="L1696" s="1254"/>
      <c r="M1696" s="1244"/>
      <c r="N1696" s="1273"/>
      <c r="O1696" s="1244"/>
      <c r="P1696" s="1244"/>
      <c r="Q1696" s="1244"/>
      <c r="R1696" s="1244"/>
      <c r="S1696" s="1265"/>
      <c r="T1696" s="1244"/>
      <c r="U1696" s="1244"/>
    </row>
    <row r="1697">
      <c r="A1697" s="1235"/>
      <c r="B1697" s="1235"/>
      <c r="C1697" s="1246"/>
      <c r="D1697" s="1274"/>
      <c r="E1697" s="1248"/>
      <c r="F1697" s="1248"/>
      <c r="G1697" s="1271"/>
      <c r="H1697" s="1250"/>
      <c r="I1697" s="1251"/>
      <c r="J1697" s="1271"/>
      <c r="K1697" s="1271"/>
      <c r="L1697" s="1254"/>
      <c r="M1697" s="1244"/>
      <c r="N1697" s="1273"/>
      <c r="O1697" s="1244"/>
      <c r="P1697" s="1244"/>
      <c r="Q1697" s="1244"/>
      <c r="R1697" s="1244"/>
      <c r="S1697" s="1265"/>
      <c r="T1697" s="1244"/>
      <c r="U1697" s="1244"/>
    </row>
    <row r="1698">
      <c r="A1698" s="1235"/>
      <c r="B1698" s="1235"/>
      <c r="C1698" s="1246"/>
      <c r="D1698" s="1274"/>
      <c r="E1698" s="1248"/>
      <c r="F1698" s="1248"/>
      <c r="G1698" s="1271"/>
      <c r="H1698" s="1250"/>
      <c r="I1698" s="1251"/>
      <c r="J1698" s="1271"/>
      <c r="K1698" s="1271"/>
      <c r="L1698" s="1254"/>
      <c r="M1698" s="1244"/>
      <c r="N1698" s="1273"/>
      <c r="O1698" s="1244"/>
      <c r="P1698" s="1244"/>
      <c r="Q1698" s="1244"/>
      <c r="R1698" s="1244"/>
      <c r="S1698" s="1265"/>
      <c r="T1698" s="1244"/>
      <c r="U1698" s="1244"/>
    </row>
    <row r="1699">
      <c r="A1699" s="1235"/>
      <c r="B1699" s="1235"/>
      <c r="C1699" s="1246"/>
      <c r="D1699" s="1274"/>
      <c r="E1699" s="1248"/>
      <c r="F1699" s="1248"/>
      <c r="G1699" s="1271"/>
      <c r="H1699" s="1250"/>
      <c r="I1699" s="1251"/>
      <c r="J1699" s="1271"/>
      <c r="K1699" s="1271"/>
      <c r="L1699" s="1254"/>
      <c r="M1699" s="1244"/>
      <c r="N1699" s="1273"/>
      <c r="O1699" s="1244"/>
      <c r="P1699" s="1244"/>
      <c r="Q1699" s="1244"/>
      <c r="R1699" s="1244"/>
      <c r="S1699" s="1265"/>
      <c r="T1699" s="1244"/>
      <c r="U1699" s="1244"/>
    </row>
    <row r="1700">
      <c r="A1700" s="1235"/>
      <c r="B1700" s="1235"/>
      <c r="C1700" s="1246"/>
      <c r="D1700" s="1274"/>
      <c r="E1700" s="1248"/>
      <c r="F1700" s="1248"/>
      <c r="G1700" s="1271"/>
      <c r="H1700" s="1250"/>
      <c r="I1700" s="1251"/>
      <c r="J1700" s="1271"/>
      <c r="K1700" s="1271"/>
      <c r="L1700" s="1254"/>
      <c r="M1700" s="1244"/>
      <c r="N1700" s="1273"/>
      <c r="O1700" s="1244"/>
      <c r="P1700" s="1244"/>
      <c r="Q1700" s="1244"/>
      <c r="R1700" s="1244"/>
      <c r="S1700" s="1265"/>
      <c r="T1700" s="1244"/>
      <c r="U1700" s="1244"/>
    </row>
    <row r="1701">
      <c r="A1701" s="1235"/>
      <c r="B1701" s="1235"/>
      <c r="C1701" s="1246"/>
      <c r="D1701" s="1274"/>
      <c r="E1701" s="1248"/>
      <c r="F1701" s="1248"/>
      <c r="G1701" s="1271"/>
      <c r="H1701" s="1250"/>
      <c r="I1701" s="1251"/>
      <c r="J1701" s="1271"/>
      <c r="K1701" s="1271"/>
      <c r="L1701" s="1254"/>
      <c r="M1701" s="1244"/>
      <c r="N1701" s="1273"/>
      <c r="O1701" s="1244"/>
      <c r="P1701" s="1244"/>
      <c r="Q1701" s="1244"/>
      <c r="R1701" s="1244"/>
      <c r="S1701" s="1265"/>
      <c r="T1701" s="1244"/>
      <c r="U1701" s="1244"/>
    </row>
    <row r="1702">
      <c r="A1702" s="1235"/>
      <c r="B1702" s="1235"/>
      <c r="C1702" s="1246"/>
      <c r="D1702" s="1274"/>
      <c r="E1702" s="1248"/>
      <c r="F1702" s="1248"/>
      <c r="G1702" s="1271"/>
      <c r="H1702" s="1250"/>
      <c r="I1702" s="1251"/>
      <c r="J1702" s="1271"/>
      <c r="K1702" s="1271"/>
      <c r="L1702" s="1254"/>
      <c r="M1702" s="1244"/>
      <c r="N1702" s="1273"/>
      <c r="O1702" s="1244"/>
      <c r="P1702" s="1244"/>
      <c r="Q1702" s="1244"/>
      <c r="R1702" s="1244"/>
      <c r="S1702" s="1265"/>
      <c r="T1702" s="1244"/>
      <c r="U1702" s="1244"/>
    </row>
    <row r="1703">
      <c r="A1703" s="1235"/>
      <c r="B1703" s="1235"/>
      <c r="C1703" s="1246"/>
      <c r="D1703" s="1274"/>
      <c r="E1703" s="1248"/>
      <c r="F1703" s="1248"/>
      <c r="G1703" s="1271"/>
      <c r="H1703" s="1250"/>
      <c r="I1703" s="1251"/>
      <c r="J1703" s="1271"/>
      <c r="K1703" s="1271"/>
      <c r="L1703" s="1254"/>
      <c r="M1703" s="1244"/>
      <c r="N1703" s="1273"/>
      <c r="O1703" s="1244"/>
      <c r="P1703" s="1244"/>
      <c r="Q1703" s="1244"/>
      <c r="R1703" s="1244"/>
      <c r="S1703" s="1265"/>
      <c r="T1703" s="1244"/>
      <c r="U1703" s="1244"/>
    </row>
    <row r="1704">
      <c r="A1704" s="1235"/>
      <c r="B1704" s="1235"/>
      <c r="C1704" s="1246"/>
      <c r="D1704" s="1274"/>
      <c r="E1704" s="1248"/>
      <c r="F1704" s="1248"/>
      <c r="G1704" s="1271"/>
      <c r="H1704" s="1250"/>
      <c r="I1704" s="1251"/>
      <c r="J1704" s="1271"/>
      <c r="K1704" s="1271"/>
      <c r="L1704" s="1254"/>
      <c r="M1704" s="1244"/>
      <c r="N1704" s="1273"/>
      <c r="O1704" s="1244"/>
      <c r="P1704" s="1244"/>
      <c r="Q1704" s="1244"/>
      <c r="R1704" s="1244"/>
      <c r="S1704" s="1265"/>
      <c r="T1704" s="1244"/>
      <c r="U1704" s="1244"/>
    </row>
    <row r="1705">
      <c r="A1705" s="1235"/>
      <c r="B1705" s="1235"/>
      <c r="C1705" s="1246"/>
      <c r="D1705" s="1274"/>
      <c r="E1705" s="1248"/>
      <c r="F1705" s="1248"/>
      <c r="G1705" s="1271"/>
      <c r="H1705" s="1250"/>
      <c r="I1705" s="1251"/>
      <c r="J1705" s="1271"/>
      <c r="K1705" s="1271"/>
      <c r="L1705" s="1254"/>
      <c r="M1705" s="1244"/>
      <c r="N1705" s="1273"/>
      <c r="O1705" s="1244"/>
      <c r="P1705" s="1244"/>
      <c r="Q1705" s="1244"/>
      <c r="R1705" s="1244"/>
      <c r="S1705" s="1265"/>
      <c r="T1705" s="1244"/>
      <c r="U1705" s="1244"/>
    </row>
    <row r="1706">
      <c r="A1706" s="1235"/>
      <c r="B1706" s="1235"/>
      <c r="C1706" s="1246"/>
      <c r="D1706" s="1274"/>
      <c r="E1706" s="1248"/>
      <c r="F1706" s="1248"/>
      <c r="G1706" s="1271"/>
      <c r="H1706" s="1250"/>
      <c r="I1706" s="1251"/>
      <c r="J1706" s="1271"/>
      <c r="K1706" s="1271"/>
      <c r="L1706" s="1254"/>
      <c r="M1706" s="1244"/>
      <c r="N1706" s="1273"/>
      <c r="O1706" s="1244"/>
      <c r="P1706" s="1244"/>
      <c r="Q1706" s="1244"/>
      <c r="R1706" s="1244"/>
      <c r="S1706" s="1265"/>
      <c r="T1706" s="1244"/>
      <c r="U1706" s="1244"/>
    </row>
    <row r="1707">
      <c r="A1707" s="1235"/>
      <c r="B1707" s="1235"/>
      <c r="C1707" s="1246"/>
      <c r="D1707" s="1274"/>
      <c r="E1707" s="1248"/>
      <c r="F1707" s="1248"/>
      <c r="G1707" s="1271"/>
      <c r="H1707" s="1250"/>
      <c r="I1707" s="1251"/>
      <c r="J1707" s="1271"/>
      <c r="K1707" s="1271"/>
      <c r="L1707" s="1254"/>
      <c r="M1707" s="1244"/>
      <c r="N1707" s="1273"/>
      <c r="O1707" s="1244"/>
      <c r="P1707" s="1244"/>
      <c r="Q1707" s="1244"/>
      <c r="R1707" s="1244"/>
      <c r="S1707" s="1265"/>
      <c r="T1707" s="1244"/>
      <c r="U1707" s="1244"/>
    </row>
    <row r="1708">
      <c r="A1708" s="1235"/>
      <c r="B1708" s="1235"/>
      <c r="C1708" s="1246"/>
      <c r="D1708" s="1274"/>
      <c r="E1708" s="1248"/>
      <c r="F1708" s="1248"/>
      <c r="G1708" s="1271"/>
      <c r="H1708" s="1250"/>
      <c r="I1708" s="1251"/>
      <c r="J1708" s="1271"/>
      <c r="K1708" s="1271"/>
      <c r="L1708" s="1254"/>
      <c r="M1708" s="1244"/>
      <c r="N1708" s="1273"/>
      <c r="O1708" s="1244"/>
      <c r="P1708" s="1244"/>
      <c r="Q1708" s="1244"/>
      <c r="R1708" s="1244"/>
      <c r="S1708" s="1265"/>
      <c r="T1708" s="1244"/>
      <c r="U1708" s="1244"/>
    </row>
    <row r="1709">
      <c r="A1709" s="1235"/>
      <c r="B1709" s="1235"/>
      <c r="C1709" s="1246"/>
      <c r="D1709" s="1274"/>
      <c r="E1709" s="1248"/>
      <c r="F1709" s="1248"/>
      <c r="G1709" s="1271"/>
      <c r="H1709" s="1250"/>
      <c r="I1709" s="1251"/>
      <c r="J1709" s="1271"/>
      <c r="K1709" s="1271"/>
      <c r="L1709" s="1254"/>
      <c r="M1709" s="1244"/>
      <c r="N1709" s="1273"/>
      <c r="O1709" s="1244"/>
      <c r="P1709" s="1244"/>
      <c r="Q1709" s="1244"/>
      <c r="R1709" s="1244"/>
      <c r="S1709" s="1265"/>
      <c r="T1709" s="1244"/>
      <c r="U1709" s="1244"/>
    </row>
    <row r="1710">
      <c r="A1710" s="1235"/>
      <c r="B1710" s="1235"/>
      <c r="C1710" s="1246"/>
      <c r="D1710" s="1274"/>
      <c r="E1710" s="1248"/>
      <c r="F1710" s="1248"/>
      <c r="G1710" s="1271"/>
      <c r="H1710" s="1250"/>
      <c r="I1710" s="1251"/>
      <c r="J1710" s="1271"/>
      <c r="K1710" s="1271"/>
      <c r="L1710" s="1254"/>
      <c r="M1710" s="1244"/>
      <c r="N1710" s="1273"/>
      <c r="O1710" s="1244"/>
      <c r="P1710" s="1244"/>
      <c r="Q1710" s="1244"/>
      <c r="R1710" s="1244"/>
      <c r="S1710" s="1265"/>
      <c r="T1710" s="1244"/>
      <c r="U1710" s="1244"/>
    </row>
    <row r="1711">
      <c r="A1711" s="1235"/>
      <c r="B1711" s="1235"/>
      <c r="C1711" s="1246"/>
      <c r="D1711" s="1274"/>
      <c r="E1711" s="1248"/>
      <c r="F1711" s="1248"/>
      <c r="G1711" s="1271"/>
      <c r="H1711" s="1250"/>
      <c r="I1711" s="1251"/>
      <c r="J1711" s="1271"/>
      <c r="K1711" s="1271"/>
      <c r="L1711" s="1254"/>
      <c r="M1711" s="1244"/>
      <c r="N1711" s="1273"/>
      <c r="O1711" s="1244"/>
      <c r="P1711" s="1244"/>
      <c r="Q1711" s="1244"/>
      <c r="R1711" s="1244"/>
      <c r="S1711" s="1265"/>
      <c r="T1711" s="1244"/>
      <c r="U1711" s="1244"/>
    </row>
    <row r="1712">
      <c r="A1712" s="1235"/>
      <c r="B1712" s="1235"/>
      <c r="C1712" s="1246"/>
      <c r="D1712" s="1274"/>
      <c r="E1712" s="1248"/>
      <c r="F1712" s="1248"/>
      <c r="G1712" s="1271"/>
      <c r="H1712" s="1250"/>
      <c r="I1712" s="1251"/>
      <c r="J1712" s="1271"/>
      <c r="K1712" s="1271"/>
      <c r="L1712" s="1254"/>
      <c r="M1712" s="1244"/>
      <c r="N1712" s="1273"/>
      <c r="O1712" s="1244"/>
      <c r="P1712" s="1244"/>
      <c r="Q1712" s="1244"/>
      <c r="R1712" s="1244"/>
      <c r="S1712" s="1265"/>
      <c r="T1712" s="1244"/>
      <c r="U1712" s="1244"/>
    </row>
    <row r="1713">
      <c r="A1713" s="1235"/>
      <c r="B1713" s="1235"/>
      <c r="C1713" s="1246"/>
      <c r="D1713" s="1274"/>
      <c r="E1713" s="1248"/>
      <c r="F1713" s="1248"/>
      <c r="G1713" s="1271"/>
      <c r="H1713" s="1250"/>
      <c r="I1713" s="1251"/>
      <c r="J1713" s="1271"/>
      <c r="K1713" s="1271"/>
      <c r="L1713" s="1254"/>
      <c r="M1713" s="1244"/>
      <c r="N1713" s="1273"/>
      <c r="O1713" s="1244"/>
      <c r="P1713" s="1244"/>
      <c r="Q1713" s="1244"/>
      <c r="R1713" s="1244"/>
      <c r="S1713" s="1265"/>
      <c r="T1713" s="1244"/>
      <c r="U1713" s="1244"/>
    </row>
    <row r="1714">
      <c r="A1714" s="1235"/>
      <c r="B1714" s="1235"/>
      <c r="C1714" s="1246"/>
      <c r="D1714" s="1274"/>
      <c r="E1714" s="1248"/>
      <c r="F1714" s="1248"/>
      <c r="G1714" s="1271"/>
      <c r="H1714" s="1250"/>
      <c r="I1714" s="1251"/>
      <c r="J1714" s="1271"/>
      <c r="K1714" s="1271"/>
      <c r="L1714" s="1254"/>
      <c r="M1714" s="1244"/>
      <c r="N1714" s="1273"/>
      <c r="O1714" s="1244"/>
      <c r="P1714" s="1244"/>
      <c r="Q1714" s="1244"/>
      <c r="R1714" s="1244"/>
      <c r="S1714" s="1265"/>
      <c r="T1714" s="1244"/>
      <c r="U1714" s="1244"/>
    </row>
    <row r="1715">
      <c r="A1715" s="1235"/>
      <c r="B1715" s="1235"/>
      <c r="C1715" s="1246"/>
      <c r="D1715" s="1274"/>
      <c r="E1715" s="1248"/>
      <c r="F1715" s="1248"/>
      <c r="G1715" s="1271"/>
      <c r="H1715" s="1250"/>
      <c r="I1715" s="1251"/>
      <c r="J1715" s="1271"/>
      <c r="K1715" s="1271"/>
      <c r="L1715" s="1254"/>
      <c r="M1715" s="1244"/>
      <c r="N1715" s="1273"/>
      <c r="O1715" s="1244"/>
      <c r="P1715" s="1244"/>
      <c r="Q1715" s="1244"/>
      <c r="R1715" s="1244"/>
      <c r="S1715" s="1265"/>
      <c r="T1715" s="1244"/>
      <c r="U1715" s="1244"/>
    </row>
    <row r="1716">
      <c r="A1716" s="1235"/>
      <c r="B1716" s="1235"/>
      <c r="C1716" s="1246"/>
      <c r="D1716" s="1274"/>
      <c r="E1716" s="1248"/>
      <c r="F1716" s="1248"/>
      <c r="G1716" s="1271"/>
      <c r="H1716" s="1250"/>
      <c r="I1716" s="1251"/>
      <c r="J1716" s="1271"/>
      <c r="K1716" s="1271"/>
      <c r="L1716" s="1254"/>
      <c r="M1716" s="1244"/>
      <c r="N1716" s="1273"/>
      <c r="O1716" s="1244"/>
      <c r="P1716" s="1244"/>
      <c r="Q1716" s="1244"/>
      <c r="R1716" s="1244"/>
      <c r="S1716" s="1265"/>
      <c r="T1716" s="1244"/>
      <c r="U1716" s="1244"/>
    </row>
    <row r="1717">
      <c r="A1717" s="1235"/>
      <c r="B1717" s="1235"/>
      <c r="C1717" s="1246"/>
      <c r="D1717" s="1274"/>
      <c r="E1717" s="1248"/>
      <c r="F1717" s="1248"/>
      <c r="G1717" s="1271"/>
      <c r="H1717" s="1250"/>
      <c r="I1717" s="1251"/>
      <c r="J1717" s="1271"/>
      <c r="K1717" s="1271"/>
      <c r="L1717" s="1254"/>
      <c r="M1717" s="1244"/>
      <c r="N1717" s="1273"/>
      <c r="O1717" s="1244"/>
      <c r="P1717" s="1244"/>
      <c r="Q1717" s="1244"/>
      <c r="R1717" s="1244"/>
      <c r="S1717" s="1265"/>
      <c r="T1717" s="1244"/>
      <c r="U1717" s="1244"/>
    </row>
    <row r="1718">
      <c r="A1718" s="1235"/>
      <c r="B1718" s="1235"/>
      <c r="C1718" s="1246"/>
      <c r="D1718" s="1274"/>
      <c r="E1718" s="1248"/>
      <c r="F1718" s="1248"/>
      <c r="G1718" s="1271"/>
      <c r="H1718" s="1250"/>
      <c r="I1718" s="1251"/>
      <c r="J1718" s="1271"/>
      <c r="K1718" s="1271"/>
      <c r="L1718" s="1254"/>
      <c r="M1718" s="1244"/>
      <c r="N1718" s="1273"/>
      <c r="O1718" s="1244"/>
      <c r="P1718" s="1244"/>
      <c r="Q1718" s="1244"/>
      <c r="R1718" s="1244"/>
      <c r="S1718" s="1265"/>
      <c r="T1718" s="1244"/>
      <c r="U1718" s="1244"/>
    </row>
    <row r="1719">
      <c r="A1719" s="1235"/>
      <c r="B1719" s="1235"/>
      <c r="C1719" s="1246"/>
      <c r="D1719" s="1274"/>
      <c r="E1719" s="1248"/>
      <c r="F1719" s="1248"/>
      <c r="G1719" s="1271"/>
      <c r="H1719" s="1250"/>
      <c r="I1719" s="1251"/>
      <c r="J1719" s="1271"/>
      <c r="K1719" s="1271"/>
      <c r="L1719" s="1254"/>
      <c r="M1719" s="1244"/>
      <c r="N1719" s="1273"/>
      <c r="O1719" s="1244"/>
      <c r="P1719" s="1244"/>
      <c r="Q1719" s="1244"/>
      <c r="R1719" s="1244"/>
      <c r="S1719" s="1265"/>
      <c r="T1719" s="1244"/>
      <c r="U1719" s="1244"/>
    </row>
    <row r="1720">
      <c r="A1720" s="1235"/>
      <c r="B1720" s="1235"/>
      <c r="C1720" s="1246"/>
      <c r="D1720" s="1274"/>
      <c r="E1720" s="1248"/>
      <c r="F1720" s="1248"/>
      <c r="G1720" s="1271"/>
      <c r="H1720" s="1250"/>
      <c r="I1720" s="1251"/>
      <c r="J1720" s="1271"/>
      <c r="K1720" s="1271"/>
      <c r="L1720" s="1254"/>
      <c r="M1720" s="1244"/>
      <c r="N1720" s="1273"/>
      <c r="O1720" s="1244"/>
      <c r="P1720" s="1244"/>
      <c r="Q1720" s="1244"/>
      <c r="R1720" s="1244"/>
      <c r="S1720" s="1265"/>
      <c r="T1720" s="1244"/>
      <c r="U1720" s="1244"/>
    </row>
    <row r="1721">
      <c r="A1721" s="1235"/>
      <c r="B1721" s="1235"/>
      <c r="C1721" s="1246"/>
      <c r="D1721" s="1274"/>
      <c r="E1721" s="1248"/>
      <c r="F1721" s="1248"/>
      <c r="G1721" s="1271"/>
      <c r="H1721" s="1250"/>
      <c r="I1721" s="1251"/>
      <c r="J1721" s="1271"/>
      <c r="K1721" s="1271"/>
      <c r="L1721" s="1254"/>
      <c r="M1721" s="1244"/>
      <c r="N1721" s="1273"/>
      <c r="O1721" s="1244"/>
      <c r="P1721" s="1244"/>
      <c r="Q1721" s="1244"/>
      <c r="R1721" s="1244"/>
      <c r="S1721" s="1265"/>
      <c r="T1721" s="1244"/>
      <c r="U1721" s="1244"/>
    </row>
    <row r="1722">
      <c r="A1722" s="1235"/>
      <c r="B1722" s="1235"/>
      <c r="C1722" s="1246"/>
      <c r="D1722" s="1274"/>
      <c r="E1722" s="1248"/>
      <c r="F1722" s="1248"/>
      <c r="G1722" s="1271"/>
      <c r="H1722" s="1250"/>
      <c r="I1722" s="1251"/>
      <c r="J1722" s="1271"/>
      <c r="K1722" s="1271"/>
      <c r="L1722" s="1254"/>
      <c r="M1722" s="1244"/>
      <c r="N1722" s="1273"/>
      <c r="O1722" s="1244"/>
      <c r="P1722" s="1244"/>
      <c r="Q1722" s="1244"/>
      <c r="R1722" s="1244"/>
      <c r="S1722" s="1265"/>
      <c r="T1722" s="1244"/>
      <c r="U1722" s="1244"/>
    </row>
    <row r="1723">
      <c r="A1723" s="1235"/>
      <c r="B1723" s="1235"/>
      <c r="C1723" s="1246"/>
      <c r="D1723" s="1274"/>
      <c r="E1723" s="1248"/>
      <c r="F1723" s="1248"/>
      <c r="G1723" s="1271"/>
      <c r="H1723" s="1250"/>
      <c r="I1723" s="1251"/>
      <c r="J1723" s="1271"/>
      <c r="K1723" s="1271"/>
      <c r="L1723" s="1254"/>
      <c r="M1723" s="1244"/>
      <c r="N1723" s="1273"/>
      <c r="O1723" s="1244"/>
      <c r="P1723" s="1244"/>
      <c r="Q1723" s="1244"/>
      <c r="R1723" s="1244"/>
      <c r="S1723" s="1265"/>
      <c r="T1723" s="1244"/>
      <c r="U1723" s="1244"/>
    </row>
    <row r="1724">
      <c r="A1724" s="1235"/>
      <c r="B1724" s="1235"/>
      <c r="C1724" s="1246"/>
      <c r="D1724" s="1274"/>
      <c r="E1724" s="1248"/>
      <c r="F1724" s="1248"/>
      <c r="G1724" s="1271"/>
      <c r="H1724" s="1250"/>
      <c r="I1724" s="1251"/>
      <c r="J1724" s="1271"/>
      <c r="K1724" s="1271"/>
      <c r="L1724" s="1254"/>
      <c r="M1724" s="1244"/>
      <c r="N1724" s="1273"/>
      <c r="O1724" s="1244"/>
      <c r="P1724" s="1244"/>
      <c r="Q1724" s="1244"/>
      <c r="R1724" s="1244"/>
      <c r="S1724" s="1265"/>
      <c r="T1724" s="1244"/>
      <c r="U1724" s="1244"/>
    </row>
    <row r="1725">
      <c r="A1725" s="1235"/>
      <c r="B1725" s="1235"/>
      <c r="C1725" s="1246"/>
      <c r="D1725" s="1274"/>
      <c r="E1725" s="1248"/>
      <c r="F1725" s="1248"/>
      <c r="G1725" s="1271"/>
      <c r="H1725" s="1250"/>
      <c r="I1725" s="1251"/>
      <c r="J1725" s="1271"/>
      <c r="K1725" s="1271"/>
      <c r="L1725" s="1254"/>
      <c r="M1725" s="1244"/>
      <c r="N1725" s="1273"/>
      <c r="O1725" s="1244"/>
      <c r="P1725" s="1244"/>
      <c r="Q1725" s="1244"/>
      <c r="R1725" s="1244"/>
      <c r="S1725" s="1265"/>
      <c r="T1725" s="1244"/>
      <c r="U1725" s="1244"/>
    </row>
    <row r="1726">
      <c r="A1726" s="1235"/>
      <c r="B1726" s="1235"/>
      <c r="C1726" s="1246"/>
      <c r="D1726" s="1274"/>
      <c r="E1726" s="1248"/>
      <c r="F1726" s="1248"/>
      <c r="G1726" s="1271"/>
      <c r="H1726" s="1250"/>
      <c r="I1726" s="1251"/>
      <c r="J1726" s="1271"/>
      <c r="K1726" s="1271"/>
      <c r="L1726" s="1254"/>
      <c r="M1726" s="1244"/>
      <c r="N1726" s="1273"/>
      <c r="O1726" s="1244"/>
      <c r="P1726" s="1244"/>
      <c r="Q1726" s="1244"/>
      <c r="R1726" s="1244"/>
      <c r="S1726" s="1265"/>
      <c r="T1726" s="1244"/>
      <c r="U1726" s="1244"/>
    </row>
    <row r="1727">
      <c r="A1727" s="1235"/>
      <c r="B1727" s="1235"/>
      <c r="C1727" s="1246"/>
      <c r="D1727" s="1274"/>
      <c r="E1727" s="1248"/>
      <c r="F1727" s="1248"/>
      <c r="G1727" s="1271"/>
      <c r="H1727" s="1250"/>
      <c r="I1727" s="1251"/>
      <c r="J1727" s="1271"/>
      <c r="K1727" s="1271"/>
      <c r="L1727" s="1254"/>
      <c r="M1727" s="1244"/>
      <c r="N1727" s="1273"/>
      <c r="O1727" s="1244"/>
      <c r="P1727" s="1244"/>
      <c r="Q1727" s="1244"/>
      <c r="R1727" s="1244"/>
      <c r="S1727" s="1265"/>
      <c r="T1727" s="1244"/>
      <c r="U1727" s="1244"/>
    </row>
    <row r="1728">
      <c r="A1728" s="1235"/>
      <c r="B1728" s="1235"/>
      <c r="C1728" s="1246"/>
      <c r="D1728" s="1274"/>
      <c r="E1728" s="1248"/>
      <c r="F1728" s="1248"/>
      <c r="G1728" s="1271"/>
      <c r="H1728" s="1250"/>
      <c r="I1728" s="1251"/>
      <c r="J1728" s="1271"/>
      <c r="K1728" s="1271"/>
      <c r="L1728" s="1254"/>
      <c r="M1728" s="1244"/>
      <c r="N1728" s="1273"/>
      <c r="O1728" s="1244"/>
      <c r="P1728" s="1244"/>
      <c r="Q1728" s="1244"/>
      <c r="R1728" s="1244"/>
      <c r="S1728" s="1265"/>
      <c r="T1728" s="1244"/>
      <c r="U1728" s="1244"/>
    </row>
    <row r="1729">
      <c r="A1729" s="1235"/>
      <c r="B1729" s="1235"/>
      <c r="C1729" s="1246"/>
      <c r="D1729" s="1274"/>
      <c r="E1729" s="1248"/>
      <c r="F1729" s="1248"/>
      <c r="G1729" s="1271"/>
      <c r="H1729" s="1250"/>
      <c r="I1729" s="1251"/>
      <c r="J1729" s="1271"/>
      <c r="K1729" s="1271"/>
      <c r="L1729" s="1254"/>
      <c r="M1729" s="1244"/>
      <c r="N1729" s="1273"/>
      <c r="O1729" s="1244"/>
      <c r="P1729" s="1244"/>
      <c r="Q1729" s="1244"/>
      <c r="R1729" s="1244"/>
      <c r="S1729" s="1265"/>
      <c r="T1729" s="1244"/>
      <c r="U1729" s="1244"/>
    </row>
    <row r="1730">
      <c r="A1730" s="1235"/>
      <c r="B1730" s="1235"/>
      <c r="C1730" s="1246"/>
      <c r="D1730" s="1274"/>
      <c r="E1730" s="1248"/>
      <c r="F1730" s="1248"/>
      <c r="G1730" s="1271"/>
      <c r="H1730" s="1250"/>
      <c r="I1730" s="1251"/>
      <c r="J1730" s="1271"/>
      <c r="K1730" s="1271"/>
      <c r="L1730" s="1254"/>
      <c r="M1730" s="1244"/>
      <c r="N1730" s="1273"/>
      <c r="O1730" s="1244"/>
      <c r="P1730" s="1244"/>
      <c r="Q1730" s="1244"/>
      <c r="R1730" s="1244"/>
      <c r="S1730" s="1265"/>
      <c r="T1730" s="1244"/>
      <c r="U1730" s="1244"/>
    </row>
    <row r="1731">
      <c r="A1731" s="1235"/>
      <c r="B1731" s="1235"/>
      <c r="C1731" s="1246"/>
      <c r="D1731" s="1274"/>
      <c r="E1731" s="1248"/>
      <c r="F1731" s="1248"/>
      <c r="G1731" s="1271"/>
      <c r="H1731" s="1250"/>
      <c r="I1731" s="1251"/>
      <c r="J1731" s="1271"/>
      <c r="K1731" s="1271"/>
      <c r="L1731" s="1254"/>
      <c r="M1731" s="1244"/>
      <c r="N1731" s="1273"/>
      <c r="O1731" s="1244"/>
      <c r="P1731" s="1244"/>
      <c r="Q1731" s="1244"/>
      <c r="R1731" s="1244"/>
      <c r="S1731" s="1265"/>
      <c r="T1731" s="1244"/>
      <c r="U1731" s="1244"/>
    </row>
    <row r="1732">
      <c r="A1732" s="1235"/>
      <c r="B1732" s="1235"/>
      <c r="C1732" s="1246"/>
      <c r="D1732" s="1274"/>
      <c r="E1732" s="1248"/>
      <c r="F1732" s="1248"/>
      <c r="G1732" s="1271"/>
      <c r="H1732" s="1250"/>
      <c r="I1732" s="1251"/>
      <c r="J1732" s="1271"/>
      <c r="K1732" s="1271"/>
      <c r="L1732" s="1254"/>
      <c r="M1732" s="1244"/>
      <c r="N1732" s="1273"/>
      <c r="O1732" s="1244"/>
      <c r="P1732" s="1244"/>
      <c r="Q1732" s="1244"/>
      <c r="R1732" s="1244"/>
      <c r="S1732" s="1265"/>
      <c r="T1732" s="1244"/>
      <c r="U1732" s="1244"/>
    </row>
    <row r="1733">
      <c r="A1733" s="1235"/>
      <c r="B1733" s="1235"/>
      <c r="C1733" s="1246"/>
      <c r="D1733" s="1274"/>
      <c r="E1733" s="1248"/>
      <c r="F1733" s="1248"/>
      <c r="G1733" s="1271"/>
      <c r="H1733" s="1250"/>
      <c r="I1733" s="1251"/>
      <c r="J1733" s="1271"/>
      <c r="K1733" s="1271"/>
      <c r="L1733" s="1254"/>
      <c r="M1733" s="1244"/>
      <c r="N1733" s="1273"/>
      <c r="O1733" s="1244"/>
      <c r="P1733" s="1244"/>
      <c r="Q1733" s="1244"/>
      <c r="R1733" s="1244"/>
      <c r="S1733" s="1265"/>
      <c r="T1733" s="1244"/>
      <c r="U1733" s="1244"/>
    </row>
    <row r="1734">
      <c r="A1734" s="1235"/>
      <c r="B1734" s="1235"/>
      <c r="C1734" s="1246"/>
      <c r="D1734" s="1274"/>
      <c r="E1734" s="1248"/>
      <c r="F1734" s="1248"/>
      <c r="G1734" s="1271"/>
      <c r="H1734" s="1250"/>
      <c r="I1734" s="1251"/>
      <c r="J1734" s="1271"/>
      <c r="K1734" s="1271"/>
      <c r="L1734" s="1254"/>
      <c r="M1734" s="1244"/>
      <c r="N1734" s="1273"/>
      <c r="O1734" s="1244"/>
      <c r="P1734" s="1244"/>
      <c r="Q1734" s="1244"/>
      <c r="R1734" s="1244"/>
      <c r="S1734" s="1265"/>
      <c r="T1734" s="1244"/>
      <c r="U1734" s="1244"/>
    </row>
    <row r="1735">
      <c r="A1735" s="1235"/>
      <c r="B1735" s="1235"/>
      <c r="C1735" s="1246"/>
      <c r="D1735" s="1274"/>
      <c r="E1735" s="1248"/>
      <c r="F1735" s="1248"/>
      <c r="G1735" s="1271"/>
      <c r="H1735" s="1250"/>
      <c r="I1735" s="1251"/>
      <c r="J1735" s="1271"/>
      <c r="K1735" s="1271"/>
      <c r="L1735" s="1254"/>
      <c r="M1735" s="1244"/>
      <c r="N1735" s="1273"/>
      <c r="O1735" s="1244"/>
      <c r="P1735" s="1244"/>
      <c r="Q1735" s="1244"/>
      <c r="R1735" s="1244"/>
      <c r="S1735" s="1265"/>
      <c r="T1735" s="1244"/>
      <c r="U1735" s="1244"/>
    </row>
    <row r="1736">
      <c r="A1736" s="1235"/>
      <c r="B1736" s="1235"/>
      <c r="C1736" s="1246"/>
      <c r="D1736" s="1274"/>
      <c r="E1736" s="1248"/>
      <c r="F1736" s="1248"/>
      <c r="G1736" s="1271"/>
      <c r="H1736" s="1250"/>
      <c r="I1736" s="1251"/>
      <c r="J1736" s="1271"/>
      <c r="K1736" s="1271"/>
      <c r="L1736" s="1254"/>
      <c r="M1736" s="1244"/>
      <c r="N1736" s="1273"/>
      <c r="O1736" s="1244"/>
      <c r="P1736" s="1244"/>
      <c r="Q1736" s="1244"/>
      <c r="R1736" s="1244"/>
      <c r="S1736" s="1265"/>
      <c r="T1736" s="1244"/>
      <c r="U1736" s="1244"/>
    </row>
    <row r="1737">
      <c r="A1737" s="1235"/>
      <c r="B1737" s="1235"/>
      <c r="C1737" s="1246"/>
      <c r="D1737" s="1274"/>
      <c r="E1737" s="1248"/>
      <c r="F1737" s="1248"/>
      <c r="G1737" s="1271"/>
      <c r="H1737" s="1250"/>
      <c r="I1737" s="1251"/>
      <c r="J1737" s="1271"/>
      <c r="K1737" s="1271"/>
      <c r="L1737" s="1254"/>
      <c r="M1737" s="1244"/>
      <c r="N1737" s="1273"/>
      <c r="O1737" s="1244"/>
      <c r="P1737" s="1244"/>
      <c r="Q1737" s="1244"/>
      <c r="R1737" s="1244"/>
      <c r="S1737" s="1265"/>
      <c r="T1737" s="1244"/>
      <c r="U1737" s="1244"/>
    </row>
    <row r="1738">
      <c r="A1738" s="1235"/>
      <c r="B1738" s="1235"/>
      <c r="C1738" s="1246"/>
      <c r="D1738" s="1274"/>
      <c r="E1738" s="1248"/>
      <c r="F1738" s="1248"/>
      <c r="G1738" s="1271"/>
      <c r="H1738" s="1250"/>
      <c r="I1738" s="1251"/>
      <c r="J1738" s="1271"/>
      <c r="K1738" s="1271"/>
      <c r="L1738" s="1254"/>
      <c r="M1738" s="1244"/>
      <c r="N1738" s="1273"/>
      <c r="O1738" s="1244"/>
      <c r="P1738" s="1244"/>
      <c r="Q1738" s="1244"/>
      <c r="R1738" s="1244"/>
      <c r="S1738" s="1265"/>
      <c r="T1738" s="1244"/>
      <c r="U1738" s="1244"/>
    </row>
    <row r="1739">
      <c r="A1739" s="1235"/>
      <c r="B1739" s="1235"/>
      <c r="C1739" s="1246"/>
      <c r="D1739" s="1274"/>
      <c r="E1739" s="1248"/>
      <c r="F1739" s="1248"/>
      <c r="G1739" s="1271"/>
      <c r="H1739" s="1250"/>
      <c r="I1739" s="1251"/>
      <c r="J1739" s="1271"/>
      <c r="K1739" s="1271"/>
      <c r="L1739" s="1254"/>
      <c r="M1739" s="1244"/>
      <c r="N1739" s="1273"/>
      <c r="O1739" s="1244"/>
      <c r="P1739" s="1244"/>
      <c r="Q1739" s="1244"/>
      <c r="R1739" s="1244"/>
      <c r="S1739" s="1265"/>
      <c r="T1739" s="1244"/>
      <c r="U1739" s="1244"/>
    </row>
    <row r="1740">
      <c r="A1740" s="1235"/>
      <c r="B1740" s="1235"/>
      <c r="C1740" s="1246"/>
      <c r="D1740" s="1274"/>
      <c r="E1740" s="1248"/>
      <c r="F1740" s="1248"/>
      <c r="G1740" s="1271"/>
      <c r="H1740" s="1250"/>
      <c r="I1740" s="1251"/>
      <c r="J1740" s="1271"/>
      <c r="K1740" s="1271"/>
      <c r="L1740" s="1254"/>
      <c r="M1740" s="1244"/>
      <c r="N1740" s="1273"/>
      <c r="O1740" s="1244"/>
      <c r="P1740" s="1244"/>
      <c r="Q1740" s="1244"/>
      <c r="R1740" s="1244"/>
      <c r="S1740" s="1265"/>
      <c r="T1740" s="1244"/>
      <c r="U1740" s="1244"/>
    </row>
    <row r="1741">
      <c r="A1741" s="1235"/>
      <c r="B1741" s="1235"/>
      <c r="C1741" s="1246"/>
      <c r="D1741" s="1274"/>
      <c r="E1741" s="1248"/>
      <c r="F1741" s="1248"/>
      <c r="G1741" s="1271"/>
      <c r="H1741" s="1250"/>
      <c r="I1741" s="1251"/>
      <c r="J1741" s="1271"/>
      <c r="K1741" s="1271"/>
      <c r="L1741" s="1254"/>
      <c r="M1741" s="1244"/>
      <c r="N1741" s="1273"/>
      <c r="O1741" s="1244"/>
      <c r="P1741" s="1244"/>
      <c r="Q1741" s="1244"/>
      <c r="R1741" s="1244"/>
      <c r="S1741" s="1265"/>
      <c r="T1741" s="1244"/>
      <c r="U1741" s="1244"/>
    </row>
    <row r="1742">
      <c r="A1742" s="1235"/>
      <c r="B1742" s="1235"/>
      <c r="C1742" s="1246"/>
      <c r="D1742" s="1274"/>
      <c r="E1742" s="1248"/>
      <c r="F1742" s="1248"/>
      <c r="G1742" s="1271"/>
      <c r="H1742" s="1250"/>
      <c r="I1742" s="1251"/>
      <c r="J1742" s="1271"/>
      <c r="K1742" s="1271"/>
      <c r="L1742" s="1254"/>
      <c r="M1742" s="1244"/>
      <c r="N1742" s="1273"/>
      <c r="O1742" s="1244"/>
      <c r="P1742" s="1244"/>
      <c r="Q1742" s="1244"/>
      <c r="R1742" s="1244"/>
      <c r="S1742" s="1265"/>
      <c r="T1742" s="1244"/>
      <c r="U1742" s="1244"/>
    </row>
    <row r="1743">
      <c r="A1743" s="1235"/>
      <c r="B1743" s="1235"/>
      <c r="C1743" s="1246"/>
      <c r="D1743" s="1274"/>
      <c r="E1743" s="1248"/>
      <c r="F1743" s="1248"/>
      <c r="G1743" s="1271"/>
      <c r="H1743" s="1250"/>
      <c r="I1743" s="1251"/>
      <c r="J1743" s="1271"/>
      <c r="K1743" s="1271"/>
      <c r="L1743" s="1254"/>
      <c r="M1743" s="1244"/>
      <c r="N1743" s="1273"/>
      <c r="O1743" s="1244"/>
      <c r="P1743" s="1244"/>
      <c r="Q1743" s="1244"/>
      <c r="R1743" s="1244"/>
      <c r="S1743" s="1265"/>
      <c r="T1743" s="1244"/>
      <c r="U1743" s="1244"/>
    </row>
    <row r="1744">
      <c r="A1744" s="1235"/>
      <c r="B1744" s="1235"/>
      <c r="C1744" s="1246"/>
      <c r="D1744" s="1274"/>
      <c r="E1744" s="1248"/>
      <c r="F1744" s="1248"/>
      <c r="G1744" s="1271"/>
      <c r="H1744" s="1250"/>
      <c r="I1744" s="1251"/>
      <c r="J1744" s="1271"/>
      <c r="K1744" s="1271"/>
      <c r="L1744" s="1254"/>
      <c r="M1744" s="1244"/>
      <c r="N1744" s="1273"/>
      <c r="O1744" s="1244"/>
      <c r="P1744" s="1244"/>
      <c r="Q1744" s="1244"/>
      <c r="R1744" s="1244"/>
      <c r="S1744" s="1265"/>
      <c r="T1744" s="1244"/>
      <c r="U1744" s="1244"/>
    </row>
    <row r="1745">
      <c r="A1745" s="1235"/>
      <c r="B1745" s="1235"/>
      <c r="C1745" s="1246"/>
      <c r="D1745" s="1274"/>
      <c r="E1745" s="1248"/>
      <c r="F1745" s="1248"/>
      <c r="G1745" s="1271"/>
      <c r="H1745" s="1250"/>
      <c r="I1745" s="1251"/>
      <c r="J1745" s="1271"/>
      <c r="K1745" s="1271"/>
      <c r="L1745" s="1254"/>
      <c r="M1745" s="1244"/>
      <c r="N1745" s="1273"/>
      <c r="O1745" s="1244"/>
      <c r="P1745" s="1244"/>
      <c r="Q1745" s="1244"/>
      <c r="R1745" s="1244"/>
      <c r="S1745" s="1265"/>
      <c r="T1745" s="1244"/>
      <c r="U1745" s="1244"/>
    </row>
    <row r="1746">
      <c r="A1746" s="1235"/>
      <c r="B1746" s="1235"/>
      <c r="C1746" s="1246"/>
      <c r="D1746" s="1274"/>
      <c r="E1746" s="1248"/>
      <c r="F1746" s="1248"/>
      <c r="G1746" s="1271"/>
      <c r="H1746" s="1250"/>
      <c r="I1746" s="1251"/>
      <c r="J1746" s="1271"/>
      <c r="K1746" s="1271"/>
      <c r="L1746" s="1254"/>
      <c r="M1746" s="1244"/>
      <c r="N1746" s="1273"/>
      <c r="O1746" s="1244"/>
      <c r="P1746" s="1244"/>
      <c r="Q1746" s="1244"/>
      <c r="R1746" s="1244"/>
      <c r="S1746" s="1265"/>
      <c r="T1746" s="1244"/>
      <c r="U1746" s="1244"/>
    </row>
    <row r="1747">
      <c r="A1747" s="1235"/>
      <c r="B1747" s="1235"/>
      <c r="C1747" s="1246"/>
      <c r="D1747" s="1274"/>
      <c r="E1747" s="1248"/>
      <c r="F1747" s="1248"/>
      <c r="G1747" s="1271"/>
      <c r="H1747" s="1250"/>
      <c r="I1747" s="1251"/>
      <c r="J1747" s="1271"/>
      <c r="K1747" s="1271"/>
      <c r="L1747" s="1254"/>
      <c r="M1747" s="1244"/>
      <c r="N1747" s="1273"/>
      <c r="O1747" s="1244"/>
      <c r="P1747" s="1244"/>
      <c r="Q1747" s="1244"/>
      <c r="R1747" s="1244"/>
      <c r="S1747" s="1265"/>
      <c r="T1747" s="1244"/>
      <c r="U1747" s="1244"/>
    </row>
    <row r="1748">
      <c r="A1748" s="1235"/>
      <c r="B1748" s="1235"/>
      <c r="C1748" s="1246"/>
      <c r="D1748" s="1274"/>
      <c r="E1748" s="1248"/>
      <c r="F1748" s="1248"/>
      <c r="G1748" s="1271"/>
      <c r="H1748" s="1250"/>
      <c r="I1748" s="1251"/>
      <c r="J1748" s="1271"/>
      <c r="K1748" s="1271"/>
      <c r="L1748" s="1254"/>
      <c r="M1748" s="1244"/>
      <c r="N1748" s="1273"/>
      <c r="O1748" s="1244"/>
      <c r="P1748" s="1244"/>
      <c r="Q1748" s="1244"/>
      <c r="R1748" s="1244"/>
      <c r="S1748" s="1265"/>
      <c r="T1748" s="1244"/>
      <c r="U1748" s="1244"/>
    </row>
    <row r="1749">
      <c r="A1749" s="1235"/>
      <c r="B1749" s="1235"/>
      <c r="C1749" s="1246"/>
      <c r="D1749" s="1274"/>
      <c r="E1749" s="1248"/>
      <c r="F1749" s="1248"/>
      <c r="G1749" s="1271"/>
      <c r="H1749" s="1250"/>
      <c r="I1749" s="1251"/>
      <c r="J1749" s="1271"/>
      <c r="K1749" s="1271"/>
      <c r="L1749" s="1254"/>
      <c r="M1749" s="1244"/>
      <c r="N1749" s="1273"/>
      <c r="O1749" s="1244"/>
      <c r="P1749" s="1244"/>
      <c r="Q1749" s="1244"/>
      <c r="R1749" s="1244"/>
      <c r="S1749" s="1265"/>
      <c r="T1749" s="1244"/>
      <c r="U1749" s="1244"/>
    </row>
    <row r="1750">
      <c r="A1750" s="1235"/>
      <c r="B1750" s="1235"/>
      <c r="C1750" s="1246"/>
      <c r="D1750" s="1274"/>
      <c r="E1750" s="1248"/>
      <c r="F1750" s="1248"/>
      <c r="G1750" s="1271"/>
      <c r="H1750" s="1250"/>
      <c r="I1750" s="1251"/>
      <c r="J1750" s="1271"/>
      <c r="K1750" s="1271"/>
      <c r="L1750" s="1254"/>
      <c r="M1750" s="1244"/>
      <c r="N1750" s="1273"/>
      <c r="O1750" s="1244"/>
      <c r="P1750" s="1244"/>
      <c r="Q1750" s="1244"/>
      <c r="R1750" s="1244"/>
      <c r="S1750" s="1265"/>
      <c r="T1750" s="1244"/>
      <c r="U1750" s="1244"/>
    </row>
    <row r="1751">
      <c r="A1751" s="1235"/>
      <c r="B1751" s="1235"/>
      <c r="C1751" s="1246"/>
      <c r="D1751" s="1274"/>
      <c r="E1751" s="1248"/>
      <c r="F1751" s="1248"/>
      <c r="G1751" s="1271"/>
      <c r="H1751" s="1250"/>
      <c r="I1751" s="1251"/>
      <c r="J1751" s="1271"/>
      <c r="K1751" s="1271"/>
      <c r="L1751" s="1254"/>
      <c r="M1751" s="1244"/>
      <c r="N1751" s="1273"/>
      <c r="O1751" s="1244"/>
      <c r="P1751" s="1244"/>
      <c r="Q1751" s="1244"/>
      <c r="R1751" s="1244"/>
      <c r="S1751" s="1265"/>
      <c r="T1751" s="1244"/>
      <c r="U1751" s="1244"/>
    </row>
    <row r="1752">
      <c r="A1752" s="1235"/>
      <c r="B1752" s="1235"/>
      <c r="C1752" s="1246"/>
      <c r="D1752" s="1274"/>
      <c r="E1752" s="1248"/>
      <c r="F1752" s="1248"/>
      <c r="G1752" s="1271"/>
      <c r="H1752" s="1250"/>
      <c r="I1752" s="1251"/>
      <c r="J1752" s="1271"/>
      <c r="K1752" s="1271"/>
      <c r="L1752" s="1254"/>
      <c r="M1752" s="1244"/>
      <c r="N1752" s="1273"/>
      <c r="O1752" s="1244"/>
      <c r="P1752" s="1244"/>
      <c r="Q1752" s="1244"/>
      <c r="R1752" s="1244"/>
      <c r="S1752" s="1265"/>
      <c r="T1752" s="1244"/>
      <c r="U1752" s="1244"/>
    </row>
    <row r="1753">
      <c r="A1753" s="1235"/>
      <c r="B1753" s="1235"/>
      <c r="C1753" s="1246"/>
      <c r="D1753" s="1274"/>
      <c r="E1753" s="1248"/>
      <c r="F1753" s="1248"/>
      <c r="G1753" s="1271"/>
      <c r="H1753" s="1250"/>
      <c r="I1753" s="1251"/>
      <c r="J1753" s="1271"/>
      <c r="K1753" s="1271"/>
      <c r="L1753" s="1254"/>
      <c r="M1753" s="1244"/>
      <c r="N1753" s="1273"/>
      <c r="O1753" s="1244"/>
      <c r="P1753" s="1244"/>
      <c r="Q1753" s="1244"/>
      <c r="R1753" s="1244"/>
      <c r="S1753" s="1265"/>
      <c r="T1753" s="1244"/>
      <c r="U1753" s="1244"/>
    </row>
    <row r="1754">
      <c r="A1754" s="1235"/>
      <c r="B1754" s="1235"/>
      <c r="C1754" s="1246"/>
      <c r="D1754" s="1274"/>
      <c r="E1754" s="1248"/>
      <c r="F1754" s="1248"/>
      <c r="G1754" s="1271"/>
      <c r="H1754" s="1250"/>
      <c r="I1754" s="1251"/>
      <c r="J1754" s="1271"/>
      <c r="K1754" s="1271"/>
      <c r="L1754" s="1254"/>
      <c r="M1754" s="1244"/>
      <c r="N1754" s="1273"/>
      <c r="O1754" s="1244"/>
      <c r="P1754" s="1244"/>
      <c r="Q1754" s="1244"/>
      <c r="R1754" s="1244"/>
      <c r="S1754" s="1265"/>
      <c r="T1754" s="1244"/>
      <c r="U1754" s="1244"/>
    </row>
    <row r="1755">
      <c r="A1755" s="1235"/>
      <c r="B1755" s="1235"/>
      <c r="C1755" s="1246"/>
      <c r="D1755" s="1274"/>
      <c r="E1755" s="1248"/>
      <c r="F1755" s="1248"/>
      <c r="G1755" s="1271"/>
      <c r="H1755" s="1250"/>
      <c r="I1755" s="1251"/>
      <c r="J1755" s="1271"/>
      <c r="K1755" s="1271"/>
      <c r="L1755" s="1254"/>
      <c r="M1755" s="1244"/>
      <c r="N1755" s="1273"/>
      <c r="O1755" s="1244"/>
      <c r="P1755" s="1244"/>
      <c r="Q1755" s="1244"/>
      <c r="R1755" s="1244"/>
      <c r="S1755" s="1265"/>
      <c r="T1755" s="1244"/>
      <c r="U1755" s="1244"/>
    </row>
    <row r="1756">
      <c r="A1756" s="1235"/>
      <c r="B1756" s="1235"/>
      <c r="C1756" s="1246"/>
      <c r="D1756" s="1274"/>
      <c r="E1756" s="1248"/>
      <c r="F1756" s="1248"/>
      <c r="G1756" s="1271"/>
      <c r="H1756" s="1250"/>
      <c r="I1756" s="1251"/>
      <c r="J1756" s="1271"/>
      <c r="K1756" s="1271"/>
      <c r="L1756" s="1254"/>
      <c r="M1756" s="1244"/>
      <c r="N1756" s="1273"/>
      <c r="O1756" s="1244"/>
      <c r="P1756" s="1244"/>
      <c r="Q1756" s="1244"/>
      <c r="R1756" s="1244"/>
      <c r="S1756" s="1265"/>
      <c r="T1756" s="1244"/>
      <c r="U1756" s="1244"/>
    </row>
    <row r="1757">
      <c r="A1757" s="1235"/>
      <c r="B1757" s="1235"/>
      <c r="C1757" s="1246"/>
      <c r="D1757" s="1274"/>
      <c r="E1757" s="1248"/>
      <c r="F1757" s="1248"/>
      <c r="G1757" s="1271"/>
      <c r="H1757" s="1250"/>
      <c r="I1757" s="1251"/>
      <c r="J1757" s="1271"/>
      <c r="K1757" s="1271"/>
      <c r="L1757" s="1254"/>
      <c r="M1757" s="1244"/>
      <c r="N1757" s="1273"/>
      <c r="O1757" s="1244"/>
      <c r="P1757" s="1244"/>
      <c r="Q1757" s="1244"/>
      <c r="R1757" s="1244"/>
      <c r="S1757" s="1265"/>
      <c r="T1757" s="1244"/>
      <c r="U1757" s="1244"/>
    </row>
    <row r="1758">
      <c r="A1758" s="1235"/>
      <c r="B1758" s="1235"/>
      <c r="C1758" s="1246"/>
      <c r="D1758" s="1274"/>
      <c r="E1758" s="1248"/>
      <c r="F1758" s="1248"/>
      <c r="G1758" s="1271"/>
      <c r="H1758" s="1250"/>
      <c r="I1758" s="1251"/>
      <c r="J1758" s="1271"/>
      <c r="K1758" s="1271"/>
      <c r="L1758" s="1254"/>
      <c r="M1758" s="1244"/>
      <c r="N1758" s="1273"/>
      <c r="O1758" s="1244"/>
      <c r="P1758" s="1244"/>
      <c r="Q1758" s="1244"/>
      <c r="R1758" s="1244"/>
      <c r="S1758" s="1265"/>
      <c r="T1758" s="1244"/>
      <c r="U1758" s="1244"/>
    </row>
    <row r="1759">
      <c r="A1759" s="1235"/>
      <c r="B1759" s="1235"/>
      <c r="C1759" s="1246"/>
      <c r="D1759" s="1274"/>
      <c r="E1759" s="1248"/>
      <c r="F1759" s="1248"/>
      <c r="G1759" s="1271"/>
      <c r="H1759" s="1250"/>
      <c r="I1759" s="1251"/>
      <c r="J1759" s="1271"/>
      <c r="K1759" s="1271"/>
      <c r="L1759" s="1254"/>
      <c r="M1759" s="1244"/>
      <c r="N1759" s="1273"/>
      <c r="O1759" s="1244"/>
      <c r="P1759" s="1244"/>
      <c r="Q1759" s="1244"/>
      <c r="R1759" s="1244"/>
      <c r="S1759" s="1265"/>
      <c r="T1759" s="1244"/>
      <c r="U1759" s="1244"/>
    </row>
    <row r="1760">
      <c r="A1760" s="1235"/>
      <c r="B1760" s="1235"/>
      <c r="C1760" s="1246"/>
      <c r="D1760" s="1274"/>
      <c r="E1760" s="1248"/>
      <c r="F1760" s="1248"/>
      <c r="G1760" s="1271"/>
      <c r="H1760" s="1250"/>
      <c r="I1760" s="1251"/>
      <c r="J1760" s="1271"/>
      <c r="K1760" s="1271"/>
      <c r="L1760" s="1254"/>
      <c r="M1760" s="1244"/>
      <c r="N1760" s="1273"/>
      <c r="O1760" s="1244"/>
      <c r="P1760" s="1244"/>
      <c r="Q1760" s="1244"/>
      <c r="R1760" s="1244"/>
      <c r="S1760" s="1265"/>
      <c r="T1760" s="1244"/>
      <c r="U1760" s="1244"/>
    </row>
    <row r="1761">
      <c r="A1761" s="1235"/>
      <c r="B1761" s="1235"/>
      <c r="C1761" s="1246"/>
      <c r="D1761" s="1274"/>
      <c r="E1761" s="1248"/>
      <c r="F1761" s="1248"/>
      <c r="G1761" s="1271"/>
      <c r="H1761" s="1250"/>
      <c r="I1761" s="1251"/>
      <c r="J1761" s="1271"/>
      <c r="K1761" s="1271"/>
      <c r="L1761" s="1254"/>
      <c r="M1761" s="1244"/>
      <c r="N1761" s="1273"/>
      <c r="O1761" s="1244"/>
      <c r="P1761" s="1244"/>
      <c r="Q1761" s="1244"/>
      <c r="R1761" s="1244"/>
      <c r="S1761" s="1265"/>
      <c r="T1761" s="1244"/>
      <c r="U1761" s="1244"/>
    </row>
    <row r="1762">
      <c r="A1762" s="1235"/>
      <c r="B1762" s="1235"/>
      <c r="C1762" s="1246"/>
      <c r="D1762" s="1274"/>
      <c r="E1762" s="1248"/>
      <c r="F1762" s="1248"/>
      <c r="G1762" s="1271"/>
      <c r="H1762" s="1250"/>
      <c r="I1762" s="1251"/>
      <c r="J1762" s="1271"/>
      <c r="K1762" s="1271"/>
      <c r="L1762" s="1254"/>
      <c r="M1762" s="1244"/>
      <c r="N1762" s="1273"/>
      <c r="O1762" s="1244"/>
      <c r="P1762" s="1244"/>
      <c r="Q1762" s="1244"/>
      <c r="R1762" s="1244"/>
      <c r="S1762" s="1265"/>
      <c r="T1762" s="1244"/>
      <c r="U1762" s="1244"/>
    </row>
    <row r="1763">
      <c r="A1763" s="1235"/>
      <c r="B1763" s="1235"/>
      <c r="C1763" s="1246"/>
      <c r="D1763" s="1274"/>
      <c r="E1763" s="1248"/>
      <c r="F1763" s="1248"/>
      <c r="G1763" s="1271"/>
      <c r="H1763" s="1250"/>
      <c r="I1763" s="1251"/>
      <c r="J1763" s="1271"/>
      <c r="K1763" s="1271"/>
      <c r="L1763" s="1254"/>
      <c r="M1763" s="1244"/>
      <c r="N1763" s="1273"/>
      <c r="O1763" s="1244"/>
      <c r="P1763" s="1244"/>
      <c r="Q1763" s="1244"/>
      <c r="R1763" s="1244"/>
      <c r="S1763" s="1265"/>
      <c r="T1763" s="1244"/>
      <c r="U1763" s="1244"/>
    </row>
    <row r="1764">
      <c r="A1764" s="1235"/>
      <c r="B1764" s="1235"/>
      <c r="C1764" s="1246"/>
      <c r="D1764" s="1274"/>
      <c r="E1764" s="1248"/>
      <c r="F1764" s="1248"/>
      <c r="G1764" s="1271"/>
      <c r="H1764" s="1250"/>
      <c r="I1764" s="1251"/>
      <c r="J1764" s="1271"/>
      <c r="K1764" s="1271"/>
      <c r="L1764" s="1254"/>
      <c r="M1764" s="1244"/>
      <c r="N1764" s="1273"/>
      <c r="O1764" s="1244"/>
      <c r="P1764" s="1244"/>
      <c r="Q1764" s="1244"/>
      <c r="R1764" s="1244"/>
      <c r="S1764" s="1265"/>
      <c r="T1764" s="1244"/>
      <c r="U1764" s="1244"/>
    </row>
    <row r="1765">
      <c r="A1765" s="1235"/>
      <c r="B1765" s="1235"/>
      <c r="C1765" s="1246"/>
      <c r="D1765" s="1274"/>
      <c r="E1765" s="1248"/>
      <c r="F1765" s="1248"/>
      <c r="G1765" s="1271"/>
      <c r="H1765" s="1250"/>
      <c r="I1765" s="1251"/>
      <c r="J1765" s="1271"/>
      <c r="K1765" s="1271"/>
      <c r="L1765" s="1254"/>
      <c r="M1765" s="1244"/>
      <c r="N1765" s="1273"/>
      <c r="O1765" s="1244"/>
      <c r="P1765" s="1244"/>
      <c r="Q1765" s="1244"/>
      <c r="R1765" s="1244"/>
      <c r="S1765" s="1265"/>
      <c r="T1765" s="1244"/>
      <c r="U1765" s="1244"/>
    </row>
    <row r="1766">
      <c r="A1766" s="1235"/>
      <c r="B1766" s="1235"/>
      <c r="C1766" s="1246"/>
      <c r="D1766" s="1274"/>
      <c r="E1766" s="1248"/>
      <c r="F1766" s="1248"/>
      <c r="G1766" s="1271"/>
      <c r="H1766" s="1250"/>
      <c r="I1766" s="1251"/>
      <c r="J1766" s="1271"/>
      <c r="K1766" s="1271"/>
      <c r="L1766" s="1254"/>
      <c r="M1766" s="1244"/>
      <c r="N1766" s="1273"/>
      <c r="O1766" s="1244"/>
      <c r="P1766" s="1244"/>
      <c r="Q1766" s="1244"/>
      <c r="R1766" s="1244"/>
      <c r="S1766" s="1265"/>
      <c r="T1766" s="1244"/>
      <c r="U1766" s="1244"/>
    </row>
    <row r="1767">
      <c r="A1767" s="1235"/>
      <c r="B1767" s="1235"/>
      <c r="C1767" s="1246"/>
      <c r="D1767" s="1274"/>
      <c r="E1767" s="1248"/>
      <c r="F1767" s="1248"/>
      <c r="G1767" s="1271"/>
      <c r="H1767" s="1250"/>
      <c r="I1767" s="1251"/>
      <c r="J1767" s="1271"/>
      <c r="K1767" s="1271"/>
      <c r="L1767" s="1254"/>
      <c r="M1767" s="1244"/>
      <c r="N1767" s="1273"/>
      <c r="O1767" s="1244"/>
      <c r="P1767" s="1244"/>
      <c r="Q1767" s="1244"/>
      <c r="R1767" s="1244"/>
      <c r="S1767" s="1265"/>
      <c r="T1767" s="1244"/>
      <c r="U1767" s="1244"/>
    </row>
    <row r="1768">
      <c r="A1768" s="1235"/>
      <c r="B1768" s="1235"/>
      <c r="C1768" s="1246"/>
      <c r="D1768" s="1274"/>
      <c r="E1768" s="1248"/>
      <c r="F1768" s="1248"/>
      <c r="G1768" s="1271"/>
      <c r="H1768" s="1250"/>
      <c r="I1768" s="1251"/>
      <c r="J1768" s="1271"/>
      <c r="K1768" s="1271"/>
      <c r="L1768" s="1254"/>
      <c r="M1768" s="1244"/>
      <c r="N1768" s="1273"/>
      <c r="O1768" s="1244"/>
      <c r="P1768" s="1244"/>
      <c r="Q1768" s="1244"/>
      <c r="R1768" s="1244"/>
      <c r="S1768" s="1265"/>
      <c r="T1768" s="1244"/>
      <c r="U1768" s="1244"/>
    </row>
    <row r="1769">
      <c r="A1769" s="1235"/>
      <c r="B1769" s="1235"/>
      <c r="C1769" s="1246"/>
      <c r="D1769" s="1274"/>
      <c r="E1769" s="1248"/>
      <c r="F1769" s="1248"/>
      <c r="G1769" s="1271"/>
      <c r="H1769" s="1250"/>
      <c r="I1769" s="1251"/>
      <c r="J1769" s="1271"/>
      <c r="K1769" s="1271"/>
      <c r="L1769" s="1254"/>
      <c r="M1769" s="1244"/>
      <c r="N1769" s="1273"/>
      <c r="O1769" s="1244"/>
      <c r="P1769" s="1244"/>
      <c r="Q1769" s="1244"/>
      <c r="R1769" s="1244"/>
      <c r="S1769" s="1265"/>
      <c r="T1769" s="1244"/>
      <c r="U1769" s="1244"/>
    </row>
    <row r="1770">
      <c r="A1770" s="1235"/>
      <c r="B1770" s="1235"/>
      <c r="C1770" s="1246"/>
      <c r="D1770" s="1274"/>
      <c r="E1770" s="1248"/>
      <c r="F1770" s="1248"/>
      <c r="G1770" s="1271"/>
      <c r="H1770" s="1250"/>
      <c r="I1770" s="1251"/>
      <c r="J1770" s="1271"/>
      <c r="K1770" s="1271"/>
      <c r="L1770" s="1254"/>
      <c r="M1770" s="1244"/>
      <c r="N1770" s="1273"/>
      <c r="O1770" s="1244"/>
      <c r="P1770" s="1244"/>
      <c r="Q1770" s="1244"/>
      <c r="R1770" s="1244"/>
      <c r="S1770" s="1265"/>
      <c r="T1770" s="1244"/>
      <c r="U1770" s="1244"/>
    </row>
    <row r="1771">
      <c r="A1771" s="1235"/>
      <c r="B1771" s="1235"/>
      <c r="C1771" s="1246"/>
      <c r="D1771" s="1274"/>
      <c r="E1771" s="1248"/>
      <c r="F1771" s="1248"/>
      <c r="G1771" s="1271"/>
      <c r="H1771" s="1250"/>
      <c r="I1771" s="1251"/>
      <c r="J1771" s="1271"/>
      <c r="K1771" s="1271"/>
      <c r="L1771" s="1254"/>
      <c r="M1771" s="1244"/>
      <c r="N1771" s="1273"/>
      <c r="O1771" s="1244"/>
      <c r="P1771" s="1244"/>
      <c r="Q1771" s="1244"/>
      <c r="R1771" s="1244"/>
      <c r="S1771" s="1265"/>
      <c r="T1771" s="1244"/>
      <c r="U1771" s="1244"/>
    </row>
    <row r="1772">
      <c r="A1772" s="1235"/>
      <c r="B1772" s="1235"/>
      <c r="C1772" s="1246"/>
      <c r="D1772" s="1274"/>
      <c r="E1772" s="1248"/>
      <c r="F1772" s="1248"/>
      <c r="G1772" s="1271"/>
      <c r="H1772" s="1250"/>
      <c r="I1772" s="1251"/>
      <c r="J1772" s="1271"/>
      <c r="K1772" s="1271"/>
      <c r="L1772" s="1254"/>
      <c r="M1772" s="1244"/>
      <c r="N1772" s="1273"/>
      <c r="O1772" s="1244"/>
      <c r="P1772" s="1244"/>
      <c r="Q1772" s="1244"/>
      <c r="R1772" s="1244"/>
      <c r="S1772" s="1265"/>
      <c r="T1772" s="1244"/>
      <c r="U1772" s="1244"/>
    </row>
    <row r="1773">
      <c r="A1773" s="1235"/>
      <c r="B1773" s="1235"/>
      <c r="C1773" s="1246"/>
      <c r="D1773" s="1274"/>
      <c r="E1773" s="1248"/>
      <c r="F1773" s="1248"/>
      <c r="G1773" s="1271"/>
      <c r="H1773" s="1250"/>
      <c r="I1773" s="1251"/>
      <c r="J1773" s="1271"/>
      <c r="K1773" s="1271"/>
      <c r="L1773" s="1254"/>
      <c r="M1773" s="1244"/>
      <c r="N1773" s="1273"/>
      <c r="O1773" s="1244"/>
      <c r="P1773" s="1244"/>
      <c r="Q1773" s="1244"/>
      <c r="R1773" s="1244"/>
      <c r="S1773" s="1265"/>
      <c r="T1773" s="1244"/>
      <c r="U1773" s="1244"/>
    </row>
    <row r="1774">
      <c r="A1774" s="1235"/>
      <c r="B1774" s="1235"/>
      <c r="C1774" s="1246"/>
      <c r="D1774" s="1274"/>
      <c r="E1774" s="1248"/>
      <c r="F1774" s="1248"/>
      <c r="G1774" s="1271"/>
      <c r="H1774" s="1250"/>
      <c r="I1774" s="1251"/>
      <c r="J1774" s="1271"/>
      <c r="K1774" s="1271"/>
      <c r="L1774" s="1254"/>
      <c r="M1774" s="1244"/>
      <c r="N1774" s="1273"/>
      <c r="O1774" s="1244"/>
      <c r="P1774" s="1244"/>
      <c r="Q1774" s="1244"/>
      <c r="R1774" s="1244"/>
      <c r="S1774" s="1265"/>
      <c r="T1774" s="1244"/>
      <c r="U1774" s="1244"/>
    </row>
    <row r="1775">
      <c r="A1775" s="1235"/>
      <c r="B1775" s="1235"/>
      <c r="C1775" s="1246"/>
      <c r="D1775" s="1274"/>
      <c r="E1775" s="1248"/>
      <c r="F1775" s="1248"/>
      <c r="G1775" s="1271"/>
      <c r="H1775" s="1250"/>
      <c r="I1775" s="1251"/>
      <c r="J1775" s="1271"/>
      <c r="K1775" s="1271"/>
      <c r="L1775" s="1254"/>
      <c r="M1775" s="1244"/>
      <c r="N1775" s="1273"/>
      <c r="O1775" s="1244"/>
      <c r="P1775" s="1244"/>
      <c r="Q1775" s="1244"/>
      <c r="R1775" s="1244"/>
      <c r="S1775" s="1265"/>
      <c r="T1775" s="1244"/>
      <c r="U1775" s="1244"/>
    </row>
    <row r="1776">
      <c r="A1776" s="1235"/>
      <c r="B1776" s="1235"/>
      <c r="C1776" s="1246"/>
      <c r="D1776" s="1274"/>
      <c r="E1776" s="1248"/>
      <c r="F1776" s="1248"/>
      <c r="G1776" s="1271"/>
      <c r="H1776" s="1250"/>
      <c r="I1776" s="1251"/>
      <c r="J1776" s="1271"/>
      <c r="K1776" s="1271"/>
      <c r="L1776" s="1254"/>
      <c r="M1776" s="1244"/>
      <c r="N1776" s="1273"/>
      <c r="O1776" s="1244"/>
      <c r="P1776" s="1244"/>
      <c r="Q1776" s="1244"/>
      <c r="R1776" s="1244"/>
      <c r="S1776" s="1265"/>
      <c r="T1776" s="1244"/>
      <c r="U1776" s="1244"/>
    </row>
    <row r="1777">
      <c r="A1777" s="1235"/>
      <c r="B1777" s="1235"/>
      <c r="C1777" s="1246"/>
      <c r="D1777" s="1274"/>
      <c r="E1777" s="1248"/>
      <c r="F1777" s="1248"/>
      <c r="G1777" s="1271"/>
      <c r="H1777" s="1250"/>
      <c r="I1777" s="1251"/>
      <c r="J1777" s="1271"/>
      <c r="K1777" s="1271"/>
      <c r="L1777" s="1254"/>
      <c r="M1777" s="1244"/>
      <c r="N1777" s="1273"/>
      <c r="O1777" s="1244"/>
      <c r="P1777" s="1244"/>
      <c r="Q1777" s="1244"/>
      <c r="R1777" s="1244"/>
      <c r="S1777" s="1265"/>
      <c r="T1777" s="1244"/>
      <c r="U1777" s="1244"/>
    </row>
    <row r="1778">
      <c r="A1778" s="1235"/>
      <c r="B1778" s="1235"/>
      <c r="C1778" s="1246"/>
      <c r="D1778" s="1274"/>
      <c r="E1778" s="1248"/>
      <c r="F1778" s="1248"/>
      <c r="G1778" s="1271"/>
      <c r="H1778" s="1250"/>
      <c r="I1778" s="1251"/>
      <c r="J1778" s="1271"/>
      <c r="K1778" s="1271"/>
      <c r="L1778" s="1254"/>
      <c r="M1778" s="1244"/>
      <c r="N1778" s="1273"/>
      <c r="O1778" s="1244"/>
      <c r="P1778" s="1244"/>
      <c r="Q1778" s="1244"/>
      <c r="R1778" s="1244"/>
      <c r="S1778" s="1265"/>
      <c r="T1778" s="1244"/>
      <c r="U1778" s="1244"/>
    </row>
    <row r="1779">
      <c r="A1779" s="1235"/>
      <c r="B1779" s="1235"/>
      <c r="C1779" s="1246"/>
      <c r="D1779" s="1274"/>
      <c r="E1779" s="1248"/>
      <c r="F1779" s="1248"/>
      <c r="G1779" s="1271"/>
      <c r="H1779" s="1250"/>
      <c r="I1779" s="1251"/>
      <c r="J1779" s="1271"/>
      <c r="K1779" s="1271"/>
      <c r="L1779" s="1254"/>
      <c r="M1779" s="1244"/>
      <c r="N1779" s="1273"/>
      <c r="O1779" s="1244"/>
      <c r="P1779" s="1244"/>
      <c r="Q1779" s="1244"/>
      <c r="R1779" s="1244"/>
      <c r="S1779" s="1265"/>
      <c r="T1779" s="1244"/>
      <c r="U1779" s="1244"/>
    </row>
    <row r="1780">
      <c r="A1780" s="1235"/>
      <c r="B1780" s="1235"/>
      <c r="C1780" s="1246"/>
      <c r="D1780" s="1274"/>
      <c r="E1780" s="1248"/>
      <c r="F1780" s="1248"/>
      <c r="G1780" s="1271"/>
      <c r="H1780" s="1250"/>
      <c r="I1780" s="1251"/>
      <c r="J1780" s="1271"/>
      <c r="K1780" s="1271"/>
      <c r="L1780" s="1254"/>
      <c r="M1780" s="1244"/>
      <c r="N1780" s="1273"/>
      <c r="O1780" s="1244"/>
      <c r="P1780" s="1244"/>
      <c r="Q1780" s="1244"/>
      <c r="R1780" s="1244"/>
      <c r="S1780" s="1265"/>
      <c r="T1780" s="1244"/>
      <c r="U1780" s="1244"/>
    </row>
    <row r="1781">
      <c r="A1781" s="1235"/>
      <c r="B1781" s="1235"/>
      <c r="C1781" s="1246"/>
      <c r="D1781" s="1274"/>
      <c r="E1781" s="1248"/>
      <c r="F1781" s="1248"/>
      <c r="G1781" s="1271"/>
      <c r="H1781" s="1250"/>
      <c r="I1781" s="1251"/>
      <c r="J1781" s="1271"/>
      <c r="K1781" s="1271"/>
      <c r="L1781" s="1254"/>
      <c r="M1781" s="1244"/>
      <c r="N1781" s="1273"/>
      <c r="O1781" s="1244"/>
      <c r="P1781" s="1244"/>
      <c r="Q1781" s="1244"/>
      <c r="R1781" s="1244"/>
      <c r="S1781" s="1265"/>
      <c r="T1781" s="1244"/>
      <c r="U1781" s="1244"/>
    </row>
    <row r="1782">
      <c r="A1782" s="1235"/>
      <c r="B1782" s="1235"/>
      <c r="C1782" s="1246"/>
      <c r="D1782" s="1274"/>
      <c r="E1782" s="1248"/>
      <c r="F1782" s="1248"/>
      <c r="G1782" s="1271"/>
      <c r="H1782" s="1250"/>
      <c r="I1782" s="1251"/>
      <c r="J1782" s="1271"/>
      <c r="K1782" s="1271"/>
      <c r="L1782" s="1254"/>
      <c r="M1782" s="1244"/>
      <c r="N1782" s="1273"/>
      <c r="O1782" s="1244"/>
      <c r="P1782" s="1244"/>
      <c r="Q1782" s="1244"/>
      <c r="R1782" s="1244"/>
      <c r="S1782" s="1265"/>
      <c r="T1782" s="1244"/>
      <c r="U1782" s="1244"/>
    </row>
    <row r="1783">
      <c r="A1783" s="1235"/>
      <c r="B1783" s="1235"/>
      <c r="C1783" s="1246"/>
      <c r="D1783" s="1274"/>
      <c r="E1783" s="1248"/>
      <c r="F1783" s="1248"/>
      <c r="G1783" s="1271"/>
      <c r="H1783" s="1250"/>
      <c r="I1783" s="1251"/>
      <c r="J1783" s="1271"/>
      <c r="K1783" s="1271"/>
      <c r="L1783" s="1254"/>
      <c r="M1783" s="1244"/>
      <c r="N1783" s="1273"/>
      <c r="O1783" s="1244"/>
      <c r="P1783" s="1244"/>
      <c r="Q1783" s="1244"/>
      <c r="R1783" s="1244"/>
      <c r="S1783" s="1265"/>
      <c r="T1783" s="1244"/>
      <c r="U1783" s="1244"/>
    </row>
    <row r="1784">
      <c r="A1784" s="1235"/>
      <c r="B1784" s="1235"/>
      <c r="C1784" s="1246"/>
      <c r="D1784" s="1274"/>
      <c r="E1784" s="1248"/>
      <c r="F1784" s="1248"/>
      <c r="G1784" s="1271"/>
      <c r="H1784" s="1250"/>
      <c r="I1784" s="1251"/>
      <c r="J1784" s="1271"/>
      <c r="K1784" s="1271"/>
      <c r="L1784" s="1254"/>
      <c r="M1784" s="1244"/>
      <c r="N1784" s="1273"/>
      <c r="O1784" s="1244"/>
      <c r="P1784" s="1244"/>
      <c r="Q1784" s="1244"/>
      <c r="R1784" s="1244"/>
      <c r="S1784" s="1265"/>
      <c r="T1784" s="1244"/>
      <c r="U1784" s="1244"/>
    </row>
    <row r="1785">
      <c r="A1785" s="1235"/>
      <c r="B1785" s="1235"/>
      <c r="C1785" s="1246"/>
      <c r="D1785" s="1274"/>
      <c r="E1785" s="1248"/>
      <c r="F1785" s="1248"/>
      <c r="G1785" s="1271"/>
      <c r="H1785" s="1250"/>
      <c r="I1785" s="1251"/>
      <c r="J1785" s="1271"/>
      <c r="K1785" s="1271"/>
      <c r="L1785" s="1254"/>
      <c r="M1785" s="1244"/>
      <c r="N1785" s="1273"/>
      <c r="O1785" s="1244"/>
      <c r="P1785" s="1244"/>
      <c r="Q1785" s="1244"/>
      <c r="R1785" s="1244"/>
      <c r="S1785" s="1265"/>
      <c r="T1785" s="1244"/>
      <c r="U1785" s="1244"/>
    </row>
    <row r="1786">
      <c r="A1786" s="1235"/>
      <c r="B1786" s="1235"/>
      <c r="C1786" s="1246"/>
      <c r="D1786" s="1274"/>
      <c r="E1786" s="1248"/>
      <c r="F1786" s="1248"/>
      <c r="G1786" s="1271"/>
      <c r="H1786" s="1250"/>
      <c r="I1786" s="1251"/>
      <c r="J1786" s="1271"/>
      <c r="K1786" s="1271"/>
      <c r="L1786" s="1254"/>
      <c r="M1786" s="1244"/>
      <c r="N1786" s="1273"/>
      <c r="O1786" s="1244"/>
      <c r="P1786" s="1244"/>
      <c r="Q1786" s="1244"/>
      <c r="R1786" s="1244"/>
      <c r="S1786" s="1265"/>
      <c r="T1786" s="1244"/>
      <c r="U1786" s="1244"/>
    </row>
    <row r="1787">
      <c r="A1787" s="1235"/>
      <c r="B1787" s="1235"/>
      <c r="C1787" s="1246"/>
      <c r="D1787" s="1274"/>
      <c r="E1787" s="1248"/>
      <c r="F1787" s="1248"/>
      <c r="G1787" s="1271"/>
      <c r="H1787" s="1250"/>
      <c r="I1787" s="1251"/>
      <c r="J1787" s="1271"/>
      <c r="K1787" s="1271"/>
      <c r="L1787" s="1254"/>
      <c r="M1787" s="1244"/>
      <c r="N1787" s="1273"/>
      <c r="O1787" s="1244"/>
      <c r="P1787" s="1244"/>
      <c r="Q1787" s="1244"/>
      <c r="R1787" s="1244"/>
      <c r="S1787" s="1265"/>
      <c r="T1787" s="1244"/>
      <c r="U1787" s="1244"/>
    </row>
    <row r="1788">
      <c r="A1788" s="1235"/>
      <c r="B1788" s="1235"/>
      <c r="C1788" s="1246"/>
      <c r="D1788" s="1274"/>
      <c r="E1788" s="1248"/>
      <c r="F1788" s="1248"/>
      <c r="G1788" s="1271"/>
      <c r="H1788" s="1250"/>
      <c r="I1788" s="1251"/>
      <c r="J1788" s="1271"/>
      <c r="K1788" s="1271"/>
      <c r="L1788" s="1254"/>
      <c r="M1788" s="1244"/>
      <c r="N1788" s="1273"/>
      <c r="O1788" s="1244"/>
      <c r="P1788" s="1244"/>
      <c r="Q1788" s="1244"/>
      <c r="R1788" s="1244"/>
      <c r="S1788" s="1265"/>
      <c r="T1788" s="1244"/>
      <c r="U1788" s="1244"/>
    </row>
    <row r="1789">
      <c r="A1789" s="1235"/>
      <c r="B1789" s="1235"/>
      <c r="C1789" s="1246"/>
      <c r="D1789" s="1274"/>
      <c r="E1789" s="1248"/>
      <c r="F1789" s="1248"/>
      <c r="G1789" s="1271"/>
      <c r="H1789" s="1250"/>
      <c r="I1789" s="1251"/>
      <c r="J1789" s="1271"/>
      <c r="K1789" s="1271"/>
      <c r="L1789" s="1254"/>
      <c r="M1789" s="1244"/>
      <c r="N1789" s="1273"/>
      <c r="O1789" s="1244"/>
      <c r="P1789" s="1244"/>
      <c r="Q1789" s="1244"/>
      <c r="R1789" s="1244"/>
      <c r="S1789" s="1265"/>
      <c r="T1789" s="1244"/>
      <c r="U1789" s="1244"/>
    </row>
    <row r="1790">
      <c r="A1790" s="1235"/>
      <c r="B1790" s="1235"/>
      <c r="C1790" s="1246"/>
      <c r="D1790" s="1274"/>
      <c r="E1790" s="1248"/>
      <c r="F1790" s="1248"/>
      <c r="G1790" s="1271"/>
      <c r="H1790" s="1250"/>
      <c r="I1790" s="1251"/>
      <c r="J1790" s="1271"/>
      <c r="K1790" s="1271"/>
      <c r="L1790" s="1254"/>
      <c r="M1790" s="1244"/>
      <c r="N1790" s="1273"/>
      <c r="O1790" s="1244"/>
      <c r="P1790" s="1244"/>
      <c r="Q1790" s="1244"/>
      <c r="R1790" s="1244"/>
      <c r="S1790" s="1265"/>
      <c r="T1790" s="1244"/>
      <c r="U1790" s="1244"/>
    </row>
    <row r="1791">
      <c r="A1791" s="1235"/>
      <c r="B1791" s="1235"/>
      <c r="C1791" s="1246"/>
      <c r="D1791" s="1274"/>
      <c r="E1791" s="1248"/>
      <c r="F1791" s="1248"/>
      <c r="G1791" s="1271"/>
      <c r="H1791" s="1250"/>
      <c r="I1791" s="1251"/>
      <c r="J1791" s="1271"/>
      <c r="K1791" s="1271"/>
      <c r="L1791" s="1254"/>
      <c r="M1791" s="1244"/>
      <c r="N1791" s="1273"/>
      <c r="O1791" s="1244"/>
      <c r="P1791" s="1244"/>
      <c r="Q1791" s="1244"/>
      <c r="R1791" s="1244"/>
      <c r="S1791" s="1265"/>
      <c r="T1791" s="1244"/>
      <c r="U1791" s="1244"/>
    </row>
    <row r="1792">
      <c r="A1792" s="1235"/>
      <c r="B1792" s="1235"/>
      <c r="C1792" s="1246"/>
      <c r="D1792" s="1274"/>
      <c r="E1792" s="1248"/>
      <c r="F1792" s="1248"/>
      <c r="G1792" s="1271"/>
      <c r="H1792" s="1250"/>
      <c r="I1792" s="1251"/>
      <c r="J1792" s="1271"/>
      <c r="K1792" s="1271"/>
      <c r="L1792" s="1254"/>
      <c r="M1792" s="1244"/>
      <c r="N1792" s="1273"/>
      <c r="O1792" s="1244"/>
      <c r="P1792" s="1244"/>
      <c r="Q1792" s="1244"/>
      <c r="R1792" s="1244"/>
      <c r="S1792" s="1265"/>
      <c r="T1792" s="1244"/>
      <c r="U1792" s="1244"/>
    </row>
    <row r="1793">
      <c r="A1793" s="1235"/>
      <c r="B1793" s="1235"/>
      <c r="C1793" s="1246"/>
      <c r="D1793" s="1274"/>
      <c r="E1793" s="1248"/>
      <c r="F1793" s="1248"/>
      <c r="G1793" s="1271"/>
      <c r="H1793" s="1250"/>
      <c r="I1793" s="1251"/>
      <c r="J1793" s="1271"/>
      <c r="K1793" s="1271"/>
      <c r="L1793" s="1254"/>
      <c r="M1793" s="1244"/>
      <c r="N1793" s="1273"/>
      <c r="O1793" s="1244"/>
      <c r="P1793" s="1244"/>
      <c r="Q1793" s="1244"/>
      <c r="R1793" s="1244"/>
      <c r="S1793" s="1265"/>
      <c r="T1793" s="1244"/>
      <c r="U1793" s="1244"/>
    </row>
    <row r="1794">
      <c r="A1794" s="1235"/>
      <c r="B1794" s="1235"/>
      <c r="C1794" s="1246"/>
      <c r="D1794" s="1274"/>
      <c r="E1794" s="1248"/>
      <c r="F1794" s="1248"/>
      <c r="G1794" s="1271"/>
      <c r="H1794" s="1250"/>
      <c r="I1794" s="1251"/>
      <c r="J1794" s="1271"/>
      <c r="K1794" s="1271"/>
      <c r="L1794" s="1254"/>
      <c r="M1794" s="1244"/>
      <c r="N1794" s="1273"/>
      <c r="O1794" s="1244"/>
      <c r="P1794" s="1244"/>
      <c r="Q1794" s="1244"/>
      <c r="R1794" s="1244"/>
      <c r="S1794" s="1265"/>
      <c r="T1794" s="1244"/>
      <c r="U1794" s="1244"/>
    </row>
    <row r="1795">
      <c r="A1795" s="1235"/>
      <c r="B1795" s="1235"/>
      <c r="C1795" s="1246"/>
      <c r="D1795" s="1274"/>
      <c r="E1795" s="1248"/>
      <c r="F1795" s="1248"/>
      <c r="G1795" s="1271"/>
      <c r="H1795" s="1250"/>
      <c r="I1795" s="1251"/>
      <c r="J1795" s="1271"/>
      <c r="K1795" s="1271"/>
      <c r="L1795" s="1254"/>
      <c r="M1795" s="1244"/>
      <c r="N1795" s="1273"/>
      <c r="O1795" s="1244"/>
      <c r="P1795" s="1244"/>
      <c r="Q1795" s="1244"/>
      <c r="R1795" s="1244"/>
      <c r="S1795" s="1265"/>
      <c r="T1795" s="1244"/>
      <c r="U1795" s="1244"/>
    </row>
    <row r="1796">
      <c r="A1796" s="1235"/>
      <c r="B1796" s="1235"/>
      <c r="C1796" s="1246"/>
      <c r="D1796" s="1274"/>
      <c r="E1796" s="1248"/>
      <c r="F1796" s="1248"/>
      <c r="G1796" s="1271"/>
      <c r="H1796" s="1250"/>
      <c r="I1796" s="1251"/>
      <c r="J1796" s="1271"/>
      <c r="K1796" s="1271"/>
      <c r="L1796" s="1254"/>
      <c r="M1796" s="1244"/>
      <c r="N1796" s="1273"/>
      <c r="O1796" s="1244"/>
      <c r="P1796" s="1244"/>
      <c r="Q1796" s="1244"/>
      <c r="R1796" s="1244"/>
      <c r="S1796" s="1265"/>
      <c r="T1796" s="1244"/>
      <c r="U1796" s="1244"/>
    </row>
    <row r="1797">
      <c r="A1797" s="1235"/>
      <c r="B1797" s="1235"/>
      <c r="C1797" s="1246"/>
      <c r="D1797" s="1274"/>
      <c r="E1797" s="1248"/>
      <c r="F1797" s="1248"/>
      <c r="G1797" s="1271"/>
      <c r="H1797" s="1250"/>
      <c r="I1797" s="1251"/>
      <c r="J1797" s="1271"/>
      <c r="K1797" s="1271"/>
      <c r="L1797" s="1254"/>
      <c r="M1797" s="1244"/>
      <c r="N1797" s="1273"/>
      <c r="O1797" s="1244"/>
      <c r="P1797" s="1244"/>
      <c r="Q1797" s="1244"/>
      <c r="R1797" s="1244"/>
      <c r="S1797" s="1265"/>
      <c r="T1797" s="1244"/>
      <c r="U1797" s="1244"/>
    </row>
    <row r="1798">
      <c r="A1798" s="1235"/>
      <c r="B1798" s="1235"/>
      <c r="C1798" s="1246"/>
      <c r="D1798" s="1274"/>
      <c r="E1798" s="1248"/>
      <c r="F1798" s="1248"/>
      <c r="G1798" s="1271"/>
      <c r="H1798" s="1250"/>
      <c r="I1798" s="1251"/>
      <c r="J1798" s="1271"/>
      <c r="K1798" s="1271"/>
      <c r="L1798" s="1254"/>
      <c r="M1798" s="1244"/>
      <c r="N1798" s="1273"/>
      <c r="O1798" s="1244"/>
      <c r="P1798" s="1244"/>
      <c r="Q1798" s="1244"/>
      <c r="R1798" s="1244"/>
      <c r="S1798" s="1265"/>
      <c r="T1798" s="1244"/>
      <c r="U1798" s="1244"/>
    </row>
    <row r="1799">
      <c r="A1799" s="1235"/>
      <c r="B1799" s="1235"/>
      <c r="C1799" s="1246"/>
      <c r="D1799" s="1274"/>
      <c r="E1799" s="1248"/>
      <c r="F1799" s="1248"/>
      <c r="G1799" s="1271"/>
      <c r="H1799" s="1250"/>
      <c r="I1799" s="1251"/>
      <c r="J1799" s="1271"/>
      <c r="K1799" s="1271"/>
      <c r="L1799" s="1254"/>
      <c r="M1799" s="1244"/>
      <c r="N1799" s="1273"/>
      <c r="O1799" s="1244"/>
      <c r="P1799" s="1244"/>
      <c r="Q1799" s="1244"/>
      <c r="R1799" s="1244"/>
      <c r="S1799" s="1265"/>
      <c r="T1799" s="1244"/>
      <c r="U1799" s="1244"/>
    </row>
    <row r="1800">
      <c r="A1800" s="1235"/>
      <c r="B1800" s="1235"/>
      <c r="C1800" s="1246"/>
      <c r="D1800" s="1274"/>
      <c r="E1800" s="1248"/>
      <c r="F1800" s="1248"/>
      <c r="G1800" s="1271"/>
      <c r="H1800" s="1250"/>
      <c r="I1800" s="1251"/>
      <c r="J1800" s="1271"/>
      <c r="K1800" s="1271"/>
      <c r="L1800" s="1254"/>
      <c r="M1800" s="1244"/>
      <c r="N1800" s="1273"/>
      <c r="O1800" s="1244"/>
      <c r="P1800" s="1244"/>
      <c r="Q1800" s="1244"/>
      <c r="R1800" s="1244"/>
      <c r="S1800" s="1265"/>
      <c r="T1800" s="1244"/>
      <c r="U1800" s="1244"/>
    </row>
    <row r="1801">
      <c r="A1801" s="1235"/>
      <c r="B1801" s="1235"/>
      <c r="C1801" s="1246"/>
      <c r="D1801" s="1274"/>
      <c r="E1801" s="1248"/>
      <c r="F1801" s="1248"/>
      <c r="G1801" s="1271"/>
      <c r="H1801" s="1250"/>
      <c r="I1801" s="1251"/>
      <c r="J1801" s="1271"/>
      <c r="K1801" s="1271"/>
      <c r="L1801" s="1254"/>
      <c r="M1801" s="1244"/>
      <c r="N1801" s="1273"/>
      <c r="O1801" s="1244"/>
      <c r="P1801" s="1244"/>
      <c r="Q1801" s="1244"/>
      <c r="R1801" s="1244"/>
      <c r="S1801" s="1265"/>
      <c r="T1801" s="1244"/>
      <c r="U1801" s="1244"/>
    </row>
    <row r="1802">
      <c r="A1802" s="1235"/>
      <c r="B1802" s="1235"/>
      <c r="C1802" s="1246"/>
      <c r="D1802" s="1274"/>
      <c r="E1802" s="1248"/>
      <c r="F1802" s="1248"/>
      <c r="G1802" s="1271"/>
      <c r="H1802" s="1250"/>
      <c r="I1802" s="1251"/>
      <c r="J1802" s="1271"/>
      <c r="K1802" s="1271"/>
      <c r="L1802" s="1254"/>
      <c r="M1802" s="1244"/>
      <c r="N1802" s="1273"/>
      <c r="O1802" s="1244"/>
      <c r="P1802" s="1244"/>
      <c r="Q1802" s="1244"/>
      <c r="R1802" s="1244"/>
      <c r="S1802" s="1265"/>
      <c r="T1802" s="1244"/>
      <c r="U1802" s="1244"/>
    </row>
    <row r="1803">
      <c r="A1803" s="1235"/>
      <c r="B1803" s="1235"/>
      <c r="C1803" s="1246"/>
      <c r="D1803" s="1274"/>
      <c r="E1803" s="1248"/>
      <c r="F1803" s="1248"/>
      <c r="G1803" s="1271"/>
      <c r="H1803" s="1250"/>
      <c r="I1803" s="1251"/>
      <c r="J1803" s="1271"/>
      <c r="K1803" s="1271"/>
      <c r="L1803" s="1254"/>
      <c r="M1803" s="1244"/>
      <c r="N1803" s="1273"/>
      <c r="O1803" s="1244"/>
      <c r="P1803" s="1244"/>
      <c r="Q1803" s="1244"/>
      <c r="R1803" s="1244"/>
      <c r="S1803" s="1265"/>
      <c r="T1803" s="1244"/>
      <c r="U1803" s="1244"/>
    </row>
    <row r="1804">
      <c r="A1804" s="1235"/>
      <c r="B1804" s="1235"/>
      <c r="C1804" s="1246"/>
      <c r="D1804" s="1274"/>
      <c r="E1804" s="1248"/>
      <c r="F1804" s="1248"/>
      <c r="G1804" s="1271"/>
      <c r="H1804" s="1250"/>
      <c r="I1804" s="1251"/>
      <c r="J1804" s="1271"/>
      <c r="K1804" s="1271"/>
      <c r="L1804" s="1254"/>
      <c r="M1804" s="1244"/>
      <c r="N1804" s="1273"/>
      <c r="O1804" s="1244"/>
      <c r="P1804" s="1244"/>
      <c r="Q1804" s="1244"/>
      <c r="R1804" s="1244"/>
      <c r="S1804" s="1265"/>
      <c r="T1804" s="1244"/>
      <c r="U1804" s="1244"/>
    </row>
    <row r="1805">
      <c r="A1805" s="1235"/>
      <c r="B1805" s="1235"/>
      <c r="C1805" s="1246"/>
      <c r="D1805" s="1274"/>
      <c r="E1805" s="1248"/>
      <c r="F1805" s="1248"/>
      <c r="G1805" s="1271"/>
      <c r="H1805" s="1250"/>
      <c r="I1805" s="1251"/>
      <c r="J1805" s="1271"/>
      <c r="K1805" s="1271"/>
      <c r="L1805" s="1254"/>
      <c r="M1805" s="1244"/>
      <c r="N1805" s="1273"/>
      <c r="O1805" s="1244"/>
      <c r="P1805" s="1244"/>
      <c r="Q1805" s="1244"/>
      <c r="R1805" s="1244"/>
      <c r="S1805" s="1265"/>
      <c r="T1805" s="1244"/>
      <c r="U1805" s="1244"/>
    </row>
    <row r="1806">
      <c r="A1806" s="1235"/>
      <c r="B1806" s="1235"/>
      <c r="C1806" s="1246"/>
      <c r="D1806" s="1274"/>
      <c r="E1806" s="1248"/>
      <c r="F1806" s="1248"/>
      <c r="G1806" s="1271"/>
      <c r="H1806" s="1250"/>
      <c r="I1806" s="1251"/>
      <c r="J1806" s="1271"/>
      <c r="K1806" s="1271"/>
      <c r="L1806" s="1254"/>
      <c r="M1806" s="1244"/>
      <c r="N1806" s="1273"/>
      <c r="O1806" s="1244"/>
      <c r="P1806" s="1244"/>
      <c r="Q1806" s="1244"/>
      <c r="R1806" s="1244"/>
      <c r="S1806" s="1265"/>
      <c r="T1806" s="1244"/>
      <c r="U1806" s="1244"/>
    </row>
    <row r="1807">
      <c r="A1807" s="1235"/>
      <c r="B1807" s="1235"/>
      <c r="C1807" s="1246"/>
      <c r="D1807" s="1274"/>
      <c r="E1807" s="1248"/>
      <c r="F1807" s="1248"/>
      <c r="G1807" s="1271"/>
      <c r="H1807" s="1250"/>
      <c r="I1807" s="1251"/>
      <c r="J1807" s="1271"/>
      <c r="K1807" s="1271"/>
      <c r="L1807" s="1254"/>
      <c r="M1807" s="1244"/>
      <c r="N1807" s="1273"/>
      <c r="O1807" s="1244"/>
      <c r="P1807" s="1244"/>
      <c r="Q1807" s="1244"/>
      <c r="R1807" s="1244"/>
      <c r="S1807" s="1265"/>
      <c r="T1807" s="1244"/>
      <c r="U1807" s="1244"/>
    </row>
    <row r="1808">
      <c r="A1808" s="1235"/>
      <c r="B1808" s="1235"/>
      <c r="C1808" s="1246"/>
      <c r="D1808" s="1274"/>
      <c r="E1808" s="1248"/>
      <c r="F1808" s="1248"/>
      <c r="G1808" s="1271"/>
      <c r="H1808" s="1250"/>
      <c r="I1808" s="1251"/>
      <c r="J1808" s="1271"/>
      <c r="K1808" s="1271"/>
      <c r="L1808" s="1254"/>
      <c r="M1808" s="1244"/>
      <c r="N1808" s="1273"/>
      <c r="O1808" s="1244"/>
      <c r="P1808" s="1244"/>
      <c r="Q1808" s="1244"/>
      <c r="R1808" s="1244"/>
      <c r="S1808" s="1265"/>
      <c r="T1808" s="1244"/>
      <c r="U1808" s="1244"/>
    </row>
    <row r="1809">
      <c r="A1809" s="1235"/>
      <c r="B1809" s="1235"/>
      <c r="C1809" s="1246"/>
      <c r="D1809" s="1274"/>
      <c r="E1809" s="1248"/>
      <c r="F1809" s="1248"/>
      <c r="G1809" s="1271"/>
      <c r="H1809" s="1250"/>
      <c r="I1809" s="1251"/>
      <c r="J1809" s="1271"/>
      <c r="K1809" s="1271"/>
      <c r="L1809" s="1254"/>
      <c r="M1809" s="1244"/>
      <c r="N1809" s="1273"/>
      <c r="O1809" s="1244"/>
      <c r="P1809" s="1244"/>
      <c r="Q1809" s="1244"/>
      <c r="R1809" s="1244"/>
      <c r="S1809" s="1265"/>
      <c r="T1809" s="1244"/>
      <c r="U1809" s="1244"/>
    </row>
    <row r="1810">
      <c r="A1810" s="1235"/>
      <c r="B1810" s="1235"/>
      <c r="C1810" s="1246"/>
      <c r="D1810" s="1274"/>
      <c r="E1810" s="1248"/>
      <c r="F1810" s="1248"/>
      <c r="G1810" s="1271"/>
      <c r="H1810" s="1250"/>
      <c r="I1810" s="1251"/>
      <c r="J1810" s="1271"/>
      <c r="K1810" s="1271"/>
      <c r="L1810" s="1254"/>
      <c r="M1810" s="1244"/>
      <c r="N1810" s="1273"/>
      <c r="O1810" s="1244"/>
      <c r="P1810" s="1244"/>
      <c r="Q1810" s="1244"/>
      <c r="R1810" s="1244"/>
      <c r="S1810" s="1265"/>
      <c r="T1810" s="1244"/>
      <c r="U1810" s="1244"/>
    </row>
    <row r="1811">
      <c r="A1811" s="1235"/>
      <c r="B1811" s="1235"/>
      <c r="C1811" s="1246"/>
      <c r="D1811" s="1274"/>
      <c r="E1811" s="1248"/>
      <c r="F1811" s="1248"/>
      <c r="G1811" s="1271"/>
      <c r="H1811" s="1250"/>
      <c r="I1811" s="1251"/>
      <c r="J1811" s="1271"/>
      <c r="K1811" s="1271"/>
      <c r="L1811" s="1254"/>
      <c r="M1811" s="1244"/>
      <c r="N1811" s="1273"/>
      <c r="O1811" s="1244"/>
      <c r="P1811" s="1244"/>
      <c r="Q1811" s="1244"/>
      <c r="R1811" s="1244"/>
      <c r="S1811" s="1265"/>
      <c r="T1811" s="1244"/>
      <c r="U1811" s="1244"/>
    </row>
    <row r="1812">
      <c r="A1812" s="1235"/>
      <c r="B1812" s="1235"/>
      <c r="C1812" s="1246"/>
      <c r="D1812" s="1274"/>
      <c r="E1812" s="1248"/>
      <c r="F1812" s="1248"/>
      <c r="G1812" s="1271"/>
      <c r="H1812" s="1250"/>
      <c r="I1812" s="1251"/>
      <c r="J1812" s="1271"/>
      <c r="K1812" s="1271"/>
      <c r="L1812" s="1254"/>
      <c r="M1812" s="1244"/>
      <c r="N1812" s="1273"/>
      <c r="O1812" s="1244"/>
      <c r="P1812" s="1244"/>
      <c r="Q1812" s="1244"/>
      <c r="R1812" s="1244"/>
      <c r="S1812" s="1265"/>
      <c r="T1812" s="1244"/>
      <c r="U1812" s="1244"/>
    </row>
    <row r="1813">
      <c r="A1813" s="1235"/>
      <c r="B1813" s="1235"/>
      <c r="C1813" s="1246"/>
      <c r="D1813" s="1274"/>
      <c r="E1813" s="1248"/>
      <c r="F1813" s="1248"/>
      <c r="G1813" s="1271"/>
      <c r="H1813" s="1250"/>
      <c r="I1813" s="1251"/>
      <c r="J1813" s="1271"/>
      <c r="K1813" s="1271"/>
      <c r="L1813" s="1254"/>
      <c r="M1813" s="1244"/>
      <c r="N1813" s="1273"/>
      <c r="O1813" s="1244"/>
      <c r="P1813" s="1244"/>
      <c r="Q1813" s="1244"/>
      <c r="R1813" s="1244"/>
      <c r="S1813" s="1265"/>
      <c r="T1813" s="1244"/>
      <c r="U1813" s="1244"/>
    </row>
    <row r="1814">
      <c r="A1814" s="1235"/>
      <c r="B1814" s="1235"/>
      <c r="C1814" s="1246"/>
      <c r="D1814" s="1274"/>
      <c r="E1814" s="1248"/>
      <c r="F1814" s="1248"/>
      <c r="G1814" s="1271"/>
      <c r="H1814" s="1250"/>
      <c r="I1814" s="1251"/>
      <c r="J1814" s="1271"/>
      <c r="K1814" s="1271"/>
      <c r="L1814" s="1254"/>
      <c r="M1814" s="1244"/>
      <c r="N1814" s="1273"/>
      <c r="O1814" s="1244"/>
      <c r="P1814" s="1244"/>
      <c r="Q1814" s="1244"/>
      <c r="R1814" s="1244"/>
      <c r="S1814" s="1265"/>
      <c r="T1814" s="1244"/>
      <c r="U1814" s="1244"/>
    </row>
    <row r="1815">
      <c r="A1815" s="1235"/>
      <c r="B1815" s="1235"/>
      <c r="C1815" s="1246"/>
      <c r="D1815" s="1274"/>
      <c r="E1815" s="1248"/>
      <c r="F1815" s="1248"/>
      <c r="G1815" s="1271"/>
      <c r="H1815" s="1250"/>
      <c r="I1815" s="1251"/>
      <c r="J1815" s="1271"/>
      <c r="K1815" s="1271"/>
      <c r="L1815" s="1254"/>
      <c r="M1815" s="1244"/>
      <c r="N1815" s="1273"/>
      <c r="O1815" s="1244"/>
      <c r="P1815" s="1244"/>
      <c r="Q1815" s="1244"/>
      <c r="R1815" s="1244"/>
      <c r="S1815" s="1265"/>
      <c r="T1815" s="1244"/>
      <c r="U1815" s="1244"/>
    </row>
    <row r="1816">
      <c r="A1816" s="1235"/>
      <c r="B1816" s="1235"/>
      <c r="C1816" s="1246"/>
      <c r="D1816" s="1274"/>
      <c r="E1816" s="1248"/>
      <c r="F1816" s="1248"/>
      <c r="G1816" s="1271"/>
      <c r="H1816" s="1250"/>
      <c r="I1816" s="1251"/>
      <c r="J1816" s="1271"/>
      <c r="K1816" s="1271"/>
      <c r="L1816" s="1254"/>
      <c r="M1816" s="1244"/>
      <c r="N1816" s="1273"/>
      <c r="O1816" s="1244"/>
      <c r="P1816" s="1244"/>
      <c r="Q1816" s="1244"/>
      <c r="R1816" s="1244"/>
      <c r="S1816" s="1265"/>
      <c r="T1816" s="1244"/>
      <c r="U1816" s="1244"/>
    </row>
    <row r="1817">
      <c r="A1817" s="1235"/>
      <c r="B1817" s="1235"/>
      <c r="C1817" s="1246"/>
      <c r="D1817" s="1274"/>
      <c r="E1817" s="1248"/>
      <c r="F1817" s="1248"/>
      <c r="G1817" s="1271"/>
      <c r="H1817" s="1250"/>
      <c r="I1817" s="1251"/>
      <c r="J1817" s="1271"/>
      <c r="K1817" s="1271"/>
      <c r="L1817" s="1254"/>
      <c r="M1817" s="1244"/>
      <c r="N1817" s="1273"/>
      <c r="O1817" s="1244"/>
      <c r="P1817" s="1244"/>
      <c r="Q1817" s="1244"/>
      <c r="R1817" s="1244"/>
      <c r="S1817" s="1265"/>
      <c r="T1817" s="1244"/>
      <c r="U1817" s="1244"/>
    </row>
    <row r="1818">
      <c r="A1818" s="1235"/>
      <c r="B1818" s="1235"/>
      <c r="C1818" s="1246"/>
      <c r="D1818" s="1274"/>
      <c r="E1818" s="1248"/>
      <c r="F1818" s="1248"/>
      <c r="G1818" s="1271"/>
      <c r="H1818" s="1250"/>
      <c r="I1818" s="1251"/>
      <c r="J1818" s="1271"/>
      <c r="K1818" s="1271"/>
      <c r="L1818" s="1254"/>
      <c r="M1818" s="1244"/>
      <c r="N1818" s="1273"/>
      <c r="O1818" s="1244"/>
      <c r="P1818" s="1244"/>
      <c r="Q1818" s="1244"/>
      <c r="R1818" s="1244"/>
      <c r="S1818" s="1265"/>
      <c r="T1818" s="1244"/>
      <c r="U1818" s="1244"/>
    </row>
    <row r="1819">
      <c r="A1819" s="1235"/>
      <c r="B1819" s="1235"/>
      <c r="C1819" s="1246"/>
      <c r="D1819" s="1274"/>
      <c r="E1819" s="1248"/>
      <c r="F1819" s="1248"/>
      <c r="G1819" s="1271"/>
      <c r="H1819" s="1250"/>
      <c r="I1819" s="1251"/>
      <c r="J1819" s="1271"/>
      <c r="K1819" s="1271"/>
      <c r="L1819" s="1254"/>
      <c r="M1819" s="1244"/>
      <c r="N1819" s="1273"/>
      <c r="O1819" s="1244"/>
      <c r="P1819" s="1244"/>
      <c r="Q1819" s="1244"/>
      <c r="R1819" s="1244"/>
      <c r="S1819" s="1265"/>
      <c r="T1819" s="1244"/>
      <c r="U1819" s="1244"/>
    </row>
    <row r="1820">
      <c r="A1820" s="1235"/>
      <c r="B1820" s="1235"/>
      <c r="C1820" s="1246"/>
      <c r="D1820" s="1274"/>
      <c r="E1820" s="1248"/>
      <c r="F1820" s="1248"/>
      <c r="G1820" s="1271"/>
      <c r="H1820" s="1250"/>
      <c r="I1820" s="1251"/>
      <c r="J1820" s="1271"/>
      <c r="K1820" s="1271"/>
      <c r="L1820" s="1254"/>
      <c r="M1820" s="1244"/>
      <c r="N1820" s="1273"/>
      <c r="O1820" s="1244"/>
      <c r="P1820" s="1244"/>
      <c r="Q1820" s="1244"/>
      <c r="R1820" s="1244"/>
      <c r="S1820" s="1265"/>
      <c r="T1820" s="1244"/>
      <c r="U1820" s="1244"/>
    </row>
    <row r="1821">
      <c r="A1821" s="1235"/>
      <c r="B1821" s="1235"/>
      <c r="C1821" s="1246"/>
      <c r="D1821" s="1274"/>
      <c r="E1821" s="1248"/>
      <c r="F1821" s="1248"/>
      <c r="G1821" s="1271"/>
      <c r="H1821" s="1250"/>
      <c r="I1821" s="1251"/>
      <c r="J1821" s="1271"/>
      <c r="K1821" s="1271"/>
      <c r="L1821" s="1254"/>
      <c r="M1821" s="1244"/>
      <c r="N1821" s="1273"/>
      <c r="O1821" s="1244"/>
      <c r="P1821" s="1244"/>
      <c r="Q1821" s="1244"/>
      <c r="R1821" s="1244"/>
      <c r="S1821" s="1265"/>
      <c r="T1821" s="1244"/>
      <c r="U1821" s="1244"/>
    </row>
    <row r="1822">
      <c r="A1822" s="1235"/>
      <c r="B1822" s="1235"/>
      <c r="C1822" s="1246"/>
      <c r="D1822" s="1274"/>
      <c r="E1822" s="1248"/>
      <c r="F1822" s="1248"/>
      <c r="G1822" s="1271"/>
      <c r="H1822" s="1250"/>
      <c r="I1822" s="1251"/>
      <c r="J1822" s="1271"/>
      <c r="K1822" s="1271"/>
      <c r="L1822" s="1254"/>
      <c r="M1822" s="1244"/>
      <c r="N1822" s="1273"/>
      <c r="O1822" s="1244"/>
      <c r="P1822" s="1244"/>
      <c r="Q1822" s="1244"/>
      <c r="R1822" s="1244"/>
      <c r="S1822" s="1265"/>
      <c r="T1822" s="1244"/>
      <c r="U1822" s="1244"/>
    </row>
    <row r="1823">
      <c r="A1823" s="1235"/>
      <c r="B1823" s="1235"/>
      <c r="C1823" s="1246"/>
      <c r="D1823" s="1274"/>
      <c r="E1823" s="1248"/>
      <c r="F1823" s="1248"/>
      <c r="G1823" s="1271"/>
      <c r="H1823" s="1250"/>
      <c r="I1823" s="1251"/>
      <c r="J1823" s="1271"/>
      <c r="K1823" s="1271"/>
      <c r="L1823" s="1254"/>
      <c r="M1823" s="1244"/>
      <c r="N1823" s="1273"/>
      <c r="O1823" s="1244"/>
      <c r="P1823" s="1244"/>
      <c r="Q1823" s="1244"/>
      <c r="R1823" s="1244"/>
      <c r="S1823" s="1265"/>
      <c r="T1823" s="1244"/>
      <c r="U1823" s="1244"/>
    </row>
    <row r="1824">
      <c r="A1824" s="1235"/>
      <c r="B1824" s="1235"/>
      <c r="C1824" s="1246"/>
      <c r="D1824" s="1274"/>
      <c r="E1824" s="1248"/>
      <c r="F1824" s="1248"/>
      <c r="G1824" s="1271"/>
      <c r="H1824" s="1250"/>
      <c r="I1824" s="1251"/>
      <c r="J1824" s="1271"/>
      <c r="K1824" s="1271"/>
      <c r="L1824" s="1254"/>
      <c r="M1824" s="1244"/>
      <c r="N1824" s="1273"/>
      <c r="O1824" s="1244"/>
      <c r="P1824" s="1244"/>
      <c r="Q1824" s="1244"/>
      <c r="R1824" s="1244"/>
      <c r="S1824" s="1265"/>
      <c r="T1824" s="1244"/>
      <c r="U1824" s="1244"/>
    </row>
    <row r="1825">
      <c r="A1825" s="1235"/>
      <c r="B1825" s="1235"/>
      <c r="C1825" s="1246"/>
      <c r="D1825" s="1274"/>
      <c r="E1825" s="1248"/>
      <c r="F1825" s="1248"/>
      <c r="G1825" s="1271"/>
      <c r="H1825" s="1250"/>
      <c r="I1825" s="1251"/>
      <c r="J1825" s="1271"/>
      <c r="K1825" s="1271"/>
      <c r="L1825" s="1254"/>
      <c r="M1825" s="1244"/>
      <c r="N1825" s="1273"/>
      <c r="O1825" s="1244"/>
      <c r="P1825" s="1244"/>
      <c r="Q1825" s="1244"/>
      <c r="R1825" s="1244"/>
      <c r="S1825" s="1265"/>
      <c r="T1825" s="1244"/>
      <c r="U1825" s="1244"/>
    </row>
    <row r="1826">
      <c r="A1826" s="1235"/>
      <c r="B1826" s="1235"/>
      <c r="C1826" s="1246"/>
      <c r="D1826" s="1274"/>
      <c r="E1826" s="1248"/>
      <c r="F1826" s="1248"/>
      <c r="G1826" s="1271"/>
      <c r="H1826" s="1250"/>
      <c r="I1826" s="1251"/>
      <c r="J1826" s="1271"/>
      <c r="K1826" s="1271"/>
      <c r="L1826" s="1254"/>
      <c r="M1826" s="1244"/>
      <c r="N1826" s="1273"/>
      <c r="O1826" s="1244"/>
      <c r="P1826" s="1244"/>
      <c r="Q1826" s="1244"/>
      <c r="R1826" s="1244"/>
      <c r="S1826" s="1265"/>
      <c r="T1826" s="1244"/>
      <c r="U1826" s="1244"/>
    </row>
    <row r="1827">
      <c r="A1827" s="1235"/>
      <c r="B1827" s="1235"/>
      <c r="C1827" s="1246"/>
      <c r="D1827" s="1274"/>
      <c r="E1827" s="1248"/>
      <c r="F1827" s="1248"/>
      <c r="G1827" s="1271"/>
      <c r="H1827" s="1250"/>
      <c r="I1827" s="1251"/>
      <c r="J1827" s="1271"/>
      <c r="K1827" s="1271"/>
      <c r="L1827" s="1254"/>
      <c r="M1827" s="1244"/>
      <c r="N1827" s="1273"/>
      <c r="O1827" s="1244"/>
      <c r="P1827" s="1244"/>
      <c r="Q1827" s="1244"/>
      <c r="R1827" s="1244"/>
      <c r="S1827" s="1265"/>
      <c r="T1827" s="1244"/>
      <c r="U1827" s="1244"/>
    </row>
    <row r="1828">
      <c r="A1828" s="1235"/>
      <c r="B1828" s="1235"/>
      <c r="C1828" s="1246"/>
      <c r="D1828" s="1274"/>
      <c r="E1828" s="1248"/>
      <c r="F1828" s="1248"/>
      <c r="G1828" s="1271"/>
      <c r="H1828" s="1250"/>
      <c r="I1828" s="1251"/>
      <c r="J1828" s="1271"/>
      <c r="K1828" s="1271"/>
      <c r="L1828" s="1254"/>
      <c r="M1828" s="1244"/>
      <c r="N1828" s="1273"/>
      <c r="O1828" s="1244"/>
      <c r="P1828" s="1244"/>
      <c r="Q1828" s="1244"/>
      <c r="R1828" s="1244"/>
      <c r="S1828" s="1265"/>
      <c r="T1828" s="1244"/>
      <c r="U1828" s="1244"/>
    </row>
    <row r="1829">
      <c r="A1829" s="1235"/>
      <c r="B1829" s="1235"/>
      <c r="C1829" s="1246"/>
      <c r="D1829" s="1274"/>
      <c r="E1829" s="1248"/>
      <c r="F1829" s="1248"/>
      <c r="G1829" s="1271"/>
      <c r="H1829" s="1250"/>
      <c r="I1829" s="1251"/>
      <c r="J1829" s="1271"/>
      <c r="K1829" s="1271"/>
      <c r="L1829" s="1254"/>
      <c r="M1829" s="1244"/>
      <c r="N1829" s="1273"/>
      <c r="O1829" s="1244"/>
      <c r="P1829" s="1244"/>
      <c r="Q1829" s="1244"/>
      <c r="R1829" s="1244"/>
      <c r="S1829" s="1265"/>
      <c r="T1829" s="1244"/>
      <c r="U1829" s="1244"/>
    </row>
    <row r="1830">
      <c r="A1830" s="1235"/>
      <c r="B1830" s="1235"/>
      <c r="C1830" s="1246"/>
      <c r="D1830" s="1274"/>
      <c r="E1830" s="1248"/>
      <c r="F1830" s="1248"/>
      <c r="G1830" s="1271"/>
      <c r="H1830" s="1250"/>
      <c r="I1830" s="1251"/>
      <c r="J1830" s="1271"/>
      <c r="K1830" s="1271"/>
      <c r="L1830" s="1254"/>
      <c r="M1830" s="1244"/>
      <c r="N1830" s="1273"/>
      <c r="O1830" s="1244"/>
      <c r="P1830" s="1244"/>
      <c r="Q1830" s="1244"/>
      <c r="R1830" s="1244"/>
      <c r="S1830" s="1265"/>
      <c r="T1830" s="1244"/>
      <c r="U1830" s="1244"/>
    </row>
    <row r="1831">
      <c r="A1831" s="1235"/>
      <c r="B1831" s="1235"/>
      <c r="C1831" s="1246"/>
      <c r="D1831" s="1274"/>
      <c r="E1831" s="1248"/>
      <c r="F1831" s="1248"/>
      <c r="G1831" s="1271"/>
      <c r="H1831" s="1250"/>
      <c r="I1831" s="1251"/>
      <c r="J1831" s="1271"/>
      <c r="K1831" s="1271"/>
      <c r="L1831" s="1254"/>
      <c r="M1831" s="1244"/>
      <c r="N1831" s="1273"/>
      <c r="O1831" s="1244"/>
      <c r="P1831" s="1244"/>
      <c r="Q1831" s="1244"/>
      <c r="R1831" s="1244"/>
      <c r="S1831" s="1265"/>
      <c r="T1831" s="1244"/>
      <c r="U1831" s="1244"/>
    </row>
    <row r="1832">
      <c r="A1832" s="1235"/>
      <c r="B1832" s="1235"/>
      <c r="C1832" s="1246"/>
      <c r="D1832" s="1274"/>
      <c r="E1832" s="1248"/>
      <c r="F1832" s="1248"/>
      <c r="G1832" s="1271"/>
      <c r="H1832" s="1250"/>
      <c r="I1832" s="1251"/>
      <c r="J1832" s="1271"/>
      <c r="K1832" s="1271"/>
      <c r="L1832" s="1254"/>
      <c r="M1832" s="1244"/>
      <c r="N1832" s="1273"/>
      <c r="O1832" s="1244"/>
      <c r="P1832" s="1244"/>
      <c r="Q1832" s="1244"/>
      <c r="R1832" s="1244"/>
      <c r="S1832" s="1265"/>
      <c r="T1832" s="1244"/>
      <c r="U1832" s="1244"/>
    </row>
    <row r="1833">
      <c r="A1833" s="1235"/>
      <c r="B1833" s="1235"/>
      <c r="C1833" s="1246"/>
      <c r="D1833" s="1274"/>
      <c r="E1833" s="1248"/>
      <c r="F1833" s="1248"/>
      <c r="G1833" s="1271"/>
      <c r="H1833" s="1250"/>
      <c r="I1833" s="1251"/>
      <c r="J1833" s="1271"/>
      <c r="K1833" s="1271"/>
      <c r="L1833" s="1254"/>
      <c r="M1833" s="1244"/>
      <c r="N1833" s="1273"/>
      <c r="O1833" s="1244"/>
      <c r="P1833" s="1244"/>
      <c r="Q1833" s="1244"/>
      <c r="R1833" s="1244"/>
      <c r="S1833" s="1265"/>
      <c r="T1833" s="1244"/>
      <c r="U1833" s="1244"/>
    </row>
    <row r="1834">
      <c r="A1834" s="1235"/>
      <c r="B1834" s="1235"/>
      <c r="C1834" s="1246"/>
      <c r="D1834" s="1274"/>
      <c r="E1834" s="1248"/>
      <c r="F1834" s="1248"/>
      <c r="G1834" s="1271"/>
      <c r="H1834" s="1250"/>
      <c r="I1834" s="1251"/>
      <c r="J1834" s="1271"/>
      <c r="K1834" s="1271"/>
      <c r="L1834" s="1254"/>
      <c r="M1834" s="1244"/>
      <c r="N1834" s="1273"/>
      <c r="O1834" s="1244"/>
      <c r="P1834" s="1244"/>
      <c r="Q1834" s="1244"/>
      <c r="R1834" s="1244"/>
      <c r="S1834" s="1265"/>
      <c r="T1834" s="1244"/>
      <c r="U1834" s="1244"/>
    </row>
    <row r="1835">
      <c r="A1835" s="1235"/>
      <c r="B1835" s="1235"/>
      <c r="C1835" s="1246"/>
      <c r="D1835" s="1274"/>
      <c r="E1835" s="1248"/>
      <c r="F1835" s="1248"/>
      <c r="G1835" s="1271"/>
      <c r="H1835" s="1250"/>
      <c r="I1835" s="1251"/>
      <c r="J1835" s="1271"/>
      <c r="K1835" s="1271"/>
      <c r="L1835" s="1254"/>
      <c r="M1835" s="1244"/>
      <c r="N1835" s="1273"/>
      <c r="O1835" s="1244"/>
      <c r="P1835" s="1244"/>
      <c r="Q1835" s="1244"/>
      <c r="R1835" s="1244"/>
      <c r="S1835" s="1265"/>
      <c r="T1835" s="1244"/>
      <c r="U1835" s="1244"/>
    </row>
    <row r="1836">
      <c r="A1836" s="1235"/>
      <c r="B1836" s="1235"/>
      <c r="C1836" s="1246"/>
      <c r="D1836" s="1274"/>
      <c r="E1836" s="1248"/>
      <c r="F1836" s="1248"/>
      <c r="G1836" s="1271"/>
      <c r="H1836" s="1250"/>
      <c r="I1836" s="1251"/>
      <c r="J1836" s="1271"/>
      <c r="K1836" s="1271"/>
      <c r="L1836" s="1254"/>
      <c r="M1836" s="1244"/>
      <c r="N1836" s="1273"/>
      <c r="O1836" s="1244"/>
      <c r="P1836" s="1244"/>
      <c r="Q1836" s="1244"/>
      <c r="R1836" s="1244"/>
      <c r="S1836" s="1265"/>
      <c r="T1836" s="1244"/>
      <c r="U1836" s="1244"/>
    </row>
    <row r="1837">
      <c r="A1837" s="1235"/>
      <c r="B1837" s="1235"/>
      <c r="C1837" s="1246"/>
      <c r="D1837" s="1274"/>
      <c r="E1837" s="1248"/>
      <c r="F1837" s="1248"/>
      <c r="G1837" s="1271"/>
      <c r="H1837" s="1250"/>
      <c r="I1837" s="1251"/>
      <c r="J1837" s="1271"/>
      <c r="K1837" s="1271"/>
      <c r="L1837" s="1254"/>
      <c r="M1837" s="1244"/>
      <c r="N1837" s="1273"/>
      <c r="O1837" s="1244"/>
      <c r="P1837" s="1244"/>
      <c r="Q1837" s="1244"/>
      <c r="R1837" s="1244"/>
      <c r="S1837" s="1265"/>
      <c r="T1837" s="1244"/>
      <c r="U1837" s="1244"/>
    </row>
    <row r="1838">
      <c r="A1838" s="1235"/>
      <c r="B1838" s="1235"/>
      <c r="C1838" s="1246"/>
      <c r="D1838" s="1274"/>
      <c r="E1838" s="1248"/>
      <c r="F1838" s="1248"/>
      <c r="G1838" s="1271"/>
      <c r="H1838" s="1250"/>
      <c r="I1838" s="1251"/>
      <c r="J1838" s="1271"/>
      <c r="K1838" s="1271"/>
      <c r="L1838" s="1254"/>
      <c r="M1838" s="1244"/>
      <c r="N1838" s="1273"/>
      <c r="O1838" s="1244"/>
      <c r="P1838" s="1244"/>
      <c r="Q1838" s="1244"/>
      <c r="R1838" s="1244"/>
      <c r="S1838" s="1265"/>
      <c r="T1838" s="1244"/>
      <c r="U1838" s="1244"/>
    </row>
    <row r="1839">
      <c r="A1839" s="1235"/>
      <c r="B1839" s="1235"/>
      <c r="C1839" s="1246"/>
      <c r="D1839" s="1274"/>
      <c r="E1839" s="1248"/>
      <c r="F1839" s="1248"/>
      <c r="G1839" s="1271"/>
      <c r="H1839" s="1250"/>
      <c r="I1839" s="1251"/>
      <c r="J1839" s="1271"/>
      <c r="K1839" s="1271"/>
      <c r="L1839" s="1254"/>
      <c r="M1839" s="1244"/>
      <c r="N1839" s="1273"/>
      <c r="O1839" s="1244"/>
      <c r="P1839" s="1244"/>
      <c r="Q1839" s="1244"/>
      <c r="R1839" s="1244"/>
      <c r="S1839" s="1265"/>
      <c r="T1839" s="1244"/>
      <c r="U1839" s="1244"/>
    </row>
    <row r="1840">
      <c r="A1840" s="1235"/>
      <c r="B1840" s="1235"/>
      <c r="C1840" s="1246"/>
      <c r="D1840" s="1274"/>
      <c r="E1840" s="1248"/>
      <c r="F1840" s="1248"/>
      <c r="G1840" s="1271"/>
      <c r="H1840" s="1250"/>
      <c r="I1840" s="1251"/>
      <c r="J1840" s="1271"/>
      <c r="K1840" s="1271"/>
      <c r="L1840" s="1254"/>
      <c r="M1840" s="1244"/>
      <c r="N1840" s="1273"/>
      <c r="O1840" s="1244"/>
      <c r="P1840" s="1244"/>
      <c r="Q1840" s="1244"/>
      <c r="R1840" s="1244"/>
      <c r="S1840" s="1265"/>
      <c r="T1840" s="1244"/>
      <c r="U1840" s="1244"/>
    </row>
    <row r="1841">
      <c r="A1841" s="1235"/>
      <c r="B1841" s="1235"/>
      <c r="C1841" s="1246"/>
      <c r="D1841" s="1274"/>
      <c r="E1841" s="1248"/>
      <c r="F1841" s="1248"/>
      <c r="G1841" s="1271"/>
      <c r="H1841" s="1250"/>
      <c r="I1841" s="1251"/>
      <c r="J1841" s="1271"/>
      <c r="K1841" s="1271"/>
      <c r="L1841" s="1254"/>
      <c r="M1841" s="1244"/>
      <c r="N1841" s="1273"/>
      <c r="O1841" s="1244"/>
      <c r="P1841" s="1244"/>
      <c r="Q1841" s="1244"/>
      <c r="R1841" s="1244"/>
      <c r="S1841" s="1265"/>
      <c r="T1841" s="1244"/>
      <c r="U1841" s="1244"/>
    </row>
    <row r="1842">
      <c r="A1842" s="1235"/>
      <c r="B1842" s="1235"/>
      <c r="C1842" s="1246"/>
      <c r="D1842" s="1274"/>
      <c r="E1842" s="1248"/>
      <c r="F1842" s="1248"/>
      <c r="G1842" s="1271"/>
      <c r="H1842" s="1250"/>
      <c r="I1842" s="1251"/>
      <c r="J1842" s="1271"/>
      <c r="K1842" s="1271"/>
      <c r="L1842" s="1254"/>
      <c r="M1842" s="1244"/>
      <c r="N1842" s="1273"/>
      <c r="O1842" s="1244"/>
      <c r="P1842" s="1244"/>
      <c r="Q1842" s="1244"/>
      <c r="R1842" s="1244"/>
      <c r="S1842" s="1265"/>
      <c r="T1842" s="1244"/>
      <c r="U1842" s="1244"/>
    </row>
    <row r="1843">
      <c r="A1843" s="1235"/>
      <c r="B1843" s="1235"/>
      <c r="C1843" s="1246"/>
      <c r="D1843" s="1274"/>
      <c r="E1843" s="1248"/>
      <c r="F1843" s="1248"/>
      <c r="G1843" s="1271"/>
      <c r="H1843" s="1250"/>
      <c r="I1843" s="1251"/>
      <c r="J1843" s="1271"/>
      <c r="K1843" s="1271"/>
      <c r="L1843" s="1254"/>
      <c r="M1843" s="1244"/>
      <c r="N1843" s="1273"/>
      <c r="O1843" s="1244"/>
      <c r="P1843" s="1244"/>
      <c r="Q1843" s="1244"/>
      <c r="R1843" s="1244"/>
      <c r="S1843" s="1265"/>
      <c r="T1843" s="1244"/>
      <c r="U1843" s="1244"/>
    </row>
    <row r="1844">
      <c r="A1844" s="1235"/>
      <c r="B1844" s="1235"/>
      <c r="C1844" s="1246"/>
      <c r="D1844" s="1274"/>
      <c r="E1844" s="1248"/>
      <c r="F1844" s="1248"/>
      <c r="G1844" s="1271"/>
      <c r="H1844" s="1250"/>
      <c r="I1844" s="1251"/>
      <c r="J1844" s="1271"/>
      <c r="K1844" s="1271"/>
      <c r="L1844" s="1254"/>
      <c r="M1844" s="1244"/>
      <c r="N1844" s="1273"/>
      <c r="O1844" s="1244"/>
      <c r="P1844" s="1244"/>
      <c r="Q1844" s="1244"/>
      <c r="R1844" s="1244"/>
      <c r="S1844" s="1265"/>
      <c r="T1844" s="1244"/>
      <c r="U1844" s="1244"/>
    </row>
    <row r="1845">
      <c r="A1845" s="1235"/>
      <c r="B1845" s="1235"/>
      <c r="C1845" s="1246"/>
      <c r="D1845" s="1274"/>
      <c r="E1845" s="1248"/>
      <c r="F1845" s="1248"/>
      <c r="G1845" s="1271"/>
      <c r="H1845" s="1250"/>
      <c r="I1845" s="1251"/>
      <c r="J1845" s="1271"/>
      <c r="K1845" s="1271"/>
      <c r="L1845" s="1254"/>
      <c r="M1845" s="1244"/>
      <c r="N1845" s="1273"/>
      <c r="O1845" s="1244"/>
      <c r="P1845" s="1244"/>
      <c r="Q1845" s="1244"/>
      <c r="R1845" s="1244"/>
      <c r="S1845" s="1265"/>
      <c r="T1845" s="1244"/>
      <c r="U1845" s="1244"/>
    </row>
    <row r="1846">
      <c r="A1846" s="1235"/>
      <c r="B1846" s="1235"/>
      <c r="C1846" s="1246"/>
      <c r="D1846" s="1274"/>
      <c r="E1846" s="1248"/>
      <c r="F1846" s="1248"/>
      <c r="G1846" s="1271"/>
      <c r="H1846" s="1250"/>
      <c r="I1846" s="1251"/>
      <c r="J1846" s="1271"/>
      <c r="K1846" s="1271"/>
      <c r="L1846" s="1254"/>
      <c r="M1846" s="1244"/>
      <c r="N1846" s="1273"/>
      <c r="O1846" s="1244"/>
      <c r="P1846" s="1244"/>
      <c r="Q1846" s="1244"/>
      <c r="R1846" s="1244"/>
      <c r="S1846" s="1265"/>
      <c r="T1846" s="1244"/>
      <c r="U1846" s="1244"/>
    </row>
    <row r="1847">
      <c r="A1847" s="1235"/>
      <c r="B1847" s="1235"/>
      <c r="C1847" s="1246"/>
      <c r="D1847" s="1274"/>
      <c r="E1847" s="1248"/>
      <c r="F1847" s="1248"/>
      <c r="G1847" s="1271"/>
      <c r="H1847" s="1250"/>
      <c r="I1847" s="1251"/>
      <c r="J1847" s="1271"/>
      <c r="K1847" s="1271"/>
      <c r="L1847" s="1254"/>
      <c r="M1847" s="1244"/>
      <c r="N1847" s="1273"/>
      <c r="O1847" s="1244"/>
      <c r="P1847" s="1244"/>
      <c r="Q1847" s="1244"/>
      <c r="R1847" s="1244"/>
      <c r="S1847" s="1265"/>
      <c r="T1847" s="1244"/>
      <c r="U1847" s="1244"/>
    </row>
    <row r="1848">
      <c r="A1848" s="1235"/>
      <c r="B1848" s="1235"/>
      <c r="C1848" s="1246"/>
      <c r="D1848" s="1274"/>
      <c r="E1848" s="1248"/>
      <c r="F1848" s="1248"/>
      <c r="G1848" s="1271"/>
      <c r="H1848" s="1250"/>
      <c r="I1848" s="1251"/>
      <c r="J1848" s="1271"/>
      <c r="K1848" s="1271"/>
      <c r="L1848" s="1254"/>
      <c r="M1848" s="1244"/>
      <c r="N1848" s="1273"/>
      <c r="O1848" s="1244"/>
      <c r="P1848" s="1244"/>
      <c r="Q1848" s="1244"/>
      <c r="R1848" s="1244"/>
      <c r="S1848" s="1265"/>
      <c r="T1848" s="1244"/>
      <c r="U1848" s="1244"/>
    </row>
    <row r="1849">
      <c r="A1849" s="1235"/>
      <c r="B1849" s="1235"/>
      <c r="C1849" s="1246"/>
      <c r="D1849" s="1274"/>
      <c r="E1849" s="1248"/>
      <c r="F1849" s="1248"/>
      <c r="G1849" s="1271"/>
      <c r="H1849" s="1250"/>
      <c r="I1849" s="1251"/>
      <c r="J1849" s="1271"/>
      <c r="K1849" s="1271"/>
      <c r="L1849" s="1254"/>
      <c r="M1849" s="1244"/>
      <c r="N1849" s="1273"/>
      <c r="O1849" s="1244"/>
      <c r="P1849" s="1244"/>
      <c r="Q1849" s="1244"/>
      <c r="R1849" s="1244"/>
      <c r="S1849" s="1265"/>
      <c r="T1849" s="1244"/>
      <c r="U1849" s="1244"/>
    </row>
    <row r="1850">
      <c r="A1850" s="1235"/>
      <c r="B1850" s="1235"/>
      <c r="C1850" s="1246"/>
      <c r="D1850" s="1274"/>
      <c r="E1850" s="1248"/>
      <c r="F1850" s="1248"/>
      <c r="G1850" s="1271"/>
      <c r="H1850" s="1250"/>
      <c r="I1850" s="1251"/>
      <c r="J1850" s="1271"/>
      <c r="K1850" s="1271"/>
      <c r="L1850" s="1254"/>
      <c r="M1850" s="1244"/>
      <c r="N1850" s="1273"/>
      <c r="O1850" s="1244"/>
      <c r="P1850" s="1244"/>
      <c r="Q1850" s="1244"/>
      <c r="R1850" s="1244"/>
      <c r="S1850" s="1265"/>
      <c r="T1850" s="1244"/>
      <c r="U1850" s="1244"/>
    </row>
    <row r="1851">
      <c r="A1851" s="1235"/>
      <c r="B1851" s="1235"/>
      <c r="C1851" s="1246"/>
      <c r="D1851" s="1274"/>
      <c r="E1851" s="1248"/>
      <c r="F1851" s="1248"/>
      <c r="G1851" s="1271"/>
      <c r="H1851" s="1250"/>
      <c r="I1851" s="1251"/>
      <c r="J1851" s="1271"/>
      <c r="K1851" s="1271"/>
      <c r="L1851" s="1254"/>
      <c r="M1851" s="1244"/>
      <c r="N1851" s="1273"/>
      <c r="O1851" s="1244"/>
      <c r="P1851" s="1244"/>
      <c r="Q1851" s="1244"/>
      <c r="R1851" s="1244"/>
      <c r="S1851" s="1265"/>
      <c r="T1851" s="1244"/>
      <c r="U1851" s="1244"/>
    </row>
    <row r="1852">
      <c r="A1852" s="1235"/>
      <c r="B1852" s="1235"/>
      <c r="C1852" s="1246"/>
      <c r="D1852" s="1274"/>
      <c r="E1852" s="1248"/>
      <c r="F1852" s="1248"/>
      <c r="G1852" s="1271"/>
      <c r="H1852" s="1250"/>
      <c r="I1852" s="1251"/>
      <c r="J1852" s="1271"/>
      <c r="K1852" s="1271"/>
      <c r="L1852" s="1254"/>
      <c r="M1852" s="1244"/>
      <c r="N1852" s="1273"/>
      <c r="O1852" s="1244"/>
      <c r="P1852" s="1244"/>
      <c r="Q1852" s="1244"/>
      <c r="R1852" s="1244"/>
      <c r="S1852" s="1265"/>
      <c r="T1852" s="1244"/>
      <c r="U1852" s="1244"/>
    </row>
    <row r="1853">
      <c r="A1853" s="1235"/>
      <c r="B1853" s="1235"/>
      <c r="C1853" s="1246"/>
      <c r="D1853" s="1274"/>
      <c r="E1853" s="1248"/>
      <c r="F1853" s="1248"/>
      <c r="G1853" s="1271"/>
      <c r="H1853" s="1250"/>
      <c r="I1853" s="1251"/>
      <c r="J1853" s="1271"/>
      <c r="K1853" s="1271"/>
      <c r="L1853" s="1254"/>
      <c r="M1853" s="1244"/>
      <c r="N1853" s="1273"/>
      <c r="O1853" s="1244"/>
      <c r="P1853" s="1244"/>
      <c r="Q1853" s="1244"/>
      <c r="R1853" s="1244"/>
      <c r="S1853" s="1265"/>
      <c r="T1853" s="1244"/>
      <c r="U1853" s="1244"/>
    </row>
    <row r="1854">
      <c r="A1854" s="1235"/>
      <c r="B1854" s="1235"/>
      <c r="C1854" s="1246"/>
      <c r="D1854" s="1274"/>
      <c r="E1854" s="1248"/>
      <c r="F1854" s="1248"/>
      <c r="G1854" s="1271"/>
      <c r="H1854" s="1250"/>
      <c r="I1854" s="1251"/>
      <c r="J1854" s="1271"/>
      <c r="K1854" s="1271"/>
      <c r="L1854" s="1254"/>
      <c r="M1854" s="1244"/>
      <c r="N1854" s="1273"/>
      <c r="O1854" s="1244"/>
      <c r="P1854" s="1244"/>
      <c r="Q1854" s="1244"/>
      <c r="R1854" s="1244"/>
      <c r="S1854" s="1265"/>
      <c r="T1854" s="1244"/>
      <c r="U1854" s="1244"/>
    </row>
    <row r="1855">
      <c r="A1855" s="1235"/>
      <c r="B1855" s="1235"/>
      <c r="C1855" s="1246"/>
      <c r="D1855" s="1274"/>
      <c r="E1855" s="1248"/>
      <c r="F1855" s="1248"/>
      <c r="G1855" s="1271"/>
      <c r="H1855" s="1250"/>
      <c r="I1855" s="1251"/>
      <c r="J1855" s="1271"/>
      <c r="K1855" s="1271"/>
      <c r="L1855" s="1254"/>
      <c r="M1855" s="1244"/>
      <c r="N1855" s="1273"/>
      <c r="O1855" s="1244"/>
      <c r="P1855" s="1244"/>
      <c r="Q1855" s="1244"/>
      <c r="R1855" s="1244"/>
      <c r="S1855" s="1265"/>
      <c r="T1855" s="1244"/>
      <c r="U1855" s="1244"/>
    </row>
    <row r="1856">
      <c r="A1856" s="1235"/>
      <c r="B1856" s="1235"/>
      <c r="C1856" s="1246"/>
      <c r="D1856" s="1274"/>
      <c r="E1856" s="1248"/>
      <c r="F1856" s="1248"/>
      <c r="G1856" s="1271"/>
      <c r="H1856" s="1250"/>
      <c r="I1856" s="1251"/>
      <c r="J1856" s="1271"/>
      <c r="K1856" s="1271"/>
      <c r="L1856" s="1254"/>
      <c r="M1856" s="1244"/>
      <c r="N1856" s="1273"/>
      <c r="O1856" s="1244"/>
      <c r="P1856" s="1244"/>
      <c r="Q1856" s="1244"/>
      <c r="R1856" s="1244"/>
      <c r="S1856" s="1265"/>
      <c r="T1856" s="1244"/>
      <c r="U1856" s="1244"/>
    </row>
    <row r="1857">
      <c r="A1857" s="1235"/>
      <c r="B1857" s="1235"/>
      <c r="C1857" s="1246"/>
      <c r="D1857" s="1274"/>
      <c r="E1857" s="1248"/>
      <c r="F1857" s="1248"/>
      <c r="G1857" s="1271"/>
      <c r="H1857" s="1250"/>
      <c r="I1857" s="1251"/>
      <c r="J1857" s="1271"/>
      <c r="K1857" s="1271"/>
      <c r="L1857" s="1254"/>
      <c r="M1857" s="1244"/>
      <c r="N1857" s="1273"/>
      <c r="O1857" s="1244"/>
      <c r="P1857" s="1244"/>
      <c r="Q1857" s="1244"/>
      <c r="R1857" s="1244"/>
      <c r="S1857" s="1265"/>
      <c r="T1857" s="1244"/>
      <c r="U1857" s="1244"/>
    </row>
    <row r="1858">
      <c r="A1858" s="1235"/>
      <c r="B1858" s="1235"/>
      <c r="C1858" s="1246"/>
      <c r="D1858" s="1274"/>
      <c r="E1858" s="1248"/>
      <c r="F1858" s="1248"/>
      <c r="G1858" s="1271"/>
      <c r="H1858" s="1250"/>
      <c r="I1858" s="1251"/>
      <c r="J1858" s="1271"/>
      <c r="K1858" s="1271"/>
      <c r="L1858" s="1254"/>
      <c r="M1858" s="1244"/>
      <c r="N1858" s="1273"/>
      <c r="O1858" s="1244"/>
      <c r="P1858" s="1244"/>
      <c r="Q1858" s="1244"/>
      <c r="R1858" s="1244"/>
      <c r="S1858" s="1265"/>
      <c r="T1858" s="1244"/>
      <c r="U1858" s="1244"/>
    </row>
    <row r="1859">
      <c r="A1859" s="1235"/>
      <c r="B1859" s="1235"/>
      <c r="C1859" s="1246"/>
      <c r="D1859" s="1274"/>
      <c r="E1859" s="1248"/>
      <c r="F1859" s="1248"/>
      <c r="G1859" s="1271"/>
      <c r="H1859" s="1250"/>
      <c r="I1859" s="1251"/>
      <c r="J1859" s="1271"/>
      <c r="K1859" s="1271"/>
      <c r="L1859" s="1254"/>
      <c r="M1859" s="1244"/>
      <c r="N1859" s="1273"/>
      <c r="O1859" s="1244"/>
      <c r="P1859" s="1244"/>
      <c r="Q1859" s="1244"/>
      <c r="R1859" s="1244"/>
      <c r="S1859" s="1265"/>
      <c r="T1859" s="1244"/>
      <c r="U1859" s="1244"/>
    </row>
    <row r="1860">
      <c r="A1860" s="1235"/>
      <c r="B1860" s="1235"/>
      <c r="C1860" s="1246"/>
      <c r="D1860" s="1274"/>
      <c r="E1860" s="1248"/>
      <c r="F1860" s="1248"/>
      <c r="G1860" s="1271"/>
      <c r="H1860" s="1250"/>
      <c r="I1860" s="1251"/>
      <c r="J1860" s="1271"/>
      <c r="K1860" s="1271"/>
      <c r="L1860" s="1254"/>
      <c r="M1860" s="1244"/>
      <c r="N1860" s="1273"/>
      <c r="O1860" s="1244"/>
      <c r="P1860" s="1244"/>
      <c r="Q1860" s="1244"/>
      <c r="R1860" s="1244"/>
      <c r="S1860" s="1265"/>
      <c r="T1860" s="1244"/>
      <c r="U1860" s="1244"/>
    </row>
    <row r="1861">
      <c r="A1861" s="1235"/>
      <c r="B1861" s="1235"/>
      <c r="C1861" s="1246"/>
      <c r="D1861" s="1274"/>
      <c r="E1861" s="1248"/>
      <c r="F1861" s="1248"/>
      <c r="G1861" s="1271"/>
      <c r="H1861" s="1250"/>
      <c r="I1861" s="1251"/>
      <c r="J1861" s="1271"/>
      <c r="K1861" s="1271"/>
      <c r="L1861" s="1254"/>
      <c r="M1861" s="1244"/>
      <c r="N1861" s="1273"/>
      <c r="O1861" s="1244"/>
      <c r="P1861" s="1244"/>
      <c r="Q1861" s="1244"/>
      <c r="R1861" s="1244"/>
      <c r="S1861" s="1265"/>
      <c r="T1861" s="1244"/>
      <c r="U1861" s="1244"/>
    </row>
    <row r="1862">
      <c r="A1862" s="1235"/>
      <c r="B1862" s="1235"/>
      <c r="C1862" s="1246"/>
      <c r="D1862" s="1274"/>
      <c r="E1862" s="1248"/>
      <c r="F1862" s="1248"/>
      <c r="G1862" s="1271"/>
      <c r="H1862" s="1250"/>
      <c r="I1862" s="1251"/>
      <c r="J1862" s="1271"/>
      <c r="K1862" s="1271"/>
      <c r="L1862" s="1254"/>
      <c r="M1862" s="1244"/>
      <c r="N1862" s="1273"/>
      <c r="O1862" s="1244"/>
      <c r="P1862" s="1244"/>
      <c r="Q1862" s="1244"/>
      <c r="R1862" s="1244"/>
      <c r="S1862" s="1265"/>
      <c r="T1862" s="1244"/>
      <c r="U1862" s="1244"/>
    </row>
    <row r="1863">
      <c r="A1863" s="1235"/>
      <c r="B1863" s="1235"/>
      <c r="C1863" s="1246"/>
      <c r="D1863" s="1274"/>
      <c r="E1863" s="1248"/>
      <c r="F1863" s="1248"/>
      <c r="G1863" s="1271"/>
      <c r="H1863" s="1250"/>
      <c r="I1863" s="1251"/>
      <c r="J1863" s="1271"/>
      <c r="K1863" s="1271"/>
      <c r="L1863" s="1254"/>
      <c r="M1863" s="1244"/>
      <c r="N1863" s="1273"/>
      <c r="O1863" s="1244"/>
      <c r="P1863" s="1244"/>
      <c r="Q1863" s="1244"/>
      <c r="R1863" s="1244"/>
      <c r="S1863" s="1265"/>
      <c r="T1863" s="1244"/>
      <c r="U1863" s="1244"/>
    </row>
    <row r="1864">
      <c r="A1864" s="1235"/>
      <c r="B1864" s="1235"/>
      <c r="C1864" s="1246"/>
      <c r="D1864" s="1274"/>
      <c r="E1864" s="1248"/>
      <c r="F1864" s="1248"/>
      <c r="G1864" s="1271"/>
      <c r="H1864" s="1250"/>
      <c r="I1864" s="1251"/>
      <c r="J1864" s="1271"/>
      <c r="K1864" s="1271"/>
      <c r="L1864" s="1254"/>
      <c r="M1864" s="1244"/>
      <c r="N1864" s="1273"/>
      <c r="O1864" s="1244"/>
      <c r="P1864" s="1244"/>
      <c r="Q1864" s="1244"/>
      <c r="R1864" s="1244"/>
      <c r="S1864" s="1265"/>
      <c r="T1864" s="1244"/>
      <c r="U1864" s="1244"/>
    </row>
    <row r="1865">
      <c r="A1865" s="1235"/>
      <c r="B1865" s="1235"/>
      <c r="C1865" s="1246"/>
      <c r="D1865" s="1274"/>
      <c r="E1865" s="1248"/>
      <c r="F1865" s="1248"/>
      <c r="G1865" s="1271"/>
      <c r="H1865" s="1250"/>
      <c r="I1865" s="1251"/>
      <c r="J1865" s="1271"/>
      <c r="K1865" s="1271"/>
      <c r="L1865" s="1254"/>
      <c r="M1865" s="1244"/>
      <c r="N1865" s="1273"/>
      <c r="O1865" s="1244"/>
      <c r="P1865" s="1244"/>
      <c r="Q1865" s="1244"/>
      <c r="R1865" s="1244"/>
      <c r="S1865" s="1265"/>
      <c r="T1865" s="1244"/>
      <c r="U1865" s="1244"/>
    </row>
    <row r="1866">
      <c r="A1866" s="1235"/>
      <c r="B1866" s="1235"/>
      <c r="C1866" s="1246"/>
      <c r="D1866" s="1274"/>
      <c r="E1866" s="1248"/>
      <c r="F1866" s="1248"/>
      <c r="G1866" s="1271"/>
      <c r="H1866" s="1250"/>
      <c r="I1866" s="1251"/>
      <c r="J1866" s="1271"/>
      <c r="K1866" s="1271"/>
      <c r="L1866" s="1254"/>
      <c r="M1866" s="1244"/>
      <c r="N1866" s="1273"/>
      <c r="O1866" s="1244"/>
      <c r="P1866" s="1244"/>
      <c r="Q1866" s="1244"/>
      <c r="R1866" s="1244"/>
      <c r="S1866" s="1265"/>
      <c r="T1866" s="1244"/>
      <c r="U1866" s="1244"/>
    </row>
    <row r="1867">
      <c r="A1867" s="1235"/>
      <c r="B1867" s="1235"/>
      <c r="C1867" s="1246"/>
      <c r="D1867" s="1274"/>
      <c r="E1867" s="1248"/>
      <c r="F1867" s="1248"/>
      <c r="G1867" s="1271"/>
      <c r="H1867" s="1250"/>
      <c r="I1867" s="1251"/>
      <c r="J1867" s="1271"/>
      <c r="K1867" s="1271"/>
      <c r="L1867" s="1254"/>
      <c r="M1867" s="1244"/>
      <c r="N1867" s="1273"/>
      <c r="O1867" s="1244"/>
      <c r="P1867" s="1244"/>
      <c r="Q1867" s="1244"/>
      <c r="R1867" s="1244"/>
      <c r="S1867" s="1265"/>
      <c r="T1867" s="1244"/>
      <c r="U1867" s="1244"/>
    </row>
    <row r="1868">
      <c r="A1868" s="1235"/>
      <c r="B1868" s="1235"/>
      <c r="C1868" s="1246"/>
      <c r="D1868" s="1274"/>
      <c r="E1868" s="1248"/>
      <c r="F1868" s="1248"/>
      <c r="G1868" s="1271"/>
      <c r="H1868" s="1250"/>
      <c r="I1868" s="1251"/>
      <c r="J1868" s="1271"/>
      <c r="K1868" s="1271"/>
      <c r="L1868" s="1254"/>
      <c r="M1868" s="1244"/>
      <c r="N1868" s="1273"/>
      <c r="O1868" s="1244"/>
      <c r="P1868" s="1244"/>
      <c r="Q1868" s="1244"/>
      <c r="R1868" s="1244"/>
      <c r="S1868" s="1265"/>
      <c r="T1868" s="1244"/>
      <c r="U1868" s="1244"/>
    </row>
    <row r="1869">
      <c r="A1869" s="1235"/>
      <c r="B1869" s="1235"/>
      <c r="C1869" s="1246"/>
      <c r="D1869" s="1274"/>
      <c r="E1869" s="1248"/>
      <c r="F1869" s="1248"/>
      <c r="G1869" s="1271"/>
      <c r="H1869" s="1250"/>
      <c r="I1869" s="1251"/>
      <c r="J1869" s="1271"/>
      <c r="K1869" s="1271"/>
      <c r="L1869" s="1254"/>
      <c r="M1869" s="1244"/>
      <c r="N1869" s="1273"/>
      <c r="O1869" s="1244"/>
      <c r="P1869" s="1244"/>
      <c r="Q1869" s="1244"/>
      <c r="R1869" s="1244"/>
      <c r="S1869" s="1265"/>
      <c r="T1869" s="1244"/>
      <c r="U1869" s="1244"/>
    </row>
    <row r="1870">
      <c r="A1870" s="1235"/>
      <c r="B1870" s="1235"/>
      <c r="C1870" s="1246"/>
      <c r="D1870" s="1274"/>
      <c r="E1870" s="1248"/>
      <c r="F1870" s="1248"/>
      <c r="G1870" s="1271"/>
      <c r="H1870" s="1250"/>
      <c r="I1870" s="1251"/>
      <c r="J1870" s="1271"/>
      <c r="K1870" s="1271"/>
      <c r="L1870" s="1254"/>
      <c r="M1870" s="1244"/>
      <c r="N1870" s="1273"/>
      <c r="O1870" s="1244"/>
      <c r="P1870" s="1244"/>
      <c r="Q1870" s="1244"/>
      <c r="R1870" s="1244"/>
      <c r="S1870" s="1265"/>
      <c r="T1870" s="1244"/>
      <c r="U1870" s="1244"/>
    </row>
    <row r="1871">
      <c r="A1871" s="1235"/>
      <c r="B1871" s="1235"/>
      <c r="C1871" s="1246"/>
      <c r="D1871" s="1274"/>
      <c r="E1871" s="1248"/>
      <c r="F1871" s="1248"/>
      <c r="G1871" s="1271"/>
      <c r="H1871" s="1250"/>
      <c r="I1871" s="1251"/>
      <c r="J1871" s="1271"/>
      <c r="K1871" s="1271"/>
      <c r="L1871" s="1254"/>
      <c r="M1871" s="1244"/>
      <c r="N1871" s="1273"/>
      <c r="O1871" s="1244"/>
      <c r="P1871" s="1244"/>
      <c r="Q1871" s="1244"/>
      <c r="R1871" s="1244"/>
      <c r="S1871" s="1265"/>
      <c r="T1871" s="1244"/>
      <c r="U1871" s="1244"/>
    </row>
    <row r="1872">
      <c r="A1872" s="1235"/>
      <c r="B1872" s="1235"/>
      <c r="C1872" s="1246"/>
      <c r="D1872" s="1274"/>
      <c r="E1872" s="1248"/>
      <c r="F1872" s="1248"/>
      <c r="G1872" s="1271"/>
      <c r="H1872" s="1250"/>
      <c r="I1872" s="1251"/>
      <c r="J1872" s="1271"/>
      <c r="K1872" s="1271"/>
      <c r="L1872" s="1254"/>
      <c r="M1872" s="1244"/>
      <c r="N1872" s="1273"/>
      <c r="O1872" s="1244"/>
      <c r="P1872" s="1244"/>
      <c r="Q1872" s="1244"/>
      <c r="R1872" s="1244"/>
      <c r="S1872" s="1265"/>
      <c r="T1872" s="1244"/>
      <c r="U1872" s="1244"/>
    </row>
    <row r="1873">
      <c r="A1873" s="1235"/>
      <c r="B1873" s="1235"/>
      <c r="C1873" s="1246"/>
      <c r="D1873" s="1274"/>
      <c r="E1873" s="1248"/>
      <c r="F1873" s="1248"/>
      <c r="G1873" s="1271"/>
      <c r="H1873" s="1250"/>
      <c r="I1873" s="1251"/>
      <c r="J1873" s="1271"/>
      <c r="K1873" s="1271"/>
      <c r="L1873" s="1254"/>
      <c r="M1873" s="1244"/>
      <c r="N1873" s="1273"/>
      <c r="O1873" s="1244"/>
      <c r="P1873" s="1244"/>
      <c r="Q1873" s="1244"/>
      <c r="R1873" s="1244"/>
      <c r="S1873" s="1265"/>
      <c r="T1873" s="1244"/>
      <c r="U1873" s="1244"/>
    </row>
    <row r="1874">
      <c r="A1874" s="1235"/>
      <c r="B1874" s="1235"/>
      <c r="C1874" s="1246"/>
      <c r="D1874" s="1274"/>
      <c r="E1874" s="1248"/>
      <c r="F1874" s="1248"/>
      <c r="G1874" s="1271"/>
      <c r="H1874" s="1250"/>
      <c r="I1874" s="1251"/>
      <c r="J1874" s="1271"/>
      <c r="K1874" s="1271"/>
      <c r="L1874" s="1254"/>
      <c r="M1874" s="1244"/>
      <c r="N1874" s="1273"/>
      <c r="O1874" s="1244"/>
      <c r="P1874" s="1244"/>
      <c r="Q1874" s="1244"/>
      <c r="R1874" s="1244"/>
      <c r="S1874" s="1265"/>
      <c r="T1874" s="1244"/>
      <c r="U1874" s="1244"/>
    </row>
    <row r="1875">
      <c r="A1875" s="1235"/>
      <c r="B1875" s="1235"/>
      <c r="C1875" s="1246"/>
      <c r="D1875" s="1274"/>
      <c r="E1875" s="1248"/>
      <c r="F1875" s="1248"/>
      <c r="G1875" s="1271"/>
      <c r="H1875" s="1250"/>
      <c r="I1875" s="1251"/>
      <c r="J1875" s="1271"/>
      <c r="K1875" s="1271"/>
      <c r="L1875" s="1254"/>
      <c r="M1875" s="1244"/>
      <c r="N1875" s="1273"/>
      <c r="O1875" s="1244"/>
      <c r="P1875" s="1244"/>
      <c r="Q1875" s="1244"/>
      <c r="R1875" s="1244"/>
      <c r="S1875" s="1265"/>
      <c r="T1875" s="1244"/>
      <c r="U1875" s="1244"/>
    </row>
    <row r="1876">
      <c r="A1876" s="1235"/>
      <c r="B1876" s="1235"/>
      <c r="C1876" s="1246"/>
      <c r="D1876" s="1274"/>
      <c r="E1876" s="1248"/>
      <c r="F1876" s="1248"/>
      <c r="G1876" s="1271"/>
      <c r="H1876" s="1250"/>
      <c r="I1876" s="1251"/>
      <c r="J1876" s="1271"/>
      <c r="K1876" s="1271"/>
      <c r="L1876" s="1254"/>
      <c r="M1876" s="1244"/>
      <c r="N1876" s="1273"/>
      <c r="O1876" s="1244"/>
      <c r="P1876" s="1244"/>
      <c r="Q1876" s="1244"/>
      <c r="R1876" s="1244"/>
      <c r="S1876" s="1265"/>
      <c r="T1876" s="1244"/>
      <c r="U1876" s="1244"/>
    </row>
    <row r="1877">
      <c r="A1877" s="1235"/>
      <c r="B1877" s="1235"/>
      <c r="C1877" s="1246"/>
      <c r="D1877" s="1274"/>
      <c r="E1877" s="1248"/>
      <c r="F1877" s="1248"/>
      <c r="G1877" s="1271"/>
      <c r="H1877" s="1250"/>
      <c r="I1877" s="1251"/>
      <c r="J1877" s="1271"/>
      <c r="K1877" s="1271"/>
      <c r="L1877" s="1254"/>
      <c r="M1877" s="1244"/>
      <c r="N1877" s="1273"/>
      <c r="O1877" s="1244"/>
      <c r="P1877" s="1244"/>
      <c r="Q1877" s="1244"/>
      <c r="R1877" s="1244"/>
      <c r="S1877" s="1265"/>
      <c r="T1877" s="1244"/>
      <c r="U1877" s="1244"/>
    </row>
    <row r="1878">
      <c r="A1878" s="1235"/>
      <c r="B1878" s="1235"/>
      <c r="C1878" s="1246"/>
      <c r="D1878" s="1274"/>
      <c r="E1878" s="1248"/>
      <c r="F1878" s="1248"/>
      <c r="G1878" s="1271"/>
      <c r="H1878" s="1250"/>
      <c r="I1878" s="1251"/>
      <c r="J1878" s="1271"/>
      <c r="K1878" s="1271"/>
      <c r="L1878" s="1254"/>
      <c r="M1878" s="1244"/>
      <c r="N1878" s="1273"/>
      <c r="O1878" s="1244"/>
      <c r="P1878" s="1244"/>
      <c r="Q1878" s="1244"/>
      <c r="R1878" s="1244"/>
      <c r="S1878" s="1265"/>
      <c r="T1878" s="1244"/>
      <c r="U1878" s="1244"/>
    </row>
    <row r="1879">
      <c r="A1879" s="1235"/>
      <c r="B1879" s="1235"/>
      <c r="C1879" s="1246"/>
      <c r="D1879" s="1274"/>
      <c r="E1879" s="1248"/>
      <c r="F1879" s="1248"/>
      <c r="G1879" s="1271"/>
      <c r="H1879" s="1250"/>
      <c r="I1879" s="1251"/>
      <c r="J1879" s="1271"/>
      <c r="K1879" s="1271"/>
      <c r="L1879" s="1254"/>
      <c r="M1879" s="1244"/>
      <c r="N1879" s="1273"/>
      <c r="O1879" s="1244"/>
      <c r="P1879" s="1244"/>
      <c r="Q1879" s="1244"/>
      <c r="R1879" s="1244"/>
      <c r="S1879" s="1265"/>
      <c r="T1879" s="1244"/>
      <c r="U1879" s="1244"/>
    </row>
    <row r="1880">
      <c r="A1880" s="1235"/>
      <c r="B1880" s="1235"/>
      <c r="C1880" s="1246"/>
      <c r="D1880" s="1274"/>
      <c r="E1880" s="1248"/>
      <c r="F1880" s="1248"/>
      <c r="G1880" s="1271"/>
      <c r="H1880" s="1250"/>
      <c r="I1880" s="1251"/>
      <c r="J1880" s="1271"/>
      <c r="K1880" s="1271"/>
      <c r="L1880" s="1254"/>
      <c r="M1880" s="1244"/>
      <c r="N1880" s="1273"/>
      <c r="O1880" s="1244"/>
      <c r="P1880" s="1244"/>
      <c r="Q1880" s="1244"/>
      <c r="R1880" s="1244"/>
      <c r="S1880" s="1265"/>
      <c r="T1880" s="1244"/>
      <c r="U1880" s="1244"/>
    </row>
    <row r="1881">
      <c r="A1881" s="1235"/>
      <c r="B1881" s="1235"/>
      <c r="C1881" s="1246"/>
      <c r="D1881" s="1274"/>
      <c r="E1881" s="1248"/>
      <c r="F1881" s="1248"/>
      <c r="G1881" s="1271"/>
      <c r="H1881" s="1250"/>
      <c r="I1881" s="1251"/>
      <c r="J1881" s="1271"/>
      <c r="K1881" s="1271"/>
      <c r="L1881" s="1254"/>
      <c r="M1881" s="1244"/>
      <c r="N1881" s="1273"/>
      <c r="O1881" s="1244"/>
      <c r="P1881" s="1244"/>
      <c r="Q1881" s="1244"/>
      <c r="R1881" s="1244"/>
      <c r="S1881" s="1265"/>
      <c r="T1881" s="1244"/>
      <c r="U1881" s="1244"/>
    </row>
    <row r="1882">
      <c r="A1882" s="1235"/>
      <c r="B1882" s="1235"/>
      <c r="C1882" s="1246"/>
      <c r="D1882" s="1274"/>
      <c r="E1882" s="1248"/>
      <c r="F1882" s="1248"/>
      <c r="G1882" s="1271"/>
      <c r="H1882" s="1250"/>
      <c r="I1882" s="1251"/>
      <c r="J1882" s="1271"/>
      <c r="K1882" s="1271"/>
      <c r="L1882" s="1254"/>
      <c r="M1882" s="1244"/>
      <c r="N1882" s="1273"/>
      <c r="O1882" s="1244"/>
      <c r="P1882" s="1244"/>
      <c r="Q1882" s="1244"/>
      <c r="R1882" s="1244"/>
      <c r="S1882" s="1265"/>
      <c r="T1882" s="1244"/>
      <c r="U1882" s="1244"/>
    </row>
    <row r="1883">
      <c r="A1883" s="1235"/>
      <c r="B1883" s="1235"/>
      <c r="C1883" s="1246"/>
      <c r="D1883" s="1274"/>
      <c r="E1883" s="1248"/>
      <c r="F1883" s="1248"/>
      <c r="G1883" s="1271"/>
      <c r="H1883" s="1250"/>
      <c r="I1883" s="1251"/>
      <c r="J1883" s="1271"/>
      <c r="K1883" s="1271"/>
      <c r="L1883" s="1254"/>
      <c r="M1883" s="1244"/>
      <c r="N1883" s="1273"/>
      <c r="O1883" s="1244"/>
      <c r="P1883" s="1244"/>
      <c r="Q1883" s="1244"/>
      <c r="R1883" s="1244"/>
      <c r="S1883" s="1265"/>
      <c r="T1883" s="1244"/>
      <c r="U1883" s="1244"/>
    </row>
    <row r="1884">
      <c r="A1884" s="1235"/>
      <c r="B1884" s="1235"/>
      <c r="C1884" s="1246"/>
      <c r="D1884" s="1274"/>
      <c r="E1884" s="1248"/>
      <c r="F1884" s="1248"/>
      <c r="G1884" s="1271"/>
      <c r="H1884" s="1250"/>
      <c r="I1884" s="1251"/>
      <c r="J1884" s="1271"/>
      <c r="K1884" s="1271"/>
      <c r="L1884" s="1254"/>
      <c r="M1884" s="1244"/>
      <c r="N1884" s="1273"/>
      <c r="O1884" s="1244"/>
      <c r="P1884" s="1244"/>
      <c r="Q1884" s="1244"/>
      <c r="R1884" s="1244"/>
      <c r="S1884" s="1265"/>
      <c r="T1884" s="1244"/>
      <c r="U1884" s="1244"/>
    </row>
    <row r="1885">
      <c r="A1885" s="1235"/>
      <c r="B1885" s="1235"/>
      <c r="C1885" s="1246"/>
      <c r="D1885" s="1274"/>
      <c r="E1885" s="1248"/>
      <c r="F1885" s="1248"/>
      <c r="G1885" s="1271"/>
      <c r="H1885" s="1250"/>
      <c r="I1885" s="1251"/>
      <c r="J1885" s="1271"/>
      <c r="K1885" s="1271"/>
      <c r="L1885" s="1254"/>
      <c r="M1885" s="1244"/>
      <c r="N1885" s="1273"/>
      <c r="O1885" s="1244"/>
      <c r="P1885" s="1244"/>
      <c r="Q1885" s="1244"/>
      <c r="R1885" s="1244"/>
      <c r="S1885" s="1265"/>
      <c r="T1885" s="1244"/>
      <c r="U1885" s="1244"/>
    </row>
    <row r="1886">
      <c r="A1886" s="1235"/>
      <c r="B1886" s="1235"/>
      <c r="C1886" s="1246"/>
      <c r="D1886" s="1274"/>
      <c r="E1886" s="1248"/>
      <c r="F1886" s="1248"/>
      <c r="G1886" s="1271"/>
      <c r="H1886" s="1250"/>
      <c r="I1886" s="1251"/>
      <c r="J1886" s="1271"/>
      <c r="K1886" s="1271"/>
      <c r="L1886" s="1254"/>
      <c r="M1886" s="1244"/>
      <c r="N1886" s="1273"/>
      <c r="O1886" s="1244"/>
      <c r="P1886" s="1244"/>
      <c r="Q1886" s="1244"/>
      <c r="R1886" s="1244"/>
      <c r="S1886" s="1265"/>
      <c r="T1886" s="1244"/>
      <c r="U1886" s="1244"/>
    </row>
    <row r="1887">
      <c r="A1887" s="1235"/>
      <c r="B1887" s="1235"/>
      <c r="C1887" s="1246"/>
      <c r="D1887" s="1274"/>
      <c r="E1887" s="1248"/>
      <c r="F1887" s="1248"/>
      <c r="G1887" s="1271"/>
      <c r="H1887" s="1250"/>
      <c r="I1887" s="1251"/>
      <c r="J1887" s="1271"/>
      <c r="K1887" s="1271"/>
      <c r="L1887" s="1254"/>
      <c r="M1887" s="1244"/>
      <c r="N1887" s="1273"/>
      <c r="O1887" s="1244"/>
      <c r="P1887" s="1244"/>
      <c r="Q1887" s="1244"/>
      <c r="R1887" s="1244"/>
      <c r="S1887" s="1265"/>
      <c r="T1887" s="1244"/>
      <c r="U1887" s="1244"/>
    </row>
    <row r="1888">
      <c r="A1888" s="1235"/>
      <c r="B1888" s="1235"/>
      <c r="C1888" s="1246"/>
      <c r="D1888" s="1274"/>
      <c r="E1888" s="1248"/>
      <c r="F1888" s="1248"/>
      <c r="G1888" s="1271"/>
      <c r="H1888" s="1250"/>
      <c r="I1888" s="1251"/>
      <c r="J1888" s="1271"/>
      <c r="K1888" s="1271"/>
      <c r="L1888" s="1254"/>
      <c r="M1888" s="1244"/>
      <c r="N1888" s="1273"/>
      <c r="O1888" s="1244"/>
      <c r="P1888" s="1244"/>
      <c r="Q1888" s="1244"/>
      <c r="R1888" s="1244"/>
      <c r="S1888" s="1265"/>
      <c r="T1888" s="1244"/>
      <c r="U1888" s="1244"/>
    </row>
    <row r="1889">
      <c r="A1889" s="1235"/>
      <c r="B1889" s="1235"/>
      <c r="C1889" s="1246"/>
      <c r="D1889" s="1274"/>
      <c r="E1889" s="1248"/>
      <c r="F1889" s="1248"/>
      <c r="G1889" s="1271"/>
      <c r="H1889" s="1250"/>
      <c r="I1889" s="1251"/>
      <c r="J1889" s="1271"/>
      <c r="K1889" s="1271"/>
      <c r="L1889" s="1254"/>
      <c r="M1889" s="1244"/>
      <c r="N1889" s="1273"/>
      <c r="O1889" s="1244"/>
      <c r="P1889" s="1244"/>
      <c r="Q1889" s="1244"/>
      <c r="R1889" s="1244"/>
      <c r="S1889" s="1265"/>
      <c r="T1889" s="1244"/>
      <c r="U1889" s="1244"/>
    </row>
    <row r="1890">
      <c r="A1890" s="1235"/>
      <c r="B1890" s="1235"/>
      <c r="C1890" s="1246"/>
      <c r="D1890" s="1274"/>
      <c r="E1890" s="1248"/>
      <c r="F1890" s="1248"/>
      <c r="G1890" s="1271"/>
      <c r="H1890" s="1250"/>
      <c r="I1890" s="1251"/>
      <c r="J1890" s="1271"/>
      <c r="K1890" s="1271"/>
      <c r="L1890" s="1254"/>
      <c r="M1890" s="1244"/>
      <c r="N1890" s="1273"/>
      <c r="O1890" s="1244"/>
      <c r="P1890" s="1244"/>
      <c r="Q1890" s="1244"/>
      <c r="R1890" s="1244"/>
      <c r="S1890" s="1265"/>
      <c r="T1890" s="1244"/>
      <c r="U1890" s="1244"/>
    </row>
    <row r="1891">
      <c r="A1891" s="1235"/>
      <c r="B1891" s="1235"/>
      <c r="C1891" s="1246"/>
      <c r="D1891" s="1274"/>
      <c r="E1891" s="1248"/>
      <c r="F1891" s="1248"/>
      <c r="G1891" s="1271"/>
      <c r="H1891" s="1250"/>
      <c r="I1891" s="1251"/>
      <c r="J1891" s="1271"/>
      <c r="K1891" s="1271"/>
      <c r="L1891" s="1254"/>
      <c r="M1891" s="1244"/>
      <c r="N1891" s="1273"/>
      <c r="O1891" s="1244"/>
      <c r="P1891" s="1244"/>
      <c r="Q1891" s="1244"/>
      <c r="R1891" s="1244"/>
      <c r="S1891" s="1265"/>
      <c r="T1891" s="1244"/>
      <c r="U1891" s="1244"/>
    </row>
    <row r="1892">
      <c r="A1892" s="1235"/>
      <c r="B1892" s="1235"/>
      <c r="C1892" s="1246"/>
      <c r="D1892" s="1274"/>
      <c r="E1892" s="1248"/>
      <c r="F1892" s="1248"/>
      <c r="G1892" s="1271"/>
      <c r="H1892" s="1250"/>
      <c r="I1892" s="1251"/>
      <c r="J1892" s="1271"/>
      <c r="K1892" s="1271"/>
      <c r="L1892" s="1254"/>
      <c r="M1892" s="1244"/>
      <c r="N1892" s="1273"/>
      <c r="O1892" s="1244"/>
      <c r="P1892" s="1244"/>
      <c r="Q1892" s="1244"/>
      <c r="R1892" s="1244"/>
      <c r="S1892" s="1265"/>
      <c r="T1892" s="1244"/>
      <c r="U1892" s="1244"/>
    </row>
    <row r="1893">
      <c r="A1893" s="1235"/>
      <c r="B1893" s="1235"/>
      <c r="C1893" s="1246"/>
      <c r="D1893" s="1274"/>
      <c r="E1893" s="1248"/>
      <c r="F1893" s="1248"/>
      <c r="G1893" s="1271"/>
      <c r="H1893" s="1250"/>
      <c r="I1893" s="1251"/>
      <c r="J1893" s="1271"/>
      <c r="K1893" s="1271"/>
      <c r="L1893" s="1254"/>
      <c r="M1893" s="1244"/>
      <c r="N1893" s="1273"/>
      <c r="O1893" s="1244"/>
      <c r="P1893" s="1244"/>
      <c r="Q1893" s="1244"/>
      <c r="R1893" s="1244"/>
      <c r="S1893" s="1265"/>
      <c r="T1893" s="1244"/>
      <c r="U1893" s="1244"/>
    </row>
    <row r="1894">
      <c r="A1894" s="1235"/>
      <c r="B1894" s="1235"/>
      <c r="C1894" s="1246"/>
      <c r="D1894" s="1274"/>
      <c r="E1894" s="1248"/>
      <c r="F1894" s="1248"/>
      <c r="G1894" s="1271"/>
      <c r="H1894" s="1250"/>
      <c r="I1894" s="1251"/>
      <c r="J1894" s="1271"/>
      <c r="K1894" s="1271"/>
      <c r="L1894" s="1254"/>
      <c r="M1894" s="1244"/>
      <c r="N1894" s="1273"/>
      <c r="O1894" s="1244"/>
      <c r="P1894" s="1244"/>
      <c r="Q1894" s="1244"/>
      <c r="R1894" s="1244"/>
      <c r="S1894" s="1265"/>
      <c r="T1894" s="1244"/>
      <c r="U1894" s="1244"/>
    </row>
    <row r="1895">
      <c r="A1895" s="1235"/>
      <c r="B1895" s="1235"/>
      <c r="C1895" s="1246"/>
      <c r="D1895" s="1274"/>
      <c r="E1895" s="1248"/>
      <c r="F1895" s="1248"/>
      <c r="G1895" s="1271"/>
      <c r="H1895" s="1250"/>
      <c r="I1895" s="1251"/>
      <c r="J1895" s="1271"/>
      <c r="K1895" s="1271"/>
      <c r="L1895" s="1254"/>
      <c r="M1895" s="1244"/>
      <c r="N1895" s="1273"/>
      <c r="O1895" s="1244"/>
      <c r="P1895" s="1244"/>
      <c r="Q1895" s="1244"/>
      <c r="R1895" s="1244"/>
      <c r="S1895" s="1265"/>
      <c r="T1895" s="1244"/>
      <c r="U1895" s="1244"/>
    </row>
    <row r="1896">
      <c r="A1896" s="1235"/>
      <c r="B1896" s="1235"/>
      <c r="C1896" s="1246"/>
      <c r="D1896" s="1274"/>
      <c r="E1896" s="1248"/>
      <c r="F1896" s="1248"/>
      <c r="G1896" s="1271"/>
      <c r="H1896" s="1250"/>
      <c r="I1896" s="1251"/>
      <c r="J1896" s="1271"/>
      <c r="K1896" s="1271"/>
      <c r="L1896" s="1254"/>
      <c r="M1896" s="1244"/>
      <c r="N1896" s="1273"/>
      <c r="O1896" s="1244"/>
      <c r="P1896" s="1244"/>
      <c r="Q1896" s="1244"/>
      <c r="R1896" s="1244"/>
      <c r="S1896" s="1265"/>
      <c r="T1896" s="1244"/>
      <c r="U1896" s="1244"/>
    </row>
    <row r="1897">
      <c r="A1897" s="1235"/>
      <c r="B1897" s="1235"/>
      <c r="C1897" s="1246"/>
      <c r="D1897" s="1274"/>
      <c r="E1897" s="1248"/>
      <c r="F1897" s="1248"/>
      <c r="G1897" s="1271"/>
      <c r="H1897" s="1250"/>
      <c r="I1897" s="1251"/>
      <c r="J1897" s="1271"/>
      <c r="K1897" s="1271"/>
      <c r="L1897" s="1254"/>
      <c r="M1897" s="1244"/>
      <c r="N1897" s="1273"/>
      <c r="O1897" s="1244"/>
      <c r="P1897" s="1244"/>
      <c r="Q1897" s="1244"/>
      <c r="R1897" s="1244"/>
      <c r="S1897" s="1265"/>
      <c r="T1897" s="1244"/>
      <c r="U1897" s="1244"/>
    </row>
    <row r="1898">
      <c r="A1898" s="1235"/>
      <c r="B1898" s="1235"/>
      <c r="C1898" s="1246"/>
      <c r="D1898" s="1274"/>
      <c r="E1898" s="1248"/>
      <c r="F1898" s="1248"/>
      <c r="G1898" s="1271"/>
      <c r="H1898" s="1250"/>
      <c r="I1898" s="1251"/>
      <c r="J1898" s="1271"/>
      <c r="K1898" s="1271"/>
      <c r="L1898" s="1254"/>
      <c r="M1898" s="1244"/>
      <c r="N1898" s="1273"/>
      <c r="O1898" s="1244"/>
      <c r="P1898" s="1244"/>
      <c r="Q1898" s="1244"/>
      <c r="R1898" s="1244"/>
      <c r="S1898" s="1265"/>
      <c r="T1898" s="1244"/>
      <c r="U1898" s="1244"/>
    </row>
    <row r="1899">
      <c r="A1899" s="1235"/>
      <c r="B1899" s="1235"/>
      <c r="C1899" s="1246"/>
      <c r="D1899" s="1274"/>
      <c r="E1899" s="1248"/>
      <c r="F1899" s="1248"/>
      <c r="G1899" s="1271"/>
      <c r="H1899" s="1250"/>
      <c r="I1899" s="1251"/>
      <c r="J1899" s="1271"/>
      <c r="K1899" s="1271"/>
      <c r="L1899" s="1254"/>
      <c r="M1899" s="1244"/>
      <c r="N1899" s="1273"/>
      <c r="O1899" s="1244"/>
      <c r="P1899" s="1244"/>
      <c r="Q1899" s="1244"/>
      <c r="R1899" s="1244"/>
      <c r="S1899" s="1265"/>
      <c r="T1899" s="1244"/>
      <c r="U1899" s="1244"/>
    </row>
    <row r="1900">
      <c r="A1900" s="1235"/>
      <c r="B1900" s="1235"/>
      <c r="C1900" s="1246"/>
      <c r="D1900" s="1274"/>
      <c r="E1900" s="1248"/>
      <c r="F1900" s="1248"/>
      <c r="G1900" s="1271"/>
      <c r="H1900" s="1250"/>
      <c r="I1900" s="1251"/>
      <c r="J1900" s="1271"/>
      <c r="K1900" s="1271"/>
      <c r="L1900" s="1254"/>
      <c r="M1900" s="1244"/>
      <c r="N1900" s="1273"/>
      <c r="O1900" s="1244"/>
      <c r="P1900" s="1244"/>
      <c r="Q1900" s="1244"/>
      <c r="R1900" s="1244"/>
      <c r="S1900" s="1265"/>
      <c r="T1900" s="1244"/>
      <c r="U1900" s="1244"/>
    </row>
    <row r="1901">
      <c r="A1901" s="1235"/>
      <c r="B1901" s="1235"/>
      <c r="C1901" s="1246"/>
      <c r="D1901" s="1274"/>
      <c r="E1901" s="1248"/>
      <c r="F1901" s="1248"/>
      <c r="G1901" s="1271"/>
      <c r="H1901" s="1250"/>
      <c r="I1901" s="1251"/>
      <c r="J1901" s="1271"/>
      <c r="K1901" s="1271"/>
      <c r="L1901" s="1254"/>
      <c r="M1901" s="1244"/>
      <c r="N1901" s="1273"/>
      <c r="O1901" s="1244"/>
      <c r="P1901" s="1244"/>
      <c r="Q1901" s="1244"/>
      <c r="R1901" s="1244"/>
      <c r="S1901" s="1265"/>
      <c r="T1901" s="1244"/>
      <c r="U1901" s="1244"/>
    </row>
    <row r="1902">
      <c r="A1902" s="1235"/>
      <c r="B1902" s="1235"/>
      <c r="C1902" s="1246"/>
      <c r="D1902" s="1274"/>
      <c r="E1902" s="1248"/>
      <c r="F1902" s="1248"/>
      <c r="G1902" s="1271"/>
      <c r="H1902" s="1250"/>
      <c r="I1902" s="1251"/>
      <c r="J1902" s="1271"/>
      <c r="K1902" s="1271"/>
      <c r="L1902" s="1254"/>
      <c r="M1902" s="1244"/>
      <c r="N1902" s="1273"/>
      <c r="O1902" s="1244"/>
      <c r="P1902" s="1244"/>
      <c r="Q1902" s="1244"/>
      <c r="R1902" s="1244"/>
      <c r="S1902" s="1265"/>
      <c r="T1902" s="1244"/>
      <c r="U1902" s="1244"/>
    </row>
    <row r="1903">
      <c r="A1903" s="1235"/>
      <c r="B1903" s="1235"/>
      <c r="C1903" s="1246"/>
      <c r="D1903" s="1274"/>
      <c r="E1903" s="1248"/>
      <c r="F1903" s="1248"/>
      <c r="G1903" s="1271"/>
      <c r="H1903" s="1250"/>
      <c r="I1903" s="1251"/>
      <c r="J1903" s="1271"/>
      <c r="K1903" s="1271"/>
      <c r="L1903" s="1254"/>
      <c r="M1903" s="1244"/>
      <c r="N1903" s="1273"/>
      <c r="O1903" s="1244"/>
      <c r="P1903" s="1244"/>
      <c r="Q1903" s="1244"/>
      <c r="R1903" s="1244"/>
      <c r="S1903" s="1265"/>
      <c r="T1903" s="1244"/>
      <c r="U1903" s="1244"/>
    </row>
    <row r="1904">
      <c r="A1904" s="1235"/>
      <c r="B1904" s="1235"/>
      <c r="C1904" s="1246"/>
      <c r="D1904" s="1274"/>
      <c r="E1904" s="1248"/>
      <c r="F1904" s="1248"/>
      <c r="G1904" s="1271"/>
      <c r="H1904" s="1250"/>
      <c r="I1904" s="1251"/>
      <c r="J1904" s="1271"/>
      <c r="K1904" s="1271"/>
      <c r="L1904" s="1254"/>
      <c r="M1904" s="1244"/>
      <c r="N1904" s="1273"/>
      <c r="O1904" s="1244"/>
      <c r="P1904" s="1244"/>
      <c r="Q1904" s="1244"/>
      <c r="R1904" s="1244"/>
      <c r="S1904" s="1265"/>
      <c r="T1904" s="1244"/>
      <c r="U1904" s="1244"/>
    </row>
    <row r="1905">
      <c r="A1905" s="1235"/>
      <c r="B1905" s="1235"/>
      <c r="C1905" s="1246"/>
      <c r="D1905" s="1274"/>
      <c r="E1905" s="1248"/>
      <c r="F1905" s="1248"/>
      <c r="G1905" s="1271"/>
      <c r="H1905" s="1250"/>
      <c r="I1905" s="1251"/>
      <c r="J1905" s="1271"/>
      <c r="K1905" s="1271"/>
      <c r="L1905" s="1254"/>
      <c r="M1905" s="1244"/>
      <c r="N1905" s="1273"/>
      <c r="O1905" s="1244"/>
      <c r="P1905" s="1244"/>
      <c r="Q1905" s="1244"/>
      <c r="R1905" s="1244"/>
      <c r="S1905" s="1265"/>
      <c r="T1905" s="1244"/>
      <c r="U1905" s="1244"/>
    </row>
    <row r="1906">
      <c r="A1906" s="1235"/>
      <c r="B1906" s="1235"/>
      <c r="C1906" s="1246"/>
      <c r="D1906" s="1274"/>
      <c r="E1906" s="1248"/>
      <c r="F1906" s="1248"/>
      <c r="G1906" s="1271"/>
      <c r="H1906" s="1250"/>
      <c r="I1906" s="1251"/>
      <c r="J1906" s="1271"/>
      <c r="K1906" s="1271"/>
      <c r="L1906" s="1254"/>
      <c r="M1906" s="1244"/>
      <c r="N1906" s="1273"/>
      <c r="O1906" s="1244"/>
      <c r="P1906" s="1244"/>
      <c r="Q1906" s="1244"/>
      <c r="R1906" s="1244"/>
      <c r="S1906" s="1265"/>
      <c r="T1906" s="1244"/>
      <c r="U1906" s="1244"/>
    </row>
    <row r="1907">
      <c r="A1907" s="1235"/>
      <c r="B1907" s="1235"/>
      <c r="C1907" s="1246"/>
      <c r="D1907" s="1274"/>
      <c r="E1907" s="1248"/>
      <c r="F1907" s="1248"/>
      <c r="G1907" s="1271"/>
      <c r="H1907" s="1250"/>
      <c r="I1907" s="1251"/>
      <c r="J1907" s="1271"/>
      <c r="K1907" s="1271"/>
      <c r="L1907" s="1254"/>
      <c r="M1907" s="1244"/>
      <c r="N1907" s="1273"/>
      <c r="O1907" s="1244"/>
      <c r="P1907" s="1244"/>
      <c r="Q1907" s="1244"/>
      <c r="R1907" s="1244"/>
      <c r="S1907" s="1265"/>
      <c r="T1907" s="1244"/>
      <c r="U1907" s="1244"/>
    </row>
    <row r="1908">
      <c r="A1908" s="1235"/>
      <c r="B1908" s="1235"/>
      <c r="C1908" s="1246"/>
      <c r="D1908" s="1274"/>
      <c r="E1908" s="1248"/>
      <c r="F1908" s="1248"/>
      <c r="G1908" s="1271"/>
      <c r="H1908" s="1250"/>
      <c r="I1908" s="1251"/>
      <c r="J1908" s="1271"/>
      <c r="K1908" s="1271"/>
      <c r="L1908" s="1254"/>
      <c r="M1908" s="1244"/>
      <c r="N1908" s="1273"/>
      <c r="O1908" s="1244"/>
      <c r="P1908" s="1244"/>
      <c r="Q1908" s="1244"/>
      <c r="R1908" s="1244"/>
      <c r="S1908" s="1265"/>
      <c r="T1908" s="1244"/>
      <c r="U1908" s="1244"/>
    </row>
    <row r="1909">
      <c r="A1909" s="1235"/>
      <c r="B1909" s="1235"/>
      <c r="C1909" s="1246"/>
      <c r="D1909" s="1274"/>
      <c r="E1909" s="1248"/>
      <c r="F1909" s="1248"/>
      <c r="G1909" s="1271"/>
      <c r="H1909" s="1250"/>
      <c r="I1909" s="1251"/>
      <c r="J1909" s="1271"/>
      <c r="K1909" s="1271"/>
      <c r="L1909" s="1254"/>
      <c r="M1909" s="1244"/>
      <c r="N1909" s="1273"/>
      <c r="O1909" s="1244"/>
      <c r="P1909" s="1244"/>
      <c r="Q1909" s="1244"/>
      <c r="R1909" s="1244"/>
      <c r="S1909" s="1265"/>
      <c r="T1909" s="1244"/>
      <c r="U1909" s="1244"/>
    </row>
    <row r="1910">
      <c r="A1910" s="1235"/>
      <c r="B1910" s="1235"/>
      <c r="C1910" s="1246"/>
      <c r="D1910" s="1274"/>
      <c r="E1910" s="1248"/>
      <c r="F1910" s="1248"/>
      <c r="G1910" s="1271"/>
      <c r="H1910" s="1250"/>
      <c r="I1910" s="1251"/>
      <c r="J1910" s="1271"/>
      <c r="K1910" s="1271"/>
      <c r="L1910" s="1254"/>
      <c r="M1910" s="1244"/>
      <c r="N1910" s="1273"/>
      <c r="O1910" s="1244"/>
      <c r="P1910" s="1244"/>
      <c r="Q1910" s="1244"/>
      <c r="R1910" s="1244"/>
      <c r="S1910" s="1265"/>
      <c r="T1910" s="1244"/>
      <c r="U1910" s="1244"/>
    </row>
    <row r="1911">
      <c r="A1911" s="1235"/>
      <c r="B1911" s="1235"/>
      <c r="C1911" s="1246"/>
      <c r="D1911" s="1274"/>
      <c r="E1911" s="1248"/>
      <c r="F1911" s="1248"/>
      <c r="G1911" s="1271"/>
      <c r="H1911" s="1250"/>
      <c r="I1911" s="1251"/>
      <c r="J1911" s="1271"/>
      <c r="K1911" s="1271"/>
      <c r="L1911" s="1254"/>
      <c r="M1911" s="1244"/>
      <c r="N1911" s="1273"/>
      <c r="O1911" s="1244"/>
      <c r="P1911" s="1244"/>
      <c r="Q1911" s="1244"/>
      <c r="R1911" s="1244"/>
      <c r="S1911" s="1265"/>
      <c r="T1911" s="1244"/>
      <c r="U1911" s="1244"/>
    </row>
    <row r="1912">
      <c r="A1912" s="1235"/>
      <c r="B1912" s="1235"/>
      <c r="C1912" s="1246"/>
      <c r="D1912" s="1274"/>
      <c r="E1912" s="1248"/>
      <c r="F1912" s="1248"/>
      <c r="G1912" s="1271"/>
      <c r="H1912" s="1250"/>
      <c r="I1912" s="1251"/>
      <c r="J1912" s="1271"/>
      <c r="K1912" s="1271"/>
      <c r="L1912" s="1254"/>
      <c r="M1912" s="1244"/>
      <c r="N1912" s="1273"/>
      <c r="O1912" s="1244"/>
      <c r="P1912" s="1244"/>
      <c r="Q1912" s="1244"/>
      <c r="R1912" s="1244"/>
      <c r="S1912" s="1265"/>
      <c r="T1912" s="1244"/>
      <c r="U1912" s="1244"/>
    </row>
    <row r="1913">
      <c r="A1913" s="1235"/>
      <c r="B1913" s="1235"/>
      <c r="C1913" s="1246"/>
      <c r="D1913" s="1274"/>
      <c r="E1913" s="1248"/>
      <c r="F1913" s="1248"/>
      <c r="G1913" s="1271"/>
      <c r="H1913" s="1250"/>
      <c r="I1913" s="1251"/>
      <c r="J1913" s="1271"/>
      <c r="K1913" s="1271"/>
      <c r="L1913" s="1254"/>
      <c r="M1913" s="1244"/>
      <c r="N1913" s="1273"/>
      <c r="O1913" s="1244"/>
      <c r="P1913" s="1244"/>
      <c r="Q1913" s="1244"/>
      <c r="R1913" s="1244"/>
      <c r="S1913" s="1265"/>
      <c r="T1913" s="1244"/>
      <c r="U1913" s="1244"/>
    </row>
    <row r="1914">
      <c r="A1914" s="1235"/>
      <c r="B1914" s="1235"/>
      <c r="C1914" s="1246"/>
      <c r="D1914" s="1274"/>
      <c r="E1914" s="1248"/>
      <c r="F1914" s="1248"/>
      <c r="G1914" s="1271"/>
      <c r="H1914" s="1250"/>
      <c r="I1914" s="1251"/>
      <c r="J1914" s="1271"/>
      <c r="K1914" s="1271"/>
      <c r="L1914" s="1254"/>
      <c r="M1914" s="1244"/>
      <c r="N1914" s="1273"/>
      <c r="O1914" s="1244"/>
      <c r="P1914" s="1244"/>
      <c r="Q1914" s="1244"/>
      <c r="R1914" s="1244"/>
      <c r="S1914" s="1265"/>
      <c r="T1914" s="1244"/>
      <c r="U1914" s="1244"/>
    </row>
    <row r="1915">
      <c r="A1915" s="1235"/>
      <c r="B1915" s="1235"/>
      <c r="C1915" s="1246"/>
      <c r="D1915" s="1274"/>
      <c r="E1915" s="1248"/>
      <c r="F1915" s="1248"/>
      <c r="G1915" s="1271"/>
      <c r="H1915" s="1250"/>
      <c r="I1915" s="1251"/>
      <c r="J1915" s="1271"/>
      <c r="K1915" s="1271"/>
      <c r="L1915" s="1254"/>
      <c r="M1915" s="1244"/>
      <c r="N1915" s="1273"/>
      <c r="O1915" s="1244"/>
      <c r="P1915" s="1244"/>
      <c r="Q1915" s="1244"/>
      <c r="R1915" s="1244"/>
      <c r="S1915" s="1265"/>
      <c r="T1915" s="1244"/>
      <c r="U1915" s="1244"/>
    </row>
    <row r="1916">
      <c r="A1916" s="1235"/>
      <c r="B1916" s="1235"/>
      <c r="C1916" s="1246"/>
      <c r="D1916" s="1274"/>
      <c r="E1916" s="1248"/>
      <c r="F1916" s="1248"/>
      <c r="G1916" s="1271"/>
      <c r="H1916" s="1250"/>
      <c r="I1916" s="1251"/>
      <c r="J1916" s="1271"/>
      <c r="K1916" s="1271"/>
      <c r="L1916" s="1254"/>
      <c r="M1916" s="1244"/>
      <c r="N1916" s="1273"/>
      <c r="O1916" s="1244"/>
      <c r="P1916" s="1244"/>
      <c r="Q1916" s="1244"/>
      <c r="R1916" s="1244"/>
      <c r="S1916" s="1265"/>
      <c r="T1916" s="1244"/>
      <c r="U1916" s="1244"/>
    </row>
    <row r="1917">
      <c r="A1917" s="1235"/>
      <c r="B1917" s="1235"/>
      <c r="C1917" s="1246"/>
      <c r="D1917" s="1274"/>
      <c r="E1917" s="1248"/>
      <c r="F1917" s="1248"/>
      <c r="G1917" s="1271"/>
      <c r="H1917" s="1250"/>
      <c r="I1917" s="1251"/>
      <c r="J1917" s="1271"/>
      <c r="K1917" s="1271"/>
      <c r="L1917" s="1254"/>
      <c r="M1917" s="1244"/>
      <c r="N1917" s="1273"/>
      <c r="O1917" s="1244"/>
      <c r="P1917" s="1244"/>
      <c r="Q1917" s="1244"/>
      <c r="R1917" s="1244"/>
      <c r="S1917" s="1265"/>
      <c r="T1917" s="1244"/>
      <c r="U1917" s="1244"/>
    </row>
    <row r="1918">
      <c r="A1918" s="1235"/>
      <c r="B1918" s="1235"/>
      <c r="C1918" s="1246"/>
      <c r="D1918" s="1274"/>
      <c r="E1918" s="1248"/>
      <c r="F1918" s="1248"/>
      <c r="G1918" s="1271"/>
      <c r="H1918" s="1250"/>
      <c r="I1918" s="1251"/>
      <c r="J1918" s="1271"/>
      <c r="K1918" s="1271"/>
      <c r="L1918" s="1254"/>
      <c r="M1918" s="1244"/>
      <c r="N1918" s="1273"/>
      <c r="O1918" s="1244"/>
      <c r="P1918" s="1244"/>
      <c r="Q1918" s="1244"/>
      <c r="R1918" s="1244"/>
      <c r="S1918" s="1265"/>
      <c r="T1918" s="1244"/>
      <c r="U1918" s="1244"/>
    </row>
    <row r="1919">
      <c r="A1919" s="1235"/>
      <c r="B1919" s="1235"/>
      <c r="C1919" s="1246"/>
      <c r="D1919" s="1274"/>
      <c r="E1919" s="1248"/>
      <c r="F1919" s="1248"/>
      <c r="G1919" s="1271"/>
      <c r="H1919" s="1250"/>
      <c r="I1919" s="1251"/>
      <c r="J1919" s="1271"/>
      <c r="K1919" s="1271"/>
      <c r="L1919" s="1254"/>
      <c r="M1919" s="1244"/>
      <c r="N1919" s="1273"/>
      <c r="O1919" s="1244"/>
      <c r="P1919" s="1244"/>
      <c r="Q1919" s="1244"/>
      <c r="R1919" s="1244"/>
      <c r="S1919" s="1265"/>
      <c r="T1919" s="1244"/>
      <c r="U1919" s="1244"/>
    </row>
    <row r="1920">
      <c r="A1920" s="1235"/>
      <c r="B1920" s="1235"/>
      <c r="C1920" s="1246"/>
      <c r="D1920" s="1274"/>
      <c r="E1920" s="1248"/>
      <c r="F1920" s="1248"/>
      <c r="G1920" s="1271"/>
      <c r="H1920" s="1250"/>
      <c r="I1920" s="1251"/>
      <c r="J1920" s="1271"/>
      <c r="K1920" s="1271"/>
      <c r="L1920" s="1254"/>
      <c r="M1920" s="1244"/>
      <c r="N1920" s="1273"/>
      <c r="O1920" s="1244"/>
      <c r="P1920" s="1244"/>
      <c r="Q1920" s="1244"/>
      <c r="R1920" s="1244"/>
      <c r="S1920" s="1265"/>
      <c r="T1920" s="1244"/>
      <c r="U1920" s="1244"/>
    </row>
    <row r="1921">
      <c r="A1921" s="1235"/>
      <c r="B1921" s="1235"/>
      <c r="C1921" s="1246"/>
      <c r="D1921" s="1274"/>
      <c r="E1921" s="1248"/>
      <c r="F1921" s="1248"/>
      <c r="G1921" s="1271"/>
      <c r="H1921" s="1250"/>
      <c r="I1921" s="1251"/>
      <c r="J1921" s="1271"/>
      <c r="K1921" s="1271"/>
      <c r="L1921" s="1254"/>
      <c r="M1921" s="1244"/>
      <c r="N1921" s="1273"/>
      <c r="O1921" s="1244"/>
      <c r="P1921" s="1244"/>
      <c r="Q1921" s="1244"/>
      <c r="R1921" s="1244"/>
      <c r="S1921" s="1265"/>
      <c r="T1921" s="1244"/>
      <c r="U1921" s="1244"/>
    </row>
    <row r="1922">
      <c r="A1922" s="1235"/>
      <c r="B1922" s="1235"/>
      <c r="C1922" s="1246"/>
      <c r="D1922" s="1274"/>
      <c r="E1922" s="1248"/>
      <c r="F1922" s="1248"/>
      <c r="G1922" s="1271"/>
      <c r="H1922" s="1250"/>
      <c r="I1922" s="1251"/>
      <c r="J1922" s="1271"/>
      <c r="K1922" s="1271"/>
      <c r="L1922" s="1254"/>
      <c r="M1922" s="1244"/>
      <c r="N1922" s="1273"/>
      <c r="O1922" s="1244"/>
      <c r="P1922" s="1244"/>
      <c r="Q1922" s="1244"/>
      <c r="R1922" s="1244"/>
      <c r="S1922" s="1265"/>
      <c r="T1922" s="1244"/>
      <c r="U1922" s="1244"/>
    </row>
    <row r="1923">
      <c r="A1923" s="1235"/>
      <c r="B1923" s="1235"/>
      <c r="C1923" s="1246"/>
      <c r="D1923" s="1274"/>
      <c r="E1923" s="1248"/>
      <c r="F1923" s="1248"/>
      <c r="G1923" s="1271"/>
      <c r="H1923" s="1250"/>
      <c r="I1923" s="1251"/>
      <c r="J1923" s="1271"/>
      <c r="K1923" s="1271"/>
      <c r="L1923" s="1254"/>
      <c r="M1923" s="1244"/>
      <c r="N1923" s="1273"/>
      <c r="O1923" s="1244"/>
      <c r="P1923" s="1244"/>
      <c r="Q1923" s="1244"/>
      <c r="R1923" s="1244"/>
      <c r="S1923" s="1265"/>
      <c r="T1923" s="1244"/>
      <c r="U1923" s="1244"/>
    </row>
    <row r="1924">
      <c r="A1924" s="1235"/>
      <c r="B1924" s="1235"/>
      <c r="C1924" s="1246"/>
      <c r="D1924" s="1274"/>
      <c r="E1924" s="1248"/>
      <c r="F1924" s="1248"/>
      <c r="G1924" s="1271"/>
      <c r="H1924" s="1250"/>
      <c r="I1924" s="1251"/>
      <c r="J1924" s="1271"/>
      <c r="K1924" s="1271"/>
      <c r="L1924" s="1254"/>
      <c r="M1924" s="1244"/>
      <c r="N1924" s="1273"/>
      <c r="O1924" s="1244"/>
      <c r="P1924" s="1244"/>
      <c r="Q1924" s="1244"/>
      <c r="R1924" s="1244"/>
      <c r="S1924" s="1265"/>
      <c r="T1924" s="1244"/>
      <c r="U1924" s="1244"/>
    </row>
    <row r="1925">
      <c r="A1925" s="1235"/>
      <c r="B1925" s="1235"/>
      <c r="C1925" s="1246"/>
      <c r="D1925" s="1274"/>
      <c r="E1925" s="1248"/>
      <c r="F1925" s="1248"/>
      <c r="G1925" s="1271"/>
      <c r="H1925" s="1250"/>
      <c r="I1925" s="1251"/>
      <c r="J1925" s="1271"/>
      <c r="K1925" s="1271"/>
      <c r="L1925" s="1254"/>
      <c r="M1925" s="1244"/>
      <c r="N1925" s="1273"/>
      <c r="O1925" s="1244"/>
      <c r="P1925" s="1244"/>
      <c r="Q1925" s="1244"/>
      <c r="R1925" s="1244"/>
      <c r="S1925" s="1265"/>
      <c r="T1925" s="1244"/>
      <c r="U1925" s="1244"/>
    </row>
    <row r="1926">
      <c r="A1926" s="1235"/>
      <c r="B1926" s="1235"/>
      <c r="C1926" s="1246"/>
      <c r="D1926" s="1274"/>
      <c r="E1926" s="1248"/>
      <c r="F1926" s="1248"/>
      <c r="G1926" s="1271"/>
      <c r="H1926" s="1250"/>
      <c r="I1926" s="1251"/>
      <c r="J1926" s="1271"/>
      <c r="K1926" s="1271"/>
      <c r="L1926" s="1254"/>
      <c r="M1926" s="1244"/>
      <c r="N1926" s="1273"/>
      <c r="O1926" s="1244"/>
      <c r="P1926" s="1244"/>
      <c r="Q1926" s="1244"/>
      <c r="R1926" s="1244"/>
      <c r="S1926" s="1265"/>
      <c r="T1926" s="1244"/>
      <c r="U1926" s="1244"/>
    </row>
    <row r="1927">
      <c r="A1927" s="1235"/>
      <c r="B1927" s="1235"/>
      <c r="C1927" s="1246"/>
      <c r="D1927" s="1274"/>
      <c r="E1927" s="1248"/>
      <c r="F1927" s="1248"/>
      <c r="G1927" s="1271"/>
      <c r="H1927" s="1250"/>
      <c r="I1927" s="1251"/>
      <c r="J1927" s="1271"/>
      <c r="K1927" s="1271"/>
      <c r="L1927" s="1254"/>
      <c r="M1927" s="1244"/>
      <c r="N1927" s="1273"/>
      <c r="O1927" s="1244"/>
      <c r="P1927" s="1244"/>
      <c r="Q1927" s="1244"/>
      <c r="R1927" s="1244"/>
      <c r="S1927" s="1265"/>
      <c r="T1927" s="1244"/>
      <c r="U1927" s="1244"/>
    </row>
    <row r="1928">
      <c r="A1928" s="1235"/>
      <c r="B1928" s="1235"/>
      <c r="C1928" s="1246"/>
      <c r="D1928" s="1274"/>
      <c r="E1928" s="1248"/>
      <c r="F1928" s="1248"/>
      <c r="G1928" s="1271"/>
      <c r="H1928" s="1250"/>
      <c r="I1928" s="1251"/>
      <c r="J1928" s="1271"/>
      <c r="K1928" s="1271"/>
      <c r="L1928" s="1254"/>
      <c r="M1928" s="1244"/>
      <c r="N1928" s="1273"/>
      <c r="O1928" s="1244"/>
      <c r="P1928" s="1244"/>
      <c r="Q1928" s="1244"/>
      <c r="R1928" s="1244"/>
      <c r="S1928" s="1265"/>
      <c r="T1928" s="1244"/>
      <c r="U1928" s="1244"/>
    </row>
    <row r="1929">
      <c r="A1929" s="1235"/>
      <c r="B1929" s="1235"/>
      <c r="C1929" s="1246"/>
      <c r="D1929" s="1274"/>
      <c r="E1929" s="1248"/>
      <c r="F1929" s="1248"/>
      <c r="G1929" s="1271"/>
      <c r="H1929" s="1250"/>
      <c r="I1929" s="1251"/>
      <c r="J1929" s="1271"/>
      <c r="K1929" s="1271"/>
      <c r="L1929" s="1254"/>
      <c r="M1929" s="1244"/>
      <c r="N1929" s="1273"/>
      <c r="O1929" s="1244"/>
      <c r="P1929" s="1244"/>
      <c r="Q1929" s="1244"/>
      <c r="R1929" s="1244"/>
      <c r="S1929" s="1265"/>
      <c r="T1929" s="1244"/>
      <c r="U1929" s="1244"/>
    </row>
    <row r="1930">
      <c r="A1930" s="1235"/>
      <c r="B1930" s="1235"/>
      <c r="C1930" s="1246"/>
      <c r="D1930" s="1274"/>
      <c r="E1930" s="1248"/>
      <c r="F1930" s="1248"/>
      <c r="G1930" s="1271"/>
      <c r="H1930" s="1250"/>
      <c r="I1930" s="1251"/>
      <c r="J1930" s="1271"/>
      <c r="K1930" s="1271"/>
      <c r="L1930" s="1254"/>
      <c r="M1930" s="1244"/>
      <c r="N1930" s="1273"/>
      <c r="O1930" s="1244"/>
      <c r="P1930" s="1244"/>
      <c r="Q1930" s="1244"/>
      <c r="R1930" s="1244"/>
      <c r="S1930" s="1265"/>
      <c r="T1930" s="1244"/>
      <c r="U1930" s="1244"/>
    </row>
    <row r="1931">
      <c r="A1931" s="1235"/>
      <c r="B1931" s="1235"/>
      <c r="C1931" s="1246"/>
      <c r="D1931" s="1274"/>
      <c r="E1931" s="1248"/>
      <c r="F1931" s="1248"/>
      <c r="G1931" s="1271"/>
      <c r="H1931" s="1250"/>
      <c r="I1931" s="1251"/>
      <c r="J1931" s="1271"/>
      <c r="K1931" s="1271"/>
      <c r="L1931" s="1254"/>
      <c r="M1931" s="1244"/>
      <c r="N1931" s="1273"/>
      <c r="O1931" s="1244"/>
      <c r="P1931" s="1244"/>
      <c r="Q1931" s="1244"/>
      <c r="R1931" s="1244"/>
      <c r="S1931" s="1265"/>
      <c r="T1931" s="1244"/>
      <c r="U1931" s="1244"/>
    </row>
    <row r="1932">
      <c r="A1932" s="1235"/>
      <c r="B1932" s="1235"/>
      <c r="C1932" s="1246"/>
      <c r="D1932" s="1274"/>
      <c r="E1932" s="1248"/>
      <c r="F1932" s="1248"/>
      <c r="G1932" s="1271"/>
      <c r="H1932" s="1250"/>
      <c r="I1932" s="1251"/>
      <c r="J1932" s="1271"/>
      <c r="K1932" s="1271"/>
      <c r="L1932" s="1254"/>
      <c r="M1932" s="1244"/>
      <c r="N1932" s="1273"/>
      <c r="O1932" s="1244"/>
      <c r="P1932" s="1244"/>
      <c r="Q1932" s="1244"/>
      <c r="R1932" s="1244"/>
      <c r="S1932" s="1265"/>
      <c r="T1932" s="1244"/>
      <c r="U1932" s="1244"/>
    </row>
    <row r="1933">
      <c r="A1933" s="1235"/>
      <c r="B1933" s="1235"/>
      <c r="C1933" s="1246"/>
      <c r="D1933" s="1274"/>
      <c r="E1933" s="1248"/>
      <c r="F1933" s="1248"/>
      <c r="G1933" s="1271"/>
      <c r="H1933" s="1250"/>
      <c r="I1933" s="1251"/>
      <c r="J1933" s="1271"/>
      <c r="K1933" s="1271"/>
      <c r="L1933" s="1254"/>
      <c r="M1933" s="1244"/>
      <c r="N1933" s="1273"/>
      <c r="O1933" s="1244"/>
      <c r="P1933" s="1244"/>
      <c r="Q1933" s="1244"/>
      <c r="R1933" s="1244"/>
      <c r="S1933" s="1265"/>
      <c r="T1933" s="1244"/>
      <c r="U1933" s="1244"/>
    </row>
    <row r="1934">
      <c r="A1934" s="1235"/>
      <c r="B1934" s="1235"/>
      <c r="C1934" s="1246"/>
      <c r="D1934" s="1274"/>
      <c r="E1934" s="1248"/>
      <c r="F1934" s="1248"/>
      <c r="G1934" s="1271"/>
      <c r="H1934" s="1250"/>
      <c r="I1934" s="1251"/>
      <c r="J1934" s="1271"/>
      <c r="K1934" s="1271"/>
      <c r="L1934" s="1254"/>
      <c r="M1934" s="1244"/>
      <c r="N1934" s="1273"/>
      <c r="O1934" s="1244"/>
      <c r="P1934" s="1244"/>
      <c r="Q1934" s="1244"/>
      <c r="R1934" s="1244"/>
      <c r="S1934" s="1265"/>
      <c r="T1934" s="1244"/>
      <c r="U1934" s="1244"/>
    </row>
    <row r="1935">
      <c r="A1935" s="1235"/>
      <c r="B1935" s="1235"/>
      <c r="C1935" s="1246"/>
      <c r="D1935" s="1274"/>
      <c r="E1935" s="1248"/>
      <c r="F1935" s="1248"/>
      <c r="G1935" s="1271"/>
      <c r="H1935" s="1250"/>
      <c r="I1935" s="1251"/>
      <c r="J1935" s="1271"/>
      <c r="K1935" s="1271"/>
      <c r="L1935" s="1254"/>
      <c r="M1935" s="1244"/>
      <c r="N1935" s="1273"/>
      <c r="O1935" s="1244"/>
      <c r="P1935" s="1244"/>
      <c r="Q1935" s="1244"/>
      <c r="R1935" s="1244"/>
      <c r="S1935" s="1265"/>
      <c r="T1935" s="1244"/>
      <c r="U1935" s="1244"/>
    </row>
    <row r="1936">
      <c r="A1936" s="1235"/>
      <c r="B1936" s="1235"/>
      <c r="C1936" s="1246"/>
      <c r="D1936" s="1274"/>
      <c r="E1936" s="1248"/>
      <c r="F1936" s="1248"/>
      <c r="G1936" s="1271"/>
      <c r="H1936" s="1250"/>
      <c r="I1936" s="1251"/>
      <c r="J1936" s="1271"/>
      <c r="K1936" s="1271"/>
      <c r="L1936" s="1254"/>
      <c r="M1936" s="1244"/>
      <c r="N1936" s="1273"/>
      <c r="O1936" s="1244"/>
      <c r="P1936" s="1244"/>
      <c r="Q1936" s="1244"/>
      <c r="R1936" s="1244"/>
      <c r="S1936" s="1265"/>
      <c r="T1936" s="1244"/>
      <c r="U1936" s="1244"/>
    </row>
    <row r="1937">
      <c r="A1937" s="1235"/>
      <c r="B1937" s="1235"/>
      <c r="C1937" s="1246"/>
      <c r="D1937" s="1274"/>
      <c r="E1937" s="1248"/>
      <c r="F1937" s="1248"/>
      <c r="G1937" s="1271"/>
      <c r="H1937" s="1250"/>
      <c r="I1937" s="1251"/>
      <c r="J1937" s="1271"/>
      <c r="K1937" s="1271"/>
      <c r="L1937" s="1254"/>
      <c r="M1937" s="1244"/>
      <c r="N1937" s="1273"/>
      <c r="O1937" s="1244"/>
      <c r="P1937" s="1244"/>
      <c r="Q1937" s="1244"/>
      <c r="R1937" s="1244"/>
      <c r="S1937" s="1265"/>
      <c r="T1937" s="1244"/>
      <c r="U1937" s="1244"/>
    </row>
    <row r="1938">
      <c r="A1938" s="1235"/>
      <c r="B1938" s="1235"/>
      <c r="C1938" s="1246"/>
      <c r="D1938" s="1274"/>
      <c r="E1938" s="1248"/>
      <c r="F1938" s="1248"/>
      <c r="G1938" s="1271"/>
      <c r="H1938" s="1250"/>
      <c r="I1938" s="1251"/>
      <c r="J1938" s="1271"/>
      <c r="K1938" s="1271"/>
      <c r="L1938" s="1254"/>
      <c r="M1938" s="1244"/>
      <c r="N1938" s="1273"/>
      <c r="O1938" s="1244"/>
      <c r="P1938" s="1244"/>
      <c r="Q1938" s="1244"/>
      <c r="R1938" s="1244"/>
      <c r="S1938" s="1265"/>
      <c r="T1938" s="1244"/>
      <c r="U1938" s="1244"/>
    </row>
    <row r="1939">
      <c r="A1939" s="1235"/>
      <c r="B1939" s="1235"/>
      <c r="C1939" s="1246"/>
      <c r="D1939" s="1274"/>
      <c r="E1939" s="1248"/>
      <c r="F1939" s="1248"/>
      <c r="G1939" s="1271"/>
      <c r="H1939" s="1250"/>
      <c r="I1939" s="1251"/>
      <c r="J1939" s="1271"/>
      <c r="K1939" s="1271"/>
      <c r="L1939" s="1254"/>
      <c r="M1939" s="1244"/>
      <c r="N1939" s="1273"/>
      <c r="O1939" s="1244"/>
      <c r="P1939" s="1244"/>
      <c r="Q1939" s="1244"/>
      <c r="R1939" s="1244"/>
      <c r="S1939" s="1265"/>
      <c r="T1939" s="1244"/>
      <c r="U1939" s="1244"/>
    </row>
    <row r="1940">
      <c r="A1940" s="1235"/>
      <c r="B1940" s="1235"/>
      <c r="C1940" s="1246"/>
      <c r="D1940" s="1274"/>
      <c r="E1940" s="1248"/>
      <c r="F1940" s="1248"/>
      <c r="G1940" s="1271"/>
      <c r="H1940" s="1250"/>
      <c r="I1940" s="1251"/>
      <c r="J1940" s="1271"/>
      <c r="K1940" s="1271"/>
      <c r="L1940" s="1254"/>
      <c r="M1940" s="1244"/>
      <c r="N1940" s="1273"/>
      <c r="O1940" s="1244"/>
      <c r="P1940" s="1244"/>
      <c r="Q1940" s="1244"/>
      <c r="R1940" s="1244"/>
      <c r="S1940" s="1265"/>
      <c r="T1940" s="1244"/>
      <c r="U1940" s="1244"/>
    </row>
    <row r="1941">
      <c r="A1941" s="1235"/>
      <c r="B1941" s="1235"/>
      <c r="C1941" s="1246"/>
      <c r="D1941" s="1274"/>
      <c r="E1941" s="1248"/>
      <c r="F1941" s="1248"/>
      <c r="G1941" s="1271"/>
      <c r="H1941" s="1250"/>
      <c r="I1941" s="1251"/>
      <c r="J1941" s="1271"/>
      <c r="K1941" s="1271"/>
      <c r="L1941" s="1254"/>
      <c r="M1941" s="1244"/>
      <c r="N1941" s="1273"/>
      <c r="O1941" s="1244"/>
      <c r="P1941" s="1244"/>
      <c r="Q1941" s="1244"/>
      <c r="R1941" s="1244"/>
      <c r="S1941" s="1265"/>
      <c r="T1941" s="1244"/>
      <c r="U1941" s="1244"/>
    </row>
    <row r="1942">
      <c r="A1942" s="1235"/>
      <c r="B1942" s="1235"/>
      <c r="C1942" s="1246"/>
      <c r="D1942" s="1274"/>
      <c r="E1942" s="1248"/>
      <c r="F1942" s="1248"/>
      <c r="G1942" s="1271"/>
      <c r="H1942" s="1250"/>
      <c r="I1942" s="1251"/>
      <c r="J1942" s="1271"/>
      <c r="K1942" s="1271"/>
      <c r="L1942" s="1254"/>
      <c r="M1942" s="1244"/>
      <c r="N1942" s="1273"/>
      <c r="O1942" s="1244"/>
      <c r="P1942" s="1244"/>
      <c r="Q1942" s="1244"/>
      <c r="R1942" s="1244"/>
      <c r="S1942" s="1265"/>
      <c r="T1942" s="1244"/>
      <c r="U1942" s="1244"/>
    </row>
    <row r="1943">
      <c r="A1943" s="1235"/>
      <c r="B1943" s="1235"/>
      <c r="C1943" s="1246"/>
      <c r="D1943" s="1274"/>
      <c r="E1943" s="1248"/>
      <c r="F1943" s="1248"/>
      <c r="G1943" s="1271"/>
      <c r="H1943" s="1250"/>
      <c r="I1943" s="1251"/>
      <c r="J1943" s="1271"/>
      <c r="K1943" s="1271"/>
      <c r="L1943" s="1254"/>
      <c r="M1943" s="1244"/>
      <c r="N1943" s="1273"/>
      <c r="O1943" s="1244"/>
      <c r="P1943" s="1244"/>
      <c r="Q1943" s="1244"/>
      <c r="R1943" s="1244"/>
      <c r="S1943" s="1265"/>
      <c r="T1943" s="1244"/>
      <c r="U1943" s="1244"/>
    </row>
    <row r="1944">
      <c r="A1944" s="1235"/>
      <c r="B1944" s="1235"/>
      <c r="C1944" s="1246"/>
      <c r="D1944" s="1274"/>
      <c r="E1944" s="1248"/>
      <c r="F1944" s="1248"/>
      <c r="G1944" s="1271"/>
      <c r="H1944" s="1250"/>
      <c r="I1944" s="1251"/>
      <c r="J1944" s="1271"/>
      <c r="K1944" s="1271"/>
      <c r="L1944" s="1254"/>
      <c r="M1944" s="1244"/>
      <c r="N1944" s="1273"/>
      <c r="O1944" s="1244"/>
      <c r="P1944" s="1244"/>
      <c r="Q1944" s="1244"/>
      <c r="R1944" s="1244"/>
      <c r="S1944" s="1265"/>
      <c r="T1944" s="1244"/>
      <c r="U1944" s="1244"/>
    </row>
    <row r="1945">
      <c r="A1945" s="1235"/>
      <c r="B1945" s="1235"/>
      <c r="C1945" s="1246"/>
      <c r="D1945" s="1274"/>
      <c r="E1945" s="1248"/>
      <c r="F1945" s="1248"/>
      <c r="G1945" s="1271"/>
      <c r="H1945" s="1250"/>
      <c r="I1945" s="1251"/>
      <c r="J1945" s="1271"/>
      <c r="K1945" s="1271"/>
      <c r="L1945" s="1254"/>
      <c r="M1945" s="1244"/>
      <c r="N1945" s="1273"/>
      <c r="O1945" s="1244"/>
      <c r="P1945" s="1244"/>
      <c r="Q1945" s="1244"/>
      <c r="R1945" s="1244"/>
      <c r="S1945" s="1265"/>
      <c r="T1945" s="1244"/>
      <c r="U1945" s="1244"/>
    </row>
    <row r="1946">
      <c r="A1946" s="1235"/>
      <c r="B1946" s="1235"/>
      <c r="C1946" s="1246"/>
      <c r="D1946" s="1274"/>
      <c r="E1946" s="1248"/>
      <c r="F1946" s="1248"/>
      <c r="G1946" s="1271"/>
      <c r="H1946" s="1250"/>
      <c r="I1946" s="1251"/>
      <c r="J1946" s="1271"/>
      <c r="K1946" s="1271"/>
      <c r="L1946" s="1254"/>
      <c r="M1946" s="1244"/>
      <c r="N1946" s="1273"/>
      <c r="O1946" s="1244"/>
      <c r="P1946" s="1244"/>
      <c r="Q1946" s="1244"/>
      <c r="R1946" s="1244"/>
      <c r="S1946" s="1265"/>
      <c r="T1946" s="1244"/>
      <c r="U1946" s="1244"/>
    </row>
    <row r="1947">
      <c r="A1947" s="1235"/>
      <c r="B1947" s="1235"/>
      <c r="C1947" s="1246"/>
      <c r="D1947" s="1274"/>
      <c r="E1947" s="1248"/>
      <c r="F1947" s="1248"/>
      <c r="G1947" s="1271"/>
      <c r="H1947" s="1250"/>
      <c r="I1947" s="1251"/>
      <c r="J1947" s="1271"/>
      <c r="K1947" s="1271"/>
      <c r="L1947" s="1254"/>
      <c r="M1947" s="1244"/>
      <c r="N1947" s="1273"/>
      <c r="O1947" s="1244"/>
      <c r="P1947" s="1244"/>
      <c r="Q1947" s="1244"/>
      <c r="R1947" s="1244"/>
      <c r="S1947" s="1265"/>
      <c r="T1947" s="1244"/>
      <c r="U1947" s="1244"/>
    </row>
    <row r="1948">
      <c r="A1948" s="1235"/>
      <c r="B1948" s="1235"/>
      <c r="C1948" s="1246"/>
      <c r="D1948" s="1274"/>
      <c r="E1948" s="1248"/>
      <c r="F1948" s="1248"/>
      <c r="G1948" s="1271"/>
      <c r="H1948" s="1250"/>
      <c r="I1948" s="1251"/>
      <c r="J1948" s="1271"/>
      <c r="K1948" s="1271"/>
      <c r="L1948" s="1254"/>
      <c r="M1948" s="1244"/>
      <c r="N1948" s="1273"/>
      <c r="O1948" s="1244"/>
      <c r="P1948" s="1244"/>
      <c r="Q1948" s="1244"/>
      <c r="R1948" s="1244"/>
      <c r="S1948" s="1265"/>
      <c r="T1948" s="1244"/>
      <c r="U1948" s="1244"/>
    </row>
    <row r="1949">
      <c r="A1949" s="1235"/>
      <c r="B1949" s="1235"/>
      <c r="C1949" s="1246"/>
      <c r="D1949" s="1274"/>
      <c r="E1949" s="1248"/>
      <c r="F1949" s="1248"/>
      <c r="G1949" s="1271"/>
      <c r="H1949" s="1250"/>
      <c r="I1949" s="1251"/>
      <c r="J1949" s="1271"/>
      <c r="K1949" s="1271"/>
      <c r="L1949" s="1254"/>
      <c r="M1949" s="1244"/>
      <c r="N1949" s="1273"/>
      <c r="O1949" s="1244"/>
      <c r="P1949" s="1244"/>
      <c r="Q1949" s="1244"/>
      <c r="R1949" s="1244"/>
      <c r="S1949" s="1265"/>
      <c r="T1949" s="1244"/>
      <c r="U1949" s="1244"/>
    </row>
    <row r="1950">
      <c r="A1950" s="1235"/>
      <c r="B1950" s="1235"/>
      <c r="C1950" s="1246"/>
      <c r="D1950" s="1274"/>
      <c r="E1950" s="1248"/>
      <c r="F1950" s="1248"/>
      <c r="G1950" s="1271"/>
      <c r="H1950" s="1250"/>
      <c r="I1950" s="1251"/>
      <c r="J1950" s="1271"/>
      <c r="K1950" s="1271"/>
      <c r="L1950" s="1254"/>
      <c r="M1950" s="1244"/>
      <c r="N1950" s="1273"/>
      <c r="O1950" s="1244"/>
      <c r="P1950" s="1244"/>
      <c r="Q1950" s="1244"/>
      <c r="R1950" s="1244"/>
      <c r="S1950" s="1265"/>
      <c r="T1950" s="1244"/>
      <c r="U1950" s="1244"/>
    </row>
    <row r="1951">
      <c r="A1951" s="1235"/>
      <c r="B1951" s="1235"/>
      <c r="C1951" s="1246"/>
      <c r="D1951" s="1274"/>
      <c r="E1951" s="1248"/>
      <c r="F1951" s="1248"/>
      <c r="G1951" s="1271"/>
      <c r="H1951" s="1250"/>
      <c r="I1951" s="1251"/>
      <c r="J1951" s="1271"/>
      <c r="K1951" s="1271"/>
      <c r="L1951" s="1254"/>
      <c r="M1951" s="1244"/>
      <c r="N1951" s="1273"/>
      <c r="O1951" s="1244"/>
      <c r="P1951" s="1244"/>
      <c r="Q1951" s="1244"/>
      <c r="R1951" s="1244"/>
      <c r="S1951" s="1265"/>
      <c r="T1951" s="1244"/>
      <c r="U1951" s="1244"/>
    </row>
    <row r="1952">
      <c r="A1952" s="1235"/>
      <c r="B1952" s="1235"/>
      <c r="C1952" s="1246"/>
      <c r="D1952" s="1274"/>
      <c r="E1952" s="1248"/>
      <c r="F1952" s="1248"/>
      <c r="G1952" s="1271"/>
      <c r="H1952" s="1250"/>
      <c r="I1952" s="1251"/>
      <c r="J1952" s="1271"/>
      <c r="K1952" s="1271"/>
      <c r="L1952" s="1254"/>
      <c r="M1952" s="1244"/>
      <c r="N1952" s="1273"/>
      <c r="O1952" s="1244"/>
      <c r="P1952" s="1244"/>
      <c r="Q1952" s="1244"/>
      <c r="R1952" s="1244"/>
      <c r="S1952" s="1265"/>
      <c r="T1952" s="1244"/>
      <c r="U1952" s="1244"/>
    </row>
    <row r="1953">
      <c r="A1953" s="1235"/>
      <c r="B1953" s="1235"/>
      <c r="C1953" s="1246"/>
      <c r="D1953" s="1274"/>
      <c r="E1953" s="1248"/>
      <c r="F1953" s="1248"/>
      <c r="G1953" s="1271"/>
      <c r="H1953" s="1250"/>
      <c r="I1953" s="1251"/>
      <c r="J1953" s="1271"/>
      <c r="K1953" s="1271"/>
      <c r="L1953" s="1254"/>
      <c r="M1953" s="1244"/>
      <c r="N1953" s="1273"/>
      <c r="O1953" s="1244"/>
      <c r="P1953" s="1244"/>
      <c r="Q1953" s="1244"/>
      <c r="R1953" s="1244"/>
      <c r="S1953" s="1265"/>
      <c r="T1953" s="1244"/>
      <c r="U1953" s="1244"/>
    </row>
    <row r="1954">
      <c r="A1954" s="1235"/>
      <c r="B1954" s="1235"/>
      <c r="C1954" s="1246"/>
      <c r="D1954" s="1274"/>
      <c r="E1954" s="1248"/>
      <c r="F1954" s="1248"/>
      <c r="G1954" s="1271"/>
      <c r="H1954" s="1250"/>
      <c r="I1954" s="1251"/>
      <c r="J1954" s="1271"/>
      <c r="K1954" s="1271"/>
      <c r="L1954" s="1254"/>
      <c r="M1954" s="1244"/>
      <c r="N1954" s="1273"/>
      <c r="O1954" s="1244"/>
      <c r="P1954" s="1244"/>
      <c r="Q1954" s="1244"/>
      <c r="R1954" s="1244"/>
      <c r="S1954" s="1265"/>
      <c r="T1954" s="1244"/>
      <c r="U1954" s="1244"/>
    </row>
    <row r="1955">
      <c r="A1955" s="1235"/>
      <c r="B1955" s="1235"/>
      <c r="C1955" s="1246"/>
      <c r="D1955" s="1274"/>
      <c r="E1955" s="1248"/>
      <c r="F1955" s="1248"/>
      <c r="G1955" s="1271"/>
      <c r="H1955" s="1250"/>
      <c r="I1955" s="1251"/>
      <c r="J1955" s="1271"/>
      <c r="K1955" s="1271"/>
      <c r="L1955" s="1254"/>
      <c r="M1955" s="1244"/>
      <c r="N1955" s="1273"/>
      <c r="O1955" s="1244"/>
      <c r="P1955" s="1244"/>
      <c r="Q1955" s="1244"/>
      <c r="R1955" s="1244"/>
      <c r="S1955" s="1265"/>
      <c r="T1955" s="1244"/>
      <c r="U1955" s="1244"/>
    </row>
    <row r="1956">
      <c r="A1956" s="1235"/>
      <c r="B1956" s="1235"/>
      <c r="C1956" s="1246"/>
      <c r="D1956" s="1274"/>
      <c r="E1956" s="1248"/>
      <c r="F1956" s="1248"/>
      <c r="G1956" s="1271"/>
      <c r="H1956" s="1250"/>
      <c r="I1956" s="1251"/>
      <c r="J1956" s="1271"/>
      <c r="K1956" s="1271"/>
      <c r="L1956" s="1254"/>
      <c r="M1956" s="1244"/>
      <c r="N1956" s="1273"/>
      <c r="O1956" s="1244"/>
      <c r="P1956" s="1244"/>
      <c r="Q1956" s="1244"/>
      <c r="R1956" s="1244"/>
      <c r="S1956" s="1265"/>
      <c r="T1956" s="1244"/>
      <c r="U1956" s="1244"/>
    </row>
    <row r="1957">
      <c r="A1957" s="1235"/>
      <c r="B1957" s="1235"/>
      <c r="C1957" s="1246"/>
      <c r="D1957" s="1274"/>
      <c r="E1957" s="1248"/>
      <c r="F1957" s="1248"/>
      <c r="G1957" s="1271"/>
      <c r="H1957" s="1250"/>
      <c r="I1957" s="1251"/>
      <c r="J1957" s="1271"/>
      <c r="K1957" s="1271"/>
      <c r="L1957" s="1254"/>
      <c r="M1957" s="1244"/>
      <c r="N1957" s="1273"/>
      <c r="O1957" s="1244"/>
      <c r="P1957" s="1244"/>
      <c r="Q1957" s="1244"/>
      <c r="R1957" s="1244"/>
      <c r="S1957" s="1265"/>
      <c r="T1957" s="1244"/>
      <c r="U1957" s="1244"/>
    </row>
    <row r="1958">
      <c r="A1958" s="1235"/>
      <c r="B1958" s="1235"/>
      <c r="C1958" s="1246"/>
      <c r="D1958" s="1274"/>
      <c r="E1958" s="1248"/>
      <c r="F1958" s="1248"/>
      <c r="G1958" s="1271"/>
      <c r="H1958" s="1250"/>
      <c r="I1958" s="1251"/>
      <c r="J1958" s="1271"/>
      <c r="K1958" s="1271"/>
      <c r="L1958" s="1254"/>
      <c r="M1958" s="1244"/>
      <c r="N1958" s="1273"/>
      <c r="O1958" s="1244"/>
      <c r="P1958" s="1244"/>
      <c r="Q1958" s="1244"/>
      <c r="R1958" s="1244"/>
      <c r="S1958" s="1265"/>
      <c r="T1958" s="1244"/>
      <c r="U1958" s="1244"/>
    </row>
    <row r="1959">
      <c r="A1959" s="1235"/>
      <c r="B1959" s="1235"/>
      <c r="C1959" s="1246"/>
      <c r="D1959" s="1274"/>
      <c r="E1959" s="1248"/>
      <c r="F1959" s="1248"/>
      <c r="G1959" s="1271"/>
      <c r="H1959" s="1250"/>
      <c r="I1959" s="1251"/>
      <c r="J1959" s="1271"/>
      <c r="K1959" s="1271"/>
      <c r="L1959" s="1254"/>
      <c r="M1959" s="1244"/>
      <c r="N1959" s="1273"/>
      <c r="O1959" s="1244"/>
      <c r="P1959" s="1244"/>
      <c r="Q1959" s="1244"/>
      <c r="R1959" s="1244"/>
      <c r="S1959" s="1265"/>
      <c r="T1959" s="1244"/>
      <c r="U1959" s="1244"/>
    </row>
    <row r="1960">
      <c r="A1960" s="1235"/>
      <c r="B1960" s="1235"/>
      <c r="C1960" s="1246"/>
      <c r="D1960" s="1274"/>
      <c r="E1960" s="1248"/>
      <c r="F1960" s="1248"/>
      <c r="G1960" s="1271"/>
      <c r="H1960" s="1250"/>
      <c r="I1960" s="1251"/>
      <c r="J1960" s="1271"/>
      <c r="K1960" s="1271"/>
      <c r="L1960" s="1254"/>
      <c r="M1960" s="1244"/>
      <c r="N1960" s="1273"/>
      <c r="O1960" s="1244"/>
      <c r="P1960" s="1244"/>
      <c r="Q1960" s="1244"/>
      <c r="R1960" s="1244"/>
      <c r="S1960" s="1265"/>
      <c r="T1960" s="1244"/>
      <c r="U1960" s="1244"/>
    </row>
    <row r="1961">
      <c r="A1961" s="1235"/>
      <c r="B1961" s="1235"/>
      <c r="C1961" s="1246"/>
      <c r="D1961" s="1274"/>
      <c r="E1961" s="1248"/>
      <c r="F1961" s="1248"/>
      <c r="G1961" s="1271"/>
      <c r="H1961" s="1250"/>
      <c r="I1961" s="1251"/>
      <c r="J1961" s="1271"/>
      <c r="K1961" s="1271"/>
      <c r="L1961" s="1254"/>
      <c r="M1961" s="1244"/>
      <c r="N1961" s="1273"/>
      <c r="O1961" s="1244"/>
      <c r="P1961" s="1244"/>
      <c r="Q1961" s="1244"/>
      <c r="R1961" s="1244"/>
      <c r="S1961" s="1265"/>
      <c r="T1961" s="1244"/>
      <c r="U1961" s="1244"/>
    </row>
    <row r="1962">
      <c r="A1962" s="1235"/>
      <c r="B1962" s="1235"/>
      <c r="C1962" s="1246"/>
      <c r="D1962" s="1274"/>
      <c r="E1962" s="1248"/>
      <c r="F1962" s="1248"/>
      <c r="G1962" s="1271"/>
      <c r="H1962" s="1250"/>
      <c r="I1962" s="1251"/>
      <c r="J1962" s="1271"/>
      <c r="K1962" s="1271"/>
      <c r="L1962" s="1254"/>
      <c r="M1962" s="1244"/>
      <c r="N1962" s="1273"/>
      <c r="O1962" s="1244"/>
      <c r="P1962" s="1244"/>
      <c r="Q1962" s="1244"/>
      <c r="R1962" s="1244"/>
      <c r="S1962" s="1265"/>
      <c r="T1962" s="1244"/>
      <c r="U1962" s="1244"/>
    </row>
    <row r="1963">
      <c r="A1963" s="1235"/>
      <c r="B1963" s="1235"/>
      <c r="C1963" s="1246"/>
      <c r="D1963" s="1274"/>
      <c r="E1963" s="1248"/>
      <c r="F1963" s="1248"/>
      <c r="G1963" s="1271"/>
      <c r="H1963" s="1250"/>
      <c r="I1963" s="1251"/>
      <c r="J1963" s="1271"/>
      <c r="K1963" s="1271"/>
      <c r="L1963" s="1254"/>
      <c r="M1963" s="1244"/>
      <c r="N1963" s="1273"/>
      <c r="O1963" s="1244"/>
      <c r="P1963" s="1244"/>
      <c r="Q1963" s="1244"/>
      <c r="R1963" s="1244"/>
      <c r="S1963" s="1265"/>
      <c r="T1963" s="1244"/>
      <c r="U1963" s="1244"/>
    </row>
    <row r="1964">
      <c r="A1964" s="1235"/>
      <c r="B1964" s="1235"/>
      <c r="C1964" s="1246"/>
      <c r="D1964" s="1274"/>
      <c r="E1964" s="1248"/>
      <c r="F1964" s="1248"/>
      <c r="G1964" s="1271"/>
      <c r="H1964" s="1250"/>
      <c r="I1964" s="1251"/>
      <c r="J1964" s="1271"/>
      <c r="K1964" s="1271"/>
      <c r="L1964" s="1254"/>
      <c r="M1964" s="1244"/>
      <c r="N1964" s="1273"/>
      <c r="O1964" s="1244"/>
      <c r="P1964" s="1244"/>
      <c r="Q1964" s="1244"/>
      <c r="R1964" s="1244"/>
      <c r="S1964" s="1265"/>
      <c r="T1964" s="1244"/>
      <c r="U1964" s="1244"/>
    </row>
    <row r="1965">
      <c r="A1965" s="1235"/>
      <c r="B1965" s="1235"/>
      <c r="C1965" s="1246"/>
      <c r="D1965" s="1274"/>
      <c r="E1965" s="1248"/>
      <c r="F1965" s="1248"/>
      <c r="G1965" s="1271"/>
      <c r="H1965" s="1250"/>
      <c r="I1965" s="1251"/>
      <c r="J1965" s="1271"/>
      <c r="K1965" s="1271"/>
      <c r="L1965" s="1254"/>
      <c r="M1965" s="1244"/>
      <c r="N1965" s="1273"/>
      <c r="O1965" s="1244"/>
      <c r="P1965" s="1244"/>
      <c r="Q1965" s="1244"/>
      <c r="R1965" s="1244"/>
      <c r="S1965" s="1265"/>
      <c r="T1965" s="1244"/>
      <c r="U1965" s="1244"/>
    </row>
    <row r="1966">
      <c r="A1966" s="1235"/>
      <c r="B1966" s="1235"/>
      <c r="C1966" s="1246"/>
      <c r="D1966" s="1274"/>
      <c r="E1966" s="1248"/>
      <c r="F1966" s="1248"/>
      <c r="G1966" s="1271"/>
      <c r="H1966" s="1250"/>
      <c r="I1966" s="1251"/>
      <c r="J1966" s="1271"/>
      <c r="K1966" s="1271"/>
      <c r="L1966" s="1254"/>
      <c r="M1966" s="1244"/>
      <c r="N1966" s="1273"/>
      <c r="O1966" s="1244"/>
      <c r="P1966" s="1244"/>
      <c r="Q1966" s="1244"/>
      <c r="R1966" s="1244"/>
      <c r="S1966" s="1265"/>
      <c r="T1966" s="1244"/>
      <c r="U1966" s="1244"/>
    </row>
    <row r="1967">
      <c r="A1967" s="1235"/>
      <c r="B1967" s="1235"/>
      <c r="C1967" s="1246"/>
      <c r="D1967" s="1274"/>
      <c r="E1967" s="1248"/>
      <c r="F1967" s="1248"/>
      <c r="G1967" s="1271"/>
      <c r="H1967" s="1250"/>
      <c r="I1967" s="1251"/>
      <c r="J1967" s="1271"/>
      <c r="K1967" s="1271"/>
      <c r="L1967" s="1254"/>
      <c r="M1967" s="1244"/>
      <c r="N1967" s="1273"/>
      <c r="O1967" s="1244"/>
      <c r="P1967" s="1244"/>
      <c r="Q1967" s="1244"/>
      <c r="R1967" s="1244"/>
      <c r="S1967" s="1265"/>
      <c r="T1967" s="1244"/>
      <c r="U1967" s="1244"/>
    </row>
    <row r="1968">
      <c r="A1968" s="1235"/>
      <c r="B1968" s="1235"/>
      <c r="C1968" s="1246"/>
      <c r="D1968" s="1274"/>
      <c r="E1968" s="1248"/>
      <c r="F1968" s="1248"/>
      <c r="G1968" s="1271"/>
      <c r="H1968" s="1250"/>
      <c r="I1968" s="1251"/>
      <c r="J1968" s="1271"/>
      <c r="K1968" s="1271"/>
      <c r="L1968" s="1254"/>
      <c r="M1968" s="1244"/>
      <c r="N1968" s="1273"/>
      <c r="O1968" s="1244"/>
      <c r="P1968" s="1244"/>
      <c r="Q1968" s="1244"/>
      <c r="R1968" s="1244"/>
      <c r="S1968" s="1265"/>
      <c r="T1968" s="1244"/>
      <c r="U1968" s="1244"/>
    </row>
    <row r="1969">
      <c r="A1969" s="1235"/>
      <c r="B1969" s="1235"/>
      <c r="C1969" s="1246"/>
      <c r="D1969" s="1274"/>
      <c r="E1969" s="1248"/>
      <c r="F1969" s="1248"/>
      <c r="G1969" s="1271"/>
      <c r="H1969" s="1250"/>
      <c r="I1969" s="1251"/>
      <c r="J1969" s="1271"/>
      <c r="K1969" s="1271"/>
      <c r="L1969" s="1254"/>
      <c r="M1969" s="1244"/>
      <c r="N1969" s="1273"/>
      <c r="O1969" s="1244"/>
      <c r="P1969" s="1244"/>
      <c r="Q1969" s="1244"/>
      <c r="R1969" s="1244"/>
      <c r="S1969" s="1265"/>
      <c r="T1969" s="1244"/>
      <c r="U1969" s="1244"/>
    </row>
    <row r="1970">
      <c r="A1970" s="1235"/>
      <c r="B1970" s="1235"/>
      <c r="C1970" s="1246"/>
      <c r="D1970" s="1274"/>
      <c r="E1970" s="1248"/>
      <c r="F1970" s="1248"/>
      <c r="G1970" s="1271"/>
      <c r="H1970" s="1250"/>
      <c r="I1970" s="1251"/>
      <c r="J1970" s="1271"/>
      <c r="K1970" s="1271"/>
      <c r="L1970" s="1254"/>
      <c r="M1970" s="1244"/>
      <c r="N1970" s="1273"/>
      <c r="O1970" s="1244"/>
      <c r="P1970" s="1244"/>
      <c r="Q1970" s="1244"/>
      <c r="R1970" s="1244"/>
      <c r="S1970" s="1265"/>
      <c r="T1970" s="1244"/>
      <c r="U1970" s="1244"/>
    </row>
    <row r="1971">
      <c r="A1971" s="1235"/>
      <c r="B1971" s="1235"/>
      <c r="C1971" s="1246"/>
      <c r="D1971" s="1274"/>
      <c r="E1971" s="1248"/>
      <c r="F1971" s="1248"/>
      <c r="G1971" s="1271"/>
      <c r="H1971" s="1250"/>
      <c r="I1971" s="1251"/>
      <c r="J1971" s="1271"/>
      <c r="K1971" s="1271"/>
      <c r="L1971" s="1254"/>
      <c r="M1971" s="1244"/>
      <c r="N1971" s="1273"/>
      <c r="O1971" s="1244"/>
      <c r="P1971" s="1244"/>
      <c r="Q1971" s="1244"/>
      <c r="R1971" s="1244"/>
      <c r="S1971" s="1265"/>
      <c r="T1971" s="1244"/>
      <c r="U1971" s="1244"/>
    </row>
    <row r="1972">
      <c r="A1972" s="1235"/>
      <c r="B1972" s="1235"/>
      <c r="C1972" s="1246"/>
      <c r="D1972" s="1274"/>
      <c r="E1972" s="1248"/>
      <c r="F1972" s="1248"/>
      <c r="G1972" s="1271"/>
      <c r="H1972" s="1250"/>
      <c r="I1972" s="1251"/>
      <c r="J1972" s="1271"/>
      <c r="K1972" s="1271"/>
      <c r="L1972" s="1254"/>
      <c r="M1972" s="1244"/>
      <c r="N1972" s="1273"/>
      <c r="O1972" s="1244"/>
      <c r="P1972" s="1244"/>
      <c r="Q1972" s="1244"/>
      <c r="R1972" s="1244"/>
      <c r="S1972" s="1265"/>
      <c r="T1972" s="1244"/>
      <c r="U1972" s="1244"/>
    </row>
    <row r="1973">
      <c r="A1973" s="1235"/>
      <c r="B1973" s="1235"/>
      <c r="C1973" s="1246"/>
      <c r="D1973" s="1274"/>
      <c r="E1973" s="1248"/>
      <c r="F1973" s="1248"/>
      <c r="G1973" s="1271"/>
      <c r="H1973" s="1250"/>
      <c r="I1973" s="1251"/>
      <c r="J1973" s="1271"/>
      <c r="K1973" s="1271"/>
      <c r="L1973" s="1254"/>
      <c r="M1973" s="1244"/>
      <c r="N1973" s="1273"/>
      <c r="O1973" s="1244"/>
      <c r="P1973" s="1244"/>
      <c r="Q1973" s="1244"/>
      <c r="R1973" s="1244"/>
      <c r="S1973" s="1265"/>
      <c r="T1973" s="1244"/>
      <c r="U1973" s="1244"/>
    </row>
    <row r="1974">
      <c r="A1974" s="1235"/>
      <c r="B1974" s="1235"/>
      <c r="C1974" s="1246"/>
      <c r="D1974" s="1274"/>
      <c r="E1974" s="1248"/>
      <c r="F1974" s="1248"/>
      <c r="G1974" s="1271"/>
      <c r="H1974" s="1250"/>
      <c r="I1974" s="1251"/>
      <c r="J1974" s="1271"/>
      <c r="K1974" s="1271"/>
      <c r="L1974" s="1254"/>
      <c r="M1974" s="1244"/>
      <c r="N1974" s="1273"/>
      <c r="O1974" s="1244"/>
      <c r="P1974" s="1244"/>
      <c r="Q1974" s="1244"/>
      <c r="R1974" s="1244"/>
      <c r="S1974" s="1265"/>
      <c r="T1974" s="1244"/>
      <c r="U1974" s="1244"/>
    </row>
    <row r="1975">
      <c r="A1975" s="1235"/>
      <c r="B1975" s="1235"/>
      <c r="C1975" s="1246"/>
      <c r="D1975" s="1274"/>
      <c r="E1975" s="1248"/>
      <c r="F1975" s="1248"/>
      <c r="G1975" s="1271"/>
      <c r="H1975" s="1250"/>
      <c r="I1975" s="1251"/>
      <c r="J1975" s="1271"/>
      <c r="K1975" s="1271"/>
      <c r="L1975" s="1254"/>
      <c r="M1975" s="1244"/>
      <c r="N1975" s="1273"/>
      <c r="O1975" s="1244"/>
      <c r="P1975" s="1244"/>
      <c r="Q1975" s="1244"/>
      <c r="R1975" s="1244"/>
      <c r="S1975" s="1265"/>
      <c r="T1975" s="1244"/>
      <c r="U1975" s="1244"/>
    </row>
    <row r="1976">
      <c r="A1976" s="1235"/>
      <c r="B1976" s="1235"/>
      <c r="C1976" s="1246"/>
      <c r="D1976" s="1274"/>
      <c r="E1976" s="1248"/>
      <c r="F1976" s="1248"/>
      <c r="G1976" s="1271"/>
      <c r="H1976" s="1250"/>
      <c r="I1976" s="1251"/>
      <c r="J1976" s="1271"/>
      <c r="K1976" s="1271"/>
      <c r="L1976" s="1254"/>
      <c r="M1976" s="1244"/>
      <c r="N1976" s="1273"/>
      <c r="O1976" s="1244"/>
      <c r="P1976" s="1244"/>
      <c r="Q1976" s="1244"/>
      <c r="R1976" s="1244"/>
      <c r="S1976" s="1265"/>
      <c r="T1976" s="1244"/>
      <c r="U1976" s="1244"/>
    </row>
    <row r="1977">
      <c r="A1977" s="1235"/>
      <c r="B1977" s="1235"/>
      <c r="C1977" s="1246"/>
      <c r="D1977" s="1274"/>
      <c r="E1977" s="1248"/>
      <c r="F1977" s="1248"/>
      <c r="G1977" s="1271"/>
      <c r="H1977" s="1250"/>
      <c r="I1977" s="1251"/>
      <c r="J1977" s="1271"/>
      <c r="K1977" s="1271"/>
      <c r="L1977" s="1254"/>
      <c r="M1977" s="1244"/>
      <c r="N1977" s="1273"/>
      <c r="O1977" s="1244"/>
      <c r="P1977" s="1244"/>
      <c r="Q1977" s="1244"/>
      <c r="R1977" s="1244"/>
      <c r="S1977" s="1265"/>
      <c r="T1977" s="1244"/>
      <c r="U1977" s="1244"/>
    </row>
    <row r="1978">
      <c r="A1978" s="1235"/>
      <c r="B1978" s="1235"/>
      <c r="C1978" s="1246"/>
      <c r="D1978" s="1274"/>
      <c r="E1978" s="1248"/>
      <c r="F1978" s="1248"/>
      <c r="G1978" s="1271"/>
      <c r="H1978" s="1250"/>
      <c r="I1978" s="1251"/>
      <c r="J1978" s="1271"/>
      <c r="K1978" s="1271"/>
      <c r="L1978" s="1254"/>
      <c r="M1978" s="1244"/>
      <c r="N1978" s="1273"/>
      <c r="O1978" s="1244"/>
      <c r="P1978" s="1244"/>
      <c r="Q1978" s="1244"/>
      <c r="R1978" s="1244"/>
      <c r="S1978" s="1265"/>
      <c r="T1978" s="1244"/>
      <c r="U1978" s="1244"/>
    </row>
    <row r="1979">
      <c r="A1979" s="1235"/>
      <c r="B1979" s="1235"/>
      <c r="C1979" s="1246"/>
      <c r="D1979" s="1274"/>
      <c r="E1979" s="1248"/>
      <c r="F1979" s="1248"/>
      <c r="G1979" s="1271"/>
      <c r="H1979" s="1250"/>
      <c r="I1979" s="1251"/>
      <c r="J1979" s="1271"/>
      <c r="K1979" s="1271"/>
      <c r="L1979" s="1254"/>
      <c r="M1979" s="1244"/>
      <c r="N1979" s="1273"/>
      <c r="O1979" s="1244"/>
      <c r="P1979" s="1244"/>
      <c r="Q1979" s="1244"/>
      <c r="R1979" s="1244"/>
      <c r="S1979" s="1265"/>
      <c r="T1979" s="1244"/>
      <c r="U1979" s="1244"/>
    </row>
    <row r="1980">
      <c r="A1980" s="1235"/>
      <c r="B1980" s="1235"/>
      <c r="C1980" s="1246"/>
      <c r="D1980" s="1274"/>
      <c r="E1980" s="1248"/>
      <c r="F1980" s="1248"/>
      <c r="G1980" s="1271"/>
      <c r="H1980" s="1250"/>
      <c r="I1980" s="1251"/>
      <c r="J1980" s="1271"/>
      <c r="K1980" s="1271"/>
      <c r="L1980" s="1254"/>
      <c r="M1980" s="1244"/>
      <c r="N1980" s="1273"/>
      <c r="O1980" s="1244"/>
      <c r="P1980" s="1244"/>
      <c r="Q1980" s="1244"/>
      <c r="R1980" s="1244"/>
      <c r="S1980" s="1265"/>
      <c r="T1980" s="1244"/>
      <c r="U1980" s="1244"/>
    </row>
    <row r="1981">
      <c r="A1981" s="1235"/>
      <c r="B1981" s="1235"/>
      <c r="C1981" s="1246"/>
      <c r="D1981" s="1274"/>
      <c r="E1981" s="1248"/>
      <c r="F1981" s="1248"/>
      <c r="G1981" s="1271"/>
      <c r="H1981" s="1250"/>
      <c r="I1981" s="1251"/>
      <c r="J1981" s="1271"/>
      <c r="K1981" s="1271"/>
      <c r="L1981" s="1254"/>
      <c r="M1981" s="1244"/>
      <c r="N1981" s="1273"/>
      <c r="O1981" s="1244"/>
      <c r="P1981" s="1244"/>
      <c r="Q1981" s="1244"/>
      <c r="R1981" s="1244"/>
      <c r="S1981" s="1265"/>
      <c r="T1981" s="1244"/>
      <c r="U1981" s="1244"/>
    </row>
    <row r="1982">
      <c r="A1982" s="1235"/>
      <c r="B1982" s="1235"/>
      <c r="C1982" s="1246"/>
      <c r="D1982" s="1274"/>
      <c r="E1982" s="1248"/>
      <c r="F1982" s="1248"/>
      <c r="G1982" s="1271"/>
      <c r="H1982" s="1250"/>
      <c r="I1982" s="1251"/>
      <c r="J1982" s="1271"/>
      <c r="K1982" s="1271"/>
      <c r="L1982" s="1254"/>
      <c r="M1982" s="1244"/>
      <c r="N1982" s="1273"/>
      <c r="O1982" s="1244"/>
      <c r="P1982" s="1244"/>
      <c r="Q1982" s="1244"/>
      <c r="R1982" s="1244"/>
      <c r="S1982" s="1265"/>
      <c r="T1982" s="1244"/>
      <c r="U1982" s="1244"/>
    </row>
    <row r="1983">
      <c r="A1983" s="1235"/>
      <c r="B1983" s="1235"/>
      <c r="C1983" s="1246"/>
      <c r="D1983" s="1274"/>
      <c r="E1983" s="1248"/>
      <c r="F1983" s="1248"/>
      <c r="G1983" s="1271"/>
      <c r="H1983" s="1250"/>
      <c r="I1983" s="1251"/>
      <c r="J1983" s="1271"/>
      <c r="K1983" s="1271"/>
      <c r="L1983" s="1254"/>
      <c r="M1983" s="1244"/>
      <c r="N1983" s="1273"/>
      <c r="O1983" s="1244"/>
      <c r="P1983" s="1244"/>
      <c r="Q1983" s="1244"/>
      <c r="R1983" s="1244"/>
      <c r="S1983" s="1265"/>
      <c r="T1983" s="1244"/>
      <c r="U1983" s="1244"/>
    </row>
    <row r="1984">
      <c r="A1984" s="1235"/>
      <c r="B1984" s="1235"/>
      <c r="C1984" s="1246"/>
      <c r="D1984" s="1274"/>
      <c r="E1984" s="1248"/>
      <c r="F1984" s="1248"/>
      <c r="G1984" s="1271"/>
      <c r="H1984" s="1250"/>
      <c r="I1984" s="1251"/>
      <c r="J1984" s="1271"/>
      <c r="K1984" s="1271"/>
      <c r="L1984" s="1254"/>
      <c r="M1984" s="1244"/>
      <c r="N1984" s="1273"/>
      <c r="O1984" s="1244"/>
      <c r="P1984" s="1244"/>
      <c r="Q1984" s="1244"/>
      <c r="R1984" s="1244"/>
      <c r="S1984" s="1265"/>
      <c r="T1984" s="1244"/>
      <c r="U1984" s="1244"/>
    </row>
    <row r="1985">
      <c r="A1985" s="1235"/>
      <c r="B1985" s="1235"/>
      <c r="C1985" s="1246"/>
      <c r="D1985" s="1274"/>
      <c r="E1985" s="1248"/>
      <c r="F1985" s="1248"/>
      <c r="G1985" s="1271"/>
      <c r="H1985" s="1250"/>
      <c r="I1985" s="1251"/>
      <c r="J1985" s="1271"/>
      <c r="K1985" s="1271"/>
      <c r="L1985" s="1254"/>
      <c r="M1985" s="1244"/>
      <c r="N1985" s="1273"/>
      <c r="O1985" s="1244"/>
      <c r="P1985" s="1244"/>
      <c r="Q1985" s="1244"/>
      <c r="R1985" s="1244"/>
      <c r="S1985" s="1265"/>
      <c r="T1985" s="1244"/>
      <c r="U1985" s="1244"/>
    </row>
    <row r="1986">
      <c r="A1986" s="1235"/>
      <c r="B1986" s="1235"/>
      <c r="C1986" s="1246"/>
      <c r="D1986" s="1274"/>
      <c r="E1986" s="1248"/>
      <c r="F1986" s="1248"/>
      <c r="G1986" s="1271"/>
      <c r="H1986" s="1250"/>
      <c r="I1986" s="1251"/>
      <c r="J1986" s="1271"/>
      <c r="K1986" s="1271"/>
      <c r="L1986" s="1254"/>
      <c r="M1986" s="1244"/>
      <c r="N1986" s="1273"/>
      <c r="O1986" s="1244"/>
      <c r="P1986" s="1244"/>
      <c r="Q1986" s="1244"/>
      <c r="R1986" s="1244"/>
      <c r="S1986" s="1265"/>
      <c r="T1986" s="1244"/>
      <c r="U1986" s="1244"/>
    </row>
    <row r="1987">
      <c r="A1987" s="1235"/>
      <c r="B1987" s="1235"/>
      <c r="C1987" s="1246"/>
      <c r="D1987" s="1274"/>
      <c r="E1987" s="1248"/>
      <c r="F1987" s="1248"/>
      <c r="G1987" s="1271"/>
      <c r="H1987" s="1250"/>
      <c r="I1987" s="1251"/>
      <c r="J1987" s="1271"/>
      <c r="K1987" s="1271"/>
      <c r="L1987" s="1254"/>
      <c r="M1987" s="1244"/>
      <c r="N1987" s="1273"/>
      <c r="O1987" s="1244"/>
      <c r="P1987" s="1244"/>
      <c r="Q1987" s="1244"/>
      <c r="R1987" s="1244"/>
      <c r="S1987" s="1265"/>
      <c r="T1987" s="1244"/>
      <c r="U1987" s="1244"/>
    </row>
    <row r="1988">
      <c r="A1988" s="1235"/>
      <c r="B1988" s="1235"/>
      <c r="C1988" s="1246"/>
      <c r="D1988" s="1274"/>
      <c r="E1988" s="1248"/>
      <c r="F1988" s="1248"/>
      <c r="G1988" s="1271"/>
      <c r="H1988" s="1250"/>
      <c r="I1988" s="1251"/>
      <c r="J1988" s="1271"/>
      <c r="K1988" s="1271"/>
      <c r="L1988" s="1254"/>
      <c r="M1988" s="1244"/>
      <c r="N1988" s="1273"/>
      <c r="O1988" s="1244"/>
      <c r="P1988" s="1244"/>
      <c r="Q1988" s="1244"/>
      <c r="R1988" s="1244"/>
      <c r="S1988" s="1265"/>
      <c r="T1988" s="1244"/>
      <c r="U1988" s="1244"/>
    </row>
    <row r="1989">
      <c r="A1989" s="1235"/>
      <c r="B1989" s="1235"/>
      <c r="C1989" s="1246"/>
      <c r="D1989" s="1274"/>
      <c r="E1989" s="1248"/>
      <c r="F1989" s="1248"/>
      <c r="G1989" s="1271"/>
      <c r="H1989" s="1250"/>
      <c r="I1989" s="1251"/>
      <c r="J1989" s="1271"/>
      <c r="K1989" s="1271"/>
      <c r="L1989" s="1254"/>
      <c r="M1989" s="1244"/>
      <c r="N1989" s="1273"/>
      <c r="O1989" s="1244"/>
      <c r="P1989" s="1244"/>
      <c r="Q1989" s="1244"/>
      <c r="R1989" s="1244"/>
      <c r="S1989" s="1265"/>
      <c r="T1989" s="1244"/>
      <c r="U1989" s="1244"/>
    </row>
    <row r="1990">
      <c r="A1990" s="1235"/>
      <c r="B1990" s="1235"/>
      <c r="C1990" s="1246"/>
      <c r="D1990" s="1274"/>
      <c r="E1990" s="1248"/>
      <c r="F1990" s="1248"/>
      <c r="G1990" s="1271"/>
      <c r="H1990" s="1250"/>
      <c r="I1990" s="1251"/>
      <c r="J1990" s="1271"/>
      <c r="K1990" s="1271"/>
      <c r="L1990" s="1254"/>
      <c r="M1990" s="1244"/>
      <c r="N1990" s="1273"/>
      <c r="O1990" s="1244"/>
      <c r="P1990" s="1244"/>
      <c r="Q1990" s="1244"/>
      <c r="R1990" s="1244"/>
      <c r="S1990" s="1265"/>
      <c r="T1990" s="1244"/>
      <c r="U1990" s="1244"/>
    </row>
    <row r="1991">
      <c r="A1991" s="1235"/>
      <c r="B1991" s="1235"/>
      <c r="C1991" s="1246"/>
      <c r="D1991" s="1274"/>
      <c r="E1991" s="1248"/>
      <c r="F1991" s="1248"/>
      <c r="G1991" s="1271"/>
      <c r="H1991" s="1250"/>
      <c r="I1991" s="1251"/>
      <c r="J1991" s="1271"/>
      <c r="K1991" s="1271"/>
      <c r="L1991" s="1254"/>
      <c r="M1991" s="1244"/>
      <c r="N1991" s="1273"/>
      <c r="O1991" s="1244"/>
      <c r="P1991" s="1244"/>
      <c r="Q1991" s="1244"/>
      <c r="R1991" s="1244"/>
      <c r="S1991" s="1265"/>
      <c r="T1991" s="1244"/>
      <c r="U1991" s="1244"/>
    </row>
    <row r="1992">
      <c r="A1992" s="1235"/>
      <c r="B1992" s="1235"/>
      <c r="C1992" s="1246"/>
      <c r="D1992" s="1274"/>
      <c r="E1992" s="1248"/>
      <c r="F1992" s="1248"/>
      <c r="G1992" s="1271"/>
      <c r="H1992" s="1250"/>
      <c r="I1992" s="1251"/>
      <c r="J1992" s="1271"/>
      <c r="K1992" s="1271"/>
      <c r="L1992" s="1254"/>
      <c r="M1992" s="1244"/>
      <c r="N1992" s="1273"/>
      <c r="O1992" s="1244"/>
      <c r="P1992" s="1244"/>
      <c r="Q1992" s="1244"/>
      <c r="R1992" s="1244"/>
      <c r="S1992" s="1265"/>
      <c r="T1992" s="1244"/>
      <c r="U1992" s="1244"/>
    </row>
    <row r="1993">
      <c r="A1993" s="1235"/>
      <c r="B1993" s="1235"/>
      <c r="C1993" s="1246"/>
      <c r="D1993" s="1274"/>
      <c r="E1993" s="1248"/>
      <c r="F1993" s="1248"/>
      <c r="G1993" s="1271"/>
      <c r="H1993" s="1250"/>
      <c r="I1993" s="1251"/>
      <c r="J1993" s="1271"/>
      <c r="K1993" s="1271"/>
      <c r="L1993" s="1254"/>
      <c r="M1993" s="1244"/>
      <c r="N1993" s="1273"/>
      <c r="O1993" s="1244"/>
      <c r="P1993" s="1244"/>
      <c r="Q1993" s="1244"/>
      <c r="R1993" s="1244"/>
      <c r="S1993" s="1265"/>
      <c r="T1993" s="1244"/>
      <c r="U1993" s="1244"/>
    </row>
    <row r="1994">
      <c r="A1994" s="1235"/>
      <c r="B1994" s="1235"/>
      <c r="C1994" s="1246"/>
      <c r="D1994" s="1274"/>
      <c r="E1994" s="1248"/>
      <c r="F1994" s="1248"/>
      <c r="G1994" s="1271"/>
      <c r="H1994" s="1250"/>
      <c r="I1994" s="1251"/>
      <c r="J1994" s="1271"/>
      <c r="K1994" s="1271"/>
      <c r="L1994" s="1254"/>
      <c r="M1994" s="1244"/>
      <c r="N1994" s="1273"/>
      <c r="O1994" s="1244"/>
      <c r="P1994" s="1244"/>
      <c r="Q1994" s="1244"/>
      <c r="R1994" s="1244"/>
      <c r="S1994" s="1265"/>
      <c r="T1994" s="1244"/>
      <c r="U1994" s="1244"/>
    </row>
    <row r="1995">
      <c r="A1995" s="1235"/>
      <c r="B1995" s="1235"/>
      <c r="C1995" s="1246"/>
      <c r="D1995" s="1274"/>
      <c r="E1995" s="1248"/>
      <c r="F1995" s="1248"/>
      <c r="G1995" s="1271"/>
      <c r="H1995" s="1250"/>
      <c r="I1995" s="1251"/>
      <c r="J1995" s="1271"/>
      <c r="K1995" s="1271"/>
      <c r="L1995" s="1254"/>
      <c r="M1995" s="1244"/>
      <c r="N1995" s="1273"/>
      <c r="O1995" s="1244"/>
      <c r="P1995" s="1244"/>
      <c r="Q1995" s="1244"/>
      <c r="R1995" s="1244"/>
      <c r="S1995" s="1265"/>
      <c r="T1995" s="1244"/>
      <c r="U1995" s="1244"/>
    </row>
    <row r="1996">
      <c r="A1996" s="1235"/>
      <c r="B1996" s="1235"/>
      <c r="C1996" s="1246"/>
      <c r="D1996" s="1274"/>
      <c r="E1996" s="1248"/>
      <c r="F1996" s="1248"/>
      <c r="G1996" s="1271"/>
      <c r="H1996" s="1250"/>
      <c r="I1996" s="1251"/>
      <c r="J1996" s="1271"/>
      <c r="K1996" s="1271"/>
      <c r="L1996" s="1254"/>
      <c r="M1996" s="1244"/>
      <c r="N1996" s="1273"/>
      <c r="O1996" s="1244"/>
      <c r="P1996" s="1244"/>
      <c r="Q1996" s="1244"/>
      <c r="R1996" s="1244"/>
      <c r="S1996" s="1265"/>
      <c r="T1996" s="1244"/>
      <c r="U1996" s="1244"/>
    </row>
    <row r="1997">
      <c r="A1997" s="1235"/>
      <c r="B1997" s="1235"/>
      <c r="C1997" s="1246"/>
      <c r="D1997" s="1274"/>
      <c r="E1997" s="1248"/>
      <c r="F1997" s="1248"/>
      <c r="G1997" s="1271"/>
      <c r="H1997" s="1250"/>
      <c r="I1997" s="1251"/>
      <c r="J1997" s="1271"/>
      <c r="K1997" s="1271"/>
      <c r="L1997" s="1254"/>
      <c r="M1997" s="1244"/>
      <c r="N1997" s="1273"/>
      <c r="O1997" s="1244"/>
      <c r="P1997" s="1244"/>
      <c r="Q1997" s="1244"/>
      <c r="R1997" s="1244"/>
      <c r="S1997" s="1265"/>
      <c r="T1997" s="1244"/>
      <c r="U1997" s="1244"/>
    </row>
    <row r="1998">
      <c r="A1998" s="1235"/>
      <c r="B1998" s="1235"/>
      <c r="C1998" s="1246"/>
      <c r="D1998" s="1274"/>
      <c r="E1998" s="1248"/>
      <c r="F1998" s="1248"/>
      <c r="G1998" s="1271"/>
      <c r="H1998" s="1250"/>
      <c r="I1998" s="1251"/>
      <c r="J1998" s="1271"/>
      <c r="K1998" s="1271"/>
      <c r="L1998" s="1254"/>
      <c r="M1998" s="1244"/>
      <c r="N1998" s="1273"/>
      <c r="O1998" s="1244"/>
      <c r="P1998" s="1244"/>
      <c r="Q1998" s="1244"/>
      <c r="R1998" s="1244"/>
      <c r="S1998" s="1265"/>
      <c r="T1998" s="1244"/>
      <c r="U1998" s="1244"/>
    </row>
    <row r="1999">
      <c r="A1999" s="1235"/>
      <c r="B1999" s="1235"/>
      <c r="C1999" s="1246"/>
      <c r="D1999" s="1274"/>
      <c r="E1999" s="1248"/>
      <c r="F1999" s="1248"/>
      <c r="G1999" s="1271"/>
      <c r="H1999" s="1250"/>
      <c r="I1999" s="1251"/>
      <c r="J1999" s="1271"/>
      <c r="K1999" s="1271"/>
      <c r="L1999" s="1254"/>
      <c r="M1999" s="1244"/>
      <c r="N1999" s="1273"/>
      <c r="O1999" s="1244"/>
      <c r="P1999" s="1244"/>
      <c r="Q1999" s="1244"/>
      <c r="R1999" s="1244"/>
      <c r="S1999" s="1265"/>
      <c r="T1999" s="1244"/>
      <c r="U1999" s="1244"/>
    </row>
    <row r="2000">
      <c r="A2000" s="1235"/>
      <c r="B2000" s="1235"/>
      <c r="C2000" s="1246"/>
      <c r="D2000" s="1274"/>
      <c r="E2000" s="1248"/>
      <c r="F2000" s="1248"/>
      <c r="G2000" s="1271"/>
      <c r="H2000" s="1250"/>
      <c r="I2000" s="1251"/>
      <c r="J2000" s="1271"/>
      <c r="K2000" s="1271"/>
      <c r="L2000" s="1254"/>
      <c r="M2000" s="1244"/>
      <c r="N2000" s="1273"/>
      <c r="O2000" s="1244"/>
      <c r="P2000" s="1244"/>
      <c r="Q2000" s="1244"/>
      <c r="R2000" s="1244"/>
      <c r="S2000" s="1265"/>
      <c r="T2000" s="1244"/>
      <c r="U2000" s="1244"/>
    </row>
    <row r="2001">
      <c r="A2001" s="1235"/>
      <c r="B2001" s="1235"/>
      <c r="C2001" s="1246"/>
      <c r="D2001" s="1274"/>
      <c r="E2001" s="1248"/>
      <c r="F2001" s="1248"/>
      <c r="G2001" s="1271"/>
      <c r="H2001" s="1250"/>
      <c r="I2001" s="1251"/>
      <c r="J2001" s="1271"/>
      <c r="K2001" s="1271"/>
      <c r="L2001" s="1254"/>
      <c r="M2001" s="1244"/>
      <c r="N2001" s="1275"/>
      <c r="O2001" s="1275"/>
      <c r="P2001" s="1244"/>
      <c r="Q2001" s="1244"/>
      <c r="R2001" s="1244"/>
      <c r="S2001" s="1265"/>
      <c r="T2001" s="1244"/>
      <c r="U2001" s="1244"/>
    </row>
    <row r="2002">
      <c r="A2002" s="1235"/>
      <c r="B2002" s="1235"/>
      <c r="C2002" s="1246"/>
      <c r="D2002" s="1274"/>
      <c r="E2002" s="1248"/>
      <c r="F2002" s="1248"/>
      <c r="G2002" s="1271"/>
      <c r="H2002" s="1250"/>
      <c r="I2002" s="1251"/>
      <c r="J2002" s="1271"/>
      <c r="K2002" s="1271"/>
      <c r="L2002" s="1254"/>
      <c r="M2002" s="1244"/>
      <c r="N2002" s="1275"/>
      <c r="O2002" s="1275"/>
      <c r="P2002" s="1244"/>
      <c r="Q2002" s="1244"/>
      <c r="R2002" s="1244"/>
      <c r="S2002" s="1265"/>
      <c r="T2002" s="1244"/>
      <c r="U2002" s="1244"/>
    </row>
    <row r="2003">
      <c r="A2003" s="1235"/>
      <c r="B2003" s="1235"/>
      <c r="C2003" s="1246"/>
      <c r="D2003" s="1274"/>
      <c r="E2003" s="1248"/>
      <c r="F2003" s="1248"/>
      <c r="G2003" s="1271"/>
      <c r="H2003" s="1250"/>
      <c r="I2003" s="1251"/>
      <c r="J2003" s="1271"/>
      <c r="K2003" s="1271"/>
      <c r="L2003" s="1254"/>
      <c r="M2003" s="1244"/>
      <c r="N2003" s="1275"/>
      <c r="O2003" s="1275"/>
      <c r="P2003" s="1244"/>
      <c r="Q2003" s="1244"/>
      <c r="R2003" s="1244"/>
      <c r="S2003" s="1265"/>
      <c r="T2003" s="1244"/>
      <c r="U2003" s="1244"/>
    </row>
    <row r="2004">
      <c r="A2004" s="1235"/>
      <c r="B2004" s="1235"/>
      <c r="C2004" s="1246"/>
      <c r="D2004" s="1274"/>
      <c r="E2004" s="1248"/>
      <c r="F2004" s="1248"/>
      <c r="G2004" s="1271"/>
      <c r="H2004" s="1250"/>
      <c r="I2004" s="1251"/>
      <c r="J2004" s="1271"/>
      <c r="K2004" s="1271"/>
      <c r="L2004" s="1254"/>
      <c r="M2004" s="1244"/>
      <c r="N2004" s="1275"/>
      <c r="O2004" s="1275"/>
      <c r="P2004" s="1244"/>
      <c r="Q2004" s="1244"/>
      <c r="R2004" s="1244"/>
      <c r="S2004" s="1265"/>
      <c r="T2004" s="1244"/>
      <c r="U2004" s="1244"/>
    </row>
    <row r="2005">
      <c r="A2005" s="1235"/>
      <c r="B2005" s="1235"/>
      <c r="C2005" s="1246"/>
      <c r="D2005" s="1274"/>
      <c r="E2005" s="1248"/>
      <c r="F2005" s="1248"/>
      <c r="G2005" s="1271"/>
      <c r="H2005" s="1250"/>
      <c r="I2005" s="1251"/>
      <c r="J2005" s="1271"/>
      <c r="K2005" s="1271"/>
      <c r="L2005" s="1254"/>
      <c r="M2005" s="1244"/>
      <c r="N2005" s="1275"/>
      <c r="O2005" s="1275"/>
      <c r="P2005" s="1244"/>
      <c r="Q2005" s="1244"/>
      <c r="R2005" s="1244"/>
      <c r="S2005" s="1265"/>
      <c r="T2005" s="1244"/>
      <c r="U2005" s="1244"/>
    </row>
    <row r="2006">
      <c r="A2006" s="1235"/>
      <c r="B2006" s="1235"/>
      <c r="C2006" s="1246"/>
      <c r="D2006" s="1274"/>
      <c r="E2006" s="1248"/>
      <c r="F2006" s="1248"/>
      <c r="G2006" s="1271"/>
      <c r="H2006" s="1250"/>
      <c r="I2006" s="1251"/>
      <c r="J2006" s="1271"/>
      <c r="K2006" s="1271"/>
      <c r="L2006" s="1254"/>
      <c r="M2006" s="1244"/>
      <c r="N2006" s="1275"/>
      <c r="O2006" s="1275"/>
      <c r="P2006" s="1244"/>
      <c r="Q2006" s="1244"/>
      <c r="R2006" s="1244"/>
      <c r="S2006" s="1265"/>
      <c r="T2006" s="1244"/>
      <c r="U2006" s="1244"/>
    </row>
    <row r="2007">
      <c r="A2007" s="1235"/>
      <c r="B2007" s="1235"/>
      <c r="C2007" s="1246"/>
      <c r="D2007" s="1274"/>
      <c r="E2007" s="1248"/>
      <c r="F2007" s="1248"/>
      <c r="G2007" s="1271"/>
      <c r="H2007" s="1250"/>
      <c r="I2007" s="1251"/>
      <c r="J2007" s="1271"/>
      <c r="K2007" s="1271"/>
      <c r="L2007" s="1254"/>
      <c r="M2007" s="1244"/>
      <c r="N2007" s="1275"/>
      <c r="O2007" s="1275"/>
      <c r="P2007" s="1244"/>
      <c r="Q2007" s="1244"/>
      <c r="R2007" s="1244"/>
      <c r="S2007" s="1265"/>
      <c r="T2007" s="1244"/>
      <c r="U2007" s="1244"/>
    </row>
    <row r="2008">
      <c r="A2008" s="1235"/>
      <c r="B2008" s="1235"/>
      <c r="C2008" s="1246"/>
      <c r="D2008" s="1274"/>
      <c r="E2008" s="1248"/>
      <c r="F2008" s="1248"/>
      <c r="G2008" s="1271"/>
      <c r="H2008" s="1250"/>
      <c r="I2008" s="1251"/>
      <c r="J2008" s="1271"/>
      <c r="K2008" s="1271"/>
      <c r="L2008" s="1254"/>
      <c r="M2008" s="1244"/>
      <c r="N2008" s="1275"/>
      <c r="O2008" s="1275"/>
      <c r="P2008" s="1244"/>
      <c r="Q2008" s="1244"/>
      <c r="R2008" s="1244"/>
      <c r="S2008" s="1265"/>
      <c r="T2008" s="1244"/>
      <c r="U2008" s="1244"/>
    </row>
    <row r="2009">
      <c r="A2009" s="1235"/>
      <c r="B2009" s="1235"/>
      <c r="C2009" s="1246"/>
      <c r="D2009" s="1274"/>
      <c r="E2009" s="1248"/>
      <c r="F2009" s="1248"/>
      <c r="G2009" s="1271"/>
      <c r="H2009" s="1250"/>
      <c r="I2009" s="1251"/>
      <c r="J2009" s="1271"/>
      <c r="K2009" s="1271"/>
      <c r="L2009" s="1254"/>
      <c r="M2009" s="1244"/>
      <c r="N2009" s="1275"/>
      <c r="O2009" s="1275"/>
      <c r="P2009" s="1244"/>
      <c r="Q2009" s="1244"/>
      <c r="R2009" s="1244"/>
      <c r="S2009" s="1265"/>
      <c r="T2009" s="1244"/>
      <c r="U2009" s="1244"/>
    </row>
    <row r="2010">
      <c r="A2010" s="1235"/>
      <c r="B2010" s="1235"/>
      <c r="C2010" s="1246"/>
      <c r="D2010" s="1274"/>
      <c r="E2010" s="1248"/>
      <c r="F2010" s="1248"/>
      <c r="G2010" s="1271"/>
      <c r="H2010" s="1250"/>
      <c r="I2010" s="1251"/>
      <c r="J2010" s="1271"/>
      <c r="K2010" s="1271"/>
      <c r="L2010" s="1254"/>
      <c r="M2010" s="1244"/>
      <c r="N2010" s="1275"/>
      <c r="O2010" s="1275"/>
      <c r="P2010" s="1244"/>
      <c r="Q2010" s="1244"/>
      <c r="R2010" s="1244"/>
      <c r="S2010" s="1265"/>
      <c r="T2010" s="1244"/>
      <c r="U2010" s="1244"/>
    </row>
    <row r="2011">
      <c r="A2011" s="1235"/>
      <c r="B2011" s="1235"/>
      <c r="C2011" s="1246"/>
      <c r="D2011" s="1274"/>
      <c r="E2011" s="1248"/>
      <c r="F2011" s="1248"/>
      <c r="G2011" s="1271"/>
      <c r="H2011" s="1250"/>
      <c r="I2011" s="1251"/>
      <c r="J2011" s="1271"/>
      <c r="K2011" s="1271"/>
      <c r="L2011" s="1254"/>
      <c r="M2011" s="1244"/>
      <c r="N2011" s="1275"/>
      <c r="O2011" s="1275"/>
      <c r="P2011" s="1244"/>
      <c r="Q2011" s="1244"/>
      <c r="R2011" s="1244"/>
      <c r="S2011" s="1265"/>
      <c r="T2011" s="1244"/>
      <c r="U2011" s="1244"/>
    </row>
    <row r="2012">
      <c r="A2012" s="1235"/>
      <c r="B2012" s="1235"/>
      <c r="C2012" s="1246"/>
      <c r="D2012" s="1274"/>
      <c r="E2012" s="1248"/>
      <c r="F2012" s="1248"/>
      <c r="G2012" s="1271"/>
      <c r="H2012" s="1250"/>
      <c r="I2012" s="1251"/>
      <c r="J2012" s="1271"/>
      <c r="K2012" s="1271"/>
      <c r="L2012" s="1254"/>
      <c r="M2012" s="1244"/>
      <c r="N2012" s="1275"/>
      <c r="O2012" s="1275"/>
      <c r="P2012" s="1244"/>
      <c r="Q2012" s="1244"/>
      <c r="R2012" s="1244"/>
      <c r="S2012" s="1265"/>
      <c r="T2012" s="1244"/>
      <c r="U2012" s="1244"/>
    </row>
    <row r="2013">
      <c r="A2013" s="1235"/>
      <c r="B2013" s="1235"/>
      <c r="C2013" s="1246"/>
      <c r="D2013" s="1274"/>
      <c r="E2013" s="1248"/>
      <c r="F2013" s="1248"/>
      <c r="G2013" s="1271"/>
      <c r="H2013" s="1250"/>
      <c r="I2013" s="1251"/>
      <c r="J2013" s="1271"/>
      <c r="K2013" s="1271"/>
      <c r="L2013" s="1254"/>
      <c r="M2013" s="1244"/>
      <c r="N2013" s="1275"/>
      <c r="O2013" s="1275"/>
      <c r="P2013" s="1244"/>
      <c r="Q2013" s="1244"/>
      <c r="R2013" s="1244"/>
      <c r="S2013" s="1265"/>
      <c r="T2013" s="1244"/>
      <c r="U2013" s="1244"/>
    </row>
    <row r="2014">
      <c r="A2014" s="1235"/>
      <c r="B2014" s="1235"/>
      <c r="C2014" s="1246"/>
      <c r="D2014" s="1274"/>
      <c r="E2014" s="1248"/>
      <c r="F2014" s="1248"/>
      <c r="G2014" s="1271"/>
      <c r="H2014" s="1250"/>
      <c r="I2014" s="1251"/>
      <c r="J2014" s="1271"/>
      <c r="K2014" s="1271"/>
      <c r="L2014" s="1254"/>
      <c r="M2014" s="1244"/>
      <c r="N2014" s="1275"/>
      <c r="O2014" s="1275"/>
      <c r="P2014" s="1244"/>
      <c r="Q2014" s="1244"/>
      <c r="R2014" s="1244"/>
      <c r="S2014" s="1265"/>
      <c r="T2014" s="1244"/>
      <c r="U2014" s="1244"/>
    </row>
    <row r="2015">
      <c r="A2015" s="1235"/>
      <c r="B2015" s="1235"/>
      <c r="C2015" s="1246"/>
      <c r="D2015" s="1274"/>
      <c r="E2015" s="1248"/>
      <c r="F2015" s="1248"/>
      <c r="G2015" s="1271"/>
      <c r="H2015" s="1250"/>
      <c r="I2015" s="1251"/>
      <c r="J2015" s="1271"/>
      <c r="K2015" s="1271"/>
      <c r="L2015" s="1254"/>
      <c r="M2015" s="1244"/>
      <c r="N2015" s="1275"/>
      <c r="O2015" s="1275"/>
      <c r="P2015" s="1244"/>
      <c r="Q2015" s="1244"/>
      <c r="R2015" s="1244"/>
      <c r="S2015" s="1265"/>
      <c r="T2015" s="1244"/>
      <c r="U2015" s="1244"/>
    </row>
    <row r="2016">
      <c r="A2016" s="1235"/>
      <c r="B2016" s="1235"/>
      <c r="C2016" s="1246"/>
      <c r="D2016" s="1274"/>
      <c r="E2016" s="1248"/>
      <c r="F2016" s="1248"/>
      <c r="G2016" s="1271"/>
      <c r="H2016" s="1250"/>
      <c r="I2016" s="1251"/>
      <c r="J2016" s="1271"/>
      <c r="K2016" s="1271"/>
      <c r="L2016" s="1254"/>
      <c r="M2016" s="1244"/>
      <c r="N2016" s="1275"/>
      <c r="O2016" s="1275"/>
      <c r="P2016" s="1244"/>
      <c r="Q2016" s="1244"/>
      <c r="R2016" s="1244"/>
      <c r="S2016" s="1265"/>
      <c r="T2016" s="1244"/>
      <c r="U2016" s="1244"/>
    </row>
    <row r="2017">
      <c r="A2017" s="1235"/>
      <c r="B2017" s="1235"/>
      <c r="C2017" s="1246"/>
      <c r="D2017" s="1274"/>
      <c r="E2017" s="1248"/>
      <c r="F2017" s="1248"/>
      <c r="G2017" s="1271"/>
      <c r="H2017" s="1250"/>
      <c r="I2017" s="1251"/>
      <c r="J2017" s="1271"/>
      <c r="K2017" s="1271"/>
      <c r="L2017" s="1254"/>
      <c r="M2017" s="1244"/>
      <c r="N2017" s="1275"/>
      <c r="O2017" s="1275"/>
      <c r="P2017" s="1244"/>
      <c r="Q2017" s="1244"/>
      <c r="R2017" s="1244"/>
      <c r="S2017" s="1265"/>
      <c r="T2017" s="1244"/>
      <c r="U2017" s="1244"/>
    </row>
    <row r="2018">
      <c r="A2018" s="1235"/>
      <c r="B2018" s="1235"/>
      <c r="C2018" s="1246"/>
      <c r="D2018" s="1274"/>
      <c r="E2018" s="1248"/>
      <c r="F2018" s="1248"/>
      <c r="G2018" s="1271"/>
      <c r="H2018" s="1250"/>
      <c r="I2018" s="1251"/>
      <c r="J2018" s="1271"/>
      <c r="K2018" s="1271"/>
      <c r="L2018" s="1254"/>
      <c r="M2018" s="1244"/>
      <c r="N2018" s="1275"/>
      <c r="O2018" s="1275"/>
      <c r="P2018" s="1244"/>
      <c r="Q2018" s="1244"/>
      <c r="R2018" s="1244"/>
      <c r="S2018" s="1265"/>
      <c r="T2018" s="1244"/>
      <c r="U2018" s="1244"/>
    </row>
    <row r="2019">
      <c r="A2019" s="1235"/>
      <c r="B2019" s="1235"/>
      <c r="C2019" s="1246"/>
      <c r="D2019" s="1274"/>
      <c r="E2019" s="1248"/>
      <c r="F2019" s="1248"/>
      <c r="G2019" s="1271"/>
      <c r="H2019" s="1250"/>
      <c r="I2019" s="1251"/>
      <c r="J2019" s="1271"/>
      <c r="K2019" s="1271"/>
      <c r="L2019" s="1254"/>
      <c r="M2019" s="1244"/>
      <c r="N2019" s="1275"/>
      <c r="O2019" s="1275"/>
      <c r="P2019" s="1244"/>
      <c r="Q2019" s="1244"/>
      <c r="R2019" s="1244"/>
      <c r="S2019" s="1265"/>
      <c r="T2019" s="1244"/>
      <c r="U2019" s="1244"/>
    </row>
    <row r="2020">
      <c r="A2020" s="1235"/>
      <c r="B2020" s="1235"/>
      <c r="C2020" s="1246"/>
      <c r="D2020" s="1274"/>
      <c r="E2020" s="1248"/>
      <c r="F2020" s="1248"/>
      <c r="G2020" s="1271"/>
      <c r="H2020" s="1250"/>
      <c r="I2020" s="1251"/>
      <c r="J2020" s="1271"/>
      <c r="K2020" s="1271"/>
      <c r="L2020" s="1254"/>
      <c r="M2020" s="1244"/>
      <c r="N2020" s="1275"/>
      <c r="O2020" s="1275"/>
      <c r="P2020" s="1244"/>
      <c r="Q2020" s="1244"/>
      <c r="R2020" s="1244"/>
      <c r="S2020" s="1265"/>
      <c r="T2020" s="1244"/>
      <c r="U2020" s="1244"/>
    </row>
    <row r="2021">
      <c r="A2021" s="1235"/>
      <c r="B2021" s="1235"/>
      <c r="C2021" s="1246"/>
      <c r="D2021" s="1274"/>
      <c r="E2021" s="1248"/>
      <c r="F2021" s="1248"/>
      <c r="G2021" s="1271"/>
      <c r="H2021" s="1250"/>
      <c r="I2021" s="1251"/>
      <c r="J2021" s="1271"/>
      <c r="K2021" s="1271"/>
      <c r="L2021" s="1254"/>
      <c r="M2021" s="1244"/>
      <c r="N2021" s="1275"/>
      <c r="O2021" s="1275"/>
      <c r="P2021" s="1244"/>
      <c r="Q2021" s="1244"/>
      <c r="R2021" s="1244"/>
      <c r="S2021" s="1265"/>
      <c r="T2021" s="1244"/>
      <c r="U2021" s="1244"/>
    </row>
    <row r="2022">
      <c r="A2022" s="1235"/>
      <c r="B2022" s="1235"/>
      <c r="C2022" s="1246"/>
      <c r="D2022" s="1274"/>
      <c r="E2022" s="1248"/>
      <c r="F2022" s="1248"/>
      <c r="G2022" s="1271"/>
      <c r="H2022" s="1250"/>
      <c r="I2022" s="1251"/>
      <c r="J2022" s="1271"/>
      <c r="K2022" s="1271"/>
      <c r="L2022" s="1254"/>
      <c r="M2022" s="1244"/>
      <c r="N2022" s="1275"/>
      <c r="O2022" s="1275"/>
      <c r="P2022" s="1244"/>
      <c r="Q2022" s="1244"/>
      <c r="R2022" s="1244"/>
      <c r="S2022" s="1265"/>
      <c r="T2022" s="1244"/>
      <c r="U2022" s="1244"/>
    </row>
    <row r="2023">
      <c r="A2023" s="1235"/>
      <c r="B2023" s="1235"/>
      <c r="C2023" s="1246"/>
      <c r="D2023" s="1274"/>
      <c r="E2023" s="1248"/>
      <c r="F2023" s="1248"/>
      <c r="G2023" s="1271"/>
      <c r="H2023" s="1250"/>
      <c r="I2023" s="1251"/>
      <c r="J2023" s="1271"/>
      <c r="K2023" s="1271"/>
      <c r="L2023" s="1254"/>
      <c r="M2023" s="1244"/>
      <c r="N2023" s="1275"/>
      <c r="O2023" s="1275"/>
      <c r="P2023" s="1244"/>
      <c r="Q2023" s="1244"/>
      <c r="R2023" s="1244"/>
      <c r="S2023" s="1265"/>
      <c r="T2023" s="1244"/>
      <c r="U2023" s="1244"/>
    </row>
    <row r="2024">
      <c r="A2024" s="1235"/>
      <c r="B2024" s="1235"/>
      <c r="C2024" s="1246"/>
      <c r="D2024" s="1274"/>
      <c r="E2024" s="1248"/>
      <c r="F2024" s="1248"/>
      <c r="G2024" s="1271"/>
      <c r="H2024" s="1250"/>
      <c r="I2024" s="1251"/>
      <c r="J2024" s="1271"/>
      <c r="K2024" s="1271"/>
      <c r="L2024" s="1254"/>
      <c r="M2024" s="1244"/>
      <c r="N2024" s="1275"/>
      <c r="O2024" s="1275"/>
      <c r="P2024" s="1244"/>
      <c r="Q2024" s="1244"/>
      <c r="R2024" s="1244"/>
      <c r="S2024" s="1265"/>
      <c r="T2024" s="1244"/>
      <c r="U2024" s="1244"/>
    </row>
    <row r="2025">
      <c r="A2025" s="1235"/>
      <c r="B2025" s="1235"/>
      <c r="C2025" s="1246"/>
      <c r="D2025" s="1274"/>
      <c r="E2025" s="1248"/>
      <c r="F2025" s="1248"/>
      <c r="G2025" s="1271"/>
      <c r="H2025" s="1250"/>
      <c r="I2025" s="1251"/>
      <c r="J2025" s="1271"/>
      <c r="K2025" s="1271"/>
      <c r="L2025" s="1254"/>
      <c r="M2025" s="1244"/>
      <c r="N2025" s="1275"/>
      <c r="O2025" s="1275"/>
      <c r="P2025" s="1244"/>
      <c r="Q2025" s="1244"/>
      <c r="R2025" s="1244"/>
      <c r="S2025" s="1265"/>
      <c r="T2025" s="1244"/>
      <c r="U2025" s="1244"/>
    </row>
    <row r="2026">
      <c r="A2026" s="1235"/>
      <c r="B2026" s="1235"/>
      <c r="C2026" s="1246"/>
      <c r="D2026" s="1274"/>
      <c r="E2026" s="1248"/>
      <c r="F2026" s="1248"/>
      <c r="G2026" s="1271"/>
      <c r="H2026" s="1250"/>
      <c r="I2026" s="1251"/>
      <c r="J2026" s="1271"/>
      <c r="K2026" s="1271"/>
      <c r="L2026" s="1254"/>
      <c r="M2026" s="1244"/>
      <c r="N2026" s="1275"/>
      <c r="O2026" s="1275"/>
      <c r="P2026" s="1244"/>
      <c r="Q2026" s="1244"/>
      <c r="R2026" s="1244"/>
      <c r="S2026" s="1265"/>
      <c r="T2026" s="1244"/>
      <c r="U2026" s="1244"/>
    </row>
    <row r="2027">
      <c r="A2027" s="1235"/>
      <c r="B2027" s="1235"/>
      <c r="C2027" s="1246"/>
      <c r="D2027" s="1274"/>
      <c r="E2027" s="1248"/>
      <c r="F2027" s="1248"/>
      <c r="G2027" s="1271"/>
      <c r="H2027" s="1250"/>
      <c r="I2027" s="1251"/>
      <c r="J2027" s="1271"/>
      <c r="K2027" s="1271"/>
      <c r="L2027" s="1254"/>
      <c r="M2027" s="1244"/>
      <c r="N2027" s="1275"/>
      <c r="O2027" s="1275"/>
      <c r="P2027" s="1244"/>
      <c r="Q2027" s="1244"/>
      <c r="R2027" s="1244"/>
      <c r="S2027" s="1265"/>
      <c r="T2027" s="1244"/>
      <c r="U2027" s="1244"/>
    </row>
    <row r="2028">
      <c r="A2028" s="1235"/>
      <c r="B2028" s="1235"/>
      <c r="C2028" s="1246"/>
      <c r="D2028" s="1274"/>
      <c r="E2028" s="1248"/>
      <c r="F2028" s="1248"/>
      <c r="G2028" s="1271"/>
      <c r="H2028" s="1250"/>
      <c r="I2028" s="1251"/>
      <c r="J2028" s="1271"/>
      <c r="K2028" s="1271"/>
      <c r="L2028" s="1254"/>
      <c r="M2028" s="1244"/>
      <c r="N2028" s="1275"/>
      <c r="O2028" s="1275"/>
      <c r="P2028" s="1244"/>
      <c r="Q2028" s="1244"/>
      <c r="R2028" s="1244"/>
      <c r="S2028" s="1265"/>
      <c r="T2028" s="1244"/>
      <c r="U2028" s="1244"/>
    </row>
    <row r="2029">
      <c r="A2029" s="1235"/>
      <c r="B2029" s="1235"/>
      <c r="C2029" s="1246"/>
      <c r="D2029" s="1274"/>
      <c r="E2029" s="1248"/>
      <c r="F2029" s="1248"/>
      <c r="G2029" s="1271"/>
      <c r="H2029" s="1250"/>
      <c r="I2029" s="1251"/>
      <c r="J2029" s="1271"/>
      <c r="K2029" s="1271"/>
      <c r="L2029" s="1254"/>
      <c r="M2029" s="1244"/>
      <c r="N2029" s="1275"/>
      <c r="O2029" s="1275"/>
      <c r="P2029" s="1244"/>
      <c r="Q2029" s="1244"/>
      <c r="R2029" s="1244"/>
      <c r="S2029" s="1265"/>
      <c r="T2029" s="1244"/>
      <c r="U2029" s="1244"/>
    </row>
    <row r="2030">
      <c r="A2030" s="1235"/>
      <c r="B2030" s="1235"/>
      <c r="C2030" s="1246"/>
      <c r="D2030" s="1274"/>
      <c r="E2030" s="1248"/>
      <c r="F2030" s="1248"/>
      <c r="G2030" s="1271"/>
      <c r="H2030" s="1250"/>
      <c r="I2030" s="1251"/>
      <c r="J2030" s="1271"/>
      <c r="K2030" s="1271"/>
      <c r="L2030" s="1254"/>
      <c r="M2030" s="1244"/>
      <c r="N2030" s="1275"/>
      <c r="O2030" s="1275"/>
      <c r="P2030" s="1244"/>
      <c r="Q2030" s="1244"/>
      <c r="R2030" s="1244"/>
      <c r="S2030" s="1265"/>
      <c r="T2030" s="1244"/>
      <c r="U2030" s="1244"/>
    </row>
    <row r="2031">
      <c r="A2031" s="1235"/>
      <c r="B2031" s="1235"/>
      <c r="C2031" s="1246"/>
      <c r="D2031" s="1274"/>
      <c r="E2031" s="1248"/>
      <c r="F2031" s="1248"/>
      <c r="G2031" s="1271"/>
      <c r="H2031" s="1250"/>
      <c r="I2031" s="1251"/>
      <c r="J2031" s="1271"/>
      <c r="K2031" s="1271"/>
      <c r="L2031" s="1254"/>
      <c r="M2031" s="1244"/>
      <c r="N2031" s="1275"/>
      <c r="O2031" s="1275"/>
      <c r="P2031" s="1244"/>
      <c r="Q2031" s="1244"/>
      <c r="R2031" s="1244"/>
      <c r="S2031" s="1265"/>
      <c r="T2031" s="1244"/>
      <c r="U2031" s="1244"/>
    </row>
    <row r="2032">
      <c r="A2032" s="1235"/>
      <c r="B2032" s="1235"/>
      <c r="C2032" s="1246"/>
      <c r="D2032" s="1274"/>
      <c r="E2032" s="1248"/>
      <c r="F2032" s="1248"/>
      <c r="G2032" s="1271"/>
      <c r="H2032" s="1250"/>
      <c r="I2032" s="1251"/>
      <c r="J2032" s="1271"/>
      <c r="K2032" s="1271"/>
      <c r="L2032" s="1254"/>
      <c r="M2032" s="1244"/>
      <c r="N2032" s="1275"/>
      <c r="O2032" s="1275"/>
      <c r="P2032" s="1244"/>
      <c r="Q2032" s="1244"/>
      <c r="R2032" s="1244"/>
      <c r="S2032" s="1265"/>
      <c r="T2032" s="1244"/>
      <c r="U2032" s="1244"/>
    </row>
    <row r="2033">
      <c r="A2033" s="1235"/>
      <c r="B2033" s="1235"/>
      <c r="C2033" s="1246"/>
      <c r="D2033" s="1274"/>
      <c r="E2033" s="1248"/>
      <c r="F2033" s="1248"/>
      <c r="G2033" s="1271"/>
      <c r="H2033" s="1250"/>
      <c r="I2033" s="1251"/>
      <c r="J2033" s="1271"/>
      <c r="K2033" s="1271"/>
      <c r="L2033" s="1254"/>
      <c r="M2033" s="1244"/>
      <c r="N2033" s="1275"/>
      <c r="O2033" s="1275"/>
      <c r="P2033" s="1244"/>
      <c r="Q2033" s="1244"/>
      <c r="R2033" s="1244"/>
      <c r="S2033" s="1265"/>
      <c r="T2033" s="1244"/>
      <c r="U2033" s="1244"/>
    </row>
    <row r="2034">
      <c r="A2034" s="1235"/>
      <c r="B2034" s="1235"/>
      <c r="C2034" s="1246"/>
      <c r="D2034" s="1274"/>
      <c r="E2034" s="1248"/>
      <c r="F2034" s="1248"/>
      <c r="G2034" s="1271"/>
      <c r="H2034" s="1250"/>
      <c r="I2034" s="1251"/>
      <c r="J2034" s="1271"/>
      <c r="K2034" s="1271"/>
      <c r="L2034" s="1254"/>
      <c r="M2034" s="1244"/>
      <c r="N2034" s="1275"/>
      <c r="O2034" s="1275"/>
      <c r="P2034" s="1244"/>
      <c r="Q2034" s="1244"/>
      <c r="R2034" s="1244"/>
      <c r="S2034" s="1265"/>
      <c r="T2034" s="1244"/>
      <c r="U2034" s="1244"/>
    </row>
    <row r="2035">
      <c r="A2035" s="1235"/>
      <c r="B2035" s="1235"/>
      <c r="C2035" s="1246"/>
      <c r="D2035" s="1274"/>
      <c r="E2035" s="1248"/>
      <c r="F2035" s="1248"/>
      <c r="G2035" s="1271"/>
      <c r="H2035" s="1250"/>
      <c r="I2035" s="1251"/>
      <c r="J2035" s="1271"/>
      <c r="K2035" s="1271"/>
      <c r="L2035" s="1254"/>
      <c r="M2035" s="1244"/>
      <c r="N2035" s="1275"/>
      <c r="O2035" s="1275"/>
      <c r="P2035" s="1244"/>
      <c r="Q2035" s="1244"/>
      <c r="R2035" s="1244"/>
      <c r="S2035" s="1265"/>
      <c r="T2035" s="1244"/>
      <c r="U2035" s="1244"/>
    </row>
    <row r="2036">
      <c r="A2036" s="1235"/>
      <c r="B2036" s="1235"/>
      <c r="C2036" s="1246"/>
      <c r="D2036" s="1274"/>
      <c r="E2036" s="1248"/>
      <c r="F2036" s="1248"/>
      <c r="G2036" s="1271"/>
      <c r="H2036" s="1250"/>
      <c r="I2036" s="1251"/>
      <c r="J2036" s="1271"/>
      <c r="K2036" s="1271"/>
      <c r="L2036" s="1254"/>
      <c r="M2036" s="1244"/>
      <c r="N2036" s="1275"/>
      <c r="O2036" s="1275"/>
      <c r="P2036" s="1244"/>
      <c r="Q2036" s="1244"/>
      <c r="R2036" s="1244"/>
      <c r="S2036" s="1265"/>
      <c r="T2036" s="1244"/>
      <c r="U2036" s="1244"/>
    </row>
    <row r="2037">
      <c r="A2037" s="1235"/>
      <c r="B2037" s="1235"/>
      <c r="C2037" s="1246"/>
      <c r="D2037" s="1274"/>
      <c r="E2037" s="1248"/>
      <c r="F2037" s="1248"/>
      <c r="G2037" s="1271"/>
      <c r="H2037" s="1250"/>
      <c r="I2037" s="1251"/>
      <c r="J2037" s="1271"/>
      <c r="K2037" s="1271"/>
      <c r="L2037" s="1254"/>
      <c r="M2037" s="1244"/>
      <c r="N2037" s="1275"/>
      <c r="O2037" s="1275"/>
      <c r="P2037" s="1244"/>
      <c r="Q2037" s="1244"/>
      <c r="R2037" s="1244"/>
      <c r="S2037" s="1265"/>
      <c r="T2037" s="1244"/>
      <c r="U2037" s="1244"/>
    </row>
    <row r="2038">
      <c r="A2038" s="1235"/>
      <c r="B2038" s="1235"/>
      <c r="C2038" s="1246"/>
      <c r="D2038" s="1274"/>
      <c r="E2038" s="1248"/>
      <c r="F2038" s="1248"/>
      <c r="G2038" s="1271"/>
      <c r="H2038" s="1250"/>
      <c r="I2038" s="1251"/>
      <c r="J2038" s="1271"/>
      <c r="K2038" s="1271"/>
      <c r="L2038" s="1254"/>
      <c r="M2038" s="1244"/>
      <c r="N2038" s="1275"/>
      <c r="O2038" s="1275"/>
      <c r="P2038" s="1244"/>
      <c r="Q2038" s="1244"/>
      <c r="R2038" s="1244"/>
      <c r="S2038" s="1265"/>
      <c r="T2038" s="1244"/>
      <c r="U2038" s="1244"/>
    </row>
    <row r="2039">
      <c r="A2039" s="1235"/>
      <c r="B2039" s="1235"/>
      <c r="C2039" s="1246"/>
      <c r="D2039" s="1274"/>
      <c r="E2039" s="1248"/>
      <c r="F2039" s="1248"/>
      <c r="G2039" s="1271"/>
      <c r="H2039" s="1250"/>
      <c r="I2039" s="1251"/>
      <c r="J2039" s="1271"/>
      <c r="K2039" s="1271"/>
      <c r="L2039" s="1254"/>
      <c r="M2039" s="1244"/>
      <c r="N2039" s="1275"/>
      <c r="O2039" s="1275"/>
      <c r="P2039" s="1244"/>
      <c r="Q2039" s="1244"/>
      <c r="R2039" s="1244"/>
      <c r="S2039" s="1265"/>
      <c r="T2039" s="1244"/>
      <c r="U2039" s="1244"/>
    </row>
    <row r="2040">
      <c r="A2040" s="1235"/>
      <c r="B2040" s="1235"/>
      <c r="C2040" s="1246"/>
      <c r="D2040" s="1274"/>
      <c r="E2040" s="1248"/>
      <c r="F2040" s="1248"/>
      <c r="G2040" s="1271"/>
      <c r="H2040" s="1250"/>
      <c r="I2040" s="1251"/>
      <c r="J2040" s="1271"/>
      <c r="K2040" s="1271"/>
      <c r="L2040" s="1254"/>
      <c r="M2040" s="1244"/>
      <c r="N2040" s="1275"/>
      <c r="O2040" s="1275"/>
      <c r="P2040" s="1244"/>
      <c r="Q2040" s="1244"/>
      <c r="R2040" s="1244"/>
      <c r="S2040" s="1265"/>
      <c r="T2040" s="1244"/>
      <c r="U2040" s="1244"/>
    </row>
    <row r="2041">
      <c r="A2041" s="1235"/>
      <c r="B2041" s="1235"/>
      <c r="C2041" s="1246"/>
      <c r="D2041" s="1274"/>
      <c r="E2041" s="1248"/>
      <c r="F2041" s="1248"/>
      <c r="G2041" s="1271"/>
      <c r="H2041" s="1250"/>
      <c r="I2041" s="1251"/>
      <c r="J2041" s="1271"/>
      <c r="K2041" s="1271"/>
      <c r="L2041" s="1254"/>
      <c r="M2041" s="1244"/>
      <c r="N2041" s="1275"/>
      <c r="O2041" s="1275"/>
      <c r="P2041" s="1244"/>
      <c r="Q2041" s="1244"/>
      <c r="R2041" s="1244"/>
      <c r="S2041" s="1265"/>
      <c r="T2041" s="1244"/>
      <c r="U2041" s="1244"/>
    </row>
    <row r="2042">
      <c r="A2042" s="1235"/>
      <c r="B2042" s="1235"/>
      <c r="C2042" s="1246"/>
      <c r="D2042" s="1274"/>
      <c r="E2042" s="1248"/>
      <c r="F2042" s="1248"/>
      <c r="G2042" s="1271"/>
      <c r="H2042" s="1250"/>
      <c r="I2042" s="1251"/>
      <c r="J2042" s="1271"/>
      <c r="K2042" s="1271"/>
      <c r="L2042" s="1254"/>
      <c r="M2042" s="1244"/>
      <c r="N2042" s="1275"/>
      <c r="O2042" s="1275"/>
      <c r="P2042" s="1244"/>
      <c r="Q2042" s="1244"/>
      <c r="R2042" s="1244"/>
      <c r="S2042" s="1265"/>
      <c r="T2042" s="1244"/>
      <c r="U2042" s="1244"/>
    </row>
    <row r="2043">
      <c r="A2043" s="1235"/>
      <c r="B2043" s="1235"/>
      <c r="C2043" s="1246"/>
      <c r="D2043" s="1274"/>
      <c r="E2043" s="1248"/>
      <c r="F2043" s="1248"/>
      <c r="G2043" s="1271"/>
      <c r="H2043" s="1250"/>
      <c r="I2043" s="1251"/>
      <c r="J2043" s="1271"/>
      <c r="K2043" s="1271"/>
      <c r="L2043" s="1254"/>
      <c r="M2043" s="1244"/>
      <c r="N2043" s="1275"/>
      <c r="O2043" s="1275"/>
      <c r="P2043" s="1244"/>
      <c r="Q2043" s="1244"/>
      <c r="R2043" s="1244"/>
      <c r="S2043" s="1265"/>
      <c r="T2043" s="1244"/>
      <c r="U2043" s="1244"/>
    </row>
    <row r="2044">
      <c r="A2044" s="1235"/>
      <c r="B2044" s="1235"/>
      <c r="C2044" s="1246"/>
      <c r="D2044" s="1274"/>
      <c r="E2044" s="1248"/>
      <c r="F2044" s="1248"/>
      <c r="G2044" s="1271"/>
      <c r="H2044" s="1250"/>
      <c r="I2044" s="1251"/>
      <c r="J2044" s="1271"/>
      <c r="K2044" s="1271"/>
      <c r="L2044" s="1254"/>
      <c r="M2044" s="1244"/>
      <c r="N2044" s="1275"/>
      <c r="O2044" s="1275"/>
      <c r="P2044" s="1244"/>
      <c r="Q2044" s="1244"/>
      <c r="R2044" s="1244"/>
      <c r="S2044" s="1265"/>
      <c r="T2044" s="1244"/>
      <c r="U2044" s="1244"/>
    </row>
    <row r="2045">
      <c r="A2045" s="1235"/>
      <c r="B2045" s="1235"/>
      <c r="C2045" s="1246"/>
      <c r="D2045" s="1274"/>
      <c r="E2045" s="1248"/>
      <c r="F2045" s="1248"/>
      <c r="G2045" s="1271"/>
      <c r="H2045" s="1250"/>
      <c r="I2045" s="1251"/>
      <c r="J2045" s="1271"/>
      <c r="K2045" s="1271"/>
      <c r="L2045" s="1254"/>
      <c r="M2045" s="1244"/>
      <c r="N2045" s="1275"/>
      <c r="O2045" s="1275"/>
      <c r="P2045" s="1244"/>
      <c r="Q2045" s="1244"/>
      <c r="R2045" s="1244"/>
      <c r="S2045" s="1265"/>
      <c r="T2045" s="1244"/>
      <c r="U2045" s="1244"/>
    </row>
    <row r="2046">
      <c r="A2046" s="1235"/>
      <c r="B2046" s="1235"/>
      <c r="C2046" s="1246"/>
      <c r="D2046" s="1274"/>
      <c r="E2046" s="1248"/>
      <c r="F2046" s="1248"/>
      <c r="G2046" s="1271"/>
      <c r="H2046" s="1250"/>
      <c r="I2046" s="1251"/>
      <c r="J2046" s="1271"/>
      <c r="K2046" s="1271"/>
      <c r="L2046" s="1254"/>
      <c r="M2046" s="1244"/>
      <c r="N2046" s="1275"/>
      <c r="O2046" s="1275"/>
      <c r="P2046" s="1244"/>
      <c r="Q2046" s="1244"/>
      <c r="R2046" s="1244"/>
      <c r="S2046" s="1265"/>
      <c r="T2046" s="1244"/>
      <c r="U2046" s="1244"/>
    </row>
    <row r="2047">
      <c r="A2047" s="1235"/>
      <c r="B2047" s="1235"/>
      <c r="C2047" s="1246"/>
      <c r="D2047" s="1274"/>
      <c r="E2047" s="1248"/>
      <c r="F2047" s="1248"/>
      <c r="G2047" s="1271"/>
      <c r="H2047" s="1250"/>
      <c r="I2047" s="1251"/>
      <c r="J2047" s="1271"/>
      <c r="K2047" s="1271"/>
      <c r="L2047" s="1254"/>
      <c r="M2047" s="1244"/>
      <c r="N2047" s="1275"/>
      <c r="O2047" s="1275"/>
      <c r="P2047" s="1244"/>
      <c r="Q2047" s="1244"/>
      <c r="R2047" s="1244"/>
      <c r="S2047" s="1265"/>
      <c r="T2047" s="1244"/>
      <c r="U2047" s="1244"/>
    </row>
    <row r="2048">
      <c r="A2048" s="1235"/>
      <c r="B2048" s="1235"/>
      <c r="C2048" s="1246"/>
      <c r="D2048" s="1274"/>
      <c r="E2048" s="1248"/>
      <c r="F2048" s="1248"/>
      <c r="G2048" s="1271"/>
      <c r="H2048" s="1250"/>
      <c r="I2048" s="1251"/>
      <c r="J2048" s="1271"/>
      <c r="K2048" s="1271"/>
      <c r="L2048" s="1254"/>
      <c r="M2048" s="1244"/>
      <c r="N2048" s="1275"/>
      <c r="O2048" s="1275"/>
      <c r="P2048" s="1244"/>
      <c r="Q2048" s="1244"/>
      <c r="R2048" s="1244"/>
      <c r="S2048" s="1265"/>
      <c r="T2048" s="1244"/>
      <c r="U2048" s="1244"/>
    </row>
    <row r="2049">
      <c r="A2049" s="1235"/>
      <c r="B2049" s="1235"/>
      <c r="C2049" s="1246"/>
      <c r="D2049" s="1274"/>
      <c r="E2049" s="1248"/>
      <c r="F2049" s="1248"/>
      <c r="G2049" s="1271"/>
      <c r="H2049" s="1250"/>
      <c r="I2049" s="1251"/>
      <c r="J2049" s="1271"/>
      <c r="K2049" s="1271"/>
      <c r="L2049" s="1254"/>
      <c r="M2049" s="1244"/>
      <c r="N2049" s="1275"/>
      <c r="O2049" s="1275"/>
      <c r="P2049" s="1244"/>
      <c r="Q2049" s="1244"/>
      <c r="R2049" s="1244"/>
      <c r="S2049" s="1265"/>
      <c r="T2049" s="1244"/>
      <c r="U2049" s="1244"/>
    </row>
    <row r="2050">
      <c r="A2050" s="1235"/>
      <c r="B2050" s="1235"/>
      <c r="C2050" s="1246"/>
      <c r="D2050" s="1274"/>
      <c r="E2050" s="1248"/>
      <c r="F2050" s="1248"/>
      <c r="G2050" s="1271"/>
      <c r="H2050" s="1250"/>
      <c r="I2050" s="1251"/>
      <c r="J2050" s="1271"/>
      <c r="K2050" s="1271"/>
      <c r="L2050" s="1254"/>
      <c r="M2050" s="1244"/>
      <c r="N2050" s="1275"/>
      <c r="O2050" s="1275"/>
      <c r="P2050" s="1244"/>
      <c r="Q2050" s="1244"/>
      <c r="R2050" s="1244"/>
      <c r="S2050" s="1265"/>
      <c r="T2050" s="1244"/>
      <c r="U2050" s="1244"/>
    </row>
    <row r="2051">
      <c r="A2051" s="1235"/>
      <c r="B2051" s="1235"/>
      <c r="C2051" s="1246"/>
      <c r="D2051" s="1274"/>
      <c r="E2051" s="1248"/>
      <c r="F2051" s="1248"/>
      <c r="G2051" s="1271"/>
      <c r="H2051" s="1250"/>
      <c r="I2051" s="1251"/>
      <c r="J2051" s="1271"/>
      <c r="K2051" s="1271"/>
      <c r="L2051" s="1254"/>
      <c r="M2051" s="1244"/>
      <c r="N2051" s="1275"/>
      <c r="O2051" s="1275"/>
      <c r="P2051" s="1244"/>
      <c r="Q2051" s="1244"/>
      <c r="R2051" s="1244"/>
      <c r="S2051" s="1265"/>
      <c r="T2051" s="1244"/>
      <c r="U2051" s="1244"/>
    </row>
    <row r="2052">
      <c r="A2052" s="1235"/>
      <c r="B2052" s="1235"/>
      <c r="C2052" s="1246"/>
      <c r="D2052" s="1274"/>
      <c r="E2052" s="1248"/>
      <c r="F2052" s="1248"/>
      <c r="G2052" s="1271"/>
      <c r="H2052" s="1250"/>
      <c r="I2052" s="1251"/>
      <c r="J2052" s="1271"/>
      <c r="K2052" s="1271"/>
      <c r="L2052" s="1254"/>
      <c r="M2052" s="1244"/>
      <c r="N2052" s="1275"/>
      <c r="O2052" s="1275"/>
      <c r="P2052" s="1244"/>
      <c r="Q2052" s="1244"/>
      <c r="R2052" s="1244"/>
      <c r="S2052" s="1265"/>
      <c r="T2052" s="1244"/>
      <c r="U2052" s="1244"/>
    </row>
    <row r="2053">
      <c r="A2053" s="1235"/>
      <c r="B2053" s="1235"/>
      <c r="C2053" s="1246"/>
      <c r="D2053" s="1274"/>
      <c r="E2053" s="1248"/>
      <c r="F2053" s="1248"/>
      <c r="G2053" s="1271"/>
      <c r="H2053" s="1250"/>
      <c r="I2053" s="1251"/>
      <c r="J2053" s="1271"/>
      <c r="K2053" s="1271"/>
      <c r="L2053" s="1254"/>
      <c r="M2053" s="1244"/>
      <c r="N2053" s="1275"/>
      <c r="O2053" s="1275"/>
      <c r="P2053" s="1244"/>
      <c r="Q2053" s="1244"/>
      <c r="R2053" s="1244"/>
      <c r="S2053" s="1265"/>
      <c r="T2053" s="1244"/>
      <c r="U2053" s="1244"/>
    </row>
    <row r="2054">
      <c r="A2054" s="1235"/>
      <c r="B2054" s="1235"/>
      <c r="C2054" s="1246"/>
      <c r="D2054" s="1274"/>
      <c r="E2054" s="1248"/>
      <c r="F2054" s="1248"/>
      <c r="G2054" s="1271"/>
      <c r="H2054" s="1250"/>
      <c r="I2054" s="1251"/>
      <c r="J2054" s="1271"/>
      <c r="K2054" s="1271"/>
      <c r="L2054" s="1254"/>
      <c r="M2054" s="1244"/>
      <c r="N2054" s="1275"/>
      <c r="O2054" s="1275"/>
      <c r="P2054" s="1244"/>
      <c r="Q2054" s="1244"/>
      <c r="R2054" s="1244"/>
      <c r="S2054" s="1265"/>
      <c r="T2054" s="1244"/>
      <c r="U2054" s="1244"/>
    </row>
    <row r="2055">
      <c r="A2055" s="1235"/>
      <c r="B2055" s="1235"/>
      <c r="C2055" s="1246"/>
      <c r="D2055" s="1274"/>
      <c r="E2055" s="1248"/>
      <c r="F2055" s="1248"/>
      <c r="G2055" s="1271"/>
      <c r="H2055" s="1250"/>
      <c r="I2055" s="1251"/>
      <c r="J2055" s="1271"/>
      <c r="K2055" s="1271"/>
      <c r="L2055" s="1254"/>
      <c r="M2055" s="1244"/>
      <c r="N2055" s="1275"/>
      <c r="O2055" s="1275"/>
      <c r="P2055" s="1244"/>
      <c r="Q2055" s="1244"/>
      <c r="R2055" s="1244"/>
      <c r="S2055" s="1265"/>
      <c r="T2055" s="1244"/>
      <c r="U2055" s="1244"/>
    </row>
    <row r="2056">
      <c r="A2056" s="1235"/>
      <c r="B2056" s="1235"/>
      <c r="C2056" s="1246"/>
      <c r="D2056" s="1274"/>
      <c r="E2056" s="1248"/>
      <c r="F2056" s="1248"/>
      <c r="G2056" s="1271"/>
      <c r="H2056" s="1250"/>
      <c r="I2056" s="1251"/>
      <c r="J2056" s="1271"/>
      <c r="K2056" s="1271"/>
      <c r="L2056" s="1254"/>
      <c r="M2056" s="1244"/>
      <c r="N2056" s="1275"/>
      <c r="O2056" s="1275"/>
      <c r="P2056" s="1244"/>
      <c r="Q2056" s="1244"/>
      <c r="R2056" s="1244"/>
      <c r="S2056" s="1265"/>
      <c r="T2056" s="1244"/>
      <c r="U2056" s="1244"/>
    </row>
    <row r="2057">
      <c r="A2057" s="1235"/>
      <c r="B2057" s="1235"/>
      <c r="C2057" s="1246"/>
      <c r="D2057" s="1274"/>
      <c r="E2057" s="1248"/>
      <c r="F2057" s="1248"/>
      <c r="G2057" s="1271"/>
      <c r="H2057" s="1250"/>
      <c r="I2057" s="1251"/>
      <c r="J2057" s="1271"/>
      <c r="K2057" s="1271"/>
      <c r="L2057" s="1254"/>
      <c r="M2057" s="1244"/>
      <c r="N2057" s="1275"/>
      <c r="O2057" s="1275"/>
      <c r="P2057" s="1244"/>
      <c r="Q2057" s="1244"/>
      <c r="R2057" s="1244"/>
      <c r="S2057" s="1265"/>
      <c r="T2057" s="1244"/>
      <c r="U2057" s="1244"/>
    </row>
    <row r="2058">
      <c r="A2058" s="1235"/>
      <c r="B2058" s="1235"/>
      <c r="C2058" s="1246"/>
      <c r="D2058" s="1274"/>
      <c r="E2058" s="1248"/>
      <c r="F2058" s="1248"/>
      <c r="G2058" s="1271"/>
      <c r="H2058" s="1250"/>
      <c r="I2058" s="1251"/>
      <c r="J2058" s="1271"/>
      <c r="K2058" s="1271"/>
      <c r="L2058" s="1254"/>
      <c r="M2058" s="1244"/>
      <c r="N2058" s="1275"/>
      <c r="O2058" s="1275"/>
      <c r="P2058" s="1244"/>
      <c r="Q2058" s="1244"/>
      <c r="R2058" s="1244"/>
      <c r="S2058" s="1265"/>
      <c r="T2058" s="1244"/>
      <c r="U2058" s="1244"/>
    </row>
    <row r="2059">
      <c r="A2059" s="1235"/>
      <c r="B2059" s="1235"/>
      <c r="C2059" s="1246"/>
      <c r="D2059" s="1274"/>
      <c r="E2059" s="1248"/>
      <c r="F2059" s="1248"/>
      <c r="G2059" s="1271"/>
      <c r="H2059" s="1250"/>
      <c r="I2059" s="1251"/>
      <c r="J2059" s="1271"/>
      <c r="K2059" s="1271"/>
      <c r="L2059" s="1254"/>
      <c r="M2059" s="1244"/>
      <c r="N2059" s="1275"/>
      <c r="O2059" s="1275"/>
      <c r="P2059" s="1244"/>
      <c r="Q2059" s="1244"/>
      <c r="R2059" s="1244"/>
      <c r="S2059" s="1265"/>
      <c r="T2059" s="1244"/>
      <c r="U2059" s="1244"/>
    </row>
    <row r="2060">
      <c r="A2060" s="1235"/>
      <c r="B2060" s="1235"/>
      <c r="C2060" s="1246"/>
      <c r="D2060" s="1274"/>
      <c r="E2060" s="1248"/>
      <c r="F2060" s="1248"/>
      <c r="G2060" s="1271"/>
      <c r="H2060" s="1250"/>
      <c r="I2060" s="1251"/>
      <c r="J2060" s="1271"/>
      <c r="K2060" s="1271"/>
      <c r="L2060" s="1254"/>
      <c r="M2060" s="1244"/>
      <c r="N2060" s="1275"/>
      <c r="O2060" s="1275"/>
      <c r="P2060" s="1244"/>
      <c r="Q2060" s="1244"/>
      <c r="R2060" s="1244"/>
      <c r="S2060" s="1265"/>
      <c r="T2060" s="1244"/>
      <c r="U2060" s="1244"/>
    </row>
    <row r="2061">
      <c r="A2061" s="1235"/>
      <c r="B2061" s="1235"/>
      <c r="C2061" s="1246"/>
      <c r="D2061" s="1274"/>
      <c r="E2061" s="1248"/>
      <c r="F2061" s="1248"/>
      <c r="G2061" s="1271"/>
      <c r="H2061" s="1250"/>
      <c r="I2061" s="1251"/>
      <c r="J2061" s="1271"/>
      <c r="K2061" s="1271"/>
      <c r="L2061" s="1254"/>
      <c r="M2061" s="1244"/>
      <c r="N2061" s="1275"/>
      <c r="O2061" s="1275"/>
      <c r="P2061" s="1244"/>
      <c r="Q2061" s="1244"/>
      <c r="R2061" s="1244"/>
      <c r="S2061" s="1265"/>
      <c r="T2061" s="1244"/>
      <c r="U2061" s="1244"/>
    </row>
    <row r="2062">
      <c r="A2062" s="1235"/>
      <c r="B2062" s="1235"/>
      <c r="C2062" s="1246"/>
      <c r="D2062" s="1274"/>
      <c r="E2062" s="1248"/>
      <c r="F2062" s="1248"/>
      <c r="G2062" s="1271"/>
      <c r="H2062" s="1250"/>
      <c r="I2062" s="1251"/>
      <c r="J2062" s="1271"/>
      <c r="K2062" s="1271"/>
      <c r="L2062" s="1254"/>
      <c r="M2062" s="1244"/>
      <c r="N2062" s="1275"/>
      <c r="O2062" s="1275"/>
      <c r="P2062" s="1244"/>
      <c r="Q2062" s="1244"/>
      <c r="R2062" s="1244"/>
      <c r="S2062" s="1265"/>
      <c r="T2062" s="1244"/>
      <c r="U2062" s="1244"/>
    </row>
    <row r="2063">
      <c r="A2063" s="1235"/>
      <c r="B2063" s="1235"/>
      <c r="C2063" s="1246"/>
      <c r="D2063" s="1274"/>
      <c r="E2063" s="1248"/>
      <c r="F2063" s="1248"/>
      <c r="G2063" s="1271"/>
      <c r="H2063" s="1250"/>
      <c r="I2063" s="1251"/>
      <c r="J2063" s="1271"/>
      <c r="K2063" s="1271"/>
      <c r="L2063" s="1254"/>
      <c r="M2063" s="1244"/>
      <c r="N2063" s="1275"/>
      <c r="O2063" s="1275"/>
      <c r="P2063" s="1244"/>
      <c r="Q2063" s="1244"/>
      <c r="R2063" s="1244"/>
      <c r="S2063" s="1265"/>
      <c r="T2063" s="1244"/>
      <c r="U2063" s="1244"/>
    </row>
    <row r="2064">
      <c r="A2064" s="1235"/>
      <c r="B2064" s="1235"/>
      <c r="C2064" s="1246"/>
      <c r="D2064" s="1274"/>
      <c r="E2064" s="1248"/>
      <c r="F2064" s="1248"/>
      <c r="G2064" s="1271"/>
      <c r="H2064" s="1250"/>
      <c r="I2064" s="1251"/>
      <c r="J2064" s="1271"/>
      <c r="K2064" s="1271"/>
      <c r="L2064" s="1254"/>
      <c r="M2064" s="1244"/>
      <c r="N2064" s="1275"/>
      <c r="O2064" s="1275"/>
      <c r="P2064" s="1244"/>
      <c r="Q2064" s="1244"/>
      <c r="R2064" s="1244"/>
      <c r="S2064" s="1265"/>
      <c r="T2064" s="1244"/>
      <c r="U2064" s="1244"/>
    </row>
    <row r="2065">
      <c r="A2065" s="1235"/>
      <c r="B2065" s="1235"/>
      <c r="C2065" s="1246"/>
      <c r="D2065" s="1274"/>
      <c r="E2065" s="1248"/>
      <c r="F2065" s="1248"/>
      <c r="G2065" s="1271"/>
      <c r="H2065" s="1250"/>
      <c r="I2065" s="1251"/>
      <c r="J2065" s="1271"/>
      <c r="K2065" s="1271"/>
      <c r="L2065" s="1254"/>
      <c r="M2065" s="1244"/>
      <c r="N2065" s="1275"/>
      <c r="O2065" s="1275"/>
      <c r="P2065" s="1244"/>
      <c r="Q2065" s="1244"/>
      <c r="R2065" s="1244"/>
      <c r="S2065" s="1265"/>
      <c r="T2065" s="1244"/>
      <c r="U2065" s="1244"/>
    </row>
    <row r="2066">
      <c r="A2066" s="1235"/>
      <c r="B2066" s="1235"/>
      <c r="C2066" s="1246"/>
      <c r="D2066" s="1274"/>
      <c r="E2066" s="1248"/>
      <c r="F2066" s="1248"/>
      <c r="G2066" s="1271"/>
      <c r="H2066" s="1250"/>
      <c r="I2066" s="1251"/>
      <c r="J2066" s="1271"/>
      <c r="K2066" s="1271"/>
      <c r="L2066" s="1254"/>
      <c r="M2066" s="1244"/>
      <c r="N2066" s="1275"/>
      <c r="O2066" s="1275"/>
      <c r="P2066" s="1244"/>
      <c r="Q2066" s="1244"/>
      <c r="R2066" s="1244"/>
      <c r="S2066" s="1265"/>
      <c r="T2066" s="1244"/>
      <c r="U2066" s="1244"/>
    </row>
    <row r="2067">
      <c r="A2067" s="1235"/>
      <c r="B2067" s="1235"/>
      <c r="C2067" s="1246"/>
      <c r="D2067" s="1274"/>
      <c r="E2067" s="1248"/>
      <c r="F2067" s="1248"/>
      <c r="G2067" s="1271"/>
      <c r="H2067" s="1250"/>
      <c r="I2067" s="1251"/>
      <c r="J2067" s="1271"/>
      <c r="K2067" s="1271"/>
      <c r="L2067" s="1254"/>
      <c r="M2067" s="1244"/>
      <c r="N2067" s="1275"/>
      <c r="O2067" s="1275"/>
      <c r="P2067" s="1244"/>
      <c r="Q2067" s="1244"/>
      <c r="R2067" s="1244"/>
      <c r="S2067" s="1265"/>
      <c r="T2067" s="1244"/>
      <c r="U2067" s="1244"/>
    </row>
    <row r="2068">
      <c r="A2068" s="1235"/>
      <c r="B2068" s="1235"/>
      <c r="C2068" s="1246"/>
      <c r="D2068" s="1274"/>
      <c r="E2068" s="1248"/>
      <c r="F2068" s="1248"/>
      <c r="G2068" s="1271"/>
      <c r="H2068" s="1250"/>
      <c r="I2068" s="1251"/>
      <c r="J2068" s="1271"/>
      <c r="K2068" s="1271"/>
      <c r="L2068" s="1254"/>
      <c r="M2068" s="1244"/>
      <c r="N2068" s="1275"/>
      <c r="O2068" s="1275"/>
      <c r="P2068" s="1244"/>
      <c r="Q2068" s="1244"/>
      <c r="R2068" s="1244"/>
      <c r="S2068" s="1265"/>
      <c r="T2068" s="1244"/>
      <c r="U2068" s="1244"/>
    </row>
    <row r="2069">
      <c r="A2069" s="1235"/>
      <c r="B2069" s="1235"/>
      <c r="C2069" s="1246"/>
      <c r="D2069" s="1274"/>
      <c r="E2069" s="1248"/>
      <c r="F2069" s="1248"/>
      <c r="G2069" s="1271"/>
      <c r="H2069" s="1250"/>
      <c r="I2069" s="1251"/>
      <c r="J2069" s="1271"/>
      <c r="K2069" s="1271"/>
      <c r="L2069" s="1254"/>
      <c r="M2069" s="1244"/>
      <c r="N2069" s="1275"/>
      <c r="O2069" s="1275"/>
      <c r="P2069" s="1244"/>
      <c r="Q2069" s="1244"/>
      <c r="R2069" s="1244"/>
      <c r="S2069" s="1265"/>
      <c r="T2069" s="1244"/>
      <c r="U2069" s="1244"/>
    </row>
    <row r="2070">
      <c r="A2070" s="1235"/>
      <c r="B2070" s="1235"/>
      <c r="C2070" s="1246"/>
      <c r="D2070" s="1274"/>
      <c r="E2070" s="1248"/>
      <c r="F2070" s="1248"/>
      <c r="G2070" s="1271"/>
      <c r="H2070" s="1250"/>
      <c r="I2070" s="1251"/>
      <c r="J2070" s="1271"/>
      <c r="K2070" s="1271"/>
      <c r="L2070" s="1254"/>
      <c r="M2070" s="1244"/>
      <c r="N2070" s="1275"/>
      <c r="O2070" s="1275"/>
      <c r="P2070" s="1244"/>
      <c r="Q2070" s="1244"/>
      <c r="R2070" s="1244"/>
      <c r="S2070" s="1265"/>
      <c r="T2070" s="1244"/>
      <c r="U2070" s="1244"/>
    </row>
    <row r="2071">
      <c r="A2071" s="1235"/>
      <c r="B2071" s="1235"/>
      <c r="C2071" s="1246"/>
      <c r="D2071" s="1274"/>
      <c r="E2071" s="1248"/>
      <c r="F2071" s="1248"/>
      <c r="G2071" s="1271"/>
      <c r="H2071" s="1250"/>
      <c r="I2071" s="1251"/>
      <c r="J2071" s="1271"/>
      <c r="K2071" s="1271"/>
      <c r="L2071" s="1254"/>
      <c r="M2071" s="1244"/>
      <c r="N2071" s="1275"/>
      <c r="O2071" s="1275"/>
      <c r="P2071" s="1244"/>
      <c r="Q2071" s="1244"/>
      <c r="R2071" s="1244"/>
      <c r="S2071" s="1265"/>
      <c r="T2071" s="1244"/>
      <c r="U2071" s="1244"/>
    </row>
    <row r="2072">
      <c r="A2072" s="1235"/>
      <c r="B2072" s="1235"/>
      <c r="C2072" s="1246"/>
      <c r="D2072" s="1274"/>
      <c r="E2072" s="1248"/>
      <c r="F2072" s="1248"/>
      <c r="G2072" s="1271"/>
      <c r="H2072" s="1250"/>
      <c r="I2072" s="1251"/>
      <c r="J2072" s="1271"/>
      <c r="K2072" s="1271"/>
      <c r="L2072" s="1254"/>
      <c r="M2072" s="1244"/>
      <c r="N2072" s="1275"/>
      <c r="O2072" s="1275"/>
      <c r="P2072" s="1244"/>
      <c r="Q2072" s="1244"/>
      <c r="R2072" s="1244"/>
      <c r="S2072" s="1265"/>
      <c r="T2072" s="1244"/>
      <c r="U2072" s="1244"/>
    </row>
    <row r="2073">
      <c r="A2073" s="1235"/>
      <c r="B2073" s="1235"/>
      <c r="C2073" s="1246"/>
      <c r="D2073" s="1274"/>
      <c r="E2073" s="1248"/>
      <c r="F2073" s="1248"/>
      <c r="G2073" s="1271"/>
      <c r="H2073" s="1250"/>
      <c r="I2073" s="1251"/>
      <c r="J2073" s="1271"/>
      <c r="K2073" s="1271"/>
      <c r="L2073" s="1254"/>
      <c r="M2073" s="1244"/>
      <c r="N2073" s="1275"/>
      <c r="O2073" s="1275"/>
      <c r="P2073" s="1244"/>
      <c r="Q2073" s="1244"/>
      <c r="R2073" s="1244"/>
      <c r="S2073" s="1265"/>
      <c r="T2073" s="1244"/>
      <c r="U2073" s="1244"/>
    </row>
    <row r="2074">
      <c r="A2074" s="1235"/>
      <c r="B2074" s="1235"/>
      <c r="C2074" s="1246"/>
      <c r="D2074" s="1274"/>
      <c r="E2074" s="1248"/>
      <c r="F2074" s="1248"/>
      <c r="G2074" s="1271"/>
      <c r="H2074" s="1250"/>
      <c r="I2074" s="1251"/>
      <c r="J2074" s="1271"/>
      <c r="K2074" s="1271"/>
      <c r="L2074" s="1254"/>
      <c r="M2074" s="1244"/>
      <c r="N2074" s="1275"/>
      <c r="O2074" s="1275"/>
      <c r="P2074" s="1244"/>
      <c r="Q2074" s="1244"/>
      <c r="R2074" s="1244"/>
      <c r="S2074" s="1265"/>
      <c r="T2074" s="1244"/>
      <c r="U2074" s="1244"/>
    </row>
    <row r="2075">
      <c r="A2075" s="1235"/>
      <c r="B2075" s="1235"/>
      <c r="C2075" s="1246"/>
      <c r="D2075" s="1274"/>
      <c r="E2075" s="1248"/>
      <c r="F2075" s="1248"/>
      <c r="G2075" s="1271"/>
      <c r="H2075" s="1250"/>
      <c r="I2075" s="1251"/>
      <c r="J2075" s="1271"/>
      <c r="K2075" s="1271"/>
      <c r="L2075" s="1254"/>
      <c r="M2075" s="1244"/>
      <c r="N2075" s="1275"/>
      <c r="O2075" s="1275"/>
      <c r="P2075" s="1244"/>
      <c r="Q2075" s="1244"/>
      <c r="R2075" s="1244"/>
      <c r="S2075" s="1265"/>
      <c r="T2075" s="1244"/>
      <c r="U2075" s="1244"/>
    </row>
    <row r="2076">
      <c r="A2076" s="1235"/>
      <c r="B2076" s="1235"/>
      <c r="C2076" s="1246"/>
      <c r="D2076" s="1274"/>
      <c r="E2076" s="1248"/>
      <c r="F2076" s="1248"/>
      <c r="G2076" s="1271"/>
      <c r="H2076" s="1250"/>
      <c r="I2076" s="1251"/>
      <c r="J2076" s="1271"/>
      <c r="K2076" s="1271"/>
      <c r="L2076" s="1254"/>
      <c r="M2076" s="1244"/>
      <c r="N2076" s="1275"/>
      <c r="O2076" s="1275"/>
      <c r="P2076" s="1244"/>
      <c r="Q2076" s="1244"/>
      <c r="R2076" s="1244"/>
      <c r="S2076" s="1265"/>
      <c r="T2076" s="1244"/>
      <c r="U2076" s="1244"/>
    </row>
    <row r="2077">
      <c r="A2077" s="1235"/>
      <c r="B2077" s="1235"/>
      <c r="C2077" s="1246"/>
      <c r="D2077" s="1274"/>
      <c r="E2077" s="1248"/>
      <c r="F2077" s="1248"/>
      <c r="G2077" s="1271"/>
      <c r="H2077" s="1250"/>
      <c r="I2077" s="1251"/>
      <c r="J2077" s="1271"/>
      <c r="K2077" s="1271"/>
      <c r="L2077" s="1254"/>
      <c r="M2077" s="1244"/>
      <c r="N2077" s="1275"/>
      <c r="O2077" s="1275"/>
      <c r="P2077" s="1244"/>
      <c r="Q2077" s="1244"/>
      <c r="R2077" s="1244"/>
      <c r="S2077" s="1265"/>
      <c r="T2077" s="1244"/>
      <c r="U2077" s="1244"/>
    </row>
    <row r="2078">
      <c r="A2078" s="1235"/>
      <c r="B2078" s="1235"/>
      <c r="C2078" s="1246"/>
      <c r="D2078" s="1274"/>
      <c r="E2078" s="1248"/>
      <c r="F2078" s="1248"/>
      <c r="G2078" s="1271"/>
      <c r="H2078" s="1250"/>
      <c r="I2078" s="1251"/>
      <c r="J2078" s="1271"/>
      <c r="K2078" s="1271"/>
      <c r="L2078" s="1254"/>
      <c r="M2078" s="1244"/>
      <c r="N2078" s="1275"/>
      <c r="O2078" s="1275"/>
      <c r="P2078" s="1244"/>
      <c r="Q2078" s="1244"/>
      <c r="R2078" s="1244"/>
      <c r="S2078" s="1265"/>
      <c r="T2078" s="1244"/>
      <c r="U2078" s="1244"/>
    </row>
    <row r="2079">
      <c r="A2079" s="1235"/>
      <c r="B2079" s="1235"/>
      <c r="C2079" s="1246"/>
      <c r="D2079" s="1274"/>
      <c r="E2079" s="1248"/>
      <c r="F2079" s="1248"/>
      <c r="G2079" s="1271"/>
      <c r="H2079" s="1250"/>
      <c r="I2079" s="1251"/>
      <c r="J2079" s="1271"/>
      <c r="K2079" s="1271"/>
      <c r="L2079" s="1254"/>
      <c r="M2079" s="1244"/>
      <c r="N2079" s="1275"/>
      <c r="O2079" s="1275"/>
      <c r="P2079" s="1244"/>
      <c r="Q2079" s="1244"/>
      <c r="R2079" s="1244"/>
      <c r="S2079" s="1265"/>
      <c r="T2079" s="1244"/>
      <c r="U2079" s="1244"/>
    </row>
    <row r="2080">
      <c r="A2080" s="1235"/>
      <c r="B2080" s="1235"/>
      <c r="C2080" s="1246"/>
      <c r="D2080" s="1274"/>
      <c r="E2080" s="1248"/>
      <c r="F2080" s="1248"/>
      <c r="G2080" s="1271"/>
      <c r="H2080" s="1250"/>
      <c r="I2080" s="1251"/>
      <c r="J2080" s="1271"/>
      <c r="K2080" s="1271"/>
      <c r="L2080" s="1254"/>
      <c r="M2080" s="1244"/>
      <c r="N2080" s="1275"/>
      <c r="O2080" s="1275"/>
      <c r="P2080" s="1244"/>
      <c r="Q2080" s="1244"/>
      <c r="R2080" s="1244"/>
      <c r="S2080" s="1265"/>
      <c r="T2080" s="1244"/>
      <c r="U2080" s="1244"/>
    </row>
    <row r="2081">
      <c r="A2081" s="1235"/>
      <c r="B2081" s="1235"/>
      <c r="C2081" s="1246"/>
      <c r="D2081" s="1274"/>
      <c r="E2081" s="1248"/>
      <c r="F2081" s="1248"/>
      <c r="G2081" s="1271"/>
      <c r="H2081" s="1250"/>
      <c r="I2081" s="1251"/>
      <c r="J2081" s="1271"/>
      <c r="K2081" s="1271"/>
      <c r="L2081" s="1254"/>
      <c r="M2081" s="1244"/>
      <c r="N2081" s="1275"/>
      <c r="O2081" s="1275"/>
      <c r="P2081" s="1244"/>
      <c r="Q2081" s="1244"/>
      <c r="R2081" s="1244"/>
      <c r="S2081" s="1265"/>
      <c r="T2081" s="1244"/>
      <c r="U2081" s="1244"/>
    </row>
    <row r="2082">
      <c r="A2082" s="1235"/>
      <c r="B2082" s="1235"/>
      <c r="C2082" s="1246"/>
      <c r="D2082" s="1274"/>
      <c r="E2082" s="1248"/>
      <c r="F2082" s="1248"/>
      <c r="G2082" s="1271"/>
      <c r="H2082" s="1250"/>
      <c r="I2082" s="1251"/>
      <c r="J2082" s="1271"/>
      <c r="K2082" s="1271"/>
      <c r="L2082" s="1254"/>
      <c r="M2082" s="1244"/>
      <c r="N2082" s="1275"/>
      <c r="O2082" s="1275"/>
      <c r="P2082" s="1244"/>
      <c r="Q2082" s="1244"/>
      <c r="R2082" s="1244"/>
      <c r="S2082" s="1265"/>
      <c r="T2082" s="1244"/>
      <c r="U2082" s="1244"/>
    </row>
    <row r="2083">
      <c r="A2083" s="1235"/>
      <c r="B2083" s="1235"/>
      <c r="C2083" s="1246"/>
      <c r="D2083" s="1274"/>
      <c r="E2083" s="1248"/>
      <c r="F2083" s="1248"/>
      <c r="G2083" s="1271"/>
      <c r="H2083" s="1250"/>
      <c r="I2083" s="1251"/>
      <c r="J2083" s="1271"/>
      <c r="K2083" s="1271"/>
      <c r="L2083" s="1254"/>
      <c r="M2083" s="1244"/>
      <c r="N2083" s="1275"/>
      <c r="O2083" s="1275"/>
      <c r="P2083" s="1244"/>
      <c r="Q2083" s="1244"/>
      <c r="R2083" s="1244"/>
      <c r="S2083" s="1265"/>
      <c r="T2083" s="1244"/>
      <c r="U2083" s="1244"/>
    </row>
    <row r="2084">
      <c r="A2084" s="1235"/>
      <c r="B2084" s="1235"/>
      <c r="C2084" s="1246"/>
      <c r="D2084" s="1274"/>
      <c r="E2084" s="1248"/>
      <c r="F2084" s="1248"/>
      <c r="G2084" s="1271"/>
      <c r="H2084" s="1250"/>
      <c r="I2084" s="1251"/>
      <c r="J2084" s="1271"/>
      <c r="K2084" s="1271"/>
      <c r="L2084" s="1254"/>
      <c r="M2084" s="1244"/>
      <c r="N2084" s="1275"/>
      <c r="O2084" s="1275"/>
      <c r="P2084" s="1244"/>
      <c r="Q2084" s="1244"/>
      <c r="R2084" s="1244"/>
      <c r="S2084" s="1265"/>
      <c r="T2084" s="1244"/>
      <c r="U2084" s="1244"/>
    </row>
    <row r="2085">
      <c r="A2085" s="1235"/>
      <c r="B2085" s="1235"/>
      <c r="C2085" s="1246"/>
      <c r="D2085" s="1274"/>
      <c r="E2085" s="1248"/>
      <c r="F2085" s="1248"/>
      <c r="G2085" s="1271"/>
      <c r="H2085" s="1250"/>
      <c r="I2085" s="1251"/>
      <c r="J2085" s="1271"/>
      <c r="K2085" s="1271"/>
      <c r="L2085" s="1254"/>
      <c r="M2085" s="1244"/>
      <c r="N2085" s="1275"/>
      <c r="O2085" s="1275"/>
      <c r="P2085" s="1244"/>
      <c r="Q2085" s="1244"/>
      <c r="R2085" s="1244"/>
      <c r="S2085" s="1265"/>
      <c r="T2085" s="1244"/>
      <c r="U2085" s="1244"/>
    </row>
    <row r="2086">
      <c r="A2086" s="1235"/>
      <c r="B2086" s="1235"/>
      <c r="C2086" s="1246"/>
      <c r="D2086" s="1274"/>
      <c r="E2086" s="1248"/>
      <c r="F2086" s="1248"/>
      <c r="G2086" s="1271"/>
      <c r="H2086" s="1250"/>
      <c r="I2086" s="1251"/>
      <c r="J2086" s="1271"/>
      <c r="K2086" s="1271"/>
      <c r="L2086" s="1254"/>
      <c r="M2086" s="1244"/>
      <c r="N2086" s="1275"/>
      <c r="O2086" s="1275"/>
      <c r="P2086" s="1244"/>
      <c r="Q2086" s="1244"/>
      <c r="R2086" s="1244"/>
      <c r="S2086" s="1265"/>
      <c r="T2086" s="1244"/>
      <c r="U2086" s="1244"/>
    </row>
    <row r="2087">
      <c r="A2087" s="1235"/>
      <c r="B2087" s="1235"/>
      <c r="C2087" s="1246"/>
      <c r="D2087" s="1274"/>
      <c r="E2087" s="1248"/>
      <c r="F2087" s="1248"/>
      <c r="G2087" s="1271"/>
      <c r="H2087" s="1250"/>
      <c r="I2087" s="1251"/>
      <c r="J2087" s="1271"/>
      <c r="K2087" s="1271"/>
      <c r="L2087" s="1254"/>
      <c r="M2087" s="1244"/>
      <c r="N2087" s="1275"/>
      <c r="O2087" s="1275"/>
      <c r="P2087" s="1244"/>
      <c r="Q2087" s="1244"/>
      <c r="R2087" s="1244"/>
      <c r="S2087" s="1265"/>
      <c r="T2087" s="1244"/>
      <c r="U2087" s="1244"/>
    </row>
    <row r="2088">
      <c r="A2088" s="1235"/>
      <c r="B2088" s="1235"/>
      <c r="C2088" s="1246"/>
      <c r="D2088" s="1274"/>
      <c r="E2088" s="1248"/>
      <c r="F2088" s="1248"/>
      <c r="G2088" s="1271"/>
      <c r="H2088" s="1250"/>
      <c r="I2088" s="1251"/>
      <c r="J2088" s="1271"/>
      <c r="K2088" s="1271"/>
      <c r="L2088" s="1254"/>
      <c r="M2088" s="1244"/>
      <c r="N2088" s="1275"/>
      <c r="O2088" s="1275"/>
      <c r="P2088" s="1244"/>
      <c r="Q2088" s="1244"/>
      <c r="R2088" s="1244"/>
      <c r="S2088" s="1265"/>
      <c r="T2088" s="1244"/>
      <c r="U2088" s="1244"/>
    </row>
    <row r="2089">
      <c r="A2089" s="1235"/>
      <c r="B2089" s="1235"/>
      <c r="C2089" s="1246"/>
      <c r="D2089" s="1274"/>
      <c r="E2089" s="1248"/>
      <c r="F2089" s="1248"/>
      <c r="G2089" s="1271"/>
      <c r="H2089" s="1250"/>
      <c r="I2089" s="1251"/>
      <c r="J2089" s="1271"/>
      <c r="K2089" s="1271"/>
      <c r="L2089" s="1254"/>
      <c r="M2089" s="1244"/>
      <c r="N2089" s="1275"/>
      <c r="O2089" s="1275"/>
      <c r="P2089" s="1244"/>
      <c r="Q2089" s="1244"/>
      <c r="R2089" s="1244"/>
      <c r="S2089" s="1265"/>
      <c r="T2089" s="1244"/>
      <c r="U2089" s="1244"/>
    </row>
    <row r="2090">
      <c r="A2090" s="1235"/>
      <c r="B2090" s="1235"/>
      <c r="C2090" s="1246"/>
      <c r="D2090" s="1274"/>
      <c r="E2090" s="1248"/>
      <c r="F2090" s="1248"/>
      <c r="G2090" s="1271"/>
      <c r="H2090" s="1250"/>
      <c r="I2090" s="1251"/>
      <c r="J2090" s="1271"/>
      <c r="K2090" s="1271"/>
      <c r="L2090" s="1254"/>
      <c r="M2090" s="1244"/>
      <c r="N2090" s="1275"/>
      <c r="O2090" s="1275"/>
      <c r="P2090" s="1244"/>
      <c r="Q2090" s="1244"/>
      <c r="R2090" s="1244"/>
      <c r="S2090" s="1265"/>
      <c r="T2090" s="1244"/>
      <c r="U2090" s="1244"/>
    </row>
    <row r="2091">
      <c r="A2091" s="1235"/>
      <c r="B2091" s="1235"/>
      <c r="C2091" s="1246"/>
      <c r="D2091" s="1274"/>
      <c r="E2091" s="1248"/>
      <c r="F2091" s="1248"/>
      <c r="G2091" s="1271"/>
      <c r="H2091" s="1250"/>
      <c r="I2091" s="1251"/>
      <c r="J2091" s="1271"/>
      <c r="K2091" s="1271"/>
      <c r="L2091" s="1254"/>
      <c r="M2091" s="1244"/>
      <c r="N2091" s="1275"/>
      <c r="O2091" s="1275"/>
      <c r="P2091" s="1244"/>
      <c r="Q2091" s="1244"/>
      <c r="R2091" s="1244"/>
      <c r="S2091" s="1265"/>
      <c r="T2091" s="1244"/>
      <c r="U2091" s="1244"/>
    </row>
    <row r="2092">
      <c r="A2092" s="1235"/>
      <c r="B2092" s="1235"/>
      <c r="C2092" s="1246"/>
      <c r="D2092" s="1274"/>
      <c r="E2092" s="1248"/>
      <c r="F2092" s="1248"/>
      <c r="G2092" s="1271"/>
      <c r="H2092" s="1250"/>
      <c r="I2092" s="1251"/>
      <c r="J2092" s="1271"/>
      <c r="K2092" s="1271"/>
      <c r="L2092" s="1254"/>
      <c r="M2092" s="1244"/>
      <c r="N2092" s="1275"/>
      <c r="O2092" s="1275"/>
      <c r="P2092" s="1244"/>
      <c r="Q2092" s="1244"/>
      <c r="R2092" s="1244"/>
      <c r="S2092" s="1265"/>
      <c r="T2092" s="1244"/>
      <c r="U2092" s="1244"/>
    </row>
    <row r="2093">
      <c r="A2093" s="1235"/>
      <c r="B2093" s="1235"/>
      <c r="C2093" s="1246"/>
      <c r="D2093" s="1274"/>
      <c r="E2093" s="1248"/>
      <c r="F2093" s="1248"/>
      <c r="G2093" s="1271"/>
      <c r="H2093" s="1250"/>
      <c r="I2093" s="1251"/>
      <c r="J2093" s="1271"/>
      <c r="K2093" s="1271"/>
      <c r="L2093" s="1254"/>
      <c r="M2093" s="1244"/>
      <c r="N2093" s="1275"/>
      <c r="O2093" s="1275"/>
      <c r="P2093" s="1244"/>
      <c r="Q2093" s="1244"/>
      <c r="R2093" s="1244"/>
      <c r="S2093" s="1265"/>
      <c r="T2093" s="1244"/>
      <c r="U2093" s="1244"/>
    </row>
    <row r="2094">
      <c r="A2094" s="1235"/>
      <c r="B2094" s="1235"/>
      <c r="C2094" s="1246"/>
      <c r="D2094" s="1274"/>
      <c r="E2094" s="1248"/>
      <c r="F2094" s="1248"/>
      <c r="G2094" s="1271"/>
      <c r="H2094" s="1250"/>
      <c r="I2094" s="1251"/>
      <c r="J2094" s="1271"/>
      <c r="K2094" s="1271"/>
      <c r="L2094" s="1254"/>
      <c r="M2094" s="1244"/>
      <c r="N2094" s="1275"/>
      <c r="O2094" s="1275"/>
      <c r="P2094" s="1244"/>
      <c r="Q2094" s="1244"/>
      <c r="R2094" s="1244"/>
      <c r="S2094" s="1265"/>
      <c r="T2094" s="1244"/>
      <c r="U2094" s="1244"/>
    </row>
    <row r="2095">
      <c r="A2095" s="1235"/>
      <c r="B2095" s="1235"/>
      <c r="C2095" s="1246"/>
      <c r="D2095" s="1274"/>
      <c r="E2095" s="1248"/>
      <c r="F2095" s="1248"/>
      <c r="G2095" s="1271"/>
      <c r="H2095" s="1250"/>
      <c r="I2095" s="1251"/>
      <c r="J2095" s="1271"/>
      <c r="K2095" s="1271"/>
      <c r="L2095" s="1254"/>
      <c r="M2095" s="1244"/>
      <c r="N2095" s="1275"/>
      <c r="O2095" s="1275"/>
      <c r="P2095" s="1244"/>
      <c r="Q2095" s="1244"/>
      <c r="R2095" s="1244"/>
      <c r="S2095" s="1265"/>
      <c r="T2095" s="1244"/>
      <c r="U2095" s="1244"/>
    </row>
    <row r="2096">
      <c r="A2096" s="1235"/>
      <c r="B2096" s="1235"/>
      <c r="C2096" s="1246"/>
      <c r="D2096" s="1274"/>
      <c r="E2096" s="1248"/>
      <c r="F2096" s="1248"/>
      <c r="G2096" s="1271"/>
      <c r="H2096" s="1250"/>
      <c r="I2096" s="1251"/>
      <c r="J2096" s="1271"/>
      <c r="K2096" s="1271"/>
      <c r="L2096" s="1254"/>
      <c r="M2096" s="1244"/>
      <c r="N2096" s="1275"/>
      <c r="O2096" s="1275"/>
      <c r="P2096" s="1244"/>
      <c r="Q2096" s="1244"/>
      <c r="R2096" s="1244"/>
      <c r="S2096" s="1265"/>
      <c r="T2096" s="1244"/>
      <c r="U2096" s="1244"/>
    </row>
    <row r="2097">
      <c r="A2097" s="1235"/>
      <c r="B2097" s="1235"/>
      <c r="C2097" s="1246"/>
      <c r="D2097" s="1274"/>
      <c r="E2097" s="1248"/>
      <c r="F2097" s="1248"/>
      <c r="G2097" s="1271"/>
      <c r="H2097" s="1250"/>
      <c r="I2097" s="1251"/>
      <c r="J2097" s="1271"/>
      <c r="K2097" s="1271"/>
      <c r="L2097" s="1254"/>
      <c r="M2097" s="1244"/>
      <c r="N2097" s="1275"/>
      <c r="O2097" s="1275"/>
      <c r="P2097" s="1244"/>
      <c r="Q2097" s="1244"/>
      <c r="R2097" s="1244"/>
      <c r="S2097" s="1265"/>
      <c r="T2097" s="1244"/>
      <c r="U2097" s="1244"/>
    </row>
    <row r="2098">
      <c r="A2098" s="1235"/>
      <c r="B2098" s="1235"/>
      <c r="C2098" s="1246"/>
      <c r="D2098" s="1274"/>
      <c r="E2098" s="1248"/>
      <c r="F2098" s="1248"/>
      <c r="G2098" s="1271"/>
      <c r="H2098" s="1250"/>
      <c r="I2098" s="1251"/>
      <c r="J2098" s="1271"/>
      <c r="K2098" s="1271"/>
      <c r="L2098" s="1254"/>
      <c r="M2098" s="1244"/>
      <c r="N2098" s="1275"/>
      <c r="O2098" s="1275"/>
      <c r="P2098" s="1244"/>
      <c r="Q2098" s="1244"/>
      <c r="R2098" s="1244"/>
      <c r="S2098" s="1265"/>
      <c r="T2098" s="1244"/>
      <c r="U2098" s="1244"/>
    </row>
    <row r="2099">
      <c r="A2099" s="1235"/>
      <c r="B2099" s="1235"/>
      <c r="C2099" s="1246"/>
      <c r="D2099" s="1274"/>
      <c r="E2099" s="1248"/>
      <c r="F2099" s="1248"/>
      <c r="G2099" s="1271"/>
      <c r="H2099" s="1250"/>
      <c r="I2099" s="1251"/>
      <c r="J2099" s="1271"/>
      <c r="K2099" s="1271"/>
      <c r="L2099" s="1254"/>
      <c r="M2099" s="1244"/>
      <c r="N2099" s="1275"/>
      <c r="O2099" s="1275"/>
      <c r="P2099" s="1244"/>
      <c r="Q2099" s="1244"/>
      <c r="R2099" s="1244"/>
      <c r="S2099" s="1265"/>
      <c r="T2099" s="1244"/>
      <c r="U2099" s="1244"/>
    </row>
    <row r="2100">
      <c r="A2100" s="1235"/>
      <c r="B2100" s="1235"/>
      <c r="C2100" s="1246"/>
      <c r="D2100" s="1274"/>
      <c r="E2100" s="1248"/>
      <c r="F2100" s="1248"/>
      <c r="G2100" s="1271"/>
      <c r="H2100" s="1250"/>
      <c r="I2100" s="1251"/>
      <c r="J2100" s="1271"/>
      <c r="K2100" s="1271"/>
      <c r="L2100" s="1254"/>
      <c r="M2100" s="1244"/>
      <c r="N2100" s="1275"/>
      <c r="O2100" s="1275"/>
      <c r="P2100" s="1244"/>
      <c r="Q2100" s="1244"/>
      <c r="R2100" s="1244"/>
      <c r="S2100" s="1265"/>
      <c r="T2100" s="1244"/>
      <c r="U2100" s="1244"/>
    </row>
    <row r="2101">
      <c r="A2101" s="1235"/>
      <c r="B2101" s="1235"/>
      <c r="C2101" s="1246"/>
      <c r="D2101" s="1274"/>
      <c r="E2101" s="1248"/>
      <c r="F2101" s="1248"/>
      <c r="G2101" s="1271"/>
      <c r="H2101" s="1250"/>
      <c r="I2101" s="1251"/>
      <c r="J2101" s="1271"/>
      <c r="K2101" s="1271"/>
      <c r="L2101" s="1254"/>
      <c r="M2101" s="1244"/>
      <c r="N2101" s="1275"/>
      <c r="O2101" s="1275"/>
      <c r="P2101" s="1244"/>
      <c r="Q2101" s="1244"/>
      <c r="R2101" s="1244"/>
      <c r="S2101" s="1265"/>
      <c r="T2101" s="1244"/>
      <c r="U2101" s="1244"/>
    </row>
    <row r="2102">
      <c r="A2102" s="1235"/>
      <c r="B2102" s="1235"/>
      <c r="C2102" s="1246"/>
      <c r="D2102" s="1274"/>
      <c r="E2102" s="1248"/>
      <c r="F2102" s="1248"/>
      <c r="G2102" s="1271"/>
      <c r="H2102" s="1250"/>
      <c r="I2102" s="1251"/>
      <c r="J2102" s="1271"/>
      <c r="K2102" s="1271"/>
      <c r="L2102" s="1254"/>
      <c r="M2102" s="1244"/>
      <c r="N2102" s="1275"/>
      <c r="O2102" s="1275"/>
      <c r="P2102" s="1244"/>
      <c r="Q2102" s="1244"/>
      <c r="R2102" s="1244"/>
      <c r="S2102" s="1265"/>
      <c r="T2102" s="1244"/>
      <c r="U2102" s="1244"/>
    </row>
    <row r="2103">
      <c r="A2103" s="1235"/>
      <c r="B2103" s="1235"/>
      <c r="C2103" s="1246"/>
      <c r="D2103" s="1274"/>
      <c r="E2103" s="1248"/>
      <c r="F2103" s="1248"/>
      <c r="G2103" s="1271"/>
      <c r="H2103" s="1250"/>
      <c r="I2103" s="1251"/>
      <c r="J2103" s="1271"/>
      <c r="K2103" s="1271"/>
      <c r="L2103" s="1254"/>
      <c r="M2103" s="1244"/>
      <c r="N2103" s="1275"/>
      <c r="O2103" s="1275"/>
      <c r="P2103" s="1244"/>
      <c r="Q2103" s="1244"/>
      <c r="R2103" s="1244"/>
      <c r="S2103" s="1265"/>
      <c r="T2103" s="1244"/>
      <c r="U2103" s="1244"/>
    </row>
    <row r="2104">
      <c r="A2104" s="1235"/>
      <c r="B2104" s="1235"/>
      <c r="C2104" s="1246"/>
      <c r="D2104" s="1274"/>
      <c r="E2104" s="1248"/>
      <c r="F2104" s="1248"/>
      <c r="G2104" s="1271"/>
      <c r="H2104" s="1250"/>
      <c r="I2104" s="1251"/>
      <c r="J2104" s="1271"/>
      <c r="K2104" s="1271"/>
      <c r="L2104" s="1254"/>
      <c r="M2104" s="1244"/>
      <c r="N2104" s="1275"/>
      <c r="O2104" s="1275"/>
      <c r="P2104" s="1244"/>
      <c r="Q2104" s="1244"/>
      <c r="R2104" s="1244"/>
      <c r="S2104" s="1265"/>
      <c r="T2104" s="1244"/>
      <c r="U2104" s="1244"/>
    </row>
    <row r="2105">
      <c r="A2105" s="1235"/>
      <c r="B2105" s="1235"/>
      <c r="C2105" s="1246"/>
      <c r="D2105" s="1274"/>
      <c r="E2105" s="1248"/>
      <c r="F2105" s="1248"/>
      <c r="G2105" s="1271"/>
      <c r="H2105" s="1250"/>
      <c r="I2105" s="1251"/>
      <c r="J2105" s="1271"/>
      <c r="K2105" s="1271"/>
      <c r="L2105" s="1254"/>
      <c r="M2105" s="1244"/>
      <c r="N2105" s="1275"/>
      <c r="O2105" s="1275"/>
      <c r="P2105" s="1244"/>
      <c r="Q2105" s="1244"/>
      <c r="R2105" s="1244"/>
      <c r="S2105" s="1265"/>
      <c r="T2105" s="1244"/>
      <c r="U2105" s="1244"/>
    </row>
    <row r="2106">
      <c r="A2106" s="1235"/>
      <c r="B2106" s="1235"/>
      <c r="C2106" s="1246"/>
      <c r="D2106" s="1274"/>
      <c r="E2106" s="1248"/>
      <c r="F2106" s="1248"/>
      <c r="G2106" s="1271"/>
      <c r="H2106" s="1250"/>
      <c r="I2106" s="1251"/>
      <c r="J2106" s="1271"/>
      <c r="K2106" s="1271"/>
      <c r="L2106" s="1254"/>
      <c r="M2106" s="1244"/>
      <c r="N2106" s="1275"/>
      <c r="O2106" s="1275"/>
      <c r="P2106" s="1244"/>
      <c r="Q2106" s="1244"/>
      <c r="R2106" s="1244"/>
      <c r="S2106" s="1265"/>
      <c r="T2106" s="1244"/>
      <c r="U2106" s="1244"/>
    </row>
    <row r="2107">
      <c r="A2107" s="1235"/>
      <c r="B2107" s="1235"/>
      <c r="C2107" s="1246"/>
      <c r="D2107" s="1274"/>
      <c r="E2107" s="1248"/>
      <c r="F2107" s="1248"/>
      <c r="G2107" s="1271"/>
      <c r="H2107" s="1250"/>
      <c r="I2107" s="1251"/>
      <c r="J2107" s="1271"/>
      <c r="K2107" s="1271"/>
      <c r="L2107" s="1254"/>
      <c r="M2107" s="1244"/>
      <c r="N2107" s="1275"/>
      <c r="O2107" s="1275"/>
      <c r="P2107" s="1244"/>
      <c r="Q2107" s="1244"/>
      <c r="R2107" s="1244"/>
      <c r="S2107" s="1265"/>
      <c r="T2107" s="1244"/>
      <c r="U2107" s="1244"/>
    </row>
    <row r="2108">
      <c r="A2108" s="1235"/>
      <c r="B2108" s="1235"/>
      <c r="C2108" s="1246"/>
      <c r="D2108" s="1274"/>
      <c r="E2108" s="1248"/>
      <c r="F2108" s="1248"/>
      <c r="G2108" s="1271"/>
      <c r="H2108" s="1250"/>
      <c r="I2108" s="1251"/>
      <c r="J2108" s="1271"/>
      <c r="K2108" s="1271"/>
      <c r="L2108" s="1254"/>
      <c r="M2108" s="1244"/>
      <c r="N2108" s="1275"/>
      <c r="O2108" s="1275"/>
      <c r="P2108" s="1244"/>
      <c r="Q2108" s="1244"/>
      <c r="R2108" s="1244"/>
      <c r="S2108" s="1265"/>
      <c r="T2108" s="1244"/>
      <c r="U2108" s="1244"/>
    </row>
    <row r="2109">
      <c r="A2109" s="1235"/>
      <c r="B2109" s="1235"/>
      <c r="C2109" s="1246"/>
      <c r="D2109" s="1274"/>
      <c r="E2109" s="1248"/>
      <c r="F2109" s="1248"/>
      <c r="G2109" s="1271"/>
      <c r="H2109" s="1250"/>
      <c r="I2109" s="1251"/>
      <c r="J2109" s="1271"/>
      <c r="K2109" s="1271"/>
      <c r="L2109" s="1254"/>
      <c r="M2109" s="1244"/>
      <c r="N2109" s="1275"/>
      <c r="O2109" s="1275"/>
      <c r="P2109" s="1244"/>
      <c r="Q2109" s="1244"/>
      <c r="R2109" s="1244"/>
      <c r="S2109" s="1265"/>
      <c r="T2109" s="1244"/>
      <c r="U2109" s="1244"/>
    </row>
    <row r="2110">
      <c r="A2110" s="1235"/>
      <c r="B2110" s="1235"/>
      <c r="C2110" s="1246"/>
      <c r="D2110" s="1274"/>
      <c r="E2110" s="1248"/>
      <c r="F2110" s="1248"/>
      <c r="G2110" s="1271"/>
      <c r="H2110" s="1250"/>
      <c r="I2110" s="1251"/>
      <c r="J2110" s="1271"/>
      <c r="K2110" s="1271"/>
      <c r="L2110" s="1254"/>
      <c r="M2110" s="1244"/>
      <c r="N2110" s="1275"/>
      <c r="O2110" s="1275"/>
      <c r="P2110" s="1244"/>
      <c r="Q2110" s="1244"/>
      <c r="R2110" s="1244"/>
      <c r="S2110" s="1265"/>
      <c r="T2110" s="1244"/>
      <c r="U2110" s="1244"/>
    </row>
    <row r="2111">
      <c r="A2111" s="1235"/>
      <c r="B2111" s="1235"/>
      <c r="C2111" s="1246"/>
      <c r="D2111" s="1274"/>
      <c r="E2111" s="1248"/>
      <c r="F2111" s="1248"/>
      <c r="G2111" s="1271"/>
      <c r="H2111" s="1250"/>
      <c r="I2111" s="1251"/>
      <c r="J2111" s="1271"/>
      <c r="K2111" s="1271"/>
      <c r="L2111" s="1254"/>
      <c r="M2111" s="1244"/>
      <c r="N2111" s="1275"/>
      <c r="O2111" s="1275"/>
      <c r="P2111" s="1244"/>
      <c r="Q2111" s="1244"/>
      <c r="R2111" s="1244"/>
      <c r="S2111" s="1265"/>
      <c r="T2111" s="1244"/>
      <c r="U2111" s="1244"/>
    </row>
    <row r="2112">
      <c r="A2112" s="1235"/>
      <c r="B2112" s="1235"/>
      <c r="C2112" s="1246"/>
      <c r="D2112" s="1274"/>
      <c r="E2112" s="1248"/>
      <c r="F2112" s="1248"/>
      <c r="G2112" s="1271"/>
      <c r="H2112" s="1250"/>
      <c r="I2112" s="1251"/>
      <c r="J2112" s="1271"/>
      <c r="K2112" s="1271"/>
      <c r="L2112" s="1254"/>
      <c r="M2112" s="1244"/>
      <c r="N2112" s="1275"/>
      <c r="O2112" s="1275"/>
      <c r="P2112" s="1244"/>
      <c r="Q2112" s="1244"/>
      <c r="R2112" s="1244"/>
      <c r="S2112" s="1265"/>
      <c r="T2112" s="1244"/>
      <c r="U2112" s="1244"/>
    </row>
    <row r="2113">
      <c r="A2113" s="1235"/>
      <c r="B2113" s="1235"/>
      <c r="C2113" s="1246"/>
      <c r="D2113" s="1274"/>
      <c r="E2113" s="1248"/>
      <c r="F2113" s="1248"/>
      <c r="G2113" s="1271"/>
      <c r="H2113" s="1250"/>
      <c r="I2113" s="1251"/>
      <c r="J2113" s="1271"/>
      <c r="K2113" s="1271"/>
      <c r="L2113" s="1254"/>
      <c r="M2113" s="1244"/>
      <c r="N2113" s="1275"/>
      <c r="O2113" s="1275"/>
      <c r="P2113" s="1244"/>
      <c r="Q2113" s="1244"/>
      <c r="R2113" s="1244"/>
      <c r="S2113" s="1265"/>
      <c r="T2113" s="1244"/>
      <c r="U2113" s="1244"/>
    </row>
    <row r="2114">
      <c r="A2114" s="1235"/>
      <c r="B2114" s="1235"/>
      <c r="C2114" s="1246"/>
      <c r="D2114" s="1274"/>
      <c r="E2114" s="1248"/>
      <c r="F2114" s="1248"/>
      <c r="G2114" s="1271"/>
      <c r="H2114" s="1250"/>
      <c r="I2114" s="1251"/>
      <c r="J2114" s="1271"/>
      <c r="K2114" s="1271"/>
      <c r="L2114" s="1254"/>
      <c r="M2114" s="1244"/>
      <c r="N2114" s="1275"/>
      <c r="O2114" s="1275"/>
      <c r="P2114" s="1244"/>
      <c r="Q2114" s="1244"/>
      <c r="R2114" s="1244"/>
      <c r="S2114" s="1265"/>
      <c r="T2114" s="1244"/>
      <c r="U2114" s="1244"/>
    </row>
    <row r="2115">
      <c r="A2115" s="1235"/>
      <c r="B2115" s="1235"/>
      <c r="C2115" s="1246"/>
      <c r="D2115" s="1274"/>
      <c r="E2115" s="1248"/>
      <c r="F2115" s="1248"/>
      <c r="G2115" s="1271"/>
      <c r="H2115" s="1250"/>
      <c r="I2115" s="1251"/>
      <c r="J2115" s="1271"/>
      <c r="K2115" s="1271"/>
      <c r="L2115" s="1254"/>
      <c r="M2115" s="1244"/>
      <c r="N2115" s="1275"/>
      <c r="O2115" s="1275"/>
      <c r="P2115" s="1244"/>
      <c r="Q2115" s="1244"/>
      <c r="R2115" s="1244"/>
      <c r="S2115" s="1265"/>
      <c r="T2115" s="1244"/>
      <c r="U2115" s="1244"/>
    </row>
    <row r="2116">
      <c r="A2116" s="1235"/>
      <c r="B2116" s="1235"/>
      <c r="C2116" s="1246"/>
      <c r="D2116" s="1274"/>
      <c r="E2116" s="1248"/>
      <c r="F2116" s="1248"/>
      <c r="G2116" s="1271"/>
      <c r="H2116" s="1250"/>
      <c r="I2116" s="1251"/>
      <c r="J2116" s="1271"/>
      <c r="K2116" s="1271"/>
      <c r="L2116" s="1254"/>
      <c r="M2116" s="1244"/>
      <c r="N2116" s="1275"/>
      <c r="O2116" s="1275"/>
      <c r="P2116" s="1244"/>
      <c r="Q2116" s="1244"/>
      <c r="R2116" s="1244"/>
      <c r="S2116" s="1265"/>
      <c r="T2116" s="1244"/>
      <c r="U2116" s="1244"/>
    </row>
    <row r="2117">
      <c r="A2117" s="1235"/>
      <c r="B2117" s="1235"/>
      <c r="C2117" s="1246"/>
      <c r="D2117" s="1274"/>
      <c r="E2117" s="1248"/>
      <c r="F2117" s="1248"/>
      <c r="G2117" s="1271"/>
      <c r="H2117" s="1250"/>
      <c r="I2117" s="1251"/>
      <c r="J2117" s="1271"/>
      <c r="K2117" s="1271"/>
      <c r="L2117" s="1254"/>
      <c r="M2117" s="1244"/>
      <c r="N2117" s="1275"/>
      <c r="O2117" s="1275"/>
      <c r="P2117" s="1244"/>
      <c r="Q2117" s="1244"/>
      <c r="R2117" s="1244"/>
      <c r="S2117" s="1265"/>
      <c r="T2117" s="1244"/>
      <c r="U2117" s="1244"/>
    </row>
    <row r="2118">
      <c r="A2118" s="1235"/>
      <c r="B2118" s="1235"/>
      <c r="C2118" s="1246"/>
      <c r="D2118" s="1274"/>
      <c r="E2118" s="1248"/>
      <c r="F2118" s="1248"/>
      <c r="G2118" s="1271"/>
      <c r="H2118" s="1250"/>
      <c r="I2118" s="1251"/>
      <c r="J2118" s="1271"/>
      <c r="K2118" s="1271"/>
      <c r="L2118" s="1254"/>
      <c r="M2118" s="1244"/>
      <c r="N2118" s="1275"/>
      <c r="O2118" s="1275"/>
      <c r="P2118" s="1244"/>
      <c r="Q2118" s="1244"/>
      <c r="R2118" s="1244"/>
      <c r="S2118" s="1265"/>
      <c r="T2118" s="1244"/>
      <c r="U2118" s="1244"/>
    </row>
    <row r="2119">
      <c r="A2119" s="1235"/>
      <c r="B2119" s="1235"/>
      <c r="C2119" s="1246"/>
      <c r="D2119" s="1274"/>
      <c r="E2119" s="1248"/>
      <c r="F2119" s="1248"/>
      <c r="G2119" s="1271"/>
      <c r="H2119" s="1250"/>
      <c r="I2119" s="1251"/>
      <c r="J2119" s="1271"/>
      <c r="K2119" s="1271"/>
      <c r="L2119" s="1254"/>
      <c r="M2119" s="1244"/>
      <c r="N2119" s="1275"/>
      <c r="O2119" s="1275"/>
      <c r="P2119" s="1244"/>
      <c r="Q2119" s="1244"/>
      <c r="R2119" s="1244"/>
      <c r="S2119" s="1265"/>
      <c r="T2119" s="1244"/>
      <c r="U2119" s="1244"/>
    </row>
    <row r="2120">
      <c r="A2120" s="1235"/>
      <c r="B2120" s="1235"/>
      <c r="C2120" s="1246"/>
      <c r="D2120" s="1274"/>
      <c r="E2120" s="1248"/>
      <c r="F2120" s="1248"/>
      <c r="G2120" s="1271"/>
      <c r="H2120" s="1250"/>
      <c r="I2120" s="1251"/>
      <c r="J2120" s="1271"/>
      <c r="K2120" s="1271"/>
      <c r="L2120" s="1254"/>
      <c r="M2120" s="1244"/>
      <c r="N2120" s="1275"/>
      <c r="O2120" s="1275"/>
      <c r="P2120" s="1244"/>
      <c r="Q2120" s="1244"/>
      <c r="R2120" s="1244"/>
      <c r="S2120" s="1265"/>
      <c r="T2120" s="1244"/>
      <c r="U2120" s="1244"/>
    </row>
    <row r="2121">
      <c r="A2121" s="1235"/>
      <c r="B2121" s="1235"/>
      <c r="C2121" s="1246"/>
      <c r="D2121" s="1274"/>
      <c r="E2121" s="1248"/>
      <c r="F2121" s="1248"/>
      <c r="G2121" s="1271"/>
      <c r="H2121" s="1250"/>
      <c r="I2121" s="1251"/>
      <c r="J2121" s="1271"/>
      <c r="K2121" s="1271"/>
      <c r="L2121" s="1254"/>
      <c r="M2121" s="1244"/>
      <c r="N2121" s="1275"/>
      <c r="O2121" s="1275"/>
      <c r="P2121" s="1244"/>
      <c r="Q2121" s="1244"/>
      <c r="R2121" s="1244"/>
      <c r="S2121" s="1265"/>
      <c r="T2121" s="1244"/>
      <c r="U2121" s="1244"/>
    </row>
    <row r="2122">
      <c r="A2122" s="1235"/>
      <c r="B2122" s="1235"/>
      <c r="C2122" s="1246"/>
      <c r="D2122" s="1274"/>
      <c r="E2122" s="1248"/>
      <c r="F2122" s="1248"/>
      <c r="G2122" s="1271"/>
      <c r="H2122" s="1250"/>
      <c r="I2122" s="1251"/>
      <c r="J2122" s="1271"/>
      <c r="K2122" s="1271"/>
      <c r="L2122" s="1254"/>
      <c r="M2122" s="1244"/>
      <c r="N2122" s="1275"/>
      <c r="O2122" s="1275"/>
      <c r="P2122" s="1244"/>
      <c r="Q2122" s="1244"/>
      <c r="R2122" s="1244"/>
      <c r="S2122" s="1265"/>
      <c r="T2122" s="1244"/>
      <c r="U2122" s="1244"/>
    </row>
    <row r="2123">
      <c r="A2123" s="1235"/>
      <c r="B2123" s="1235"/>
      <c r="C2123" s="1246"/>
      <c r="D2123" s="1274"/>
      <c r="E2123" s="1248"/>
      <c r="F2123" s="1248"/>
      <c r="G2123" s="1271"/>
      <c r="H2123" s="1250"/>
      <c r="I2123" s="1251"/>
      <c r="J2123" s="1271"/>
      <c r="K2123" s="1271"/>
      <c r="L2123" s="1254"/>
      <c r="M2123" s="1244"/>
      <c r="N2123" s="1275"/>
      <c r="O2123" s="1275"/>
      <c r="P2123" s="1244"/>
      <c r="Q2123" s="1244"/>
      <c r="R2123" s="1244"/>
      <c r="S2123" s="1265"/>
      <c r="T2123" s="1244"/>
      <c r="U2123" s="1244"/>
    </row>
    <row r="2124">
      <c r="A2124" s="1235"/>
      <c r="B2124" s="1235"/>
      <c r="C2124" s="1246"/>
      <c r="D2124" s="1274"/>
      <c r="E2124" s="1248"/>
      <c r="F2124" s="1248"/>
      <c r="G2124" s="1271"/>
      <c r="H2124" s="1250"/>
      <c r="I2124" s="1251"/>
      <c r="J2124" s="1271"/>
      <c r="K2124" s="1271"/>
      <c r="L2124" s="1254"/>
      <c r="M2124" s="1244"/>
      <c r="N2124" s="1275"/>
      <c r="O2124" s="1275"/>
      <c r="P2124" s="1244"/>
      <c r="Q2124" s="1244"/>
      <c r="R2124" s="1244"/>
      <c r="S2124" s="1265"/>
      <c r="T2124" s="1244"/>
      <c r="U2124" s="1244"/>
    </row>
    <row r="2125">
      <c r="A2125" s="1235"/>
      <c r="B2125" s="1235"/>
      <c r="C2125" s="1246"/>
      <c r="D2125" s="1274"/>
      <c r="E2125" s="1248"/>
      <c r="F2125" s="1248"/>
      <c r="G2125" s="1271"/>
      <c r="H2125" s="1250"/>
      <c r="I2125" s="1251"/>
      <c r="J2125" s="1271"/>
      <c r="K2125" s="1271"/>
      <c r="L2125" s="1254"/>
      <c r="M2125" s="1244"/>
      <c r="N2125" s="1275"/>
      <c r="O2125" s="1275"/>
      <c r="P2125" s="1244"/>
      <c r="Q2125" s="1244"/>
      <c r="R2125" s="1244"/>
      <c r="S2125" s="1265"/>
      <c r="T2125" s="1244"/>
      <c r="U2125" s="1244"/>
    </row>
    <row r="2126">
      <c r="A2126" s="1235"/>
      <c r="B2126" s="1235"/>
      <c r="C2126" s="1246"/>
      <c r="D2126" s="1274"/>
      <c r="E2126" s="1248"/>
      <c r="F2126" s="1248"/>
      <c r="G2126" s="1271"/>
      <c r="H2126" s="1250"/>
      <c r="I2126" s="1251"/>
      <c r="J2126" s="1271"/>
      <c r="K2126" s="1271"/>
      <c r="L2126" s="1254"/>
      <c r="M2126" s="1244"/>
      <c r="N2126" s="1275"/>
      <c r="O2126" s="1275"/>
      <c r="P2126" s="1244"/>
      <c r="Q2126" s="1244"/>
      <c r="R2126" s="1244"/>
      <c r="S2126" s="1265"/>
      <c r="T2126" s="1244"/>
      <c r="U2126" s="1244"/>
    </row>
    <row r="2127">
      <c r="A2127" s="1235"/>
      <c r="B2127" s="1235"/>
      <c r="C2127" s="1246"/>
      <c r="D2127" s="1274"/>
      <c r="E2127" s="1248"/>
      <c r="F2127" s="1248"/>
      <c r="G2127" s="1271"/>
      <c r="H2127" s="1250"/>
      <c r="I2127" s="1251"/>
      <c r="J2127" s="1271"/>
      <c r="K2127" s="1271"/>
      <c r="L2127" s="1254"/>
      <c r="M2127" s="1244"/>
      <c r="N2127" s="1275"/>
      <c r="O2127" s="1275"/>
      <c r="P2127" s="1244"/>
      <c r="Q2127" s="1244"/>
      <c r="R2127" s="1244"/>
      <c r="S2127" s="1265"/>
      <c r="T2127" s="1244"/>
      <c r="U2127" s="1244"/>
    </row>
    <row r="2128">
      <c r="A2128" s="1235"/>
      <c r="B2128" s="1235"/>
      <c r="C2128" s="1246"/>
      <c r="D2128" s="1274"/>
      <c r="E2128" s="1248"/>
      <c r="F2128" s="1248"/>
      <c r="G2128" s="1271"/>
      <c r="H2128" s="1250"/>
      <c r="I2128" s="1251"/>
      <c r="J2128" s="1271"/>
      <c r="K2128" s="1271"/>
      <c r="L2128" s="1254"/>
      <c r="M2128" s="1244"/>
      <c r="N2128" s="1275"/>
      <c r="O2128" s="1275"/>
      <c r="P2128" s="1244"/>
      <c r="Q2128" s="1244"/>
      <c r="R2128" s="1244"/>
      <c r="S2128" s="1265"/>
      <c r="T2128" s="1244"/>
      <c r="U2128" s="1244"/>
    </row>
    <row r="2129">
      <c r="A2129" s="1235"/>
      <c r="B2129" s="1235"/>
      <c r="C2129" s="1246"/>
      <c r="D2129" s="1274"/>
      <c r="E2129" s="1248"/>
      <c r="F2129" s="1248"/>
      <c r="G2129" s="1271"/>
      <c r="H2129" s="1250"/>
      <c r="I2129" s="1251"/>
      <c r="J2129" s="1271"/>
      <c r="K2129" s="1271"/>
      <c r="L2129" s="1254"/>
      <c r="M2129" s="1244"/>
      <c r="N2129" s="1275"/>
      <c r="O2129" s="1275"/>
      <c r="P2129" s="1244"/>
      <c r="Q2129" s="1244"/>
      <c r="R2129" s="1244"/>
      <c r="S2129" s="1265"/>
      <c r="T2129" s="1244"/>
      <c r="U2129" s="1244"/>
    </row>
    <row r="2130">
      <c r="A2130" s="1235"/>
      <c r="B2130" s="1235"/>
      <c r="C2130" s="1246"/>
      <c r="D2130" s="1274"/>
      <c r="E2130" s="1248"/>
      <c r="F2130" s="1248"/>
      <c r="G2130" s="1271"/>
      <c r="H2130" s="1250"/>
      <c r="I2130" s="1251"/>
      <c r="J2130" s="1271"/>
      <c r="K2130" s="1271"/>
      <c r="L2130" s="1254"/>
      <c r="M2130" s="1244"/>
      <c r="N2130" s="1275"/>
      <c r="O2130" s="1275"/>
      <c r="P2130" s="1244"/>
      <c r="Q2130" s="1244"/>
      <c r="R2130" s="1244"/>
      <c r="S2130" s="1265"/>
      <c r="T2130" s="1244"/>
      <c r="U2130" s="1244"/>
    </row>
    <row r="2131">
      <c r="A2131" s="1235"/>
      <c r="B2131" s="1235"/>
      <c r="C2131" s="1246"/>
      <c r="D2131" s="1274"/>
      <c r="E2131" s="1248"/>
      <c r="F2131" s="1248"/>
      <c r="G2131" s="1271"/>
      <c r="H2131" s="1250"/>
      <c r="I2131" s="1251"/>
      <c r="J2131" s="1271"/>
      <c r="K2131" s="1271"/>
      <c r="L2131" s="1254"/>
      <c r="M2131" s="1244"/>
      <c r="N2131" s="1275"/>
      <c r="O2131" s="1275"/>
      <c r="P2131" s="1244"/>
      <c r="Q2131" s="1244"/>
      <c r="R2131" s="1244"/>
      <c r="S2131" s="1265"/>
      <c r="T2131" s="1244"/>
      <c r="U2131" s="1244"/>
    </row>
    <row r="2132">
      <c r="A2132" s="1235"/>
      <c r="B2132" s="1235"/>
      <c r="C2132" s="1246"/>
      <c r="D2132" s="1274"/>
      <c r="E2132" s="1248"/>
      <c r="F2132" s="1248"/>
      <c r="G2132" s="1271"/>
      <c r="H2132" s="1250"/>
      <c r="I2132" s="1251"/>
      <c r="J2132" s="1271"/>
      <c r="K2132" s="1271"/>
      <c r="L2132" s="1254"/>
      <c r="M2132" s="1244"/>
      <c r="N2132" s="1275"/>
      <c r="O2132" s="1275"/>
      <c r="P2132" s="1244"/>
      <c r="Q2132" s="1244"/>
      <c r="R2132" s="1244"/>
      <c r="S2132" s="1265"/>
      <c r="T2132" s="1244"/>
      <c r="U2132" s="1244"/>
    </row>
    <row r="2133">
      <c r="A2133" s="1235"/>
      <c r="B2133" s="1235"/>
      <c r="C2133" s="1246"/>
      <c r="D2133" s="1274"/>
      <c r="E2133" s="1248"/>
      <c r="F2133" s="1248"/>
      <c r="G2133" s="1271"/>
      <c r="H2133" s="1250"/>
      <c r="I2133" s="1251"/>
      <c r="J2133" s="1271"/>
      <c r="K2133" s="1271"/>
      <c r="L2133" s="1254"/>
      <c r="M2133" s="1244"/>
      <c r="N2133" s="1275"/>
      <c r="O2133" s="1275"/>
      <c r="P2133" s="1244"/>
      <c r="Q2133" s="1244"/>
      <c r="R2133" s="1244"/>
      <c r="S2133" s="1265"/>
      <c r="T2133" s="1244"/>
      <c r="U2133" s="1244"/>
    </row>
    <row r="2134">
      <c r="A2134" s="1235"/>
      <c r="B2134" s="1235"/>
      <c r="C2134" s="1246"/>
      <c r="D2134" s="1274"/>
      <c r="E2134" s="1248"/>
      <c r="F2134" s="1248"/>
      <c r="G2134" s="1271"/>
      <c r="H2134" s="1250"/>
      <c r="I2134" s="1251"/>
      <c r="J2134" s="1271"/>
      <c r="K2134" s="1271"/>
      <c r="L2134" s="1254"/>
      <c r="M2134" s="1244"/>
      <c r="N2134" s="1275"/>
      <c r="O2134" s="1275"/>
      <c r="P2134" s="1244"/>
      <c r="Q2134" s="1244"/>
      <c r="R2134" s="1244"/>
      <c r="S2134" s="1265"/>
      <c r="T2134" s="1244"/>
      <c r="U2134" s="1244"/>
    </row>
    <row r="2135">
      <c r="A2135" s="1235"/>
      <c r="B2135" s="1235"/>
      <c r="C2135" s="1246"/>
      <c r="D2135" s="1274"/>
      <c r="E2135" s="1248"/>
      <c r="F2135" s="1248"/>
      <c r="G2135" s="1271"/>
      <c r="H2135" s="1250"/>
      <c r="I2135" s="1251"/>
      <c r="J2135" s="1271"/>
      <c r="K2135" s="1271"/>
      <c r="L2135" s="1254"/>
      <c r="M2135" s="1244"/>
      <c r="N2135" s="1275"/>
      <c r="O2135" s="1275"/>
      <c r="P2135" s="1244"/>
      <c r="Q2135" s="1244"/>
      <c r="R2135" s="1244"/>
      <c r="S2135" s="1265"/>
      <c r="T2135" s="1244"/>
      <c r="U2135" s="1244"/>
    </row>
    <row r="2136">
      <c r="A2136" s="1235"/>
      <c r="B2136" s="1235"/>
      <c r="C2136" s="1246"/>
      <c r="D2136" s="1274"/>
      <c r="E2136" s="1248"/>
      <c r="F2136" s="1248"/>
      <c r="G2136" s="1271"/>
      <c r="H2136" s="1250"/>
      <c r="I2136" s="1251"/>
      <c r="J2136" s="1271"/>
      <c r="K2136" s="1271"/>
      <c r="L2136" s="1254"/>
      <c r="M2136" s="1244"/>
      <c r="N2136" s="1275"/>
      <c r="O2136" s="1275"/>
      <c r="P2136" s="1244"/>
      <c r="Q2136" s="1244"/>
      <c r="R2136" s="1244"/>
      <c r="S2136" s="1265"/>
      <c r="T2136" s="1244"/>
      <c r="U2136" s="1244"/>
    </row>
    <row r="2137">
      <c r="A2137" s="1235"/>
      <c r="B2137" s="1235"/>
      <c r="C2137" s="1246"/>
      <c r="D2137" s="1274"/>
      <c r="E2137" s="1248"/>
      <c r="F2137" s="1248"/>
      <c r="G2137" s="1271"/>
      <c r="H2137" s="1250"/>
      <c r="I2137" s="1251"/>
      <c r="J2137" s="1271"/>
      <c r="K2137" s="1271"/>
      <c r="L2137" s="1254"/>
      <c r="M2137" s="1244"/>
      <c r="N2137" s="1275"/>
      <c r="O2137" s="1275"/>
      <c r="P2137" s="1244"/>
      <c r="Q2137" s="1244"/>
      <c r="R2137" s="1244"/>
      <c r="S2137" s="1265"/>
      <c r="T2137" s="1244"/>
      <c r="U2137" s="1244"/>
    </row>
    <row r="2138">
      <c r="A2138" s="1235"/>
      <c r="B2138" s="1235"/>
      <c r="C2138" s="1246"/>
      <c r="D2138" s="1274"/>
      <c r="E2138" s="1248"/>
      <c r="F2138" s="1248"/>
      <c r="G2138" s="1271"/>
      <c r="H2138" s="1250"/>
      <c r="I2138" s="1251"/>
      <c r="J2138" s="1271"/>
      <c r="K2138" s="1271"/>
      <c r="L2138" s="1254"/>
      <c r="M2138" s="1244"/>
      <c r="N2138" s="1275"/>
      <c r="O2138" s="1275"/>
      <c r="P2138" s="1244"/>
      <c r="Q2138" s="1244"/>
      <c r="R2138" s="1244"/>
      <c r="S2138" s="1265"/>
      <c r="T2138" s="1244"/>
      <c r="U2138" s="1244"/>
    </row>
    <row r="2139">
      <c r="A2139" s="1235"/>
      <c r="B2139" s="1235"/>
      <c r="C2139" s="1246"/>
      <c r="D2139" s="1274"/>
      <c r="E2139" s="1248"/>
      <c r="F2139" s="1248"/>
      <c r="G2139" s="1271"/>
      <c r="H2139" s="1250"/>
      <c r="I2139" s="1251"/>
      <c r="J2139" s="1271"/>
      <c r="K2139" s="1271"/>
      <c r="L2139" s="1254"/>
      <c r="M2139" s="1244"/>
      <c r="N2139" s="1275"/>
      <c r="O2139" s="1275"/>
      <c r="P2139" s="1244"/>
      <c r="Q2139" s="1244"/>
      <c r="R2139" s="1244"/>
      <c r="S2139" s="1265"/>
      <c r="T2139" s="1244"/>
      <c r="U2139" s="1244"/>
    </row>
    <row r="2140">
      <c r="A2140" s="1235"/>
      <c r="B2140" s="1235"/>
      <c r="C2140" s="1246"/>
      <c r="D2140" s="1274"/>
      <c r="E2140" s="1248"/>
      <c r="F2140" s="1248"/>
      <c r="G2140" s="1271"/>
      <c r="H2140" s="1250"/>
      <c r="I2140" s="1251"/>
      <c r="J2140" s="1271"/>
      <c r="K2140" s="1271"/>
      <c r="L2140" s="1254"/>
      <c r="M2140" s="1244"/>
      <c r="N2140" s="1275"/>
      <c r="O2140" s="1275"/>
      <c r="P2140" s="1244"/>
      <c r="Q2140" s="1244"/>
      <c r="R2140" s="1244"/>
      <c r="S2140" s="1265"/>
      <c r="T2140" s="1244"/>
      <c r="U2140" s="1244"/>
    </row>
    <row r="2141">
      <c r="A2141" s="1235"/>
      <c r="B2141" s="1235"/>
      <c r="C2141" s="1246"/>
      <c r="D2141" s="1274"/>
      <c r="E2141" s="1248"/>
      <c r="F2141" s="1248"/>
      <c r="G2141" s="1271"/>
      <c r="H2141" s="1250"/>
      <c r="I2141" s="1251"/>
      <c r="J2141" s="1271"/>
      <c r="K2141" s="1271"/>
      <c r="L2141" s="1254"/>
      <c r="M2141" s="1244"/>
      <c r="N2141" s="1275"/>
      <c r="O2141" s="1275"/>
      <c r="P2141" s="1244"/>
      <c r="Q2141" s="1244"/>
      <c r="R2141" s="1244"/>
      <c r="S2141" s="1265"/>
      <c r="T2141" s="1244"/>
      <c r="U2141" s="1244"/>
    </row>
    <row r="2142">
      <c r="A2142" s="1235"/>
      <c r="B2142" s="1235"/>
      <c r="C2142" s="1246"/>
      <c r="D2142" s="1274"/>
      <c r="E2142" s="1248"/>
      <c r="F2142" s="1248"/>
      <c r="G2142" s="1271"/>
      <c r="H2142" s="1250"/>
      <c r="I2142" s="1251"/>
      <c r="J2142" s="1271"/>
      <c r="K2142" s="1271"/>
      <c r="L2142" s="1254"/>
      <c r="M2142" s="1244"/>
      <c r="N2142" s="1275"/>
      <c r="O2142" s="1275"/>
      <c r="P2142" s="1244"/>
      <c r="Q2142" s="1244"/>
      <c r="R2142" s="1244"/>
      <c r="S2142" s="1265"/>
      <c r="T2142" s="1244"/>
      <c r="U2142" s="1244"/>
    </row>
    <row r="2143">
      <c r="A2143" s="1235"/>
      <c r="B2143" s="1235"/>
      <c r="C2143" s="1246"/>
      <c r="D2143" s="1274"/>
      <c r="E2143" s="1248"/>
      <c r="F2143" s="1248"/>
      <c r="G2143" s="1271"/>
      <c r="H2143" s="1250"/>
      <c r="I2143" s="1251"/>
      <c r="J2143" s="1271"/>
      <c r="K2143" s="1271"/>
      <c r="L2143" s="1254"/>
      <c r="M2143" s="1244"/>
      <c r="N2143" s="1275"/>
      <c r="O2143" s="1275"/>
      <c r="P2143" s="1244"/>
      <c r="Q2143" s="1244"/>
      <c r="R2143" s="1244"/>
      <c r="S2143" s="1265"/>
      <c r="T2143" s="1244"/>
      <c r="U2143" s="1244"/>
    </row>
    <row r="2144">
      <c r="A2144" s="1235"/>
      <c r="B2144" s="1235"/>
      <c r="C2144" s="1246"/>
      <c r="D2144" s="1274"/>
      <c r="E2144" s="1248"/>
      <c r="F2144" s="1248"/>
      <c r="G2144" s="1271"/>
      <c r="H2144" s="1250"/>
      <c r="I2144" s="1251"/>
      <c r="J2144" s="1271"/>
      <c r="K2144" s="1271"/>
      <c r="L2144" s="1254"/>
      <c r="M2144" s="1244"/>
      <c r="N2144" s="1275"/>
      <c r="O2144" s="1275"/>
      <c r="P2144" s="1244"/>
      <c r="Q2144" s="1244"/>
      <c r="R2144" s="1244"/>
      <c r="S2144" s="1265"/>
      <c r="T2144" s="1244"/>
      <c r="U2144" s="1244"/>
    </row>
    <row r="2145">
      <c r="A2145" s="1235"/>
      <c r="B2145" s="1235"/>
      <c r="C2145" s="1246"/>
      <c r="D2145" s="1274"/>
      <c r="E2145" s="1248"/>
      <c r="F2145" s="1248"/>
      <c r="G2145" s="1271"/>
      <c r="H2145" s="1250"/>
      <c r="I2145" s="1251"/>
      <c r="J2145" s="1271"/>
      <c r="K2145" s="1271"/>
      <c r="L2145" s="1254"/>
      <c r="M2145" s="1244"/>
      <c r="N2145" s="1275"/>
      <c r="O2145" s="1275"/>
      <c r="P2145" s="1244"/>
      <c r="Q2145" s="1244"/>
      <c r="R2145" s="1244"/>
      <c r="S2145" s="1265"/>
      <c r="T2145" s="1244"/>
      <c r="U2145" s="1244"/>
    </row>
    <row r="2146">
      <c r="A2146" s="1235"/>
      <c r="B2146" s="1235"/>
      <c r="C2146" s="1246"/>
      <c r="D2146" s="1274"/>
      <c r="E2146" s="1248"/>
      <c r="F2146" s="1248"/>
      <c r="G2146" s="1271"/>
      <c r="H2146" s="1250"/>
      <c r="I2146" s="1251"/>
      <c r="J2146" s="1271"/>
      <c r="K2146" s="1271"/>
      <c r="L2146" s="1254"/>
      <c r="M2146" s="1244"/>
      <c r="N2146" s="1275"/>
      <c r="O2146" s="1275"/>
      <c r="P2146" s="1244"/>
      <c r="Q2146" s="1244"/>
      <c r="R2146" s="1244"/>
      <c r="S2146" s="1265"/>
      <c r="T2146" s="1244"/>
      <c r="U2146" s="1244"/>
    </row>
    <row r="2147">
      <c r="A2147" s="1235"/>
      <c r="B2147" s="1235"/>
      <c r="C2147" s="1246"/>
      <c r="D2147" s="1274"/>
      <c r="E2147" s="1248"/>
      <c r="F2147" s="1248"/>
      <c r="G2147" s="1271"/>
      <c r="H2147" s="1250"/>
      <c r="I2147" s="1251"/>
      <c r="J2147" s="1271"/>
      <c r="K2147" s="1271"/>
      <c r="L2147" s="1254"/>
      <c r="M2147" s="1244"/>
      <c r="N2147" s="1275"/>
      <c r="O2147" s="1275"/>
      <c r="P2147" s="1244"/>
      <c r="Q2147" s="1244"/>
      <c r="R2147" s="1244"/>
      <c r="S2147" s="1265"/>
      <c r="T2147" s="1244"/>
      <c r="U2147" s="1244"/>
    </row>
    <row r="2148">
      <c r="A2148" s="1235"/>
      <c r="B2148" s="1235"/>
      <c r="C2148" s="1246"/>
      <c r="D2148" s="1274"/>
      <c r="E2148" s="1248"/>
      <c r="F2148" s="1248"/>
      <c r="G2148" s="1271"/>
      <c r="H2148" s="1250"/>
      <c r="I2148" s="1251"/>
      <c r="J2148" s="1271"/>
      <c r="K2148" s="1271"/>
      <c r="L2148" s="1254"/>
      <c r="M2148" s="1244"/>
      <c r="N2148" s="1275"/>
      <c r="O2148" s="1275"/>
      <c r="P2148" s="1244"/>
      <c r="Q2148" s="1244"/>
      <c r="R2148" s="1244"/>
      <c r="S2148" s="1265"/>
      <c r="T2148" s="1244"/>
      <c r="U2148" s="1244"/>
    </row>
    <row r="2149">
      <c r="A2149" s="1235"/>
      <c r="B2149" s="1235"/>
      <c r="C2149" s="1246"/>
      <c r="D2149" s="1274"/>
      <c r="E2149" s="1248"/>
      <c r="F2149" s="1248"/>
      <c r="G2149" s="1271"/>
      <c r="H2149" s="1250"/>
      <c r="I2149" s="1251"/>
      <c r="J2149" s="1271"/>
      <c r="K2149" s="1271"/>
      <c r="L2149" s="1254"/>
      <c r="M2149" s="1244"/>
      <c r="N2149" s="1275"/>
      <c r="O2149" s="1275"/>
      <c r="P2149" s="1244"/>
      <c r="Q2149" s="1244"/>
      <c r="R2149" s="1244"/>
      <c r="S2149" s="1265"/>
      <c r="T2149" s="1244"/>
      <c r="U2149" s="1244"/>
    </row>
    <row r="2150">
      <c r="A2150" s="1235"/>
      <c r="B2150" s="1235"/>
      <c r="C2150" s="1246"/>
      <c r="D2150" s="1274"/>
      <c r="E2150" s="1248"/>
      <c r="F2150" s="1248"/>
      <c r="G2150" s="1271"/>
      <c r="H2150" s="1250"/>
      <c r="I2150" s="1251"/>
      <c r="J2150" s="1271"/>
      <c r="K2150" s="1271"/>
      <c r="L2150" s="1254"/>
      <c r="M2150" s="1244"/>
      <c r="N2150" s="1275"/>
      <c r="O2150" s="1275"/>
      <c r="P2150" s="1244"/>
      <c r="Q2150" s="1244"/>
      <c r="R2150" s="1244"/>
      <c r="S2150" s="1265"/>
      <c r="T2150" s="1244"/>
      <c r="U2150" s="1244"/>
    </row>
    <row r="2151">
      <c r="A2151" s="1235"/>
      <c r="B2151" s="1235"/>
      <c r="C2151" s="1246"/>
      <c r="D2151" s="1274"/>
      <c r="E2151" s="1248"/>
      <c r="F2151" s="1248"/>
      <c r="G2151" s="1271"/>
      <c r="H2151" s="1250"/>
      <c r="I2151" s="1251"/>
      <c r="J2151" s="1271"/>
      <c r="K2151" s="1271"/>
      <c r="L2151" s="1254"/>
      <c r="M2151" s="1244"/>
      <c r="N2151" s="1275"/>
      <c r="O2151" s="1275"/>
      <c r="P2151" s="1244"/>
      <c r="Q2151" s="1244"/>
      <c r="R2151" s="1244"/>
      <c r="S2151" s="1265"/>
      <c r="T2151" s="1244"/>
      <c r="U2151" s="1244"/>
    </row>
    <row r="2152">
      <c r="A2152" s="1235"/>
      <c r="B2152" s="1235"/>
      <c r="C2152" s="1246"/>
      <c r="D2152" s="1274"/>
      <c r="E2152" s="1248"/>
      <c r="F2152" s="1248"/>
      <c r="G2152" s="1271"/>
      <c r="H2152" s="1250"/>
      <c r="I2152" s="1251"/>
      <c r="J2152" s="1271"/>
      <c r="K2152" s="1271"/>
      <c r="L2152" s="1254"/>
      <c r="M2152" s="1244"/>
      <c r="N2152" s="1275"/>
      <c r="O2152" s="1275"/>
      <c r="P2152" s="1244"/>
      <c r="Q2152" s="1244"/>
      <c r="R2152" s="1244"/>
      <c r="S2152" s="1265"/>
      <c r="T2152" s="1244"/>
      <c r="U2152" s="1244"/>
    </row>
    <row r="2153">
      <c r="A2153" s="1235"/>
      <c r="B2153" s="1235"/>
      <c r="C2153" s="1246"/>
      <c r="D2153" s="1274"/>
      <c r="E2153" s="1248"/>
      <c r="F2153" s="1248"/>
      <c r="G2153" s="1271"/>
      <c r="H2153" s="1250"/>
      <c r="I2153" s="1251"/>
      <c r="J2153" s="1271"/>
      <c r="K2153" s="1271"/>
      <c r="L2153" s="1254"/>
      <c r="M2153" s="1244"/>
      <c r="N2153" s="1275"/>
      <c r="O2153" s="1275"/>
      <c r="P2153" s="1244"/>
      <c r="Q2153" s="1244"/>
      <c r="R2153" s="1244"/>
      <c r="S2153" s="1265"/>
      <c r="T2153" s="1244"/>
      <c r="U2153" s="1244"/>
    </row>
    <row r="2154">
      <c r="A2154" s="1235"/>
      <c r="B2154" s="1235"/>
      <c r="C2154" s="1246"/>
      <c r="D2154" s="1274"/>
      <c r="E2154" s="1248"/>
      <c r="F2154" s="1248"/>
      <c r="G2154" s="1271"/>
      <c r="H2154" s="1250"/>
      <c r="I2154" s="1251"/>
      <c r="J2154" s="1271"/>
      <c r="K2154" s="1271"/>
      <c r="L2154" s="1254"/>
      <c r="M2154" s="1244"/>
      <c r="N2154" s="1275"/>
      <c r="O2154" s="1275"/>
      <c r="P2154" s="1244"/>
      <c r="Q2154" s="1244"/>
      <c r="R2154" s="1244"/>
      <c r="S2154" s="1265"/>
      <c r="T2154" s="1244"/>
      <c r="U2154" s="1244"/>
    </row>
    <row r="2155">
      <c r="A2155" s="1235"/>
      <c r="B2155" s="1235"/>
      <c r="C2155" s="1246"/>
      <c r="D2155" s="1274"/>
      <c r="E2155" s="1248"/>
      <c r="F2155" s="1248"/>
      <c r="G2155" s="1271"/>
      <c r="H2155" s="1250"/>
      <c r="I2155" s="1251"/>
      <c r="J2155" s="1271"/>
      <c r="K2155" s="1271"/>
      <c r="L2155" s="1254"/>
      <c r="M2155" s="1244"/>
      <c r="N2155" s="1275"/>
      <c r="O2155" s="1275"/>
      <c r="P2155" s="1244"/>
      <c r="Q2155" s="1244"/>
      <c r="R2155" s="1244"/>
      <c r="S2155" s="1265"/>
      <c r="T2155" s="1244"/>
      <c r="U2155" s="1244"/>
    </row>
    <row r="2156">
      <c r="A2156" s="1235"/>
      <c r="B2156" s="1235"/>
      <c r="C2156" s="1246"/>
      <c r="D2156" s="1274"/>
      <c r="E2156" s="1248"/>
      <c r="F2156" s="1248"/>
      <c r="G2156" s="1271"/>
      <c r="H2156" s="1250"/>
      <c r="I2156" s="1251"/>
      <c r="J2156" s="1271"/>
      <c r="K2156" s="1271"/>
      <c r="L2156" s="1254"/>
      <c r="M2156" s="1244"/>
      <c r="N2156" s="1275"/>
      <c r="O2156" s="1275"/>
      <c r="P2156" s="1244"/>
      <c r="Q2156" s="1244"/>
      <c r="R2156" s="1244"/>
      <c r="S2156" s="1265"/>
      <c r="T2156" s="1244"/>
      <c r="U2156" s="1244"/>
    </row>
    <row r="2157">
      <c r="A2157" s="1235"/>
      <c r="B2157" s="1235"/>
      <c r="C2157" s="1246"/>
      <c r="D2157" s="1274"/>
      <c r="E2157" s="1248"/>
      <c r="F2157" s="1248"/>
      <c r="G2157" s="1271"/>
      <c r="H2157" s="1250"/>
      <c r="I2157" s="1251"/>
      <c r="J2157" s="1271"/>
      <c r="K2157" s="1271"/>
      <c r="L2157" s="1254"/>
      <c r="M2157" s="1244"/>
      <c r="N2157" s="1275"/>
      <c r="O2157" s="1275"/>
      <c r="P2157" s="1244"/>
      <c r="Q2157" s="1244"/>
      <c r="R2157" s="1244"/>
      <c r="S2157" s="1265"/>
      <c r="T2157" s="1244"/>
      <c r="U2157" s="1244"/>
    </row>
    <row r="2158">
      <c r="A2158" s="1235"/>
      <c r="B2158" s="1235"/>
      <c r="C2158" s="1246"/>
      <c r="D2158" s="1274"/>
      <c r="E2158" s="1248"/>
      <c r="F2158" s="1248"/>
      <c r="G2158" s="1271"/>
      <c r="H2158" s="1250"/>
      <c r="I2158" s="1251"/>
      <c r="J2158" s="1271"/>
      <c r="K2158" s="1271"/>
      <c r="L2158" s="1254"/>
      <c r="M2158" s="1244"/>
      <c r="N2158" s="1275"/>
      <c r="O2158" s="1275"/>
      <c r="P2158" s="1244"/>
      <c r="Q2158" s="1244"/>
      <c r="R2158" s="1244"/>
      <c r="S2158" s="1265"/>
      <c r="T2158" s="1244"/>
      <c r="U2158" s="1244"/>
    </row>
    <row r="2159">
      <c r="A2159" s="1235"/>
      <c r="B2159" s="1235"/>
      <c r="C2159" s="1246"/>
      <c r="D2159" s="1274"/>
      <c r="E2159" s="1248"/>
      <c r="F2159" s="1248"/>
      <c r="G2159" s="1271"/>
      <c r="H2159" s="1250"/>
      <c r="I2159" s="1251"/>
      <c r="J2159" s="1271"/>
      <c r="K2159" s="1271"/>
      <c r="L2159" s="1254"/>
      <c r="M2159" s="1244"/>
      <c r="N2159" s="1275"/>
      <c r="O2159" s="1275"/>
      <c r="P2159" s="1244"/>
      <c r="Q2159" s="1244"/>
      <c r="R2159" s="1244"/>
      <c r="S2159" s="1265"/>
      <c r="T2159" s="1244"/>
      <c r="U2159" s="1244"/>
    </row>
    <row r="2160">
      <c r="A2160" s="1235"/>
      <c r="B2160" s="1235"/>
      <c r="C2160" s="1246"/>
      <c r="D2160" s="1274"/>
      <c r="E2160" s="1248"/>
      <c r="F2160" s="1248"/>
      <c r="G2160" s="1271"/>
      <c r="H2160" s="1250"/>
      <c r="I2160" s="1251"/>
      <c r="J2160" s="1271"/>
      <c r="K2160" s="1271"/>
      <c r="L2160" s="1254"/>
      <c r="M2160" s="1244"/>
      <c r="N2160" s="1275"/>
      <c r="O2160" s="1275"/>
      <c r="P2160" s="1244"/>
      <c r="Q2160" s="1244"/>
      <c r="R2160" s="1244"/>
      <c r="S2160" s="1265"/>
      <c r="T2160" s="1244"/>
      <c r="U2160" s="1244"/>
    </row>
    <row r="2161">
      <c r="A2161" s="1235"/>
      <c r="B2161" s="1235"/>
      <c r="C2161" s="1246"/>
      <c r="D2161" s="1274"/>
      <c r="E2161" s="1248"/>
      <c r="F2161" s="1248"/>
      <c r="G2161" s="1271"/>
      <c r="H2161" s="1250"/>
      <c r="I2161" s="1251"/>
      <c r="J2161" s="1271"/>
      <c r="K2161" s="1271"/>
      <c r="L2161" s="1254"/>
      <c r="M2161" s="1244"/>
      <c r="N2161" s="1275"/>
      <c r="O2161" s="1275"/>
      <c r="P2161" s="1244"/>
      <c r="Q2161" s="1244"/>
      <c r="R2161" s="1244"/>
      <c r="S2161" s="1265"/>
      <c r="T2161" s="1244"/>
      <c r="U2161" s="1244"/>
    </row>
    <row r="2162">
      <c r="A2162" s="1235"/>
      <c r="B2162" s="1235"/>
      <c r="C2162" s="1246"/>
      <c r="D2162" s="1274"/>
      <c r="E2162" s="1248"/>
      <c r="F2162" s="1248"/>
      <c r="G2162" s="1271"/>
      <c r="H2162" s="1250"/>
      <c r="I2162" s="1251"/>
      <c r="J2162" s="1271"/>
      <c r="K2162" s="1271"/>
      <c r="L2162" s="1254"/>
      <c r="M2162" s="1244"/>
      <c r="N2162" s="1275"/>
      <c r="O2162" s="1275"/>
      <c r="P2162" s="1244"/>
      <c r="Q2162" s="1244"/>
      <c r="R2162" s="1244"/>
      <c r="S2162" s="1265"/>
      <c r="T2162" s="1244"/>
      <c r="U2162" s="1244"/>
    </row>
    <row r="2163">
      <c r="A2163" s="1235"/>
      <c r="B2163" s="1235"/>
      <c r="C2163" s="1246"/>
      <c r="D2163" s="1274"/>
      <c r="E2163" s="1248"/>
      <c r="F2163" s="1248"/>
      <c r="G2163" s="1271"/>
      <c r="H2163" s="1250"/>
      <c r="I2163" s="1251"/>
      <c r="J2163" s="1271"/>
      <c r="K2163" s="1271"/>
      <c r="L2163" s="1254"/>
      <c r="M2163" s="1244"/>
      <c r="N2163" s="1275"/>
      <c r="O2163" s="1275"/>
      <c r="P2163" s="1244"/>
      <c r="Q2163" s="1244"/>
      <c r="R2163" s="1244"/>
      <c r="S2163" s="1265"/>
      <c r="T2163" s="1244"/>
      <c r="U2163" s="1244"/>
    </row>
    <row r="2164">
      <c r="A2164" s="1235"/>
      <c r="B2164" s="1235"/>
      <c r="C2164" s="1246"/>
      <c r="D2164" s="1274"/>
      <c r="E2164" s="1248"/>
      <c r="F2164" s="1248"/>
      <c r="G2164" s="1271"/>
      <c r="H2164" s="1250"/>
      <c r="I2164" s="1251"/>
      <c r="J2164" s="1271"/>
      <c r="K2164" s="1271"/>
      <c r="L2164" s="1254"/>
      <c r="M2164" s="1244"/>
      <c r="N2164" s="1275"/>
      <c r="O2164" s="1275"/>
      <c r="P2164" s="1244"/>
      <c r="Q2164" s="1244"/>
      <c r="R2164" s="1244"/>
      <c r="S2164" s="1265"/>
      <c r="T2164" s="1244"/>
      <c r="U2164" s="1244"/>
    </row>
    <row r="2165">
      <c r="A2165" s="1235"/>
      <c r="B2165" s="1235"/>
      <c r="C2165" s="1246"/>
      <c r="D2165" s="1274"/>
      <c r="E2165" s="1248"/>
      <c r="F2165" s="1248"/>
      <c r="G2165" s="1271"/>
      <c r="H2165" s="1250"/>
      <c r="I2165" s="1251"/>
      <c r="J2165" s="1271"/>
      <c r="K2165" s="1271"/>
      <c r="L2165" s="1254"/>
      <c r="M2165" s="1244"/>
      <c r="N2165" s="1275"/>
      <c r="O2165" s="1275"/>
      <c r="P2165" s="1244"/>
      <c r="Q2165" s="1244"/>
      <c r="R2165" s="1244"/>
      <c r="S2165" s="1265"/>
      <c r="T2165" s="1244"/>
      <c r="U2165" s="1244"/>
    </row>
    <row r="2166">
      <c r="A2166" s="1235"/>
      <c r="B2166" s="1235"/>
      <c r="C2166" s="1246"/>
      <c r="D2166" s="1274"/>
      <c r="E2166" s="1248"/>
      <c r="F2166" s="1248"/>
      <c r="G2166" s="1271"/>
      <c r="H2166" s="1250"/>
      <c r="I2166" s="1251"/>
      <c r="J2166" s="1271"/>
      <c r="K2166" s="1271"/>
      <c r="L2166" s="1254"/>
      <c r="M2166" s="1244"/>
      <c r="N2166" s="1275"/>
      <c r="O2166" s="1275"/>
      <c r="P2166" s="1244"/>
      <c r="Q2166" s="1244"/>
      <c r="R2166" s="1244"/>
      <c r="S2166" s="1265"/>
      <c r="T2166" s="1244"/>
      <c r="U2166" s="1244"/>
    </row>
    <row r="2167">
      <c r="A2167" s="1235"/>
      <c r="B2167" s="1235"/>
      <c r="C2167" s="1246"/>
      <c r="D2167" s="1274"/>
      <c r="E2167" s="1248"/>
      <c r="F2167" s="1248"/>
      <c r="G2167" s="1271"/>
      <c r="H2167" s="1250"/>
      <c r="I2167" s="1251"/>
      <c r="J2167" s="1271"/>
      <c r="K2167" s="1271"/>
      <c r="L2167" s="1254"/>
      <c r="M2167" s="1244"/>
      <c r="N2167" s="1275"/>
      <c r="O2167" s="1275"/>
      <c r="P2167" s="1244"/>
      <c r="Q2167" s="1244"/>
      <c r="R2167" s="1244"/>
      <c r="S2167" s="1265"/>
      <c r="T2167" s="1244"/>
      <c r="U2167" s="1244"/>
    </row>
    <row r="2168">
      <c r="A2168" s="1235"/>
      <c r="B2168" s="1235"/>
      <c r="C2168" s="1246"/>
      <c r="D2168" s="1274"/>
      <c r="E2168" s="1248"/>
      <c r="F2168" s="1248"/>
      <c r="G2168" s="1271"/>
      <c r="H2168" s="1250"/>
      <c r="I2168" s="1251"/>
      <c r="J2168" s="1271"/>
      <c r="K2168" s="1271"/>
      <c r="L2168" s="1254"/>
      <c r="M2168" s="1244"/>
      <c r="N2168" s="1275"/>
      <c r="O2168" s="1275"/>
      <c r="P2168" s="1244"/>
      <c r="Q2168" s="1244"/>
      <c r="R2168" s="1244"/>
      <c r="S2168" s="1265"/>
      <c r="T2168" s="1244"/>
      <c r="U2168" s="1244"/>
    </row>
    <row r="2169">
      <c r="A2169" s="1235"/>
      <c r="B2169" s="1235"/>
      <c r="C2169" s="1246"/>
      <c r="D2169" s="1274"/>
      <c r="E2169" s="1248"/>
      <c r="F2169" s="1248"/>
      <c r="G2169" s="1271"/>
      <c r="H2169" s="1250"/>
      <c r="I2169" s="1251"/>
      <c r="J2169" s="1271"/>
      <c r="K2169" s="1271"/>
      <c r="L2169" s="1254"/>
      <c r="M2169" s="1244"/>
      <c r="N2169" s="1275"/>
      <c r="O2169" s="1275"/>
      <c r="P2169" s="1244"/>
      <c r="Q2169" s="1244"/>
      <c r="R2169" s="1244"/>
      <c r="S2169" s="1265"/>
      <c r="T2169" s="1244"/>
      <c r="U2169" s="1244"/>
    </row>
    <row r="2170">
      <c r="A2170" s="1235"/>
      <c r="B2170" s="1235"/>
      <c r="C2170" s="1246"/>
      <c r="D2170" s="1274"/>
      <c r="E2170" s="1248"/>
      <c r="F2170" s="1248"/>
      <c r="G2170" s="1271"/>
      <c r="H2170" s="1250"/>
      <c r="I2170" s="1251"/>
      <c r="J2170" s="1271"/>
      <c r="K2170" s="1271"/>
      <c r="L2170" s="1254"/>
      <c r="M2170" s="1244"/>
      <c r="N2170" s="1275"/>
      <c r="O2170" s="1275"/>
      <c r="P2170" s="1244"/>
      <c r="Q2170" s="1244"/>
      <c r="R2170" s="1244"/>
      <c r="S2170" s="1265"/>
      <c r="T2170" s="1244"/>
      <c r="U2170" s="1244"/>
    </row>
    <row r="2171">
      <c r="A2171" s="1235"/>
      <c r="B2171" s="1235"/>
      <c r="C2171" s="1246"/>
      <c r="D2171" s="1274"/>
      <c r="E2171" s="1248"/>
      <c r="F2171" s="1248"/>
      <c r="G2171" s="1271"/>
      <c r="H2171" s="1250"/>
      <c r="I2171" s="1251"/>
      <c r="J2171" s="1271"/>
      <c r="K2171" s="1271"/>
      <c r="L2171" s="1254"/>
      <c r="M2171" s="1244"/>
      <c r="N2171" s="1275"/>
      <c r="O2171" s="1275"/>
      <c r="P2171" s="1244"/>
      <c r="Q2171" s="1244"/>
      <c r="R2171" s="1244"/>
      <c r="S2171" s="1265"/>
      <c r="T2171" s="1244"/>
      <c r="U2171" s="1244"/>
    </row>
    <row r="2172">
      <c r="A2172" s="1235"/>
      <c r="B2172" s="1235"/>
      <c r="C2172" s="1246"/>
      <c r="D2172" s="1274"/>
      <c r="E2172" s="1248"/>
      <c r="F2172" s="1248"/>
      <c r="G2172" s="1271"/>
      <c r="H2172" s="1250"/>
      <c r="I2172" s="1251"/>
      <c r="J2172" s="1271"/>
      <c r="K2172" s="1271"/>
      <c r="L2172" s="1254"/>
      <c r="M2172" s="1244"/>
      <c r="N2172" s="1275"/>
      <c r="O2172" s="1275"/>
      <c r="P2172" s="1244"/>
      <c r="Q2172" s="1244"/>
      <c r="R2172" s="1244"/>
      <c r="S2172" s="1265"/>
      <c r="T2172" s="1244"/>
      <c r="U2172" s="1244"/>
    </row>
    <row r="2173">
      <c r="A2173" s="1235"/>
      <c r="B2173" s="1235"/>
      <c r="C2173" s="1246"/>
      <c r="D2173" s="1274"/>
      <c r="E2173" s="1248"/>
      <c r="F2173" s="1248"/>
      <c r="G2173" s="1271"/>
      <c r="H2173" s="1250"/>
      <c r="I2173" s="1251"/>
      <c r="J2173" s="1271"/>
      <c r="K2173" s="1271"/>
      <c r="L2173" s="1254"/>
      <c r="M2173" s="1244"/>
      <c r="N2173" s="1275"/>
      <c r="O2173" s="1275"/>
      <c r="P2173" s="1244"/>
      <c r="Q2173" s="1244"/>
      <c r="R2173" s="1244"/>
      <c r="S2173" s="1265"/>
      <c r="T2173" s="1244"/>
      <c r="U2173" s="1244"/>
    </row>
    <row r="2174">
      <c r="A2174" s="1235"/>
      <c r="B2174" s="1235"/>
      <c r="C2174" s="1246"/>
      <c r="D2174" s="1274"/>
      <c r="E2174" s="1248"/>
      <c r="F2174" s="1248"/>
      <c r="G2174" s="1271"/>
      <c r="H2174" s="1250"/>
      <c r="I2174" s="1251"/>
      <c r="J2174" s="1271"/>
      <c r="K2174" s="1271"/>
      <c r="L2174" s="1254"/>
      <c r="M2174" s="1244"/>
      <c r="N2174" s="1275"/>
      <c r="O2174" s="1275"/>
      <c r="P2174" s="1244"/>
      <c r="Q2174" s="1244"/>
      <c r="R2174" s="1244"/>
      <c r="S2174" s="1265"/>
      <c r="T2174" s="1244"/>
      <c r="U2174" s="1244"/>
    </row>
    <row r="2175">
      <c r="A2175" s="1235"/>
      <c r="B2175" s="1235"/>
      <c r="C2175" s="1246"/>
      <c r="D2175" s="1274"/>
      <c r="E2175" s="1248"/>
      <c r="F2175" s="1248"/>
      <c r="G2175" s="1271"/>
      <c r="H2175" s="1250"/>
      <c r="I2175" s="1251"/>
      <c r="J2175" s="1271"/>
      <c r="K2175" s="1271"/>
      <c r="L2175" s="1254"/>
      <c r="M2175" s="1244"/>
      <c r="N2175" s="1275"/>
      <c r="O2175" s="1275"/>
      <c r="P2175" s="1244"/>
      <c r="Q2175" s="1244"/>
      <c r="R2175" s="1244"/>
      <c r="S2175" s="1265"/>
      <c r="T2175" s="1244"/>
      <c r="U2175" s="1244"/>
    </row>
    <row r="2176">
      <c r="A2176" s="1235"/>
      <c r="B2176" s="1235"/>
      <c r="C2176" s="1246"/>
      <c r="D2176" s="1274"/>
      <c r="E2176" s="1248"/>
      <c r="F2176" s="1248"/>
      <c r="G2176" s="1271"/>
      <c r="H2176" s="1250"/>
      <c r="I2176" s="1251"/>
      <c r="J2176" s="1271"/>
      <c r="K2176" s="1271"/>
      <c r="L2176" s="1254"/>
      <c r="M2176" s="1244"/>
      <c r="N2176" s="1275"/>
      <c r="O2176" s="1275"/>
      <c r="P2176" s="1244"/>
      <c r="Q2176" s="1244"/>
      <c r="R2176" s="1244"/>
      <c r="S2176" s="1265"/>
      <c r="T2176" s="1244"/>
      <c r="U2176" s="1244"/>
    </row>
    <row r="2177">
      <c r="A2177" s="1235"/>
      <c r="B2177" s="1235"/>
      <c r="C2177" s="1246"/>
      <c r="D2177" s="1274"/>
      <c r="E2177" s="1248"/>
      <c r="F2177" s="1248"/>
      <c r="G2177" s="1271"/>
      <c r="H2177" s="1250"/>
      <c r="I2177" s="1251"/>
      <c r="J2177" s="1271"/>
      <c r="K2177" s="1271"/>
      <c r="L2177" s="1254"/>
      <c r="M2177" s="1244"/>
      <c r="N2177" s="1275"/>
      <c r="O2177" s="1275"/>
      <c r="P2177" s="1244"/>
      <c r="Q2177" s="1244"/>
      <c r="R2177" s="1244"/>
      <c r="S2177" s="1265"/>
      <c r="T2177" s="1244"/>
      <c r="U2177" s="1244"/>
    </row>
    <row r="2178">
      <c r="A2178" s="1235"/>
      <c r="B2178" s="1235"/>
      <c r="C2178" s="1246"/>
      <c r="D2178" s="1274"/>
      <c r="E2178" s="1248"/>
      <c r="F2178" s="1248"/>
      <c r="G2178" s="1271"/>
      <c r="H2178" s="1250"/>
      <c r="I2178" s="1251"/>
      <c r="J2178" s="1271"/>
      <c r="K2178" s="1271"/>
      <c r="L2178" s="1254"/>
      <c r="M2178" s="1244"/>
      <c r="N2178" s="1275"/>
      <c r="O2178" s="1275"/>
      <c r="P2178" s="1244"/>
      <c r="Q2178" s="1244"/>
      <c r="R2178" s="1244"/>
      <c r="S2178" s="1265"/>
      <c r="T2178" s="1244"/>
      <c r="U2178" s="1244"/>
    </row>
    <row r="2179">
      <c r="A2179" s="1235"/>
      <c r="B2179" s="1235"/>
      <c r="C2179" s="1246"/>
      <c r="D2179" s="1274"/>
      <c r="E2179" s="1248"/>
      <c r="F2179" s="1248"/>
      <c r="G2179" s="1271"/>
      <c r="H2179" s="1250"/>
      <c r="I2179" s="1251"/>
      <c r="J2179" s="1271"/>
      <c r="K2179" s="1271"/>
      <c r="L2179" s="1254"/>
      <c r="M2179" s="1244"/>
      <c r="N2179" s="1275"/>
      <c r="O2179" s="1275"/>
      <c r="P2179" s="1244"/>
      <c r="Q2179" s="1244"/>
      <c r="R2179" s="1244"/>
      <c r="S2179" s="1265"/>
      <c r="T2179" s="1244"/>
      <c r="U2179" s="1244"/>
    </row>
    <row r="2180">
      <c r="A2180" s="1235"/>
      <c r="B2180" s="1235"/>
      <c r="C2180" s="1246"/>
      <c r="D2180" s="1274"/>
      <c r="E2180" s="1248"/>
      <c r="F2180" s="1248"/>
      <c r="G2180" s="1271"/>
      <c r="H2180" s="1250"/>
      <c r="I2180" s="1251"/>
      <c r="J2180" s="1271"/>
      <c r="K2180" s="1271"/>
      <c r="L2180" s="1254"/>
      <c r="M2180" s="1244"/>
      <c r="N2180" s="1275"/>
      <c r="O2180" s="1275"/>
      <c r="P2180" s="1244"/>
      <c r="Q2180" s="1244"/>
      <c r="R2180" s="1244"/>
      <c r="S2180" s="1265"/>
      <c r="T2180" s="1244"/>
      <c r="U2180" s="1244"/>
    </row>
    <row r="2181">
      <c r="A2181" s="1235"/>
      <c r="B2181" s="1235"/>
      <c r="C2181" s="1246"/>
      <c r="D2181" s="1274"/>
      <c r="E2181" s="1248"/>
      <c r="F2181" s="1248"/>
      <c r="G2181" s="1271"/>
      <c r="H2181" s="1250"/>
      <c r="I2181" s="1251"/>
      <c r="J2181" s="1271"/>
      <c r="K2181" s="1271"/>
      <c r="L2181" s="1254"/>
      <c r="M2181" s="1244"/>
      <c r="N2181" s="1275"/>
      <c r="O2181" s="1275"/>
      <c r="P2181" s="1244"/>
      <c r="Q2181" s="1244"/>
      <c r="R2181" s="1244"/>
      <c r="S2181" s="1265"/>
      <c r="T2181" s="1244"/>
      <c r="U2181" s="1244"/>
    </row>
    <row r="2182">
      <c r="A2182" s="1235"/>
      <c r="B2182" s="1235"/>
      <c r="C2182" s="1246"/>
      <c r="D2182" s="1274"/>
      <c r="E2182" s="1248"/>
      <c r="F2182" s="1248"/>
      <c r="G2182" s="1271"/>
      <c r="H2182" s="1250"/>
      <c r="I2182" s="1251"/>
      <c r="J2182" s="1271"/>
      <c r="K2182" s="1271"/>
      <c r="L2182" s="1254"/>
      <c r="M2182" s="1244"/>
      <c r="N2182" s="1275"/>
      <c r="O2182" s="1275"/>
      <c r="P2182" s="1244"/>
      <c r="Q2182" s="1244"/>
      <c r="R2182" s="1244"/>
      <c r="S2182" s="1265"/>
      <c r="T2182" s="1244"/>
      <c r="U2182" s="1244"/>
    </row>
    <row r="2183">
      <c r="A2183" s="1235"/>
      <c r="B2183" s="1235"/>
      <c r="C2183" s="1246"/>
      <c r="D2183" s="1274"/>
      <c r="E2183" s="1248"/>
      <c r="F2183" s="1248"/>
      <c r="G2183" s="1271"/>
      <c r="H2183" s="1250"/>
      <c r="I2183" s="1251"/>
      <c r="J2183" s="1271"/>
      <c r="K2183" s="1271"/>
      <c r="L2183" s="1254"/>
      <c r="M2183" s="1244"/>
      <c r="N2183" s="1275"/>
      <c r="O2183" s="1275"/>
      <c r="P2183" s="1244"/>
      <c r="Q2183" s="1244"/>
      <c r="R2183" s="1244"/>
      <c r="S2183" s="1265"/>
      <c r="T2183" s="1244"/>
      <c r="U2183" s="1244"/>
    </row>
    <row r="2184">
      <c r="A2184" s="1235"/>
      <c r="B2184" s="1235"/>
      <c r="C2184" s="1246"/>
      <c r="D2184" s="1274"/>
      <c r="E2184" s="1248"/>
      <c r="F2184" s="1248"/>
      <c r="G2184" s="1271"/>
      <c r="H2184" s="1250"/>
      <c r="I2184" s="1251"/>
      <c r="J2184" s="1271"/>
      <c r="K2184" s="1271"/>
      <c r="L2184" s="1254"/>
      <c r="M2184" s="1244"/>
      <c r="N2184" s="1275"/>
      <c r="O2184" s="1275"/>
      <c r="P2184" s="1244"/>
      <c r="Q2184" s="1244"/>
      <c r="R2184" s="1244"/>
      <c r="S2184" s="1265"/>
      <c r="T2184" s="1244"/>
      <c r="U2184" s="1244"/>
    </row>
    <row r="2185">
      <c r="A2185" s="1235"/>
      <c r="B2185" s="1235"/>
      <c r="C2185" s="1246"/>
      <c r="D2185" s="1274"/>
      <c r="E2185" s="1248"/>
      <c r="F2185" s="1248"/>
      <c r="G2185" s="1271"/>
      <c r="H2185" s="1250"/>
      <c r="I2185" s="1251"/>
      <c r="J2185" s="1271"/>
      <c r="K2185" s="1271"/>
      <c r="L2185" s="1254"/>
      <c r="M2185" s="1244"/>
      <c r="N2185" s="1275"/>
      <c r="O2185" s="1275"/>
      <c r="P2185" s="1244"/>
      <c r="Q2185" s="1244"/>
      <c r="R2185" s="1244"/>
      <c r="S2185" s="1265"/>
      <c r="T2185" s="1244"/>
      <c r="U2185" s="1244"/>
    </row>
    <row r="2186">
      <c r="A2186" s="1235"/>
      <c r="B2186" s="1235"/>
      <c r="C2186" s="1246"/>
      <c r="D2186" s="1274"/>
      <c r="E2186" s="1248"/>
      <c r="F2186" s="1248"/>
      <c r="G2186" s="1271"/>
      <c r="H2186" s="1250"/>
      <c r="I2186" s="1251"/>
      <c r="J2186" s="1271"/>
      <c r="K2186" s="1271"/>
      <c r="L2186" s="1254"/>
      <c r="M2186" s="1244"/>
      <c r="N2186" s="1275"/>
      <c r="O2186" s="1275"/>
      <c r="P2186" s="1244"/>
      <c r="Q2186" s="1244"/>
      <c r="R2186" s="1244"/>
      <c r="S2186" s="1265"/>
      <c r="T2186" s="1244"/>
      <c r="U2186" s="1244"/>
    </row>
    <row r="2187">
      <c r="A2187" s="1235"/>
      <c r="B2187" s="1235"/>
      <c r="C2187" s="1246"/>
      <c r="D2187" s="1274"/>
      <c r="E2187" s="1248"/>
      <c r="F2187" s="1248"/>
      <c r="G2187" s="1271"/>
      <c r="H2187" s="1250"/>
      <c r="I2187" s="1251"/>
      <c r="J2187" s="1271"/>
      <c r="K2187" s="1271"/>
      <c r="L2187" s="1254"/>
      <c r="M2187" s="1244"/>
      <c r="N2187" s="1275"/>
      <c r="O2187" s="1275"/>
      <c r="P2187" s="1244"/>
      <c r="Q2187" s="1244"/>
      <c r="R2187" s="1244"/>
      <c r="S2187" s="1265"/>
      <c r="T2187" s="1244"/>
      <c r="U2187" s="1244"/>
    </row>
    <row r="2188">
      <c r="A2188" s="1235"/>
      <c r="B2188" s="1235"/>
      <c r="C2188" s="1246"/>
      <c r="D2188" s="1274"/>
      <c r="E2188" s="1248"/>
      <c r="F2188" s="1248"/>
      <c r="G2188" s="1271"/>
      <c r="H2188" s="1250"/>
      <c r="I2188" s="1251"/>
      <c r="J2188" s="1271"/>
      <c r="K2188" s="1271"/>
      <c r="L2188" s="1254"/>
      <c r="M2188" s="1244"/>
      <c r="N2188" s="1275"/>
      <c r="O2188" s="1275"/>
      <c r="P2188" s="1244"/>
      <c r="Q2188" s="1244"/>
      <c r="R2188" s="1244"/>
      <c r="S2188" s="1265"/>
      <c r="T2188" s="1244"/>
      <c r="U2188" s="1244"/>
    </row>
    <row r="2189">
      <c r="A2189" s="1235"/>
      <c r="B2189" s="1235"/>
      <c r="C2189" s="1246"/>
      <c r="D2189" s="1274"/>
      <c r="E2189" s="1248"/>
      <c r="F2189" s="1248"/>
      <c r="G2189" s="1271"/>
      <c r="H2189" s="1250"/>
      <c r="I2189" s="1251"/>
      <c r="J2189" s="1271"/>
      <c r="K2189" s="1271"/>
      <c r="L2189" s="1254"/>
      <c r="M2189" s="1244"/>
      <c r="N2189" s="1275"/>
      <c r="O2189" s="1275"/>
      <c r="P2189" s="1244"/>
      <c r="Q2189" s="1244"/>
      <c r="R2189" s="1244"/>
      <c r="S2189" s="1265"/>
      <c r="T2189" s="1244"/>
      <c r="U2189" s="1244"/>
    </row>
    <row r="2190">
      <c r="A2190" s="1235"/>
      <c r="B2190" s="1235"/>
      <c r="C2190" s="1246"/>
      <c r="D2190" s="1274"/>
      <c r="E2190" s="1248"/>
      <c r="F2190" s="1248"/>
      <c r="G2190" s="1271"/>
      <c r="H2190" s="1250"/>
      <c r="I2190" s="1251"/>
      <c r="J2190" s="1271"/>
      <c r="K2190" s="1271"/>
      <c r="L2190" s="1254"/>
      <c r="M2190" s="1244"/>
      <c r="N2190" s="1275"/>
      <c r="O2190" s="1275"/>
      <c r="P2190" s="1244"/>
      <c r="Q2190" s="1244"/>
      <c r="R2190" s="1244"/>
      <c r="S2190" s="1265"/>
      <c r="T2190" s="1244"/>
      <c r="U2190" s="1244"/>
    </row>
    <row r="2191">
      <c r="A2191" s="1235"/>
      <c r="B2191" s="1235"/>
      <c r="C2191" s="1246"/>
      <c r="D2191" s="1274"/>
      <c r="E2191" s="1248"/>
      <c r="F2191" s="1248"/>
      <c r="G2191" s="1271"/>
      <c r="H2191" s="1250"/>
      <c r="I2191" s="1251"/>
      <c r="J2191" s="1271"/>
      <c r="K2191" s="1271"/>
      <c r="L2191" s="1254"/>
      <c r="M2191" s="1244"/>
      <c r="N2191" s="1275"/>
      <c r="O2191" s="1275"/>
      <c r="P2191" s="1244"/>
      <c r="Q2191" s="1244"/>
      <c r="R2191" s="1244"/>
      <c r="S2191" s="1265"/>
      <c r="T2191" s="1244"/>
      <c r="U2191" s="1244"/>
    </row>
    <row r="2192">
      <c r="A2192" s="1235"/>
      <c r="B2192" s="1235"/>
      <c r="C2192" s="1246"/>
      <c r="D2192" s="1274"/>
      <c r="E2192" s="1248"/>
      <c r="F2192" s="1248"/>
      <c r="G2192" s="1271"/>
      <c r="H2192" s="1250"/>
      <c r="I2192" s="1251"/>
      <c r="J2192" s="1271"/>
      <c r="K2192" s="1271"/>
      <c r="L2192" s="1254"/>
      <c r="M2192" s="1244"/>
      <c r="N2192" s="1275"/>
      <c r="O2192" s="1275"/>
      <c r="P2192" s="1244"/>
      <c r="Q2192" s="1244"/>
      <c r="R2192" s="1244"/>
      <c r="S2192" s="1265"/>
      <c r="T2192" s="1244"/>
      <c r="U2192" s="1244"/>
    </row>
    <row r="2193">
      <c r="A2193" s="1235"/>
      <c r="B2193" s="1235"/>
      <c r="C2193" s="1246"/>
      <c r="D2193" s="1274"/>
      <c r="E2193" s="1248"/>
      <c r="F2193" s="1248"/>
      <c r="G2193" s="1271"/>
      <c r="H2193" s="1250"/>
      <c r="I2193" s="1251"/>
      <c r="J2193" s="1271"/>
      <c r="K2193" s="1271"/>
      <c r="L2193" s="1254"/>
      <c r="M2193" s="1244"/>
      <c r="N2193" s="1275"/>
      <c r="O2193" s="1275"/>
      <c r="P2193" s="1244"/>
      <c r="Q2193" s="1244"/>
      <c r="R2193" s="1244"/>
      <c r="S2193" s="1265"/>
      <c r="T2193" s="1244"/>
      <c r="U2193" s="1244"/>
    </row>
    <row r="2194">
      <c r="A2194" s="1235"/>
      <c r="B2194" s="1235"/>
      <c r="C2194" s="1246"/>
      <c r="D2194" s="1274"/>
      <c r="E2194" s="1248"/>
      <c r="F2194" s="1248"/>
      <c r="G2194" s="1271"/>
      <c r="H2194" s="1250"/>
      <c r="I2194" s="1251"/>
      <c r="J2194" s="1271"/>
      <c r="K2194" s="1271"/>
      <c r="L2194" s="1254"/>
      <c r="M2194" s="1244"/>
      <c r="N2194" s="1275"/>
      <c r="O2194" s="1275"/>
      <c r="P2194" s="1244"/>
      <c r="Q2194" s="1244"/>
      <c r="R2194" s="1244"/>
      <c r="S2194" s="1265"/>
      <c r="T2194" s="1244"/>
      <c r="U2194" s="1244"/>
    </row>
    <row r="2195">
      <c r="A2195" s="1235"/>
      <c r="B2195" s="1235"/>
      <c r="C2195" s="1246"/>
      <c r="D2195" s="1274"/>
      <c r="E2195" s="1248"/>
      <c r="F2195" s="1248"/>
      <c r="G2195" s="1271"/>
      <c r="H2195" s="1250"/>
      <c r="I2195" s="1251"/>
      <c r="J2195" s="1271"/>
      <c r="K2195" s="1271"/>
      <c r="L2195" s="1254"/>
      <c r="M2195" s="1244"/>
      <c r="N2195" s="1275"/>
      <c r="O2195" s="1275"/>
      <c r="P2195" s="1244"/>
      <c r="Q2195" s="1244"/>
      <c r="R2195" s="1244"/>
      <c r="S2195" s="1265"/>
      <c r="T2195" s="1244"/>
      <c r="U2195" s="1244"/>
    </row>
    <row r="2196">
      <c r="A2196" s="1235"/>
      <c r="B2196" s="1235"/>
      <c r="C2196" s="1246"/>
      <c r="D2196" s="1274"/>
      <c r="E2196" s="1248"/>
      <c r="F2196" s="1248"/>
      <c r="G2196" s="1271"/>
      <c r="H2196" s="1250"/>
      <c r="I2196" s="1251"/>
      <c r="J2196" s="1271"/>
      <c r="K2196" s="1271"/>
      <c r="L2196" s="1254"/>
      <c r="M2196" s="1244"/>
      <c r="N2196" s="1275"/>
      <c r="O2196" s="1275"/>
      <c r="P2196" s="1244"/>
      <c r="Q2196" s="1244"/>
      <c r="R2196" s="1244"/>
      <c r="S2196" s="1265"/>
      <c r="T2196" s="1244"/>
      <c r="U2196" s="1244"/>
    </row>
    <row r="2197">
      <c r="A2197" s="1235"/>
      <c r="B2197" s="1235"/>
      <c r="C2197" s="1246"/>
      <c r="D2197" s="1274"/>
      <c r="E2197" s="1248"/>
      <c r="F2197" s="1248"/>
      <c r="G2197" s="1271"/>
      <c r="H2197" s="1250"/>
      <c r="I2197" s="1251"/>
      <c r="J2197" s="1271"/>
      <c r="K2197" s="1271"/>
      <c r="L2197" s="1254"/>
      <c r="M2197" s="1244"/>
      <c r="N2197" s="1275"/>
      <c r="O2197" s="1275"/>
      <c r="P2197" s="1244"/>
      <c r="Q2197" s="1244"/>
      <c r="R2197" s="1244"/>
      <c r="S2197" s="1265"/>
      <c r="T2197" s="1244"/>
      <c r="U2197" s="1244"/>
    </row>
    <row r="2198">
      <c r="A2198" s="1235"/>
      <c r="B2198" s="1235"/>
      <c r="C2198" s="1246"/>
      <c r="D2198" s="1274"/>
      <c r="E2198" s="1248"/>
      <c r="F2198" s="1248"/>
      <c r="G2198" s="1271"/>
      <c r="H2198" s="1250"/>
      <c r="I2198" s="1251"/>
      <c r="J2198" s="1271"/>
      <c r="K2198" s="1271"/>
      <c r="L2198" s="1254"/>
      <c r="M2198" s="1244"/>
      <c r="N2198" s="1275"/>
      <c r="O2198" s="1275"/>
      <c r="P2198" s="1244"/>
      <c r="Q2198" s="1244"/>
      <c r="R2198" s="1244"/>
      <c r="S2198" s="1265"/>
      <c r="T2198" s="1244"/>
      <c r="U2198" s="1244"/>
    </row>
    <row r="2199">
      <c r="A2199" s="1235"/>
      <c r="B2199" s="1235"/>
      <c r="C2199" s="1246"/>
      <c r="D2199" s="1274"/>
      <c r="E2199" s="1248"/>
      <c r="F2199" s="1248"/>
      <c r="G2199" s="1271"/>
      <c r="H2199" s="1250"/>
      <c r="I2199" s="1251"/>
      <c r="J2199" s="1271"/>
      <c r="K2199" s="1271"/>
      <c r="L2199" s="1254"/>
      <c r="M2199" s="1244"/>
      <c r="N2199" s="1275"/>
      <c r="O2199" s="1275"/>
      <c r="P2199" s="1244"/>
      <c r="Q2199" s="1244"/>
      <c r="R2199" s="1244"/>
      <c r="S2199" s="1265"/>
      <c r="T2199" s="1244"/>
      <c r="U2199" s="1244"/>
    </row>
    <row r="2200">
      <c r="A2200" s="1235"/>
      <c r="B2200" s="1235"/>
      <c r="C2200" s="1246"/>
      <c r="D2200" s="1274"/>
      <c r="E2200" s="1248"/>
      <c r="F2200" s="1248"/>
      <c r="G2200" s="1271"/>
      <c r="H2200" s="1250"/>
      <c r="I2200" s="1251"/>
      <c r="J2200" s="1271"/>
      <c r="K2200" s="1271"/>
      <c r="L2200" s="1254"/>
      <c r="M2200" s="1244"/>
      <c r="N2200" s="1275"/>
      <c r="O2200" s="1275"/>
      <c r="P2200" s="1244"/>
      <c r="Q2200" s="1244"/>
      <c r="R2200" s="1244"/>
      <c r="S2200" s="1265"/>
      <c r="T2200" s="1244"/>
      <c r="U2200" s="1244"/>
    </row>
    <row r="2201">
      <c r="A2201" s="1235"/>
      <c r="B2201" s="1235"/>
      <c r="C2201" s="1246"/>
      <c r="D2201" s="1274"/>
      <c r="E2201" s="1248"/>
      <c r="F2201" s="1248"/>
      <c r="G2201" s="1271"/>
      <c r="H2201" s="1250"/>
      <c r="I2201" s="1251"/>
      <c r="J2201" s="1271"/>
      <c r="K2201" s="1271"/>
      <c r="L2201" s="1254"/>
      <c r="M2201" s="1244"/>
      <c r="N2201" s="1275"/>
      <c r="O2201" s="1275"/>
      <c r="P2201" s="1244"/>
      <c r="Q2201" s="1244"/>
      <c r="R2201" s="1244"/>
      <c r="S2201" s="1265"/>
      <c r="T2201" s="1244"/>
      <c r="U2201" s="1244"/>
    </row>
    <row r="2202">
      <c r="A2202" s="1235"/>
      <c r="B2202" s="1235"/>
      <c r="C2202" s="1246"/>
      <c r="D2202" s="1274"/>
      <c r="E2202" s="1248"/>
      <c r="F2202" s="1248"/>
      <c r="G2202" s="1271"/>
      <c r="H2202" s="1250"/>
      <c r="I2202" s="1251"/>
      <c r="J2202" s="1271"/>
      <c r="K2202" s="1271"/>
      <c r="L2202" s="1254"/>
      <c r="M2202" s="1244"/>
      <c r="N2202" s="1275"/>
      <c r="O2202" s="1275"/>
      <c r="P2202" s="1244"/>
      <c r="Q2202" s="1244"/>
      <c r="R2202" s="1244"/>
      <c r="S2202" s="1265"/>
      <c r="T2202" s="1244"/>
      <c r="U2202" s="1244"/>
    </row>
    <row r="2203">
      <c r="A2203" s="1235"/>
      <c r="B2203" s="1235"/>
      <c r="C2203" s="1246"/>
      <c r="D2203" s="1274"/>
      <c r="E2203" s="1248"/>
      <c r="F2203" s="1248"/>
      <c r="G2203" s="1271"/>
      <c r="H2203" s="1250"/>
      <c r="I2203" s="1251"/>
      <c r="J2203" s="1271"/>
      <c r="K2203" s="1271"/>
      <c r="L2203" s="1254"/>
      <c r="M2203" s="1244"/>
      <c r="N2203" s="1275"/>
      <c r="O2203" s="1275"/>
      <c r="P2203" s="1244"/>
      <c r="Q2203" s="1244"/>
      <c r="R2203" s="1244"/>
      <c r="S2203" s="1265"/>
      <c r="T2203" s="1244"/>
      <c r="U2203" s="1244"/>
    </row>
    <row r="2204">
      <c r="A2204" s="1235"/>
      <c r="B2204" s="1235"/>
      <c r="C2204" s="1246"/>
      <c r="D2204" s="1274"/>
      <c r="E2204" s="1248"/>
      <c r="F2204" s="1248"/>
      <c r="G2204" s="1271"/>
      <c r="H2204" s="1250"/>
      <c r="I2204" s="1251"/>
      <c r="J2204" s="1271"/>
      <c r="K2204" s="1271"/>
      <c r="L2204" s="1254"/>
      <c r="M2204" s="1244"/>
      <c r="N2204" s="1275"/>
      <c r="O2204" s="1275"/>
      <c r="P2204" s="1244"/>
      <c r="Q2204" s="1244"/>
      <c r="R2204" s="1244"/>
      <c r="S2204" s="1265"/>
      <c r="T2204" s="1244"/>
      <c r="U2204" s="1244"/>
    </row>
    <row r="2205">
      <c r="A2205" s="1235"/>
      <c r="B2205" s="1235"/>
      <c r="C2205" s="1246"/>
      <c r="D2205" s="1274"/>
      <c r="E2205" s="1248"/>
      <c r="F2205" s="1248"/>
      <c r="G2205" s="1271"/>
      <c r="H2205" s="1250"/>
      <c r="I2205" s="1251"/>
      <c r="J2205" s="1271"/>
      <c r="K2205" s="1271"/>
      <c r="L2205" s="1254"/>
      <c r="M2205" s="1244"/>
      <c r="N2205" s="1275"/>
      <c r="O2205" s="1275"/>
      <c r="P2205" s="1244"/>
      <c r="Q2205" s="1244"/>
      <c r="R2205" s="1244"/>
      <c r="S2205" s="1265"/>
      <c r="T2205" s="1244"/>
      <c r="U2205" s="1244"/>
    </row>
    <row r="2206">
      <c r="A2206" s="1235"/>
      <c r="B2206" s="1235"/>
      <c r="C2206" s="1246"/>
      <c r="D2206" s="1274"/>
      <c r="E2206" s="1248"/>
      <c r="F2206" s="1248"/>
      <c r="G2206" s="1271"/>
      <c r="H2206" s="1250"/>
      <c r="I2206" s="1251"/>
      <c r="J2206" s="1271"/>
      <c r="K2206" s="1271"/>
      <c r="L2206" s="1254"/>
      <c r="M2206" s="1244"/>
      <c r="N2206" s="1275"/>
      <c r="O2206" s="1275"/>
      <c r="P2206" s="1244"/>
      <c r="Q2206" s="1244"/>
      <c r="R2206" s="1244"/>
      <c r="S2206" s="1265"/>
      <c r="T2206" s="1244"/>
      <c r="U2206" s="1244"/>
    </row>
    <row r="2207">
      <c r="A2207" s="1235"/>
      <c r="B2207" s="1235"/>
      <c r="C2207" s="1246"/>
      <c r="D2207" s="1274"/>
      <c r="E2207" s="1248"/>
      <c r="F2207" s="1248"/>
      <c r="G2207" s="1271"/>
      <c r="H2207" s="1250"/>
      <c r="I2207" s="1251"/>
      <c r="J2207" s="1271"/>
      <c r="K2207" s="1271"/>
      <c r="L2207" s="1254"/>
      <c r="M2207" s="1244"/>
      <c r="N2207" s="1275"/>
      <c r="O2207" s="1275"/>
      <c r="P2207" s="1244"/>
      <c r="Q2207" s="1244"/>
      <c r="R2207" s="1244"/>
      <c r="S2207" s="1265"/>
      <c r="T2207" s="1244"/>
      <c r="U2207" s="1244"/>
    </row>
    <row r="2208">
      <c r="A2208" s="1235"/>
      <c r="B2208" s="1235"/>
      <c r="C2208" s="1246"/>
      <c r="D2208" s="1274"/>
      <c r="E2208" s="1248"/>
      <c r="F2208" s="1248"/>
      <c r="G2208" s="1271"/>
      <c r="H2208" s="1250"/>
      <c r="I2208" s="1251"/>
      <c r="J2208" s="1271"/>
      <c r="K2208" s="1271"/>
      <c r="L2208" s="1254"/>
      <c r="M2208" s="1244"/>
      <c r="N2208" s="1275"/>
      <c r="O2208" s="1275"/>
      <c r="P2208" s="1244"/>
      <c r="Q2208" s="1244"/>
      <c r="R2208" s="1244"/>
      <c r="S2208" s="1265"/>
      <c r="T2208" s="1244"/>
      <c r="U2208" s="1244"/>
    </row>
    <row r="2209">
      <c r="A2209" s="1235"/>
      <c r="B2209" s="1235"/>
      <c r="C2209" s="1246"/>
      <c r="D2209" s="1274"/>
      <c r="E2209" s="1248"/>
      <c r="F2209" s="1248"/>
      <c r="G2209" s="1271"/>
      <c r="H2209" s="1250"/>
      <c r="I2209" s="1251"/>
      <c r="J2209" s="1271"/>
      <c r="K2209" s="1271"/>
      <c r="L2209" s="1254"/>
      <c r="M2209" s="1244"/>
      <c r="N2209" s="1275"/>
      <c r="O2209" s="1275"/>
      <c r="P2209" s="1244"/>
      <c r="Q2209" s="1244"/>
      <c r="R2209" s="1244"/>
      <c r="S2209" s="1265"/>
      <c r="T2209" s="1244"/>
      <c r="U2209" s="1244"/>
    </row>
    <row r="2210">
      <c r="A2210" s="1235"/>
      <c r="B2210" s="1235"/>
      <c r="C2210" s="1246"/>
      <c r="D2210" s="1274"/>
      <c r="E2210" s="1248"/>
      <c r="F2210" s="1248"/>
      <c r="G2210" s="1271"/>
      <c r="H2210" s="1250"/>
      <c r="I2210" s="1251"/>
      <c r="J2210" s="1271"/>
      <c r="K2210" s="1271"/>
      <c r="L2210" s="1254"/>
      <c r="M2210" s="1244"/>
      <c r="N2210" s="1275"/>
      <c r="O2210" s="1275"/>
      <c r="P2210" s="1244"/>
      <c r="Q2210" s="1244"/>
      <c r="R2210" s="1244"/>
      <c r="S2210" s="1265"/>
      <c r="T2210" s="1244"/>
      <c r="U2210" s="1244"/>
    </row>
    <row r="2211">
      <c r="A2211" s="1235"/>
      <c r="B2211" s="1235"/>
      <c r="C2211" s="1246"/>
      <c r="D2211" s="1274"/>
      <c r="E2211" s="1248"/>
      <c r="F2211" s="1248"/>
      <c r="G2211" s="1271"/>
      <c r="H2211" s="1250"/>
      <c r="I2211" s="1251"/>
      <c r="J2211" s="1271"/>
      <c r="K2211" s="1271"/>
      <c r="L2211" s="1254"/>
      <c r="M2211" s="1244"/>
      <c r="N2211" s="1275"/>
      <c r="O2211" s="1275"/>
      <c r="P2211" s="1244"/>
      <c r="Q2211" s="1244"/>
      <c r="R2211" s="1244"/>
      <c r="S2211" s="1265"/>
      <c r="T2211" s="1244"/>
      <c r="U2211" s="1244"/>
    </row>
    <row r="2212">
      <c r="A2212" s="1235"/>
      <c r="B2212" s="1235"/>
      <c r="C2212" s="1246"/>
      <c r="D2212" s="1274"/>
      <c r="E2212" s="1248"/>
      <c r="F2212" s="1248"/>
      <c r="G2212" s="1271"/>
      <c r="H2212" s="1250"/>
      <c r="I2212" s="1251"/>
      <c r="J2212" s="1271"/>
      <c r="K2212" s="1271"/>
      <c r="L2212" s="1254"/>
      <c r="M2212" s="1244"/>
      <c r="N2212" s="1275"/>
      <c r="O2212" s="1275"/>
      <c r="P2212" s="1244"/>
      <c r="Q2212" s="1244"/>
      <c r="R2212" s="1244"/>
      <c r="S2212" s="1265"/>
      <c r="T2212" s="1244"/>
      <c r="U2212" s="1244"/>
    </row>
    <row r="2213">
      <c r="A2213" s="1235"/>
      <c r="B2213" s="1235"/>
      <c r="C2213" s="1246"/>
      <c r="D2213" s="1274"/>
      <c r="E2213" s="1248"/>
      <c r="F2213" s="1248"/>
      <c r="G2213" s="1271"/>
      <c r="H2213" s="1250"/>
      <c r="I2213" s="1251"/>
      <c r="J2213" s="1271"/>
      <c r="K2213" s="1271"/>
      <c r="L2213" s="1254"/>
      <c r="M2213" s="1244"/>
      <c r="N2213" s="1275"/>
      <c r="O2213" s="1275"/>
      <c r="P2213" s="1244"/>
      <c r="Q2213" s="1244"/>
      <c r="R2213" s="1244"/>
      <c r="S2213" s="1265"/>
      <c r="T2213" s="1244"/>
      <c r="U2213" s="1244"/>
    </row>
    <row r="2214">
      <c r="A2214" s="1235"/>
      <c r="B2214" s="1235"/>
      <c r="C2214" s="1246"/>
      <c r="D2214" s="1274"/>
      <c r="E2214" s="1248"/>
      <c r="F2214" s="1248"/>
      <c r="G2214" s="1271"/>
      <c r="H2214" s="1250"/>
      <c r="I2214" s="1251"/>
      <c r="J2214" s="1271"/>
      <c r="K2214" s="1271"/>
      <c r="L2214" s="1254"/>
      <c r="M2214" s="1244"/>
      <c r="N2214" s="1275"/>
      <c r="O2214" s="1275"/>
      <c r="P2214" s="1244"/>
      <c r="Q2214" s="1244"/>
      <c r="R2214" s="1244"/>
      <c r="S2214" s="1265"/>
      <c r="T2214" s="1244"/>
      <c r="U2214" s="1244"/>
    </row>
    <row r="2215">
      <c r="A2215" s="1235"/>
      <c r="B2215" s="1235"/>
      <c r="C2215" s="1246"/>
      <c r="D2215" s="1274"/>
      <c r="E2215" s="1248"/>
      <c r="F2215" s="1248"/>
      <c r="G2215" s="1271"/>
      <c r="H2215" s="1250"/>
      <c r="I2215" s="1251"/>
      <c r="J2215" s="1271"/>
      <c r="K2215" s="1271"/>
      <c r="L2215" s="1254"/>
      <c r="M2215" s="1244"/>
      <c r="N2215" s="1275"/>
      <c r="O2215" s="1275"/>
      <c r="P2215" s="1244"/>
      <c r="Q2215" s="1244"/>
      <c r="R2215" s="1244"/>
      <c r="S2215" s="1265"/>
      <c r="T2215" s="1244"/>
      <c r="U2215" s="1244"/>
    </row>
    <row r="2216">
      <c r="A2216" s="1235"/>
      <c r="B2216" s="1235"/>
      <c r="C2216" s="1246"/>
      <c r="D2216" s="1274"/>
      <c r="E2216" s="1248"/>
      <c r="F2216" s="1248"/>
      <c r="G2216" s="1271"/>
      <c r="H2216" s="1250"/>
      <c r="I2216" s="1251"/>
      <c r="J2216" s="1271"/>
      <c r="K2216" s="1271"/>
      <c r="L2216" s="1254"/>
      <c r="M2216" s="1244"/>
      <c r="N2216" s="1275"/>
      <c r="O2216" s="1275"/>
      <c r="P2216" s="1244"/>
      <c r="Q2216" s="1244"/>
      <c r="R2216" s="1244"/>
      <c r="S2216" s="1265"/>
      <c r="T2216" s="1244"/>
      <c r="U2216" s="1244"/>
    </row>
    <row r="2217">
      <c r="A2217" s="1235"/>
      <c r="B2217" s="1235"/>
      <c r="C2217" s="1246"/>
      <c r="D2217" s="1274"/>
      <c r="E2217" s="1248"/>
      <c r="F2217" s="1248"/>
      <c r="G2217" s="1271"/>
      <c r="H2217" s="1250"/>
      <c r="I2217" s="1251"/>
      <c r="J2217" s="1271"/>
      <c r="K2217" s="1271"/>
      <c r="L2217" s="1254"/>
      <c r="M2217" s="1244"/>
      <c r="N2217" s="1275"/>
      <c r="O2217" s="1275"/>
      <c r="P2217" s="1244"/>
      <c r="Q2217" s="1244"/>
      <c r="R2217" s="1244"/>
      <c r="S2217" s="1265"/>
      <c r="T2217" s="1244"/>
      <c r="U2217" s="1244"/>
    </row>
    <row r="2218">
      <c r="A2218" s="1235"/>
      <c r="B2218" s="1235"/>
      <c r="C2218" s="1246"/>
      <c r="D2218" s="1274"/>
      <c r="E2218" s="1248"/>
      <c r="F2218" s="1248"/>
      <c r="G2218" s="1271"/>
      <c r="H2218" s="1250"/>
      <c r="I2218" s="1251"/>
      <c r="J2218" s="1271"/>
      <c r="K2218" s="1271"/>
      <c r="L2218" s="1254"/>
      <c r="M2218" s="1244"/>
      <c r="N2218" s="1275"/>
      <c r="O2218" s="1275"/>
      <c r="P2218" s="1244"/>
      <c r="Q2218" s="1244"/>
      <c r="R2218" s="1244"/>
      <c r="S2218" s="1265"/>
      <c r="T2218" s="1244"/>
      <c r="U2218" s="1244"/>
    </row>
    <row r="2219">
      <c r="A2219" s="1235"/>
      <c r="B2219" s="1235"/>
      <c r="C2219" s="1246"/>
      <c r="D2219" s="1274"/>
      <c r="E2219" s="1248"/>
      <c r="F2219" s="1248"/>
      <c r="G2219" s="1271"/>
      <c r="H2219" s="1250"/>
      <c r="I2219" s="1251"/>
      <c r="J2219" s="1271"/>
      <c r="K2219" s="1271"/>
      <c r="L2219" s="1254"/>
      <c r="M2219" s="1244"/>
      <c r="N2219" s="1275"/>
      <c r="O2219" s="1275"/>
      <c r="P2219" s="1244"/>
      <c r="Q2219" s="1244"/>
      <c r="R2219" s="1244"/>
      <c r="S2219" s="1265"/>
      <c r="T2219" s="1244"/>
      <c r="U2219" s="1244"/>
    </row>
    <row r="2220">
      <c r="A2220" s="1235"/>
      <c r="B2220" s="1235"/>
      <c r="C2220" s="1246"/>
      <c r="D2220" s="1274"/>
      <c r="E2220" s="1248"/>
      <c r="F2220" s="1248"/>
      <c r="G2220" s="1271"/>
      <c r="H2220" s="1250"/>
      <c r="I2220" s="1251"/>
      <c r="J2220" s="1271"/>
      <c r="K2220" s="1271"/>
      <c r="L2220" s="1254"/>
      <c r="M2220" s="1244"/>
      <c r="N2220" s="1275"/>
      <c r="O2220" s="1275"/>
      <c r="P2220" s="1244"/>
      <c r="Q2220" s="1244"/>
      <c r="R2220" s="1244"/>
      <c r="S2220" s="1265"/>
      <c r="T2220" s="1244"/>
      <c r="U2220" s="1244"/>
    </row>
    <row r="2221">
      <c r="A2221" s="1235"/>
      <c r="B2221" s="1235"/>
      <c r="C2221" s="1246"/>
      <c r="D2221" s="1274"/>
      <c r="E2221" s="1248"/>
      <c r="F2221" s="1248"/>
      <c r="G2221" s="1271"/>
      <c r="H2221" s="1250"/>
      <c r="I2221" s="1251"/>
      <c r="J2221" s="1271"/>
      <c r="K2221" s="1271"/>
      <c r="L2221" s="1254"/>
      <c r="M2221" s="1244"/>
      <c r="N2221" s="1275"/>
      <c r="O2221" s="1275"/>
      <c r="P2221" s="1244"/>
      <c r="Q2221" s="1244"/>
      <c r="R2221" s="1244"/>
      <c r="S2221" s="1265"/>
      <c r="T2221" s="1244"/>
      <c r="U2221" s="1244"/>
    </row>
    <row r="2222">
      <c r="A2222" s="1235"/>
      <c r="B2222" s="1235"/>
      <c r="C2222" s="1246"/>
      <c r="D2222" s="1274"/>
      <c r="E2222" s="1248"/>
      <c r="F2222" s="1248"/>
      <c r="G2222" s="1271"/>
      <c r="H2222" s="1250"/>
      <c r="I2222" s="1251"/>
      <c r="J2222" s="1271"/>
      <c r="K2222" s="1271"/>
      <c r="L2222" s="1254"/>
      <c r="M2222" s="1244"/>
      <c r="N2222" s="1275"/>
      <c r="O2222" s="1275"/>
      <c r="P2222" s="1244"/>
      <c r="Q2222" s="1244"/>
      <c r="R2222" s="1244"/>
      <c r="S2222" s="1265"/>
      <c r="T2222" s="1244"/>
      <c r="U2222" s="1244"/>
    </row>
    <row r="2223">
      <c r="A2223" s="1235"/>
      <c r="B2223" s="1235"/>
      <c r="C2223" s="1246"/>
      <c r="D2223" s="1274"/>
      <c r="E2223" s="1248"/>
      <c r="F2223" s="1248"/>
      <c r="G2223" s="1271"/>
      <c r="H2223" s="1250"/>
      <c r="I2223" s="1251"/>
      <c r="J2223" s="1271"/>
      <c r="K2223" s="1271"/>
      <c r="L2223" s="1254"/>
      <c r="M2223" s="1244"/>
      <c r="N2223" s="1275"/>
      <c r="O2223" s="1275"/>
      <c r="P2223" s="1244"/>
      <c r="Q2223" s="1244"/>
      <c r="R2223" s="1244"/>
      <c r="S2223" s="1265"/>
      <c r="T2223" s="1244"/>
      <c r="U2223" s="1244"/>
    </row>
    <row r="2224">
      <c r="A2224" s="1235"/>
      <c r="B2224" s="1235"/>
      <c r="C2224" s="1246"/>
      <c r="D2224" s="1274"/>
      <c r="E2224" s="1248"/>
      <c r="F2224" s="1248"/>
      <c r="G2224" s="1271"/>
      <c r="H2224" s="1250"/>
      <c r="I2224" s="1251"/>
      <c r="J2224" s="1271"/>
      <c r="K2224" s="1271"/>
      <c r="L2224" s="1254"/>
      <c r="M2224" s="1244"/>
      <c r="N2224" s="1275"/>
      <c r="O2224" s="1275"/>
      <c r="P2224" s="1244"/>
      <c r="Q2224" s="1244"/>
      <c r="R2224" s="1244"/>
      <c r="S2224" s="1265"/>
      <c r="T2224" s="1244"/>
      <c r="U2224" s="1244"/>
    </row>
    <row r="2225">
      <c r="A2225" s="1235"/>
      <c r="B2225" s="1235"/>
      <c r="C2225" s="1246"/>
      <c r="D2225" s="1274"/>
      <c r="E2225" s="1248"/>
      <c r="F2225" s="1248"/>
      <c r="G2225" s="1271"/>
      <c r="H2225" s="1250"/>
      <c r="I2225" s="1251"/>
      <c r="J2225" s="1271"/>
      <c r="K2225" s="1271"/>
      <c r="L2225" s="1254"/>
      <c r="M2225" s="1244"/>
      <c r="N2225" s="1275"/>
      <c r="O2225" s="1275"/>
      <c r="P2225" s="1244"/>
      <c r="Q2225" s="1244"/>
      <c r="R2225" s="1244"/>
      <c r="S2225" s="1265"/>
      <c r="T2225" s="1244"/>
      <c r="U2225" s="1244"/>
    </row>
    <row r="2226">
      <c r="A2226" s="1235"/>
      <c r="B2226" s="1235"/>
      <c r="C2226" s="1246"/>
      <c r="D2226" s="1274"/>
      <c r="E2226" s="1248"/>
      <c r="F2226" s="1248"/>
      <c r="G2226" s="1271"/>
      <c r="H2226" s="1250"/>
      <c r="I2226" s="1251"/>
      <c r="J2226" s="1271"/>
      <c r="K2226" s="1271"/>
      <c r="L2226" s="1254"/>
      <c r="M2226" s="1244"/>
      <c r="N2226" s="1275"/>
      <c r="O2226" s="1275"/>
      <c r="P2226" s="1244"/>
      <c r="Q2226" s="1244"/>
      <c r="R2226" s="1244"/>
      <c r="S2226" s="1265"/>
      <c r="T2226" s="1244"/>
      <c r="U2226" s="1244"/>
    </row>
    <row r="2227">
      <c r="A2227" s="1235"/>
      <c r="B2227" s="1235"/>
      <c r="C2227" s="1246"/>
      <c r="D2227" s="1274"/>
      <c r="E2227" s="1248"/>
      <c r="F2227" s="1248"/>
      <c r="G2227" s="1271"/>
      <c r="H2227" s="1250"/>
      <c r="I2227" s="1251"/>
      <c r="J2227" s="1271"/>
      <c r="K2227" s="1271"/>
      <c r="L2227" s="1254"/>
      <c r="M2227" s="1244"/>
      <c r="N2227" s="1275"/>
      <c r="O2227" s="1275"/>
      <c r="P2227" s="1244"/>
      <c r="Q2227" s="1244"/>
      <c r="R2227" s="1244"/>
      <c r="S2227" s="1265"/>
      <c r="T2227" s="1244"/>
      <c r="U2227" s="1244"/>
    </row>
    <row r="2228">
      <c r="A2228" s="1235"/>
      <c r="B2228" s="1235"/>
      <c r="C2228" s="1246"/>
      <c r="D2228" s="1274"/>
      <c r="E2228" s="1248"/>
      <c r="F2228" s="1248"/>
      <c r="G2228" s="1271"/>
      <c r="H2228" s="1250"/>
      <c r="I2228" s="1251"/>
      <c r="J2228" s="1271"/>
      <c r="K2228" s="1271"/>
      <c r="L2228" s="1254"/>
      <c r="M2228" s="1244"/>
      <c r="N2228" s="1275"/>
      <c r="O2228" s="1275"/>
      <c r="P2228" s="1244"/>
      <c r="Q2228" s="1244"/>
      <c r="R2228" s="1244"/>
      <c r="S2228" s="1265"/>
      <c r="T2228" s="1244"/>
      <c r="U2228" s="1244"/>
    </row>
    <row r="2229">
      <c r="A2229" s="1235"/>
      <c r="B2229" s="1235"/>
      <c r="C2229" s="1246"/>
      <c r="D2229" s="1274"/>
      <c r="E2229" s="1248"/>
      <c r="F2229" s="1248"/>
      <c r="G2229" s="1271"/>
      <c r="H2229" s="1250"/>
      <c r="I2229" s="1251"/>
      <c r="J2229" s="1271"/>
      <c r="K2229" s="1271"/>
      <c r="L2229" s="1254"/>
      <c r="M2229" s="1244"/>
      <c r="N2229" s="1275"/>
      <c r="O2229" s="1275"/>
      <c r="P2229" s="1244"/>
      <c r="Q2229" s="1244"/>
      <c r="R2229" s="1244"/>
      <c r="S2229" s="1265"/>
      <c r="T2229" s="1244"/>
      <c r="U2229" s="1244"/>
    </row>
    <row r="2230">
      <c r="A2230" s="1235"/>
      <c r="B2230" s="1235"/>
      <c r="C2230" s="1246"/>
      <c r="D2230" s="1274"/>
      <c r="E2230" s="1248"/>
      <c r="F2230" s="1248"/>
      <c r="G2230" s="1271"/>
      <c r="H2230" s="1250"/>
      <c r="I2230" s="1251"/>
      <c r="J2230" s="1271"/>
      <c r="K2230" s="1271"/>
      <c r="L2230" s="1254"/>
      <c r="M2230" s="1244"/>
      <c r="N2230" s="1275"/>
      <c r="O2230" s="1275"/>
      <c r="P2230" s="1244"/>
      <c r="Q2230" s="1244"/>
      <c r="R2230" s="1244"/>
      <c r="S2230" s="1265"/>
      <c r="T2230" s="1244"/>
      <c r="U2230" s="1244"/>
    </row>
    <row r="2231">
      <c r="A2231" s="1235"/>
      <c r="B2231" s="1235"/>
      <c r="C2231" s="1246"/>
      <c r="D2231" s="1274"/>
      <c r="E2231" s="1248"/>
      <c r="F2231" s="1248"/>
      <c r="G2231" s="1271"/>
      <c r="H2231" s="1250"/>
      <c r="I2231" s="1251"/>
      <c r="J2231" s="1271"/>
      <c r="K2231" s="1271"/>
      <c r="L2231" s="1254"/>
      <c r="M2231" s="1244"/>
      <c r="N2231" s="1275"/>
      <c r="O2231" s="1275"/>
      <c r="P2231" s="1244"/>
      <c r="Q2231" s="1244"/>
      <c r="R2231" s="1244"/>
      <c r="S2231" s="1265"/>
      <c r="T2231" s="1244"/>
      <c r="U2231" s="1244"/>
    </row>
    <row r="2232">
      <c r="A2232" s="1235"/>
      <c r="B2232" s="1235"/>
      <c r="C2232" s="1246"/>
      <c r="D2232" s="1274"/>
      <c r="E2232" s="1248"/>
      <c r="F2232" s="1248"/>
      <c r="G2232" s="1271"/>
      <c r="H2232" s="1250"/>
      <c r="I2232" s="1251"/>
      <c r="J2232" s="1271"/>
      <c r="K2232" s="1271"/>
      <c r="L2232" s="1254"/>
      <c r="M2232" s="1244"/>
      <c r="N2232" s="1275"/>
      <c r="O2232" s="1275"/>
      <c r="P2232" s="1244"/>
      <c r="Q2232" s="1244"/>
      <c r="R2232" s="1244"/>
      <c r="S2232" s="1265"/>
      <c r="T2232" s="1244"/>
      <c r="U2232" s="1244"/>
    </row>
    <row r="2233">
      <c r="A2233" s="1235"/>
      <c r="B2233" s="1235"/>
      <c r="C2233" s="1246"/>
      <c r="D2233" s="1274"/>
      <c r="E2233" s="1248"/>
      <c r="F2233" s="1248"/>
      <c r="G2233" s="1271"/>
      <c r="H2233" s="1250"/>
      <c r="I2233" s="1251"/>
      <c r="J2233" s="1271"/>
      <c r="K2233" s="1271"/>
      <c r="L2233" s="1254"/>
      <c r="M2233" s="1244"/>
      <c r="N2233" s="1275"/>
      <c r="O2233" s="1275"/>
      <c r="P2233" s="1244"/>
      <c r="Q2233" s="1244"/>
      <c r="R2233" s="1244"/>
      <c r="S2233" s="1265"/>
      <c r="T2233" s="1244"/>
      <c r="U2233" s="1244"/>
    </row>
    <row r="2234">
      <c r="A2234" s="1235"/>
      <c r="B2234" s="1235"/>
      <c r="C2234" s="1246"/>
      <c r="D2234" s="1274"/>
      <c r="E2234" s="1248"/>
      <c r="F2234" s="1248"/>
      <c r="G2234" s="1271"/>
      <c r="H2234" s="1250"/>
      <c r="I2234" s="1251"/>
      <c r="J2234" s="1271"/>
      <c r="K2234" s="1271"/>
      <c r="L2234" s="1254"/>
      <c r="M2234" s="1244"/>
      <c r="N2234" s="1275"/>
      <c r="O2234" s="1275"/>
      <c r="P2234" s="1244"/>
      <c r="Q2234" s="1244"/>
      <c r="R2234" s="1244"/>
      <c r="S2234" s="1265"/>
      <c r="T2234" s="1244"/>
      <c r="U2234" s="1244"/>
    </row>
    <row r="2235">
      <c r="A2235" s="1235"/>
      <c r="B2235" s="1235"/>
      <c r="C2235" s="1246"/>
      <c r="D2235" s="1274"/>
      <c r="E2235" s="1248"/>
      <c r="F2235" s="1248"/>
      <c r="G2235" s="1271"/>
      <c r="H2235" s="1250"/>
      <c r="I2235" s="1251"/>
      <c r="J2235" s="1271"/>
      <c r="K2235" s="1271"/>
      <c r="L2235" s="1254"/>
      <c r="M2235" s="1244"/>
      <c r="N2235" s="1275"/>
      <c r="O2235" s="1275"/>
      <c r="P2235" s="1244"/>
      <c r="Q2235" s="1244"/>
      <c r="R2235" s="1244"/>
      <c r="S2235" s="1265"/>
      <c r="T2235" s="1244"/>
      <c r="U2235" s="1244"/>
    </row>
    <row r="2236">
      <c r="A2236" s="1235"/>
      <c r="B2236" s="1235"/>
      <c r="C2236" s="1246"/>
      <c r="D2236" s="1274"/>
      <c r="E2236" s="1248"/>
      <c r="F2236" s="1248"/>
      <c r="G2236" s="1271"/>
      <c r="H2236" s="1250"/>
      <c r="I2236" s="1251"/>
      <c r="J2236" s="1271"/>
      <c r="K2236" s="1271"/>
      <c r="L2236" s="1254"/>
      <c r="M2236" s="1244"/>
      <c r="N2236" s="1275"/>
      <c r="O2236" s="1275"/>
      <c r="P2236" s="1244"/>
      <c r="Q2236" s="1244"/>
      <c r="R2236" s="1244"/>
      <c r="S2236" s="1265"/>
      <c r="T2236" s="1244"/>
      <c r="U2236" s="1244"/>
    </row>
    <row r="2237">
      <c r="A2237" s="1235"/>
      <c r="B2237" s="1235"/>
      <c r="C2237" s="1246"/>
      <c r="D2237" s="1274"/>
      <c r="E2237" s="1248"/>
      <c r="F2237" s="1248"/>
      <c r="G2237" s="1271"/>
      <c r="H2237" s="1250"/>
      <c r="I2237" s="1251"/>
      <c r="J2237" s="1271"/>
      <c r="K2237" s="1271"/>
      <c r="L2237" s="1254"/>
      <c r="M2237" s="1244"/>
      <c r="N2237" s="1275"/>
      <c r="O2237" s="1275"/>
      <c r="P2237" s="1244"/>
      <c r="Q2237" s="1244"/>
      <c r="R2237" s="1244"/>
      <c r="S2237" s="1265"/>
      <c r="T2237" s="1244"/>
      <c r="U2237" s="1244"/>
    </row>
    <row r="2238">
      <c r="A2238" s="1235"/>
      <c r="B2238" s="1235"/>
      <c r="C2238" s="1246"/>
      <c r="D2238" s="1274"/>
      <c r="E2238" s="1248"/>
      <c r="F2238" s="1248"/>
      <c r="G2238" s="1271"/>
      <c r="H2238" s="1250"/>
      <c r="I2238" s="1251"/>
      <c r="J2238" s="1271"/>
      <c r="K2238" s="1271"/>
      <c r="L2238" s="1254"/>
      <c r="M2238" s="1244"/>
      <c r="N2238" s="1275"/>
      <c r="O2238" s="1275"/>
      <c r="P2238" s="1244"/>
      <c r="Q2238" s="1244"/>
      <c r="R2238" s="1244"/>
      <c r="S2238" s="1265"/>
      <c r="T2238" s="1244"/>
      <c r="U2238" s="1244"/>
    </row>
    <row r="2239">
      <c r="A2239" s="1235"/>
      <c r="B2239" s="1235"/>
      <c r="C2239" s="1246"/>
      <c r="D2239" s="1274"/>
      <c r="E2239" s="1248"/>
      <c r="F2239" s="1248"/>
      <c r="G2239" s="1271"/>
      <c r="H2239" s="1250"/>
      <c r="I2239" s="1251"/>
      <c r="J2239" s="1271"/>
      <c r="K2239" s="1271"/>
      <c r="L2239" s="1254"/>
      <c r="M2239" s="1244"/>
      <c r="N2239" s="1275"/>
      <c r="O2239" s="1275"/>
      <c r="P2239" s="1244"/>
      <c r="Q2239" s="1244"/>
      <c r="R2239" s="1244"/>
      <c r="S2239" s="1265"/>
      <c r="T2239" s="1244"/>
      <c r="U2239" s="1244"/>
    </row>
    <row r="2240">
      <c r="A2240" s="1235"/>
      <c r="B2240" s="1235"/>
      <c r="C2240" s="1246"/>
      <c r="D2240" s="1274"/>
      <c r="E2240" s="1248"/>
      <c r="F2240" s="1248"/>
      <c r="G2240" s="1271"/>
      <c r="H2240" s="1250"/>
      <c r="I2240" s="1251"/>
      <c r="J2240" s="1271"/>
      <c r="K2240" s="1271"/>
      <c r="L2240" s="1254"/>
      <c r="M2240" s="1244"/>
      <c r="N2240" s="1275"/>
      <c r="O2240" s="1275"/>
      <c r="P2240" s="1244"/>
      <c r="Q2240" s="1244"/>
      <c r="R2240" s="1244"/>
      <c r="S2240" s="1265"/>
      <c r="T2240" s="1244"/>
      <c r="U2240" s="1244"/>
    </row>
    <row r="2241">
      <c r="A2241" s="1235"/>
      <c r="B2241" s="1235"/>
      <c r="C2241" s="1246"/>
      <c r="D2241" s="1274"/>
      <c r="E2241" s="1248"/>
      <c r="F2241" s="1248"/>
      <c r="G2241" s="1271"/>
      <c r="H2241" s="1250"/>
      <c r="I2241" s="1251"/>
      <c r="J2241" s="1271"/>
      <c r="K2241" s="1271"/>
      <c r="L2241" s="1254"/>
      <c r="M2241" s="1244"/>
      <c r="N2241" s="1275"/>
      <c r="O2241" s="1275"/>
      <c r="P2241" s="1244"/>
      <c r="Q2241" s="1244"/>
      <c r="R2241" s="1244"/>
      <c r="S2241" s="1265"/>
      <c r="T2241" s="1244"/>
      <c r="U2241" s="1244"/>
    </row>
    <row r="2242">
      <c r="A2242" s="1235"/>
      <c r="B2242" s="1235"/>
      <c r="C2242" s="1246"/>
      <c r="D2242" s="1274"/>
      <c r="E2242" s="1248"/>
      <c r="F2242" s="1248"/>
      <c r="G2242" s="1271"/>
      <c r="H2242" s="1250"/>
      <c r="I2242" s="1251"/>
      <c r="J2242" s="1271"/>
      <c r="K2242" s="1271"/>
      <c r="L2242" s="1254"/>
      <c r="M2242" s="1244"/>
      <c r="N2242" s="1275"/>
      <c r="O2242" s="1275"/>
      <c r="P2242" s="1244"/>
      <c r="Q2242" s="1244"/>
      <c r="R2242" s="1244"/>
      <c r="S2242" s="1265"/>
      <c r="T2242" s="1244"/>
      <c r="U2242" s="1244"/>
    </row>
    <row r="2243">
      <c r="A2243" s="1235"/>
      <c r="B2243" s="1235"/>
      <c r="C2243" s="1246"/>
      <c r="D2243" s="1274"/>
      <c r="E2243" s="1248"/>
      <c r="F2243" s="1248"/>
      <c r="G2243" s="1271"/>
      <c r="H2243" s="1250"/>
      <c r="I2243" s="1251"/>
      <c r="J2243" s="1271"/>
      <c r="K2243" s="1271"/>
      <c r="L2243" s="1254"/>
      <c r="M2243" s="1244"/>
      <c r="N2243" s="1275"/>
      <c r="O2243" s="1275"/>
      <c r="P2243" s="1244"/>
      <c r="Q2243" s="1244"/>
      <c r="R2243" s="1244"/>
      <c r="S2243" s="1265"/>
      <c r="T2243" s="1244"/>
      <c r="U2243" s="1244"/>
    </row>
    <row r="2244">
      <c r="A2244" s="1235"/>
      <c r="B2244" s="1235"/>
      <c r="C2244" s="1246"/>
      <c r="D2244" s="1274"/>
      <c r="E2244" s="1248"/>
      <c r="F2244" s="1248"/>
      <c r="G2244" s="1271"/>
      <c r="H2244" s="1250"/>
      <c r="I2244" s="1251"/>
      <c r="J2244" s="1271"/>
      <c r="K2244" s="1271"/>
      <c r="L2244" s="1254"/>
      <c r="M2244" s="1244"/>
      <c r="N2244" s="1275"/>
      <c r="O2244" s="1275"/>
      <c r="P2244" s="1244"/>
      <c r="Q2244" s="1244"/>
      <c r="R2244" s="1244"/>
      <c r="S2244" s="1265"/>
      <c r="T2244" s="1244"/>
      <c r="U2244" s="1244"/>
    </row>
    <row r="2245">
      <c r="A2245" s="1235"/>
      <c r="B2245" s="1235"/>
      <c r="C2245" s="1246"/>
      <c r="D2245" s="1274"/>
      <c r="E2245" s="1248"/>
      <c r="F2245" s="1248"/>
      <c r="G2245" s="1271"/>
      <c r="H2245" s="1250"/>
      <c r="I2245" s="1251"/>
      <c r="J2245" s="1271"/>
      <c r="K2245" s="1271"/>
      <c r="L2245" s="1254"/>
      <c r="M2245" s="1244"/>
      <c r="N2245" s="1275"/>
      <c r="O2245" s="1275"/>
      <c r="P2245" s="1244"/>
      <c r="Q2245" s="1244"/>
      <c r="R2245" s="1244"/>
      <c r="S2245" s="1265"/>
      <c r="T2245" s="1244"/>
      <c r="U2245" s="1244"/>
    </row>
    <row r="2246">
      <c r="A2246" s="1235"/>
      <c r="B2246" s="1235"/>
      <c r="C2246" s="1246"/>
      <c r="D2246" s="1274"/>
      <c r="E2246" s="1248"/>
      <c r="F2246" s="1248"/>
      <c r="G2246" s="1271"/>
      <c r="H2246" s="1250"/>
      <c r="I2246" s="1251"/>
      <c r="J2246" s="1271"/>
      <c r="K2246" s="1271"/>
      <c r="L2246" s="1254"/>
      <c r="M2246" s="1244"/>
      <c r="N2246" s="1275"/>
      <c r="O2246" s="1275"/>
      <c r="P2246" s="1244"/>
      <c r="Q2246" s="1244"/>
      <c r="R2246" s="1244"/>
      <c r="S2246" s="1265"/>
      <c r="T2246" s="1244"/>
      <c r="U2246" s="1244"/>
    </row>
    <row r="2247">
      <c r="A2247" s="1235"/>
      <c r="B2247" s="1235"/>
      <c r="C2247" s="1246"/>
      <c r="D2247" s="1274"/>
      <c r="E2247" s="1248"/>
      <c r="F2247" s="1248"/>
      <c r="G2247" s="1271"/>
      <c r="H2247" s="1250"/>
      <c r="I2247" s="1251"/>
      <c r="J2247" s="1271"/>
      <c r="K2247" s="1271"/>
      <c r="L2247" s="1254"/>
      <c r="M2247" s="1244"/>
      <c r="N2247" s="1275"/>
      <c r="O2247" s="1275"/>
      <c r="P2247" s="1244"/>
      <c r="Q2247" s="1244"/>
      <c r="R2247" s="1244"/>
      <c r="S2247" s="1265"/>
      <c r="T2247" s="1244"/>
      <c r="U2247" s="1244"/>
    </row>
    <row r="2248">
      <c r="A2248" s="1235"/>
      <c r="B2248" s="1235"/>
      <c r="C2248" s="1246"/>
      <c r="D2248" s="1274"/>
      <c r="E2248" s="1248"/>
      <c r="F2248" s="1248"/>
      <c r="G2248" s="1271"/>
      <c r="H2248" s="1250"/>
      <c r="I2248" s="1251"/>
      <c r="J2248" s="1271"/>
      <c r="K2248" s="1271"/>
      <c r="L2248" s="1254"/>
      <c r="M2248" s="1244"/>
      <c r="N2248" s="1275"/>
      <c r="O2248" s="1275"/>
      <c r="P2248" s="1244"/>
      <c r="Q2248" s="1244"/>
      <c r="R2248" s="1244"/>
      <c r="S2248" s="1265"/>
      <c r="T2248" s="1244"/>
      <c r="U2248" s="1244"/>
    </row>
    <row r="2249">
      <c r="A2249" s="1235"/>
      <c r="B2249" s="1235"/>
      <c r="C2249" s="1246"/>
      <c r="D2249" s="1274"/>
      <c r="E2249" s="1248"/>
      <c r="F2249" s="1248"/>
      <c r="G2249" s="1271"/>
      <c r="H2249" s="1250"/>
      <c r="I2249" s="1251"/>
      <c r="J2249" s="1271"/>
      <c r="K2249" s="1271"/>
      <c r="L2249" s="1254"/>
      <c r="M2249" s="1244"/>
      <c r="N2249" s="1275"/>
      <c r="O2249" s="1275"/>
      <c r="P2249" s="1244"/>
      <c r="Q2249" s="1244"/>
      <c r="R2249" s="1244"/>
      <c r="S2249" s="1265"/>
      <c r="T2249" s="1244"/>
      <c r="U2249" s="1244"/>
    </row>
    <row r="2250">
      <c r="A2250" s="1235"/>
      <c r="B2250" s="1235"/>
      <c r="C2250" s="1246"/>
      <c r="D2250" s="1274"/>
      <c r="E2250" s="1248"/>
      <c r="F2250" s="1248"/>
      <c r="G2250" s="1271"/>
      <c r="H2250" s="1250"/>
      <c r="I2250" s="1251"/>
      <c r="J2250" s="1271"/>
      <c r="K2250" s="1271"/>
      <c r="L2250" s="1254"/>
      <c r="M2250" s="1244"/>
      <c r="N2250" s="1275"/>
      <c r="O2250" s="1275"/>
      <c r="P2250" s="1244"/>
      <c r="Q2250" s="1244"/>
      <c r="R2250" s="1244"/>
      <c r="S2250" s="1265"/>
      <c r="T2250" s="1244"/>
      <c r="U2250" s="1244"/>
    </row>
    <row r="2251">
      <c r="A2251" s="1235"/>
      <c r="B2251" s="1235"/>
      <c r="C2251" s="1246"/>
      <c r="D2251" s="1274"/>
      <c r="E2251" s="1248"/>
      <c r="F2251" s="1248"/>
      <c r="G2251" s="1271"/>
      <c r="H2251" s="1250"/>
      <c r="I2251" s="1251"/>
      <c r="J2251" s="1271"/>
      <c r="K2251" s="1271"/>
      <c r="L2251" s="1254"/>
      <c r="M2251" s="1244"/>
      <c r="N2251" s="1275"/>
      <c r="O2251" s="1275"/>
      <c r="P2251" s="1244"/>
      <c r="Q2251" s="1244"/>
      <c r="R2251" s="1244"/>
      <c r="S2251" s="1265"/>
      <c r="T2251" s="1244"/>
      <c r="U2251" s="1244"/>
    </row>
    <row r="2252">
      <c r="A2252" s="1235"/>
      <c r="B2252" s="1235"/>
      <c r="C2252" s="1246"/>
      <c r="D2252" s="1274"/>
      <c r="E2252" s="1248"/>
      <c r="F2252" s="1248"/>
      <c r="G2252" s="1271"/>
      <c r="H2252" s="1250"/>
      <c r="I2252" s="1251"/>
      <c r="J2252" s="1271"/>
      <c r="K2252" s="1271"/>
      <c r="L2252" s="1254"/>
      <c r="M2252" s="1244"/>
      <c r="N2252" s="1275"/>
      <c r="O2252" s="1275"/>
      <c r="P2252" s="1244"/>
      <c r="Q2252" s="1244"/>
      <c r="R2252" s="1244"/>
      <c r="S2252" s="1265"/>
      <c r="T2252" s="1244"/>
      <c r="U2252" s="1244"/>
    </row>
    <row r="2253">
      <c r="A2253" s="1235"/>
      <c r="B2253" s="1235"/>
      <c r="C2253" s="1246"/>
      <c r="D2253" s="1274"/>
      <c r="E2253" s="1248"/>
      <c r="F2253" s="1248"/>
      <c r="G2253" s="1271"/>
      <c r="H2253" s="1250"/>
      <c r="I2253" s="1251"/>
      <c r="J2253" s="1271"/>
      <c r="K2253" s="1271"/>
      <c r="L2253" s="1254"/>
      <c r="M2253" s="1244"/>
      <c r="N2253" s="1275"/>
      <c r="O2253" s="1275"/>
      <c r="P2253" s="1244"/>
      <c r="Q2253" s="1244"/>
      <c r="R2253" s="1244"/>
      <c r="S2253" s="1265"/>
      <c r="T2253" s="1244"/>
      <c r="U2253" s="1244"/>
    </row>
    <row r="2254">
      <c r="A2254" s="1235"/>
      <c r="B2254" s="1235"/>
      <c r="C2254" s="1246"/>
      <c r="D2254" s="1274"/>
      <c r="E2254" s="1248"/>
      <c r="F2254" s="1248"/>
      <c r="G2254" s="1271"/>
      <c r="H2254" s="1250"/>
      <c r="I2254" s="1251"/>
      <c r="J2254" s="1271"/>
      <c r="K2254" s="1271"/>
      <c r="L2254" s="1254"/>
      <c r="M2254" s="1244"/>
      <c r="N2254" s="1275"/>
      <c r="O2254" s="1275"/>
      <c r="P2254" s="1244"/>
      <c r="Q2254" s="1244"/>
      <c r="R2254" s="1244"/>
      <c r="S2254" s="1265"/>
      <c r="T2254" s="1244"/>
      <c r="U2254" s="1244"/>
    </row>
    <row r="2255">
      <c r="A2255" s="1235"/>
      <c r="B2255" s="1235"/>
      <c r="C2255" s="1246"/>
      <c r="D2255" s="1274"/>
      <c r="E2255" s="1248"/>
      <c r="F2255" s="1248"/>
      <c r="G2255" s="1271"/>
      <c r="H2255" s="1250"/>
      <c r="I2255" s="1251"/>
      <c r="J2255" s="1271"/>
      <c r="K2255" s="1271"/>
      <c r="L2255" s="1254"/>
      <c r="M2255" s="1244"/>
      <c r="N2255" s="1275"/>
      <c r="O2255" s="1275"/>
      <c r="P2255" s="1244"/>
      <c r="Q2255" s="1244"/>
      <c r="R2255" s="1244"/>
      <c r="S2255" s="1265"/>
      <c r="T2255" s="1244"/>
      <c r="U2255" s="1244"/>
    </row>
    <row r="2256">
      <c r="A2256" s="1235"/>
      <c r="B2256" s="1235"/>
      <c r="C2256" s="1246"/>
      <c r="D2256" s="1274"/>
      <c r="E2256" s="1248"/>
      <c r="F2256" s="1248"/>
      <c r="G2256" s="1271"/>
      <c r="H2256" s="1250"/>
      <c r="I2256" s="1251"/>
      <c r="J2256" s="1271"/>
      <c r="K2256" s="1271"/>
      <c r="L2256" s="1254"/>
      <c r="M2256" s="1244"/>
      <c r="N2256" s="1275"/>
      <c r="O2256" s="1275"/>
      <c r="P2256" s="1244"/>
      <c r="Q2256" s="1244"/>
      <c r="R2256" s="1244"/>
      <c r="S2256" s="1265"/>
      <c r="T2256" s="1244"/>
      <c r="U2256" s="1244"/>
    </row>
    <row r="2257">
      <c r="A2257" s="1235"/>
      <c r="B2257" s="1235"/>
      <c r="C2257" s="1246"/>
      <c r="D2257" s="1274"/>
      <c r="E2257" s="1248"/>
      <c r="F2257" s="1248"/>
      <c r="G2257" s="1271"/>
      <c r="H2257" s="1250"/>
      <c r="I2257" s="1251"/>
      <c r="J2257" s="1271"/>
      <c r="K2257" s="1271"/>
      <c r="L2257" s="1254"/>
      <c r="M2257" s="1244"/>
      <c r="N2257" s="1275"/>
      <c r="O2257" s="1275"/>
      <c r="P2257" s="1244"/>
      <c r="Q2257" s="1244"/>
      <c r="R2257" s="1244"/>
      <c r="S2257" s="1265"/>
      <c r="T2257" s="1244"/>
      <c r="U2257" s="1244"/>
    </row>
    <row r="2258">
      <c r="A2258" s="1235"/>
      <c r="B2258" s="1235"/>
      <c r="C2258" s="1246"/>
      <c r="D2258" s="1274"/>
      <c r="E2258" s="1248"/>
      <c r="F2258" s="1248"/>
      <c r="G2258" s="1271"/>
      <c r="H2258" s="1250"/>
      <c r="I2258" s="1251"/>
      <c r="J2258" s="1271"/>
      <c r="K2258" s="1271"/>
      <c r="L2258" s="1254"/>
      <c r="M2258" s="1244"/>
      <c r="N2258" s="1275"/>
      <c r="O2258" s="1275"/>
      <c r="P2258" s="1244"/>
      <c r="Q2258" s="1244"/>
      <c r="R2258" s="1244"/>
      <c r="S2258" s="1265"/>
      <c r="T2258" s="1244"/>
      <c r="U2258" s="1244"/>
    </row>
    <row r="2259">
      <c r="A2259" s="1235"/>
      <c r="B2259" s="1235"/>
      <c r="C2259" s="1246"/>
      <c r="D2259" s="1274"/>
      <c r="E2259" s="1248"/>
      <c r="F2259" s="1248"/>
      <c r="G2259" s="1271"/>
      <c r="H2259" s="1250"/>
      <c r="I2259" s="1251"/>
      <c r="J2259" s="1271"/>
      <c r="K2259" s="1271"/>
      <c r="L2259" s="1254"/>
      <c r="M2259" s="1244"/>
      <c r="N2259" s="1275"/>
      <c r="O2259" s="1275"/>
      <c r="P2259" s="1244"/>
      <c r="Q2259" s="1244"/>
      <c r="R2259" s="1244"/>
      <c r="S2259" s="1265"/>
      <c r="T2259" s="1244"/>
      <c r="U2259" s="1244"/>
    </row>
    <row r="2260">
      <c r="A2260" s="1235"/>
      <c r="B2260" s="1235"/>
      <c r="C2260" s="1246"/>
      <c r="D2260" s="1274"/>
      <c r="E2260" s="1248"/>
      <c r="F2260" s="1248"/>
      <c r="G2260" s="1271"/>
      <c r="H2260" s="1250"/>
      <c r="I2260" s="1251"/>
      <c r="J2260" s="1271"/>
      <c r="K2260" s="1271"/>
      <c r="L2260" s="1254"/>
      <c r="M2260" s="1244"/>
      <c r="N2260" s="1275"/>
      <c r="O2260" s="1275"/>
      <c r="P2260" s="1244"/>
      <c r="Q2260" s="1244"/>
      <c r="R2260" s="1244"/>
      <c r="S2260" s="1265"/>
      <c r="T2260" s="1244"/>
      <c r="U2260" s="1244"/>
    </row>
    <row r="2261">
      <c r="A2261" s="1235"/>
      <c r="B2261" s="1235"/>
      <c r="C2261" s="1246"/>
      <c r="D2261" s="1274"/>
      <c r="E2261" s="1248"/>
      <c r="F2261" s="1248"/>
      <c r="G2261" s="1271"/>
      <c r="H2261" s="1250"/>
      <c r="I2261" s="1251"/>
      <c r="J2261" s="1271"/>
      <c r="K2261" s="1271"/>
      <c r="L2261" s="1254"/>
      <c r="M2261" s="1244"/>
      <c r="N2261" s="1275"/>
      <c r="O2261" s="1275"/>
      <c r="P2261" s="1244"/>
      <c r="Q2261" s="1244"/>
      <c r="R2261" s="1244"/>
      <c r="S2261" s="1265"/>
      <c r="T2261" s="1244"/>
      <c r="U2261" s="1244"/>
    </row>
    <row r="2262">
      <c r="A2262" s="1235"/>
      <c r="B2262" s="1235"/>
      <c r="C2262" s="1246"/>
      <c r="D2262" s="1274"/>
      <c r="E2262" s="1248"/>
      <c r="F2262" s="1248"/>
      <c r="G2262" s="1271"/>
      <c r="H2262" s="1250"/>
      <c r="I2262" s="1251"/>
      <c r="J2262" s="1271"/>
      <c r="K2262" s="1271"/>
      <c r="L2262" s="1254"/>
      <c r="M2262" s="1244"/>
      <c r="N2262" s="1275"/>
      <c r="O2262" s="1275"/>
      <c r="P2262" s="1244"/>
      <c r="Q2262" s="1244"/>
      <c r="R2262" s="1244"/>
      <c r="S2262" s="1265"/>
      <c r="T2262" s="1244"/>
      <c r="U2262" s="1244"/>
    </row>
    <row r="2263">
      <c r="A2263" s="1235"/>
      <c r="B2263" s="1235"/>
      <c r="C2263" s="1246"/>
      <c r="D2263" s="1274"/>
      <c r="E2263" s="1248"/>
      <c r="F2263" s="1248"/>
      <c r="G2263" s="1271"/>
      <c r="H2263" s="1250"/>
      <c r="I2263" s="1251"/>
      <c r="J2263" s="1271"/>
      <c r="K2263" s="1271"/>
      <c r="L2263" s="1254"/>
      <c r="M2263" s="1244"/>
      <c r="N2263" s="1275"/>
      <c r="O2263" s="1275"/>
      <c r="P2263" s="1244"/>
      <c r="Q2263" s="1244"/>
      <c r="R2263" s="1244"/>
      <c r="S2263" s="1265"/>
      <c r="T2263" s="1244"/>
      <c r="U2263" s="1244"/>
    </row>
    <row r="2264">
      <c r="A2264" s="1235"/>
      <c r="B2264" s="1235"/>
      <c r="C2264" s="1246"/>
      <c r="D2264" s="1274"/>
      <c r="E2264" s="1248"/>
      <c r="F2264" s="1248"/>
      <c r="G2264" s="1271"/>
      <c r="H2264" s="1250"/>
      <c r="I2264" s="1251"/>
      <c r="J2264" s="1271"/>
      <c r="K2264" s="1271"/>
      <c r="L2264" s="1254"/>
      <c r="M2264" s="1244"/>
      <c r="N2264" s="1275"/>
      <c r="O2264" s="1275"/>
      <c r="P2264" s="1244"/>
      <c r="Q2264" s="1244"/>
      <c r="R2264" s="1244"/>
      <c r="S2264" s="1265"/>
      <c r="T2264" s="1244"/>
      <c r="U2264" s="1244"/>
    </row>
    <row r="2265">
      <c r="A2265" s="1235"/>
      <c r="B2265" s="1235"/>
      <c r="C2265" s="1246"/>
      <c r="D2265" s="1274"/>
      <c r="E2265" s="1248"/>
      <c r="F2265" s="1248"/>
      <c r="G2265" s="1271"/>
      <c r="H2265" s="1250"/>
      <c r="I2265" s="1251"/>
      <c r="J2265" s="1271"/>
      <c r="K2265" s="1271"/>
      <c r="L2265" s="1254"/>
      <c r="M2265" s="1244"/>
      <c r="N2265" s="1275"/>
      <c r="O2265" s="1275"/>
      <c r="P2265" s="1244"/>
      <c r="Q2265" s="1244"/>
      <c r="R2265" s="1244"/>
      <c r="S2265" s="1265"/>
      <c r="T2265" s="1244"/>
      <c r="U2265" s="1244"/>
    </row>
    <row r="2266">
      <c r="A2266" s="1235"/>
      <c r="B2266" s="1235"/>
      <c r="C2266" s="1246"/>
      <c r="D2266" s="1274"/>
      <c r="E2266" s="1248"/>
      <c r="F2266" s="1248"/>
      <c r="G2266" s="1271"/>
      <c r="H2266" s="1250"/>
      <c r="I2266" s="1251"/>
      <c r="J2266" s="1271"/>
      <c r="K2266" s="1271"/>
      <c r="L2266" s="1254"/>
      <c r="M2266" s="1244"/>
      <c r="N2266" s="1275"/>
      <c r="O2266" s="1275"/>
      <c r="P2266" s="1244"/>
      <c r="Q2266" s="1244"/>
      <c r="R2266" s="1244"/>
      <c r="S2266" s="1265"/>
      <c r="T2266" s="1244"/>
      <c r="U2266" s="1244"/>
    </row>
    <row r="2267">
      <c r="A2267" s="1235"/>
      <c r="B2267" s="1235"/>
      <c r="C2267" s="1246"/>
      <c r="D2267" s="1274"/>
      <c r="E2267" s="1248"/>
      <c r="F2267" s="1248"/>
      <c r="G2267" s="1271"/>
      <c r="H2267" s="1250"/>
      <c r="I2267" s="1251"/>
      <c r="J2267" s="1271"/>
      <c r="K2267" s="1271"/>
      <c r="L2267" s="1254"/>
      <c r="M2267" s="1244"/>
      <c r="N2267" s="1275"/>
      <c r="O2267" s="1275"/>
      <c r="P2267" s="1244"/>
      <c r="Q2267" s="1244"/>
      <c r="R2267" s="1244"/>
      <c r="S2267" s="1265"/>
      <c r="T2267" s="1244"/>
      <c r="U2267" s="1244"/>
    </row>
    <row r="2268">
      <c r="A2268" s="1235"/>
      <c r="B2268" s="1235"/>
      <c r="C2268" s="1246"/>
      <c r="D2268" s="1274"/>
      <c r="E2268" s="1248"/>
      <c r="F2268" s="1248"/>
      <c r="G2268" s="1271"/>
      <c r="H2268" s="1250"/>
      <c r="I2268" s="1251"/>
      <c r="J2268" s="1271"/>
      <c r="K2268" s="1271"/>
      <c r="L2268" s="1254"/>
      <c r="M2268" s="1244"/>
      <c r="N2268" s="1275"/>
      <c r="O2268" s="1275"/>
      <c r="P2268" s="1244"/>
      <c r="Q2268" s="1244"/>
      <c r="R2268" s="1244"/>
      <c r="S2268" s="1265"/>
      <c r="T2268" s="1244"/>
      <c r="U2268" s="1244"/>
    </row>
    <row r="2269">
      <c r="A2269" s="1235"/>
      <c r="B2269" s="1235"/>
      <c r="C2269" s="1246"/>
      <c r="D2269" s="1274"/>
      <c r="E2269" s="1248"/>
      <c r="F2269" s="1248"/>
      <c r="G2269" s="1271"/>
      <c r="H2269" s="1250"/>
      <c r="I2269" s="1251"/>
      <c r="J2269" s="1271"/>
      <c r="K2269" s="1271"/>
      <c r="L2269" s="1254"/>
      <c r="M2269" s="1244"/>
      <c r="N2269" s="1275"/>
      <c r="O2269" s="1275"/>
      <c r="P2269" s="1244"/>
      <c r="Q2269" s="1244"/>
      <c r="R2269" s="1244"/>
      <c r="S2269" s="1265"/>
      <c r="T2269" s="1244"/>
      <c r="U2269" s="1244"/>
    </row>
    <row r="2270">
      <c r="A2270" s="1235"/>
      <c r="B2270" s="1235"/>
      <c r="C2270" s="1246"/>
      <c r="D2270" s="1274"/>
      <c r="E2270" s="1248"/>
      <c r="F2270" s="1248"/>
      <c r="G2270" s="1271"/>
      <c r="H2270" s="1250"/>
      <c r="I2270" s="1251"/>
      <c r="J2270" s="1271"/>
      <c r="K2270" s="1271"/>
      <c r="L2270" s="1254"/>
      <c r="M2270" s="1244"/>
      <c r="N2270" s="1275"/>
      <c r="O2270" s="1275"/>
      <c r="P2270" s="1244"/>
      <c r="Q2270" s="1244"/>
      <c r="R2270" s="1244"/>
      <c r="S2270" s="1265"/>
      <c r="T2270" s="1244"/>
      <c r="U2270" s="1244"/>
    </row>
    <row r="2271">
      <c r="A2271" s="1235"/>
      <c r="B2271" s="1235"/>
      <c r="C2271" s="1246"/>
      <c r="D2271" s="1274"/>
      <c r="E2271" s="1248"/>
      <c r="F2271" s="1248"/>
      <c r="G2271" s="1271"/>
      <c r="H2271" s="1250"/>
      <c r="I2271" s="1251"/>
      <c r="J2271" s="1271"/>
      <c r="K2271" s="1271"/>
      <c r="L2271" s="1254"/>
      <c r="M2271" s="1244"/>
      <c r="N2271" s="1275"/>
      <c r="O2271" s="1275"/>
      <c r="P2271" s="1244"/>
      <c r="Q2271" s="1244"/>
      <c r="R2271" s="1244"/>
      <c r="S2271" s="1265"/>
      <c r="T2271" s="1244"/>
      <c r="U2271" s="1244"/>
    </row>
    <row r="2272">
      <c r="A2272" s="1235"/>
      <c r="B2272" s="1235"/>
      <c r="C2272" s="1246"/>
      <c r="D2272" s="1274"/>
      <c r="E2272" s="1248"/>
      <c r="F2272" s="1248"/>
      <c r="G2272" s="1271"/>
      <c r="H2272" s="1250"/>
      <c r="I2272" s="1251"/>
      <c r="J2272" s="1271"/>
      <c r="K2272" s="1271"/>
      <c r="L2272" s="1254"/>
      <c r="M2272" s="1244"/>
      <c r="N2272" s="1275"/>
      <c r="O2272" s="1275"/>
      <c r="P2272" s="1244"/>
      <c r="Q2272" s="1244"/>
      <c r="R2272" s="1244"/>
      <c r="S2272" s="1265"/>
      <c r="T2272" s="1244"/>
      <c r="U2272" s="1244"/>
    </row>
    <row r="2273">
      <c r="A2273" s="1235"/>
      <c r="B2273" s="1235"/>
      <c r="C2273" s="1246"/>
      <c r="D2273" s="1274"/>
      <c r="E2273" s="1248"/>
      <c r="F2273" s="1248"/>
      <c r="G2273" s="1271"/>
      <c r="H2273" s="1250"/>
      <c r="I2273" s="1251"/>
      <c r="J2273" s="1271"/>
      <c r="K2273" s="1271"/>
      <c r="L2273" s="1254"/>
      <c r="M2273" s="1244"/>
      <c r="N2273" s="1275"/>
      <c r="O2273" s="1275"/>
      <c r="P2273" s="1244"/>
      <c r="Q2273" s="1244"/>
      <c r="R2273" s="1244"/>
      <c r="S2273" s="1265"/>
      <c r="T2273" s="1244"/>
      <c r="U2273" s="1244"/>
    </row>
    <row r="2274">
      <c r="A2274" s="1235"/>
      <c r="B2274" s="1235"/>
      <c r="C2274" s="1246"/>
      <c r="D2274" s="1274"/>
      <c r="E2274" s="1248"/>
      <c r="F2274" s="1248"/>
      <c r="G2274" s="1271"/>
      <c r="H2274" s="1250"/>
      <c r="I2274" s="1251"/>
      <c r="J2274" s="1271"/>
      <c r="K2274" s="1271"/>
      <c r="L2274" s="1254"/>
      <c r="M2274" s="1244"/>
      <c r="N2274" s="1275"/>
      <c r="O2274" s="1275"/>
      <c r="P2274" s="1244"/>
      <c r="Q2274" s="1244"/>
      <c r="R2274" s="1244"/>
      <c r="S2274" s="1265"/>
      <c r="T2274" s="1244"/>
      <c r="U2274" s="1244"/>
    </row>
    <row r="2275">
      <c r="A2275" s="1235"/>
      <c r="B2275" s="1235"/>
      <c r="C2275" s="1246"/>
      <c r="D2275" s="1274"/>
      <c r="E2275" s="1248"/>
      <c r="F2275" s="1248"/>
      <c r="G2275" s="1271"/>
      <c r="H2275" s="1250"/>
      <c r="I2275" s="1251"/>
      <c r="J2275" s="1271"/>
      <c r="K2275" s="1271"/>
      <c r="L2275" s="1254"/>
      <c r="M2275" s="1244"/>
      <c r="N2275" s="1275"/>
      <c r="O2275" s="1275"/>
      <c r="P2275" s="1244"/>
      <c r="Q2275" s="1244"/>
      <c r="R2275" s="1244"/>
      <c r="S2275" s="1265"/>
      <c r="T2275" s="1244"/>
      <c r="U2275" s="1244"/>
    </row>
    <row r="2276">
      <c r="A2276" s="1235"/>
      <c r="B2276" s="1235"/>
      <c r="C2276" s="1246"/>
      <c r="D2276" s="1274"/>
      <c r="E2276" s="1248"/>
      <c r="F2276" s="1248"/>
      <c r="G2276" s="1271"/>
      <c r="H2276" s="1250"/>
      <c r="I2276" s="1251"/>
      <c r="J2276" s="1271"/>
      <c r="K2276" s="1271"/>
      <c r="L2276" s="1254"/>
      <c r="M2276" s="1244"/>
      <c r="N2276" s="1275"/>
      <c r="O2276" s="1275"/>
      <c r="P2276" s="1244"/>
      <c r="Q2276" s="1244"/>
      <c r="R2276" s="1244"/>
      <c r="S2276" s="1265"/>
      <c r="T2276" s="1244"/>
      <c r="U2276" s="1244"/>
    </row>
    <row r="2277">
      <c r="A2277" s="1235"/>
      <c r="B2277" s="1235"/>
      <c r="C2277" s="1246"/>
      <c r="D2277" s="1274"/>
      <c r="E2277" s="1248"/>
      <c r="F2277" s="1248"/>
      <c r="G2277" s="1271"/>
      <c r="H2277" s="1250"/>
      <c r="I2277" s="1251"/>
      <c r="J2277" s="1271"/>
      <c r="K2277" s="1271"/>
      <c r="L2277" s="1254"/>
      <c r="M2277" s="1244"/>
      <c r="N2277" s="1275"/>
      <c r="O2277" s="1275"/>
      <c r="P2277" s="1244"/>
      <c r="Q2277" s="1244"/>
      <c r="R2277" s="1244"/>
      <c r="S2277" s="1265"/>
      <c r="T2277" s="1244"/>
      <c r="U2277" s="1244"/>
    </row>
    <row r="2278">
      <c r="A2278" s="1235"/>
      <c r="B2278" s="1235"/>
      <c r="C2278" s="1246"/>
      <c r="D2278" s="1274"/>
      <c r="E2278" s="1248"/>
      <c r="F2278" s="1248"/>
      <c r="G2278" s="1271"/>
      <c r="H2278" s="1250"/>
      <c r="I2278" s="1251"/>
      <c r="J2278" s="1271"/>
      <c r="K2278" s="1271"/>
      <c r="L2278" s="1254"/>
      <c r="M2278" s="1244"/>
      <c r="N2278" s="1275"/>
      <c r="O2278" s="1275"/>
      <c r="P2278" s="1244"/>
      <c r="Q2278" s="1244"/>
      <c r="R2278" s="1244"/>
      <c r="S2278" s="1265"/>
      <c r="T2278" s="1244"/>
      <c r="U2278" s="1244"/>
    </row>
    <row r="2279">
      <c r="A2279" s="1235"/>
      <c r="B2279" s="1235"/>
      <c r="C2279" s="1246"/>
      <c r="D2279" s="1274"/>
      <c r="E2279" s="1248"/>
      <c r="F2279" s="1248"/>
      <c r="G2279" s="1271"/>
      <c r="H2279" s="1250"/>
      <c r="I2279" s="1251"/>
      <c r="J2279" s="1271"/>
      <c r="K2279" s="1271"/>
      <c r="L2279" s="1254"/>
      <c r="M2279" s="1244"/>
      <c r="N2279" s="1275"/>
      <c r="O2279" s="1275"/>
      <c r="P2279" s="1244"/>
      <c r="Q2279" s="1244"/>
      <c r="R2279" s="1244"/>
      <c r="S2279" s="1265"/>
      <c r="T2279" s="1244"/>
      <c r="U2279" s="1244"/>
    </row>
    <row r="2280">
      <c r="A2280" s="1235"/>
      <c r="B2280" s="1235"/>
      <c r="C2280" s="1246"/>
      <c r="D2280" s="1274"/>
      <c r="E2280" s="1248"/>
      <c r="F2280" s="1248"/>
      <c r="G2280" s="1271"/>
      <c r="H2280" s="1250"/>
      <c r="I2280" s="1251"/>
      <c r="J2280" s="1271"/>
      <c r="K2280" s="1271"/>
      <c r="L2280" s="1254"/>
      <c r="M2280" s="1244"/>
      <c r="N2280" s="1275"/>
      <c r="O2280" s="1275"/>
      <c r="P2280" s="1244"/>
      <c r="Q2280" s="1244"/>
      <c r="R2280" s="1244"/>
      <c r="S2280" s="1265"/>
      <c r="T2280" s="1244"/>
      <c r="U2280" s="1244"/>
    </row>
    <row r="2281">
      <c r="A2281" s="1235"/>
      <c r="B2281" s="1235"/>
      <c r="C2281" s="1246"/>
      <c r="D2281" s="1274"/>
      <c r="E2281" s="1248"/>
      <c r="F2281" s="1248"/>
      <c r="G2281" s="1271"/>
      <c r="H2281" s="1250"/>
      <c r="I2281" s="1251"/>
      <c r="J2281" s="1271"/>
      <c r="K2281" s="1271"/>
      <c r="L2281" s="1254"/>
      <c r="M2281" s="1244"/>
      <c r="N2281" s="1275"/>
      <c r="O2281" s="1275"/>
      <c r="P2281" s="1244"/>
      <c r="Q2281" s="1244"/>
      <c r="R2281" s="1244"/>
      <c r="S2281" s="1265"/>
      <c r="T2281" s="1244"/>
      <c r="U2281" s="1244"/>
    </row>
    <row r="2282">
      <c r="A2282" s="1235"/>
      <c r="B2282" s="1235"/>
      <c r="C2282" s="1246"/>
      <c r="D2282" s="1274"/>
      <c r="E2282" s="1248"/>
      <c r="F2282" s="1248"/>
      <c r="G2282" s="1271"/>
      <c r="H2282" s="1250"/>
      <c r="I2282" s="1251"/>
      <c r="J2282" s="1271"/>
      <c r="K2282" s="1271"/>
      <c r="L2282" s="1254"/>
      <c r="M2282" s="1244"/>
      <c r="N2282" s="1275"/>
      <c r="O2282" s="1275"/>
      <c r="P2282" s="1244"/>
      <c r="Q2282" s="1244"/>
      <c r="R2282" s="1244"/>
      <c r="S2282" s="1265"/>
      <c r="T2282" s="1244"/>
      <c r="U2282" s="1244"/>
    </row>
    <row r="2283">
      <c r="A2283" s="1235"/>
      <c r="B2283" s="1235"/>
      <c r="C2283" s="1246"/>
      <c r="D2283" s="1274"/>
      <c r="E2283" s="1248"/>
      <c r="F2283" s="1248"/>
      <c r="G2283" s="1271"/>
      <c r="H2283" s="1250"/>
      <c r="I2283" s="1251"/>
      <c r="J2283" s="1271"/>
      <c r="K2283" s="1271"/>
      <c r="L2283" s="1254"/>
      <c r="M2283" s="1244"/>
      <c r="N2283" s="1275"/>
      <c r="O2283" s="1275"/>
      <c r="P2283" s="1244"/>
      <c r="Q2283" s="1244"/>
      <c r="R2283" s="1244"/>
      <c r="S2283" s="1265"/>
      <c r="T2283" s="1244"/>
      <c r="U2283" s="1244"/>
    </row>
    <row r="2284">
      <c r="A2284" s="1235"/>
      <c r="B2284" s="1235"/>
      <c r="C2284" s="1246"/>
      <c r="D2284" s="1274"/>
      <c r="E2284" s="1248"/>
      <c r="F2284" s="1248"/>
      <c r="G2284" s="1271"/>
      <c r="H2284" s="1250"/>
      <c r="I2284" s="1251"/>
      <c r="J2284" s="1271"/>
      <c r="K2284" s="1271"/>
      <c r="L2284" s="1254"/>
      <c r="M2284" s="1244"/>
      <c r="N2284" s="1275"/>
      <c r="O2284" s="1275"/>
      <c r="P2284" s="1244"/>
      <c r="Q2284" s="1244"/>
      <c r="R2284" s="1244"/>
      <c r="S2284" s="1265"/>
      <c r="T2284" s="1244"/>
      <c r="U2284" s="1244"/>
    </row>
    <row r="2285">
      <c r="A2285" s="1235"/>
      <c r="B2285" s="1235"/>
      <c r="C2285" s="1246"/>
      <c r="D2285" s="1274"/>
      <c r="E2285" s="1248"/>
      <c r="F2285" s="1248"/>
      <c r="G2285" s="1271"/>
      <c r="H2285" s="1250"/>
      <c r="I2285" s="1251"/>
      <c r="J2285" s="1271"/>
      <c r="K2285" s="1271"/>
      <c r="L2285" s="1254"/>
      <c r="M2285" s="1244"/>
      <c r="N2285" s="1275"/>
      <c r="O2285" s="1275"/>
      <c r="P2285" s="1244"/>
      <c r="Q2285" s="1244"/>
      <c r="R2285" s="1244"/>
      <c r="S2285" s="1265"/>
      <c r="T2285" s="1244"/>
      <c r="U2285" s="1244"/>
    </row>
    <row r="2286">
      <c r="A2286" s="1235"/>
      <c r="B2286" s="1235"/>
      <c r="C2286" s="1246"/>
      <c r="D2286" s="1274"/>
      <c r="E2286" s="1248"/>
      <c r="F2286" s="1248"/>
      <c r="G2286" s="1271"/>
      <c r="H2286" s="1250"/>
      <c r="I2286" s="1251"/>
      <c r="J2286" s="1271"/>
      <c r="K2286" s="1271"/>
      <c r="L2286" s="1254"/>
      <c r="M2286" s="1244"/>
      <c r="N2286" s="1275"/>
      <c r="O2286" s="1275"/>
      <c r="P2286" s="1244"/>
      <c r="Q2286" s="1244"/>
      <c r="R2286" s="1244"/>
      <c r="S2286" s="1265"/>
      <c r="T2286" s="1244"/>
      <c r="U2286" s="1244"/>
    </row>
    <row r="2287">
      <c r="A2287" s="1235"/>
      <c r="B2287" s="1235"/>
      <c r="C2287" s="1246"/>
      <c r="D2287" s="1274"/>
      <c r="E2287" s="1248"/>
      <c r="F2287" s="1248"/>
      <c r="G2287" s="1271"/>
      <c r="H2287" s="1250"/>
      <c r="I2287" s="1251"/>
      <c r="J2287" s="1271"/>
      <c r="K2287" s="1271"/>
      <c r="L2287" s="1254"/>
      <c r="M2287" s="1244"/>
      <c r="N2287" s="1275"/>
      <c r="O2287" s="1275"/>
      <c r="P2287" s="1244"/>
      <c r="Q2287" s="1244"/>
      <c r="R2287" s="1244"/>
      <c r="S2287" s="1265"/>
      <c r="T2287" s="1244"/>
      <c r="U2287" s="1244"/>
    </row>
    <row r="2288">
      <c r="A2288" s="1235"/>
      <c r="B2288" s="1235"/>
      <c r="C2288" s="1246"/>
      <c r="D2288" s="1274"/>
      <c r="E2288" s="1248"/>
      <c r="F2288" s="1248"/>
      <c r="G2288" s="1271"/>
      <c r="H2288" s="1250"/>
      <c r="I2288" s="1251"/>
      <c r="J2288" s="1271"/>
      <c r="K2288" s="1271"/>
      <c r="L2288" s="1254"/>
      <c r="M2288" s="1244"/>
      <c r="N2288" s="1275"/>
      <c r="O2288" s="1275"/>
      <c r="P2288" s="1244"/>
      <c r="Q2288" s="1244"/>
      <c r="R2288" s="1244"/>
      <c r="S2288" s="1265"/>
      <c r="T2288" s="1244"/>
      <c r="U2288" s="1244"/>
    </row>
    <row r="2289">
      <c r="A2289" s="1235"/>
      <c r="B2289" s="1235"/>
      <c r="C2289" s="1246"/>
      <c r="D2289" s="1274"/>
      <c r="E2289" s="1248"/>
      <c r="F2289" s="1248"/>
      <c r="G2289" s="1271"/>
      <c r="H2289" s="1250"/>
      <c r="I2289" s="1251"/>
      <c r="J2289" s="1271"/>
      <c r="K2289" s="1271"/>
      <c r="L2289" s="1254"/>
      <c r="M2289" s="1244"/>
      <c r="N2289" s="1275"/>
      <c r="O2289" s="1275"/>
      <c r="P2289" s="1244"/>
      <c r="Q2289" s="1244"/>
      <c r="R2289" s="1244"/>
      <c r="S2289" s="1265"/>
      <c r="T2289" s="1244"/>
      <c r="U2289" s="1244"/>
    </row>
    <row r="2290">
      <c r="A2290" s="1235"/>
      <c r="B2290" s="1235"/>
      <c r="C2290" s="1246"/>
      <c r="D2290" s="1274"/>
      <c r="E2290" s="1248"/>
      <c r="F2290" s="1248"/>
      <c r="G2290" s="1271"/>
      <c r="H2290" s="1250"/>
      <c r="I2290" s="1251"/>
      <c r="J2290" s="1271"/>
      <c r="K2290" s="1271"/>
      <c r="L2290" s="1254"/>
      <c r="M2290" s="1244"/>
      <c r="N2290" s="1275"/>
      <c r="O2290" s="1275"/>
      <c r="P2290" s="1244"/>
      <c r="Q2290" s="1244"/>
      <c r="R2290" s="1244"/>
      <c r="S2290" s="1265"/>
      <c r="T2290" s="1244"/>
      <c r="U2290" s="1244"/>
    </row>
    <row r="2291">
      <c r="A2291" s="1235"/>
      <c r="B2291" s="1235"/>
      <c r="C2291" s="1246"/>
      <c r="D2291" s="1274"/>
      <c r="E2291" s="1248"/>
      <c r="F2291" s="1248"/>
      <c r="G2291" s="1271"/>
      <c r="H2291" s="1250"/>
      <c r="I2291" s="1251"/>
      <c r="J2291" s="1271"/>
      <c r="K2291" s="1271"/>
      <c r="L2291" s="1254"/>
      <c r="M2291" s="1244"/>
      <c r="N2291" s="1275"/>
      <c r="O2291" s="1275"/>
      <c r="P2291" s="1244"/>
      <c r="Q2291" s="1244"/>
      <c r="R2291" s="1244"/>
      <c r="S2291" s="1265"/>
      <c r="T2291" s="1244"/>
      <c r="U2291" s="1244"/>
    </row>
    <row r="2292">
      <c r="A2292" s="1235"/>
      <c r="B2292" s="1235"/>
      <c r="C2292" s="1246"/>
      <c r="D2292" s="1274"/>
      <c r="E2292" s="1248"/>
      <c r="F2292" s="1248"/>
      <c r="G2292" s="1271"/>
      <c r="H2292" s="1250"/>
      <c r="I2292" s="1251"/>
      <c r="J2292" s="1271"/>
      <c r="K2292" s="1271"/>
      <c r="L2292" s="1254"/>
      <c r="M2292" s="1244"/>
      <c r="N2292" s="1275"/>
      <c r="O2292" s="1275"/>
      <c r="P2292" s="1244"/>
      <c r="Q2292" s="1244"/>
      <c r="R2292" s="1244"/>
      <c r="S2292" s="1265"/>
      <c r="T2292" s="1244"/>
      <c r="U2292" s="1244"/>
    </row>
    <row r="2293">
      <c r="A2293" s="1235"/>
      <c r="B2293" s="1235"/>
      <c r="C2293" s="1246"/>
      <c r="D2293" s="1274"/>
      <c r="E2293" s="1248"/>
      <c r="F2293" s="1248"/>
      <c r="G2293" s="1271"/>
      <c r="H2293" s="1250"/>
      <c r="I2293" s="1251"/>
      <c r="J2293" s="1271"/>
      <c r="K2293" s="1271"/>
      <c r="L2293" s="1254"/>
      <c r="M2293" s="1244"/>
      <c r="N2293" s="1275"/>
      <c r="O2293" s="1275"/>
      <c r="P2293" s="1244"/>
      <c r="Q2293" s="1244"/>
      <c r="R2293" s="1244"/>
      <c r="S2293" s="1265"/>
      <c r="T2293" s="1244"/>
      <c r="U2293" s="1244"/>
    </row>
    <row r="2294">
      <c r="A2294" s="1235"/>
      <c r="B2294" s="1235"/>
      <c r="C2294" s="1246"/>
      <c r="D2294" s="1274"/>
      <c r="E2294" s="1248"/>
      <c r="F2294" s="1248"/>
      <c r="G2294" s="1271"/>
      <c r="H2294" s="1250"/>
      <c r="I2294" s="1251"/>
      <c r="J2294" s="1271"/>
      <c r="K2294" s="1271"/>
      <c r="L2294" s="1254"/>
      <c r="M2294" s="1244"/>
      <c r="N2294" s="1275"/>
      <c r="O2294" s="1275"/>
      <c r="P2294" s="1244"/>
      <c r="Q2294" s="1244"/>
      <c r="R2294" s="1244"/>
      <c r="S2294" s="1265"/>
      <c r="T2294" s="1244"/>
      <c r="U2294" s="1244"/>
    </row>
    <row r="2295">
      <c r="A2295" s="1235"/>
      <c r="B2295" s="1235"/>
      <c r="C2295" s="1246"/>
      <c r="D2295" s="1274"/>
      <c r="E2295" s="1248"/>
      <c r="F2295" s="1248"/>
      <c r="G2295" s="1271"/>
      <c r="H2295" s="1250"/>
      <c r="I2295" s="1251"/>
      <c r="J2295" s="1271"/>
      <c r="K2295" s="1271"/>
      <c r="L2295" s="1254"/>
      <c r="M2295" s="1244"/>
      <c r="N2295" s="1275"/>
      <c r="O2295" s="1275"/>
      <c r="P2295" s="1244"/>
      <c r="Q2295" s="1244"/>
      <c r="R2295" s="1244"/>
      <c r="S2295" s="1265"/>
      <c r="T2295" s="1244"/>
      <c r="U2295" s="1244"/>
    </row>
    <row r="2296">
      <c r="A2296" s="1235"/>
      <c r="B2296" s="1235"/>
      <c r="C2296" s="1246"/>
      <c r="D2296" s="1274"/>
      <c r="E2296" s="1248"/>
      <c r="F2296" s="1248"/>
      <c r="G2296" s="1271"/>
      <c r="H2296" s="1250"/>
      <c r="I2296" s="1251"/>
      <c r="J2296" s="1271"/>
      <c r="K2296" s="1271"/>
      <c r="L2296" s="1254"/>
      <c r="M2296" s="1244"/>
      <c r="N2296" s="1275"/>
      <c r="O2296" s="1275"/>
      <c r="P2296" s="1244"/>
      <c r="Q2296" s="1244"/>
      <c r="R2296" s="1244"/>
      <c r="S2296" s="1265"/>
      <c r="T2296" s="1244"/>
      <c r="U2296" s="1244"/>
    </row>
    <row r="2297">
      <c r="A2297" s="1235"/>
      <c r="B2297" s="1235"/>
      <c r="C2297" s="1246"/>
      <c r="D2297" s="1274"/>
      <c r="E2297" s="1248"/>
      <c r="F2297" s="1248"/>
      <c r="G2297" s="1271"/>
      <c r="H2297" s="1250"/>
      <c r="I2297" s="1251"/>
      <c r="J2297" s="1271"/>
      <c r="K2297" s="1271"/>
      <c r="L2297" s="1254"/>
      <c r="M2297" s="1244"/>
      <c r="N2297" s="1275"/>
      <c r="O2297" s="1275"/>
      <c r="P2297" s="1244"/>
      <c r="Q2297" s="1244"/>
      <c r="R2297" s="1244"/>
      <c r="S2297" s="1265"/>
      <c r="T2297" s="1244"/>
      <c r="U2297" s="1244"/>
    </row>
    <row r="2298">
      <c r="A2298" s="1235"/>
      <c r="B2298" s="1235"/>
      <c r="C2298" s="1246"/>
      <c r="D2298" s="1274"/>
      <c r="E2298" s="1248"/>
      <c r="F2298" s="1248"/>
      <c r="G2298" s="1271"/>
      <c r="H2298" s="1250"/>
      <c r="I2298" s="1251"/>
      <c r="J2298" s="1271"/>
      <c r="K2298" s="1271"/>
      <c r="L2298" s="1254"/>
      <c r="M2298" s="1244"/>
      <c r="N2298" s="1275"/>
      <c r="O2298" s="1275"/>
      <c r="P2298" s="1244"/>
      <c r="Q2298" s="1244"/>
      <c r="R2298" s="1244"/>
      <c r="S2298" s="1265"/>
      <c r="T2298" s="1244"/>
      <c r="U2298" s="1244"/>
    </row>
    <row r="2299">
      <c r="A2299" s="1235"/>
      <c r="B2299" s="1235"/>
      <c r="C2299" s="1246"/>
      <c r="D2299" s="1274"/>
      <c r="E2299" s="1248"/>
      <c r="F2299" s="1248"/>
      <c r="G2299" s="1271"/>
      <c r="H2299" s="1250"/>
      <c r="I2299" s="1251"/>
      <c r="J2299" s="1271"/>
      <c r="K2299" s="1271"/>
      <c r="L2299" s="1254"/>
      <c r="M2299" s="1244"/>
      <c r="N2299" s="1275"/>
      <c r="O2299" s="1275"/>
      <c r="P2299" s="1244"/>
      <c r="Q2299" s="1244"/>
      <c r="R2299" s="1244"/>
      <c r="S2299" s="1265"/>
      <c r="T2299" s="1244"/>
      <c r="U2299" s="1244"/>
    </row>
    <row r="2300">
      <c r="A2300" s="1235"/>
      <c r="B2300" s="1235"/>
      <c r="C2300" s="1246"/>
      <c r="D2300" s="1274"/>
      <c r="E2300" s="1248"/>
      <c r="F2300" s="1248"/>
      <c r="G2300" s="1271"/>
      <c r="H2300" s="1250"/>
      <c r="I2300" s="1251"/>
      <c r="J2300" s="1271"/>
      <c r="K2300" s="1271"/>
      <c r="L2300" s="1254"/>
      <c r="M2300" s="1244"/>
      <c r="N2300" s="1275"/>
      <c r="O2300" s="1275"/>
      <c r="P2300" s="1244"/>
      <c r="Q2300" s="1244"/>
      <c r="R2300" s="1244"/>
      <c r="S2300" s="1265"/>
      <c r="T2300" s="1244"/>
      <c r="U2300" s="1244"/>
    </row>
    <row r="2301">
      <c r="A2301" s="1235"/>
      <c r="B2301" s="1235"/>
      <c r="C2301" s="1246"/>
      <c r="D2301" s="1274"/>
      <c r="E2301" s="1248"/>
      <c r="F2301" s="1248"/>
      <c r="G2301" s="1271"/>
      <c r="H2301" s="1250"/>
      <c r="I2301" s="1251"/>
      <c r="J2301" s="1271"/>
      <c r="K2301" s="1271"/>
      <c r="L2301" s="1254"/>
      <c r="M2301" s="1244"/>
      <c r="N2301" s="1275"/>
      <c r="O2301" s="1275"/>
      <c r="P2301" s="1244"/>
      <c r="Q2301" s="1244"/>
      <c r="R2301" s="1244"/>
      <c r="S2301" s="1265"/>
      <c r="T2301" s="1244"/>
      <c r="U2301" s="1244"/>
    </row>
    <row r="2302">
      <c r="A2302" s="1235"/>
      <c r="B2302" s="1235"/>
      <c r="C2302" s="1246"/>
      <c r="D2302" s="1274"/>
      <c r="E2302" s="1248"/>
      <c r="F2302" s="1248"/>
      <c r="G2302" s="1271"/>
      <c r="H2302" s="1250"/>
      <c r="I2302" s="1251"/>
      <c r="J2302" s="1271"/>
      <c r="K2302" s="1271"/>
      <c r="L2302" s="1254"/>
      <c r="M2302" s="1244"/>
      <c r="N2302" s="1275"/>
      <c r="O2302" s="1275"/>
      <c r="P2302" s="1244"/>
      <c r="Q2302" s="1244"/>
      <c r="R2302" s="1244"/>
      <c r="S2302" s="1265"/>
      <c r="T2302" s="1244"/>
      <c r="U2302" s="1244"/>
    </row>
    <row r="2303">
      <c r="A2303" s="1235"/>
      <c r="B2303" s="1235"/>
      <c r="C2303" s="1246"/>
      <c r="D2303" s="1274"/>
      <c r="E2303" s="1248"/>
      <c r="F2303" s="1248"/>
      <c r="G2303" s="1271"/>
      <c r="H2303" s="1250"/>
      <c r="I2303" s="1251"/>
      <c r="J2303" s="1271"/>
      <c r="K2303" s="1271"/>
      <c r="L2303" s="1254"/>
      <c r="M2303" s="1244"/>
      <c r="N2303" s="1275"/>
      <c r="O2303" s="1275"/>
      <c r="P2303" s="1244"/>
      <c r="Q2303" s="1244"/>
      <c r="R2303" s="1244"/>
      <c r="S2303" s="1265"/>
      <c r="T2303" s="1244"/>
      <c r="U2303" s="1244"/>
    </row>
    <row r="2304">
      <c r="A2304" s="1235"/>
      <c r="B2304" s="1235"/>
      <c r="C2304" s="1246"/>
      <c r="D2304" s="1274"/>
      <c r="E2304" s="1248"/>
      <c r="F2304" s="1248"/>
      <c r="G2304" s="1271"/>
      <c r="H2304" s="1250"/>
      <c r="I2304" s="1251"/>
      <c r="J2304" s="1271"/>
      <c r="K2304" s="1271"/>
      <c r="L2304" s="1254"/>
      <c r="M2304" s="1244"/>
      <c r="N2304" s="1275"/>
      <c r="O2304" s="1275"/>
      <c r="P2304" s="1244"/>
      <c r="Q2304" s="1244"/>
      <c r="R2304" s="1244"/>
      <c r="S2304" s="1265"/>
      <c r="T2304" s="1244"/>
      <c r="U2304" s="1244"/>
    </row>
    <row r="2305">
      <c r="A2305" s="1235"/>
      <c r="B2305" s="1235"/>
      <c r="C2305" s="1246"/>
      <c r="D2305" s="1274"/>
      <c r="E2305" s="1248"/>
      <c r="F2305" s="1248"/>
      <c r="G2305" s="1271"/>
      <c r="H2305" s="1250"/>
      <c r="I2305" s="1251"/>
      <c r="J2305" s="1271"/>
      <c r="K2305" s="1271"/>
      <c r="L2305" s="1254"/>
      <c r="M2305" s="1244"/>
      <c r="N2305" s="1275"/>
      <c r="O2305" s="1275"/>
      <c r="P2305" s="1244"/>
      <c r="Q2305" s="1244"/>
      <c r="R2305" s="1244"/>
      <c r="S2305" s="1265"/>
      <c r="T2305" s="1244"/>
      <c r="U2305" s="1244"/>
    </row>
    <row r="2306">
      <c r="A2306" s="1235"/>
      <c r="B2306" s="1235"/>
      <c r="C2306" s="1246"/>
      <c r="D2306" s="1274"/>
      <c r="E2306" s="1248"/>
      <c r="F2306" s="1248"/>
      <c r="G2306" s="1271"/>
      <c r="H2306" s="1250"/>
      <c r="I2306" s="1251"/>
      <c r="J2306" s="1271"/>
      <c r="K2306" s="1271"/>
      <c r="L2306" s="1254"/>
      <c r="M2306" s="1244"/>
      <c r="N2306" s="1275"/>
      <c r="O2306" s="1275"/>
      <c r="P2306" s="1244"/>
      <c r="Q2306" s="1244"/>
      <c r="R2306" s="1244"/>
      <c r="S2306" s="1265"/>
      <c r="T2306" s="1244"/>
      <c r="U2306" s="1244"/>
    </row>
    <row r="2307">
      <c r="A2307" s="1235"/>
      <c r="B2307" s="1235"/>
      <c r="C2307" s="1246"/>
      <c r="D2307" s="1274"/>
      <c r="E2307" s="1248"/>
      <c r="F2307" s="1248"/>
      <c r="G2307" s="1271"/>
      <c r="H2307" s="1250"/>
      <c r="I2307" s="1251"/>
      <c r="J2307" s="1271"/>
      <c r="K2307" s="1271"/>
      <c r="L2307" s="1254"/>
      <c r="M2307" s="1244"/>
      <c r="N2307" s="1275"/>
      <c r="O2307" s="1275"/>
      <c r="P2307" s="1244"/>
      <c r="Q2307" s="1244"/>
      <c r="R2307" s="1244"/>
      <c r="S2307" s="1265"/>
      <c r="T2307" s="1244"/>
      <c r="U2307" s="1244"/>
    </row>
    <row r="2308">
      <c r="A2308" s="1235"/>
      <c r="B2308" s="1235"/>
      <c r="C2308" s="1246"/>
      <c r="D2308" s="1274"/>
      <c r="E2308" s="1248"/>
      <c r="F2308" s="1248"/>
      <c r="G2308" s="1271"/>
      <c r="H2308" s="1250"/>
      <c r="I2308" s="1251"/>
      <c r="J2308" s="1271"/>
      <c r="K2308" s="1271"/>
      <c r="L2308" s="1254"/>
      <c r="M2308" s="1244"/>
      <c r="N2308" s="1275"/>
      <c r="O2308" s="1275"/>
      <c r="P2308" s="1244"/>
      <c r="Q2308" s="1244"/>
      <c r="R2308" s="1244"/>
      <c r="S2308" s="1265"/>
      <c r="T2308" s="1244"/>
      <c r="U2308" s="1244"/>
    </row>
    <row r="2309">
      <c r="A2309" s="1235"/>
      <c r="B2309" s="1235"/>
      <c r="C2309" s="1246"/>
      <c r="D2309" s="1274"/>
      <c r="E2309" s="1248"/>
      <c r="F2309" s="1248"/>
      <c r="G2309" s="1271"/>
      <c r="H2309" s="1250"/>
      <c r="I2309" s="1251"/>
      <c r="J2309" s="1271"/>
      <c r="K2309" s="1271"/>
      <c r="L2309" s="1254"/>
      <c r="M2309" s="1244"/>
      <c r="N2309" s="1275"/>
      <c r="O2309" s="1275"/>
      <c r="P2309" s="1244"/>
      <c r="Q2309" s="1244"/>
      <c r="R2309" s="1244"/>
      <c r="S2309" s="1265"/>
      <c r="T2309" s="1244"/>
      <c r="U2309" s="1244"/>
    </row>
    <row r="2310">
      <c r="A2310" s="1235"/>
      <c r="B2310" s="1235"/>
      <c r="C2310" s="1246"/>
      <c r="D2310" s="1274"/>
      <c r="E2310" s="1248"/>
      <c r="F2310" s="1248"/>
      <c r="G2310" s="1271"/>
      <c r="H2310" s="1250"/>
      <c r="I2310" s="1251"/>
      <c r="J2310" s="1271"/>
      <c r="K2310" s="1271"/>
      <c r="L2310" s="1254"/>
      <c r="M2310" s="1244"/>
      <c r="N2310" s="1275"/>
      <c r="O2310" s="1275"/>
      <c r="P2310" s="1244"/>
      <c r="Q2310" s="1244"/>
      <c r="R2310" s="1244"/>
      <c r="S2310" s="1265"/>
      <c r="T2310" s="1244"/>
      <c r="U2310" s="1244"/>
    </row>
    <row r="2311">
      <c r="A2311" s="1235"/>
      <c r="B2311" s="1235"/>
      <c r="C2311" s="1246"/>
      <c r="D2311" s="1274"/>
      <c r="E2311" s="1248"/>
      <c r="F2311" s="1248"/>
      <c r="G2311" s="1271"/>
      <c r="H2311" s="1250"/>
      <c r="I2311" s="1251"/>
      <c r="J2311" s="1271"/>
      <c r="K2311" s="1271"/>
      <c r="L2311" s="1254"/>
      <c r="M2311" s="1244"/>
      <c r="N2311" s="1275"/>
      <c r="O2311" s="1275"/>
      <c r="P2311" s="1244"/>
      <c r="Q2311" s="1244"/>
      <c r="R2311" s="1244"/>
      <c r="S2311" s="1265"/>
      <c r="T2311" s="1244"/>
      <c r="U2311" s="1244"/>
    </row>
    <row r="2312">
      <c r="A2312" s="1235"/>
      <c r="B2312" s="1235"/>
      <c r="C2312" s="1246"/>
      <c r="D2312" s="1274"/>
      <c r="E2312" s="1248"/>
      <c r="F2312" s="1248"/>
      <c r="G2312" s="1271"/>
      <c r="H2312" s="1250"/>
      <c r="I2312" s="1251"/>
      <c r="J2312" s="1271"/>
      <c r="K2312" s="1271"/>
      <c r="L2312" s="1254"/>
      <c r="M2312" s="1244"/>
      <c r="N2312" s="1275"/>
      <c r="O2312" s="1275"/>
      <c r="P2312" s="1244"/>
      <c r="Q2312" s="1244"/>
      <c r="R2312" s="1244"/>
      <c r="S2312" s="1265"/>
      <c r="T2312" s="1244"/>
      <c r="U2312" s="1244"/>
    </row>
    <row r="2313">
      <c r="A2313" s="1235"/>
      <c r="B2313" s="1235"/>
      <c r="C2313" s="1246"/>
      <c r="D2313" s="1274"/>
      <c r="E2313" s="1248"/>
      <c r="F2313" s="1248"/>
      <c r="G2313" s="1271"/>
      <c r="H2313" s="1250"/>
      <c r="I2313" s="1251"/>
      <c r="J2313" s="1271"/>
      <c r="K2313" s="1271"/>
      <c r="L2313" s="1254"/>
      <c r="M2313" s="1244"/>
      <c r="N2313" s="1275"/>
      <c r="O2313" s="1275"/>
      <c r="P2313" s="1244"/>
      <c r="Q2313" s="1244"/>
      <c r="R2313" s="1244"/>
      <c r="S2313" s="1265"/>
      <c r="T2313" s="1244"/>
      <c r="U2313" s="1244"/>
    </row>
    <row r="2314">
      <c r="A2314" s="1235"/>
      <c r="B2314" s="1235"/>
      <c r="C2314" s="1246"/>
      <c r="D2314" s="1274"/>
      <c r="E2314" s="1248"/>
      <c r="F2314" s="1248"/>
      <c r="G2314" s="1271"/>
      <c r="H2314" s="1250"/>
      <c r="I2314" s="1251"/>
      <c r="J2314" s="1271"/>
      <c r="K2314" s="1271"/>
      <c r="L2314" s="1254"/>
      <c r="M2314" s="1244"/>
      <c r="N2314" s="1275"/>
      <c r="O2314" s="1275"/>
      <c r="P2314" s="1244"/>
      <c r="Q2314" s="1244"/>
      <c r="R2314" s="1244"/>
      <c r="S2314" s="1265"/>
      <c r="T2314" s="1244"/>
      <c r="U2314" s="1244"/>
    </row>
    <row r="2315">
      <c r="A2315" s="1235"/>
      <c r="B2315" s="1235"/>
      <c r="C2315" s="1246"/>
      <c r="D2315" s="1274"/>
      <c r="E2315" s="1248"/>
      <c r="F2315" s="1248"/>
      <c r="G2315" s="1271"/>
      <c r="H2315" s="1250"/>
      <c r="I2315" s="1251"/>
      <c r="J2315" s="1271"/>
      <c r="K2315" s="1271"/>
      <c r="L2315" s="1254"/>
      <c r="M2315" s="1244"/>
      <c r="N2315" s="1275"/>
      <c r="O2315" s="1275"/>
      <c r="P2315" s="1244"/>
      <c r="Q2315" s="1244"/>
      <c r="R2315" s="1244"/>
      <c r="S2315" s="1265"/>
      <c r="T2315" s="1244"/>
      <c r="U2315" s="1244"/>
    </row>
    <row r="2316">
      <c r="A2316" s="1235"/>
      <c r="B2316" s="1235"/>
      <c r="C2316" s="1246"/>
      <c r="D2316" s="1274"/>
      <c r="E2316" s="1248"/>
      <c r="F2316" s="1248"/>
      <c r="G2316" s="1271"/>
      <c r="H2316" s="1250"/>
      <c r="I2316" s="1251"/>
      <c r="J2316" s="1271"/>
      <c r="K2316" s="1271"/>
      <c r="L2316" s="1254"/>
      <c r="M2316" s="1244"/>
      <c r="N2316" s="1275"/>
      <c r="O2316" s="1275"/>
      <c r="P2316" s="1244"/>
      <c r="Q2316" s="1244"/>
      <c r="R2316" s="1244"/>
      <c r="S2316" s="1265"/>
      <c r="T2316" s="1244"/>
      <c r="U2316" s="1244"/>
    </row>
    <row r="2317">
      <c r="A2317" s="1235"/>
      <c r="B2317" s="1235"/>
      <c r="C2317" s="1246"/>
      <c r="D2317" s="1274"/>
      <c r="E2317" s="1248"/>
      <c r="F2317" s="1248"/>
      <c r="G2317" s="1271"/>
      <c r="H2317" s="1250"/>
      <c r="I2317" s="1251"/>
      <c r="J2317" s="1271"/>
      <c r="K2317" s="1271"/>
      <c r="L2317" s="1254"/>
      <c r="M2317" s="1244"/>
      <c r="N2317" s="1275"/>
      <c r="O2317" s="1275"/>
      <c r="P2317" s="1244"/>
      <c r="Q2317" s="1244"/>
      <c r="R2317" s="1244"/>
      <c r="S2317" s="1265"/>
      <c r="T2317" s="1244"/>
      <c r="U2317" s="1244"/>
    </row>
    <row r="2318">
      <c r="A2318" s="1235"/>
      <c r="B2318" s="1235"/>
      <c r="C2318" s="1246"/>
      <c r="D2318" s="1274"/>
      <c r="E2318" s="1248"/>
      <c r="F2318" s="1248"/>
      <c r="G2318" s="1271"/>
      <c r="H2318" s="1250"/>
      <c r="I2318" s="1251"/>
      <c r="J2318" s="1271"/>
      <c r="K2318" s="1271"/>
      <c r="L2318" s="1254"/>
      <c r="M2318" s="1244"/>
      <c r="N2318" s="1275"/>
      <c r="O2318" s="1275"/>
      <c r="P2318" s="1244"/>
      <c r="Q2318" s="1244"/>
      <c r="R2318" s="1244"/>
      <c r="S2318" s="1265"/>
      <c r="T2318" s="1244"/>
      <c r="U2318" s="1244"/>
    </row>
    <row r="2319">
      <c r="A2319" s="1235"/>
      <c r="B2319" s="1235"/>
      <c r="C2319" s="1246"/>
      <c r="D2319" s="1274"/>
      <c r="E2319" s="1248"/>
      <c r="F2319" s="1248"/>
      <c r="G2319" s="1271"/>
      <c r="H2319" s="1250"/>
      <c r="I2319" s="1251"/>
      <c r="J2319" s="1271"/>
      <c r="K2319" s="1271"/>
      <c r="L2319" s="1254"/>
      <c r="M2319" s="1244"/>
      <c r="N2319" s="1275"/>
      <c r="O2319" s="1275"/>
      <c r="P2319" s="1244"/>
      <c r="Q2319" s="1244"/>
      <c r="R2319" s="1244"/>
      <c r="S2319" s="1265"/>
      <c r="T2319" s="1244"/>
      <c r="U2319" s="1244"/>
    </row>
    <row r="2320">
      <c r="A2320" s="1235"/>
      <c r="B2320" s="1235"/>
      <c r="C2320" s="1246"/>
      <c r="D2320" s="1274"/>
      <c r="E2320" s="1248"/>
      <c r="F2320" s="1248"/>
      <c r="G2320" s="1271"/>
      <c r="H2320" s="1250"/>
      <c r="I2320" s="1251"/>
      <c r="J2320" s="1271"/>
      <c r="K2320" s="1271"/>
      <c r="L2320" s="1254"/>
      <c r="M2320" s="1244"/>
      <c r="N2320" s="1275"/>
      <c r="O2320" s="1275"/>
      <c r="P2320" s="1244"/>
      <c r="Q2320" s="1244"/>
      <c r="R2320" s="1244"/>
      <c r="S2320" s="1265"/>
      <c r="T2320" s="1244"/>
      <c r="U2320" s="1244"/>
    </row>
    <row r="2321">
      <c r="A2321" s="1235"/>
      <c r="B2321" s="1235"/>
      <c r="C2321" s="1246"/>
      <c r="D2321" s="1274"/>
      <c r="E2321" s="1248"/>
      <c r="F2321" s="1248"/>
      <c r="G2321" s="1271"/>
      <c r="H2321" s="1250"/>
      <c r="I2321" s="1251"/>
      <c r="J2321" s="1271"/>
      <c r="K2321" s="1271"/>
      <c r="L2321" s="1254"/>
      <c r="M2321" s="1244"/>
      <c r="N2321" s="1275"/>
      <c r="O2321" s="1275"/>
      <c r="P2321" s="1244"/>
      <c r="Q2321" s="1244"/>
      <c r="R2321" s="1244"/>
      <c r="S2321" s="1265"/>
      <c r="T2321" s="1244"/>
      <c r="U2321" s="1244"/>
    </row>
    <row r="2322">
      <c r="A2322" s="1235"/>
      <c r="B2322" s="1235"/>
      <c r="C2322" s="1246"/>
      <c r="D2322" s="1274"/>
      <c r="E2322" s="1248"/>
      <c r="F2322" s="1248"/>
      <c r="G2322" s="1271"/>
      <c r="H2322" s="1250"/>
      <c r="I2322" s="1251"/>
      <c r="J2322" s="1271"/>
      <c r="K2322" s="1271"/>
      <c r="L2322" s="1254"/>
      <c r="M2322" s="1244"/>
      <c r="N2322" s="1275"/>
      <c r="O2322" s="1275"/>
      <c r="P2322" s="1244"/>
      <c r="Q2322" s="1244"/>
      <c r="R2322" s="1244"/>
      <c r="S2322" s="1265"/>
      <c r="T2322" s="1244"/>
      <c r="U2322" s="1244"/>
    </row>
    <row r="2323">
      <c r="A2323" s="1235"/>
      <c r="B2323" s="1235"/>
      <c r="C2323" s="1246"/>
      <c r="D2323" s="1274"/>
      <c r="E2323" s="1248"/>
      <c r="F2323" s="1248"/>
      <c r="G2323" s="1271"/>
      <c r="H2323" s="1250"/>
      <c r="I2323" s="1251"/>
      <c r="J2323" s="1271"/>
      <c r="K2323" s="1271"/>
      <c r="L2323" s="1254"/>
      <c r="M2323" s="1244"/>
      <c r="N2323" s="1275"/>
      <c r="O2323" s="1275"/>
      <c r="P2323" s="1244"/>
      <c r="Q2323" s="1244"/>
      <c r="R2323" s="1244"/>
      <c r="S2323" s="1265"/>
      <c r="T2323" s="1244"/>
      <c r="U2323" s="1244"/>
    </row>
    <row r="2324">
      <c r="A2324" s="1235"/>
      <c r="B2324" s="1235"/>
      <c r="C2324" s="1246"/>
      <c r="D2324" s="1274"/>
      <c r="E2324" s="1248"/>
      <c r="F2324" s="1248"/>
      <c r="G2324" s="1271"/>
      <c r="H2324" s="1250"/>
      <c r="I2324" s="1251"/>
      <c r="J2324" s="1271"/>
      <c r="K2324" s="1271"/>
      <c r="L2324" s="1254"/>
      <c r="M2324" s="1244"/>
      <c r="N2324" s="1275"/>
      <c r="O2324" s="1275"/>
      <c r="P2324" s="1244"/>
      <c r="Q2324" s="1244"/>
      <c r="R2324" s="1244"/>
      <c r="S2324" s="1265"/>
      <c r="T2324" s="1244"/>
      <c r="U2324" s="1244"/>
    </row>
    <row r="2325">
      <c r="A2325" s="1235"/>
      <c r="B2325" s="1235"/>
      <c r="C2325" s="1246"/>
      <c r="D2325" s="1274"/>
      <c r="E2325" s="1248"/>
      <c r="F2325" s="1248"/>
      <c r="G2325" s="1271"/>
      <c r="H2325" s="1250"/>
      <c r="I2325" s="1251"/>
      <c r="J2325" s="1271"/>
      <c r="K2325" s="1271"/>
      <c r="L2325" s="1254"/>
      <c r="M2325" s="1244"/>
      <c r="N2325" s="1275"/>
      <c r="O2325" s="1275"/>
      <c r="P2325" s="1244"/>
      <c r="Q2325" s="1244"/>
      <c r="R2325" s="1244"/>
      <c r="S2325" s="1265"/>
      <c r="T2325" s="1244"/>
      <c r="U2325" s="1244"/>
    </row>
    <row r="2326">
      <c r="A2326" s="1235"/>
      <c r="B2326" s="1235"/>
      <c r="C2326" s="1246"/>
      <c r="D2326" s="1274"/>
      <c r="E2326" s="1248"/>
      <c r="F2326" s="1248"/>
      <c r="G2326" s="1271"/>
      <c r="H2326" s="1250"/>
      <c r="I2326" s="1251"/>
      <c r="J2326" s="1271"/>
      <c r="K2326" s="1271"/>
      <c r="L2326" s="1254"/>
      <c r="M2326" s="1244"/>
      <c r="N2326" s="1275"/>
      <c r="O2326" s="1275"/>
      <c r="P2326" s="1244"/>
      <c r="Q2326" s="1244"/>
      <c r="R2326" s="1244"/>
      <c r="S2326" s="1265"/>
      <c r="T2326" s="1244"/>
      <c r="U2326" s="1244"/>
    </row>
    <row r="2327">
      <c r="A2327" s="1235"/>
      <c r="B2327" s="1235"/>
      <c r="C2327" s="1246"/>
      <c r="D2327" s="1274"/>
      <c r="E2327" s="1248"/>
      <c r="F2327" s="1248"/>
      <c r="G2327" s="1271"/>
      <c r="H2327" s="1250"/>
      <c r="I2327" s="1251"/>
      <c r="J2327" s="1271"/>
      <c r="K2327" s="1271"/>
      <c r="L2327" s="1254"/>
      <c r="M2327" s="1244"/>
      <c r="N2327" s="1275"/>
      <c r="O2327" s="1275"/>
      <c r="P2327" s="1244"/>
      <c r="Q2327" s="1244"/>
      <c r="R2327" s="1244"/>
      <c r="S2327" s="1265"/>
      <c r="T2327" s="1244"/>
      <c r="U2327" s="1244"/>
    </row>
    <row r="2328">
      <c r="A2328" s="1235"/>
      <c r="B2328" s="1235"/>
      <c r="C2328" s="1246"/>
      <c r="D2328" s="1274"/>
      <c r="E2328" s="1248"/>
      <c r="F2328" s="1248"/>
      <c r="G2328" s="1271"/>
      <c r="H2328" s="1250"/>
      <c r="I2328" s="1251"/>
      <c r="J2328" s="1271"/>
      <c r="K2328" s="1271"/>
      <c r="L2328" s="1254"/>
      <c r="M2328" s="1244"/>
      <c r="N2328" s="1275"/>
      <c r="O2328" s="1275"/>
      <c r="P2328" s="1244"/>
      <c r="Q2328" s="1244"/>
      <c r="R2328" s="1244"/>
      <c r="S2328" s="1265"/>
      <c r="T2328" s="1244"/>
      <c r="U2328" s="1244"/>
    </row>
    <row r="2329">
      <c r="A2329" s="1235"/>
      <c r="B2329" s="1235"/>
      <c r="C2329" s="1246"/>
      <c r="D2329" s="1274"/>
      <c r="E2329" s="1248"/>
      <c r="F2329" s="1248"/>
      <c r="G2329" s="1271"/>
      <c r="H2329" s="1250"/>
      <c r="I2329" s="1251"/>
      <c r="J2329" s="1271"/>
      <c r="K2329" s="1271"/>
      <c r="L2329" s="1254"/>
      <c r="M2329" s="1244"/>
      <c r="N2329" s="1275"/>
      <c r="O2329" s="1275"/>
      <c r="P2329" s="1244"/>
      <c r="Q2329" s="1244"/>
      <c r="R2329" s="1244"/>
      <c r="S2329" s="1265"/>
      <c r="T2329" s="1244"/>
      <c r="U2329" s="1244"/>
    </row>
    <row r="2330">
      <c r="A2330" s="1235"/>
      <c r="B2330" s="1235"/>
      <c r="C2330" s="1246"/>
      <c r="D2330" s="1274"/>
      <c r="E2330" s="1248"/>
      <c r="F2330" s="1248"/>
      <c r="G2330" s="1271"/>
      <c r="H2330" s="1250"/>
      <c r="I2330" s="1251"/>
      <c r="J2330" s="1271"/>
      <c r="K2330" s="1271"/>
      <c r="L2330" s="1254"/>
      <c r="M2330" s="1244"/>
      <c r="N2330" s="1275"/>
      <c r="O2330" s="1275"/>
      <c r="P2330" s="1244"/>
      <c r="Q2330" s="1244"/>
      <c r="R2330" s="1244"/>
      <c r="S2330" s="1265"/>
      <c r="T2330" s="1244"/>
      <c r="U2330" s="1244"/>
    </row>
    <row r="2331">
      <c r="A2331" s="1235"/>
      <c r="B2331" s="1235"/>
      <c r="C2331" s="1246"/>
      <c r="D2331" s="1274"/>
      <c r="E2331" s="1248"/>
      <c r="F2331" s="1248"/>
      <c r="G2331" s="1271"/>
      <c r="H2331" s="1250"/>
      <c r="I2331" s="1251"/>
      <c r="J2331" s="1271"/>
      <c r="K2331" s="1271"/>
      <c r="L2331" s="1254"/>
      <c r="M2331" s="1244"/>
      <c r="N2331" s="1275"/>
      <c r="O2331" s="1275"/>
      <c r="P2331" s="1244"/>
      <c r="Q2331" s="1244"/>
      <c r="R2331" s="1244"/>
      <c r="S2331" s="1265"/>
      <c r="T2331" s="1244"/>
      <c r="U2331" s="1244"/>
    </row>
    <row r="2332">
      <c r="A2332" s="1235"/>
      <c r="B2332" s="1235"/>
      <c r="C2332" s="1246"/>
      <c r="D2332" s="1274"/>
      <c r="E2332" s="1248"/>
      <c r="F2332" s="1248"/>
      <c r="G2332" s="1271"/>
      <c r="H2332" s="1250"/>
      <c r="I2332" s="1251"/>
      <c r="J2332" s="1271"/>
      <c r="K2332" s="1271"/>
      <c r="L2332" s="1254"/>
      <c r="M2332" s="1244"/>
      <c r="N2332" s="1275"/>
      <c r="O2332" s="1275"/>
      <c r="P2332" s="1244"/>
      <c r="Q2332" s="1244"/>
      <c r="R2332" s="1244"/>
      <c r="S2332" s="1265"/>
      <c r="T2332" s="1244"/>
      <c r="U2332" s="1244"/>
    </row>
    <row r="2333">
      <c r="A2333" s="1235"/>
      <c r="B2333" s="1235"/>
      <c r="C2333" s="1246"/>
      <c r="D2333" s="1274"/>
      <c r="E2333" s="1248"/>
      <c r="F2333" s="1248"/>
      <c r="G2333" s="1271"/>
      <c r="H2333" s="1250"/>
      <c r="I2333" s="1251"/>
      <c r="J2333" s="1271"/>
      <c r="K2333" s="1271"/>
      <c r="L2333" s="1254"/>
      <c r="M2333" s="1244"/>
      <c r="N2333" s="1275"/>
      <c r="O2333" s="1275"/>
      <c r="P2333" s="1244"/>
      <c r="Q2333" s="1244"/>
      <c r="R2333" s="1244"/>
      <c r="S2333" s="1265"/>
      <c r="T2333" s="1244"/>
      <c r="U2333" s="1244"/>
    </row>
    <row r="2334">
      <c r="A2334" s="1235"/>
      <c r="B2334" s="1235"/>
      <c r="C2334" s="1246"/>
      <c r="D2334" s="1274"/>
      <c r="E2334" s="1248"/>
      <c r="F2334" s="1248"/>
      <c r="G2334" s="1271"/>
      <c r="H2334" s="1250"/>
      <c r="I2334" s="1251"/>
      <c r="J2334" s="1271"/>
      <c r="K2334" s="1271"/>
      <c r="L2334" s="1254"/>
      <c r="M2334" s="1244"/>
      <c r="N2334" s="1275"/>
      <c r="O2334" s="1275"/>
      <c r="P2334" s="1244"/>
      <c r="Q2334" s="1244"/>
      <c r="R2334" s="1244"/>
      <c r="S2334" s="1265"/>
      <c r="T2334" s="1244"/>
      <c r="U2334" s="1244"/>
    </row>
    <row r="2335">
      <c r="A2335" s="1235"/>
      <c r="B2335" s="1235"/>
      <c r="C2335" s="1246"/>
      <c r="D2335" s="1274"/>
      <c r="E2335" s="1248"/>
      <c r="F2335" s="1248"/>
      <c r="G2335" s="1271"/>
      <c r="H2335" s="1250"/>
      <c r="I2335" s="1251"/>
      <c r="J2335" s="1271"/>
      <c r="K2335" s="1271"/>
      <c r="L2335" s="1254"/>
      <c r="M2335" s="1244"/>
      <c r="N2335" s="1275"/>
      <c r="O2335" s="1275"/>
      <c r="P2335" s="1244"/>
      <c r="Q2335" s="1244"/>
      <c r="R2335" s="1244"/>
      <c r="S2335" s="1265"/>
      <c r="T2335" s="1244"/>
      <c r="U2335" s="1244"/>
    </row>
    <row r="2336">
      <c r="A2336" s="1235"/>
      <c r="B2336" s="1235"/>
      <c r="C2336" s="1246"/>
      <c r="D2336" s="1274"/>
      <c r="E2336" s="1248"/>
      <c r="F2336" s="1248"/>
      <c r="G2336" s="1271"/>
      <c r="H2336" s="1250"/>
      <c r="I2336" s="1251"/>
      <c r="J2336" s="1271"/>
      <c r="K2336" s="1271"/>
      <c r="L2336" s="1254"/>
      <c r="M2336" s="1244"/>
      <c r="N2336" s="1275"/>
      <c r="O2336" s="1275"/>
      <c r="P2336" s="1244"/>
      <c r="Q2336" s="1244"/>
      <c r="R2336" s="1244"/>
      <c r="S2336" s="1265"/>
      <c r="T2336" s="1244"/>
      <c r="U2336" s="1244"/>
    </row>
    <row r="2337">
      <c r="A2337" s="1235"/>
      <c r="B2337" s="1235"/>
      <c r="C2337" s="1246"/>
      <c r="D2337" s="1274"/>
      <c r="E2337" s="1248"/>
      <c r="F2337" s="1248"/>
      <c r="G2337" s="1271"/>
      <c r="H2337" s="1250"/>
      <c r="I2337" s="1251"/>
      <c r="J2337" s="1271"/>
      <c r="K2337" s="1271"/>
      <c r="L2337" s="1254"/>
      <c r="M2337" s="1244"/>
      <c r="N2337" s="1275"/>
      <c r="O2337" s="1275"/>
      <c r="P2337" s="1244"/>
      <c r="Q2337" s="1244"/>
      <c r="R2337" s="1244"/>
      <c r="S2337" s="1265"/>
      <c r="T2337" s="1244"/>
      <c r="U2337" s="1244"/>
    </row>
    <row r="2338">
      <c r="A2338" s="1235"/>
      <c r="B2338" s="1235"/>
      <c r="C2338" s="1246"/>
      <c r="D2338" s="1274"/>
      <c r="E2338" s="1248"/>
      <c r="F2338" s="1248"/>
      <c r="G2338" s="1271"/>
      <c r="H2338" s="1250"/>
      <c r="I2338" s="1251"/>
      <c r="J2338" s="1271"/>
      <c r="K2338" s="1271"/>
      <c r="L2338" s="1254"/>
      <c r="M2338" s="1244"/>
      <c r="N2338" s="1275"/>
      <c r="O2338" s="1275"/>
      <c r="P2338" s="1244"/>
      <c r="Q2338" s="1244"/>
      <c r="R2338" s="1244"/>
      <c r="S2338" s="1265"/>
      <c r="T2338" s="1244"/>
      <c r="U2338" s="1244"/>
    </row>
    <row r="2339">
      <c r="A2339" s="1235"/>
      <c r="B2339" s="1235"/>
      <c r="C2339" s="1246"/>
      <c r="D2339" s="1274"/>
      <c r="E2339" s="1248"/>
      <c r="F2339" s="1248"/>
      <c r="G2339" s="1271"/>
      <c r="H2339" s="1250"/>
      <c r="I2339" s="1251"/>
      <c r="J2339" s="1271"/>
      <c r="K2339" s="1271"/>
      <c r="L2339" s="1254"/>
      <c r="M2339" s="1244"/>
      <c r="N2339" s="1275"/>
      <c r="O2339" s="1275"/>
      <c r="P2339" s="1244"/>
      <c r="Q2339" s="1244"/>
      <c r="R2339" s="1244"/>
      <c r="S2339" s="1265"/>
      <c r="T2339" s="1244"/>
      <c r="U2339" s="1244"/>
    </row>
    <row r="2340">
      <c r="A2340" s="1235"/>
      <c r="B2340" s="1235"/>
      <c r="C2340" s="1246"/>
      <c r="D2340" s="1274"/>
      <c r="E2340" s="1248"/>
      <c r="F2340" s="1248"/>
      <c r="G2340" s="1271"/>
      <c r="H2340" s="1250"/>
      <c r="I2340" s="1251"/>
      <c r="J2340" s="1271"/>
      <c r="K2340" s="1271"/>
      <c r="L2340" s="1254"/>
      <c r="M2340" s="1244"/>
      <c r="N2340" s="1275"/>
      <c r="O2340" s="1275"/>
      <c r="P2340" s="1244"/>
      <c r="Q2340" s="1244"/>
      <c r="R2340" s="1244"/>
      <c r="S2340" s="1265"/>
      <c r="T2340" s="1244"/>
      <c r="U2340" s="1244"/>
    </row>
    <row r="2341">
      <c r="A2341" s="1235"/>
      <c r="B2341" s="1235"/>
      <c r="C2341" s="1246"/>
      <c r="D2341" s="1274"/>
      <c r="E2341" s="1248"/>
      <c r="F2341" s="1248"/>
      <c r="G2341" s="1271"/>
      <c r="H2341" s="1250"/>
      <c r="I2341" s="1251"/>
      <c r="J2341" s="1271"/>
      <c r="K2341" s="1271"/>
      <c r="L2341" s="1254"/>
      <c r="M2341" s="1244"/>
      <c r="N2341" s="1275"/>
      <c r="O2341" s="1275"/>
      <c r="P2341" s="1244"/>
      <c r="Q2341" s="1244"/>
      <c r="R2341" s="1244"/>
      <c r="S2341" s="1265"/>
      <c r="T2341" s="1244"/>
      <c r="U2341" s="1244"/>
    </row>
    <row r="2342">
      <c r="A2342" s="1235"/>
      <c r="B2342" s="1235"/>
      <c r="C2342" s="1246"/>
      <c r="D2342" s="1274"/>
      <c r="E2342" s="1248"/>
      <c r="F2342" s="1248"/>
      <c r="G2342" s="1271"/>
      <c r="H2342" s="1250"/>
      <c r="I2342" s="1251"/>
      <c r="J2342" s="1271"/>
      <c r="K2342" s="1271"/>
      <c r="L2342" s="1254"/>
      <c r="M2342" s="1244"/>
      <c r="N2342" s="1275"/>
      <c r="O2342" s="1275"/>
      <c r="P2342" s="1244"/>
      <c r="Q2342" s="1244"/>
      <c r="R2342" s="1244"/>
      <c r="S2342" s="1265"/>
      <c r="T2342" s="1244"/>
      <c r="U2342" s="1244"/>
    </row>
    <row r="2343">
      <c r="A2343" s="1235"/>
      <c r="B2343" s="1235"/>
      <c r="C2343" s="1246"/>
      <c r="D2343" s="1274"/>
      <c r="E2343" s="1248"/>
      <c r="F2343" s="1248"/>
      <c r="G2343" s="1271"/>
      <c r="H2343" s="1250"/>
      <c r="I2343" s="1251"/>
      <c r="J2343" s="1271"/>
      <c r="K2343" s="1271"/>
      <c r="L2343" s="1254"/>
      <c r="M2343" s="1244"/>
      <c r="N2343" s="1275"/>
      <c r="O2343" s="1275"/>
      <c r="P2343" s="1244"/>
      <c r="Q2343" s="1244"/>
      <c r="R2343" s="1244"/>
      <c r="S2343" s="1265"/>
      <c r="T2343" s="1244"/>
      <c r="U2343" s="1244"/>
    </row>
    <row r="2344">
      <c r="A2344" s="1235"/>
      <c r="B2344" s="1235"/>
      <c r="C2344" s="1246"/>
      <c r="D2344" s="1274"/>
      <c r="E2344" s="1248"/>
      <c r="F2344" s="1248"/>
      <c r="G2344" s="1271"/>
      <c r="H2344" s="1250"/>
      <c r="I2344" s="1251"/>
      <c r="J2344" s="1271"/>
      <c r="K2344" s="1271"/>
      <c r="L2344" s="1254"/>
      <c r="M2344" s="1244"/>
      <c r="N2344" s="1275"/>
      <c r="O2344" s="1275"/>
      <c r="P2344" s="1244"/>
      <c r="Q2344" s="1244"/>
      <c r="R2344" s="1244"/>
      <c r="S2344" s="1265"/>
      <c r="T2344" s="1244"/>
      <c r="U2344" s="1244"/>
    </row>
    <row r="2345">
      <c r="A2345" s="1235"/>
      <c r="B2345" s="1235"/>
      <c r="C2345" s="1246"/>
      <c r="D2345" s="1274"/>
      <c r="E2345" s="1248"/>
      <c r="F2345" s="1248"/>
      <c r="G2345" s="1271"/>
      <c r="H2345" s="1250"/>
      <c r="I2345" s="1251"/>
      <c r="J2345" s="1271"/>
      <c r="K2345" s="1271"/>
      <c r="L2345" s="1254"/>
      <c r="M2345" s="1244"/>
      <c r="N2345" s="1275"/>
      <c r="O2345" s="1275"/>
      <c r="P2345" s="1244"/>
      <c r="Q2345" s="1244"/>
      <c r="R2345" s="1244"/>
      <c r="S2345" s="1265"/>
      <c r="T2345" s="1244"/>
      <c r="U2345" s="1244"/>
    </row>
    <row r="2346">
      <c r="A2346" s="1235"/>
      <c r="B2346" s="1235"/>
      <c r="C2346" s="1246"/>
      <c r="D2346" s="1274"/>
      <c r="E2346" s="1248"/>
      <c r="F2346" s="1248"/>
      <c r="G2346" s="1271"/>
      <c r="H2346" s="1250"/>
      <c r="I2346" s="1251"/>
      <c r="J2346" s="1271"/>
      <c r="K2346" s="1271"/>
      <c r="L2346" s="1254"/>
      <c r="M2346" s="1244"/>
      <c r="N2346" s="1275"/>
      <c r="O2346" s="1275"/>
      <c r="P2346" s="1244"/>
      <c r="Q2346" s="1244"/>
      <c r="R2346" s="1244"/>
      <c r="S2346" s="1265"/>
      <c r="T2346" s="1244"/>
      <c r="U2346" s="1244"/>
    </row>
    <row r="2347">
      <c r="A2347" s="1235"/>
      <c r="B2347" s="1235"/>
      <c r="C2347" s="1246"/>
      <c r="D2347" s="1274"/>
      <c r="E2347" s="1248"/>
      <c r="F2347" s="1248"/>
      <c r="G2347" s="1271"/>
      <c r="H2347" s="1250"/>
      <c r="I2347" s="1251"/>
      <c r="J2347" s="1271"/>
      <c r="K2347" s="1271"/>
      <c r="L2347" s="1254"/>
      <c r="M2347" s="1244"/>
      <c r="N2347" s="1275"/>
      <c r="O2347" s="1275"/>
      <c r="P2347" s="1244"/>
      <c r="Q2347" s="1244"/>
      <c r="R2347" s="1244"/>
      <c r="S2347" s="1265"/>
      <c r="T2347" s="1244"/>
      <c r="U2347" s="1244"/>
    </row>
    <row r="2348">
      <c r="A2348" s="1235"/>
      <c r="B2348" s="1235"/>
      <c r="C2348" s="1246"/>
      <c r="D2348" s="1274"/>
      <c r="E2348" s="1248"/>
      <c r="F2348" s="1248"/>
      <c r="G2348" s="1271"/>
      <c r="H2348" s="1250"/>
      <c r="I2348" s="1251"/>
      <c r="J2348" s="1271"/>
      <c r="K2348" s="1271"/>
      <c r="L2348" s="1254"/>
      <c r="M2348" s="1244"/>
      <c r="N2348" s="1275"/>
      <c r="O2348" s="1275"/>
      <c r="P2348" s="1244"/>
      <c r="Q2348" s="1244"/>
      <c r="R2348" s="1244"/>
      <c r="S2348" s="1265"/>
      <c r="T2348" s="1244"/>
      <c r="U2348" s="1244"/>
    </row>
    <row r="2349">
      <c r="A2349" s="1235"/>
      <c r="B2349" s="1235"/>
      <c r="C2349" s="1246"/>
      <c r="D2349" s="1274"/>
      <c r="E2349" s="1248"/>
      <c r="F2349" s="1248"/>
      <c r="G2349" s="1271"/>
      <c r="H2349" s="1250"/>
      <c r="I2349" s="1251"/>
      <c r="J2349" s="1271"/>
      <c r="K2349" s="1271"/>
      <c r="L2349" s="1254"/>
      <c r="M2349" s="1244"/>
      <c r="N2349" s="1275"/>
      <c r="O2349" s="1275"/>
      <c r="P2349" s="1244"/>
      <c r="Q2349" s="1244"/>
      <c r="R2349" s="1244"/>
      <c r="S2349" s="1265"/>
      <c r="T2349" s="1244"/>
      <c r="U2349" s="1244"/>
    </row>
    <row r="2350">
      <c r="A2350" s="1235"/>
      <c r="B2350" s="1235"/>
      <c r="C2350" s="1246"/>
      <c r="D2350" s="1274"/>
      <c r="E2350" s="1248"/>
      <c r="F2350" s="1248"/>
      <c r="G2350" s="1271"/>
      <c r="H2350" s="1250"/>
      <c r="I2350" s="1251"/>
      <c r="J2350" s="1271"/>
      <c r="K2350" s="1271"/>
      <c r="L2350" s="1254"/>
      <c r="M2350" s="1244"/>
      <c r="N2350" s="1275"/>
      <c r="O2350" s="1275"/>
      <c r="P2350" s="1244"/>
      <c r="Q2350" s="1244"/>
      <c r="R2350" s="1244"/>
      <c r="S2350" s="1265"/>
      <c r="T2350" s="1244"/>
      <c r="U2350" s="1244"/>
    </row>
    <row r="2351">
      <c r="A2351" s="1235"/>
      <c r="B2351" s="1235"/>
      <c r="C2351" s="1246"/>
      <c r="D2351" s="1274"/>
      <c r="E2351" s="1248"/>
      <c r="F2351" s="1248"/>
      <c r="G2351" s="1271"/>
      <c r="H2351" s="1250"/>
      <c r="I2351" s="1251"/>
      <c r="J2351" s="1271"/>
      <c r="K2351" s="1271"/>
      <c r="L2351" s="1254"/>
      <c r="M2351" s="1244"/>
      <c r="N2351" s="1275"/>
      <c r="O2351" s="1275"/>
      <c r="P2351" s="1244"/>
      <c r="Q2351" s="1244"/>
      <c r="R2351" s="1244"/>
      <c r="S2351" s="1265"/>
      <c r="T2351" s="1244"/>
      <c r="U2351" s="1244"/>
    </row>
    <row r="2352">
      <c r="A2352" s="1235"/>
      <c r="B2352" s="1235"/>
      <c r="C2352" s="1246"/>
      <c r="D2352" s="1274"/>
      <c r="E2352" s="1248"/>
      <c r="F2352" s="1248"/>
      <c r="G2352" s="1271"/>
      <c r="H2352" s="1250"/>
      <c r="I2352" s="1251"/>
      <c r="J2352" s="1271"/>
      <c r="K2352" s="1271"/>
      <c r="L2352" s="1254"/>
      <c r="M2352" s="1244"/>
      <c r="N2352" s="1275"/>
      <c r="O2352" s="1275"/>
      <c r="P2352" s="1244"/>
      <c r="Q2352" s="1244"/>
      <c r="R2352" s="1244"/>
      <c r="S2352" s="1265"/>
      <c r="T2352" s="1244"/>
      <c r="U2352" s="1244"/>
    </row>
    <row r="2353">
      <c r="A2353" s="1235"/>
      <c r="B2353" s="1235"/>
      <c r="C2353" s="1246"/>
      <c r="D2353" s="1274"/>
      <c r="E2353" s="1248"/>
      <c r="F2353" s="1248"/>
      <c r="G2353" s="1271"/>
      <c r="H2353" s="1250"/>
      <c r="I2353" s="1251"/>
      <c r="J2353" s="1271"/>
      <c r="K2353" s="1271"/>
      <c r="L2353" s="1254"/>
      <c r="M2353" s="1244"/>
      <c r="N2353" s="1275"/>
      <c r="O2353" s="1275"/>
      <c r="P2353" s="1244"/>
      <c r="Q2353" s="1244"/>
      <c r="R2353" s="1244"/>
      <c r="S2353" s="1265"/>
      <c r="T2353" s="1244"/>
      <c r="U2353" s="1244"/>
    </row>
    <row r="2354">
      <c r="A2354" s="1235"/>
      <c r="B2354" s="1235"/>
      <c r="C2354" s="1246"/>
      <c r="D2354" s="1274"/>
      <c r="E2354" s="1248"/>
      <c r="F2354" s="1248"/>
      <c r="G2354" s="1271"/>
      <c r="H2354" s="1250"/>
      <c r="I2354" s="1251"/>
      <c r="J2354" s="1271"/>
      <c r="K2354" s="1271"/>
      <c r="L2354" s="1254"/>
      <c r="M2354" s="1244"/>
      <c r="N2354" s="1275"/>
      <c r="O2354" s="1275"/>
      <c r="P2354" s="1244"/>
      <c r="Q2354" s="1244"/>
      <c r="R2354" s="1244"/>
      <c r="S2354" s="1265"/>
      <c r="T2354" s="1244"/>
      <c r="U2354" s="1244"/>
    </row>
    <row r="2355">
      <c r="A2355" s="1235"/>
      <c r="B2355" s="1235"/>
      <c r="C2355" s="1246"/>
      <c r="D2355" s="1274"/>
      <c r="E2355" s="1248"/>
      <c r="F2355" s="1248"/>
      <c r="G2355" s="1271"/>
      <c r="H2355" s="1250"/>
      <c r="I2355" s="1251"/>
      <c r="J2355" s="1271"/>
      <c r="K2355" s="1271"/>
      <c r="L2355" s="1254"/>
      <c r="M2355" s="1244"/>
      <c r="N2355" s="1275"/>
      <c r="O2355" s="1275"/>
      <c r="P2355" s="1244"/>
      <c r="Q2355" s="1244"/>
      <c r="R2355" s="1244"/>
      <c r="S2355" s="1265"/>
      <c r="T2355" s="1244"/>
      <c r="U2355" s="1244"/>
    </row>
    <row r="2356">
      <c r="A2356" s="1235"/>
      <c r="B2356" s="1235"/>
      <c r="C2356" s="1246"/>
      <c r="D2356" s="1274"/>
      <c r="E2356" s="1248"/>
      <c r="F2356" s="1248"/>
      <c r="G2356" s="1271"/>
      <c r="H2356" s="1250"/>
      <c r="I2356" s="1251"/>
      <c r="J2356" s="1271"/>
      <c r="K2356" s="1271"/>
      <c r="L2356" s="1254"/>
      <c r="M2356" s="1244"/>
      <c r="N2356" s="1275"/>
      <c r="O2356" s="1275"/>
      <c r="P2356" s="1244"/>
      <c r="Q2356" s="1244"/>
      <c r="R2356" s="1244"/>
      <c r="S2356" s="1265"/>
      <c r="T2356" s="1244"/>
      <c r="U2356" s="1244"/>
    </row>
    <row r="2357">
      <c r="A2357" s="1235"/>
      <c r="B2357" s="1235"/>
      <c r="C2357" s="1246"/>
      <c r="D2357" s="1274"/>
      <c r="E2357" s="1248"/>
      <c r="F2357" s="1248"/>
      <c r="G2357" s="1271"/>
      <c r="H2357" s="1250"/>
      <c r="I2357" s="1251"/>
      <c r="J2357" s="1271"/>
      <c r="K2357" s="1271"/>
      <c r="L2357" s="1254"/>
      <c r="M2357" s="1244"/>
      <c r="N2357" s="1275"/>
      <c r="O2357" s="1275"/>
      <c r="P2357" s="1244"/>
      <c r="Q2357" s="1244"/>
      <c r="R2357" s="1244"/>
      <c r="S2357" s="1265"/>
      <c r="T2357" s="1244"/>
      <c r="U2357" s="1244"/>
    </row>
    <row r="2358">
      <c r="A2358" s="1235"/>
      <c r="B2358" s="1235"/>
      <c r="C2358" s="1246"/>
      <c r="D2358" s="1274"/>
      <c r="E2358" s="1248"/>
      <c r="F2358" s="1248"/>
      <c r="G2358" s="1271"/>
      <c r="H2358" s="1250"/>
      <c r="I2358" s="1251"/>
      <c r="J2358" s="1271"/>
      <c r="K2358" s="1271"/>
      <c r="L2358" s="1254"/>
      <c r="M2358" s="1244"/>
      <c r="N2358" s="1275"/>
      <c r="O2358" s="1275"/>
      <c r="P2358" s="1244"/>
      <c r="Q2358" s="1244"/>
      <c r="R2358" s="1244"/>
      <c r="S2358" s="1265"/>
      <c r="T2358" s="1244"/>
      <c r="U2358" s="1244"/>
    </row>
    <row r="2359">
      <c r="A2359" s="1235"/>
      <c r="B2359" s="1235"/>
      <c r="C2359" s="1246"/>
      <c r="D2359" s="1274"/>
      <c r="E2359" s="1248"/>
      <c r="F2359" s="1248"/>
      <c r="G2359" s="1271"/>
      <c r="H2359" s="1250"/>
      <c r="I2359" s="1251"/>
      <c r="J2359" s="1271"/>
      <c r="K2359" s="1271"/>
      <c r="L2359" s="1254"/>
      <c r="M2359" s="1244"/>
      <c r="N2359" s="1275"/>
      <c r="O2359" s="1275"/>
      <c r="P2359" s="1244"/>
      <c r="Q2359" s="1244"/>
      <c r="R2359" s="1244"/>
      <c r="S2359" s="1265"/>
      <c r="T2359" s="1244"/>
      <c r="U2359" s="1244"/>
    </row>
    <row r="2360">
      <c r="A2360" s="1235"/>
      <c r="B2360" s="1235"/>
      <c r="C2360" s="1246"/>
      <c r="D2360" s="1274"/>
      <c r="E2360" s="1248"/>
      <c r="F2360" s="1248"/>
      <c r="G2360" s="1271"/>
      <c r="H2360" s="1250"/>
      <c r="I2360" s="1251"/>
      <c r="J2360" s="1271"/>
      <c r="K2360" s="1271"/>
      <c r="L2360" s="1254"/>
      <c r="M2360" s="1244"/>
      <c r="N2360" s="1275"/>
      <c r="O2360" s="1275"/>
      <c r="P2360" s="1244"/>
      <c r="Q2360" s="1244"/>
      <c r="R2360" s="1244"/>
      <c r="S2360" s="1265"/>
      <c r="T2360" s="1244"/>
      <c r="U2360" s="1244"/>
    </row>
    <row r="2361">
      <c r="A2361" s="1235"/>
      <c r="B2361" s="1235"/>
      <c r="C2361" s="1246"/>
      <c r="D2361" s="1274"/>
      <c r="E2361" s="1248"/>
      <c r="F2361" s="1248"/>
      <c r="G2361" s="1271"/>
      <c r="H2361" s="1250"/>
      <c r="I2361" s="1251"/>
      <c r="J2361" s="1271"/>
      <c r="K2361" s="1271"/>
      <c r="L2361" s="1254"/>
      <c r="M2361" s="1244"/>
      <c r="N2361" s="1275"/>
      <c r="O2361" s="1275"/>
      <c r="P2361" s="1244"/>
      <c r="Q2361" s="1244"/>
      <c r="R2361" s="1244"/>
      <c r="S2361" s="1265"/>
      <c r="T2361" s="1244"/>
      <c r="U2361" s="1244"/>
    </row>
    <row r="2362">
      <c r="A2362" s="1235"/>
      <c r="B2362" s="1235"/>
      <c r="C2362" s="1246"/>
      <c r="D2362" s="1274"/>
      <c r="E2362" s="1248"/>
      <c r="F2362" s="1248"/>
      <c r="G2362" s="1271"/>
      <c r="H2362" s="1250"/>
      <c r="I2362" s="1251"/>
      <c r="J2362" s="1271"/>
      <c r="K2362" s="1271"/>
      <c r="L2362" s="1254"/>
      <c r="M2362" s="1244"/>
      <c r="N2362" s="1275"/>
      <c r="O2362" s="1275"/>
      <c r="P2362" s="1244"/>
      <c r="Q2362" s="1244"/>
      <c r="R2362" s="1244"/>
      <c r="S2362" s="1265"/>
      <c r="T2362" s="1244"/>
      <c r="U2362" s="1244"/>
    </row>
    <row r="2363">
      <c r="A2363" s="1235"/>
      <c r="B2363" s="1235"/>
      <c r="C2363" s="1246"/>
      <c r="D2363" s="1274"/>
      <c r="E2363" s="1248"/>
      <c r="F2363" s="1248"/>
      <c r="G2363" s="1271"/>
      <c r="H2363" s="1250"/>
      <c r="I2363" s="1251"/>
      <c r="J2363" s="1271"/>
      <c r="K2363" s="1271"/>
      <c r="L2363" s="1254"/>
      <c r="M2363" s="1244"/>
      <c r="N2363" s="1275"/>
      <c r="O2363" s="1275"/>
      <c r="P2363" s="1244"/>
      <c r="Q2363" s="1244"/>
      <c r="R2363" s="1244"/>
      <c r="S2363" s="1265"/>
      <c r="T2363" s="1244"/>
      <c r="U2363" s="1244"/>
    </row>
    <row r="2364">
      <c r="A2364" s="1235"/>
      <c r="B2364" s="1235"/>
      <c r="C2364" s="1246"/>
      <c r="D2364" s="1274"/>
      <c r="E2364" s="1248"/>
      <c r="F2364" s="1248"/>
      <c r="G2364" s="1271"/>
      <c r="H2364" s="1250"/>
      <c r="I2364" s="1251"/>
      <c r="J2364" s="1271"/>
      <c r="K2364" s="1271"/>
      <c r="L2364" s="1254"/>
      <c r="M2364" s="1244"/>
      <c r="N2364" s="1275"/>
      <c r="O2364" s="1275"/>
      <c r="P2364" s="1244"/>
      <c r="Q2364" s="1244"/>
      <c r="R2364" s="1244"/>
      <c r="S2364" s="1265"/>
      <c r="T2364" s="1244"/>
      <c r="U2364" s="1244"/>
    </row>
    <row r="2365">
      <c r="A2365" s="1235"/>
      <c r="B2365" s="1235"/>
      <c r="C2365" s="1246"/>
      <c r="D2365" s="1274"/>
      <c r="E2365" s="1248"/>
      <c r="F2365" s="1248"/>
      <c r="G2365" s="1271"/>
      <c r="H2365" s="1250"/>
      <c r="I2365" s="1251"/>
      <c r="J2365" s="1271"/>
      <c r="K2365" s="1271"/>
      <c r="L2365" s="1254"/>
      <c r="M2365" s="1244"/>
      <c r="N2365" s="1275"/>
      <c r="O2365" s="1275"/>
      <c r="P2365" s="1244"/>
      <c r="Q2365" s="1244"/>
      <c r="R2365" s="1244"/>
      <c r="S2365" s="1265"/>
      <c r="T2365" s="1244"/>
      <c r="U2365" s="1244"/>
    </row>
    <row r="2366">
      <c r="A2366" s="1235"/>
      <c r="B2366" s="1235"/>
      <c r="C2366" s="1246"/>
      <c r="D2366" s="1274"/>
      <c r="E2366" s="1248"/>
      <c r="F2366" s="1248"/>
      <c r="G2366" s="1271"/>
      <c r="H2366" s="1250"/>
      <c r="I2366" s="1251"/>
      <c r="J2366" s="1271"/>
      <c r="K2366" s="1271"/>
      <c r="L2366" s="1254"/>
      <c r="M2366" s="1244"/>
      <c r="N2366" s="1275"/>
      <c r="O2366" s="1275"/>
      <c r="P2366" s="1244"/>
      <c r="Q2366" s="1244"/>
      <c r="R2366" s="1244"/>
      <c r="S2366" s="1265"/>
      <c r="T2366" s="1244"/>
      <c r="U2366" s="1244"/>
    </row>
    <row r="2367">
      <c r="A2367" s="1235"/>
      <c r="B2367" s="1235"/>
      <c r="C2367" s="1246"/>
      <c r="D2367" s="1274"/>
      <c r="E2367" s="1248"/>
      <c r="F2367" s="1248"/>
      <c r="G2367" s="1271"/>
      <c r="H2367" s="1250"/>
      <c r="I2367" s="1251"/>
      <c r="J2367" s="1271"/>
      <c r="K2367" s="1271"/>
      <c r="L2367" s="1254"/>
      <c r="M2367" s="1244"/>
      <c r="N2367" s="1275"/>
      <c r="O2367" s="1275"/>
      <c r="P2367" s="1244"/>
      <c r="Q2367" s="1244"/>
      <c r="R2367" s="1244"/>
      <c r="S2367" s="1265"/>
      <c r="T2367" s="1244"/>
      <c r="U2367" s="1244"/>
    </row>
    <row r="2368">
      <c r="A2368" s="1235"/>
      <c r="B2368" s="1235"/>
      <c r="C2368" s="1246"/>
      <c r="D2368" s="1274"/>
      <c r="E2368" s="1248"/>
      <c r="F2368" s="1248"/>
      <c r="G2368" s="1271"/>
      <c r="H2368" s="1250"/>
      <c r="I2368" s="1251"/>
      <c r="J2368" s="1271"/>
      <c r="K2368" s="1271"/>
      <c r="L2368" s="1254"/>
      <c r="M2368" s="1244"/>
      <c r="N2368" s="1275"/>
      <c r="O2368" s="1275"/>
      <c r="P2368" s="1244"/>
      <c r="Q2368" s="1244"/>
      <c r="R2368" s="1244"/>
      <c r="S2368" s="1265"/>
      <c r="T2368" s="1244"/>
      <c r="U2368" s="1244"/>
    </row>
    <row r="2369">
      <c r="A2369" s="1235"/>
      <c r="B2369" s="1235"/>
      <c r="C2369" s="1246"/>
      <c r="D2369" s="1274"/>
      <c r="E2369" s="1248"/>
      <c r="F2369" s="1248"/>
      <c r="G2369" s="1271"/>
      <c r="H2369" s="1250"/>
      <c r="I2369" s="1251"/>
      <c r="J2369" s="1271"/>
      <c r="K2369" s="1271"/>
      <c r="L2369" s="1254"/>
      <c r="M2369" s="1244"/>
      <c r="N2369" s="1275"/>
      <c r="O2369" s="1275"/>
      <c r="P2369" s="1244"/>
      <c r="Q2369" s="1244"/>
      <c r="R2369" s="1244"/>
      <c r="S2369" s="1265"/>
      <c r="T2369" s="1244"/>
      <c r="U2369" s="1244"/>
    </row>
    <row r="2370">
      <c r="A2370" s="1235"/>
      <c r="B2370" s="1235"/>
      <c r="C2370" s="1246"/>
      <c r="D2370" s="1274"/>
      <c r="E2370" s="1248"/>
      <c r="F2370" s="1248"/>
      <c r="G2370" s="1271"/>
      <c r="H2370" s="1250"/>
      <c r="I2370" s="1251"/>
      <c r="J2370" s="1271"/>
      <c r="K2370" s="1271"/>
      <c r="L2370" s="1254"/>
      <c r="M2370" s="1244"/>
      <c r="N2370" s="1275"/>
      <c r="O2370" s="1275"/>
      <c r="P2370" s="1244"/>
      <c r="Q2370" s="1244"/>
      <c r="R2370" s="1244"/>
      <c r="S2370" s="1265"/>
      <c r="T2370" s="1244"/>
      <c r="U2370" s="1244"/>
    </row>
    <row r="2371">
      <c r="A2371" s="1235"/>
      <c r="B2371" s="1235"/>
      <c r="C2371" s="1246"/>
      <c r="D2371" s="1274"/>
      <c r="E2371" s="1248"/>
      <c r="F2371" s="1248"/>
      <c r="G2371" s="1271"/>
      <c r="H2371" s="1250"/>
      <c r="I2371" s="1251"/>
      <c r="J2371" s="1271"/>
      <c r="K2371" s="1271"/>
      <c r="L2371" s="1254"/>
      <c r="M2371" s="1244"/>
      <c r="N2371" s="1275"/>
      <c r="O2371" s="1275"/>
      <c r="P2371" s="1244"/>
      <c r="Q2371" s="1244"/>
      <c r="R2371" s="1244"/>
      <c r="S2371" s="1265"/>
      <c r="T2371" s="1244"/>
      <c r="U2371" s="1244"/>
    </row>
    <row r="2372">
      <c r="A2372" s="1235"/>
      <c r="B2372" s="1235"/>
      <c r="C2372" s="1246"/>
      <c r="D2372" s="1274"/>
      <c r="E2372" s="1248"/>
      <c r="F2372" s="1248"/>
      <c r="G2372" s="1271"/>
      <c r="H2372" s="1250"/>
      <c r="I2372" s="1251"/>
      <c r="J2372" s="1271"/>
      <c r="K2372" s="1271"/>
      <c r="L2372" s="1254"/>
      <c r="M2372" s="1244"/>
      <c r="N2372" s="1275"/>
      <c r="O2372" s="1275"/>
      <c r="P2372" s="1244"/>
      <c r="Q2372" s="1244"/>
      <c r="R2372" s="1244"/>
      <c r="S2372" s="1265"/>
      <c r="T2372" s="1244"/>
      <c r="U2372" s="1244"/>
    </row>
    <row r="2373">
      <c r="A2373" s="1235"/>
      <c r="B2373" s="1235"/>
      <c r="C2373" s="1246"/>
      <c r="D2373" s="1274"/>
      <c r="E2373" s="1248"/>
      <c r="F2373" s="1248"/>
      <c r="G2373" s="1271"/>
      <c r="H2373" s="1250"/>
      <c r="I2373" s="1251"/>
      <c r="J2373" s="1271"/>
      <c r="K2373" s="1271"/>
      <c r="L2373" s="1254"/>
      <c r="M2373" s="1244"/>
      <c r="N2373" s="1275"/>
      <c r="O2373" s="1275"/>
      <c r="P2373" s="1244"/>
      <c r="Q2373" s="1244"/>
      <c r="R2373" s="1244"/>
      <c r="S2373" s="1265"/>
      <c r="T2373" s="1244"/>
      <c r="U2373" s="1244"/>
    </row>
    <row r="2374">
      <c r="A2374" s="1235"/>
      <c r="B2374" s="1235"/>
      <c r="C2374" s="1246"/>
      <c r="D2374" s="1274"/>
      <c r="E2374" s="1248"/>
      <c r="F2374" s="1248"/>
      <c r="G2374" s="1271"/>
      <c r="H2374" s="1250"/>
      <c r="I2374" s="1251"/>
      <c r="J2374" s="1271"/>
      <c r="K2374" s="1271"/>
      <c r="L2374" s="1254"/>
      <c r="M2374" s="1244"/>
      <c r="N2374" s="1275"/>
      <c r="O2374" s="1275"/>
      <c r="P2374" s="1244"/>
      <c r="Q2374" s="1244"/>
      <c r="R2374" s="1244"/>
      <c r="S2374" s="1265"/>
      <c r="T2374" s="1244"/>
      <c r="U2374" s="1244"/>
    </row>
    <row r="2375">
      <c r="A2375" s="1235"/>
      <c r="B2375" s="1235"/>
      <c r="C2375" s="1246"/>
      <c r="D2375" s="1274"/>
      <c r="E2375" s="1248"/>
      <c r="F2375" s="1248"/>
      <c r="G2375" s="1271"/>
      <c r="H2375" s="1250"/>
      <c r="I2375" s="1251"/>
      <c r="J2375" s="1271"/>
      <c r="K2375" s="1271"/>
      <c r="L2375" s="1254"/>
      <c r="M2375" s="1244"/>
      <c r="N2375" s="1275"/>
      <c r="O2375" s="1275"/>
      <c r="P2375" s="1244"/>
      <c r="Q2375" s="1244"/>
      <c r="R2375" s="1244"/>
      <c r="S2375" s="1265"/>
      <c r="T2375" s="1244"/>
      <c r="U2375" s="1244"/>
    </row>
    <row r="2376">
      <c r="A2376" s="1235"/>
      <c r="B2376" s="1235"/>
      <c r="C2376" s="1246"/>
      <c r="D2376" s="1274"/>
      <c r="E2376" s="1248"/>
      <c r="F2376" s="1248"/>
      <c r="G2376" s="1271"/>
      <c r="H2376" s="1250"/>
      <c r="I2376" s="1251"/>
      <c r="J2376" s="1271"/>
      <c r="K2376" s="1271"/>
      <c r="L2376" s="1254"/>
      <c r="M2376" s="1244"/>
      <c r="N2376" s="1275"/>
      <c r="O2376" s="1275"/>
      <c r="P2376" s="1244"/>
      <c r="Q2376" s="1244"/>
      <c r="R2376" s="1244"/>
      <c r="S2376" s="1265"/>
      <c r="T2376" s="1244"/>
      <c r="U2376" s="1244"/>
    </row>
    <row r="2377">
      <c r="A2377" s="1235"/>
      <c r="B2377" s="1235"/>
      <c r="C2377" s="1246"/>
      <c r="D2377" s="1274"/>
      <c r="E2377" s="1248"/>
      <c r="F2377" s="1248"/>
      <c r="G2377" s="1271"/>
      <c r="H2377" s="1250"/>
      <c r="I2377" s="1251"/>
      <c r="J2377" s="1271"/>
      <c r="K2377" s="1271"/>
      <c r="L2377" s="1254"/>
      <c r="M2377" s="1244"/>
      <c r="N2377" s="1275"/>
      <c r="O2377" s="1275"/>
      <c r="P2377" s="1244"/>
      <c r="Q2377" s="1244"/>
      <c r="R2377" s="1244"/>
      <c r="S2377" s="1265"/>
      <c r="T2377" s="1244"/>
      <c r="U2377" s="1244"/>
    </row>
    <row r="2378">
      <c r="A2378" s="1235"/>
      <c r="B2378" s="1235"/>
      <c r="C2378" s="1246"/>
      <c r="D2378" s="1274"/>
      <c r="E2378" s="1248"/>
      <c r="F2378" s="1248"/>
      <c r="G2378" s="1271"/>
      <c r="H2378" s="1250"/>
      <c r="I2378" s="1251"/>
      <c r="J2378" s="1271"/>
      <c r="K2378" s="1271"/>
      <c r="L2378" s="1254"/>
      <c r="M2378" s="1244"/>
      <c r="N2378" s="1275"/>
      <c r="O2378" s="1275"/>
      <c r="P2378" s="1244"/>
      <c r="Q2378" s="1244"/>
      <c r="R2378" s="1244"/>
      <c r="S2378" s="1265"/>
      <c r="T2378" s="1244"/>
      <c r="U2378" s="1244"/>
    </row>
    <row r="2379">
      <c r="A2379" s="1235"/>
      <c r="B2379" s="1235"/>
      <c r="C2379" s="1246"/>
      <c r="D2379" s="1274"/>
      <c r="E2379" s="1248"/>
      <c r="F2379" s="1248"/>
      <c r="G2379" s="1271"/>
      <c r="H2379" s="1250"/>
      <c r="I2379" s="1251"/>
      <c r="J2379" s="1271"/>
      <c r="K2379" s="1271"/>
      <c r="L2379" s="1254"/>
      <c r="M2379" s="1244"/>
      <c r="N2379" s="1275"/>
      <c r="O2379" s="1275"/>
      <c r="P2379" s="1244"/>
      <c r="Q2379" s="1244"/>
      <c r="R2379" s="1244"/>
      <c r="S2379" s="1265"/>
      <c r="T2379" s="1244"/>
      <c r="U2379" s="1244"/>
    </row>
    <row r="2380">
      <c r="A2380" s="1235"/>
      <c r="B2380" s="1235"/>
      <c r="C2380" s="1246"/>
      <c r="D2380" s="1274"/>
      <c r="E2380" s="1248"/>
      <c r="F2380" s="1248"/>
      <c r="G2380" s="1271"/>
      <c r="H2380" s="1250"/>
      <c r="I2380" s="1251"/>
      <c r="J2380" s="1271"/>
      <c r="K2380" s="1271"/>
      <c r="L2380" s="1254"/>
      <c r="M2380" s="1244"/>
      <c r="N2380" s="1275"/>
      <c r="O2380" s="1275"/>
      <c r="P2380" s="1244"/>
      <c r="Q2380" s="1244"/>
      <c r="R2380" s="1244"/>
      <c r="S2380" s="1265"/>
      <c r="T2380" s="1244"/>
      <c r="U2380" s="1244"/>
    </row>
    <row r="2381">
      <c r="A2381" s="1235"/>
      <c r="B2381" s="1235"/>
      <c r="C2381" s="1246"/>
      <c r="D2381" s="1274"/>
      <c r="E2381" s="1248"/>
      <c r="F2381" s="1248"/>
      <c r="G2381" s="1271"/>
      <c r="H2381" s="1250"/>
      <c r="I2381" s="1251"/>
      <c r="J2381" s="1271"/>
      <c r="K2381" s="1271"/>
      <c r="L2381" s="1254"/>
      <c r="M2381" s="1244"/>
      <c r="N2381" s="1275"/>
      <c r="O2381" s="1275"/>
      <c r="P2381" s="1244"/>
      <c r="Q2381" s="1244"/>
      <c r="R2381" s="1244"/>
      <c r="S2381" s="1265"/>
      <c r="T2381" s="1244"/>
      <c r="U2381" s="1244"/>
    </row>
    <row r="2382">
      <c r="A2382" s="1235"/>
      <c r="B2382" s="1235"/>
      <c r="C2382" s="1246"/>
      <c r="D2382" s="1274"/>
      <c r="E2382" s="1248"/>
      <c r="F2382" s="1248"/>
      <c r="G2382" s="1271"/>
      <c r="H2382" s="1250"/>
      <c r="I2382" s="1251"/>
      <c r="J2382" s="1271"/>
      <c r="K2382" s="1271"/>
      <c r="L2382" s="1254"/>
      <c r="M2382" s="1244"/>
      <c r="N2382" s="1275"/>
      <c r="O2382" s="1275"/>
      <c r="P2382" s="1244"/>
      <c r="Q2382" s="1244"/>
      <c r="R2382" s="1244"/>
      <c r="S2382" s="1265"/>
      <c r="T2382" s="1244"/>
      <c r="U2382" s="1244"/>
    </row>
    <row r="2383">
      <c r="A2383" s="1235"/>
      <c r="B2383" s="1235"/>
      <c r="C2383" s="1246"/>
      <c r="D2383" s="1274"/>
      <c r="E2383" s="1248"/>
      <c r="F2383" s="1248"/>
      <c r="G2383" s="1271"/>
      <c r="H2383" s="1250"/>
      <c r="I2383" s="1251"/>
      <c r="J2383" s="1271"/>
      <c r="K2383" s="1271"/>
      <c r="L2383" s="1254"/>
      <c r="M2383" s="1244"/>
      <c r="N2383" s="1275"/>
      <c r="O2383" s="1275"/>
      <c r="P2383" s="1244"/>
      <c r="Q2383" s="1244"/>
      <c r="R2383" s="1244"/>
      <c r="S2383" s="1265"/>
      <c r="T2383" s="1244"/>
      <c r="U2383" s="1244"/>
    </row>
    <row r="2384">
      <c r="A2384" s="1235"/>
      <c r="B2384" s="1235"/>
      <c r="C2384" s="1246"/>
      <c r="D2384" s="1274"/>
      <c r="E2384" s="1248"/>
      <c r="F2384" s="1248"/>
      <c r="G2384" s="1271"/>
      <c r="H2384" s="1250"/>
      <c r="I2384" s="1251"/>
      <c r="J2384" s="1271"/>
      <c r="K2384" s="1271"/>
      <c r="L2384" s="1254"/>
      <c r="M2384" s="1244"/>
      <c r="N2384" s="1275"/>
      <c r="O2384" s="1275"/>
      <c r="P2384" s="1244"/>
      <c r="Q2384" s="1244"/>
      <c r="R2384" s="1244"/>
      <c r="S2384" s="1265"/>
      <c r="T2384" s="1244"/>
      <c r="U2384" s="1244"/>
    </row>
    <row r="2385">
      <c r="A2385" s="1235"/>
      <c r="B2385" s="1235"/>
      <c r="C2385" s="1246"/>
      <c r="D2385" s="1274"/>
      <c r="E2385" s="1248"/>
      <c r="F2385" s="1248"/>
      <c r="G2385" s="1271"/>
      <c r="H2385" s="1250"/>
      <c r="I2385" s="1251"/>
      <c r="J2385" s="1271"/>
      <c r="K2385" s="1271"/>
      <c r="L2385" s="1254"/>
      <c r="M2385" s="1244"/>
      <c r="N2385" s="1275"/>
      <c r="O2385" s="1275"/>
      <c r="P2385" s="1244"/>
      <c r="Q2385" s="1244"/>
      <c r="R2385" s="1244"/>
      <c r="S2385" s="1265"/>
      <c r="T2385" s="1244"/>
      <c r="U2385" s="1244"/>
    </row>
    <row r="2386">
      <c r="A2386" s="1235"/>
      <c r="B2386" s="1235"/>
      <c r="C2386" s="1246"/>
      <c r="D2386" s="1274"/>
      <c r="E2386" s="1248"/>
      <c r="F2386" s="1248"/>
      <c r="G2386" s="1271"/>
      <c r="H2386" s="1250"/>
      <c r="I2386" s="1251"/>
      <c r="J2386" s="1271"/>
      <c r="K2386" s="1271"/>
      <c r="L2386" s="1254"/>
      <c r="M2386" s="1244"/>
      <c r="N2386" s="1275"/>
      <c r="O2386" s="1275"/>
      <c r="P2386" s="1244"/>
      <c r="Q2386" s="1244"/>
      <c r="R2386" s="1244"/>
      <c r="S2386" s="1265"/>
      <c r="T2386" s="1244"/>
      <c r="U2386" s="1244"/>
    </row>
    <row r="2387">
      <c r="A2387" s="1235"/>
      <c r="B2387" s="1235"/>
      <c r="C2387" s="1246"/>
      <c r="D2387" s="1274"/>
      <c r="E2387" s="1248"/>
      <c r="F2387" s="1248"/>
      <c r="G2387" s="1271"/>
      <c r="H2387" s="1250"/>
      <c r="I2387" s="1251"/>
      <c r="J2387" s="1271"/>
      <c r="K2387" s="1271"/>
      <c r="L2387" s="1254"/>
      <c r="M2387" s="1244"/>
      <c r="N2387" s="1275"/>
      <c r="O2387" s="1275"/>
      <c r="P2387" s="1244"/>
      <c r="Q2387" s="1244"/>
      <c r="R2387" s="1244"/>
      <c r="S2387" s="1265"/>
      <c r="T2387" s="1244"/>
      <c r="U2387" s="1244"/>
    </row>
    <row r="2388">
      <c r="A2388" s="1235"/>
      <c r="B2388" s="1235"/>
      <c r="C2388" s="1246"/>
      <c r="D2388" s="1274"/>
      <c r="E2388" s="1248"/>
      <c r="F2388" s="1248"/>
      <c r="G2388" s="1271"/>
      <c r="H2388" s="1250"/>
      <c r="I2388" s="1251"/>
      <c r="J2388" s="1271"/>
      <c r="K2388" s="1271"/>
      <c r="L2388" s="1254"/>
      <c r="M2388" s="1244"/>
      <c r="N2388" s="1275"/>
      <c r="O2388" s="1275"/>
      <c r="P2388" s="1244"/>
      <c r="Q2388" s="1244"/>
      <c r="R2388" s="1244"/>
      <c r="S2388" s="1265"/>
      <c r="T2388" s="1244"/>
      <c r="U2388" s="1244"/>
    </row>
    <row r="2389">
      <c r="A2389" s="1235"/>
      <c r="B2389" s="1235"/>
      <c r="C2389" s="1246"/>
      <c r="D2389" s="1274"/>
      <c r="E2389" s="1248"/>
      <c r="F2389" s="1248"/>
      <c r="G2389" s="1271"/>
      <c r="H2389" s="1250"/>
      <c r="I2389" s="1251"/>
      <c r="J2389" s="1271"/>
      <c r="K2389" s="1271"/>
      <c r="L2389" s="1254"/>
      <c r="M2389" s="1244"/>
      <c r="N2389" s="1275"/>
      <c r="O2389" s="1275"/>
      <c r="P2389" s="1244"/>
      <c r="Q2389" s="1244"/>
      <c r="R2389" s="1244"/>
      <c r="S2389" s="1265"/>
      <c r="T2389" s="1244"/>
      <c r="U2389" s="1244"/>
    </row>
    <row r="2390">
      <c r="A2390" s="1235"/>
      <c r="B2390" s="1235"/>
      <c r="C2390" s="1246"/>
      <c r="D2390" s="1274"/>
      <c r="E2390" s="1248"/>
      <c r="F2390" s="1248"/>
      <c r="G2390" s="1271"/>
      <c r="H2390" s="1250"/>
      <c r="I2390" s="1251"/>
      <c r="J2390" s="1271"/>
      <c r="K2390" s="1271"/>
      <c r="L2390" s="1254"/>
      <c r="M2390" s="1244"/>
      <c r="N2390" s="1275"/>
      <c r="O2390" s="1275"/>
      <c r="P2390" s="1244"/>
      <c r="Q2390" s="1244"/>
      <c r="R2390" s="1244"/>
      <c r="S2390" s="1265"/>
      <c r="T2390" s="1244"/>
      <c r="U2390" s="1244"/>
    </row>
    <row r="2391">
      <c r="A2391" s="1235"/>
      <c r="B2391" s="1235"/>
      <c r="C2391" s="1246"/>
      <c r="D2391" s="1274"/>
      <c r="E2391" s="1248"/>
      <c r="F2391" s="1248"/>
      <c r="G2391" s="1271"/>
      <c r="H2391" s="1250"/>
      <c r="I2391" s="1251"/>
      <c r="J2391" s="1271"/>
      <c r="K2391" s="1271"/>
      <c r="L2391" s="1254"/>
      <c r="M2391" s="1244"/>
      <c r="N2391" s="1275"/>
      <c r="O2391" s="1275"/>
      <c r="P2391" s="1244"/>
      <c r="Q2391" s="1244"/>
      <c r="R2391" s="1244"/>
      <c r="S2391" s="1265"/>
      <c r="T2391" s="1244"/>
      <c r="U2391" s="1244"/>
    </row>
    <row r="2392">
      <c r="A2392" s="1235"/>
      <c r="B2392" s="1235"/>
      <c r="C2392" s="1246"/>
      <c r="D2392" s="1274"/>
      <c r="E2392" s="1248"/>
      <c r="F2392" s="1248"/>
      <c r="G2392" s="1271"/>
      <c r="H2392" s="1250"/>
      <c r="I2392" s="1251"/>
      <c r="J2392" s="1271"/>
      <c r="K2392" s="1271"/>
      <c r="L2392" s="1254"/>
      <c r="M2392" s="1244"/>
      <c r="N2392" s="1275"/>
      <c r="O2392" s="1275"/>
      <c r="P2392" s="1244"/>
      <c r="Q2392" s="1244"/>
      <c r="R2392" s="1244"/>
      <c r="S2392" s="1265"/>
      <c r="T2392" s="1244"/>
      <c r="U2392" s="1244"/>
    </row>
    <row r="2393">
      <c r="A2393" s="1235"/>
      <c r="B2393" s="1235"/>
      <c r="C2393" s="1246"/>
      <c r="D2393" s="1274"/>
      <c r="E2393" s="1248"/>
      <c r="F2393" s="1248"/>
      <c r="G2393" s="1271"/>
      <c r="H2393" s="1250"/>
      <c r="I2393" s="1251"/>
      <c r="J2393" s="1271"/>
      <c r="K2393" s="1271"/>
      <c r="L2393" s="1254"/>
      <c r="M2393" s="1244"/>
      <c r="N2393" s="1275"/>
      <c r="O2393" s="1275"/>
      <c r="P2393" s="1244"/>
      <c r="Q2393" s="1244"/>
      <c r="R2393" s="1244"/>
      <c r="S2393" s="1265"/>
      <c r="T2393" s="1244"/>
      <c r="U2393" s="1244"/>
    </row>
    <row r="2394">
      <c r="A2394" s="1235"/>
      <c r="B2394" s="1235"/>
      <c r="C2394" s="1246"/>
      <c r="D2394" s="1274"/>
      <c r="E2394" s="1248"/>
      <c r="F2394" s="1248"/>
      <c r="G2394" s="1271"/>
      <c r="H2394" s="1250"/>
      <c r="I2394" s="1251"/>
      <c r="J2394" s="1271"/>
      <c r="K2394" s="1271"/>
      <c r="L2394" s="1254"/>
      <c r="M2394" s="1244"/>
      <c r="N2394" s="1275"/>
      <c r="O2394" s="1275"/>
      <c r="P2394" s="1244"/>
      <c r="Q2394" s="1244"/>
      <c r="R2394" s="1244"/>
      <c r="S2394" s="1265"/>
      <c r="T2394" s="1244"/>
      <c r="U2394" s="1244"/>
    </row>
    <row r="2395">
      <c r="A2395" s="1235"/>
      <c r="B2395" s="1235"/>
      <c r="C2395" s="1246"/>
      <c r="D2395" s="1274"/>
      <c r="E2395" s="1248"/>
      <c r="F2395" s="1248"/>
      <c r="G2395" s="1271"/>
      <c r="H2395" s="1250"/>
      <c r="I2395" s="1251"/>
      <c r="J2395" s="1271"/>
      <c r="K2395" s="1271"/>
      <c r="L2395" s="1254"/>
      <c r="M2395" s="1244"/>
      <c r="N2395" s="1275"/>
      <c r="O2395" s="1275"/>
      <c r="P2395" s="1244"/>
      <c r="Q2395" s="1244"/>
      <c r="R2395" s="1244"/>
      <c r="S2395" s="1265"/>
      <c r="T2395" s="1244"/>
      <c r="U2395" s="1244"/>
    </row>
    <row r="2396">
      <c r="A2396" s="1235"/>
      <c r="B2396" s="1235"/>
      <c r="C2396" s="1246"/>
      <c r="D2396" s="1274"/>
      <c r="E2396" s="1248"/>
      <c r="F2396" s="1248"/>
      <c r="G2396" s="1271"/>
      <c r="H2396" s="1250"/>
      <c r="I2396" s="1251"/>
      <c r="J2396" s="1271"/>
      <c r="K2396" s="1271"/>
      <c r="L2396" s="1254"/>
      <c r="M2396" s="1244"/>
      <c r="N2396" s="1275"/>
      <c r="O2396" s="1275"/>
      <c r="P2396" s="1244"/>
      <c r="Q2396" s="1244"/>
      <c r="R2396" s="1244"/>
      <c r="S2396" s="1265"/>
      <c r="T2396" s="1244"/>
      <c r="U2396" s="1244"/>
    </row>
    <row r="2397">
      <c r="A2397" s="1235"/>
      <c r="B2397" s="1235"/>
      <c r="C2397" s="1246"/>
      <c r="D2397" s="1274"/>
      <c r="E2397" s="1248"/>
      <c r="F2397" s="1248"/>
      <c r="G2397" s="1271"/>
      <c r="H2397" s="1250"/>
      <c r="I2397" s="1251"/>
      <c r="J2397" s="1271"/>
      <c r="K2397" s="1271"/>
      <c r="L2397" s="1254"/>
      <c r="M2397" s="1244"/>
      <c r="N2397" s="1275"/>
      <c r="O2397" s="1275"/>
      <c r="P2397" s="1244"/>
      <c r="Q2397" s="1244"/>
      <c r="R2397" s="1244"/>
      <c r="S2397" s="1265"/>
      <c r="T2397" s="1244"/>
      <c r="U2397" s="1244"/>
    </row>
    <row r="2398">
      <c r="A2398" s="1235"/>
      <c r="B2398" s="1235"/>
      <c r="C2398" s="1246"/>
      <c r="D2398" s="1274"/>
      <c r="E2398" s="1248"/>
      <c r="F2398" s="1248"/>
      <c r="G2398" s="1271"/>
      <c r="H2398" s="1250"/>
      <c r="I2398" s="1251"/>
      <c r="J2398" s="1271"/>
      <c r="K2398" s="1271"/>
      <c r="L2398" s="1254"/>
      <c r="M2398" s="1244"/>
      <c r="N2398" s="1275"/>
      <c r="O2398" s="1275"/>
      <c r="P2398" s="1244"/>
      <c r="Q2398" s="1244"/>
      <c r="R2398" s="1244"/>
      <c r="S2398" s="1265"/>
      <c r="T2398" s="1244"/>
      <c r="U2398" s="1244"/>
    </row>
    <row r="2399">
      <c r="A2399" s="1235"/>
      <c r="B2399" s="1235"/>
      <c r="C2399" s="1246"/>
      <c r="D2399" s="1274"/>
      <c r="E2399" s="1248"/>
      <c r="F2399" s="1248"/>
      <c r="G2399" s="1271"/>
      <c r="H2399" s="1250"/>
      <c r="I2399" s="1251"/>
      <c r="J2399" s="1271"/>
      <c r="K2399" s="1271"/>
      <c r="L2399" s="1254"/>
      <c r="M2399" s="1244"/>
      <c r="N2399" s="1275"/>
      <c r="O2399" s="1275"/>
      <c r="P2399" s="1244"/>
      <c r="Q2399" s="1244"/>
      <c r="R2399" s="1244"/>
      <c r="S2399" s="1265"/>
      <c r="T2399" s="1244"/>
      <c r="U2399" s="1244"/>
    </row>
    <row r="2400">
      <c r="A2400" s="1235"/>
      <c r="B2400" s="1235"/>
      <c r="C2400" s="1246"/>
      <c r="D2400" s="1274"/>
      <c r="E2400" s="1248"/>
      <c r="F2400" s="1248"/>
      <c r="G2400" s="1271"/>
      <c r="H2400" s="1250"/>
      <c r="I2400" s="1251"/>
      <c r="J2400" s="1271"/>
      <c r="K2400" s="1271"/>
      <c r="L2400" s="1254"/>
      <c r="M2400" s="1244"/>
      <c r="N2400" s="1275"/>
      <c r="O2400" s="1275"/>
      <c r="P2400" s="1244"/>
      <c r="Q2400" s="1244"/>
      <c r="R2400" s="1244"/>
      <c r="S2400" s="1265"/>
      <c r="T2400" s="1244"/>
      <c r="U2400" s="1244"/>
    </row>
    <row r="2401">
      <c r="A2401" s="1235"/>
      <c r="B2401" s="1235"/>
      <c r="C2401" s="1246"/>
      <c r="D2401" s="1274"/>
      <c r="E2401" s="1248"/>
      <c r="F2401" s="1248"/>
      <c r="G2401" s="1271"/>
      <c r="H2401" s="1250"/>
      <c r="I2401" s="1251"/>
      <c r="J2401" s="1271"/>
      <c r="K2401" s="1271"/>
      <c r="L2401" s="1254"/>
      <c r="M2401" s="1244"/>
      <c r="N2401" s="1275"/>
      <c r="O2401" s="1275"/>
      <c r="P2401" s="1244"/>
      <c r="Q2401" s="1244"/>
      <c r="R2401" s="1244"/>
      <c r="S2401" s="1265"/>
      <c r="T2401" s="1244"/>
      <c r="U2401" s="1244"/>
    </row>
    <row r="2402">
      <c r="A2402" s="1235"/>
      <c r="B2402" s="1235"/>
      <c r="C2402" s="1246"/>
      <c r="D2402" s="1274"/>
      <c r="E2402" s="1248"/>
      <c r="F2402" s="1248"/>
      <c r="G2402" s="1271"/>
      <c r="H2402" s="1250"/>
      <c r="I2402" s="1251"/>
      <c r="J2402" s="1271"/>
      <c r="K2402" s="1271"/>
      <c r="L2402" s="1254"/>
      <c r="M2402" s="1244"/>
      <c r="N2402" s="1275"/>
      <c r="O2402" s="1275"/>
      <c r="P2402" s="1244"/>
      <c r="Q2402" s="1244"/>
      <c r="R2402" s="1244"/>
      <c r="S2402" s="1265"/>
      <c r="T2402" s="1244"/>
      <c r="U2402" s="1244"/>
    </row>
    <row r="2403">
      <c r="A2403" s="1235"/>
      <c r="B2403" s="1235"/>
      <c r="C2403" s="1246"/>
      <c r="D2403" s="1274"/>
      <c r="E2403" s="1248"/>
      <c r="F2403" s="1248"/>
      <c r="G2403" s="1271"/>
      <c r="H2403" s="1250"/>
      <c r="I2403" s="1251"/>
      <c r="J2403" s="1271"/>
      <c r="K2403" s="1271"/>
      <c r="L2403" s="1254"/>
      <c r="M2403" s="1244"/>
      <c r="N2403" s="1275"/>
      <c r="O2403" s="1275"/>
      <c r="P2403" s="1244"/>
      <c r="Q2403" s="1244"/>
      <c r="R2403" s="1244"/>
      <c r="S2403" s="1265"/>
      <c r="T2403" s="1244"/>
      <c r="U2403" s="1244"/>
    </row>
    <row r="2404">
      <c r="A2404" s="1235"/>
      <c r="B2404" s="1235"/>
      <c r="C2404" s="1246"/>
      <c r="D2404" s="1274"/>
      <c r="E2404" s="1248"/>
      <c r="F2404" s="1248"/>
      <c r="G2404" s="1271"/>
      <c r="H2404" s="1250"/>
      <c r="I2404" s="1251"/>
      <c r="J2404" s="1271"/>
      <c r="K2404" s="1271"/>
      <c r="L2404" s="1254"/>
      <c r="M2404" s="1244"/>
      <c r="N2404" s="1275"/>
      <c r="O2404" s="1275"/>
      <c r="P2404" s="1244"/>
      <c r="Q2404" s="1244"/>
      <c r="R2404" s="1244"/>
      <c r="S2404" s="1265"/>
      <c r="T2404" s="1244"/>
      <c r="U2404" s="1244"/>
    </row>
    <row r="2405">
      <c r="A2405" s="1235"/>
      <c r="B2405" s="1235"/>
      <c r="C2405" s="1246"/>
      <c r="D2405" s="1274"/>
      <c r="E2405" s="1248"/>
      <c r="F2405" s="1248"/>
      <c r="G2405" s="1271"/>
      <c r="H2405" s="1250"/>
      <c r="I2405" s="1251"/>
      <c r="J2405" s="1271"/>
      <c r="K2405" s="1271"/>
      <c r="L2405" s="1254"/>
      <c r="M2405" s="1244"/>
      <c r="N2405" s="1275"/>
      <c r="O2405" s="1275"/>
      <c r="P2405" s="1244"/>
      <c r="Q2405" s="1244"/>
      <c r="R2405" s="1244"/>
      <c r="S2405" s="1265"/>
      <c r="T2405" s="1244"/>
      <c r="U2405" s="1244"/>
    </row>
    <row r="2406">
      <c r="A2406" s="1235"/>
      <c r="B2406" s="1235"/>
      <c r="C2406" s="1246"/>
      <c r="D2406" s="1274"/>
      <c r="E2406" s="1248"/>
      <c r="F2406" s="1248"/>
      <c r="G2406" s="1271"/>
      <c r="H2406" s="1250"/>
      <c r="I2406" s="1251"/>
      <c r="J2406" s="1271"/>
      <c r="K2406" s="1271"/>
      <c r="L2406" s="1254"/>
      <c r="M2406" s="1244"/>
      <c r="N2406" s="1275"/>
      <c r="O2406" s="1275"/>
      <c r="P2406" s="1244"/>
      <c r="Q2406" s="1244"/>
      <c r="R2406" s="1244"/>
      <c r="S2406" s="1265"/>
      <c r="T2406" s="1244"/>
      <c r="U2406" s="1244"/>
    </row>
    <row r="2407">
      <c r="A2407" s="1235"/>
      <c r="B2407" s="1235"/>
      <c r="C2407" s="1246"/>
      <c r="D2407" s="1274"/>
      <c r="E2407" s="1248"/>
      <c r="F2407" s="1248"/>
      <c r="G2407" s="1271"/>
      <c r="H2407" s="1250"/>
      <c r="I2407" s="1251"/>
      <c r="J2407" s="1271"/>
      <c r="K2407" s="1271"/>
      <c r="L2407" s="1254"/>
      <c r="M2407" s="1244"/>
      <c r="N2407" s="1275"/>
      <c r="O2407" s="1275"/>
      <c r="P2407" s="1244"/>
      <c r="Q2407" s="1244"/>
      <c r="R2407" s="1244"/>
      <c r="S2407" s="1265"/>
      <c r="T2407" s="1244"/>
      <c r="U2407" s="1244"/>
    </row>
    <row r="2408">
      <c r="A2408" s="1235"/>
      <c r="B2408" s="1235"/>
      <c r="C2408" s="1246"/>
      <c r="D2408" s="1274"/>
      <c r="E2408" s="1248"/>
      <c r="F2408" s="1248"/>
      <c r="G2408" s="1271"/>
      <c r="H2408" s="1250"/>
      <c r="I2408" s="1251"/>
      <c r="J2408" s="1271"/>
      <c r="K2408" s="1271"/>
      <c r="L2408" s="1254"/>
      <c r="M2408" s="1244"/>
      <c r="N2408" s="1275"/>
      <c r="O2408" s="1275"/>
      <c r="P2408" s="1244"/>
      <c r="Q2408" s="1244"/>
      <c r="R2408" s="1244"/>
      <c r="S2408" s="1265"/>
      <c r="T2408" s="1244"/>
      <c r="U2408" s="1244"/>
    </row>
    <row r="2409">
      <c r="A2409" s="1235"/>
      <c r="B2409" s="1235"/>
      <c r="C2409" s="1246"/>
      <c r="D2409" s="1274"/>
      <c r="E2409" s="1248"/>
      <c r="F2409" s="1248"/>
      <c r="G2409" s="1271"/>
      <c r="H2409" s="1250"/>
      <c r="I2409" s="1251"/>
      <c r="J2409" s="1271"/>
      <c r="K2409" s="1271"/>
      <c r="L2409" s="1254"/>
      <c r="M2409" s="1244"/>
      <c r="N2409" s="1275"/>
      <c r="O2409" s="1275"/>
      <c r="P2409" s="1244"/>
      <c r="Q2409" s="1244"/>
      <c r="R2409" s="1244"/>
      <c r="S2409" s="1265"/>
      <c r="T2409" s="1244"/>
      <c r="U2409" s="1244"/>
    </row>
    <row r="2410">
      <c r="A2410" s="1235"/>
      <c r="B2410" s="1235"/>
      <c r="C2410" s="1246"/>
      <c r="D2410" s="1274"/>
      <c r="E2410" s="1248"/>
      <c r="F2410" s="1248"/>
      <c r="G2410" s="1271"/>
      <c r="H2410" s="1250"/>
      <c r="I2410" s="1251"/>
      <c r="J2410" s="1271"/>
      <c r="K2410" s="1271"/>
      <c r="L2410" s="1254"/>
      <c r="M2410" s="1244"/>
      <c r="N2410" s="1275"/>
      <c r="O2410" s="1275"/>
      <c r="P2410" s="1244"/>
      <c r="Q2410" s="1244"/>
      <c r="R2410" s="1244"/>
      <c r="S2410" s="1265"/>
      <c r="T2410" s="1244"/>
      <c r="U2410" s="1244"/>
    </row>
    <row r="2411">
      <c r="A2411" s="1235"/>
      <c r="B2411" s="1235"/>
      <c r="C2411" s="1246"/>
      <c r="D2411" s="1274"/>
      <c r="E2411" s="1248"/>
      <c r="F2411" s="1248"/>
      <c r="G2411" s="1271"/>
      <c r="H2411" s="1250"/>
      <c r="I2411" s="1251"/>
      <c r="J2411" s="1271"/>
      <c r="K2411" s="1271"/>
      <c r="L2411" s="1254"/>
      <c r="M2411" s="1244"/>
      <c r="N2411" s="1275"/>
      <c r="O2411" s="1275"/>
      <c r="P2411" s="1244"/>
      <c r="Q2411" s="1244"/>
      <c r="R2411" s="1244"/>
      <c r="S2411" s="1265"/>
      <c r="T2411" s="1244"/>
      <c r="U2411" s="1244"/>
    </row>
    <row r="2412">
      <c r="A2412" s="1235"/>
      <c r="B2412" s="1235"/>
      <c r="C2412" s="1246"/>
      <c r="D2412" s="1274"/>
      <c r="E2412" s="1248"/>
      <c r="F2412" s="1248"/>
      <c r="G2412" s="1271"/>
      <c r="H2412" s="1250"/>
      <c r="I2412" s="1251"/>
      <c r="J2412" s="1271"/>
      <c r="K2412" s="1271"/>
      <c r="L2412" s="1254"/>
      <c r="M2412" s="1244"/>
      <c r="N2412" s="1275"/>
      <c r="O2412" s="1275"/>
      <c r="P2412" s="1244"/>
      <c r="Q2412" s="1244"/>
      <c r="R2412" s="1244"/>
      <c r="S2412" s="1265"/>
      <c r="T2412" s="1244"/>
      <c r="U2412" s="1244"/>
    </row>
    <row r="2413">
      <c r="A2413" s="1235"/>
      <c r="B2413" s="1235"/>
      <c r="C2413" s="1246"/>
      <c r="D2413" s="1274"/>
      <c r="E2413" s="1248"/>
      <c r="F2413" s="1248"/>
      <c r="G2413" s="1271"/>
      <c r="H2413" s="1250"/>
      <c r="I2413" s="1251"/>
      <c r="J2413" s="1271"/>
      <c r="K2413" s="1271"/>
      <c r="L2413" s="1254"/>
      <c r="M2413" s="1244"/>
      <c r="N2413" s="1275"/>
      <c r="O2413" s="1275"/>
      <c r="P2413" s="1244"/>
      <c r="Q2413" s="1244"/>
      <c r="R2413" s="1244"/>
      <c r="S2413" s="1265"/>
      <c r="T2413" s="1244"/>
      <c r="U2413" s="1244"/>
    </row>
    <row r="2414">
      <c r="A2414" s="1235"/>
      <c r="B2414" s="1235"/>
      <c r="C2414" s="1246"/>
      <c r="D2414" s="1274"/>
      <c r="E2414" s="1248"/>
      <c r="F2414" s="1248"/>
      <c r="G2414" s="1271"/>
      <c r="H2414" s="1250"/>
      <c r="I2414" s="1251"/>
      <c r="J2414" s="1271"/>
      <c r="K2414" s="1271"/>
      <c r="L2414" s="1254"/>
      <c r="M2414" s="1244"/>
      <c r="N2414" s="1275"/>
      <c r="O2414" s="1275"/>
      <c r="P2414" s="1244"/>
      <c r="Q2414" s="1244"/>
      <c r="R2414" s="1244"/>
      <c r="S2414" s="1265"/>
      <c r="T2414" s="1244"/>
      <c r="U2414" s="1244"/>
    </row>
    <row r="2415">
      <c r="A2415" s="1235"/>
      <c r="B2415" s="1235"/>
      <c r="C2415" s="1246"/>
      <c r="D2415" s="1274"/>
      <c r="E2415" s="1248"/>
      <c r="F2415" s="1248"/>
      <c r="G2415" s="1271"/>
      <c r="H2415" s="1250"/>
      <c r="I2415" s="1251"/>
      <c r="J2415" s="1271"/>
      <c r="K2415" s="1271"/>
      <c r="L2415" s="1254"/>
      <c r="M2415" s="1244"/>
      <c r="N2415" s="1275"/>
      <c r="O2415" s="1275"/>
      <c r="P2415" s="1244"/>
      <c r="Q2415" s="1244"/>
      <c r="R2415" s="1244"/>
      <c r="S2415" s="1265"/>
      <c r="T2415" s="1244"/>
      <c r="U2415" s="1244"/>
    </row>
    <row r="2416">
      <c r="A2416" s="1235"/>
      <c r="B2416" s="1235"/>
      <c r="C2416" s="1246"/>
      <c r="D2416" s="1274"/>
      <c r="E2416" s="1248"/>
      <c r="F2416" s="1248"/>
      <c r="G2416" s="1271"/>
      <c r="H2416" s="1250"/>
      <c r="I2416" s="1251"/>
      <c r="J2416" s="1271"/>
      <c r="K2416" s="1271"/>
      <c r="L2416" s="1254"/>
      <c r="M2416" s="1244"/>
      <c r="N2416" s="1275"/>
      <c r="O2416" s="1275"/>
      <c r="P2416" s="1244"/>
      <c r="Q2416" s="1244"/>
      <c r="R2416" s="1244"/>
      <c r="S2416" s="1265"/>
      <c r="T2416" s="1244"/>
      <c r="U2416" s="1244"/>
    </row>
    <row r="2417">
      <c r="A2417" s="1235"/>
      <c r="B2417" s="1235"/>
      <c r="C2417" s="1246"/>
      <c r="D2417" s="1274"/>
      <c r="E2417" s="1248"/>
      <c r="F2417" s="1248"/>
      <c r="G2417" s="1271"/>
      <c r="H2417" s="1250"/>
      <c r="I2417" s="1251"/>
      <c r="J2417" s="1271"/>
      <c r="K2417" s="1271"/>
      <c r="L2417" s="1254"/>
      <c r="M2417" s="1244"/>
      <c r="N2417" s="1275"/>
      <c r="O2417" s="1275"/>
      <c r="P2417" s="1244"/>
      <c r="Q2417" s="1244"/>
      <c r="R2417" s="1244"/>
      <c r="S2417" s="1265"/>
      <c r="T2417" s="1244"/>
      <c r="U2417" s="1244"/>
    </row>
    <row r="2418">
      <c r="A2418" s="1235"/>
      <c r="B2418" s="1235"/>
      <c r="C2418" s="1246"/>
      <c r="D2418" s="1274"/>
      <c r="E2418" s="1248"/>
      <c r="F2418" s="1248"/>
      <c r="G2418" s="1271"/>
      <c r="H2418" s="1250"/>
      <c r="I2418" s="1251"/>
      <c r="J2418" s="1271"/>
      <c r="K2418" s="1271"/>
      <c r="L2418" s="1254"/>
      <c r="M2418" s="1244"/>
      <c r="N2418" s="1275"/>
      <c r="O2418" s="1275"/>
      <c r="P2418" s="1244"/>
      <c r="Q2418" s="1244"/>
      <c r="R2418" s="1244"/>
      <c r="S2418" s="1265"/>
      <c r="T2418" s="1244"/>
      <c r="U2418" s="1244"/>
    </row>
    <row r="2419">
      <c r="A2419" s="1235"/>
      <c r="B2419" s="1235"/>
      <c r="C2419" s="1246"/>
      <c r="D2419" s="1274"/>
      <c r="E2419" s="1248"/>
      <c r="F2419" s="1248"/>
      <c r="G2419" s="1271"/>
      <c r="H2419" s="1250"/>
      <c r="I2419" s="1251"/>
      <c r="J2419" s="1271"/>
      <c r="K2419" s="1271"/>
      <c r="L2419" s="1254"/>
      <c r="M2419" s="1244"/>
      <c r="N2419" s="1275"/>
      <c r="O2419" s="1275"/>
      <c r="P2419" s="1244"/>
      <c r="Q2419" s="1244"/>
      <c r="R2419" s="1244"/>
      <c r="S2419" s="1265"/>
      <c r="T2419" s="1244"/>
      <c r="U2419" s="1244"/>
    </row>
    <row r="2420">
      <c r="A2420" s="1235"/>
      <c r="B2420" s="1235"/>
      <c r="C2420" s="1246"/>
      <c r="D2420" s="1274"/>
      <c r="E2420" s="1248"/>
      <c r="F2420" s="1248"/>
      <c r="G2420" s="1271"/>
      <c r="H2420" s="1250"/>
      <c r="I2420" s="1251"/>
      <c r="J2420" s="1271"/>
      <c r="K2420" s="1271"/>
      <c r="L2420" s="1254"/>
      <c r="M2420" s="1244"/>
      <c r="N2420" s="1275"/>
      <c r="O2420" s="1275"/>
      <c r="P2420" s="1244"/>
      <c r="Q2420" s="1244"/>
      <c r="R2420" s="1244"/>
      <c r="S2420" s="1265"/>
      <c r="T2420" s="1244"/>
      <c r="U2420" s="1244"/>
    </row>
    <row r="2421">
      <c r="A2421" s="1235"/>
      <c r="B2421" s="1235"/>
      <c r="C2421" s="1246"/>
      <c r="D2421" s="1274"/>
      <c r="E2421" s="1248"/>
      <c r="F2421" s="1248"/>
      <c r="G2421" s="1271"/>
      <c r="H2421" s="1250"/>
      <c r="I2421" s="1251"/>
      <c r="J2421" s="1271"/>
      <c r="K2421" s="1271"/>
      <c r="L2421" s="1254"/>
      <c r="M2421" s="1244"/>
      <c r="N2421" s="1275"/>
      <c r="O2421" s="1275"/>
      <c r="P2421" s="1244"/>
      <c r="Q2421" s="1244"/>
      <c r="R2421" s="1244"/>
      <c r="S2421" s="1265"/>
      <c r="T2421" s="1244"/>
      <c r="U2421" s="1244"/>
    </row>
    <row r="2422">
      <c r="A2422" s="1235"/>
      <c r="B2422" s="1235"/>
      <c r="C2422" s="1246"/>
      <c r="D2422" s="1274"/>
      <c r="E2422" s="1248"/>
      <c r="F2422" s="1248"/>
      <c r="G2422" s="1271"/>
      <c r="H2422" s="1250"/>
      <c r="I2422" s="1251"/>
      <c r="J2422" s="1271"/>
      <c r="K2422" s="1271"/>
      <c r="L2422" s="1254"/>
      <c r="M2422" s="1244"/>
      <c r="N2422" s="1275"/>
      <c r="O2422" s="1275"/>
      <c r="P2422" s="1244"/>
      <c r="Q2422" s="1244"/>
      <c r="R2422" s="1244"/>
      <c r="S2422" s="1265"/>
      <c r="T2422" s="1244"/>
      <c r="U2422" s="1244"/>
    </row>
    <row r="2423">
      <c r="A2423" s="1235"/>
      <c r="B2423" s="1235"/>
      <c r="C2423" s="1246"/>
      <c r="D2423" s="1274"/>
      <c r="E2423" s="1248"/>
      <c r="F2423" s="1248"/>
      <c r="G2423" s="1271"/>
      <c r="H2423" s="1250"/>
      <c r="I2423" s="1251"/>
      <c r="J2423" s="1271"/>
      <c r="K2423" s="1271"/>
      <c r="L2423" s="1254"/>
      <c r="M2423" s="1244"/>
      <c r="N2423" s="1275"/>
      <c r="O2423" s="1275"/>
      <c r="P2423" s="1244"/>
      <c r="Q2423" s="1244"/>
      <c r="R2423" s="1244"/>
      <c r="S2423" s="1265"/>
      <c r="T2423" s="1244"/>
      <c r="U2423" s="1244"/>
    </row>
    <row r="2424">
      <c r="A2424" s="1235"/>
      <c r="B2424" s="1235"/>
      <c r="C2424" s="1246"/>
      <c r="D2424" s="1274"/>
      <c r="E2424" s="1248"/>
      <c r="F2424" s="1248"/>
      <c r="G2424" s="1271"/>
      <c r="H2424" s="1250"/>
      <c r="I2424" s="1251"/>
      <c r="J2424" s="1271"/>
      <c r="K2424" s="1271"/>
      <c r="L2424" s="1254"/>
      <c r="M2424" s="1244"/>
      <c r="N2424" s="1275"/>
      <c r="O2424" s="1275"/>
      <c r="P2424" s="1244"/>
      <c r="Q2424" s="1244"/>
      <c r="R2424" s="1244"/>
      <c r="S2424" s="1265"/>
      <c r="T2424" s="1244"/>
      <c r="U2424" s="1244"/>
    </row>
    <row r="2425">
      <c r="A2425" s="1235"/>
      <c r="B2425" s="1235"/>
      <c r="C2425" s="1246"/>
      <c r="D2425" s="1274"/>
      <c r="E2425" s="1248"/>
      <c r="F2425" s="1248"/>
      <c r="G2425" s="1271"/>
      <c r="H2425" s="1250"/>
      <c r="I2425" s="1251"/>
      <c r="J2425" s="1271"/>
      <c r="K2425" s="1271"/>
      <c r="L2425" s="1254"/>
      <c r="M2425" s="1244"/>
      <c r="N2425" s="1275"/>
      <c r="O2425" s="1275"/>
      <c r="P2425" s="1244"/>
      <c r="Q2425" s="1244"/>
      <c r="R2425" s="1244"/>
      <c r="S2425" s="1265"/>
      <c r="T2425" s="1244"/>
      <c r="U2425" s="1244"/>
    </row>
    <row r="2426">
      <c r="A2426" s="1235"/>
      <c r="B2426" s="1235"/>
      <c r="C2426" s="1246"/>
      <c r="D2426" s="1274"/>
      <c r="E2426" s="1248"/>
      <c r="F2426" s="1248"/>
      <c r="G2426" s="1271"/>
      <c r="H2426" s="1250"/>
      <c r="I2426" s="1251"/>
      <c r="J2426" s="1271"/>
      <c r="K2426" s="1271"/>
      <c r="L2426" s="1254"/>
      <c r="M2426" s="1244"/>
      <c r="N2426" s="1275"/>
      <c r="O2426" s="1275"/>
      <c r="P2426" s="1244"/>
      <c r="Q2426" s="1244"/>
      <c r="R2426" s="1244"/>
      <c r="S2426" s="1265"/>
      <c r="T2426" s="1244"/>
      <c r="U2426" s="1244"/>
    </row>
    <row r="2427">
      <c r="A2427" s="1235"/>
      <c r="B2427" s="1235"/>
      <c r="C2427" s="1246"/>
      <c r="D2427" s="1274"/>
      <c r="E2427" s="1248"/>
      <c r="F2427" s="1248"/>
      <c r="G2427" s="1271"/>
      <c r="H2427" s="1250"/>
      <c r="I2427" s="1251"/>
      <c r="J2427" s="1271"/>
      <c r="K2427" s="1271"/>
      <c r="L2427" s="1254"/>
      <c r="M2427" s="1244"/>
      <c r="N2427" s="1275"/>
      <c r="O2427" s="1275"/>
      <c r="P2427" s="1244"/>
      <c r="Q2427" s="1244"/>
      <c r="R2427" s="1244"/>
      <c r="S2427" s="1265"/>
      <c r="T2427" s="1244"/>
      <c r="U2427" s="1244"/>
    </row>
    <row r="2428">
      <c r="A2428" s="1235"/>
      <c r="B2428" s="1235"/>
      <c r="C2428" s="1246"/>
      <c r="D2428" s="1274"/>
      <c r="E2428" s="1248"/>
      <c r="F2428" s="1248"/>
      <c r="G2428" s="1271"/>
      <c r="H2428" s="1250"/>
      <c r="I2428" s="1251"/>
      <c r="J2428" s="1271"/>
      <c r="K2428" s="1271"/>
      <c r="L2428" s="1254"/>
      <c r="M2428" s="1244"/>
      <c r="N2428" s="1275"/>
      <c r="O2428" s="1275"/>
      <c r="P2428" s="1244"/>
      <c r="Q2428" s="1244"/>
      <c r="R2428" s="1244"/>
      <c r="S2428" s="1265"/>
      <c r="T2428" s="1244"/>
      <c r="U2428" s="1244"/>
    </row>
    <row r="2429">
      <c r="A2429" s="1235"/>
      <c r="B2429" s="1235"/>
      <c r="C2429" s="1246"/>
      <c r="D2429" s="1274"/>
      <c r="E2429" s="1248"/>
      <c r="F2429" s="1248"/>
      <c r="G2429" s="1271"/>
      <c r="H2429" s="1250"/>
      <c r="I2429" s="1251"/>
      <c r="J2429" s="1271"/>
      <c r="K2429" s="1271"/>
      <c r="L2429" s="1254"/>
      <c r="M2429" s="1244"/>
      <c r="N2429" s="1275"/>
      <c r="O2429" s="1275"/>
      <c r="P2429" s="1244"/>
      <c r="Q2429" s="1244"/>
      <c r="R2429" s="1244"/>
      <c r="S2429" s="1265"/>
      <c r="T2429" s="1244"/>
      <c r="U2429" s="1244"/>
    </row>
    <row r="2430">
      <c r="A2430" s="1235"/>
      <c r="B2430" s="1235"/>
      <c r="C2430" s="1246"/>
      <c r="D2430" s="1274"/>
      <c r="E2430" s="1248"/>
      <c r="F2430" s="1248"/>
      <c r="G2430" s="1271"/>
      <c r="H2430" s="1250"/>
      <c r="I2430" s="1251"/>
      <c r="J2430" s="1271"/>
      <c r="K2430" s="1271"/>
      <c r="L2430" s="1254"/>
      <c r="M2430" s="1244"/>
      <c r="N2430" s="1275"/>
      <c r="O2430" s="1275"/>
      <c r="P2430" s="1244"/>
      <c r="Q2430" s="1244"/>
      <c r="R2430" s="1244"/>
      <c r="S2430" s="1265"/>
      <c r="T2430" s="1244"/>
      <c r="U2430" s="1244"/>
    </row>
    <row r="2431">
      <c r="A2431" s="1235"/>
      <c r="B2431" s="1235"/>
      <c r="C2431" s="1246"/>
      <c r="D2431" s="1274"/>
      <c r="E2431" s="1248"/>
      <c r="F2431" s="1248"/>
      <c r="G2431" s="1271"/>
      <c r="H2431" s="1250"/>
      <c r="I2431" s="1251"/>
      <c r="J2431" s="1271"/>
      <c r="K2431" s="1271"/>
      <c r="L2431" s="1254"/>
      <c r="M2431" s="1244"/>
      <c r="N2431" s="1275"/>
      <c r="O2431" s="1275"/>
      <c r="P2431" s="1244"/>
      <c r="Q2431" s="1244"/>
      <c r="R2431" s="1244"/>
      <c r="S2431" s="1265"/>
      <c r="T2431" s="1244"/>
      <c r="U2431" s="1244"/>
    </row>
    <row r="2432">
      <c r="A2432" s="1235"/>
      <c r="B2432" s="1235"/>
      <c r="C2432" s="1246"/>
      <c r="D2432" s="1274"/>
      <c r="E2432" s="1248"/>
      <c r="F2432" s="1248"/>
      <c r="G2432" s="1271"/>
      <c r="H2432" s="1250"/>
      <c r="I2432" s="1251"/>
      <c r="J2432" s="1271"/>
      <c r="K2432" s="1271"/>
      <c r="L2432" s="1254"/>
      <c r="M2432" s="1244"/>
      <c r="N2432" s="1275"/>
      <c r="O2432" s="1275"/>
      <c r="P2432" s="1244"/>
      <c r="Q2432" s="1244"/>
      <c r="R2432" s="1244"/>
      <c r="S2432" s="1265"/>
      <c r="T2432" s="1244"/>
      <c r="U2432" s="1244"/>
    </row>
    <row r="2433">
      <c r="A2433" s="1235"/>
      <c r="B2433" s="1235"/>
      <c r="C2433" s="1246"/>
      <c r="D2433" s="1274"/>
      <c r="E2433" s="1248"/>
      <c r="F2433" s="1248"/>
      <c r="G2433" s="1271"/>
      <c r="H2433" s="1250"/>
      <c r="I2433" s="1251"/>
      <c r="J2433" s="1271"/>
      <c r="K2433" s="1271"/>
      <c r="L2433" s="1254"/>
      <c r="M2433" s="1244"/>
      <c r="N2433" s="1275"/>
      <c r="O2433" s="1275"/>
      <c r="P2433" s="1244"/>
      <c r="Q2433" s="1244"/>
      <c r="R2433" s="1244"/>
      <c r="S2433" s="1265"/>
      <c r="T2433" s="1244"/>
      <c r="U2433" s="1244"/>
    </row>
    <row r="2434">
      <c r="A2434" s="1235"/>
      <c r="B2434" s="1235"/>
      <c r="C2434" s="1246"/>
      <c r="D2434" s="1274"/>
      <c r="E2434" s="1248"/>
      <c r="F2434" s="1248"/>
      <c r="G2434" s="1271"/>
      <c r="H2434" s="1250"/>
      <c r="I2434" s="1251"/>
      <c r="J2434" s="1271"/>
      <c r="K2434" s="1271"/>
      <c r="L2434" s="1254"/>
      <c r="M2434" s="1244"/>
      <c r="N2434" s="1275"/>
      <c r="O2434" s="1275"/>
      <c r="P2434" s="1244"/>
      <c r="Q2434" s="1244"/>
      <c r="R2434" s="1244"/>
      <c r="S2434" s="1265"/>
      <c r="T2434" s="1244"/>
      <c r="U2434" s="1244"/>
    </row>
    <row r="2435">
      <c r="A2435" s="1235"/>
      <c r="B2435" s="1235"/>
      <c r="C2435" s="1246"/>
      <c r="D2435" s="1274"/>
      <c r="E2435" s="1248"/>
      <c r="F2435" s="1248"/>
      <c r="G2435" s="1271"/>
      <c r="H2435" s="1250"/>
      <c r="I2435" s="1251"/>
      <c r="J2435" s="1271"/>
      <c r="K2435" s="1271"/>
      <c r="L2435" s="1254"/>
      <c r="M2435" s="1244"/>
      <c r="N2435" s="1275"/>
      <c r="O2435" s="1275"/>
      <c r="P2435" s="1244"/>
      <c r="Q2435" s="1244"/>
      <c r="R2435" s="1244"/>
      <c r="S2435" s="1265"/>
      <c r="T2435" s="1244"/>
      <c r="U2435" s="1244"/>
    </row>
    <row r="2436">
      <c r="A2436" s="1235"/>
      <c r="B2436" s="1235"/>
      <c r="C2436" s="1246"/>
      <c r="D2436" s="1274"/>
      <c r="E2436" s="1248"/>
      <c r="F2436" s="1248"/>
      <c r="G2436" s="1271"/>
      <c r="H2436" s="1250"/>
      <c r="I2436" s="1251"/>
      <c r="J2436" s="1271"/>
      <c r="K2436" s="1271"/>
      <c r="L2436" s="1254"/>
      <c r="M2436" s="1244"/>
      <c r="N2436" s="1275"/>
      <c r="O2436" s="1275"/>
      <c r="P2436" s="1244"/>
      <c r="Q2436" s="1244"/>
      <c r="R2436" s="1244"/>
      <c r="S2436" s="1265"/>
      <c r="T2436" s="1244"/>
      <c r="U2436" s="1244"/>
    </row>
    <row r="2437">
      <c r="A2437" s="1235"/>
      <c r="B2437" s="1235"/>
      <c r="C2437" s="1246"/>
      <c r="D2437" s="1274"/>
      <c r="E2437" s="1248"/>
      <c r="F2437" s="1248"/>
      <c r="G2437" s="1271"/>
      <c r="H2437" s="1250"/>
      <c r="I2437" s="1251"/>
      <c r="J2437" s="1271"/>
      <c r="K2437" s="1271"/>
      <c r="L2437" s="1254"/>
      <c r="M2437" s="1244"/>
      <c r="N2437" s="1275"/>
      <c r="O2437" s="1275"/>
      <c r="P2437" s="1244"/>
      <c r="Q2437" s="1244"/>
      <c r="R2437" s="1244"/>
      <c r="S2437" s="1265"/>
      <c r="T2437" s="1244"/>
      <c r="U2437" s="1244"/>
    </row>
    <row r="2438">
      <c r="A2438" s="1235"/>
      <c r="B2438" s="1235"/>
      <c r="C2438" s="1246"/>
      <c r="D2438" s="1274"/>
      <c r="E2438" s="1248"/>
      <c r="F2438" s="1248"/>
      <c r="G2438" s="1271"/>
      <c r="H2438" s="1250"/>
      <c r="I2438" s="1251"/>
      <c r="J2438" s="1271"/>
      <c r="K2438" s="1271"/>
      <c r="L2438" s="1254"/>
      <c r="M2438" s="1244"/>
      <c r="N2438" s="1275"/>
      <c r="O2438" s="1275"/>
      <c r="P2438" s="1244"/>
      <c r="Q2438" s="1244"/>
      <c r="R2438" s="1244"/>
      <c r="S2438" s="1265"/>
      <c r="T2438" s="1244"/>
      <c r="U2438" s="1244"/>
    </row>
    <row r="2439">
      <c r="A2439" s="1235"/>
      <c r="B2439" s="1235"/>
      <c r="C2439" s="1246"/>
      <c r="D2439" s="1274"/>
      <c r="E2439" s="1248"/>
      <c r="F2439" s="1248"/>
      <c r="G2439" s="1271"/>
      <c r="H2439" s="1250"/>
      <c r="I2439" s="1251"/>
      <c r="J2439" s="1271"/>
      <c r="K2439" s="1271"/>
      <c r="L2439" s="1254"/>
      <c r="M2439" s="1244"/>
      <c r="N2439" s="1275"/>
      <c r="O2439" s="1275"/>
      <c r="P2439" s="1244"/>
      <c r="Q2439" s="1244"/>
      <c r="R2439" s="1244"/>
      <c r="S2439" s="1265"/>
      <c r="T2439" s="1244"/>
      <c r="U2439" s="1244"/>
    </row>
    <row r="2440">
      <c r="A2440" s="1235"/>
      <c r="B2440" s="1235"/>
      <c r="C2440" s="1246"/>
      <c r="D2440" s="1274"/>
      <c r="E2440" s="1248"/>
      <c r="F2440" s="1248"/>
      <c r="G2440" s="1271"/>
      <c r="H2440" s="1250"/>
      <c r="I2440" s="1251"/>
      <c r="J2440" s="1271"/>
      <c r="K2440" s="1271"/>
      <c r="L2440" s="1254"/>
      <c r="M2440" s="1244"/>
      <c r="N2440" s="1275"/>
      <c r="O2440" s="1275"/>
      <c r="P2440" s="1244"/>
      <c r="Q2440" s="1244"/>
      <c r="R2440" s="1244"/>
      <c r="S2440" s="1265"/>
      <c r="T2440" s="1244"/>
      <c r="U2440" s="1244"/>
    </row>
    <row r="2441">
      <c r="A2441" s="1235"/>
      <c r="B2441" s="1235"/>
      <c r="C2441" s="1246"/>
      <c r="D2441" s="1274"/>
      <c r="E2441" s="1248"/>
      <c r="F2441" s="1248"/>
      <c r="G2441" s="1271"/>
      <c r="H2441" s="1250"/>
      <c r="I2441" s="1251"/>
      <c r="J2441" s="1271"/>
      <c r="K2441" s="1271"/>
      <c r="L2441" s="1254"/>
      <c r="M2441" s="1244"/>
      <c r="N2441" s="1275"/>
      <c r="O2441" s="1275"/>
      <c r="P2441" s="1244"/>
      <c r="Q2441" s="1244"/>
      <c r="R2441" s="1244"/>
      <c r="S2441" s="1265"/>
      <c r="T2441" s="1244"/>
      <c r="U2441" s="1244"/>
    </row>
    <row r="2442">
      <c r="A2442" s="1235"/>
      <c r="B2442" s="1235"/>
      <c r="C2442" s="1246"/>
      <c r="D2442" s="1274"/>
      <c r="E2442" s="1248"/>
      <c r="F2442" s="1248"/>
      <c r="G2442" s="1271"/>
      <c r="H2442" s="1250"/>
      <c r="I2442" s="1251"/>
      <c r="J2442" s="1271"/>
      <c r="K2442" s="1271"/>
      <c r="L2442" s="1254"/>
      <c r="M2442" s="1244"/>
      <c r="N2442" s="1275"/>
      <c r="O2442" s="1275"/>
      <c r="P2442" s="1244"/>
      <c r="Q2442" s="1244"/>
      <c r="R2442" s="1244"/>
      <c r="S2442" s="1265"/>
      <c r="T2442" s="1244"/>
      <c r="U2442" s="1244"/>
    </row>
    <row r="2443">
      <c r="A2443" s="1235"/>
      <c r="B2443" s="1235"/>
      <c r="C2443" s="1246"/>
      <c r="D2443" s="1274"/>
      <c r="E2443" s="1248"/>
      <c r="F2443" s="1248"/>
      <c r="G2443" s="1271"/>
      <c r="H2443" s="1250"/>
      <c r="I2443" s="1251"/>
      <c r="J2443" s="1271"/>
      <c r="K2443" s="1271"/>
      <c r="L2443" s="1254"/>
      <c r="M2443" s="1244"/>
      <c r="N2443" s="1275"/>
      <c r="O2443" s="1275"/>
      <c r="P2443" s="1244"/>
      <c r="Q2443" s="1244"/>
      <c r="R2443" s="1244"/>
      <c r="S2443" s="1265"/>
      <c r="T2443" s="1244"/>
      <c r="U2443" s="1244"/>
    </row>
    <row r="2444">
      <c r="A2444" s="1235"/>
      <c r="B2444" s="1235"/>
      <c r="C2444" s="1246"/>
      <c r="D2444" s="1274"/>
      <c r="E2444" s="1248"/>
      <c r="F2444" s="1248"/>
      <c r="G2444" s="1271"/>
      <c r="H2444" s="1250"/>
      <c r="I2444" s="1251"/>
      <c r="J2444" s="1271"/>
      <c r="K2444" s="1271"/>
      <c r="L2444" s="1254"/>
      <c r="M2444" s="1244"/>
      <c r="N2444" s="1275"/>
      <c r="O2444" s="1275"/>
      <c r="P2444" s="1244"/>
      <c r="Q2444" s="1244"/>
      <c r="R2444" s="1244"/>
      <c r="S2444" s="1265"/>
      <c r="T2444" s="1244"/>
      <c r="U2444" s="1244"/>
    </row>
    <row r="2445">
      <c r="A2445" s="1235"/>
      <c r="B2445" s="1235"/>
      <c r="C2445" s="1246"/>
      <c r="D2445" s="1274"/>
      <c r="E2445" s="1248"/>
      <c r="F2445" s="1248"/>
      <c r="G2445" s="1271"/>
      <c r="H2445" s="1250"/>
      <c r="I2445" s="1251"/>
      <c r="J2445" s="1271"/>
      <c r="K2445" s="1271"/>
      <c r="L2445" s="1254"/>
      <c r="M2445" s="1244"/>
      <c r="N2445" s="1275"/>
      <c r="O2445" s="1275"/>
      <c r="P2445" s="1244"/>
      <c r="Q2445" s="1244"/>
      <c r="R2445" s="1244"/>
      <c r="S2445" s="1265"/>
      <c r="T2445" s="1244"/>
      <c r="U2445" s="1244"/>
    </row>
    <row r="2446">
      <c r="A2446" s="1235"/>
      <c r="B2446" s="1235"/>
      <c r="C2446" s="1246"/>
      <c r="D2446" s="1274"/>
      <c r="E2446" s="1248"/>
      <c r="F2446" s="1248"/>
      <c r="G2446" s="1271"/>
      <c r="H2446" s="1250"/>
      <c r="I2446" s="1251"/>
      <c r="J2446" s="1271"/>
      <c r="K2446" s="1271"/>
      <c r="L2446" s="1254"/>
      <c r="M2446" s="1244"/>
      <c r="N2446" s="1275"/>
      <c r="O2446" s="1275"/>
      <c r="P2446" s="1244"/>
      <c r="Q2446" s="1244"/>
      <c r="R2446" s="1244"/>
      <c r="S2446" s="1265"/>
      <c r="T2446" s="1244"/>
      <c r="U2446" s="1244"/>
    </row>
    <row r="2447">
      <c r="A2447" s="1235"/>
      <c r="B2447" s="1235"/>
      <c r="C2447" s="1246"/>
      <c r="D2447" s="1274"/>
      <c r="E2447" s="1248"/>
      <c r="F2447" s="1248"/>
      <c r="G2447" s="1271"/>
      <c r="H2447" s="1250"/>
      <c r="I2447" s="1251"/>
      <c r="J2447" s="1271"/>
      <c r="K2447" s="1271"/>
      <c r="L2447" s="1254"/>
      <c r="M2447" s="1244"/>
      <c r="N2447" s="1275"/>
      <c r="O2447" s="1275"/>
      <c r="P2447" s="1244"/>
      <c r="Q2447" s="1244"/>
      <c r="R2447" s="1244"/>
      <c r="S2447" s="1265"/>
      <c r="T2447" s="1244"/>
      <c r="U2447" s="1244"/>
    </row>
    <row r="2448">
      <c r="A2448" s="1235"/>
      <c r="B2448" s="1235"/>
      <c r="C2448" s="1246"/>
      <c r="D2448" s="1274"/>
      <c r="E2448" s="1248"/>
      <c r="F2448" s="1248"/>
      <c r="G2448" s="1271"/>
      <c r="H2448" s="1250"/>
      <c r="I2448" s="1251"/>
      <c r="J2448" s="1271"/>
      <c r="K2448" s="1271"/>
      <c r="L2448" s="1254"/>
      <c r="M2448" s="1244"/>
      <c r="N2448" s="1275"/>
      <c r="O2448" s="1275"/>
      <c r="P2448" s="1244"/>
      <c r="Q2448" s="1244"/>
      <c r="R2448" s="1244"/>
      <c r="S2448" s="1265"/>
      <c r="T2448" s="1244"/>
      <c r="U2448" s="1244"/>
    </row>
    <row r="2449">
      <c r="A2449" s="1235"/>
      <c r="B2449" s="1235"/>
      <c r="C2449" s="1246"/>
      <c r="D2449" s="1274"/>
      <c r="E2449" s="1248"/>
      <c r="F2449" s="1248"/>
      <c r="G2449" s="1271"/>
      <c r="H2449" s="1250"/>
      <c r="I2449" s="1251"/>
      <c r="J2449" s="1271"/>
      <c r="K2449" s="1271"/>
      <c r="L2449" s="1254"/>
      <c r="M2449" s="1244"/>
      <c r="N2449" s="1275"/>
      <c r="O2449" s="1275"/>
      <c r="P2449" s="1244"/>
      <c r="Q2449" s="1244"/>
      <c r="R2449" s="1244"/>
      <c r="S2449" s="1265"/>
      <c r="T2449" s="1244"/>
      <c r="U2449" s="1244"/>
    </row>
    <row r="2450">
      <c r="A2450" s="1235"/>
      <c r="B2450" s="1235"/>
      <c r="C2450" s="1246"/>
      <c r="D2450" s="1274"/>
      <c r="E2450" s="1248"/>
      <c r="F2450" s="1248"/>
      <c r="G2450" s="1271"/>
      <c r="H2450" s="1250"/>
      <c r="I2450" s="1251"/>
      <c r="J2450" s="1271"/>
      <c r="K2450" s="1271"/>
      <c r="L2450" s="1254"/>
      <c r="M2450" s="1244"/>
      <c r="N2450" s="1275"/>
      <c r="O2450" s="1275"/>
      <c r="P2450" s="1244"/>
      <c r="Q2450" s="1244"/>
      <c r="R2450" s="1244"/>
      <c r="S2450" s="1265"/>
      <c r="T2450" s="1244"/>
      <c r="U2450" s="1244"/>
    </row>
    <row r="2451">
      <c r="A2451" s="1235"/>
      <c r="B2451" s="1235"/>
      <c r="C2451" s="1246"/>
      <c r="D2451" s="1274"/>
      <c r="E2451" s="1248"/>
      <c r="F2451" s="1248"/>
      <c r="G2451" s="1271"/>
      <c r="H2451" s="1250"/>
      <c r="I2451" s="1251"/>
      <c r="J2451" s="1271"/>
      <c r="K2451" s="1271"/>
      <c r="L2451" s="1254"/>
      <c r="M2451" s="1244"/>
      <c r="N2451" s="1275"/>
      <c r="O2451" s="1275"/>
      <c r="P2451" s="1244"/>
      <c r="Q2451" s="1244"/>
      <c r="R2451" s="1244"/>
      <c r="S2451" s="1265"/>
      <c r="T2451" s="1244"/>
      <c r="U2451" s="1244"/>
    </row>
    <row r="2452">
      <c r="A2452" s="1235"/>
      <c r="B2452" s="1235"/>
      <c r="C2452" s="1246"/>
      <c r="D2452" s="1274"/>
      <c r="E2452" s="1248"/>
      <c r="F2452" s="1248"/>
      <c r="G2452" s="1271"/>
      <c r="H2452" s="1250"/>
      <c r="I2452" s="1251"/>
      <c r="J2452" s="1271"/>
      <c r="K2452" s="1271"/>
      <c r="L2452" s="1254"/>
      <c r="M2452" s="1244"/>
      <c r="N2452" s="1275"/>
      <c r="O2452" s="1275"/>
      <c r="P2452" s="1244"/>
      <c r="Q2452" s="1244"/>
      <c r="R2452" s="1244"/>
      <c r="S2452" s="1265"/>
      <c r="T2452" s="1244"/>
      <c r="U2452" s="1244"/>
    </row>
    <row r="2453">
      <c r="A2453" s="1235"/>
      <c r="B2453" s="1235"/>
      <c r="C2453" s="1246"/>
      <c r="D2453" s="1274"/>
      <c r="E2453" s="1248"/>
      <c r="F2453" s="1248"/>
      <c r="G2453" s="1271"/>
      <c r="H2453" s="1250"/>
      <c r="I2453" s="1251"/>
      <c r="J2453" s="1271"/>
      <c r="K2453" s="1271"/>
      <c r="L2453" s="1254"/>
      <c r="M2453" s="1244"/>
      <c r="N2453" s="1275"/>
      <c r="O2453" s="1275"/>
      <c r="P2453" s="1244"/>
      <c r="Q2453" s="1244"/>
      <c r="R2453" s="1244"/>
      <c r="S2453" s="1265"/>
      <c r="T2453" s="1244"/>
      <c r="U2453" s="1244"/>
    </row>
    <row r="2454">
      <c r="A2454" s="1235"/>
      <c r="B2454" s="1235"/>
      <c r="C2454" s="1246"/>
      <c r="D2454" s="1274"/>
      <c r="E2454" s="1248"/>
      <c r="F2454" s="1248"/>
      <c r="G2454" s="1271"/>
      <c r="H2454" s="1250"/>
      <c r="I2454" s="1251"/>
      <c r="J2454" s="1271"/>
      <c r="K2454" s="1271"/>
      <c r="L2454" s="1254"/>
      <c r="M2454" s="1244"/>
      <c r="N2454" s="1275"/>
      <c r="O2454" s="1275"/>
      <c r="P2454" s="1244"/>
      <c r="Q2454" s="1244"/>
      <c r="R2454" s="1244"/>
      <c r="S2454" s="1265"/>
      <c r="T2454" s="1244"/>
      <c r="U2454" s="1244"/>
    </row>
    <row r="2455">
      <c r="A2455" s="1235"/>
      <c r="B2455" s="1235"/>
      <c r="C2455" s="1246"/>
      <c r="D2455" s="1274"/>
      <c r="E2455" s="1248"/>
      <c r="F2455" s="1248"/>
      <c r="G2455" s="1271"/>
      <c r="H2455" s="1250"/>
      <c r="I2455" s="1251"/>
      <c r="J2455" s="1271"/>
      <c r="K2455" s="1271"/>
      <c r="L2455" s="1254"/>
      <c r="M2455" s="1244"/>
      <c r="N2455" s="1275"/>
      <c r="O2455" s="1275"/>
      <c r="P2455" s="1244"/>
      <c r="Q2455" s="1244"/>
      <c r="R2455" s="1244"/>
      <c r="S2455" s="1265"/>
      <c r="T2455" s="1244"/>
      <c r="U2455" s="1244"/>
    </row>
    <row r="2456">
      <c r="A2456" s="1235"/>
      <c r="B2456" s="1235"/>
      <c r="C2456" s="1246"/>
      <c r="D2456" s="1274"/>
      <c r="E2456" s="1248"/>
      <c r="F2456" s="1248"/>
      <c r="G2456" s="1271"/>
      <c r="H2456" s="1250"/>
      <c r="I2456" s="1251"/>
      <c r="J2456" s="1271"/>
      <c r="K2456" s="1271"/>
      <c r="L2456" s="1254"/>
      <c r="M2456" s="1244"/>
      <c r="N2456" s="1275"/>
      <c r="O2456" s="1275"/>
      <c r="P2456" s="1244"/>
      <c r="Q2456" s="1244"/>
      <c r="R2456" s="1244"/>
      <c r="S2456" s="1265"/>
      <c r="T2456" s="1244"/>
      <c r="U2456" s="1244"/>
    </row>
    <row r="2457">
      <c r="A2457" s="1235"/>
      <c r="B2457" s="1235"/>
      <c r="C2457" s="1246"/>
      <c r="D2457" s="1274"/>
      <c r="E2457" s="1248"/>
      <c r="F2457" s="1248"/>
      <c r="G2457" s="1271"/>
      <c r="H2457" s="1250"/>
      <c r="I2457" s="1251"/>
      <c r="J2457" s="1271"/>
      <c r="K2457" s="1271"/>
      <c r="L2457" s="1254"/>
      <c r="M2457" s="1244"/>
      <c r="N2457" s="1275"/>
      <c r="O2457" s="1275"/>
      <c r="P2457" s="1244"/>
      <c r="Q2457" s="1244"/>
      <c r="R2457" s="1244"/>
      <c r="S2457" s="1265"/>
      <c r="T2457" s="1244"/>
      <c r="U2457" s="1244"/>
    </row>
    <row r="2458">
      <c r="A2458" s="1235"/>
      <c r="B2458" s="1235"/>
      <c r="C2458" s="1246"/>
      <c r="D2458" s="1274"/>
      <c r="E2458" s="1248"/>
      <c r="F2458" s="1248"/>
      <c r="G2458" s="1271"/>
      <c r="H2458" s="1250"/>
      <c r="I2458" s="1251"/>
      <c r="J2458" s="1271"/>
      <c r="K2458" s="1271"/>
      <c r="L2458" s="1254"/>
      <c r="M2458" s="1244"/>
      <c r="N2458" s="1275"/>
      <c r="O2458" s="1275"/>
      <c r="P2458" s="1244"/>
      <c r="Q2458" s="1244"/>
      <c r="R2458" s="1244"/>
      <c r="S2458" s="1265"/>
      <c r="T2458" s="1244"/>
      <c r="U2458" s="1244"/>
    </row>
    <row r="2459">
      <c r="A2459" s="1235"/>
      <c r="B2459" s="1235"/>
      <c r="C2459" s="1246"/>
      <c r="D2459" s="1274"/>
      <c r="E2459" s="1248"/>
      <c r="F2459" s="1248"/>
      <c r="G2459" s="1271"/>
      <c r="H2459" s="1250"/>
      <c r="I2459" s="1251"/>
      <c r="J2459" s="1271"/>
      <c r="K2459" s="1271"/>
      <c r="L2459" s="1254"/>
      <c r="M2459" s="1244"/>
      <c r="N2459" s="1275"/>
      <c r="O2459" s="1275"/>
      <c r="P2459" s="1244"/>
      <c r="Q2459" s="1244"/>
      <c r="R2459" s="1244"/>
      <c r="S2459" s="1265"/>
      <c r="T2459" s="1244"/>
      <c r="U2459" s="1244"/>
    </row>
    <row r="2460">
      <c r="A2460" s="1235"/>
      <c r="B2460" s="1235"/>
      <c r="C2460" s="1246"/>
      <c r="D2460" s="1274"/>
      <c r="E2460" s="1248"/>
      <c r="F2460" s="1248"/>
      <c r="G2460" s="1271"/>
      <c r="H2460" s="1250"/>
      <c r="I2460" s="1251"/>
      <c r="J2460" s="1271"/>
      <c r="K2460" s="1271"/>
      <c r="L2460" s="1254"/>
      <c r="M2460" s="1244"/>
      <c r="N2460" s="1275"/>
      <c r="O2460" s="1275"/>
      <c r="P2460" s="1244"/>
      <c r="Q2460" s="1244"/>
      <c r="R2460" s="1244"/>
      <c r="S2460" s="1265"/>
      <c r="T2460" s="1244"/>
      <c r="U2460" s="1244"/>
    </row>
    <row r="2461">
      <c r="A2461" s="1235"/>
      <c r="B2461" s="1235"/>
      <c r="C2461" s="1246"/>
      <c r="D2461" s="1274"/>
      <c r="E2461" s="1248"/>
      <c r="F2461" s="1248"/>
      <c r="G2461" s="1271"/>
      <c r="H2461" s="1250"/>
      <c r="I2461" s="1251"/>
      <c r="J2461" s="1271"/>
      <c r="K2461" s="1271"/>
      <c r="L2461" s="1254"/>
      <c r="M2461" s="1244"/>
      <c r="N2461" s="1275"/>
      <c r="O2461" s="1275"/>
      <c r="P2461" s="1244"/>
      <c r="Q2461" s="1244"/>
      <c r="R2461" s="1244"/>
      <c r="S2461" s="1265"/>
      <c r="T2461" s="1244"/>
      <c r="U2461" s="1244"/>
    </row>
    <row r="2462">
      <c r="A2462" s="1235"/>
      <c r="B2462" s="1235"/>
      <c r="C2462" s="1246"/>
      <c r="D2462" s="1274"/>
      <c r="E2462" s="1248"/>
      <c r="F2462" s="1248"/>
      <c r="G2462" s="1271"/>
      <c r="H2462" s="1250"/>
      <c r="I2462" s="1251"/>
      <c r="J2462" s="1271"/>
      <c r="K2462" s="1271"/>
      <c r="L2462" s="1254"/>
      <c r="M2462" s="1244"/>
      <c r="N2462" s="1275"/>
      <c r="O2462" s="1275"/>
      <c r="P2462" s="1244"/>
      <c r="Q2462" s="1244"/>
      <c r="R2462" s="1244"/>
      <c r="S2462" s="1265"/>
      <c r="T2462" s="1244"/>
      <c r="U2462" s="1244"/>
    </row>
    <row r="2463">
      <c r="A2463" s="1235"/>
      <c r="B2463" s="1235"/>
      <c r="C2463" s="1246"/>
      <c r="D2463" s="1274"/>
      <c r="E2463" s="1248"/>
      <c r="F2463" s="1248"/>
      <c r="G2463" s="1271"/>
      <c r="H2463" s="1250"/>
      <c r="I2463" s="1251"/>
      <c r="J2463" s="1271"/>
      <c r="K2463" s="1271"/>
      <c r="L2463" s="1254"/>
      <c r="M2463" s="1244"/>
      <c r="N2463" s="1275"/>
      <c r="O2463" s="1275"/>
      <c r="P2463" s="1244"/>
      <c r="Q2463" s="1244"/>
      <c r="R2463" s="1244"/>
      <c r="S2463" s="1265"/>
      <c r="T2463" s="1244"/>
      <c r="U2463" s="1244"/>
    </row>
    <row r="2464">
      <c r="A2464" s="1235"/>
      <c r="B2464" s="1235"/>
      <c r="C2464" s="1246"/>
      <c r="D2464" s="1274"/>
      <c r="E2464" s="1248"/>
      <c r="F2464" s="1248"/>
      <c r="G2464" s="1271"/>
      <c r="H2464" s="1250"/>
      <c r="I2464" s="1251"/>
      <c r="J2464" s="1271"/>
      <c r="K2464" s="1271"/>
      <c r="L2464" s="1254"/>
      <c r="M2464" s="1244"/>
      <c r="N2464" s="1275"/>
      <c r="O2464" s="1275"/>
      <c r="P2464" s="1244"/>
      <c r="Q2464" s="1244"/>
      <c r="R2464" s="1244"/>
      <c r="S2464" s="1265"/>
      <c r="T2464" s="1244"/>
      <c r="U2464" s="1244"/>
    </row>
    <row r="2465">
      <c r="A2465" s="1235"/>
      <c r="B2465" s="1235"/>
      <c r="C2465" s="1246"/>
      <c r="D2465" s="1274"/>
      <c r="E2465" s="1248"/>
      <c r="F2465" s="1248"/>
      <c r="G2465" s="1271"/>
      <c r="H2465" s="1250"/>
      <c r="I2465" s="1251"/>
      <c r="J2465" s="1271"/>
      <c r="K2465" s="1271"/>
      <c r="L2465" s="1254"/>
      <c r="M2465" s="1244"/>
      <c r="N2465" s="1275"/>
      <c r="O2465" s="1275"/>
      <c r="P2465" s="1244"/>
      <c r="Q2465" s="1244"/>
      <c r="R2465" s="1244"/>
      <c r="S2465" s="1265"/>
      <c r="T2465" s="1244"/>
      <c r="U2465" s="1244"/>
    </row>
    <row r="2466">
      <c r="A2466" s="1235"/>
      <c r="B2466" s="1235"/>
      <c r="C2466" s="1246"/>
      <c r="D2466" s="1274"/>
      <c r="E2466" s="1248"/>
      <c r="F2466" s="1248"/>
      <c r="G2466" s="1271"/>
      <c r="H2466" s="1250"/>
      <c r="I2466" s="1251"/>
      <c r="J2466" s="1271"/>
      <c r="K2466" s="1271"/>
      <c r="L2466" s="1254"/>
      <c r="M2466" s="1244"/>
      <c r="N2466" s="1275"/>
      <c r="O2466" s="1275"/>
      <c r="P2466" s="1244"/>
      <c r="Q2466" s="1244"/>
      <c r="R2466" s="1244"/>
      <c r="S2466" s="1265"/>
      <c r="T2466" s="1244"/>
      <c r="U2466" s="1244"/>
    </row>
    <row r="2467">
      <c r="A2467" s="1235"/>
      <c r="B2467" s="1235"/>
      <c r="C2467" s="1246"/>
      <c r="D2467" s="1274"/>
      <c r="E2467" s="1248"/>
      <c r="F2467" s="1248"/>
      <c r="G2467" s="1271"/>
      <c r="H2467" s="1250"/>
      <c r="I2467" s="1251"/>
      <c r="J2467" s="1271"/>
      <c r="K2467" s="1271"/>
      <c r="L2467" s="1254"/>
      <c r="M2467" s="1244"/>
      <c r="N2467" s="1275"/>
      <c r="O2467" s="1275"/>
      <c r="P2467" s="1244"/>
      <c r="Q2467" s="1244"/>
      <c r="R2467" s="1244"/>
      <c r="S2467" s="1265"/>
      <c r="T2467" s="1244"/>
      <c r="U2467" s="1244"/>
    </row>
    <row r="2468">
      <c r="A2468" s="1235"/>
      <c r="B2468" s="1235"/>
      <c r="C2468" s="1246"/>
      <c r="D2468" s="1274"/>
      <c r="E2468" s="1248"/>
      <c r="F2468" s="1248"/>
      <c r="G2468" s="1271"/>
      <c r="H2468" s="1250"/>
      <c r="I2468" s="1251"/>
      <c r="J2468" s="1271"/>
      <c r="K2468" s="1271"/>
      <c r="L2468" s="1254"/>
      <c r="M2468" s="1244"/>
      <c r="N2468" s="1275"/>
      <c r="O2468" s="1275"/>
      <c r="P2468" s="1244"/>
      <c r="Q2468" s="1244"/>
      <c r="R2468" s="1244"/>
      <c r="S2468" s="1265"/>
      <c r="T2468" s="1244"/>
      <c r="U2468" s="1244"/>
    </row>
    <row r="2469">
      <c r="A2469" s="1235"/>
      <c r="B2469" s="1235"/>
      <c r="C2469" s="1246"/>
      <c r="D2469" s="1274"/>
      <c r="E2469" s="1248"/>
      <c r="F2469" s="1248"/>
      <c r="G2469" s="1271"/>
      <c r="H2469" s="1250"/>
      <c r="I2469" s="1251"/>
      <c r="J2469" s="1271"/>
      <c r="K2469" s="1271"/>
      <c r="L2469" s="1254"/>
      <c r="M2469" s="1244"/>
      <c r="N2469" s="1275"/>
      <c r="O2469" s="1275"/>
      <c r="P2469" s="1244"/>
      <c r="Q2469" s="1244"/>
      <c r="R2469" s="1244"/>
      <c r="S2469" s="1265"/>
      <c r="T2469" s="1244"/>
      <c r="U2469" s="1244"/>
    </row>
    <row r="2470">
      <c r="A2470" s="1235"/>
      <c r="B2470" s="1235"/>
      <c r="C2470" s="1246"/>
      <c r="D2470" s="1274"/>
      <c r="E2470" s="1248"/>
      <c r="F2470" s="1248"/>
      <c r="G2470" s="1271"/>
      <c r="H2470" s="1250"/>
      <c r="I2470" s="1251"/>
      <c r="J2470" s="1271"/>
      <c r="K2470" s="1271"/>
      <c r="L2470" s="1254"/>
      <c r="M2470" s="1244"/>
      <c r="N2470" s="1275"/>
      <c r="O2470" s="1275"/>
      <c r="P2470" s="1244"/>
      <c r="Q2470" s="1244"/>
      <c r="R2470" s="1244"/>
      <c r="S2470" s="1265"/>
      <c r="T2470" s="1244"/>
      <c r="U2470" s="1244"/>
    </row>
    <row r="2471">
      <c r="A2471" s="1235"/>
      <c r="B2471" s="1235"/>
      <c r="C2471" s="1246"/>
      <c r="D2471" s="1274"/>
      <c r="E2471" s="1248"/>
      <c r="F2471" s="1248"/>
      <c r="G2471" s="1271"/>
      <c r="H2471" s="1250"/>
      <c r="I2471" s="1251"/>
      <c r="J2471" s="1271"/>
      <c r="K2471" s="1271"/>
      <c r="L2471" s="1254"/>
      <c r="M2471" s="1244"/>
      <c r="N2471" s="1275"/>
      <c r="O2471" s="1275"/>
      <c r="P2471" s="1244"/>
      <c r="Q2471" s="1244"/>
      <c r="R2471" s="1244"/>
      <c r="S2471" s="1265"/>
      <c r="T2471" s="1244"/>
      <c r="U2471" s="1244"/>
    </row>
    <row r="2472">
      <c r="A2472" s="1235"/>
      <c r="B2472" s="1235"/>
      <c r="C2472" s="1246"/>
      <c r="D2472" s="1274"/>
      <c r="E2472" s="1248"/>
      <c r="F2472" s="1248"/>
      <c r="G2472" s="1271"/>
      <c r="H2472" s="1250"/>
      <c r="I2472" s="1251"/>
      <c r="J2472" s="1271"/>
      <c r="K2472" s="1271"/>
      <c r="L2472" s="1254"/>
      <c r="M2472" s="1244"/>
      <c r="N2472" s="1275"/>
      <c r="O2472" s="1275"/>
      <c r="P2472" s="1244"/>
      <c r="Q2472" s="1244"/>
      <c r="R2472" s="1244"/>
      <c r="S2472" s="1265"/>
      <c r="T2472" s="1244"/>
      <c r="U2472" s="1244"/>
    </row>
    <row r="2473">
      <c r="A2473" s="1235"/>
      <c r="B2473" s="1235"/>
      <c r="C2473" s="1246"/>
      <c r="D2473" s="1274"/>
      <c r="E2473" s="1248"/>
      <c r="F2473" s="1248"/>
      <c r="G2473" s="1271"/>
      <c r="H2473" s="1250"/>
      <c r="I2473" s="1251"/>
      <c r="J2473" s="1271"/>
      <c r="K2473" s="1271"/>
      <c r="L2473" s="1254"/>
      <c r="M2473" s="1244"/>
      <c r="N2473" s="1275"/>
      <c r="O2473" s="1275"/>
      <c r="P2473" s="1244"/>
      <c r="Q2473" s="1244"/>
      <c r="R2473" s="1244"/>
      <c r="S2473" s="1265"/>
      <c r="T2473" s="1244"/>
      <c r="U2473" s="1244"/>
    </row>
    <row r="2474">
      <c r="A2474" s="1235"/>
      <c r="B2474" s="1235"/>
      <c r="C2474" s="1246"/>
      <c r="D2474" s="1274"/>
      <c r="E2474" s="1248"/>
      <c r="F2474" s="1248"/>
      <c r="G2474" s="1271"/>
      <c r="H2474" s="1250"/>
      <c r="I2474" s="1251"/>
      <c r="J2474" s="1271"/>
      <c r="K2474" s="1271"/>
      <c r="L2474" s="1254"/>
      <c r="M2474" s="1244"/>
      <c r="N2474" s="1275"/>
      <c r="O2474" s="1275"/>
      <c r="P2474" s="1244"/>
      <c r="Q2474" s="1244"/>
      <c r="R2474" s="1244"/>
      <c r="S2474" s="1265"/>
      <c r="T2474" s="1244"/>
      <c r="U2474" s="1244"/>
    </row>
    <row r="2475">
      <c r="A2475" s="1235"/>
      <c r="B2475" s="1235"/>
      <c r="C2475" s="1246"/>
      <c r="D2475" s="1274"/>
      <c r="E2475" s="1248"/>
      <c r="F2475" s="1248"/>
      <c r="G2475" s="1271"/>
      <c r="H2475" s="1250"/>
      <c r="I2475" s="1251"/>
      <c r="J2475" s="1271"/>
      <c r="K2475" s="1271"/>
      <c r="L2475" s="1254"/>
      <c r="M2475" s="1244"/>
      <c r="N2475" s="1275"/>
      <c r="O2475" s="1275"/>
      <c r="P2475" s="1244"/>
      <c r="Q2475" s="1244"/>
      <c r="R2475" s="1244"/>
      <c r="S2475" s="1265"/>
      <c r="T2475" s="1244"/>
      <c r="U2475" s="1244"/>
    </row>
    <row r="2476">
      <c r="A2476" s="1235"/>
      <c r="B2476" s="1235"/>
      <c r="C2476" s="1246"/>
      <c r="D2476" s="1274"/>
      <c r="E2476" s="1248"/>
      <c r="F2476" s="1248"/>
      <c r="G2476" s="1271"/>
      <c r="H2476" s="1250"/>
      <c r="I2476" s="1251"/>
      <c r="J2476" s="1271"/>
      <c r="K2476" s="1271"/>
      <c r="L2476" s="1254"/>
      <c r="M2476" s="1244"/>
      <c r="N2476" s="1275"/>
      <c r="O2476" s="1275"/>
      <c r="P2476" s="1244"/>
      <c r="Q2476" s="1244"/>
      <c r="R2476" s="1244"/>
      <c r="S2476" s="1265"/>
      <c r="T2476" s="1244"/>
      <c r="U2476" s="1244"/>
    </row>
    <row r="2477">
      <c r="A2477" s="1235"/>
      <c r="B2477" s="1235"/>
      <c r="C2477" s="1246"/>
      <c r="D2477" s="1274"/>
      <c r="E2477" s="1248"/>
      <c r="F2477" s="1248"/>
      <c r="G2477" s="1271"/>
      <c r="H2477" s="1250"/>
      <c r="I2477" s="1251"/>
      <c r="J2477" s="1271"/>
      <c r="K2477" s="1271"/>
      <c r="L2477" s="1254"/>
      <c r="M2477" s="1244"/>
      <c r="N2477" s="1275"/>
      <c r="O2477" s="1275"/>
      <c r="P2477" s="1244"/>
      <c r="Q2477" s="1244"/>
      <c r="R2477" s="1244"/>
      <c r="S2477" s="1265"/>
      <c r="T2477" s="1244"/>
      <c r="U2477" s="1244"/>
    </row>
    <row r="2478">
      <c r="A2478" s="1235"/>
      <c r="B2478" s="1235"/>
      <c r="C2478" s="1246"/>
      <c r="D2478" s="1274"/>
      <c r="E2478" s="1248"/>
      <c r="F2478" s="1248"/>
      <c r="G2478" s="1271"/>
      <c r="H2478" s="1250"/>
      <c r="I2478" s="1251"/>
      <c r="J2478" s="1271"/>
      <c r="K2478" s="1271"/>
      <c r="L2478" s="1254"/>
      <c r="M2478" s="1244"/>
      <c r="N2478" s="1275"/>
      <c r="O2478" s="1275"/>
      <c r="P2478" s="1244"/>
      <c r="Q2478" s="1244"/>
      <c r="R2478" s="1244"/>
      <c r="S2478" s="1265"/>
      <c r="T2478" s="1244"/>
      <c r="U2478" s="1244"/>
    </row>
    <row r="2479">
      <c r="A2479" s="1235"/>
      <c r="B2479" s="1235"/>
      <c r="C2479" s="1246"/>
      <c r="D2479" s="1274"/>
      <c r="E2479" s="1248"/>
      <c r="F2479" s="1248"/>
      <c r="G2479" s="1271"/>
      <c r="H2479" s="1250"/>
      <c r="I2479" s="1251"/>
      <c r="J2479" s="1271"/>
      <c r="K2479" s="1271"/>
      <c r="L2479" s="1254"/>
      <c r="M2479" s="1244"/>
      <c r="N2479" s="1275"/>
      <c r="O2479" s="1275"/>
      <c r="P2479" s="1244"/>
      <c r="Q2479" s="1244"/>
      <c r="R2479" s="1244"/>
      <c r="S2479" s="1265"/>
      <c r="T2479" s="1244"/>
      <c r="U2479" s="1244"/>
    </row>
    <row r="2480">
      <c r="A2480" s="1235"/>
      <c r="B2480" s="1235"/>
      <c r="C2480" s="1246"/>
      <c r="D2480" s="1274"/>
      <c r="E2480" s="1248"/>
      <c r="F2480" s="1248"/>
      <c r="G2480" s="1271"/>
      <c r="H2480" s="1250"/>
      <c r="I2480" s="1251"/>
      <c r="J2480" s="1271"/>
      <c r="K2480" s="1271"/>
      <c r="L2480" s="1254"/>
      <c r="M2480" s="1244"/>
      <c r="N2480" s="1275"/>
      <c r="O2480" s="1275"/>
      <c r="P2480" s="1244"/>
      <c r="Q2480" s="1244"/>
      <c r="R2480" s="1244"/>
      <c r="S2480" s="1265"/>
      <c r="T2480" s="1244"/>
      <c r="U2480" s="1244"/>
    </row>
    <row r="2481">
      <c r="A2481" s="1235"/>
      <c r="B2481" s="1235"/>
      <c r="C2481" s="1246"/>
      <c r="D2481" s="1274"/>
      <c r="E2481" s="1248"/>
      <c r="F2481" s="1248"/>
      <c r="G2481" s="1271"/>
      <c r="H2481" s="1250"/>
      <c r="I2481" s="1251"/>
      <c r="J2481" s="1271"/>
      <c r="K2481" s="1271"/>
      <c r="L2481" s="1254"/>
      <c r="M2481" s="1244"/>
      <c r="N2481" s="1275"/>
      <c r="O2481" s="1275"/>
      <c r="P2481" s="1244"/>
      <c r="Q2481" s="1244"/>
      <c r="R2481" s="1244"/>
      <c r="S2481" s="1265"/>
      <c r="T2481" s="1244"/>
      <c r="U2481" s="1244"/>
    </row>
    <row r="2482">
      <c r="A2482" s="1235"/>
      <c r="B2482" s="1235"/>
      <c r="C2482" s="1246"/>
      <c r="D2482" s="1274"/>
      <c r="E2482" s="1248"/>
      <c r="F2482" s="1248"/>
      <c r="G2482" s="1271"/>
      <c r="H2482" s="1250"/>
      <c r="I2482" s="1251"/>
      <c r="J2482" s="1271"/>
      <c r="K2482" s="1271"/>
      <c r="L2482" s="1254"/>
      <c r="M2482" s="1244"/>
      <c r="N2482" s="1275"/>
      <c r="O2482" s="1275"/>
      <c r="P2482" s="1244"/>
      <c r="Q2482" s="1244"/>
      <c r="R2482" s="1244"/>
      <c r="S2482" s="1265"/>
      <c r="T2482" s="1244"/>
      <c r="U2482" s="1244"/>
    </row>
    <row r="2483">
      <c r="A2483" s="1235"/>
      <c r="B2483" s="1235"/>
      <c r="C2483" s="1246"/>
      <c r="D2483" s="1274"/>
      <c r="E2483" s="1248"/>
      <c r="F2483" s="1248"/>
      <c r="G2483" s="1271"/>
      <c r="H2483" s="1250"/>
      <c r="I2483" s="1251"/>
      <c r="J2483" s="1271"/>
      <c r="K2483" s="1271"/>
      <c r="L2483" s="1254"/>
      <c r="M2483" s="1244"/>
      <c r="N2483" s="1275"/>
      <c r="O2483" s="1275"/>
      <c r="P2483" s="1244"/>
      <c r="Q2483" s="1244"/>
      <c r="R2483" s="1244"/>
      <c r="S2483" s="1265"/>
      <c r="T2483" s="1244"/>
      <c r="U2483" s="1244"/>
    </row>
    <row r="2484">
      <c r="A2484" s="1235"/>
      <c r="B2484" s="1235"/>
      <c r="C2484" s="1246"/>
      <c r="D2484" s="1274"/>
      <c r="E2484" s="1248"/>
      <c r="F2484" s="1248"/>
      <c r="G2484" s="1271"/>
      <c r="H2484" s="1250"/>
      <c r="I2484" s="1251"/>
      <c r="J2484" s="1271"/>
      <c r="K2484" s="1271"/>
      <c r="L2484" s="1254"/>
      <c r="M2484" s="1244"/>
      <c r="N2484" s="1275"/>
      <c r="O2484" s="1275"/>
      <c r="P2484" s="1244"/>
      <c r="Q2484" s="1244"/>
      <c r="R2484" s="1244"/>
      <c r="S2484" s="1265"/>
      <c r="T2484" s="1244"/>
      <c r="U2484" s="1244"/>
    </row>
    <row r="2485">
      <c r="A2485" s="1235"/>
      <c r="B2485" s="1235"/>
      <c r="C2485" s="1246"/>
      <c r="D2485" s="1274"/>
      <c r="E2485" s="1248"/>
      <c r="F2485" s="1248"/>
      <c r="G2485" s="1271"/>
      <c r="H2485" s="1250"/>
      <c r="I2485" s="1251"/>
      <c r="J2485" s="1271"/>
      <c r="K2485" s="1271"/>
      <c r="L2485" s="1254"/>
      <c r="M2485" s="1244"/>
      <c r="N2485" s="1275"/>
      <c r="O2485" s="1275"/>
      <c r="P2485" s="1244"/>
      <c r="Q2485" s="1244"/>
      <c r="R2485" s="1244"/>
      <c r="S2485" s="1265"/>
      <c r="T2485" s="1244"/>
      <c r="U2485" s="1244"/>
    </row>
    <row r="2486">
      <c r="A2486" s="1235"/>
      <c r="B2486" s="1235"/>
      <c r="C2486" s="1246"/>
      <c r="D2486" s="1274"/>
      <c r="E2486" s="1248"/>
      <c r="F2486" s="1248"/>
      <c r="G2486" s="1271"/>
      <c r="H2486" s="1250"/>
      <c r="I2486" s="1251"/>
      <c r="J2486" s="1271"/>
      <c r="K2486" s="1271"/>
      <c r="L2486" s="1254"/>
      <c r="M2486" s="1244"/>
      <c r="N2486" s="1275"/>
      <c r="O2486" s="1275"/>
      <c r="P2486" s="1244"/>
      <c r="Q2486" s="1244"/>
      <c r="R2486" s="1244"/>
      <c r="S2486" s="1265"/>
      <c r="T2486" s="1244"/>
      <c r="U2486" s="1244"/>
    </row>
    <row r="2487">
      <c r="A2487" s="1235"/>
      <c r="B2487" s="1235"/>
      <c r="C2487" s="1246"/>
      <c r="D2487" s="1274"/>
      <c r="E2487" s="1248"/>
      <c r="F2487" s="1248"/>
      <c r="G2487" s="1271"/>
      <c r="H2487" s="1250"/>
      <c r="I2487" s="1251"/>
      <c r="J2487" s="1271"/>
      <c r="K2487" s="1271"/>
      <c r="L2487" s="1254"/>
      <c r="M2487" s="1244"/>
      <c r="N2487" s="1275"/>
      <c r="O2487" s="1275"/>
      <c r="P2487" s="1244"/>
      <c r="Q2487" s="1244"/>
      <c r="R2487" s="1244"/>
      <c r="S2487" s="1265"/>
      <c r="T2487" s="1244"/>
      <c r="U2487" s="1244"/>
    </row>
    <row r="2488">
      <c r="A2488" s="1235"/>
      <c r="B2488" s="1235"/>
      <c r="C2488" s="1246"/>
      <c r="D2488" s="1274"/>
      <c r="E2488" s="1248"/>
      <c r="F2488" s="1248"/>
      <c r="G2488" s="1271"/>
      <c r="H2488" s="1250"/>
      <c r="I2488" s="1251"/>
      <c r="J2488" s="1271"/>
      <c r="K2488" s="1271"/>
      <c r="L2488" s="1254"/>
      <c r="M2488" s="1244"/>
      <c r="N2488" s="1275"/>
      <c r="O2488" s="1275"/>
      <c r="P2488" s="1244"/>
      <c r="Q2488" s="1244"/>
      <c r="R2488" s="1244"/>
      <c r="S2488" s="1265"/>
      <c r="T2488" s="1244"/>
      <c r="U2488" s="1244"/>
    </row>
    <row r="2489">
      <c r="A2489" s="1235"/>
      <c r="B2489" s="1235"/>
      <c r="C2489" s="1246"/>
      <c r="D2489" s="1274"/>
      <c r="E2489" s="1248"/>
      <c r="F2489" s="1248"/>
      <c r="G2489" s="1271"/>
      <c r="H2489" s="1250"/>
      <c r="I2489" s="1251"/>
      <c r="J2489" s="1271"/>
      <c r="K2489" s="1271"/>
      <c r="L2489" s="1254"/>
      <c r="M2489" s="1244"/>
      <c r="N2489" s="1275"/>
      <c r="O2489" s="1275"/>
      <c r="P2489" s="1244"/>
      <c r="Q2489" s="1244"/>
      <c r="R2489" s="1244"/>
      <c r="S2489" s="1265"/>
      <c r="T2489" s="1244"/>
      <c r="U2489" s="1244"/>
    </row>
    <row r="2490">
      <c r="A2490" s="1235"/>
      <c r="B2490" s="1235"/>
      <c r="C2490" s="1246"/>
      <c r="D2490" s="1274"/>
      <c r="E2490" s="1248"/>
      <c r="F2490" s="1248"/>
      <c r="G2490" s="1271"/>
      <c r="H2490" s="1250"/>
      <c r="I2490" s="1251"/>
      <c r="J2490" s="1271"/>
      <c r="K2490" s="1271"/>
      <c r="L2490" s="1254"/>
      <c r="M2490" s="1244"/>
      <c r="N2490" s="1275"/>
      <c r="O2490" s="1275"/>
      <c r="P2490" s="1244"/>
      <c r="Q2490" s="1244"/>
      <c r="R2490" s="1244"/>
      <c r="S2490" s="1265"/>
      <c r="T2490" s="1244"/>
      <c r="U2490" s="1244"/>
    </row>
    <row r="2491">
      <c r="A2491" s="1235"/>
      <c r="B2491" s="1235"/>
      <c r="C2491" s="1246"/>
      <c r="D2491" s="1274"/>
      <c r="E2491" s="1248"/>
      <c r="F2491" s="1248"/>
      <c r="G2491" s="1271"/>
      <c r="H2491" s="1250"/>
      <c r="I2491" s="1251"/>
      <c r="J2491" s="1271"/>
      <c r="K2491" s="1271"/>
      <c r="L2491" s="1254"/>
      <c r="M2491" s="1244"/>
      <c r="N2491" s="1275"/>
      <c r="O2491" s="1275"/>
      <c r="P2491" s="1244"/>
      <c r="Q2491" s="1244"/>
      <c r="R2491" s="1244"/>
      <c r="S2491" s="1265"/>
      <c r="T2491" s="1244"/>
      <c r="U2491" s="1244"/>
    </row>
    <row r="2492">
      <c r="A2492" s="1235"/>
      <c r="B2492" s="1235"/>
      <c r="C2492" s="1246"/>
      <c r="D2492" s="1274"/>
      <c r="E2492" s="1248"/>
      <c r="F2492" s="1248"/>
      <c r="G2492" s="1271"/>
      <c r="H2492" s="1250"/>
      <c r="I2492" s="1251"/>
      <c r="J2492" s="1271"/>
      <c r="K2492" s="1271"/>
      <c r="L2492" s="1254"/>
      <c r="M2492" s="1244"/>
      <c r="N2492" s="1275"/>
      <c r="O2492" s="1275"/>
      <c r="P2492" s="1244"/>
      <c r="Q2492" s="1244"/>
      <c r="R2492" s="1244"/>
      <c r="S2492" s="1265"/>
      <c r="T2492" s="1244"/>
      <c r="U2492" s="1244"/>
    </row>
    <row r="2493">
      <c r="A2493" s="1235"/>
      <c r="B2493" s="1235"/>
      <c r="C2493" s="1246"/>
      <c r="D2493" s="1274"/>
      <c r="E2493" s="1248"/>
      <c r="F2493" s="1248"/>
      <c r="G2493" s="1271"/>
      <c r="H2493" s="1250"/>
      <c r="I2493" s="1251"/>
      <c r="J2493" s="1271"/>
      <c r="K2493" s="1271"/>
      <c r="L2493" s="1254"/>
      <c r="M2493" s="1244"/>
      <c r="N2493" s="1275"/>
      <c r="O2493" s="1275"/>
      <c r="P2493" s="1244"/>
      <c r="Q2493" s="1244"/>
      <c r="R2493" s="1244"/>
      <c r="S2493" s="1265"/>
      <c r="T2493" s="1244"/>
      <c r="U2493" s="1244"/>
    </row>
    <row r="2494">
      <c r="A2494" s="1235"/>
      <c r="B2494" s="1235"/>
      <c r="C2494" s="1246"/>
      <c r="D2494" s="1274"/>
      <c r="E2494" s="1248"/>
      <c r="F2494" s="1248"/>
      <c r="G2494" s="1271"/>
      <c r="H2494" s="1250"/>
      <c r="I2494" s="1251"/>
      <c r="J2494" s="1271"/>
      <c r="K2494" s="1271"/>
      <c r="L2494" s="1254"/>
      <c r="M2494" s="1244"/>
      <c r="N2494" s="1275"/>
      <c r="O2494" s="1275"/>
      <c r="P2494" s="1244"/>
      <c r="Q2494" s="1244"/>
      <c r="R2494" s="1244"/>
      <c r="S2494" s="1265"/>
      <c r="T2494" s="1244"/>
      <c r="U2494" s="1244"/>
    </row>
    <row r="2495">
      <c r="A2495" s="1235"/>
      <c r="B2495" s="1235"/>
      <c r="C2495" s="1246"/>
      <c r="D2495" s="1274"/>
      <c r="E2495" s="1248"/>
      <c r="F2495" s="1248"/>
      <c r="G2495" s="1271"/>
      <c r="H2495" s="1250"/>
      <c r="I2495" s="1251"/>
      <c r="J2495" s="1271"/>
      <c r="K2495" s="1271"/>
      <c r="L2495" s="1254"/>
      <c r="M2495" s="1244"/>
      <c r="N2495" s="1275"/>
      <c r="O2495" s="1275"/>
      <c r="P2495" s="1244"/>
      <c r="Q2495" s="1244"/>
      <c r="R2495" s="1244"/>
      <c r="S2495" s="1265"/>
      <c r="T2495" s="1244"/>
      <c r="U2495" s="1244"/>
    </row>
    <row r="2496">
      <c r="A2496" s="1235"/>
      <c r="B2496" s="1235"/>
      <c r="C2496" s="1246"/>
      <c r="D2496" s="1274"/>
      <c r="E2496" s="1248"/>
      <c r="F2496" s="1248"/>
      <c r="G2496" s="1271"/>
      <c r="H2496" s="1250"/>
      <c r="I2496" s="1251"/>
      <c r="J2496" s="1271"/>
      <c r="K2496" s="1271"/>
      <c r="L2496" s="1254"/>
      <c r="M2496" s="1244"/>
      <c r="N2496" s="1275"/>
      <c r="O2496" s="1275"/>
      <c r="P2496" s="1244"/>
      <c r="Q2496" s="1244"/>
      <c r="R2496" s="1244"/>
      <c r="S2496" s="1265"/>
      <c r="T2496" s="1244"/>
      <c r="U2496" s="1244"/>
    </row>
    <row r="2497">
      <c r="A2497" s="1235"/>
      <c r="B2497" s="1235"/>
      <c r="C2497" s="1246"/>
      <c r="D2497" s="1274"/>
      <c r="E2497" s="1248"/>
      <c r="F2497" s="1248"/>
      <c r="G2497" s="1271"/>
      <c r="H2497" s="1250"/>
      <c r="I2497" s="1251"/>
      <c r="J2497" s="1271"/>
      <c r="K2497" s="1271"/>
      <c r="L2497" s="1254"/>
      <c r="M2497" s="1244"/>
      <c r="N2497" s="1275"/>
      <c r="O2497" s="1275"/>
      <c r="P2497" s="1244"/>
      <c r="Q2497" s="1244"/>
      <c r="R2497" s="1244"/>
      <c r="S2497" s="1265"/>
      <c r="T2497" s="1244"/>
      <c r="U2497" s="1244"/>
    </row>
    <row r="2498">
      <c r="A2498" s="1235"/>
      <c r="B2498" s="1235"/>
      <c r="C2498" s="1246"/>
      <c r="D2498" s="1274"/>
      <c r="E2498" s="1248"/>
      <c r="F2498" s="1248"/>
      <c r="G2498" s="1271"/>
      <c r="H2498" s="1250"/>
      <c r="I2498" s="1251"/>
      <c r="J2498" s="1271"/>
      <c r="K2498" s="1271"/>
      <c r="L2498" s="1254"/>
      <c r="M2498" s="1244"/>
      <c r="N2498" s="1275"/>
      <c r="O2498" s="1275"/>
      <c r="P2498" s="1244"/>
      <c r="Q2498" s="1244"/>
      <c r="R2498" s="1244"/>
      <c r="S2498" s="1265"/>
      <c r="T2498" s="1244"/>
      <c r="U2498" s="1244"/>
    </row>
    <row r="2499">
      <c r="A2499" s="1235"/>
      <c r="B2499" s="1235"/>
      <c r="C2499" s="1246"/>
      <c r="D2499" s="1274"/>
      <c r="E2499" s="1248"/>
      <c r="F2499" s="1248"/>
      <c r="G2499" s="1271"/>
      <c r="H2499" s="1250"/>
      <c r="I2499" s="1251"/>
      <c r="J2499" s="1271"/>
      <c r="K2499" s="1271"/>
      <c r="L2499" s="1254"/>
      <c r="M2499" s="1244"/>
      <c r="N2499" s="1275"/>
      <c r="O2499" s="1275"/>
      <c r="P2499" s="1244"/>
      <c r="Q2499" s="1244"/>
      <c r="R2499" s="1244"/>
      <c r="S2499" s="1265"/>
      <c r="T2499" s="1244"/>
      <c r="U2499" s="1244"/>
    </row>
    <row r="2500">
      <c r="A2500" s="1235"/>
      <c r="B2500" s="1235"/>
      <c r="C2500" s="1246"/>
      <c r="D2500" s="1274"/>
      <c r="E2500" s="1248"/>
      <c r="F2500" s="1248"/>
      <c r="G2500" s="1271"/>
      <c r="H2500" s="1250"/>
      <c r="I2500" s="1251"/>
      <c r="J2500" s="1271"/>
      <c r="K2500" s="1271"/>
      <c r="L2500" s="1254"/>
      <c r="M2500" s="1244"/>
      <c r="N2500" s="1275"/>
      <c r="O2500" s="1275"/>
      <c r="P2500" s="1244"/>
      <c r="Q2500" s="1244"/>
      <c r="R2500" s="1244"/>
      <c r="S2500" s="1265"/>
      <c r="T2500" s="1244"/>
      <c r="U2500" s="1244"/>
    </row>
    <row r="2501">
      <c r="A2501" s="1235"/>
      <c r="B2501" s="1235"/>
      <c r="C2501" s="1246"/>
      <c r="D2501" s="1274"/>
      <c r="E2501" s="1248"/>
      <c r="F2501" s="1248"/>
      <c r="G2501" s="1271"/>
      <c r="H2501" s="1250"/>
      <c r="I2501" s="1251"/>
      <c r="J2501" s="1271"/>
      <c r="K2501" s="1271"/>
      <c r="L2501" s="1254"/>
      <c r="M2501" s="1244"/>
      <c r="N2501" s="1275"/>
      <c r="O2501" s="1275"/>
      <c r="P2501" s="1244"/>
      <c r="Q2501" s="1244"/>
      <c r="R2501" s="1244"/>
      <c r="S2501" s="1265"/>
      <c r="T2501" s="1244"/>
      <c r="U2501" s="1244"/>
    </row>
    <row r="2502">
      <c r="A2502" s="1235"/>
      <c r="B2502" s="1235"/>
      <c r="C2502" s="1246"/>
      <c r="D2502" s="1274"/>
      <c r="E2502" s="1248"/>
      <c r="F2502" s="1248"/>
      <c r="G2502" s="1271"/>
      <c r="H2502" s="1250"/>
      <c r="I2502" s="1251"/>
      <c r="J2502" s="1271"/>
      <c r="K2502" s="1271"/>
      <c r="L2502" s="1254"/>
      <c r="M2502" s="1244"/>
      <c r="N2502" s="1275"/>
      <c r="O2502" s="1275"/>
      <c r="P2502" s="1244"/>
      <c r="Q2502" s="1244"/>
      <c r="R2502" s="1244"/>
      <c r="S2502" s="1265"/>
      <c r="T2502" s="1244"/>
      <c r="U2502" s="1244"/>
    </row>
    <row r="2503">
      <c r="A2503" s="1235"/>
      <c r="B2503" s="1235"/>
      <c r="C2503" s="1246"/>
      <c r="D2503" s="1274"/>
      <c r="E2503" s="1248"/>
      <c r="F2503" s="1248"/>
      <c r="G2503" s="1271"/>
      <c r="H2503" s="1250"/>
      <c r="I2503" s="1251"/>
      <c r="J2503" s="1271"/>
      <c r="K2503" s="1271"/>
      <c r="L2503" s="1254"/>
      <c r="M2503" s="1244"/>
      <c r="N2503" s="1275"/>
      <c r="O2503" s="1275"/>
      <c r="P2503" s="1244"/>
      <c r="Q2503" s="1244"/>
      <c r="R2503" s="1244"/>
      <c r="S2503" s="1265"/>
      <c r="T2503" s="1244"/>
      <c r="U2503" s="1244"/>
    </row>
    <row r="2504">
      <c r="A2504" s="1235"/>
      <c r="B2504" s="1235"/>
      <c r="C2504" s="1246"/>
      <c r="D2504" s="1274"/>
      <c r="E2504" s="1248"/>
      <c r="F2504" s="1248"/>
      <c r="G2504" s="1271"/>
      <c r="H2504" s="1250"/>
      <c r="I2504" s="1251"/>
      <c r="J2504" s="1271"/>
      <c r="K2504" s="1271"/>
      <c r="L2504" s="1254"/>
      <c r="M2504" s="1244"/>
      <c r="N2504" s="1275"/>
      <c r="O2504" s="1275"/>
      <c r="P2504" s="1244"/>
      <c r="Q2504" s="1244"/>
      <c r="R2504" s="1244"/>
      <c r="S2504" s="1265"/>
      <c r="T2504" s="1244"/>
      <c r="U2504" s="1244"/>
    </row>
    <row r="2505">
      <c r="A2505" s="1235"/>
      <c r="B2505" s="1235"/>
      <c r="C2505" s="1246"/>
      <c r="D2505" s="1274"/>
      <c r="E2505" s="1248"/>
      <c r="F2505" s="1248"/>
      <c r="G2505" s="1271"/>
      <c r="H2505" s="1250"/>
      <c r="I2505" s="1251"/>
      <c r="J2505" s="1271"/>
      <c r="K2505" s="1271"/>
      <c r="L2505" s="1254"/>
      <c r="M2505" s="1244"/>
      <c r="N2505" s="1275"/>
      <c r="O2505" s="1275"/>
      <c r="P2505" s="1244"/>
      <c r="Q2505" s="1244"/>
      <c r="R2505" s="1244"/>
      <c r="S2505" s="1265"/>
      <c r="T2505" s="1244"/>
      <c r="U2505" s="1244"/>
    </row>
    <row r="2506">
      <c r="A2506" s="1235"/>
      <c r="B2506" s="1235"/>
      <c r="C2506" s="1246"/>
      <c r="D2506" s="1274"/>
      <c r="E2506" s="1248"/>
      <c r="F2506" s="1248"/>
      <c r="G2506" s="1271"/>
      <c r="H2506" s="1250"/>
      <c r="I2506" s="1251"/>
      <c r="J2506" s="1271"/>
      <c r="K2506" s="1271"/>
      <c r="L2506" s="1254"/>
      <c r="M2506" s="1244"/>
      <c r="N2506" s="1275"/>
      <c r="O2506" s="1275"/>
      <c r="P2506" s="1244"/>
      <c r="Q2506" s="1244"/>
      <c r="R2506" s="1244"/>
      <c r="S2506" s="1265"/>
      <c r="T2506" s="1244"/>
      <c r="U2506" s="1244"/>
    </row>
    <row r="2507">
      <c r="A2507" s="1235"/>
      <c r="B2507" s="1235"/>
      <c r="C2507" s="1246"/>
      <c r="D2507" s="1274"/>
      <c r="E2507" s="1248"/>
      <c r="F2507" s="1248"/>
      <c r="G2507" s="1271"/>
      <c r="H2507" s="1250"/>
      <c r="I2507" s="1251"/>
      <c r="J2507" s="1271"/>
      <c r="K2507" s="1271"/>
      <c r="L2507" s="1254"/>
      <c r="M2507" s="1244"/>
      <c r="N2507" s="1275"/>
      <c r="O2507" s="1275"/>
      <c r="P2507" s="1244"/>
      <c r="Q2507" s="1244"/>
      <c r="R2507" s="1244"/>
      <c r="S2507" s="1265"/>
      <c r="T2507" s="1244"/>
      <c r="U2507" s="1244"/>
    </row>
    <row r="2508">
      <c r="A2508" s="1235"/>
      <c r="B2508" s="1235"/>
      <c r="C2508" s="1246"/>
      <c r="D2508" s="1274"/>
      <c r="E2508" s="1248"/>
      <c r="F2508" s="1248"/>
      <c r="G2508" s="1271"/>
      <c r="H2508" s="1250"/>
      <c r="I2508" s="1251"/>
      <c r="J2508" s="1271"/>
      <c r="K2508" s="1271"/>
      <c r="L2508" s="1254"/>
      <c r="M2508" s="1244"/>
      <c r="N2508" s="1275"/>
      <c r="O2508" s="1275"/>
      <c r="P2508" s="1244"/>
      <c r="Q2508" s="1244"/>
      <c r="R2508" s="1244"/>
      <c r="S2508" s="1265"/>
      <c r="T2508" s="1244"/>
      <c r="U2508" s="1244"/>
    </row>
    <row r="2509">
      <c r="A2509" s="1235"/>
      <c r="B2509" s="1235"/>
      <c r="C2509" s="1246"/>
      <c r="D2509" s="1274"/>
      <c r="E2509" s="1248"/>
      <c r="F2509" s="1248"/>
      <c r="G2509" s="1271"/>
      <c r="H2509" s="1250"/>
      <c r="I2509" s="1251"/>
      <c r="J2509" s="1271"/>
      <c r="K2509" s="1271"/>
      <c r="L2509" s="1254"/>
      <c r="M2509" s="1244"/>
      <c r="N2509" s="1275"/>
      <c r="O2509" s="1275"/>
      <c r="P2509" s="1244"/>
      <c r="Q2509" s="1244"/>
      <c r="R2509" s="1244"/>
      <c r="S2509" s="1265"/>
      <c r="T2509" s="1244"/>
      <c r="U2509" s="1244"/>
    </row>
    <row r="2510">
      <c r="A2510" s="1235"/>
      <c r="B2510" s="1235"/>
      <c r="C2510" s="1246"/>
      <c r="D2510" s="1274"/>
      <c r="E2510" s="1248"/>
      <c r="F2510" s="1248"/>
      <c r="G2510" s="1271"/>
      <c r="H2510" s="1250"/>
      <c r="I2510" s="1251"/>
      <c r="J2510" s="1271"/>
      <c r="K2510" s="1271"/>
      <c r="L2510" s="1254"/>
      <c r="M2510" s="1244"/>
      <c r="N2510" s="1275"/>
      <c r="O2510" s="1275"/>
      <c r="P2510" s="1244"/>
      <c r="Q2510" s="1244"/>
      <c r="R2510" s="1244"/>
      <c r="S2510" s="1265"/>
      <c r="T2510" s="1244"/>
      <c r="U2510" s="1244"/>
    </row>
    <row r="2511">
      <c r="A2511" s="1235"/>
      <c r="B2511" s="1235"/>
      <c r="C2511" s="1246"/>
      <c r="D2511" s="1274"/>
      <c r="E2511" s="1248"/>
      <c r="F2511" s="1248"/>
      <c r="G2511" s="1271"/>
      <c r="H2511" s="1250"/>
      <c r="I2511" s="1251"/>
      <c r="J2511" s="1271"/>
      <c r="K2511" s="1271"/>
      <c r="L2511" s="1254"/>
      <c r="M2511" s="1244"/>
      <c r="N2511" s="1275"/>
      <c r="O2511" s="1275"/>
      <c r="P2511" s="1244"/>
      <c r="Q2511" s="1244"/>
      <c r="R2511" s="1244"/>
      <c r="S2511" s="1265"/>
      <c r="T2511" s="1244"/>
      <c r="U2511" s="1244"/>
    </row>
    <row r="2512">
      <c r="A2512" s="1235"/>
      <c r="B2512" s="1235"/>
      <c r="C2512" s="1246"/>
      <c r="D2512" s="1274"/>
      <c r="E2512" s="1248"/>
      <c r="F2512" s="1248"/>
      <c r="G2512" s="1271"/>
      <c r="H2512" s="1250"/>
      <c r="I2512" s="1251"/>
      <c r="J2512" s="1271"/>
      <c r="K2512" s="1271"/>
      <c r="L2512" s="1254"/>
      <c r="M2512" s="1244"/>
      <c r="N2512" s="1275"/>
      <c r="O2512" s="1275"/>
      <c r="P2512" s="1244"/>
      <c r="Q2512" s="1244"/>
      <c r="R2512" s="1244"/>
      <c r="S2512" s="1265"/>
      <c r="T2512" s="1244"/>
      <c r="U2512" s="1244"/>
    </row>
    <row r="2513">
      <c r="A2513" s="1235"/>
      <c r="B2513" s="1235"/>
      <c r="C2513" s="1246"/>
      <c r="D2513" s="1274"/>
      <c r="E2513" s="1248"/>
      <c r="F2513" s="1248"/>
      <c r="G2513" s="1271"/>
      <c r="H2513" s="1250"/>
      <c r="I2513" s="1251"/>
      <c r="J2513" s="1271"/>
      <c r="K2513" s="1271"/>
      <c r="L2513" s="1254"/>
      <c r="M2513" s="1244"/>
      <c r="N2513" s="1275"/>
      <c r="O2513" s="1275"/>
      <c r="P2513" s="1244"/>
      <c r="Q2513" s="1244"/>
      <c r="R2513" s="1244"/>
      <c r="S2513" s="1265"/>
      <c r="T2513" s="1244"/>
      <c r="U2513" s="1244"/>
    </row>
    <row r="2514">
      <c r="A2514" s="1235"/>
      <c r="B2514" s="1235"/>
      <c r="C2514" s="1246"/>
      <c r="D2514" s="1274"/>
      <c r="E2514" s="1248"/>
      <c r="F2514" s="1248"/>
      <c r="G2514" s="1271"/>
      <c r="H2514" s="1250"/>
      <c r="I2514" s="1251"/>
      <c r="J2514" s="1271"/>
      <c r="K2514" s="1271"/>
      <c r="L2514" s="1254"/>
      <c r="M2514" s="1244"/>
      <c r="N2514" s="1275"/>
      <c r="O2514" s="1275"/>
      <c r="P2514" s="1244"/>
      <c r="Q2514" s="1244"/>
      <c r="R2514" s="1244"/>
      <c r="S2514" s="1265"/>
      <c r="T2514" s="1244"/>
      <c r="U2514" s="1244"/>
    </row>
    <row r="2515">
      <c r="A2515" s="1235"/>
      <c r="B2515" s="1235"/>
      <c r="C2515" s="1246"/>
      <c r="D2515" s="1274"/>
      <c r="E2515" s="1248"/>
      <c r="F2515" s="1248"/>
      <c r="G2515" s="1271"/>
      <c r="H2515" s="1250"/>
      <c r="I2515" s="1251"/>
      <c r="J2515" s="1271"/>
      <c r="K2515" s="1271"/>
      <c r="L2515" s="1254"/>
      <c r="M2515" s="1244"/>
      <c r="N2515" s="1275"/>
      <c r="O2515" s="1275"/>
      <c r="P2515" s="1244"/>
      <c r="Q2515" s="1244"/>
      <c r="R2515" s="1244"/>
      <c r="S2515" s="1265"/>
      <c r="T2515" s="1244"/>
      <c r="U2515" s="1244"/>
    </row>
    <row r="2516">
      <c r="A2516" s="1235"/>
      <c r="B2516" s="1235"/>
      <c r="C2516" s="1246"/>
      <c r="D2516" s="1274"/>
      <c r="E2516" s="1248"/>
      <c r="F2516" s="1248"/>
      <c r="G2516" s="1271"/>
      <c r="H2516" s="1250"/>
      <c r="I2516" s="1251"/>
      <c r="J2516" s="1271"/>
      <c r="K2516" s="1271"/>
      <c r="L2516" s="1254"/>
      <c r="M2516" s="1244"/>
      <c r="N2516" s="1275"/>
      <c r="O2516" s="1275"/>
      <c r="P2516" s="1244"/>
      <c r="Q2516" s="1244"/>
      <c r="R2516" s="1244"/>
      <c r="S2516" s="1265"/>
      <c r="T2516" s="1244"/>
      <c r="U2516" s="1244"/>
    </row>
    <row r="2517">
      <c r="A2517" s="1235"/>
      <c r="B2517" s="1235"/>
      <c r="C2517" s="1246"/>
      <c r="D2517" s="1274"/>
      <c r="E2517" s="1248"/>
      <c r="F2517" s="1248"/>
      <c r="G2517" s="1271"/>
      <c r="H2517" s="1250"/>
      <c r="I2517" s="1251"/>
      <c r="J2517" s="1271"/>
      <c r="K2517" s="1271"/>
      <c r="L2517" s="1254"/>
      <c r="M2517" s="1244"/>
      <c r="N2517" s="1275"/>
      <c r="O2517" s="1275"/>
      <c r="P2517" s="1244"/>
      <c r="Q2517" s="1244"/>
      <c r="R2517" s="1244"/>
      <c r="S2517" s="1265"/>
      <c r="T2517" s="1244"/>
      <c r="U2517" s="1244"/>
    </row>
    <row r="2518">
      <c r="A2518" s="1235"/>
      <c r="B2518" s="1235"/>
      <c r="C2518" s="1246"/>
      <c r="D2518" s="1274"/>
      <c r="E2518" s="1248"/>
      <c r="F2518" s="1248"/>
      <c r="G2518" s="1271"/>
      <c r="H2518" s="1250"/>
      <c r="I2518" s="1251"/>
      <c r="J2518" s="1271"/>
      <c r="K2518" s="1271"/>
      <c r="L2518" s="1254"/>
      <c r="M2518" s="1244"/>
      <c r="N2518" s="1275"/>
      <c r="O2518" s="1275"/>
      <c r="P2518" s="1244"/>
      <c r="Q2518" s="1244"/>
      <c r="R2518" s="1244"/>
      <c r="S2518" s="1265"/>
      <c r="T2518" s="1244"/>
      <c r="U2518" s="1244"/>
    </row>
    <row r="2519">
      <c r="A2519" s="1235"/>
      <c r="B2519" s="1235"/>
      <c r="C2519" s="1246"/>
      <c r="D2519" s="1274"/>
      <c r="E2519" s="1248"/>
      <c r="F2519" s="1248"/>
      <c r="G2519" s="1271"/>
      <c r="H2519" s="1250"/>
      <c r="I2519" s="1251"/>
      <c r="J2519" s="1271"/>
      <c r="K2519" s="1271"/>
      <c r="L2519" s="1254"/>
      <c r="M2519" s="1244"/>
      <c r="N2519" s="1275"/>
      <c r="O2519" s="1275"/>
      <c r="P2519" s="1244"/>
      <c r="Q2519" s="1244"/>
      <c r="R2519" s="1244"/>
      <c r="S2519" s="1265"/>
      <c r="T2519" s="1244"/>
      <c r="U2519" s="1244"/>
    </row>
    <row r="2520">
      <c r="A2520" s="1235"/>
      <c r="B2520" s="1235"/>
      <c r="C2520" s="1246"/>
      <c r="D2520" s="1274"/>
      <c r="E2520" s="1248"/>
      <c r="F2520" s="1248"/>
      <c r="G2520" s="1271"/>
      <c r="H2520" s="1250"/>
      <c r="I2520" s="1251"/>
      <c r="J2520" s="1271"/>
      <c r="K2520" s="1271"/>
      <c r="L2520" s="1254"/>
      <c r="M2520" s="1244"/>
      <c r="N2520" s="1275"/>
      <c r="O2520" s="1275"/>
      <c r="P2520" s="1244"/>
      <c r="Q2520" s="1244"/>
      <c r="R2520" s="1244"/>
      <c r="S2520" s="1265"/>
      <c r="T2520" s="1244"/>
      <c r="U2520" s="1244"/>
    </row>
    <row r="2521">
      <c r="A2521" s="1235"/>
      <c r="B2521" s="1235"/>
      <c r="C2521" s="1246"/>
      <c r="D2521" s="1274"/>
      <c r="E2521" s="1248"/>
      <c r="F2521" s="1248"/>
      <c r="G2521" s="1271"/>
      <c r="H2521" s="1250"/>
      <c r="I2521" s="1251"/>
      <c r="J2521" s="1271"/>
      <c r="K2521" s="1271"/>
      <c r="L2521" s="1254"/>
      <c r="M2521" s="1244"/>
      <c r="N2521" s="1275"/>
      <c r="O2521" s="1275"/>
      <c r="P2521" s="1244"/>
      <c r="Q2521" s="1244"/>
      <c r="R2521" s="1244"/>
      <c r="S2521" s="1265"/>
      <c r="T2521" s="1244"/>
      <c r="U2521" s="1244"/>
    </row>
    <row r="2522">
      <c r="A2522" s="1235"/>
      <c r="B2522" s="1235"/>
      <c r="C2522" s="1246"/>
      <c r="D2522" s="1274"/>
      <c r="E2522" s="1248"/>
      <c r="F2522" s="1248"/>
      <c r="G2522" s="1271"/>
      <c r="H2522" s="1250"/>
      <c r="I2522" s="1251"/>
      <c r="J2522" s="1271"/>
      <c r="K2522" s="1271"/>
      <c r="L2522" s="1254"/>
      <c r="M2522" s="1244"/>
      <c r="N2522" s="1275"/>
      <c r="O2522" s="1275"/>
      <c r="P2522" s="1244"/>
      <c r="Q2522" s="1244"/>
      <c r="R2522" s="1244"/>
      <c r="S2522" s="1265"/>
      <c r="T2522" s="1244"/>
      <c r="U2522" s="1244"/>
    </row>
    <row r="2523">
      <c r="A2523" s="1235"/>
      <c r="B2523" s="1235"/>
      <c r="C2523" s="1246"/>
      <c r="D2523" s="1274"/>
      <c r="E2523" s="1248"/>
      <c r="F2523" s="1248"/>
      <c r="G2523" s="1271"/>
      <c r="H2523" s="1250"/>
      <c r="I2523" s="1251"/>
      <c r="J2523" s="1271"/>
      <c r="K2523" s="1271"/>
      <c r="L2523" s="1254"/>
      <c r="M2523" s="1244"/>
      <c r="N2523" s="1275"/>
      <c r="O2523" s="1275"/>
      <c r="P2523" s="1244"/>
      <c r="Q2523" s="1244"/>
      <c r="R2523" s="1244"/>
      <c r="S2523" s="1265"/>
      <c r="T2523" s="1244"/>
      <c r="U2523" s="1244"/>
    </row>
    <row r="2524">
      <c r="A2524" s="1235"/>
      <c r="B2524" s="1235"/>
      <c r="C2524" s="1246"/>
      <c r="D2524" s="1274"/>
      <c r="E2524" s="1248"/>
      <c r="F2524" s="1248"/>
      <c r="G2524" s="1271"/>
      <c r="H2524" s="1250"/>
      <c r="I2524" s="1251"/>
      <c r="J2524" s="1271"/>
      <c r="K2524" s="1271"/>
      <c r="L2524" s="1254"/>
      <c r="M2524" s="1244"/>
      <c r="N2524" s="1275"/>
      <c r="O2524" s="1275"/>
      <c r="P2524" s="1244"/>
      <c r="Q2524" s="1244"/>
      <c r="R2524" s="1244"/>
      <c r="S2524" s="1265"/>
      <c r="T2524" s="1244"/>
      <c r="U2524" s="1244"/>
    </row>
    <row r="2525">
      <c r="A2525" s="1235"/>
      <c r="B2525" s="1235"/>
      <c r="C2525" s="1246"/>
      <c r="D2525" s="1274"/>
      <c r="E2525" s="1248"/>
      <c r="F2525" s="1248"/>
      <c r="G2525" s="1271"/>
      <c r="H2525" s="1250"/>
      <c r="I2525" s="1251"/>
      <c r="J2525" s="1271"/>
      <c r="K2525" s="1271"/>
      <c r="L2525" s="1254"/>
      <c r="M2525" s="1244"/>
      <c r="N2525" s="1275"/>
      <c r="O2525" s="1275"/>
      <c r="P2525" s="1244"/>
      <c r="Q2525" s="1244"/>
      <c r="R2525" s="1244"/>
      <c r="S2525" s="1265"/>
      <c r="T2525" s="1244"/>
      <c r="U2525" s="1244"/>
    </row>
    <row r="2526">
      <c r="A2526" s="1235"/>
      <c r="B2526" s="1235"/>
      <c r="C2526" s="1246"/>
      <c r="D2526" s="1274"/>
      <c r="E2526" s="1248"/>
      <c r="F2526" s="1248"/>
      <c r="G2526" s="1271"/>
      <c r="H2526" s="1250"/>
      <c r="I2526" s="1251"/>
      <c r="J2526" s="1271"/>
      <c r="K2526" s="1271"/>
      <c r="L2526" s="1254"/>
      <c r="M2526" s="1244"/>
      <c r="N2526" s="1275"/>
      <c r="O2526" s="1275"/>
      <c r="P2526" s="1244"/>
      <c r="Q2526" s="1244"/>
      <c r="R2526" s="1244"/>
      <c r="S2526" s="1265"/>
      <c r="T2526" s="1244"/>
      <c r="U2526" s="1244"/>
    </row>
    <row r="2527">
      <c r="A2527" s="1235"/>
      <c r="B2527" s="1235"/>
      <c r="C2527" s="1246"/>
      <c r="D2527" s="1274"/>
      <c r="E2527" s="1248"/>
      <c r="F2527" s="1248"/>
      <c r="G2527" s="1271"/>
      <c r="H2527" s="1250"/>
      <c r="I2527" s="1251"/>
      <c r="J2527" s="1271"/>
      <c r="K2527" s="1271"/>
      <c r="L2527" s="1254"/>
      <c r="M2527" s="1244"/>
      <c r="N2527" s="1275"/>
      <c r="O2527" s="1275"/>
      <c r="P2527" s="1244"/>
      <c r="Q2527" s="1244"/>
      <c r="R2527" s="1244"/>
      <c r="S2527" s="1265"/>
      <c r="T2527" s="1244"/>
      <c r="U2527" s="1244"/>
    </row>
    <row r="2528">
      <c r="A2528" s="1235"/>
      <c r="B2528" s="1235"/>
      <c r="C2528" s="1246"/>
      <c r="D2528" s="1274"/>
      <c r="E2528" s="1248"/>
      <c r="F2528" s="1248"/>
      <c r="G2528" s="1271"/>
      <c r="H2528" s="1250"/>
      <c r="I2528" s="1251"/>
      <c r="J2528" s="1271"/>
      <c r="K2528" s="1271"/>
      <c r="L2528" s="1254"/>
      <c r="M2528" s="1244"/>
      <c r="N2528" s="1275"/>
      <c r="O2528" s="1275"/>
      <c r="P2528" s="1244"/>
      <c r="Q2528" s="1244"/>
      <c r="R2528" s="1244"/>
      <c r="S2528" s="1265"/>
      <c r="T2528" s="1244"/>
      <c r="U2528" s="1244"/>
    </row>
    <row r="2529">
      <c r="A2529" s="1235"/>
      <c r="B2529" s="1235"/>
      <c r="C2529" s="1246"/>
      <c r="D2529" s="1274"/>
      <c r="E2529" s="1248"/>
      <c r="F2529" s="1248"/>
      <c r="G2529" s="1271"/>
      <c r="H2529" s="1250"/>
      <c r="I2529" s="1251"/>
      <c r="J2529" s="1271"/>
      <c r="K2529" s="1271"/>
      <c r="L2529" s="1254"/>
      <c r="M2529" s="1244"/>
      <c r="N2529" s="1275"/>
      <c r="O2529" s="1275"/>
      <c r="P2529" s="1244"/>
      <c r="Q2529" s="1244"/>
      <c r="R2529" s="1244"/>
      <c r="S2529" s="1265"/>
      <c r="T2529" s="1244"/>
      <c r="U2529" s="1244"/>
    </row>
    <row r="2530">
      <c r="A2530" s="1235"/>
      <c r="B2530" s="1235"/>
      <c r="C2530" s="1246"/>
      <c r="D2530" s="1274"/>
      <c r="E2530" s="1248"/>
      <c r="F2530" s="1248"/>
      <c r="G2530" s="1271"/>
      <c r="H2530" s="1250"/>
      <c r="I2530" s="1251"/>
      <c r="J2530" s="1271"/>
      <c r="K2530" s="1271"/>
      <c r="L2530" s="1254"/>
      <c r="M2530" s="1244"/>
      <c r="N2530" s="1275"/>
      <c r="O2530" s="1275"/>
      <c r="P2530" s="1244"/>
      <c r="Q2530" s="1244"/>
      <c r="R2530" s="1244"/>
      <c r="S2530" s="1265"/>
      <c r="T2530" s="1244"/>
      <c r="U2530" s="1244"/>
    </row>
    <row r="2531">
      <c r="A2531" s="1235"/>
      <c r="B2531" s="1235"/>
      <c r="C2531" s="1246"/>
      <c r="D2531" s="1274"/>
      <c r="E2531" s="1248"/>
      <c r="F2531" s="1248"/>
      <c r="G2531" s="1271"/>
      <c r="H2531" s="1250"/>
      <c r="I2531" s="1251"/>
      <c r="J2531" s="1271"/>
      <c r="K2531" s="1271"/>
      <c r="L2531" s="1254"/>
      <c r="M2531" s="1244"/>
      <c r="N2531" s="1275"/>
      <c r="O2531" s="1275"/>
      <c r="P2531" s="1244"/>
      <c r="Q2531" s="1244"/>
      <c r="R2531" s="1244"/>
      <c r="S2531" s="1265"/>
      <c r="T2531" s="1244"/>
      <c r="U2531" s="1244"/>
    </row>
    <row r="2532">
      <c r="A2532" s="1235"/>
      <c r="B2532" s="1235"/>
      <c r="C2532" s="1246"/>
      <c r="D2532" s="1274"/>
      <c r="E2532" s="1248"/>
      <c r="F2532" s="1248"/>
      <c r="G2532" s="1271"/>
      <c r="H2532" s="1250"/>
      <c r="I2532" s="1251"/>
      <c r="J2532" s="1271"/>
      <c r="K2532" s="1271"/>
      <c r="L2532" s="1254"/>
      <c r="M2532" s="1244"/>
      <c r="N2532" s="1275"/>
      <c r="O2532" s="1275"/>
      <c r="P2532" s="1244"/>
      <c r="Q2532" s="1244"/>
      <c r="R2532" s="1244"/>
      <c r="S2532" s="1265"/>
      <c r="T2532" s="1244"/>
      <c r="U2532" s="1244"/>
    </row>
    <row r="2533">
      <c r="A2533" s="1235"/>
      <c r="B2533" s="1235"/>
      <c r="C2533" s="1246"/>
      <c r="D2533" s="1274"/>
      <c r="E2533" s="1248"/>
      <c r="F2533" s="1248"/>
      <c r="G2533" s="1271"/>
      <c r="H2533" s="1250"/>
      <c r="I2533" s="1251"/>
      <c r="J2533" s="1271"/>
      <c r="K2533" s="1271"/>
      <c r="L2533" s="1254"/>
      <c r="M2533" s="1244"/>
      <c r="N2533" s="1275"/>
      <c r="O2533" s="1275"/>
      <c r="P2533" s="1244"/>
      <c r="Q2533" s="1244"/>
      <c r="R2533" s="1244"/>
      <c r="S2533" s="1265"/>
      <c r="T2533" s="1244"/>
      <c r="U2533" s="1244"/>
    </row>
    <row r="2534">
      <c r="A2534" s="1235"/>
      <c r="B2534" s="1235"/>
      <c r="C2534" s="1246"/>
      <c r="D2534" s="1274"/>
      <c r="E2534" s="1248"/>
      <c r="F2534" s="1248"/>
      <c r="G2534" s="1271"/>
      <c r="H2534" s="1250"/>
      <c r="I2534" s="1251"/>
      <c r="J2534" s="1271"/>
      <c r="K2534" s="1271"/>
      <c r="L2534" s="1254"/>
      <c r="M2534" s="1244"/>
      <c r="N2534" s="1275"/>
      <c r="O2534" s="1275"/>
      <c r="P2534" s="1244"/>
      <c r="Q2534" s="1244"/>
      <c r="R2534" s="1244"/>
      <c r="S2534" s="1265"/>
      <c r="T2534" s="1244"/>
      <c r="U2534" s="1244"/>
    </row>
    <row r="2535">
      <c r="A2535" s="1235"/>
      <c r="B2535" s="1235"/>
      <c r="C2535" s="1246"/>
      <c r="D2535" s="1274"/>
      <c r="E2535" s="1248"/>
      <c r="F2535" s="1248"/>
      <c r="G2535" s="1271"/>
      <c r="H2535" s="1250"/>
      <c r="I2535" s="1251"/>
      <c r="J2535" s="1271"/>
      <c r="K2535" s="1271"/>
      <c r="L2535" s="1254"/>
      <c r="M2535" s="1244"/>
      <c r="N2535" s="1275"/>
      <c r="O2535" s="1275"/>
      <c r="P2535" s="1244"/>
      <c r="Q2535" s="1244"/>
      <c r="R2535" s="1244"/>
      <c r="S2535" s="1265"/>
      <c r="T2535" s="1244"/>
      <c r="U2535" s="1244"/>
    </row>
    <row r="2536">
      <c r="A2536" s="1235"/>
      <c r="B2536" s="1235"/>
      <c r="C2536" s="1246"/>
      <c r="D2536" s="1274"/>
      <c r="E2536" s="1248"/>
      <c r="F2536" s="1248"/>
      <c r="G2536" s="1271"/>
      <c r="H2536" s="1250"/>
      <c r="I2536" s="1251"/>
      <c r="J2536" s="1271"/>
      <c r="K2536" s="1271"/>
      <c r="L2536" s="1254"/>
      <c r="M2536" s="1244"/>
      <c r="N2536" s="1275"/>
      <c r="O2536" s="1275"/>
      <c r="P2536" s="1244"/>
      <c r="Q2536" s="1244"/>
      <c r="R2536" s="1244"/>
      <c r="S2536" s="1265"/>
      <c r="T2536" s="1244"/>
      <c r="U2536" s="1244"/>
    </row>
    <row r="2537">
      <c r="A2537" s="1235"/>
      <c r="B2537" s="1235"/>
      <c r="C2537" s="1246"/>
      <c r="D2537" s="1274"/>
      <c r="E2537" s="1248"/>
      <c r="F2537" s="1248"/>
      <c r="G2537" s="1271"/>
      <c r="H2537" s="1250"/>
      <c r="I2537" s="1251"/>
      <c r="J2537" s="1271"/>
      <c r="K2537" s="1271"/>
      <c r="L2537" s="1254"/>
      <c r="M2537" s="1244"/>
      <c r="N2537" s="1275"/>
      <c r="O2537" s="1275"/>
      <c r="P2537" s="1244"/>
      <c r="Q2537" s="1244"/>
      <c r="R2537" s="1244"/>
      <c r="S2537" s="1265"/>
      <c r="T2537" s="1244"/>
      <c r="U2537" s="1244"/>
    </row>
    <row r="2538">
      <c r="A2538" s="1235"/>
      <c r="B2538" s="1235"/>
      <c r="C2538" s="1246"/>
      <c r="D2538" s="1274"/>
      <c r="E2538" s="1248"/>
      <c r="F2538" s="1248"/>
      <c r="G2538" s="1271"/>
      <c r="H2538" s="1250"/>
      <c r="I2538" s="1251"/>
      <c r="J2538" s="1271"/>
      <c r="K2538" s="1271"/>
      <c r="L2538" s="1254"/>
      <c r="M2538" s="1244"/>
      <c r="N2538" s="1275"/>
      <c r="O2538" s="1275"/>
      <c r="P2538" s="1244"/>
      <c r="Q2538" s="1244"/>
      <c r="R2538" s="1244"/>
      <c r="S2538" s="1265"/>
      <c r="T2538" s="1244"/>
      <c r="U2538" s="1244"/>
    </row>
    <row r="2539">
      <c r="A2539" s="1235"/>
      <c r="B2539" s="1235"/>
      <c r="C2539" s="1246"/>
      <c r="D2539" s="1274"/>
      <c r="E2539" s="1248"/>
      <c r="F2539" s="1248"/>
      <c r="G2539" s="1271"/>
      <c r="H2539" s="1250"/>
      <c r="I2539" s="1251"/>
      <c r="J2539" s="1271"/>
      <c r="K2539" s="1271"/>
      <c r="L2539" s="1254"/>
      <c r="M2539" s="1244"/>
      <c r="N2539" s="1275"/>
      <c r="O2539" s="1275"/>
      <c r="P2539" s="1244"/>
      <c r="Q2539" s="1244"/>
      <c r="R2539" s="1244"/>
      <c r="S2539" s="1265"/>
      <c r="T2539" s="1244"/>
      <c r="U2539" s="1244"/>
    </row>
    <row r="2540">
      <c r="A2540" s="1235"/>
      <c r="B2540" s="1235"/>
      <c r="C2540" s="1246"/>
      <c r="D2540" s="1274"/>
      <c r="E2540" s="1248"/>
      <c r="F2540" s="1248"/>
      <c r="G2540" s="1271"/>
      <c r="H2540" s="1250"/>
      <c r="I2540" s="1251"/>
      <c r="J2540" s="1271"/>
      <c r="K2540" s="1271"/>
      <c r="L2540" s="1254"/>
      <c r="M2540" s="1244"/>
      <c r="N2540" s="1275"/>
      <c r="O2540" s="1275"/>
      <c r="P2540" s="1244"/>
      <c r="Q2540" s="1244"/>
      <c r="R2540" s="1244"/>
      <c r="S2540" s="1265"/>
      <c r="T2540" s="1244"/>
      <c r="U2540" s="1244"/>
    </row>
    <row r="2541">
      <c r="A2541" s="1235"/>
      <c r="B2541" s="1235"/>
      <c r="C2541" s="1246"/>
      <c r="D2541" s="1274"/>
      <c r="E2541" s="1248"/>
      <c r="F2541" s="1248"/>
      <c r="G2541" s="1271"/>
      <c r="H2541" s="1250"/>
      <c r="I2541" s="1251"/>
      <c r="J2541" s="1271"/>
      <c r="K2541" s="1271"/>
      <c r="L2541" s="1254"/>
      <c r="M2541" s="1244"/>
      <c r="N2541" s="1275"/>
      <c r="O2541" s="1275"/>
      <c r="P2541" s="1244"/>
      <c r="Q2541" s="1244"/>
      <c r="R2541" s="1244"/>
      <c r="S2541" s="1265"/>
      <c r="T2541" s="1244"/>
      <c r="U2541" s="1244"/>
    </row>
    <row r="2542">
      <c r="A2542" s="1235"/>
      <c r="B2542" s="1235"/>
      <c r="C2542" s="1246"/>
      <c r="D2542" s="1274"/>
      <c r="E2542" s="1248"/>
      <c r="F2542" s="1248"/>
      <c r="G2542" s="1271"/>
      <c r="H2542" s="1250"/>
      <c r="I2542" s="1251"/>
      <c r="J2542" s="1271"/>
      <c r="K2542" s="1271"/>
      <c r="L2542" s="1254"/>
      <c r="M2542" s="1244"/>
      <c r="N2542" s="1275"/>
      <c r="O2542" s="1275"/>
      <c r="P2542" s="1244"/>
      <c r="Q2542" s="1244"/>
      <c r="R2542" s="1244"/>
      <c r="S2542" s="1265"/>
      <c r="T2542" s="1244"/>
      <c r="U2542" s="1244"/>
    </row>
    <row r="2543">
      <c r="A2543" s="1235"/>
      <c r="B2543" s="1235"/>
      <c r="C2543" s="1246"/>
      <c r="D2543" s="1274"/>
      <c r="E2543" s="1248"/>
      <c r="F2543" s="1248"/>
      <c r="G2543" s="1271"/>
      <c r="H2543" s="1250"/>
      <c r="I2543" s="1251"/>
      <c r="J2543" s="1271"/>
      <c r="K2543" s="1271"/>
      <c r="L2543" s="1254"/>
      <c r="M2543" s="1244"/>
      <c r="N2543" s="1275"/>
      <c r="O2543" s="1275"/>
      <c r="P2543" s="1244"/>
      <c r="Q2543" s="1244"/>
      <c r="R2543" s="1244"/>
      <c r="S2543" s="1265"/>
      <c r="T2543" s="1244"/>
      <c r="U2543" s="1244"/>
    </row>
    <row r="2544">
      <c r="A2544" s="1235"/>
      <c r="B2544" s="1235"/>
      <c r="C2544" s="1246"/>
      <c r="D2544" s="1274"/>
      <c r="E2544" s="1248"/>
      <c r="F2544" s="1248"/>
      <c r="G2544" s="1271"/>
      <c r="H2544" s="1250"/>
      <c r="I2544" s="1251"/>
      <c r="J2544" s="1271"/>
      <c r="K2544" s="1271"/>
      <c r="L2544" s="1254"/>
      <c r="M2544" s="1244"/>
      <c r="N2544" s="1275"/>
      <c r="O2544" s="1275"/>
      <c r="P2544" s="1244"/>
      <c r="Q2544" s="1244"/>
      <c r="R2544" s="1244"/>
      <c r="S2544" s="1265"/>
      <c r="T2544" s="1244"/>
      <c r="U2544" s="1244"/>
    </row>
    <row r="2545">
      <c r="A2545" s="1235"/>
      <c r="B2545" s="1235"/>
      <c r="C2545" s="1246"/>
      <c r="D2545" s="1274"/>
      <c r="E2545" s="1248"/>
      <c r="F2545" s="1248"/>
      <c r="G2545" s="1271"/>
      <c r="H2545" s="1250"/>
      <c r="I2545" s="1251"/>
      <c r="J2545" s="1271"/>
      <c r="K2545" s="1271"/>
      <c r="L2545" s="1254"/>
      <c r="M2545" s="1244"/>
      <c r="N2545" s="1275"/>
      <c r="O2545" s="1275"/>
      <c r="P2545" s="1244"/>
      <c r="Q2545" s="1244"/>
      <c r="R2545" s="1244"/>
      <c r="S2545" s="1265"/>
      <c r="T2545" s="1244"/>
      <c r="U2545" s="1244"/>
    </row>
    <row r="2546">
      <c r="A2546" s="1235"/>
      <c r="B2546" s="1235"/>
      <c r="C2546" s="1246"/>
      <c r="D2546" s="1274"/>
      <c r="E2546" s="1248"/>
      <c r="F2546" s="1248"/>
      <c r="G2546" s="1271"/>
      <c r="H2546" s="1250"/>
      <c r="I2546" s="1251"/>
      <c r="J2546" s="1271"/>
      <c r="K2546" s="1271"/>
      <c r="L2546" s="1254"/>
      <c r="M2546" s="1244"/>
      <c r="N2546" s="1275"/>
      <c r="O2546" s="1275"/>
      <c r="P2546" s="1244"/>
      <c r="Q2546" s="1244"/>
      <c r="R2546" s="1244"/>
      <c r="S2546" s="1265"/>
      <c r="T2546" s="1244"/>
      <c r="U2546" s="1244"/>
    </row>
    <row r="2547">
      <c r="A2547" s="1235"/>
      <c r="B2547" s="1235"/>
      <c r="C2547" s="1246"/>
      <c r="D2547" s="1274"/>
      <c r="E2547" s="1248"/>
      <c r="F2547" s="1248"/>
      <c r="G2547" s="1271"/>
      <c r="H2547" s="1250"/>
      <c r="I2547" s="1251"/>
      <c r="J2547" s="1271"/>
      <c r="K2547" s="1271"/>
      <c r="L2547" s="1254"/>
      <c r="M2547" s="1244"/>
      <c r="N2547" s="1275"/>
      <c r="O2547" s="1275"/>
      <c r="P2547" s="1244"/>
      <c r="Q2547" s="1244"/>
      <c r="R2547" s="1244"/>
      <c r="S2547" s="1265"/>
      <c r="T2547" s="1244"/>
      <c r="U2547" s="1244"/>
    </row>
    <row r="2548">
      <c r="A2548" s="1235"/>
      <c r="B2548" s="1235"/>
      <c r="C2548" s="1246"/>
      <c r="D2548" s="1274"/>
      <c r="E2548" s="1248"/>
      <c r="F2548" s="1248"/>
      <c r="G2548" s="1271"/>
      <c r="H2548" s="1250"/>
      <c r="I2548" s="1251"/>
      <c r="J2548" s="1271"/>
      <c r="K2548" s="1271"/>
      <c r="L2548" s="1254"/>
      <c r="M2548" s="1244"/>
      <c r="N2548" s="1275"/>
      <c r="O2548" s="1275"/>
      <c r="P2548" s="1244"/>
      <c r="Q2548" s="1244"/>
      <c r="R2548" s="1244"/>
      <c r="S2548" s="1265"/>
      <c r="T2548" s="1244"/>
      <c r="U2548" s="1244"/>
    </row>
    <row r="2549">
      <c r="A2549" s="1235"/>
      <c r="B2549" s="1235"/>
      <c r="C2549" s="1246"/>
      <c r="D2549" s="1274"/>
      <c r="E2549" s="1248"/>
      <c r="F2549" s="1248"/>
      <c r="G2549" s="1271"/>
      <c r="H2549" s="1250"/>
      <c r="I2549" s="1251"/>
      <c r="J2549" s="1271"/>
      <c r="K2549" s="1271"/>
      <c r="L2549" s="1254"/>
      <c r="M2549" s="1244"/>
      <c r="N2549" s="1275"/>
      <c r="O2549" s="1275"/>
      <c r="P2549" s="1244"/>
      <c r="Q2549" s="1244"/>
      <c r="R2549" s="1244"/>
      <c r="S2549" s="1265"/>
      <c r="T2549" s="1244"/>
      <c r="U2549" s="1244"/>
    </row>
    <row r="2550">
      <c r="A2550" s="1235"/>
      <c r="B2550" s="1235"/>
      <c r="C2550" s="1246"/>
      <c r="D2550" s="1274"/>
      <c r="E2550" s="1248"/>
      <c r="F2550" s="1248"/>
      <c r="G2550" s="1271"/>
      <c r="H2550" s="1250"/>
      <c r="I2550" s="1251"/>
      <c r="J2550" s="1271"/>
      <c r="K2550" s="1271"/>
      <c r="L2550" s="1254"/>
      <c r="M2550" s="1244"/>
      <c r="N2550" s="1275"/>
      <c r="O2550" s="1275"/>
      <c r="P2550" s="1244"/>
      <c r="Q2550" s="1244"/>
      <c r="R2550" s="1244"/>
      <c r="S2550" s="1265"/>
      <c r="T2550" s="1244"/>
      <c r="U2550" s="1244"/>
    </row>
    <row r="2551">
      <c r="A2551" s="1235"/>
      <c r="B2551" s="1235"/>
      <c r="C2551" s="1246"/>
      <c r="D2551" s="1274"/>
      <c r="E2551" s="1248"/>
      <c r="F2551" s="1248"/>
      <c r="G2551" s="1271"/>
      <c r="H2551" s="1250"/>
      <c r="I2551" s="1251"/>
      <c r="J2551" s="1271"/>
      <c r="K2551" s="1271"/>
      <c r="L2551" s="1254"/>
      <c r="M2551" s="1244"/>
      <c r="N2551" s="1275"/>
      <c r="O2551" s="1275"/>
      <c r="P2551" s="1244"/>
      <c r="Q2551" s="1244"/>
      <c r="R2551" s="1244"/>
      <c r="S2551" s="1265"/>
      <c r="T2551" s="1244"/>
      <c r="U2551" s="1244"/>
    </row>
    <row r="2552">
      <c r="A2552" s="1235"/>
      <c r="B2552" s="1235"/>
      <c r="C2552" s="1246"/>
      <c r="D2552" s="1274"/>
      <c r="E2552" s="1248"/>
      <c r="F2552" s="1248"/>
      <c r="G2552" s="1271"/>
      <c r="H2552" s="1250"/>
      <c r="I2552" s="1251"/>
      <c r="J2552" s="1271"/>
      <c r="K2552" s="1271"/>
      <c r="L2552" s="1254"/>
      <c r="M2552" s="1244"/>
      <c r="N2552" s="1275"/>
      <c r="O2552" s="1275"/>
      <c r="P2552" s="1244"/>
      <c r="Q2552" s="1244"/>
      <c r="R2552" s="1244"/>
      <c r="S2552" s="1265"/>
      <c r="T2552" s="1244"/>
      <c r="U2552" s="1244"/>
    </row>
    <row r="2553">
      <c r="A2553" s="1235"/>
      <c r="B2553" s="1235"/>
      <c r="C2553" s="1246"/>
      <c r="D2553" s="1274"/>
      <c r="E2553" s="1248"/>
      <c r="F2553" s="1248"/>
      <c r="G2553" s="1271"/>
      <c r="H2553" s="1250"/>
      <c r="I2553" s="1251"/>
      <c r="J2553" s="1271"/>
      <c r="K2553" s="1271"/>
      <c r="L2553" s="1254"/>
      <c r="M2553" s="1244"/>
      <c r="N2553" s="1275"/>
      <c r="O2553" s="1275"/>
      <c r="P2553" s="1244"/>
      <c r="Q2553" s="1244"/>
      <c r="R2553" s="1244"/>
      <c r="S2553" s="1265"/>
      <c r="T2553" s="1244"/>
      <c r="U2553" s="1244"/>
    </row>
    <row r="2554">
      <c r="A2554" s="1235"/>
      <c r="B2554" s="1235"/>
      <c r="C2554" s="1246"/>
      <c r="D2554" s="1274"/>
      <c r="E2554" s="1248"/>
      <c r="F2554" s="1248"/>
      <c r="G2554" s="1271"/>
      <c r="H2554" s="1250"/>
      <c r="I2554" s="1251"/>
      <c r="J2554" s="1271"/>
      <c r="K2554" s="1271"/>
      <c r="L2554" s="1254"/>
      <c r="M2554" s="1244"/>
      <c r="N2554" s="1275"/>
      <c r="O2554" s="1275"/>
      <c r="P2554" s="1244"/>
      <c r="Q2554" s="1244"/>
      <c r="R2554" s="1244"/>
      <c r="S2554" s="1265"/>
      <c r="T2554" s="1244"/>
      <c r="U2554" s="1244"/>
    </row>
    <row r="2555">
      <c r="A2555" s="1235"/>
      <c r="B2555" s="1235"/>
      <c r="C2555" s="1246"/>
      <c r="D2555" s="1274"/>
      <c r="E2555" s="1248"/>
      <c r="F2555" s="1248"/>
      <c r="G2555" s="1271"/>
      <c r="H2555" s="1250"/>
      <c r="I2555" s="1251"/>
      <c r="J2555" s="1271"/>
      <c r="K2555" s="1271"/>
      <c r="L2555" s="1254"/>
      <c r="M2555" s="1244"/>
      <c r="N2555" s="1275"/>
      <c r="O2555" s="1275"/>
      <c r="P2555" s="1244"/>
      <c r="Q2555" s="1244"/>
      <c r="R2555" s="1244"/>
      <c r="S2555" s="1265"/>
      <c r="T2555" s="1244"/>
      <c r="U2555" s="1244"/>
    </row>
    <row r="2556">
      <c r="A2556" s="1235"/>
      <c r="B2556" s="1235"/>
      <c r="C2556" s="1246"/>
      <c r="D2556" s="1274"/>
      <c r="E2556" s="1248"/>
      <c r="F2556" s="1248"/>
      <c r="G2556" s="1271"/>
      <c r="H2556" s="1250"/>
      <c r="I2556" s="1251"/>
      <c r="J2556" s="1271"/>
      <c r="K2556" s="1271"/>
      <c r="L2556" s="1254"/>
      <c r="M2556" s="1244"/>
      <c r="N2556" s="1275"/>
      <c r="O2556" s="1275"/>
      <c r="P2556" s="1244"/>
      <c r="Q2556" s="1244"/>
      <c r="R2556" s="1244"/>
      <c r="S2556" s="1265"/>
      <c r="T2556" s="1244"/>
      <c r="U2556" s="1244"/>
    </row>
    <row r="2557">
      <c r="A2557" s="1235"/>
      <c r="B2557" s="1235"/>
      <c r="C2557" s="1246"/>
      <c r="D2557" s="1274"/>
      <c r="E2557" s="1248"/>
      <c r="F2557" s="1248"/>
      <c r="G2557" s="1271"/>
      <c r="H2557" s="1250"/>
      <c r="I2557" s="1251"/>
      <c r="J2557" s="1271"/>
      <c r="K2557" s="1271"/>
      <c r="L2557" s="1254"/>
      <c r="M2557" s="1244"/>
      <c r="N2557" s="1275"/>
      <c r="O2557" s="1275"/>
      <c r="P2557" s="1244"/>
      <c r="Q2557" s="1244"/>
      <c r="R2557" s="1244"/>
      <c r="S2557" s="1265"/>
      <c r="T2557" s="1244"/>
      <c r="U2557" s="1244"/>
    </row>
    <row r="2558">
      <c r="A2558" s="1235"/>
      <c r="B2558" s="1235"/>
      <c r="C2558" s="1246"/>
      <c r="D2558" s="1274"/>
      <c r="E2558" s="1248"/>
      <c r="F2558" s="1248"/>
      <c r="G2558" s="1271"/>
      <c r="H2558" s="1250"/>
      <c r="I2558" s="1251"/>
      <c r="J2558" s="1271"/>
      <c r="K2558" s="1271"/>
      <c r="L2558" s="1254"/>
      <c r="M2558" s="1244"/>
      <c r="N2558" s="1275"/>
      <c r="O2558" s="1275"/>
      <c r="P2558" s="1244"/>
      <c r="Q2558" s="1244"/>
      <c r="R2558" s="1244"/>
      <c r="S2558" s="1265"/>
      <c r="T2558" s="1244"/>
      <c r="U2558" s="1244"/>
    </row>
    <row r="2559">
      <c r="A2559" s="1235"/>
      <c r="B2559" s="1235"/>
      <c r="C2559" s="1246"/>
      <c r="D2559" s="1274"/>
      <c r="E2559" s="1248"/>
      <c r="F2559" s="1248"/>
      <c r="G2559" s="1271"/>
      <c r="H2559" s="1250"/>
      <c r="I2559" s="1251"/>
      <c r="J2559" s="1271"/>
      <c r="K2559" s="1271"/>
      <c r="L2559" s="1254"/>
      <c r="M2559" s="1244"/>
      <c r="N2559" s="1275"/>
      <c r="O2559" s="1275"/>
      <c r="P2559" s="1244"/>
      <c r="Q2559" s="1244"/>
      <c r="R2559" s="1244"/>
      <c r="S2559" s="1265"/>
      <c r="T2559" s="1244"/>
      <c r="U2559" s="1244"/>
    </row>
    <row r="2560">
      <c r="A2560" s="1235"/>
      <c r="B2560" s="1235"/>
      <c r="C2560" s="1246"/>
      <c r="D2560" s="1274"/>
      <c r="E2560" s="1248"/>
      <c r="F2560" s="1248"/>
      <c r="G2560" s="1271"/>
      <c r="H2560" s="1250"/>
      <c r="I2560" s="1251"/>
      <c r="J2560" s="1271"/>
      <c r="K2560" s="1271"/>
      <c r="L2560" s="1254"/>
      <c r="M2560" s="1244"/>
      <c r="N2560" s="1275"/>
      <c r="O2560" s="1275"/>
      <c r="P2560" s="1244"/>
      <c r="Q2560" s="1244"/>
      <c r="R2560" s="1244"/>
      <c r="S2560" s="1265"/>
      <c r="T2560" s="1244"/>
      <c r="U2560" s="1244"/>
    </row>
    <row r="2561">
      <c r="A2561" s="1235"/>
      <c r="B2561" s="1235"/>
      <c r="C2561" s="1246"/>
      <c r="D2561" s="1274"/>
      <c r="E2561" s="1248"/>
      <c r="F2561" s="1248"/>
      <c r="G2561" s="1271"/>
      <c r="H2561" s="1250"/>
      <c r="I2561" s="1251"/>
      <c r="J2561" s="1271"/>
      <c r="K2561" s="1271"/>
      <c r="L2561" s="1254"/>
      <c r="M2561" s="1244"/>
      <c r="N2561" s="1275"/>
      <c r="O2561" s="1275"/>
      <c r="P2561" s="1244"/>
      <c r="Q2561" s="1244"/>
      <c r="R2561" s="1244"/>
      <c r="S2561" s="1265"/>
      <c r="T2561" s="1244"/>
      <c r="U2561" s="1244"/>
    </row>
    <row r="2562">
      <c r="A2562" s="1235"/>
      <c r="B2562" s="1235"/>
      <c r="C2562" s="1246"/>
      <c r="D2562" s="1274"/>
      <c r="E2562" s="1248"/>
      <c r="F2562" s="1248"/>
      <c r="G2562" s="1271"/>
      <c r="H2562" s="1250"/>
      <c r="I2562" s="1251"/>
      <c r="J2562" s="1271"/>
      <c r="K2562" s="1271"/>
      <c r="L2562" s="1254"/>
      <c r="M2562" s="1244"/>
      <c r="N2562" s="1275"/>
      <c r="O2562" s="1275"/>
      <c r="P2562" s="1244"/>
      <c r="Q2562" s="1244"/>
      <c r="R2562" s="1244"/>
      <c r="S2562" s="1265"/>
      <c r="T2562" s="1244"/>
      <c r="U2562" s="1244"/>
    </row>
    <row r="2563">
      <c r="A2563" s="1235"/>
      <c r="B2563" s="1235"/>
      <c r="C2563" s="1246"/>
      <c r="D2563" s="1274"/>
      <c r="E2563" s="1248"/>
      <c r="F2563" s="1248"/>
      <c r="G2563" s="1271"/>
      <c r="H2563" s="1250"/>
      <c r="I2563" s="1251"/>
      <c r="J2563" s="1271"/>
      <c r="K2563" s="1271"/>
      <c r="L2563" s="1254"/>
      <c r="M2563" s="1244"/>
      <c r="N2563" s="1275"/>
      <c r="O2563" s="1275"/>
      <c r="P2563" s="1244"/>
      <c r="Q2563" s="1244"/>
      <c r="R2563" s="1244"/>
      <c r="S2563" s="1265"/>
      <c r="T2563" s="1244"/>
      <c r="U2563" s="1244"/>
    </row>
    <row r="2564">
      <c r="A2564" s="1235"/>
      <c r="B2564" s="1235"/>
      <c r="C2564" s="1246"/>
      <c r="D2564" s="1274"/>
      <c r="E2564" s="1248"/>
      <c r="F2564" s="1248"/>
      <c r="G2564" s="1271"/>
      <c r="H2564" s="1250"/>
      <c r="I2564" s="1251"/>
      <c r="J2564" s="1271"/>
      <c r="K2564" s="1271"/>
      <c r="L2564" s="1254"/>
      <c r="M2564" s="1244"/>
      <c r="N2564" s="1275"/>
      <c r="O2564" s="1275"/>
      <c r="P2564" s="1244"/>
      <c r="Q2564" s="1244"/>
      <c r="R2564" s="1244"/>
      <c r="S2564" s="1265"/>
      <c r="T2564" s="1244"/>
      <c r="U2564" s="1244"/>
    </row>
    <row r="2565">
      <c r="A2565" s="1235"/>
      <c r="B2565" s="1235"/>
      <c r="C2565" s="1246"/>
      <c r="D2565" s="1274"/>
      <c r="E2565" s="1248"/>
      <c r="F2565" s="1248"/>
      <c r="G2565" s="1271"/>
      <c r="H2565" s="1250"/>
      <c r="I2565" s="1251"/>
      <c r="J2565" s="1271"/>
      <c r="K2565" s="1271"/>
      <c r="L2565" s="1254"/>
      <c r="M2565" s="1244"/>
      <c r="N2565" s="1275"/>
      <c r="O2565" s="1275"/>
      <c r="P2565" s="1244"/>
      <c r="Q2565" s="1244"/>
      <c r="R2565" s="1244"/>
      <c r="S2565" s="1265"/>
      <c r="T2565" s="1244"/>
      <c r="U2565" s="1244"/>
    </row>
    <row r="2566">
      <c r="A2566" s="1235"/>
      <c r="B2566" s="1235"/>
      <c r="C2566" s="1246"/>
      <c r="D2566" s="1274"/>
      <c r="E2566" s="1248"/>
      <c r="F2566" s="1248"/>
      <c r="G2566" s="1271"/>
      <c r="H2566" s="1250"/>
      <c r="I2566" s="1251"/>
      <c r="J2566" s="1271"/>
      <c r="K2566" s="1271"/>
      <c r="L2566" s="1254"/>
      <c r="M2566" s="1244"/>
      <c r="N2566" s="1275"/>
      <c r="O2566" s="1275"/>
      <c r="P2566" s="1244"/>
      <c r="Q2566" s="1244"/>
      <c r="R2566" s="1244"/>
      <c r="S2566" s="1265"/>
      <c r="T2566" s="1244"/>
      <c r="U2566" s="1244"/>
    </row>
    <row r="2567">
      <c r="A2567" s="1235"/>
      <c r="B2567" s="1235"/>
      <c r="C2567" s="1246"/>
      <c r="D2567" s="1274"/>
      <c r="E2567" s="1248"/>
      <c r="F2567" s="1248"/>
      <c r="G2567" s="1271"/>
      <c r="H2567" s="1250"/>
      <c r="I2567" s="1251"/>
      <c r="J2567" s="1271"/>
      <c r="K2567" s="1271"/>
      <c r="L2567" s="1254"/>
      <c r="M2567" s="1244"/>
      <c r="N2567" s="1275"/>
      <c r="O2567" s="1275"/>
      <c r="P2567" s="1244"/>
      <c r="Q2567" s="1244"/>
      <c r="R2567" s="1244"/>
      <c r="S2567" s="1265"/>
      <c r="T2567" s="1244"/>
      <c r="U2567" s="1244"/>
    </row>
    <row r="2568">
      <c r="A2568" s="1235"/>
      <c r="B2568" s="1235"/>
      <c r="C2568" s="1246"/>
      <c r="D2568" s="1274"/>
      <c r="E2568" s="1248"/>
      <c r="F2568" s="1248"/>
      <c r="G2568" s="1271"/>
      <c r="H2568" s="1250"/>
      <c r="I2568" s="1251"/>
      <c r="J2568" s="1271"/>
      <c r="K2568" s="1271"/>
      <c r="L2568" s="1254"/>
      <c r="M2568" s="1244"/>
      <c r="N2568" s="1275"/>
      <c r="O2568" s="1275"/>
      <c r="P2568" s="1244"/>
      <c r="Q2568" s="1244"/>
      <c r="R2568" s="1244"/>
      <c r="S2568" s="1265"/>
      <c r="T2568" s="1244"/>
      <c r="U2568" s="1244"/>
    </row>
    <row r="2569">
      <c r="A2569" s="1235"/>
      <c r="B2569" s="1235"/>
      <c r="C2569" s="1246"/>
      <c r="D2569" s="1274"/>
      <c r="E2569" s="1248"/>
      <c r="F2569" s="1248"/>
      <c r="G2569" s="1271"/>
      <c r="H2569" s="1250"/>
      <c r="I2569" s="1251"/>
      <c r="J2569" s="1271"/>
      <c r="K2569" s="1271"/>
      <c r="L2569" s="1254"/>
      <c r="M2569" s="1244"/>
      <c r="N2569" s="1275"/>
      <c r="O2569" s="1275"/>
      <c r="P2569" s="1244"/>
      <c r="Q2569" s="1244"/>
      <c r="R2569" s="1244"/>
      <c r="S2569" s="1265"/>
      <c r="T2569" s="1244"/>
      <c r="U2569" s="1244"/>
    </row>
    <row r="2570">
      <c r="A2570" s="1235"/>
      <c r="B2570" s="1235"/>
      <c r="C2570" s="1246"/>
      <c r="D2570" s="1274"/>
      <c r="E2570" s="1248"/>
      <c r="F2570" s="1248"/>
      <c r="G2570" s="1271"/>
      <c r="H2570" s="1250"/>
      <c r="I2570" s="1251"/>
      <c r="J2570" s="1271"/>
      <c r="K2570" s="1271"/>
      <c r="L2570" s="1254"/>
      <c r="M2570" s="1244"/>
      <c r="N2570" s="1275"/>
      <c r="O2570" s="1275"/>
      <c r="P2570" s="1244"/>
      <c r="Q2570" s="1244"/>
      <c r="R2570" s="1244"/>
      <c r="S2570" s="1265"/>
      <c r="T2570" s="1244"/>
      <c r="U2570" s="1244"/>
    </row>
    <row r="2571">
      <c r="A2571" s="1235"/>
      <c r="B2571" s="1235"/>
      <c r="C2571" s="1246"/>
      <c r="D2571" s="1274"/>
      <c r="E2571" s="1248"/>
      <c r="F2571" s="1248"/>
      <c r="G2571" s="1271"/>
      <c r="H2571" s="1250"/>
      <c r="I2571" s="1251"/>
      <c r="J2571" s="1271"/>
      <c r="K2571" s="1271"/>
      <c r="L2571" s="1254"/>
      <c r="M2571" s="1244"/>
      <c r="N2571" s="1275"/>
      <c r="O2571" s="1275"/>
      <c r="P2571" s="1244"/>
      <c r="Q2571" s="1244"/>
      <c r="R2571" s="1244"/>
      <c r="S2571" s="1265"/>
      <c r="T2571" s="1244"/>
      <c r="U2571" s="1244"/>
    </row>
    <row r="2572">
      <c r="A2572" s="1235"/>
      <c r="B2572" s="1235"/>
      <c r="C2572" s="1246"/>
      <c r="D2572" s="1274"/>
      <c r="E2572" s="1248"/>
      <c r="F2572" s="1248"/>
      <c r="G2572" s="1271"/>
      <c r="H2572" s="1250"/>
      <c r="I2572" s="1251"/>
      <c r="J2572" s="1271"/>
      <c r="K2572" s="1271"/>
      <c r="L2572" s="1254"/>
      <c r="M2572" s="1244"/>
      <c r="N2572" s="1275"/>
      <c r="O2572" s="1275"/>
      <c r="P2572" s="1244"/>
      <c r="Q2572" s="1244"/>
      <c r="R2572" s="1244"/>
      <c r="S2572" s="1265"/>
      <c r="T2572" s="1244"/>
      <c r="U2572" s="1244"/>
    </row>
    <row r="2573">
      <c r="A2573" s="1235"/>
      <c r="B2573" s="1235"/>
      <c r="C2573" s="1246"/>
      <c r="D2573" s="1274"/>
      <c r="E2573" s="1248"/>
      <c r="F2573" s="1248"/>
      <c r="G2573" s="1271"/>
      <c r="H2573" s="1250"/>
      <c r="I2573" s="1251"/>
      <c r="J2573" s="1271"/>
      <c r="K2573" s="1271"/>
      <c r="L2573" s="1254"/>
      <c r="M2573" s="1244"/>
      <c r="N2573" s="1275"/>
      <c r="O2573" s="1275"/>
      <c r="P2573" s="1244"/>
      <c r="Q2573" s="1244"/>
      <c r="R2573" s="1244"/>
      <c r="S2573" s="1265"/>
      <c r="T2573" s="1244"/>
      <c r="U2573" s="1244"/>
    </row>
    <row r="2574">
      <c r="A2574" s="1235"/>
      <c r="B2574" s="1235"/>
      <c r="C2574" s="1246"/>
      <c r="D2574" s="1274"/>
      <c r="E2574" s="1248"/>
      <c r="F2574" s="1248"/>
      <c r="G2574" s="1271"/>
      <c r="H2574" s="1250"/>
      <c r="I2574" s="1251"/>
      <c r="J2574" s="1271"/>
      <c r="K2574" s="1271"/>
      <c r="L2574" s="1254"/>
      <c r="M2574" s="1244"/>
      <c r="N2574" s="1275"/>
      <c r="O2574" s="1275"/>
      <c r="P2574" s="1244"/>
      <c r="Q2574" s="1244"/>
      <c r="R2574" s="1244"/>
      <c r="S2574" s="1265"/>
      <c r="T2574" s="1244"/>
      <c r="U2574" s="1244"/>
    </row>
    <row r="2575">
      <c r="A2575" s="1235"/>
      <c r="B2575" s="1235"/>
      <c r="C2575" s="1246"/>
      <c r="D2575" s="1274"/>
      <c r="E2575" s="1248"/>
      <c r="F2575" s="1248"/>
      <c r="G2575" s="1271"/>
      <c r="H2575" s="1250"/>
      <c r="I2575" s="1251"/>
      <c r="J2575" s="1271"/>
      <c r="K2575" s="1271"/>
      <c r="L2575" s="1254"/>
      <c r="M2575" s="1244"/>
      <c r="N2575" s="1275"/>
      <c r="O2575" s="1275"/>
      <c r="P2575" s="1244"/>
      <c r="Q2575" s="1244"/>
      <c r="R2575" s="1244"/>
      <c r="S2575" s="1265"/>
      <c r="T2575" s="1244"/>
      <c r="U2575" s="1244"/>
    </row>
    <row r="2576">
      <c r="A2576" s="1235"/>
      <c r="B2576" s="1235"/>
      <c r="C2576" s="1246"/>
      <c r="D2576" s="1274"/>
      <c r="E2576" s="1248"/>
      <c r="F2576" s="1248"/>
      <c r="G2576" s="1271"/>
      <c r="H2576" s="1250"/>
      <c r="I2576" s="1251"/>
      <c r="J2576" s="1271"/>
      <c r="K2576" s="1271"/>
      <c r="L2576" s="1254"/>
      <c r="M2576" s="1244"/>
      <c r="N2576" s="1275"/>
      <c r="O2576" s="1275"/>
      <c r="P2576" s="1244"/>
      <c r="Q2576" s="1244"/>
      <c r="R2576" s="1244"/>
      <c r="S2576" s="1265"/>
      <c r="T2576" s="1244"/>
      <c r="U2576" s="1244"/>
    </row>
    <row r="2577">
      <c r="A2577" s="1235"/>
      <c r="B2577" s="1235"/>
      <c r="C2577" s="1246"/>
      <c r="D2577" s="1274"/>
      <c r="E2577" s="1248"/>
      <c r="F2577" s="1248"/>
      <c r="G2577" s="1271"/>
      <c r="H2577" s="1250"/>
      <c r="I2577" s="1251"/>
      <c r="J2577" s="1271"/>
      <c r="K2577" s="1271"/>
      <c r="L2577" s="1254"/>
      <c r="M2577" s="1244"/>
      <c r="N2577" s="1275"/>
      <c r="O2577" s="1275"/>
      <c r="P2577" s="1244"/>
      <c r="Q2577" s="1244"/>
      <c r="R2577" s="1244"/>
      <c r="S2577" s="1265"/>
      <c r="T2577" s="1244"/>
      <c r="U2577" s="1244"/>
    </row>
    <row r="2578">
      <c r="A2578" s="1235"/>
      <c r="B2578" s="1235"/>
      <c r="C2578" s="1246"/>
      <c r="D2578" s="1274"/>
      <c r="E2578" s="1248"/>
      <c r="F2578" s="1248"/>
      <c r="G2578" s="1271"/>
      <c r="H2578" s="1250"/>
      <c r="I2578" s="1251"/>
      <c r="J2578" s="1271"/>
      <c r="K2578" s="1271"/>
      <c r="L2578" s="1254"/>
      <c r="M2578" s="1244"/>
      <c r="N2578" s="1275"/>
      <c r="O2578" s="1275"/>
      <c r="P2578" s="1244"/>
      <c r="Q2578" s="1244"/>
      <c r="R2578" s="1244"/>
      <c r="S2578" s="1265"/>
      <c r="T2578" s="1244"/>
      <c r="U2578" s="1244"/>
    </row>
    <row r="2579">
      <c r="A2579" s="1235"/>
      <c r="B2579" s="1235"/>
      <c r="C2579" s="1246"/>
      <c r="D2579" s="1274"/>
      <c r="E2579" s="1248"/>
      <c r="F2579" s="1248"/>
      <c r="G2579" s="1271"/>
      <c r="H2579" s="1250"/>
      <c r="I2579" s="1251"/>
      <c r="J2579" s="1271"/>
      <c r="K2579" s="1271"/>
      <c r="L2579" s="1254"/>
      <c r="M2579" s="1244"/>
      <c r="N2579" s="1275"/>
      <c r="O2579" s="1275"/>
      <c r="P2579" s="1244"/>
      <c r="Q2579" s="1244"/>
      <c r="R2579" s="1244"/>
      <c r="S2579" s="1265"/>
      <c r="T2579" s="1244"/>
      <c r="U2579" s="1244"/>
    </row>
    <row r="2580">
      <c r="A2580" s="1235"/>
      <c r="B2580" s="1235"/>
      <c r="C2580" s="1246"/>
      <c r="D2580" s="1274"/>
      <c r="E2580" s="1248"/>
      <c r="F2580" s="1248"/>
      <c r="G2580" s="1271"/>
      <c r="H2580" s="1250"/>
      <c r="I2580" s="1251"/>
      <c r="J2580" s="1271"/>
      <c r="K2580" s="1271"/>
      <c r="L2580" s="1254"/>
      <c r="M2580" s="1244"/>
      <c r="N2580" s="1275"/>
      <c r="O2580" s="1275"/>
      <c r="P2580" s="1244"/>
      <c r="Q2580" s="1244"/>
      <c r="R2580" s="1244"/>
      <c r="S2580" s="1265"/>
      <c r="T2580" s="1244"/>
      <c r="U2580" s="1244"/>
    </row>
    <row r="2581">
      <c r="A2581" s="1235"/>
      <c r="B2581" s="1235"/>
      <c r="C2581" s="1246"/>
      <c r="D2581" s="1274"/>
      <c r="E2581" s="1248"/>
      <c r="F2581" s="1248"/>
      <c r="G2581" s="1271"/>
      <c r="H2581" s="1250"/>
      <c r="I2581" s="1251"/>
      <c r="J2581" s="1271"/>
      <c r="K2581" s="1271"/>
      <c r="L2581" s="1254"/>
      <c r="M2581" s="1244"/>
      <c r="N2581" s="1275"/>
      <c r="O2581" s="1275"/>
      <c r="P2581" s="1244"/>
      <c r="Q2581" s="1244"/>
      <c r="R2581" s="1244"/>
      <c r="S2581" s="1265"/>
      <c r="T2581" s="1244"/>
      <c r="U2581" s="1244"/>
    </row>
    <row r="2582">
      <c r="A2582" s="1235"/>
      <c r="B2582" s="1235"/>
      <c r="C2582" s="1246"/>
      <c r="D2582" s="1274"/>
      <c r="E2582" s="1248"/>
      <c r="F2582" s="1248"/>
      <c r="G2582" s="1271"/>
      <c r="H2582" s="1250"/>
      <c r="I2582" s="1251"/>
      <c r="J2582" s="1271"/>
      <c r="K2582" s="1271"/>
      <c r="L2582" s="1254"/>
      <c r="M2582" s="1244"/>
      <c r="N2582" s="1275"/>
      <c r="O2582" s="1275"/>
      <c r="P2582" s="1244"/>
      <c r="Q2582" s="1244"/>
      <c r="R2582" s="1244"/>
      <c r="S2582" s="1265"/>
      <c r="T2582" s="1244"/>
      <c r="U2582" s="1244"/>
    </row>
    <row r="2583">
      <c r="A2583" s="1235"/>
      <c r="B2583" s="1235"/>
      <c r="C2583" s="1246"/>
      <c r="D2583" s="1274"/>
      <c r="E2583" s="1248"/>
      <c r="F2583" s="1248"/>
      <c r="G2583" s="1271"/>
      <c r="H2583" s="1250"/>
      <c r="I2583" s="1251"/>
      <c r="J2583" s="1271"/>
      <c r="K2583" s="1271"/>
      <c r="L2583" s="1254"/>
      <c r="M2583" s="1244"/>
      <c r="N2583" s="1275"/>
      <c r="O2583" s="1275"/>
      <c r="P2583" s="1244"/>
      <c r="Q2583" s="1244"/>
      <c r="R2583" s="1244"/>
      <c r="S2583" s="1265"/>
      <c r="T2583" s="1244"/>
      <c r="U2583" s="1244"/>
    </row>
    <row r="2584">
      <c r="A2584" s="1235"/>
      <c r="B2584" s="1235"/>
      <c r="C2584" s="1246"/>
      <c r="D2584" s="1274"/>
      <c r="E2584" s="1248"/>
      <c r="F2584" s="1248"/>
      <c r="G2584" s="1271"/>
      <c r="H2584" s="1250"/>
      <c r="I2584" s="1251"/>
      <c r="J2584" s="1271"/>
      <c r="K2584" s="1271"/>
      <c r="L2584" s="1254"/>
      <c r="M2584" s="1244"/>
      <c r="N2584" s="1275"/>
      <c r="O2584" s="1275"/>
      <c r="P2584" s="1244"/>
      <c r="Q2584" s="1244"/>
      <c r="R2584" s="1244"/>
      <c r="S2584" s="1265"/>
      <c r="T2584" s="1244"/>
      <c r="U2584" s="1244"/>
    </row>
    <row r="2585">
      <c r="A2585" s="1235"/>
      <c r="B2585" s="1235"/>
      <c r="C2585" s="1246"/>
      <c r="D2585" s="1274"/>
      <c r="E2585" s="1248"/>
      <c r="F2585" s="1248"/>
      <c r="G2585" s="1271"/>
      <c r="H2585" s="1250"/>
      <c r="I2585" s="1251"/>
      <c r="J2585" s="1271"/>
      <c r="K2585" s="1271"/>
      <c r="L2585" s="1254"/>
      <c r="M2585" s="1244"/>
      <c r="N2585" s="1275"/>
      <c r="O2585" s="1275"/>
      <c r="P2585" s="1244"/>
      <c r="Q2585" s="1244"/>
      <c r="R2585" s="1244"/>
      <c r="S2585" s="1265"/>
      <c r="T2585" s="1244"/>
      <c r="U2585" s="1244"/>
    </row>
    <row r="2586">
      <c r="A2586" s="1235"/>
      <c r="B2586" s="1235"/>
      <c r="C2586" s="1246"/>
      <c r="D2586" s="1274"/>
      <c r="E2586" s="1248"/>
      <c r="F2586" s="1248"/>
      <c r="G2586" s="1271"/>
      <c r="H2586" s="1250"/>
      <c r="I2586" s="1251"/>
      <c r="J2586" s="1271"/>
      <c r="K2586" s="1271"/>
      <c r="L2586" s="1254"/>
      <c r="M2586" s="1244"/>
      <c r="N2586" s="1275"/>
      <c r="O2586" s="1275"/>
      <c r="P2586" s="1244"/>
      <c r="Q2586" s="1244"/>
      <c r="R2586" s="1244"/>
      <c r="S2586" s="1265"/>
      <c r="T2586" s="1244"/>
      <c r="U2586" s="1244"/>
    </row>
    <row r="2587">
      <c r="A2587" s="1235"/>
      <c r="B2587" s="1235"/>
      <c r="C2587" s="1246"/>
      <c r="D2587" s="1274"/>
      <c r="E2587" s="1248"/>
      <c r="F2587" s="1248"/>
      <c r="G2587" s="1271"/>
      <c r="H2587" s="1250"/>
      <c r="I2587" s="1251"/>
      <c r="J2587" s="1271"/>
      <c r="K2587" s="1271"/>
      <c r="L2587" s="1254"/>
      <c r="M2587" s="1244"/>
      <c r="N2587" s="1275"/>
      <c r="O2587" s="1275"/>
      <c r="P2587" s="1244"/>
      <c r="Q2587" s="1244"/>
      <c r="R2587" s="1244"/>
      <c r="S2587" s="1265"/>
      <c r="T2587" s="1244"/>
      <c r="U2587" s="1244"/>
    </row>
    <row r="2588">
      <c r="A2588" s="1235"/>
      <c r="B2588" s="1235"/>
      <c r="C2588" s="1246"/>
      <c r="D2588" s="1274"/>
      <c r="E2588" s="1248"/>
      <c r="F2588" s="1248"/>
      <c r="G2588" s="1271"/>
      <c r="H2588" s="1250"/>
      <c r="I2588" s="1251"/>
      <c r="J2588" s="1271"/>
      <c r="K2588" s="1271"/>
      <c r="L2588" s="1254"/>
      <c r="M2588" s="1244"/>
      <c r="N2588" s="1275"/>
      <c r="O2588" s="1275"/>
      <c r="P2588" s="1244"/>
      <c r="Q2588" s="1244"/>
      <c r="R2588" s="1244"/>
      <c r="S2588" s="1265"/>
      <c r="T2588" s="1244"/>
      <c r="U2588" s="1244"/>
    </row>
    <row r="2589">
      <c r="A2589" s="1235"/>
      <c r="B2589" s="1235"/>
      <c r="C2589" s="1246"/>
      <c r="D2589" s="1274"/>
      <c r="E2589" s="1248"/>
      <c r="F2589" s="1248"/>
      <c r="G2589" s="1271"/>
      <c r="H2589" s="1250"/>
      <c r="I2589" s="1251"/>
      <c r="J2589" s="1271"/>
      <c r="K2589" s="1271"/>
      <c r="L2589" s="1254"/>
      <c r="M2589" s="1244"/>
      <c r="N2589" s="1275"/>
      <c r="O2589" s="1275"/>
      <c r="P2589" s="1244"/>
      <c r="Q2589" s="1244"/>
      <c r="R2589" s="1244"/>
      <c r="S2589" s="1265"/>
      <c r="T2589" s="1244"/>
      <c r="U2589" s="1244"/>
    </row>
    <row r="2590">
      <c r="A2590" s="1235"/>
      <c r="B2590" s="1235"/>
      <c r="C2590" s="1246"/>
      <c r="D2590" s="1274"/>
      <c r="E2590" s="1248"/>
      <c r="F2590" s="1248"/>
      <c r="G2590" s="1271"/>
      <c r="H2590" s="1250"/>
      <c r="I2590" s="1251"/>
      <c r="J2590" s="1271"/>
      <c r="K2590" s="1271"/>
      <c r="L2590" s="1254"/>
      <c r="M2590" s="1244"/>
      <c r="N2590" s="1275"/>
      <c r="O2590" s="1275"/>
      <c r="P2590" s="1244"/>
      <c r="Q2590" s="1244"/>
      <c r="R2590" s="1244"/>
      <c r="S2590" s="1265"/>
      <c r="T2590" s="1244"/>
      <c r="U2590" s="1244"/>
    </row>
    <row r="2591">
      <c r="A2591" s="1235"/>
      <c r="B2591" s="1235"/>
      <c r="C2591" s="1246"/>
      <c r="D2591" s="1274"/>
      <c r="E2591" s="1248"/>
      <c r="F2591" s="1248"/>
      <c r="G2591" s="1271"/>
      <c r="H2591" s="1250"/>
      <c r="I2591" s="1251"/>
      <c r="J2591" s="1271"/>
      <c r="K2591" s="1271"/>
      <c r="L2591" s="1254"/>
      <c r="M2591" s="1244"/>
      <c r="N2591" s="1275"/>
      <c r="O2591" s="1275"/>
      <c r="P2591" s="1244"/>
      <c r="Q2591" s="1244"/>
      <c r="R2591" s="1244"/>
      <c r="S2591" s="1265"/>
      <c r="T2591" s="1244"/>
      <c r="U2591" s="1244"/>
    </row>
    <row r="2592">
      <c r="A2592" s="1235"/>
      <c r="B2592" s="1235"/>
      <c r="C2592" s="1246"/>
      <c r="D2592" s="1274"/>
      <c r="E2592" s="1248"/>
      <c r="F2592" s="1248"/>
      <c r="G2592" s="1271"/>
      <c r="H2592" s="1250"/>
      <c r="I2592" s="1251"/>
      <c r="J2592" s="1271"/>
      <c r="K2592" s="1271"/>
      <c r="L2592" s="1254"/>
      <c r="M2592" s="1244"/>
      <c r="N2592" s="1275"/>
      <c r="O2592" s="1275"/>
      <c r="P2592" s="1244"/>
      <c r="Q2592" s="1244"/>
      <c r="R2592" s="1244"/>
      <c r="S2592" s="1265"/>
      <c r="T2592" s="1244"/>
      <c r="U2592" s="1244"/>
    </row>
    <row r="2593">
      <c r="A2593" s="1235"/>
      <c r="B2593" s="1235"/>
      <c r="C2593" s="1246"/>
      <c r="D2593" s="1274"/>
      <c r="E2593" s="1248"/>
      <c r="F2593" s="1248"/>
      <c r="G2593" s="1271"/>
      <c r="H2593" s="1250"/>
      <c r="I2593" s="1251"/>
      <c r="J2593" s="1271"/>
      <c r="K2593" s="1271"/>
      <c r="L2593" s="1254"/>
      <c r="M2593" s="1244"/>
      <c r="N2593" s="1275"/>
      <c r="O2593" s="1275"/>
      <c r="P2593" s="1244"/>
      <c r="Q2593" s="1244"/>
      <c r="R2593" s="1244"/>
      <c r="S2593" s="1265"/>
      <c r="T2593" s="1244"/>
      <c r="U2593" s="1244"/>
    </row>
    <row r="2594">
      <c r="A2594" s="1235"/>
      <c r="B2594" s="1235"/>
      <c r="C2594" s="1246"/>
      <c r="D2594" s="1274"/>
      <c r="E2594" s="1248"/>
      <c r="F2594" s="1248"/>
      <c r="G2594" s="1271"/>
      <c r="H2594" s="1250"/>
      <c r="I2594" s="1251"/>
      <c r="J2594" s="1271"/>
      <c r="K2594" s="1271"/>
      <c r="L2594" s="1254"/>
      <c r="M2594" s="1244"/>
      <c r="N2594" s="1275"/>
      <c r="O2594" s="1275"/>
      <c r="P2594" s="1244"/>
      <c r="Q2594" s="1244"/>
      <c r="R2594" s="1244"/>
      <c r="S2594" s="1265"/>
      <c r="T2594" s="1244"/>
      <c r="U2594" s="1244"/>
    </row>
    <row r="2595">
      <c r="A2595" s="1235"/>
      <c r="B2595" s="1235"/>
      <c r="C2595" s="1246"/>
      <c r="D2595" s="1274"/>
      <c r="E2595" s="1248"/>
      <c r="F2595" s="1248"/>
      <c r="G2595" s="1271"/>
      <c r="H2595" s="1250"/>
      <c r="I2595" s="1251"/>
      <c r="J2595" s="1271"/>
      <c r="K2595" s="1271"/>
      <c r="L2595" s="1254"/>
      <c r="M2595" s="1244"/>
      <c r="N2595" s="1275"/>
      <c r="O2595" s="1275"/>
      <c r="P2595" s="1244"/>
      <c r="Q2595" s="1244"/>
      <c r="R2595" s="1244"/>
      <c r="S2595" s="1265"/>
      <c r="T2595" s="1244"/>
      <c r="U2595" s="1244"/>
    </row>
    <row r="2596">
      <c r="A2596" s="1235"/>
      <c r="B2596" s="1235"/>
      <c r="C2596" s="1246"/>
      <c r="D2596" s="1274"/>
      <c r="E2596" s="1248"/>
      <c r="F2596" s="1248"/>
      <c r="G2596" s="1271"/>
      <c r="H2596" s="1250"/>
      <c r="I2596" s="1251"/>
      <c r="J2596" s="1271"/>
      <c r="K2596" s="1271"/>
      <c r="L2596" s="1254"/>
      <c r="M2596" s="1244"/>
      <c r="N2596" s="1275"/>
      <c r="O2596" s="1275"/>
      <c r="P2596" s="1244"/>
      <c r="Q2596" s="1244"/>
      <c r="R2596" s="1244"/>
      <c r="S2596" s="1265"/>
      <c r="T2596" s="1244"/>
      <c r="U2596" s="1244"/>
    </row>
    <row r="2597">
      <c r="A2597" s="1235"/>
      <c r="B2597" s="1235"/>
      <c r="C2597" s="1246"/>
      <c r="D2597" s="1274"/>
      <c r="E2597" s="1248"/>
      <c r="F2597" s="1248"/>
      <c r="G2597" s="1271"/>
      <c r="H2597" s="1250"/>
      <c r="I2597" s="1251"/>
      <c r="J2597" s="1271"/>
      <c r="K2597" s="1271"/>
      <c r="L2597" s="1254"/>
      <c r="M2597" s="1244"/>
      <c r="N2597" s="1275"/>
      <c r="O2597" s="1275"/>
      <c r="P2597" s="1244"/>
      <c r="Q2597" s="1244"/>
      <c r="R2597" s="1244"/>
      <c r="S2597" s="1265"/>
      <c r="T2597" s="1244"/>
      <c r="U2597" s="1244"/>
    </row>
    <row r="2598">
      <c r="A2598" s="1235"/>
      <c r="B2598" s="1235"/>
      <c r="C2598" s="1246"/>
      <c r="D2598" s="1274"/>
      <c r="E2598" s="1248"/>
      <c r="F2598" s="1248"/>
      <c r="G2598" s="1271"/>
      <c r="H2598" s="1250"/>
      <c r="I2598" s="1251"/>
      <c r="J2598" s="1271"/>
      <c r="K2598" s="1271"/>
      <c r="L2598" s="1254"/>
      <c r="M2598" s="1244"/>
      <c r="N2598" s="1275"/>
      <c r="O2598" s="1275"/>
      <c r="P2598" s="1244"/>
      <c r="Q2598" s="1244"/>
      <c r="R2598" s="1244"/>
      <c r="S2598" s="1265"/>
      <c r="T2598" s="1244"/>
      <c r="U2598" s="1244"/>
    </row>
    <row r="2599">
      <c r="A2599" s="1235"/>
      <c r="B2599" s="1235"/>
      <c r="C2599" s="1246"/>
      <c r="D2599" s="1274"/>
      <c r="E2599" s="1248"/>
      <c r="F2599" s="1248"/>
      <c r="G2599" s="1271"/>
      <c r="H2599" s="1250"/>
      <c r="I2599" s="1251"/>
      <c r="J2599" s="1271"/>
      <c r="K2599" s="1271"/>
      <c r="L2599" s="1254"/>
      <c r="M2599" s="1244"/>
      <c r="N2599" s="1275"/>
      <c r="O2599" s="1275"/>
      <c r="P2599" s="1244"/>
      <c r="Q2599" s="1244"/>
      <c r="R2599" s="1244"/>
      <c r="S2599" s="1265"/>
      <c r="T2599" s="1244"/>
      <c r="U2599" s="1244"/>
    </row>
    <row r="2600">
      <c r="A2600" s="1235"/>
      <c r="B2600" s="1235"/>
      <c r="C2600" s="1246"/>
      <c r="D2600" s="1274"/>
      <c r="E2600" s="1248"/>
      <c r="F2600" s="1248"/>
      <c r="G2600" s="1271"/>
      <c r="H2600" s="1250"/>
      <c r="I2600" s="1251"/>
      <c r="J2600" s="1271"/>
      <c r="K2600" s="1271"/>
      <c r="L2600" s="1254"/>
      <c r="M2600" s="1244"/>
      <c r="N2600" s="1275"/>
      <c r="O2600" s="1275"/>
      <c r="P2600" s="1244"/>
      <c r="Q2600" s="1244"/>
      <c r="R2600" s="1244"/>
      <c r="S2600" s="1265"/>
      <c r="T2600" s="1244"/>
      <c r="U2600" s="1244"/>
    </row>
    <row r="2601">
      <c r="A2601" s="1235"/>
      <c r="B2601" s="1235"/>
      <c r="C2601" s="1246"/>
      <c r="D2601" s="1274"/>
      <c r="E2601" s="1248"/>
      <c r="F2601" s="1248"/>
      <c r="G2601" s="1271"/>
      <c r="H2601" s="1250"/>
      <c r="I2601" s="1251"/>
      <c r="J2601" s="1271"/>
      <c r="K2601" s="1271"/>
      <c r="L2601" s="1254"/>
      <c r="M2601" s="1244"/>
      <c r="N2601" s="1275"/>
      <c r="O2601" s="1275"/>
      <c r="P2601" s="1244"/>
      <c r="Q2601" s="1244"/>
      <c r="R2601" s="1244"/>
      <c r="S2601" s="1265"/>
      <c r="T2601" s="1244"/>
      <c r="U2601" s="1244"/>
    </row>
    <row r="2602">
      <c r="A2602" s="1235"/>
      <c r="B2602" s="1235"/>
      <c r="C2602" s="1246"/>
      <c r="D2602" s="1274"/>
      <c r="E2602" s="1248"/>
      <c r="F2602" s="1248"/>
      <c r="G2602" s="1271"/>
      <c r="H2602" s="1250"/>
      <c r="I2602" s="1251"/>
      <c r="J2602" s="1271"/>
      <c r="K2602" s="1271"/>
      <c r="L2602" s="1254"/>
      <c r="M2602" s="1244"/>
      <c r="N2602" s="1275"/>
      <c r="O2602" s="1275"/>
      <c r="P2602" s="1244"/>
      <c r="Q2602" s="1244"/>
      <c r="R2602" s="1244"/>
      <c r="S2602" s="1265"/>
      <c r="T2602" s="1244"/>
      <c r="U2602" s="1244"/>
    </row>
    <row r="2603">
      <c r="A2603" s="1235"/>
      <c r="B2603" s="1235"/>
      <c r="C2603" s="1246"/>
      <c r="D2603" s="1274"/>
      <c r="E2603" s="1248"/>
      <c r="F2603" s="1248"/>
      <c r="G2603" s="1271"/>
      <c r="H2603" s="1250"/>
      <c r="I2603" s="1251"/>
      <c r="J2603" s="1271"/>
      <c r="K2603" s="1271"/>
      <c r="L2603" s="1254"/>
      <c r="M2603" s="1244"/>
      <c r="N2603" s="1275"/>
      <c r="O2603" s="1275"/>
      <c r="P2603" s="1244"/>
      <c r="Q2603" s="1244"/>
      <c r="R2603" s="1244"/>
      <c r="S2603" s="1265"/>
      <c r="T2603" s="1244"/>
      <c r="U2603" s="1244"/>
    </row>
    <row r="2604">
      <c r="A2604" s="1235"/>
      <c r="B2604" s="1235"/>
      <c r="C2604" s="1246"/>
      <c r="D2604" s="1274"/>
      <c r="E2604" s="1248"/>
      <c r="F2604" s="1248"/>
      <c r="G2604" s="1271"/>
      <c r="H2604" s="1250"/>
      <c r="I2604" s="1251"/>
      <c r="J2604" s="1271"/>
      <c r="K2604" s="1271"/>
      <c r="L2604" s="1254"/>
      <c r="M2604" s="1244"/>
      <c r="N2604" s="1275"/>
      <c r="O2604" s="1275"/>
      <c r="P2604" s="1244"/>
      <c r="Q2604" s="1244"/>
      <c r="R2604" s="1244"/>
      <c r="S2604" s="1265"/>
      <c r="T2604" s="1244"/>
      <c r="U2604" s="1244"/>
    </row>
    <row r="2605">
      <c r="A2605" s="1235"/>
      <c r="B2605" s="1235"/>
      <c r="C2605" s="1246"/>
      <c r="D2605" s="1274"/>
      <c r="E2605" s="1248"/>
      <c r="F2605" s="1248"/>
      <c r="G2605" s="1271"/>
      <c r="H2605" s="1250"/>
      <c r="I2605" s="1251"/>
      <c r="J2605" s="1271"/>
      <c r="K2605" s="1271"/>
      <c r="L2605" s="1254"/>
      <c r="M2605" s="1244"/>
      <c r="N2605" s="1275"/>
      <c r="O2605" s="1275"/>
      <c r="P2605" s="1244"/>
      <c r="Q2605" s="1244"/>
      <c r="R2605" s="1244"/>
      <c r="S2605" s="1265"/>
      <c r="T2605" s="1244"/>
      <c r="U2605" s="1244"/>
    </row>
    <row r="2606">
      <c r="A2606" s="1235"/>
      <c r="B2606" s="1235"/>
      <c r="C2606" s="1246"/>
      <c r="D2606" s="1274"/>
      <c r="E2606" s="1248"/>
      <c r="F2606" s="1248"/>
      <c r="G2606" s="1271"/>
      <c r="H2606" s="1250"/>
      <c r="I2606" s="1251"/>
      <c r="J2606" s="1271"/>
      <c r="K2606" s="1271"/>
      <c r="L2606" s="1254"/>
      <c r="M2606" s="1244"/>
      <c r="N2606" s="1275"/>
      <c r="O2606" s="1275"/>
      <c r="P2606" s="1244"/>
      <c r="Q2606" s="1244"/>
      <c r="R2606" s="1244"/>
      <c r="S2606" s="1265"/>
      <c r="T2606" s="1244"/>
      <c r="U2606" s="1244"/>
    </row>
    <row r="2607">
      <c r="A2607" s="1235"/>
      <c r="B2607" s="1235"/>
      <c r="C2607" s="1246"/>
      <c r="D2607" s="1274"/>
      <c r="E2607" s="1248"/>
      <c r="F2607" s="1248"/>
      <c r="G2607" s="1271"/>
      <c r="H2607" s="1250"/>
      <c r="I2607" s="1251"/>
      <c r="J2607" s="1271"/>
      <c r="K2607" s="1271"/>
      <c r="L2607" s="1254"/>
      <c r="M2607" s="1244"/>
      <c r="N2607" s="1275"/>
      <c r="O2607" s="1275"/>
      <c r="P2607" s="1244"/>
      <c r="Q2607" s="1244"/>
      <c r="R2607" s="1244"/>
      <c r="S2607" s="1265"/>
      <c r="T2607" s="1244"/>
      <c r="U2607" s="1244"/>
    </row>
    <row r="2608">
      <c r="A2608" s="1235"/>
      <c r="B2608" s="1235"/>
      <c r="C2608" s="1246"/>
      <c r="D2608" s="1274"/>
      <c r="E2608" s="1248"/>
      <c r="F2608" s="1248"/>
      <c r="G2608" s="1271"/>
      <c r="H2608" s="1250"/>
      <c r="I2608" s="1251"/>
      <c r="J2608" s="1271"/>
      <c r="K2608" s="1271"/>
      <c r="L2608" s="1254"/>
      <c r="M2608" s="1244"/>
      <c r="N2608" s="1275"/>
      <c r="O2608" s="1275"/>
      <c r="P2608" s="1244"/>
      <c r="Q2608" s="1244"/>
      <c r="R2608" s="1244"/>
      <c r="S2608" s="1265"/>
      <c r="T2608" s="1244"/>
      <c r="U2608" s="1244"/>
    </row>
    <row r="2609">
      <c r="A2609" s="1235"/>
      <c r="B2609" s="1235"/>
      <c r="C2609" s="1246"/>
      <c r="D2609" s="1274"/>
      <c r="E2609" s="1248"/>
      <c r="F2609" s="1248"/>
      <c r="G2609" s="1271"/>
      <c r="H2609" s="1250"/>
      <c r="I2609" s="1251"/>
      <c r="J2609" s="1271"/>
      <c r="K2609" s="1271"/>
      <c r="L2609" s="1254"/>
      <c r="M2609" s="1244"/>
      <c r="N2609" s="1275"/>
      <c r="O2609" s="1275"/>
      <c r="P2609" s="1244"/>
      <c r="Q2609" s="1244"/>
      <c r="R2609" s="1244"/>
      <c r="S2609" s="1265"/>
      <c r="T2609" s="1244"/>
      <c r="U2609" s="1244"/>
    </row>
    <row r="2610">
      <c r="A2610" s="1235"/>
      <c r="B2610" s="1235"/>
      <c r="C2610" s="1246"/>
      <c r="D2610" s="1274"/>
      <c r="E2610" s="1248"/>
      <c r="F2610" s="1248"/>
      <c r="G2610" s="1271"/>
      <c r="H2610" s="1250"/>
      <c r="I2610" s="1251"/>
      <c r="J2610" s="1271"/>
      <c r="K2610" s="1271"/>
      <c r="L2610" s="1254"/>
      <c r="M2610" s="1244"/>
      <c r="N2610" s="1275"/>
      <c r="O2610" s="1275"/>
      <c r="P2610" s="1244"/>
      <c r="Q2610" s="1244"/>
      <c r="R2610" s="1244"/>
      <c r="S2610" s="1265"/>
      <c r="T2610" s="1244"/>
      <c r="U2610" s="1244"/>
    </row>
    <row r="2611">
      <c r="A2611" s="1235"/>
      <c r="B2611" s="1235"/>
      <c r="C2611" s="1246"/>
      <c r="D2611" s="1274"/>
      <c r="E2611" s="1248"/>
      <c r="F2611" s="1248"/>
      <c r="G2611" s="1271"/>
      <c r="H2611" s="1250"/>
      <c r="I2611" s="1251"/>
      <c r="J2611" s="1271"/>
      <c r="K2611" s="1271"/>
      <c r="L2611" s="1254"/>
      <c r="M2611" s="1244"/>
      <c r="N2611" s="1275"/>
      <c r="O2611" s="1275"/>
      <c r="P2611" s="1244"/>
      <c r="Q2611" s="1244"/>
      <c r="R2611" s="1244"/>
      <c r="S2611" s="1265"/>
      <c r="T2611" s="1244"/>
      <c r="U2611" s="1244"/>
    </row>
    <row r="2612">
      <c r="A2612" s="1235"/>
      <c r="B2612" s="1235"/>
      <c r="C2612" s="1246"/>
      <c r="D2612" s="1274"/>
      <c r="E2612" s="1248"/>
      <c r="F2612" s="1248"/>
      <c r="G2612" s="1271"/>
      <c r="H2612" s="1250"/>
      <c r="I2612" s="1251"/>
      <c r="J2612" s="1271"/>
      <c r="K2612" s="1271"/>
      <c r="L2612" s="1254"/>
      <c r="M2612" s="1244"/>
      <c r="N2612" s="1275"/>
      <c r="O2612" s="1275"/>
      <c r="P2612" s="1244"/>
      <c r="Q2612" s="1244"/>
      <c r="R2612" s="1244"/>
      <c r="S2612" s="1265"/>
      <c r="T2612" s="1244"/>
      <c r="U2612" s="1244"/>
    </row>
    <row r="2613">
      <c r="A2613" s="1235"/>
      <c r="B2613" s="1235"/>
      <c r="C2613" s="1246"/>
      <c r="D2613" s="1274"/>
      <c r="E2613" s="1248"/>
      <c r="F2613" s="1248"/>
      <c r="G2613" s="1271"/>
      <c r="H2613" s="1250"/>
      <c r="I2613" s="1251"/>
      <c r="J2613" s="1271"/>
      <c r="K2613" s="1271"/>
      <c r="L2613" s="1254"/>
      <c r="M2613" s="1244"/>
      <c r="N2613" s="1275"/>
      <c r="O2613" s="1275"/>
      <c r="P2613" s="1244"/>
      <c r="Q2613" s="1244"/>
      <c r="R2613" s="1244"/>
      <c r="S2613" s="1265"/>
      <c r="T2613" s="1244"/>
      <c r="U2613" s="1244"/>
    </row>
    <row r="2614">
      <c r="A2614" s="1235"/>
      <c r="B2614" s="1235"/>
      <c r="C2614" s="1246"/>
      <c r="D2614" s="1274"/>
      <c r="E2614" s="1248"/>
      <c r="F2614" s="1248"/>
      <c r="G2614" s="1271"/>
      <c r="H2614" s="1250"/>
      <c r="I2614" s="1251"/>
      <c r="J2614" s="1271"/>
      <c r="K2614" s="1271"/>
      <c r="L2614" s="1254"/>
      <c r="M2614" s="1244"/>
      <c r="N2614" s="1275"/>
      <c r="O2614" s="1275"/>
      <c r="P2614" s="1244"/>
      <c r="Q2614" s="1244"/>
      <c r="R2614" s="1244"/>
      <c r="S2614" s="1265"/>
      <c r="T2614" s="1244"/>
      <c r="U2614" s="1244"/>
    </row>
    <row r="2615">
      <c r="A2615" s="1235"/>
      <c r="B2615" s="1235"/>
      <c r="C2615" s="1246"/>
      <c r="D2615" s="1274"/>
      <c r="E2615" s="1248"/>
      <c r="F2615" s="1248"/>
      <c r="G2615" s="1271"/>
      <c r="H2615" s="1250"/>
      <c r="I2615" s="1251"/>
      <c r="J2615" s="1271"/>
      <c r="K2615" s="1271"/>
      <c r="L2615" s="1254"/>
      <c r="M2615" s="1244"/>
      <c r="N2615" s="1275"/>
      <c r="O2615" s="1275"/>
      <c r="P2615" s="1244"/>
      <c r="Q2615" s="1244"/>
      <c r="R2615" s="1244"/>
      <c r="S2615" s="1265"/>
      <c r="T2615" s="1244"/>
      <c r="U2615" s="1244"/>
    </row>
    <row r="2616">
      <c r="A2616" s="1235"/>
      <c r="B2616" s="1235"/>
      <c r="C2616" s="1246"/>
      <c r="D2616" s="1274"/>
      <c r="E2616" s="1248"/>
      <c r="F2616" s="1248"/>
      <c r="G2616" s="1271"/>
      <c r="H2616" s="1250"/>
      <c r="I2616" s="1251"/>
      <c r="J2616" s="1271"/>
      <c r="K2616" s="1271"/>
      <c r="L2616" s="1254"/>
      <c r="M2616" s="1244"/>
      <c r="N2616" s="1275"/>
      <c r="O2616" s="1275"/>
      <c r="P2616" s="1244"/>
      <c r="Q2616" s="1244"/>
      <c r="R2616" s="1244"/>
      <c r="S2616" s="1265"/>
      <c r="T2616" s="1244"/>
      <c r="U2616" s="1244"/>
    </row>
    <row r="2617">
      <c r="A2617" s="1235"/>
      <c r="B2617" s="1235"/>
      <c r="C2617" s="1246"/>
      <c r="D2617" s="1274"/>
      <c r="E2617" s="1248"/>
      <c r="F2617" s="1248"/>
      <c r="G2617" s="1271"/>
      <c r="H2617" s="1250"/>
      <c r="I2617" s="1251"/>
      <c r="J2617" s="1271"/>
      <c r="K2617" s="1271"/>
      <c r="L2617" s="1254"/>
      <c r="M2617" s="1244"/>
      <c r="N2617" s="1275"/>
      <c r="O2617" s="1275"/>
      <c r="P2617" s="1244"/>
      <c r="Q2617" s="1244"/>
      <c r="R2617" s="1244"/>
      <c r="S2617" s="1265"/>
      <c r="T2617" s="1244"/>
      <c r="U2617" s="1244"/>
    </row>
    <row r="2618">
      <c r="A2618" s="1235"/>
      <c r="B2618" s="1235"/>
      <c r="C2618" s="1246"/>
      <c r="D2618" s="1274"/>
      <c r="E2618" s="1248"/>
      <c r="F2618" s="1248"/>
      <c r="G2618" s="1271"/>
      <c r="H2618" s="1250"/>
      <c r="I2618" s="1251"/>
      <c r="J2618" s="1271"/>
      <c r="K2618" s="1271"/>
      <c r="L2618" s="1254"/>
      <c r="M2618" s="1244"/>
      <c r="N2618" s="1275"/>
      <c r="O2618" s="1275"/>
      <c r="P2618" s="1244"/>
      <c r="Q2618" s="1244"/>
      <c r="R2618" s="1244"/>
      <c r="S2618" s="1265"/>
      <c r="T2618" s="1244"/>
      <c r="U2618" s="1244"/>
    </row>
    <row r="2619">
      <c r="A2619" s="1235"/>
      <c r="B2619" s="1235"/>
      <c r="C2619" s="1246"/>
      <c r="D2619" s="1274"/>
      <c r="E2619" s="1248"/>
      <c r="F2619" s="1248"/>
      <c r="G2619" s="1271"/>
      <c r="H2619" s="1250"/>
      <c r="I2619" s="1251"/>
      <c r="J2619" s="1271"/>
      <c r="K2619" s="1271"/>
      <c r="L2619" s="1254"/>
      <c r="M2619" s="1244"/>
      <c r="N2619" s="1275"/>
      <c r="O2619" s="1275"/>
      <c r="P2619" s="1244"/>
      <c r="Q2619" s="1244"/>
      <c r="R2619" s="1244"/>
      <c r="S2619" s="1265"/>
      <c r="T2619" s="1244"/>
      <c r="U2619" s="1244"/>
    </row>
    <row r="2620">
      <c r="A2620" s="1235"/>
      <c r="B2620" s="1235"/>
      <c r="C2620" s="1246"/>
      <c r="D2620" s="1274"/>
      <c r="E2620" s="1248"/>
      <c r="F2620" s="1248"/>
      <c r="G2620" s="1271"/>
      <c r="H2620" s="1250"/>
      <c r="I2620" s="1251"/>
      <c r="J2620" s="1271"/>
      <c r="K2620" s="1271"/>
      <c r="L2620" s="1254"/>
      <c r="M2620" s="1244"/>
      <c r="N2620" s="1275"/>
      <c r="O2620" s="1275"/>
      <c r="P2620" s="1244"/>
      <c r="Q2620" s="1244"/>
      <c r="R2620" s="1244"/>
      <c r="S2620" s="1265"/>
      <c r="T2620" s="1244"/>
      <c r="U2620" s="1244"/>
    </row>
    <row r="2621">
      <c r="A2621" s="1235"/>
      <c r="B2621" s="1235"/>
      <c r="C2621" s="1246"/>
      <c r="D2621" s="1274"/>
      <c r="E2621" s="1248"/>
      <c r="F2621" s="1248"/>
      <c r="G2621" s="1271"/>
      <c r="H2621" s="1250"/>
      <c r="I2621" s="1251"/>
      <c r="J2621" s="1271"/>
      <c r="K2621" s="1271"/>
      <c r="L2621" s="1254"/>
      <c r="M2621" s="1244"/>
      <c r="N2621" s="1275"/>
      <c r="O2621" s="1275"/>
      <c r="P2621" s="1244"/>
      <c r="Q2621" s="1244"/>
      <c r="R2621" s="1244"/>
      <c r="S2621" s="1265"/>
      <c r="T2621" s="1244"/>
      <c r="U2621" s="1244"/>
    </row>
    <row r="2622">
      <c r="A2622" s="1235"/>
      <c r="B2622" s="1235"/>
      <c r="C2622" s="1246"/>
      <c r="D2622" s="1274"/>
      <c r="E2622" s="1248"/>
      <c r="F2622" s="1248"/>
      <c r="G2622" s="1271"/>
      <c r="H2622" s="1250"/>
      <c r="I2622" s="1251"/>
      <c r="J2622" s="1271"/>
      <c r="K2622" s="1271"/>
      <c r="L2622" s="1254"/>
      <c r="M2622" s="1244"/>
      <c r="N2622" s="1275"/>
      <c r="O2622" s="1275"/>
      <c r="P2622" s="1244"/>
      <c r="Q2622" s="1244"/>
      <c r="R2622" s="1244"/>
      <c r="S2622" s="1265"/>
      <c r="T2622" s="1244"/>
      <c r="U2622" s="1244"/>
    </row>
    <row r="2623">
      <c r="A2623" s="1235"/>
      <c r="B2623" s="1235"/>
      <c r="C2623" s="1246"/>
      <c r="D2623" s="1274"/>
      <c r="E2623" s="1248"/>
      <c r="F2623" s="1248"/>
      <c r="G2623" s="1271"/>
      <c r="H2623" s="1250"/>
      <c r="I2623" s="1251"/>
      <c r="J2623" s="1271"/>
      <c r="K2623" s="1271"/>
      <c r="L2623" s="1254"/>
      <c r="M2623" s="1244"/>
      <c r="N2623" s="1275"/>
      <c r="O2623" s="1275"/>
      <c r="P2623" s="1244"/>
      <c r="Q2623" s="1244"/>
      <c r="R2623" s="1244"/>
      <c r="S2623" s="1265"/>
      <c r="T2623" s="1244"/>
      <c r="U2623" s="1244"/>
    </row>
    <row r="2624">
      <c r="A2624" s="1235"/>
      <c r="B2624" s="1235"/>
      <c r="C2624" s="1246"/>
      <c r="D2624" s="1274"/>
      <c r="E2624" s="1248"/>
      <c r="F2624" s="1248"/>
      <c r="G2624" s="1271"/>
      <c r="H2624" s="1250"/>
      <c r="I2624" s="1251"/>
      <c r="J2624" s="1271"/>
      <c r="K2624" s="1271"/>
      <c r="L2624" s="1254"/>
      <c r="M2624" s="1244"/>
      <c r="N2624" s="1275"/>
      <c r="O2624" s="1275"/>
      <c r="P2624" s="1244"/>
      <c r="Q2624" s="1244"/>
      <c r="R2624" s="1244"/>
      <c r="S2624" s="1265"/>
      <c r="T2624" s="1244"/>
      <c r="U2624" s="1244"/>
    </row>
    <row r="2625">
      <c r="A2625" s="1235"/>
      <c r="B2625" s="1235"/>
      <c r="C2625" s="1246"/>
      <c r="D2625" s="1274"/>
      <c r="E2625" s="1248"/>
      <c r="F2625" s="1248"/>
      <c r="G2625" s="1271"/>
      <c r="H2625" s="1250"/>
      <c r="I2625" s="1251"/>
      <c r="J2625" s="1271"/>
      <c r="K2625" s="1271"/>
      <c r="L2625" s="1254"/>
      <c r="M2625" s="1244"/>
      <c r="N2625" s="1275"/>
      <c r="O2625" s="1275"/>
      <c r="P2625" s="1244"/>
      <c r="Q2625" s="1244"/>
      <c r="R2625" s="1244"/>
      <c r="S2625" s="1265"/>
      <c r="T2625" s="1244"/>
      <c r="U2625" s="1244"/>
    </row>
    <row r="2626">
      <c r="A2626" s="1235"/>
      <c r="B2626" s="1235"/>
      <c r="C2626" s="1246"/>
      <c r="D2626" s="1274"/>
      <c r="E2626" s="1248"/>
      <c r="F2626" s="1248"/>
      <c r="G2626" s="1271"/>
      <c r="H2626" s="1250"/>
      <c r="I2626" s="1251"/>
      <c r="J2626" s="1271"/>
      <c r="K2626" s="1271"/>
      <c r="L2626" s="1254"/>
      <c r="M2626" s="1244"/>
      <c r="N2626" s="1275"/>
      <c r="O2626" s="1275"/>
      <c r="P2626" s="1244"/>
      <c r="Q2626" s="1244"/>
      <c r="R2626" s="1244"/>
      <c r="S2626" s="1265"/>
      <c r="T2626" s="1244"/>
      <c r="U2626" s="1244"/>
    </row>
    <row r="2627">
      <c r="A2627" s="1235"/>
      <c r="B2627" s="1235"/>
      <c r="C2627" s="1246"/>
      <c r="D2627" s="1274"/>
      <c r="E2627" s="1248"/>
      <c r="F2627" s="1248"/>
      <c r="G2627" s="1271"/>
      <c r="H2627" s="1250"/>
      <c r="I2627" s="1251"/>
      <c r="J2627" s="1271"/>
      <c r="K2627" s="1271"/>
      <c r="L2627" s="1254"/>
      <c r="M2627" s="1244"/>
      <c r="N2627" s="1275"/>
      <c r="O2627" s="1275"/>
      <c r="P2627" s="1244"/>
      <c r="Q2627" s="1244"/>
      <c r="R2627" s="1244"/>
      <c r="S2627" s="1265"/>
      <c r="T2627" s="1244"/>
      <c r="U2627" s="1244"/>
    </row>
    <row r="2628">
      <c r="A2628" s="1235"/>
      <c r="B2628" s="1235"/>
      <c r="C2628" s="1246"/>
      <c r="D2628" s="1274"/>
      <c r="E2628" s="1248"/>
      <c r="F2628" s="1248"/>
      <c r="G2628" s="1271"/>
      <c r="H2628" s="1250"/>
      <c r="I2628" s="1251"/>
      <c r="J2628" s="1271"/>
      <c r="K2628" s="1271"/>
      <c r="L2628" s="1254"/>
      <c r="M2628" s="1244"/>
      <c r="N2628" s="1275"/>
      <c r="O2628" s="1275"/>
      <c r="P2628" s="1244"/>
      <c r="Q2628" s="1244"/>
      <c r="R2628" s="1244"/>
      <c r="S2628" s="1265"/>
      <c r="T2628" s="1244"/>
      <c r="U2628" s="1244"/>
    </row>
    <row r="2629">
      <c r="A2629" s="1235"/>
      <c r="B2629" s="1235"/>
      <c r="C2629" s="1246"/>
      <c r="D2629" s="1274"/>
      <c r="E2629" s="1248"/>
      <c r="F2629" s="1248"/>
      <c r="G2629" s="1271"/>
      <c r="H2629" s="1250"/>
      <c r="I2629" s="1251"/>
      <c r="J2629" s="1271"/>
      <c r="K2629" s="1271"/>
      <c r="L2629" s="1254"/>
      <c r="M2629" s="1244"/>
      <c r="N2629" s="1275"/>
      <c r="O2629" s="1275"/>
      <c r="P2629" s="1244"/>
      <c r="Q2629" s="1244"/>
      <c r="R2629" s="1244"/>
      <c r="S2629" s="1265"/>
      <c r="T2629" s="1244"/>
      <c r="U2629" s="1244"/>
    </row>
    <row r="2630">
      <c r="A2630" s="1235"/>
      <c r="B2630" s="1235"/>
      <c r="C2630" s="1246"/>
      <c r="D2630" s="1274"/>
      <c r="E2630" s="1248"/>
      <c r="F2630" s="1248"/>
      <c r="G2630" s="1271"/>
      <c r="H2630" s="1250"/>
      <c r="I2630" s="1251"/>
      <c r="J2630" s="1271"/>
      <c r="K2630" s="1271"/>
      <c r="L2630" s="1254"/>
      <c r="M2630" s="1244"/>
      <c r="N2630" s="1275"/>
      <c r="O2630" s="1275"/>
      <c r="P2630" s="1244"/>
      <c r="Q2630" s="1244"/>
      <c r="R2630" s="1244"/>
      <c r="S2630" s="1265"/>
      <c r="T2630" s="1244"/>
      <c r="U2630" s="1244"/>
    </row>
    <row r="2631">
      <c r="A2631" s="1235"/>
      <c r="B2631" s="1235"/>
      <c r="C2631" s="1246"/>
      <c r="D2631" s="1274"/>
      <c r="E2631" s="1248"/>
      <c r="F2631" s="1248"/>
      <c r="G2631" s="1271"/>
      <c r="H2631" s="1250"/>
      <c r="I2631" s="1251"/>
      <c r="J2631" s="1271"/>
      <c r="K2631" s="1271"/>
      <c r="L2631" s="1254"/>
      <c r="M2631" s="1244"/>
      <c r="N2631" s="1275"/>
      <c r="O2631" s="1275"/>
      <c r="P2631" s="1244"/>
      <c r="Q2631" s="1244"/>
      <c r="R2631" s="1244"/>
      <c r="S2631" s="1265"/>
      <c r="T2631" s="1244"/>
      <c r="U2631" s="1244"/>
    </row>
    <row r="2632">
      <c r="A2632" s="1235"/>
      <c r="B2632" s="1235"/>
      <c r="C2632" s="1246"/>
      <c r="D2632" s="1274"/>
      <c r="E2632" s="1248"/>
      <c r="F2632" s="1248"/>
      <c r="G2632" s="1271"/>
      <c r="H2632" s="1250"/>
      <c r="I2632" s="1251"/>
      <c r="J2632" s="1271"/>
      <c r="K2632" s="1271"/>
      <c r="L2632" s="1254"/>
      <c r="M2632" s="1244"/>
      <c r="N2632" s="1275"/>
      <c r="O2632" s="1275"/>
      <c r="P2632" s="1244"/>
      <c r="Q2632" s="1244"/>
      <c r="R2632" s="1244"/>
      <c r="S2632" s="1265"/>
      <c r="T2632" s="1244"/>
      <c r="U2632" s="1244"/>
    </row>
    <row r="2633">
      <c r="A2633" s="1235"/>
      <c r="B2633" s="1235"/>
      <c r="C2633" s="1246"/>
      <c r="D2633" s="1274"/>
      <c r="E2633" s="1248"/>
      <c r="F2633" s="1248"/>
      <c r="G2633" s="1271"/>
      <c r="H2633" s="1250"/>
      <c r="I2633" s="1251"/>
      <c r="J2633" s="1271"/>
      <c r="K2633" s="1271"/>
      <c r="L2633" s="1254"/>
      <c r="M2633" s="1244"/>
      <c r="N2633" s="1275"/>
      <c r="O2633" s="1275"/>
      <c r="P2633" s="1244"/>
      <c r="Q2633" s="1244"/>
      <c r="R2633" s="1244"/>
      <c r="S2633" s="1265"/>
      <c r="T2633" s="1244"/>
      <c r="U2633" s="1244"/>
    </row>
    <row r="2634">
      <c r="A2634" s="1235"/>
      <c r="B2634" s="1235"/>
      <c r="C2634" s="1246"/>
      <c r="D2634" s="1274"/>
      <c r="E2634" s="1248"/>
      <c r="F2634" s="1248"/>
      <c r="G2634" s="1271"/>
      <c r="H2634" s="1250"/>
      <c r="I2634" s="1251"/>
      <c r="J2634" s="1271"/>
      <c r="K2634" s="1271"/>
      <c r="L2634" s="1254"/>
      <c r="M2634" s="1244"/>
      <c r="N2634" s="1275"/>
      <c r="O2634" s="1275"/>
      <c r="P2634" s="1244"/>
      <c r="Q2634" s="1244"/>
      <c r="R2634" s="1244"/>
      <c r="S2634" s="1265"/>
      <c r="T2634" s="1244"/>
      <c r="U2634" s="1244"/>
    </row>
    <row r="2635">
      <c r="A2635" s="1235"/>
      <c r="B2635" s="1235"/>
      <c r="C2635" s="1246"/>
      <c r="D2635" s="1274"/>
      <c r="E2635" s="1248"/>
      <c r="F2635" s="1248"/>
      <c r="G2635" s="1271"/>
      <c r="H2635" s="1250"/>
      <c r="I2635" s="1251"/>
      <c r="J2635" s="1271"/>
      <c r="K2635" s="1271"/>
      <c r="L2635" s="1254"/>
      <c r="M2635" s="1244"/>
      <c r="N2635" s="1275"/>
      <c r="O2635" s="1275"/>
      <c r="P2635" s="1244"/>
      <c r="Q2635" s="1244"/>
      <c r="R2635" s="1244"/>
      <c r="S2635" s="1265"/>
      <c r="T2635" s="1244"/>
      <c r="U2635" s="1244"/>
    </row>
    <row r="2636">
      <c r="A2636" s="1235"/>
      <c r="B2636" s="1235"/>
      <c r="C2636" s="1246"/>
      <c r="D2636" s="1274"/>
      <c r="E2636" s="1248"/>
      <c r="F2636" s="1248"/>
      <c r="G2636" s="1271"/>
      <c r="H2636" s="1250"/>
      <c r="I2636" s="1251"/>
      <c r="J2636" s="1271"/>
      <c r="K2636" s="1271"/>
      <c r="L2636" s="1254"/>
      <c r="M2636" s="1244"/>
      <c r="N2636" s="1275"/>
      <c r="O2636" s="1275"/>
      <c r="P2636" s="1244"/>
      <c r="Q2636" s="1244"/>
      <c r="R2636" s="1244"/>
      <c r="S2636" s="1265"/>
      <c r="T2636" s="1244"/>
      <c r="U2636" s="1244"/>
    </row>
    <row r="2637">
      <c r="A2637" s="1235"/>
      <c r="B2637" s="1235"/>
      <c r="C2637" s="1246"/>
      <c r="D2637" s="1274"/>
      <c r="E2637" s="1248"/>
      <c r="F2637" s="1248"/>
      <c r="G2637" s="1271"/>
      <c r="H2637" s="1250"/>
      <c r="I2637" s="1251"/>
      <c r="J2637" s="1271"/>
      <c r="K2637" s="1271"/>
      <c r="L2637" s="1254"/>
      <c r="M2637" s="1244"/>
      <c r="N2637" s="1275"/>
      <c r="O2637" s="1275"/>
      <c r="P2637" s="1244"/>
      <c r="Q2637" s="1244"/>
      <c r="R2637" s="1244"/>
      <c r="S2637" s="1265"/>
      <c r="T2637" s="1244"/>
      <c r="U2637" s="1244"/>
    </row>
    <row r="2638">
      <c r="A2638" s="1235"/>
      <c r="B2638" s="1235"/>
      <c r="C2638" s="1246"/>
      <c r="D2638" s="1274"/>
      <c r="E2638" s="1248"/>
      <c r="F2638" s="1248"/>
      <c r="G2638" s="1271"/>
      <c r="H2638" s="1250"/>
      <c r="I2638" s="1251"/>
      <c r="J2638" s="1271"/>
      <c r="K2638" s="1271"/>
      <c r="L2638" s="1254"/>
      <c r="M2638" s="1244"/>
      <c r="N2638" s="1275"/>
      <c r="O2638" s="1275"/>
      <c r="P2638" s="1244"/>
      <c r="Q2638" s="1244"/>
      <c r="R2638" s="1244"/>
      <c r="S2638" s="1265"/>
      <c r="T2638" s="1244"/>
      <c r="U2638" s="1244"/>
    </row>
    <row r="2639">
      <c r="A2639" s="1235"/>
      <c r="B2639" s="1235"/>
      <c r="C2639" s="1246"/>
      <c r="D2639" s="1274"/>
      <c r="E2639" s="1248"/>
      <c r="F2639" s="1248"/>
      <c r="G2639" s="1271"/>
      <c r="H2639" s="1250"/>
      <c r="I2639" s="1251"/>
      <c r="J2639" s="1271"/>
      <c r="K2639" s="1271"/>
      <c r="L2639" s="1254"/>
      <c r="M2639" s="1244"/>
      <c r="N2639" s="1275"/>
      <c r="O2639" s="1275"/>
      <c r="P2639" s="1244"/>
      <c r="Q2639" s="1244"/>
      <c r="R2639" s="1244"/>
      <c r="S2639" s="1265"/>
      <c r="T2639" s="1244"/>
      <c r="U2639" s="1244"/>
    </row>
    <row r="2640">
      <c r="A2640" s="1235"/>
      <c r="B2640" s="1235"/>
      <c r="C2640" s="1246"/>
      <c r="D2640" s="1274"/>
      <c r="E2640" s="1248"/>
      <c r="F2640" s="1248"/>
      <c r="G2640" s="1271"/>
      <c r="H2640" s="1250"/>
      <c r="I2640" s="1251"/>
      <c r="J2640" s="1271"/>
      <c r="K2640" s="1271"/>
      <c r="L2640" s="1254"/>
      <c r="M2640" s="1244"/>
      <c r="N2640" s="1275"/>
      <c r="O2640" s="1275"/>
      <c r="P2640" s="1244"/>
      <c r="Q2640" s="1244"/>
      <c r="R2640" s="1244"/>
      <c r="S2640" s="1265"/>
      <c r="T2640" s="1244"/>
      <c r="U2640" s="1244"/>
    </row>
    <row r="2641">
      <c r="A2641" s="1235"/>
      <c r="B2641" s="1235"/>
      <c r="C2641" s="1246"/>
      <c r="D2641" s="1274"/>
      <c r="E2641" s="1248"/>
      <c r="F2641" s="1248"/>
      <c r="G2641" s="1271"/>
      <c r="H2641" s="1250"/>
      <c r="I2641" s="1251"/>
      <c r="J2641" s="1271"/>
      <c r="K2641" s="1271"/>
      <c r="L2641" s="1254"/>
      <c r="M2641" s="1244"/>
      <c r="N2641" s="1275"/>
      <c r="O2641" s="1275"/>
      <c r="P2641" s="1244"/>
      <c r="Q2641" s="1244"/>
      <c r="R2641" s="1244"/>
      <c r="S2641" s="1265"/>
      <c r="T2641" s="1244"/>
      <c r="U2641" s="1244"/>
    </row>
    <row r="2642">
      <c r="A2642" s="1235"/>
      <c r="B2642" s="1235"/>
      <c r="C2642" s="1246"/>
      <c r="D2642" s="1274"/>
      <c r="E2642" s="1248"/>
      <c r="F2642" s="1248"/>
      <c r="G2642" s="1271"/>
      <c r="H2642" s="1250"/>
      <c r="I2642" s="1251"/>
      <c r="J2642" s="1271"/>
      <c r="K2642" s="1271"/>
      <c r="L2642" s="1254"/>
      <c r="M2642" s="1244"/>
      <c r="N2642" s="1275"/>
      <c r="O2642" s="1275"/>
      <c r="P2642" s="1244"/>
      <c r="Q2642" s="1244"/>
      <c r="R2642" s="1244"/>
      <c r="S2642" s="1265"/>
      <c r="T2642" s="1244"/>
      <c r="U2642" s="1244"/>
    </row>
    <row r="2643">
      <c r="A2643" s="1235"/>
      <c r="B2643" s="1235"/>
      <c r="C2643" s="1246"/>
      <c r="D2643" s="1274"/>
      <c r="E2643" s="1248"/>
      <c r="F2643" s="1248"/>
      <c r="G2643" s="1271"/>
      <c r="H2643" s="1250"/>
      <c r="I2643" s="1251"/>
      <c r="J2643" s="1271"/>
      <c r="K2643" s="1271"/>
      <c r="L2643" s="1254"/>
      <c r="M2643" s="1244"/>
      <c r="N2643" s="1275"/>
      <c r="O2643" s="1275"/>
      <c r="P2643" s="1244"/>
      <c r="Q2643" s="1244"/>
      <c r="R2643" s="1244"/>
      <c r="S2643" s="1265"/>
      <c r="T2643" s="1244"/>
      <c r="U2643" s="1244"/>
    </row>
    <row r="2644">
      <c r="A2644" s="1235"/>
      <c r="B2644" s="1235"/>
      <c r="C2644" s="1246"/>
      <c r="D2644" s="1274"/>
      <c r="E2644" s="1248"/>
      <c r="F2644" s="1248"/>
      <c r="G2644" s="1271"/>
      <c r="H2644" s="1250"/>
      <c r="I2644" s="1251"/>
      <c r="J2644" s="1271"/>
      <c r="K2644" s="1271"/>
      <c r="L2644" s="1254"/>
      <c r="M2644" s="1244"/>
      <c r="N2644" s="1275"/>
      <c r="O2644" s="1275"/>
      <c r="P2644" s="1244"/>
      <c r="Q2644" s="1244"/>
      <c r="R2644" s="1244"/>
      <c r="S2644" s="1265"/>
      <c r="T2644" s="1244"/>
      <c r="U2644" s="1244"/>
    </row>
    <row r="2645">
      <c r="A2645" s="1235"/>
      <c r="B2645" s="1235"/>
      <c r="C2645" s="1246"/>
      <c r="D2645" s="1274"/>
      <c r="E2645" s="1248"/>
      <c r="F2645" s="1248"/>
      <c r="G2645" s="1271"/>
      <c r="H2645" s="1250"/>
      <c r="I2645" s="1251"/>
      <c r="J2645" s="1271"/>
      <c r="K2645" s="1271"/>
      <c r="L2645" s="1254"/>
      <c r="M2645" s="1244"/>
      <c r="N2645" s="1275"/>
      <c r="O2645" s="1275"/>
      <c r="P2645" s="1244"/>
      <c r="Q2645" s="1244"/>
      <c r="R2645" s="1244"/>
      <c r="S2645" s="1265"/>
      <c r="T2645" s="1244"/>
      <c r="U2645" s="1244"/>
    </row>
    <row r="2646">
      <c r="A2646" s="1235"/>
      <c r="B2646" s="1235"/>
      <c r="C2646" s="1246"/>
      <c r="D2646" s="1274"/>
      <c r="E2646" s="1248"/>
      <c r="F2646" s="1248"/>
      <c r="G2646" s="1271"/>
      <c r="H2646" s="1250"/>
      <c r="I2646" s="1251"/>
      <c r="J2646" s="1271"/>
      <c r="K2646" s="1271"/>
      <c r="L2646" s="1254"/>
      <c r="M2646" s="1244"/>
      <c r="N2646" s="1275"/>
      <c r="O2646" s="1275"/>
      <c r="P2646" s="1244"/>
      <c r="Q2646" s="1244"/>
      <c r="R2646" s="1244"/>
      <c r="S2646" s="1265"/>
      <c r="T2646" s="1244"/>
      <c r="U2646" s="1244"/>
    </row>
    <row r="2647">
      <c r="A2647" s="1235"/>
      <c r="B2647" s="1235"/>
      <c r="C2647" s="1246"/>
      <c r="D2647" s="1274"/>
      <c r="E2647" s="1248"/>
      <c r="F2647" s="1248"/>
      <c r="G2647" s="1271"/>
      <c r="H2647" s="1250"/>
      <c r="I2647" s="1251"/>
      <c r="J2647" s="1271"/>
      <c r="K2647" s="1271"/>
      <c r="L2647" s="1254"/>
      <c r="M2647" s="1244"/>
      <c r="N2647" s="1275"/>
      <c r="O2647" s="1275"/>
      <c r="P2647" s="1244"/>
      <c r="Q2647" s="1244"/>
      <c r="R2647" s="1244"/>
      <c r="S2647" s="1265"/>
      <c r="T2647" s="1244"/>
      <c r="U2647" s="1244"/>
    </row>
    <row r="2648">
      <c r="A2648" s="1235"/>
      <c r="B2648" s="1235"/>
      <c r="C2648" s="1246"/>
      <c r="D2648" s="1274"/>
      <c r="E2648" s="1248"/>
      <c r="F2648" s="1248"/>
      <c r="G2648" s="1271"/>
      <c r="H2648" s="1250"/>
      <c r="I2648" s="1251"/>
      <c r="J2648" s="1271"/>
      <c r="K2648" s="1271"/>
      <c r="L2648" s="1254"/>
      <c r="M2648" s="1244"/>
      <c r="N2648" s="1275"/>
      <c r="O2648" s="1275"/>
      <c r="P2648" s="1244"/>
      <c r="Q2648" s="1244"/>
      <c r="R2648" s="1244"/>
      <c r="S2648" s="1265"/>
      <c r="T2648" s="1244"/>
      <c r="U2648" s="1244"/>
    </row>
    <row r="2649">
      <c r="A2649" s="1235"/>
      <c r="B2649" s="1235"/>
      <c r="C2649" s="1246"/>
      <c r="D2649" s="1274"/>
      <c r="E2649" s="1248"/>
      <c r="F2649" s="1248"/>
      <c r="G2649" s="1271"/>
      <c r="H2649" s="1250"/>
      <c r="I2649" s="1251"/>
      <c r="J2649" s="1271"/>
      <c r="K2649" s="1271"/>
      <c r="L2649" s="1254"/>
      <c r="M2649" s="1244"/>
      <c r="N2649" s="1275"/>
      <c r="O2649" s="1275"/>
      <c r="P2649" s="1244"/>
      <c r="Q2649" s="1244"/>
      <c r="R2649" s="1244"/>
      <c r="S2649" s="1265"/>
      <c r="T2649" s="1244"/>
      <c r="U2649" s="1244"/>
    </row>
    <row r="2650">
      <c r="A2650" s="1235"/>
      <c r="B2650" s="1235"/>
      <c r="C2650" s="1246"/>
      <c r="D2650" s="1274"/>
      <c r="E2650" s="1248"/>
      <c r="F2650" s="1248"/>
      <c r="G2650" s="1271"/>
      <c r="H2650" s="1250"/>
      <c r="I2650" s="1251"/>
      <c r="J2650" s="1271"/>
      <c r="K2650" s="1271"/>
      <c r="L2650" s="1254"/>
      <c r="M2650" s="1244"/>
      <c r="N2650" s="1275"/>
      <c r="O2650" s="1275"/>
      <c r="P2650" s="1244"/>
      <c r="Q2650" s="1244"/>
      <c r="R2650" s="1244"/>
      <c r="S2650" s="1265"/>
      <c r="T2650" s="1244"/>
      <c r="U2650" s="1244"/>
    </row>
    <row r="2651">
      <c r="A2651" s="1235"/>
      <c r="B2651" s="1235"/>
      <c r="C2651" s="1246"/>
      <c r="D2651" s="1274"/>
      <c r="E2651" s="1248"/>
      <c r="F2651" s="1248"/>
      <c r="G2651" s="1271"/>
      <c r="H2651" s="1250"/>
      <c r="I2651" s="1251"/>
      <c r="J2651" s="1271"/>
      <c r="K2651" s="1271"/>
      <c r="L2651" s="1254"/>
      <c r="M2651" s="1244"/>
      <c r="N2651" s="1275"/>
      <c r="O2651" s="1275"/>
      <c r="P2651" s="1244"/>
      <c r="Q2651" s="1244"/>
      <c r="R2651" s="1244"/>
      <c r="S2651" s="1265"/>
      <c r="T2651" s="1244"/>
      <c r="U2651" s="1244"/>
    </row>
    <row r="2652">
      <c r="A2652" s="1235"/>
      <c r="B2652" s="1235"/>
      <c r="C2652" s="1246"/>
      <c r="D2652" s="1274"/>
      <c r="E2652" s="1248"/>
      <c r="F2652" s="1248"/>
      <c r="G2652" s="1271"/>
      <c r="H2652" s="1250"/>
      <c r="I2652" s="1251"/>
      <c r="J2652" s="1271"/>
      <c r="K2652" s="1271"/>
      <c r="L2652" s="1254"/>
      <c r="M2652" s="1244"/>
      <c r="N2652" s="1275"/>
      <c r="O2652" s="1275"/>
      <c r="P2652" s="1244"/>
      <c r="Q2652" s="1244"/>
      <c r="R2652" s="1244"/>
      <c r="S2652" s="1265"/>
      <c r="T2652" s="1244"/>
      <c r="U2652" s="1244"/>
    </row>
    <row r="2653">
      <c r="A2653" s="1235"/>
      <c r="B2653" s="1235"/>
      <c r="C2653" s="1246"/>
      <c r="D2653" s="1274"/>
      <c r="E2653" s="1248"/>
      <c r="F2653" s="1248"/>
      <c r="G2653" s="1271"/>
      <c r="H2653" s="1250"/>
      <c r="I2653" s="1251"/>
      <c r="J2653" s="1271"/>
      <c r="K2653" s="1271"/>
      <c r="L2653" s="1254"/>
      <c r="M2653" s="1244"/>
      <c r="N2653" s="1275"/>
      <c r="O2653" s="1275"/>
      <c r="P2653" s="1244"/>
      <c r="Q2653" s="1244"/>
      <c r="R2653" s="1244"/>
      <c r="S2653" s="1265"/>
      <c r="T2653" s="1244"/>
      <c r="U2653" s="1244"/>
    </row>
    <row r="2654">
      <c r="A2654" s="1235"/>
      <c r="B2654" s="1235"/>
      <c r="C2654" s="1246"/>
      <c r="D2654" s="1274"/>
      <c r="E2654" s="1248"/>
      <c r="F2654" s="1248"/>
      <c r="G2654" s="1271"/>
      <c r="H2654" s="1250"/>
      <c r="I2654" s="1251"/>
      <c r="J2654" s="1271"/>
      <c r="K2654" s="1271"/>
      <c r="L2654" s="1254"/>
      <c r="M2654" s="1244"/>
      <c r="N2654" s="1275"/>
      <c r="O2654" s="1275"/>
      <c r="P2654" s="1244"/>
      <c r="Q2654" s="1244"/>
      <c r="R2654" s="1244"/>
      <c r="S2654" s="1265"/>
      <c r="T2654" s="1244"/>
      <c r="U2654" s="1244"/>
    </row>
    <row r="2655">
      <c r="A2655" s="1235"/>
      <c r="B2655" s="1235"/>
      <c r="C2655" s="1246"/>
      <c r="D2655" s="1274"/>
      <c r="E2655" s="1248"/>
      <c r="F2655" s="1248"/>
      <c r="G2655" s="1271"/>
      <c r="H2655" s="1250"/>
      <c r="I2655" s="1251"/>
      <c r="J2655" s="1271"/>
      <c r="K2655" s="1271"/>
      <c r="L2655" s="1254"/>
      <c r="M2655" s="1244"/>
      <c r="N2655" s="1275"/>
      <c r="O2655" s="1275"/>
      <c r="P2655" s="1244"/>
      <c r="Q2655" s="1244"/>
      <c r="R2655" s="1244"/>
      <c r="S2655" s="1265"/>
      <c r="T2655" s="1244"/>
      <c r="U2655" s="1244"/>
    </row>
    <row r="2656">
      <c r="A2656" s="1235"/>
      <c r="B2656" s="1235"/>
      <c r="C2656" s="1246"/>
      <c r="D2656" s="1274"/>
      <c r="E2656" s="1248"/>
      <c r="F2656" s="1248"/>
      <c r="G2656" s="1271"/>
      <c r="H2656" s="1250"/>
      <c r="I2656" s="1251"/>
      <c r="J2656" s="1271"/>
      <c r="K2656" s="1271"/>
      <c r="L2656" s="1254"/>
      <c r="M2656" s="1244"/>
      <c r="N2656" s="1275"/>
      <c r="O2656" s="1275"/>
      <c r="P2656" s="1244"/>
      <c r="Q2656" s="1244"/>
      <c r="R2656" s="1244"/>
      <c r="S2656" s="1265"/>
      <c r="T2656" s="1244"/>
      <c r="U2656" s="1244"/>
    </row>
    <row r="2657">
      <c r="A2657" s="1235"/>
      <c r="B2657" s="1235"/>
      <c r="C2657" s="1246"/>
      <c r="D2657" s="1274"/>
      <c r="E2657" s="1248"/>
      <c r="F2657" s="1248"/>
      <c r="G2657" s="1271"/>
      <c r="H2657" s="1250"/>
      <c r="I2657" s="1251"/>
      <c r="J2657" s="1271"/>
      <c r="K2657" s="1271"/>
      <c r="L2657" s="1254"/>
      <c r="M2657" s="1244"/>
      <c r="N2657" s="1275"/>
      <c r="O2657" s="1275"/>
      <c r="P2657" s="1244"/>
      <c r="Q2657" s="1244"/>
      <c r="R2657" s="1244"/>
      <c r="S2657" s="1265"/>
      <c r="T2657" s="1244"/>
      <c r="U2657" s="1244"/>
    </row>
    <row r="2658">
      <c r="A2658" s="1235"/>
      <c r="B2658" s="1235"/>
      <c r="C2658" s="1246"/>
      <c r="D2658" s="1274"/>
      <c r="E2658" s="1248"/>
      <c r="F2658" s="1248"/>
      <c r="G2658" s="1271"/>
      <c r="H2658" s="1250"/>
      <c r="I2658" s="1251"/>
      <c r="J2658" s="1271"/>
      <c r="K2658" s="1271"/>
      <c r="L2658" s="1254"/>
      <c r="M2658" s="1244"/>
      <c r="N2658" s="1275"/>
      <c r="O2658" s="1275"/>
      <c r="P2658" s="1244"/>
      <c r="Q2658" s="1244"/>
      <c r="R2658" s="1244"/>
      <c r="S2658" s="1265"/>
      <c r="T2658" s="1244"/>
      <c r="U2658" s="1244"/>
    </row>
    <row r="2659">
      <c r="A2659" s="1235"/>
      <c r="B2659" s="1235"/>
      <c r="C2659" s="1246"/>
      <c r="D2659" s="1274"/>
      <c r="E2659" s="1248"/>
      <c r="F2659" s="1248"/>
      <c r="G2659" s="1271"/>
      <c r="H2659" s="1250"/>
      <c r="I2659" s="1251"/>
      <c r="J2659" s="1271"/>
      <c r="K2659" s="1271"/>
      <c r="L2659" s="1254"/>
      <c r="M2659" s="1244"/>
      <c r="N2659" s="1275"/>
      <c r="O2659" s="1275"/>
      <c r="P2659" s="1244"/>
      <c r="Q2659" s="1244"/>
      <c r="R2659" s="1244"/>
      <c r="S2659" s="1265"/>
      <c r="T2659" s="1244"/>
      <c r="U2659" s="1244"/>
    </row>
    <row r="2660">
      <c r="A2660" s="1235"/>
      <c r="B2660" s="1235"/>
      <c r="C2660" s="1246"/>
      <c r="D2660" s="1274"/>
      <c r="E2660" s="1248"/>
      <c r="F2660" s="1248"/>
      <c r="G2660" s="1271"/>
      <c r="H2660" s="1250"/>
      <c r="I2660" s="1251"/>
      <c r="J2660" s="1271"/>
      <c r="K2660" s="1271"/>
      <c r="L2660" s="1254"/>
      <c r="M2660" s="1244"/>
      <c r="N2660" s="1275"/>
      <c r="O2660" s="1275"/>
      <c r="P2660" s="1244"/>
      <c r="Q2660" s="1244"/>
      <c r="R2660" s="1244"/>
      <c r="S2660" s="1265"/>
      <c r="T2660" s="1244"/>
      <c r="U2660" s="1244"/>
    </row>
    <row r="2661">
      <c r="A2661" s="1235"/>
      <c r="B2661" s="1235"/>
      <c r="C2661" s="1246"/>
      <c r="D2661" s="1274"/>
      <c r="E2661" s="1248"/>
      <c r="F2661" s="1248"/>
      <c r="G2661" s="1271"/>
      <c r="H2661" s="1250"/>
      <c r="I2661" s="1251"/>
      <c r="J2661" s="1271"/>
      <c r="K2661" s="1271"/>
      <c r="L2661" s="1254"/>
      <c r="M2661" s="1244"/>
      <c r="N2661" s="1275"/>
      <c r="O2661" s="1275"/>
      <c r="P2661" s="1244"/>
      <c r="Q2661" s="1244"/>
      <c r="R2661" s="1244"/>
      <c r="S2661" s="1265"/>
      <c r="T2661" s="1244"/>
      <c r="U2661" s="1244"/>
    </row>
    <row r="2662">
      <c r="A2662" s="1235"/>
      <c r="B2662" s="1235"/>
      <c r="C2662" s="1246"/>
      <c r="D2662" s="1274"/>
      <c r="E2662" s="1248"/>
      <c r="F2662" s="1248"/>
      <c r="G2662" s="1271"/>
      <c r="H2662" s="1250"/>
      <c r="I2662" s="1251"/>
      <c r="J2662" s="1271"/>
      <c r="K2662" s="1271"/>
      <c r="L2662" s="1254"/>
      <c r="M2662" s="1244"/>
      <c r="N2662" s="1275"/>
      <c r="O2662" s="1275"/>
      <c r="P2662" s="1244"/>
      <c r="Q2662" s="1244"/>
      <c r="R2662" s="1244"/>
      <c r="S2662" s="1265"/>
      <c r="T2662" s="1244"/>
      <c r="U2662" s="1244"/>
    </row>
    <row r="2663">
      <c r="A2663" s="1235"/>
      <c r="B2663" s="1235"/>
      <c r="C2663" s="1246"/>
      <c r="D2663" s="1274"/>
      <c r="E2663" s="1248"/>
      <c r="F2663" s="1248"/>
      <c r="G2663" s="1271"/>
      <c r="H2663" s="1250"/>
      <c r="I2663" s="1251"/>
      <c r="J2663" s="1271"/>
      <c r="K2663" s="1271"/>
      <c r="L2663" s="1254"/>
      <c r="M2663" s="1244"/>
      <c r="N2663" s="1275"/>
      <c r="O2663" s="1275"/>
      <c r="P2663" s="1244"/>
      <c r="Q2663" s="1244"/>
      <c r="R2663" s="1244"/>
      <c r="S2663" s="1265"/>
      <c r="T2663" s="1244"/>
      <c r="U2663" s="1244"/>
    </row>
    <row r="2664">
      <c r="A2664" s="1235"/>
      <c r="B2664" s="1235"/>
      <c r="C2664" s="1246"/>
      <c r="D2664" s="1274"/>
      <c r="E2664" s="1248"/>
      <c r="F2664" s="1248"/>
      <c r="G2664" s="1271"/>
      <c r="H2664" s="1250"/>
      <c r="I2664" s="1251"/>
      <c r="J2664" s="1271"/>
      <c r="K2664" s="1271"/>
      <c r="L2664" s="1254"/>
      <c r="M2664" s="1244"/>
      <c r="N2664" s="1275"/>
      <c r="O2664" s="1275"/>
      <c r="P2664" s="1244"/>
      <c r="Q2664" s="1244"/>
      <c r="R2664" s="1244"/>
      <c r="S2664" s="1265"/>
      <c r="T2664" s="1244"/>
      <c r="U2664" s="1244"/>
    </row>
    <row r="2665">
      <c r="A2665" s="1235"/>
      <c r="B2665" s="1235"/>
      <c r="C2665" s="1246"/>
      <c r="D2665" s="1274"/>
      <c r="E2665" s="1248"/>
      <c r="F2665" s="1248"/>
      <c r="G2665" s="1271"/>
      <c r="H2665" s="1250"/>
      <c r="I2665" s="1251"/>
      <c r="J2665" s="1271"/>
      <c r="K2665" s="1271"/>
      <c r="L2665" s="1254"/>
      <c r="M2665" s="1244"/>
      <c r="N2665" s="1275"/>
      <c r="O2665" s="1275"/>
      <c r="P2665" s="1244"/>
      <c r="Q2665" s="1244"/>
      <c r="R2665" s="1244"/>
      <c r="S2665" s="1265"/>
      <c r="T2665" s="1244"/>
      <c r="U2665" s="1244"/>
    </row>
    <row r="2666">
      <c r="A2666" s="1235"/>
      <c r="B2666" s="1235"/>
      <c r="C2666" s="1246"/>
      <c r="D2666" s="1274"/>
      <c r="E2666" s="1248"/>
      <c r="F2666" s="1248"/>
      <c r="G2666" s="1271"/>
      <c r="H2666" s="1250"/>
      <c r="I2666" s="1251"/>
      <c r="J2666" s="1271"/>
      <c r="K2666" s="1271"/>
      <c r="L2666" s="1254"/>
      <c r="M2666" s="1244"/>
      <c r="N2666" s="1275"/>
      <c r="O2666" s="1275"/>
      <c r="P2666" s="1244"/>
      <c r="Q2666" s="1244"/>
      <c r="R2666" s="1244"/>
      <c r="S2666" s="1265"/>
      <c r="T2666" s="1244"/>
      <c r="U2666" s="1244"/>
    </row>
    <row r="2667">
      <c r="A2667" s="1235"/>
      <c r="B2667" s="1235"/>
      <c r="C2667" s="1246"/>
      <c r="D2667" s="1274"/>
      <c r="E2667" s="1248"/>
      <c r="F2667" s="1248"/>
      <c r="G2667" s="1271"/>
      <c r="H2667" s="1250"/>
      <c r="I2667" s="1251"/>
      <c r="J2667" s="1271"/>
      <c r="K2667" s="1271"/>
      <c r="L2667" s="1254"/>
      <c r="M2667" s="1244"/>
      <c r="N2667" s="1275"/>
      <c r="O2667" s="1275"/>
      <c r="P2667" s="1244"/>
      <c r="Q2667" s="1244"/>
      <c r="R2667" s="1244"/>
      <c r="S2667" s="1265"/>
      <c r="T2667" s="1244"/>
      <c r="U2667" s="1244"/>
    </row>
    <row r="2668">
      <c r="A2668" s="1235"/>
      <c r="B2668" s="1235"/>
      <c r="C2668" s="1246"/>
      <c r="D2668" s="1274"/>
      <c r="E2668" s="1248"/>
      <c r="F2668" s="1248"/>
      <c r="G2668" s="1271"/>
      <c r="H2668" s="1250"/>
      <c r="I2668" s="1251"/>
      <c r="J2668" s="1271"/>
      <c r="K2668" s="1271"/>
      <c r="L2668" s="1254"/>
      <c r="M2668" s="1244"/>
      <c r="N2668" s="1275"/>
      <c r="O2668" s="1275"/>
      <c r="P2668" s="1244"/>
      <c r="Q2668" s="1244"/>
      <c r="R2668" s="1244"/>
      <c r="S2668" s="1265"/>
      <c r="T2668" s="1244"/>
      <c r="U2668" s="1244"/>
    </row>
    <row r="2669">
      <c r="A2669" s="1235"/>
      <c r="B2669" s="1235"/>
      <c r="C2669" s="1246"/>
      <c r="D2669" s="1274"/>
      <c r="E2669" s="1248"/>
      <c r="F2669" s="1248"/>
      <c r="G2669" s="1271"/>
      <c r="H2669" s="1250"/>
      <c r="I2669" s="1251"/>
      <c r="J2669" s="1271"/>
      <c r="K2669" s="1271"/>
      <c r="L2669" s="1254"/>
      <c r="M2669" s="1244"/>
      <c r="N2669" s="1275"/>
      <c r="O2669" s="1275"/>
      <c r="P2669" s="1244"/>
      <c r="Q2669" s="1244"/>
      <c r="R2669" s="1244"/>
      <c r="S2669" s="1265"/>
      <c r="T2669" s="1244"/>
      <c r="U2669" s="1244"/>
    </row>
    <row r="2670">
      <c r="A2670" s="1235"/>
      <c r="B2670" s="1235"/>
      <c r="C2670" s="1246"/>
      <c r="D2670" s="1274"/>
      <c r="E2670" s="1248"/>
      <c r="F2670" s="1248"/>
      <c r="G2670" s="1271"/>
      <c r="H2670" s="1250"/>
      <c r="I2670" s="1251"/>
      <c r="J2670" s="1271"/>
      <c r="K2670" s="1271"/>
      <c r="L2670" s="1254"/>
      <c r="M2670" s="1244"/>
      <c r="N2670" s="1275"/>
      <c r="O2670" s="1275"/>
      <c r="P2670" s="1244"/>
      <c r="Q2670" s="1244"/>
      <c r="R2670" s="1244"/>
      <c r="S2670" s="1265"/>
      <c r="T2670" s="1244"/>
      <c r="U2670" s="1244"/>
    </row>
    <row r="2671">
      <c r="A2671" s="1235"/>
      <c r="B2671" s="1235"/>
      <c r="C2671" s="1246"/>
      <c r="D2671" s="1274"/>
      <c r="E2671" s="1248"/>
      <c r="F2671" s="1248"/>
      <c r="G2671" s="1271"/>
      <c r="H2671" s="1250"/>
      <c r="I2671" s="1251"/>
      <c r="J2671" s="1271"/>
      <c r="K2671" s="1271"/>
      <c r="L2671" s="1254"/>
      <c r="M2671" s="1244"/>
      <c r="N2671" s="1275"/>
      <c r="O2671" s="1275"/>
      <c r="P2671" s="1244"/>
      <c r="Q2671" s="1244"/>
      <c r="R2671" s="1244"/>
      <c r="S2671" s="1265"/>
      <c r="T2671" s="1244"/>
      <c r="U2671" s="1244"/>
    </row>
    <row r="2672">
      <c r="A2672" s="1235"/>
      <c r="B2672" s="1235"/>
      <c r="C2672" s="1246"/>
      <c r="D2672" s="1274"/>
      <c r="E2672" s="1248"/>
      <c r="F2672" s="1248"/>
      <c r="G2672" s="1271"/>
      <c r="H2672" s="1250"/>
      <c r="I2672" s="1251"/>
      <c r="J2672" s="1271"/>
      <c r="K2672" s="1271"/>
      <c r="L2672" s="1254"/>
      <c r="M2672" s="1244"/>
      <c r="N2672" s="1275"/>
      <c r="O2672" s="1275"/>
      <c r="P2672" s="1244"/>
      <c r="Q2672" s="1244"/>
      <c r="R2672" s="1244"/>
      <c r="S2672" s="1265"/>
      <c r="T2672" s="1244"/>
      <c r="U2672" s="1244"/>
    </row>
    <row r="2673">
      <c r="A2673" s="1235"/>
      <c r="B2673" s="1235"/>
      <c r="C2673" s="1246"/>
      <c r="D2673" s="1274"/>
      <c r="E2673" s="1248"/>
      <c r="F2673" s="1248"/>
      <c r="G2673" s="1271"/>
      <c r="H2673" s="1250"/>
      <c r="I2673" s="1251"/>
      <c r="J2673" s="1271"/>
      <c r="K2673" s="1271"/>
      <c r="L2673" s="1254"/>
      <c r="M2673" s="1244"/>
      <c r="N2673" s="1275"/>
      <c r="O2673" s="1275"/>
      <c r="P2673" s="1244"/>
      <c r="Q2673" s="1244"/>
      <c r="R2673" s="1244"/>
      <c r="S2673" s="1265"/>
      <c r="T2673" s="1244"/>
      <c r="U2673" s="1244"/>
    </row>
    <row r="2674">
      <c r="A2674" s="1235"/>
      <c r="B2674" s="1235"/>
      <c r="C2674" s="1246"/>
      <c r="D2674" s="1274"/>
      <c r="E2674" s="1248"/>
      <c r="F2674" s="1248"/>
      <c r="G2674" s="1271"/>
      <c r="H2674" s="1250"/>
      <c r="I2674" s="1251"/>
      <c r="J2674" s="1271"/>
      <c r="K2674" s="1271"/>
      <c r="L2674" s="1254"/>
      <c r="M2674" s="1244"/>
      <c r="N2674" s="1275"/>
      <c r="O2674" s="1275"/>
      <c r="P2674" s="1244"/>
      <c r="Q2674" s="1244"/>
      <c r="R2674" s="1244"/>
      <c r="S2674" s="1265"/>
      <c r="T2674" s="1244"/>
      <c r="U2674" s="1244"/>
    </row>
    <row r="2675">
      <c r="A2675" s="1235"/>
      <c r="B2675" s="1235"/>
      <c r="C2675" s="1246"/>
      <c r="D2675" s="1274"/>
      <c r="E2675" s="1248"/>
      <c r="F2675" s="1248"/>
      <c r="G2675" s="1271"/>
      <c r="H2675" s="1250"/>
      <c r="I2675" s="1251"/>
      <c r="J2675" s="1271"/>
      <c r="K2675" s="1271"/>
      <c r="L2675" s="1254"/>
      <c r="M2675" s="1244"/>
      <c r="N2675" s="1275"/>
      <c r="O2675" s="1275"/>
      <c r="P2675" s="1244"/>
      <c r="Q2675" s="1244"/>
      <c r="R2675" s="1244"/>
      <c r="S2675" s="1265"/>
      <c r="T2675" s="1244"/>
      <c r="U2675" s="1244"/>
    </row>
    <row r="2676">
      <c r="A2676" s="1235"/>
      <c r="B2676" s="1235"/>
      <c r="C2676" s="1246"/>
      <c r="D2676" s="1274"/>
      <c r="E2676" s="1248"/>
      <c r="F2676" s="1248"/>
      <c r="G2676" s="1271"/>
      <c r="H2676" s="1250"/>
      <c r="I2676" s="1251"/>
      <c r="J2676" s="1271"/>
      <c r="K2676" s="1271"/>
      <c r="L2676" s="1254"/>
      <c r="M2676" s="1244"/>
      <c r="N2676" s="1275"/>
      <c r="O2676" s="1275"/>
      <c r="P2676" s="1244"/>
      <c r="Q2676" s="1244"/>
      <c r="R2676" s="1244"/>
      <c r="S2676" s="1265"/>
      <c r="T2676" s="1244"/>
      <c r="U2676" s="1244"/>
    </row>
    <row r="2677">
      <c r="A2677" s="1235"/>
      <c r="B2677" s="1235"/>
      <c r="C2677" s="1246"/>
      <c r="D2677" s="1274"/>
      <c r="E2677" s="1248"/>
      <c r="F2677" s="1248"/>
      <c r="G2677" s="1271"/>
      <c r="H2677" s="1250"/>
      <c r="I2677" s="1251"/>
      <c r="J2677" s="1271"/>
      <c r="K2677" s="1271"/>
      <c r="L2677" s="1254"/>
      <c r="M2677" s="1244"/>
      <c r="N2677" s="1275"/>
      <c r="O2677" s="1275"/>
      <c r="P2677" s="1244"/>
      <c r="Q2677" s="1244"/>
      <c r="R2677" s="1244"/>
      <c r="S2677" s="1265"/>
      <c r="T2677" s="1244"/>
      <c r="U2677" s="1244"/>
    </row>
    <row r="2678">
      <c r="A2678" s="1235"/>
      <c r="B2678" s="1235"/>
      <c r="C2678" s="1246"/>
      <c r="D2678" s="1274"/>
      <c r="E2678" s="1248"/>
      <c r="F2678" s="1248"/>
      <c r="G2678" s="1271"/>
      <c r="H2678" s="1250"/>
      <c r="I2678" s="1251"/>
      <c r="J2678" s="1271"/>
      <c r="K2678" s="1271"/>
      <c r="L2678" s="1254"/>
      <c r="M2678" s="1244"/>
      <c r="N2678" s="1275"/>
      <c r="O2678" s="1275"/>
      <c r="P2678" s="1244"/>
      <c r="Q2678" s="1244"/>
      <c r="R2678" s="1244"/>
      <c r="S2678" s="1265"/>
      <c r="T2678" s="1244"/>
      <c r="U2678" s="1244"/>
    </row>
    <row r="2679">
      <c r="A2679" s="1235"/>
      <c r="B2679" s="1235"/>
      <c r="C2679" s="1246"/>
      <c r="D2679" s="1274"/>
      <c r="E2679" s="1248"/>
      <c r="F2679" s="1248"/>
      <c r="G2679" s="1271"/>
      <c r="H2679" s="1250"/>
      <c r="I2679" s="1251"/>
      <c r="J2679" s="1271"/>
      <c r="K2679" s="1271"/>
      <c r="L2679" s="1254"/>
      <c r="M2679" s="1244"/>
      <c r="N2679" s="1275"/>
      <c r="O2679" s="1275"/>
      <c r="P2679" s="1244"/>
      <c r="Q2679" s="1244"/>
      <c r="R2679" s="1244"/>
      <c r="S2679" s="1265"/>
      <c r="T2679" s="1244"/>
      <c r="U2679" s="1244"/>
    </row>
    <row r="2680">
      <c r="A2680" s="1235"/>
      <c r="B2680" s="1235"/>
      <c r="C2680" s="1246"/>
      <c r="D2680" s="1274"/>
      <c r="E2680" s="1248"/>
      <c r="F2680" s="1248"/>
      <c r="G2680" s="1271"/>
      <c r="H2680" s="1250"/>
      <c r="I2680" s="1251"/>
      <c r="J2680" s="1271"/>
      <c r="K2680" s="1271"/>
      <c r="L2680" s="1254"/>
      <c r="M2680" s="1244"/>
      <c r="N2680" s="1275"/>
      <c r="O2680" s="1275"/>
      <c r="P2680" s="1244"/>
      <c r="Q2680" s="1244"/>
      <c r="R2680" s="1244"/>
      <c r="S2680" s="1265"/>
      <c r="T2680" s="1244"/>
      <c r="U2680" s="1244"/>
    </row>
    <row r="2681">
      <c r="A2681" s="1235"/>
      <c r="B2681" s="1235"/>
      <c r="C2681" s="1246"/>
      <c r="D2681" s="1274"/>
      <c r="E2681" s="1248"/>
      <c r="F2681" s="1248"/>
      <c r="G2681" s="1271"/>
      <c r="H2681" s="1250"/>
      <c r="I2681" s="1251"/>
      <c r="J2681" s="1271"/>
      <c r="K2681" s="1271"/>
      <c r="L2681" s="1254"/>
      <c r="M2681" s="1244"/>
      <c r="N2681" s="1275"/>
      <c r="O2681" s="1275"/>
      <c r="P2681" s="1244"/>
      <c r="Q2681" s="1244"/>
      <c r="R2681" s="1244"/>
      <c r="S2681" s="1265"/>
      <c r="T2681" s="1244"/>
      <c r="U2681" s="1244"/>
    </row>
    <row r="2682">
      <c r="A2682" s="1235"/>
      <c r="B2682" s="1235"/>
      <c r="C2682" s="1246"/>
      <c r="D2682" s="1274"/>
      <c r="E2682" s="1248"/>
      <c r="F2682" s="1248"/>
      <c r="G2682" s="1271"/>
      <c r="H2682" s="1250"/>
      <c r="I2682" s="1251"/>
      <c r="J2682" s="1271"/>
      <c r="K2682" s="1271"/>
      <c r="L2682" s="1254"/>
      <c r="M2682" s="1244"/>
      <c r="N2682" s="1275"/>
      <c r="O2682" s="1275"/>
      <c r="P2682" s="1244"/>
      <c r="Q2682" s="1244"/>
      <c r="R2682" s="1244"/>
      <c r="S2682" s="1265"/>
      <c r="T2682" s="1244"/>
      <c r="U2682" s="1244"/>
    </row>
    <row r="2683">
      <c r="A2683" s="1235"/>
      <c r="B2683" s="1235"/>
      <c r="C2683" s="1246"/>
      <c r="D2683" s="1274"/>
      <c r="E2683" s="1248"/>
      <c r="F2683" s="1248"/>
      <c r="G2683" s="1271"/>
      <c r="H2683" s="1250"/>
      <c r="I2683" s="1251"/>
      <c r="J2683" s="1271"/>
      <c r="K2683" s="1271"/>
      <c r="L2683" s="1254"/>
      <c r="M2683" s="1244"/>
      <c r="N2683" s="1275"/>
      <c r="O2683" s="1275"/>
      <c r="P2683" s="1244"/>
      <c r="Q2683" s="1244"/>
      <c r="R2683" s="1244"/>
      <c r="S2683" s="1265"/>
      <c r="T2683" s="1244"/>
      <c r="U2683" s="1244"/>
    </row>
    <row r="2684">
      <c r="A2684" s="1235"/>
      <c r="B2684" s="1235"/>
      <c r="C2684" s="1246"/>
      <c r="D2684" s="1274"/>
      <c r="E2684" s="1248"/>
      <c r="F2684" s="1248"/>
      <c r="G2684" s="1271"/>
      <c r="H2684" s="1250"/>
      <c r="I2684" s="1251"/>
      <c r="J2684" s="1271"/>
      <c r="K2684" s="1271"/>
      <c r="L2684" s="1254"/>
      <c r="M2684" s="1244"/>
      <c r="N2684" s="1275"/>
      <c r="O2684" s="1275"/>
      <c r="P2684" s="1244"/>
      <c r="Q2684" s="1244"/>
      <c r="R2684" s="1244"/>
      <c r="S2684" s="1265"/>
      <c r="T2684" s="1244"/>
      <c r="U2684" s="1244"/>
    </row>
    <row r="2685">
      <c r="A2685" s="1235"/>
      <c r="B2685" s="1235"/>
      <c r="C2685" s="1246"/>
      <c r="D2685" s="1274"/>
      <c r="E2685" s="1248"/>
      <c r="F2685" s="1248"/>
      <c r="G2685" s="1271"/>
      <c r="H2685" s="1250"/>
      <c r="I2685" s="1251"/>
      <c r="J2685" s="1271"/>
      <c r="K2685" s="1271"/>
      <c r="L2685" s="1254"/>
      <c r="M2685" s="1244"/>
      <c r="N2685" s="1275"/>
      <c r="O2685" s="1275"/>
      <c r="P2685" s="1244"/>
      <c r="Q2685" s="1244"/>
      <c r="R2685" s="1244"/>
      <c r="S2685" s="1265"/>
      <c r="T2685" s="1244"/>
      <c r="U2685" s="1244"/>
    </row>
    <row r="2686">
      <c r="A2686" s="1235"/>
      <c r="B2686" s="1235"/>
      <c r="C2686" s="1246"/>
      <c r="D2686" s="1274"/>
      <c r="E2686" s="1248"/>
      <c r="F2686" s="1248"/>
      <c r="G2686" s="1271"/>
      <c r="H2686" s="1250"/>
      <c r="I2686" s="1251"/>
      <c r="J2686" s="1271"/>
      <c r="K2686" s="1271"/>
      <c r="L2686" s="1254"/>
      <c r="M2686" s="1244"/>
      <c r="N2686" s="1275"/>
      <c r="O2686" s="1275"/>
      <c r="P2686" s="1244"/>
      <c r="Q2686" s="1244"/>
      <c r="R2686" s="1244"/>
      <c r="S2686" s="1265"/>
      <c r="T2686" s="1244"/>
      <c r="U2686" s="1244"/>
    </row>
    <row r="2687">
      <c r="A2687" s="1235"/>
      <c r="B2687" s="1235"/>
      <c r="C2687" s="1246"/>
      <c r="D2687" s="1274"/>
      <c r="E2687" s="1248"/>
      <c r="F2687" s="1248"/>
      <c r="G2687" s="1271"/>
      <c r="H2687" s="1250"/>
      <c r="I2687" s="1251"/>
      <c r="J2687" s="1271"/>
      <c r="K2687" s="1271"/>
      <c r="L2687" s="1254"/>
      <c r="M2687" s="1244"/>
      <c r="N2687" s="1275"/>
      <c r="O2687" s="1275"/>
      <c r="P2687" s="1244"/>
      <c r="Q2687" s="1244"/>
      <c r="R2687" s="1244"/>
      <c r="S2687" s="1265"/>
      <c r="T2687" s="1244"/>
      <c r="U2687" s="1244"/>
    </row>
    <row r="2688">
      <c r="A2688" s="1235"/>
      <c r="B2688" s="1235"/>
      <c r="C2688" s="1246"/>
      <c r="D2688" s="1274"/>
      <c r="E2688" s="1248"/>
      <c r="F2688" s="1248"/>
      <c r="G2688" s="1271"/>
      <c r="H2688" s="1250"/>
      <c r="I2688" s="1251"/>
      <c r="J2688" s="1271"/>
      <c r="K2688" s="1271"/>
      <c r="L2688" s="1254"/>
      <c r="M2688" s="1244"/>
      <c r="N2688" s="1275"/>
      <c r="O2688" s="1275"/>
      <c r="P2688" s="1244"/>
      <c r="Q2688" s="1244"/>
      <c r="R2688" s="1244"/>
      <c r="S2688" s="1265"/>
      <c r="T2688" s="1244"/>
      <c r="U2688" s="1244"/>
    </row>
    <row r="2689">
      <c r="A2689" s="1235"/>
      <c r="B2689" s="1235"/>
      <c r="C2689" s="1246"/>
      <c r="D2689" s="1274"/>
      <c r="E2689" s="1248"/>
      <c r="F2689" s="1248"/>
      <c r="G2689" s="1271"/>
      <c r="H2689" s="1250"/>
      <c r="I2689" s="1251"/>
      <c r="J2689" s="1271"/>
      <c r="K2689" s="1271"/>
      <c r="L2689" s="1254"/>
      <c r="M2689" s="1244"/>
      <c r="N2689" s="1275"/>
      <c r="O2689" s="1275"/>
      <c r="P2689" s="1244"/>
      <c r="Q2689" s="1244"/>
      <c r="R2689" s="1244"/>
      <c r="S2689" s="1265"/>
      <c r="T2689" s="1244"/>
      <c r="U2689" s="1244"/>
    </row>
    <row r="2690">
      <c r="A2690" s="1235"/>
      <c r="B2690" s="1235"/>
      <c r="C2690" s="1246"/>
      <c r="D2690" s="1274"/>
      <c r="E2690" s="1248"/>
      <c r="F2690" s="1248"/>
      <c r="G2690" s="1271"/>
      <c r="H2690" s="1250"/>
      <c r="I2690" s="1251"/>
      <c r="J2690" s="1271"/>
      <c r="K2690" s="1271"/>
      <c r="L2690" s="1254"/>
      <c r="M2690" s="1244"/>
      <c r="N2690" s="1275"/>
      <c r="O2690" s="1275"/>
      <c r="P2690" s="1244"/>
      <c r="Q2690" s="1244"/>
      <c r="R2690" s="1244"/>
      <c r="S2690" s="1265"/>
      <c r="T2690" s="1244"/>
      <c r="U2690" s="1244"/>
    </row>
    <row r="2691">
      <c r="A2691" s="1235"/>
      <c r="B2691" s="1235"/>
      <c r="C2691" s="1246"/>
      <c r="D2691" s="1274"/>
      <c r="E2691" s="1248"/>
      <c r="F2691" s="1248"/>
      <c r="G2691" s="1271"/>
      <c r="H2691" s="1250"/>
      <c r="I2691" s="1251"/>
      <c r="J2691" s="1271"/>
      <c r="K2691" s="1271"/>
      <c r="L2691" s="1254"/>
      <c r="M2691" s="1244"/>
      <c r="N2691" s="1275"/>
      <c r="O2691" s="1275"/>
      <c r="P2691" s="1244"/>
      <c r="Q2691" s="1244"/>
      <c r="R2691" s="1244"/>
      <c r="S2691" s="1265"/>
      <c r="T2691" s="1244"/>
      <c r="U2691" s="1244"/>
    </row>
    <row r="2692">
      <c r="A2692" s="1235"/>
      <c r="B2692" s="1235"/>
      <c r="C2692" s="1246"/>
      <c r="D2692" s="1274"/>
      <c r="E2692" s="1248"/>
      <c r="F2692" s="1248"/>
      <c r="G2692" s="1271"/>
      <c r="H2692" s="1250"/>
      <c r="I2692" s="1251"/>
      <c r="J2692" s="1271"/>
      <c r="K2692" s="1271"/>
      <c r="L2692" s="1254"/>
      <c r="M2692" s="1244"/>
      <c r="N2692" s="1275"/>
      <c r="O2692" s="1275"/>
      <c r="P2692" s="1244"/>
      <c r="Q2692" s="1244"/>
      <c r="R2692" s="1244"/>
      <c r="S2692" s="1265"/>
      <c r="T2692" s="1244"/>
      <c r="U2692" s="1244"/>
    </row>
    <row r="2693">
      <c r="A2693" s="1235"/>
      <c r="B2693" s="1235"/>
      <c r="C2693" s="1246"/>
      <c r="D2693" s="1274"/>
      <c r="E2693" s="1248"/>
      <c r="F2693" s="1248"/>
      <c r="G2693" s="1271"/>
      <c r="H2693" s="1250"/>
      <c r="I2693" s="1251"/>
      <c r="J2693" s="1271"/>
      <c r="K2693" s="1271"/>
      <c r="L2693" s="1254"/>
      <c r="M2693" s="1244"/>
      <c r="N2693" s="1275"/>
      <c r="O2693" s="1275"/>
      <c r="P2693" s="1244"/>
      <c r="Q2693" s="1244"/>
      <c r="R2693" s="1244"/>
      <c r="S2693" s="1265"/>
      <c r="T2693" s="1244"/>
      <c r="U2693" s="1244"/>
    </row>
    <row r="2694">
      <c r="A2694" s="1235"/>
      <c r="B2694" s="1235"/>
      <c r="C2694" s="1246"/>
      <c r="D2694" s="1274"/>
      <c r="E2694" s="1248"/>
      <c r="F2694" s="1248"/>
      <c r="G2694" s="1271"/>
      <c r="H2694" s="1250"/>
      <c r="I2694" s="1251"/>
      <c r="J2694" s="1271"/>
      <c r="K2694" s="1271"/>
      <c r="L2694" s="1254"/>
      <c r="M2694" s="1244"/>
      <c r="N2694" s="1275"/>
      <c r="O2694" s="1275"/>
      <c r="P2694" s="1244"/>
      <c r="Q2694" s="1244"/>
      <c r="R2694" s="1244"/>
      <c r="S2694" s="1265"/>
      <c r="T2694" s="1244"/>
      <c r="U2694" s="1244"/>
    </row>
    <row r="2695">
      <c r="A2695" s="1235"/>
      <c r="B2695" s="1235"/>
      <c r="C2695" s="1246"/>
      <c r="D2695" s="1274"/>
      <c r="E2695" s="1248"/>
      <c r="F2695" s="1248"/>
      <c r="G2695" s="1271"/>
      <c r="H2695" s="1250"/>
      <c r="I2695" s="1251"/>
      <c r="J2695" s="1271"/>
      <c r="K2695" s="1271"/>
      <c r="L2695" s="1254"/>
      <c r="M2695" s="1244"/>
      <c r="N2695" s="1275"/>
      <c r="O2695" s="1275"/>
      <c r="P2695" s="1244"/>
      <c r="Q2695" s="1244"/>
      <c r="R2695" s="1244"/>
      <c r="S2695" s="1265"/>
      <c r="T2695" s="1244"/>
      <c r="U2695" s="1244"/>
    </row>
    <row r="2696">
      <c r="A2696" s="1235"/>
      <c r="B2696" s="1235"/>
      <c r="C2696" s="1246"/>
      <c r="D2696" s="1274"/>
      <c r="E2696" s="1248"/>
      <c r="F2696" s="1248"/>
      <c r="G2696" s="1271"/>
      <c r="H2696" s="1250"/>
      <c r="I2696" s="1251"/>
      <c r="J2696" s="1271"/>
      <c r="K2696" s="1271"/>
      <c r="L2696" s="1254"/>
      <c r="M2696" s="1244"/>
      <c r="N2696" s="1275"/>
      <c r="O2696" s="1275"/>
      <c r="P2696" s="1244"/>
      <c r="Q2696" s="1244"/>
      <c r="R2696" s="1244"/>
      <c r="S2696" s="1265"/>
      <c r="T2696" s="1244"/>
      <c r="U2696" s="1244"/>
    </row>
    <row r="2697">
      <c r="A2697" s="1235"/>
      <c r="B2697" s="1235"/>
      <c r="C2697" s="1246"/>
      <c r="D2697" s="1274"/>
      <c r="E2697" s="1248"/>
      <c r="F2697" s="1248"/>
      <c r="G2697" s="1271"/>
      <c r="H2697" s="1250"/>
      <c r="I2697" s="1251"/>
      <c r="J2697" s="1271"/>
      <c r="K2697" s="1271"/>
      <c r="L2697" s="1254"/>
      <c r="M2697" s="1244"/>
      <c r="N2697" s="1275"/>
      <c r="O2697" s="1275"/>
      <c r="P2697" s="1244"/>
      <c r="Q2697" s="1244"/>
      <c r="R2697" s="1244"/>
      <c r="S2697" s="1265"/>
      <c r="T2697" s="1244"/>
      <c r="U2697" s="1244"/>
    </row>
    <row r="2698">
      <c r="A2698" s="1235"/>
      <c r="B2698" s="1235"/>
      <c r="C2698" s="1246"/>
      <c r="D2698" s="1274"/>
      <c r="E2698" s="1248"/>
      <c r="F2698" s="1248"/>
      <c r="G2698" s="1271"/>
      <c r="H2698" s="1250"/>
      <c r="I2698" s="1251"/>
      <c r="J2698" s="1271"/>
      <c r="K2698" s="1271"/>
      <c r="L2698" s="1254"/>
      <c r="M2698" s="1244"/>
      <c r="N2698" s="1275"/>
      <c r="O2698" s="1275"/>
      <c r="P2698" s="1244"/>
      <c r="Q2698" s="1244"/>
      <c r="R2698" s="1244"/>
      <c r="S2698" s="1265"/>
      <c r="T2698" s="1244"/>
      <c r="U2698" s="1244"/>
    </row>
    <row r="2699">
      <c r="A2699" s="1235"/>
      <c r="B2699" s="1235"/>
      <c r="C2699" s="1246"/>
      <c r="D2699" s="1274"/>
      <c r="E2699" s="1248"/>
      <c r="F2699" s="1248"/>
      <c r="G2699" s="1271"/>
      <c r="H2699" s="1250"/>
      <c r="I2699" s="1251"/>
      <c r="J2699" s="1271"/>
      <c r="K2699" s="1271"/>
      <c r="L2699" s="1254"/>
      <c r="M2699" s="1244"/>
      <c r="N2699" s="1275"/>
      <c r="O2699" s="1275"/>
      <c r="P2699" s="1244"/>
      <c r="Q2699" s="1244"/>
      <c r="R2699" s="1244"/>
      <c r="S2699" s="1265"/>
      <c r="T2699" s="1244"/>
      <c r="U2699" s="1244"/>
    </row>
    <row r="2700">
      <c r="A2700" s="1235"/>
      <c r="B2700" s="1235"/>
      <c r="C2700" s="1246"/>
      <c r="D2700" s="1274"/>
      <c r="E2700" s="1248"/>
      <c r="F2700" s="1248"/>
      <c r="G2700" s="1271"/>
      <c r="H2700" s="1250"/>
      <c r="I2700" s="1251"/>
      <c r="J2700" s="1271"/>
      <c r="K2700" s="1271"/>
      <c r="L2700" s="1254"/>
      <c r="M2700" s="1244"/>
      <c r="N2700" s="1275"/>
      <c r="O2700" s="1275"/>
      <c r="P2700" s="1244"/>
      <c r="Q2700" s="1244"/>
      <c r="R2700" s="1244"/>
      <c r="S2700" s="1265"/>
      <c r="T2700" s="1244"/>
      <c r="U2700" s="1244"/>
    </row>
    <row r="2701">
      <c r="A2701" s="1235"/>
      <c r="B2701" s="1235"/>
      <c r="C2701" s="1246"/>
      <c r="D2701" s="1274"/>
      <c r="E2701" s="1248"/>
      <c r="F2701" s="1248"/>
      <c r="G2701" s="1271"/>
      <c r="H2701" s="1250"/>
      <c r="I2701" s="1251"/>
      <c r="J2701" s="1271"/>
      <c r="K2701" s="1271"/>
      <c r="L2701" s="1254"/>
      <c r="M2701" s="1244"/>
      <c r="N2701" s="1275"/>
      <c r="O2701" s="1275"/>
      <c r="P2701" s="1244"/>
      <c r="Q2701" s="1244"/>
      <c r="R2701" s="1244"/>
      <c r="S2701" s="1265"/>
      <c r="T2701" s="1244"/>
      <c r="U2701" s="1244"/>
    </row>
    <row r="2702">
      <c r="A2702" s="1235"/>
      <c r="B2702" s="1235"/>
      <c r="C2702" s="1246"/>
      <c r="D2702" s="1274"/>
      <c r="E2702" s="1248"/>
      <c r="F2702" s="1248"/>
      <c r="G2702" s="1271"/>
      <c r="H2702" s="1250"/>
      <c r="I2702" s="1251"/>
      <c r="J2702" s="1271"/>
      <c r="K2702" s="1271"/>
      <c r="L2702" s="1254"/>
      <c r="M2702" s="1244"/>
      <c r="N2702" s="1275"/>
      <c r="O2702" s="1275"/>
      <c r="P2702" s="1244"/>
      <c r="Q2702" s="1244"/>
      <c r="R2702" s="1244"/>
      <c r="S2702" s="1265"/>
      <c r="T2702" s="1244"/>
      <c r="U2702" s="1244"/>
    </row>
    <row r="2703">
      <c r="A2703" s="1235"/>
      <c r="B2703" s="1235"/>
      <c r="C2703" s="1246"/>
      <c r="D2703" s="1274"/>
      <c r="E2703" s="1248"/>
      <c r="F2703" s="1248"/>
      <c r="G2703" s="1271"/>
      <c r="H2703" s="1250"/>
      <c r="I2703" s="1251"/>
      <c r="J2703" s="1271"/>
      <c r="K2703" s="1271"/>
      <c r="L2703" s="1254"/>
      <c r="M2703" s="1244"/>
      <c r="N2703" s="1275"/>
      <c r="O2703" s="1275"/>
      <c r="P2703" s="1244"/>
      <c r="Q2703" s="1244"/>
      <c r="R2703" s="1244"/>
      <c r="S2703" s="1265"/>
      <c r="T2703" s="1244"/>
      <c r="U2703" s="1244"/>
    </row>
    <row r="2704">
      <c r="A2704" s="1235"/>
      <c r="B2704" s="1235"/>
      <c r="C2704" s="1246"/>
      <c r="D2704" s="1274"/>
      <c r="E2704" s="1248"/>
      <c r="F2704" s="1248"/>
      <c r="G2704" s="1271"/>
      <c r="H2704" s="1250"/>
      <c r="I2704" s="1251"/>
      <c r="J2704" s="1271"/>
      <c r="K2704" s="1271"/>
      <c r="L2704" s="1254"/>
      <c r="M2704" s="1244"/>
      <c r="N2704" s="1275"/>
      <c r="O2704" s="1275"/>
      <c r="P2704" s="1244"/>
      <c r="Q2704" s="1244"/>
      <c r="R2704" s="1244"/>
      <c r="S2704" s="1265"/>
      <c r="T2704" s="1244"/>
      <c r="U2704" s="1244"/>
    </row>
    <row r="2705">
      <c r="A2705" s="1235"/>
      <c r="B2705" s="1235"/>
      <c r="C2705" s="1246"/>
      <c r="D2705" s="1274"/>
      <c r="E2705" s="1248"/>
      <c r="F2705" s="1248"/>
      <c r="G2705" s="1271"/>
      <c r="H2705" s="1250"/>
      <c r="I2705" s="1251"/>
      <c r="J2705" s="1271"/>
      <c r="K2705" s="1271"/>
      <c r="L2705" s="1254"/>
      <c r="M2705" s="1244"/>
      <c r="N2705" s="1275"/>
      <c r="O2705" s="1275"/>
      <c r="P2705" s="1244"/>
      <c r="Q2705" s="1244"/>
      <c r="R2705" s="1244"/>
      <c r="S2705" s="1265"/>
      <c r="T2705" s="1244"/>
      <c r="U2705" s="1244"/>
    </row>
    <row r="2706">
      <c r="A2706" s="1235"/>
      <c r="B2706" s="1235"/>
      <c r="C2706" s="1246"/>
      <c r="D2706" s="1274"/>
      <c r="E2706" s="1248"/>
      <c r="F2706" s="1248"/>
      <c r="G2706" s="1271"/>
      <c r="H2706" s="1250"/>
      <c r="I2706" s="1251"/>
      <c r="J2706" s="1271"/>
      <c r="K2706" s="1271"/>
      <c r="L2706" s="1254"/>
      <c r="M2706" s="1244"/>
      <c r="N2706" s="1275"/>
      <c r="O2706" s="1275"/>
      <c r="P2706" s="1244"/>
      <c r="Q2706" s="1244"/>
      <c r="R2706" s="1244"/>
      <c r="S2706" s="1265"/>
      <c r="T2706" s="1244"/>
      <c r="U2706" s="1244"/>
    </row>
    <row r="2707">
      <c r="A2707" s="1235"/>
      <c r="B2707" s="1235"/>
      <c r="C2707" s="1246"/>
      <c r="D2707" s="1274"/>
      <c r="E2707" s="1248"/>
      <c r="F2707" s="1248"/>
      <c r="G2707" s="1271"/>
      <c r="H2707" s="1250"/>
      <c r="I2707" s="1251"/>
      <c r="J2707" s="1271"/>
      <c r="K2707" s="1271"/>
      <c r="L2707" s="1254"/>
      <c r="M2707" s="1244"/>
      <c r="N2707" s="1275"/>
      <c r="O2707" s="1275"/>
      <c r="P2707" s="1244"/>
      <c r="Q2707" s="1244"/>
      <c r="R2707" s="1244"/>
      <c r="S2707" s="1265"/>
      <c r="T2707" s="1244"/>
      <c r="U2707" s="1244"/>
    </row>
    <row r="2708">
      <c r="A2708" s="1235"/>
      <c r="B2708" s="1235"/>
      <c r="C2708" s="1246"/>
      <c r="D2708" s="1274"/>
      <c r="E2708" s="1248"/>
      <c r="F2708" s="1248"/>
      <c r="G2708" s="1271"/>
      <c r="H2708" s="1250"/>
      <c r="I2708" s="1251"/>
      <c r="J2708" s="1271"/>
      <c r="K2708" s="1271"/>
      <c r="L2708" s="1254"/>
      <c r="M2708" s="1244"/>
      <c r="N2708" s="1275"/>
      <c r="O2708" s="1275"/>
      <c r="P2708" s="1244"/>
      <c r="Q2708" s="1244"/>
      <c r="R2708" s="1244"/>
      <c r="S2708" s="1265"/>
      <c r="T2708" s="1244"/>
      <c r="U2708" s="1244"/>
    </row>
    <row r="2709">
      <c r="A2709" s="1235"/>
      <c r="B2709" s="1235"/>
      <c r="C2709" s="1246"/>
      <c r="D2709" s="1274"/>
      <c r="E2709" s="1248"/>
      <c r="F2709" s="1248"/>
      <c r="G2709" s="1271"/>
      <c r="H2709" s="1250"/>
      <c r="I2709" s="1251"/>
      <c r="J2709" s="1271"/>
      <c r="K2709" s="1271"/>
      <c r="L2709" s="1254"/>
      <c r="M2709" s="1244"/>
      <c r="N2709" s="1275"/>
      <c r="O2709" s="1275"/>
      <c r="P2709" s="1244"/>
      <c r="Q2709" s="1244"/>
      <c r="R2709" s="1244"/>
      <c r="S2709" s="1265"/>
      <c r="T2709" s="1244"/>
      <c r="U2709" s="1244"/>
    </row>
    <row r="2710">
      <c r="A2710" s="1235"/>
      <c r="B2710" s="1235"/>
      <c r="C2710" s="1246"/>
      <c r="D2710" s="1274"/>
      <c r="E2710" s="1248"/>
      <c r="F2710" s="1248"/>
      <c r="G2710" s="1271"/>
      <c r="H2710" s="1250"/>
      <c r="I2710" s="1251"/>
      <c r="J2710" s="1271"/>
      <c r="K2710" s="1271"/>
      <c r="L2710" s="1254"/>
      <c r="M2710" s="1244"/>
      <c r="N2710" s="1275"/>
      <c r="O2710" s="1275"/>
      <c r="P2710" s="1244"/>
      <c r="Q2710" s="1244"/>
      <c r="R2710" s="1244"/>
      <c r="S2710" s="1265"/>
      <c r="T2710" s="1244"/>
      <c r="U2710" s="1244"/>
    </row>
    <row r="2711">
      <c r="A2711" s="1235"/>
      <c r="B2711" s="1235"/>
      <c r="C2711" s="1246"/>
      <c r="D2711" s="1274"/>
      <c r="E2711" s="1248"/>
      <c r="F2711" s="1248"/>
      <c r="G2711" s="1271"/>
      <c r="H2711" s="1250"/>
      <c r="I2711" s="1251"/>
      <c r="J2711" s="1271"/>
      <c r="K2711" s="1271"/>
      <c r="L2711" s="1254"/>
      <c r="M2711" s="1244"/>
      <c r="N2711" s="1275"/>
      <c r="O2711" s="1275"/>
      <c r="P2711" s="1244"/>
      <c r="Q2711" s="1244"/>
      <c r="R2711" s="1244"/>
      <c r="S2711" s="1265"/>
      <c r="T2711" s="1244"/>
      <c r="U2711" s="1244"/>
    </row>
    <row r="2712">
      <c r="A2712" s="1235"/>
      <c r="B2712" s="1235"/>
      <c r="C2712" s="1246"/>
      <c r="D2712" s="1274"/>
      <c r="E2712" s="1248"/>
      <c r="F2712" s="1248"/>
      <c r="G2712" s="1271"/>
      <c r="H2712" s="1250"/>
      <c r="I2712" s="1251"/>
      <c r="J2712" s="1271"/>
      <c r="K2712" s="1271"/>
      <c r="L2712" s="1254"/>
      <c r="M2712" s="1244"/>
      <c r="N2712" s="1275"/>
      <c r="O2712" s="1275"/>
      <c r="P2712" s="1244"/>
      <c r="Q2712" s="1244"/>
      <c r="R2712" s="1244"/>
      <c r="S2712" s="1265"/>
      <c r="T2712" s="1244"/>
      <c r="U2712" s="1244"/>
    </row>
    <row r="2713">
      <c r="A2713" s="1235"/>
      <c r="B2713" s="1235"/>
      <c r="C2713" s="1246"/>
      <c r="D2713" s="1274"/>
      <c r="E2713" s="1248"/>
      <c r="F2713" s="1248"/>
      <c r="G2713" s="1271"/>
      <c r="H2713" s="1250"/>
      <c r="I2713" s="1251"/>
      <c r="J2713" s="1271"/>
      <c r="K2713" s="1271"/>
      <c r="L2713" s="1254"/>
      <c r="M2713" s="1244"/>
      <c r="N2713" s="1275"/>
      <c r="O2713" s="1275"/>
      <c r="P2713" s="1244"/>
      <c r="Q2713" s="1244"/>
      <c r="R2713" s="1244"/>
      <c r="S2713" s="1265"/>
      <c r="T2713" s="1244"/>
      <c r="U2713" s="1244"/>
    </row>
    <row r="2714">
      <c r="A2714" s="1235"/>
      <c r="B2714" s="1235"/>
      <c r="C2714" s="1246"/>
      <c r="D2714" s="1274"/>
      <c r="E2714" s="1248"/>
      <c r="F2714" s="1248"/>
      <c r="G2714" s="1271"/>
      <c r="H2714" s="1250"/>
      <c r="I2714" s="1251"/>
      <c r="J2714" s="1271"/>
      <c r="K2714" s="1271"/>
      <c r="L2714" s="1254"/>
      <c r="M2714" s="1244"/>
      <c r="N2714" s="1275"/>
      <c r="O2714" s="1275"/>
      <c r="P2714" s="1244"/>
      <c r="Q2714" s="1244"/>
      <c r="R2714" s="1244"/>
      <c r="S2714" s="1265"/>
      <c r="T2714" s="1244"/>
      <c r="U2714" s="1244"/>
    </row>
    <row r="2715">
      <c r="A2715" s="1235"/>
      <c r="B2715" s="1235"/>
      <c r="C2715" s="1246"/>
      <c r="D2715" s="1274"/>
      <c r="E2715" s="1248"/>
      <c r="F2715" s="1248"/>
      <c r="G2715" s="1271"/>
      <c r="H2715" s="1250"/>
      <c r="I2715" s="1251"/>
      <c r="J2715" s="1271"/>
      <c r="K2715" s="1271"/>
      <c r="L2715" s="1254"/>
      <c r="M2715" s="1244"/>
      <c r="N2715" s="1275"/>
      <c r="O2715" s="1275"/>
      <c r="P2715" s="1244"/>
      <c r="Q2715" s="1244"/>
      <c r="R2715" s="1244"/>
      <c r="S2715" s="1265"/>
      <c r="T2715" s="1244"/>
      <c r="U2715" s="1244"/>
    </row>
    <row r="2716">
      <c r="A2716" s="1235"/>
      <c r="B2716" s="1235"/>
      <c r="C2716" s="1246"/>
      <c r="D2716" s="1274"/>
      <c r="E2716" s="1248"/>
      <c r="F2716" s="1248"/>
      <c r="G2716" s="1271"/>
      <c r="H2716" s="1250"/>
      <c r="I2716" s="1251"/>
      <c r="J2716" s="1271"/>
      <c r="K2716" s="1271"/>
      <c r="L2716" s="1254"/>
      <c r="M2716" s="1244"/>
      <c r="N2716" s="1275"/>
      <c r="O2716" s="1275"/>
      <c r="P2716" s="1244"/>
      <c r="Q2716" s="1244"/>
      <c r="R2716" s="1244"/>
      <c r="S2716" s="1265"/>
      <c r="T2716" s="1244"/>
      <c r="U2716" s="1244"/>
    </row>
    <row r="2717">
      <c r="A2717" s="1235"/>
      <c r="B2717" s="1235"/>
      <c r="C2717" s="1246"/>
      <c r="D2717" s="1274"/>
      <c r="E2717" s="1248"/>
      <c r="F2717" s="1248"/>
      <c r="G2717" s="1271"/>
      <c r="H2717" s="1250"/>
      <c r="I2717" s="1251"/>
      <c r="J2717" s="1271"/>
      <c r="K2717" s="1271"/>
      <c r="L2717" s="1254"/>
      <c r="M2717" s="1244"/>
      <c r="N2717" s="1275"/>
      <c r="O2717" s="1275"/>
      <c r="P2717" s="1244"/>
      <c r="Q2717" s="1244"/>
      <c r="R2717" s="1244"/>
      <c r="S2717" s="1265"/>
      <c r="T2717" s="1244"/>
      <c r="U2717" s="1244"/>
    </row>
    <row r="2718">
      <c r="A2718" s="1235"/>
      <c r="B2718" s="1235"/>
      <c r="C2718" s="1246"/>
      <c r="D2718" s="1274"/>
      <c r="E2718" s="1248"/>
      <c r="F2718" s="1248"/>
      <c r="G2718" s="1271"/>
      <c r="H2718" s="1250"/>
      <c r="I2718" s="1251"/>
      <c r="J2718" s="1271"/>
      <c r="K2718" s="1271"/>
      <c r="L2718" s="1254"/>
      <c r="M2718" s="1244"/>
      <c r="N2718" s="1275"/>
      <c r="O2718" s="1275"/>
      <c r="P2718" s="1244"/>
      <c r="Q2718" s="1244"/>
      <c r="R2718" s="1244"/>
      <c r="S2718" s="1265"/>
      <c r="T2718" s="1244"/>
      <c r="U2718" s="1244"/>
    </row>
    <row r="2719">
      <c r="A2719" s="1235"/>
      <c r="B2719" s="1235"/>
      <c r="C2719" s="1246"/>
      <c r="D2719" s="1274"/>
      <c r="E2719" s="1248"/>
      <c r="F2719" s="1248"/>
      <c r="G2719" s="1271"/>
      <c r="H2719" s="1250"/>
      <c r="I2719" s="1251"/>
      <c r="J2719" s="1271"/>
      <c r="K2719" s="1271"/>
      <c r="L2719" s="1254"/>
      <c r="M2719" s="1244"/>
      <c r="N2719" s="1275"/>
      <c r="O2719" s="1275"/>
      <c r="P2719" s="1244"/>
      <c r="Q2719" s="1244"/>
      <c r="R2719" s="1244"/>
      <c r="S2719" s="1265"/>
      <c r="T2719" s="1244"/>
      <c r="U2719" s="1244"/>
    </row>
    <row r="2720">
      <c r="A2720" s="1235"/>
      <c r="B2720" s="1235"/>
      <c r="C2720" s="1246"/>
      <c r="D2720" s="1274"/>
      <c r="E2720" s="1248"/>
      <c r="F2720" s="1248"/>
      <c r="G2720" s="1271"/>
      <c r="H2720" s="1250"/>
      <c r="I2720" s="1251"/>
      <c r="J2720" s="1271"/>
      <c r="K2720" s="1271"/>
      <c r="L2720" s="1254"/>
      <c r="M2720" s="1244"/>
      <c r="N2720" s="1275"/>
      <c r="O2720" s="1275"/>
      <c r="P2720" s="1244"/>
      <c r="Q2720" s="1244"/>
      <c r="R2720" s="1244"/>
      <c r="S2720" s="1265"/>
      <c r="T2720" s="1244"/>
      <c r="U2720" s="1244"/>
    </row>
    <row r="2721">
      <c r="A2721" s="1235"/>
      <c r="B2721" s="1235"/>
      <c r="C2721" s="1246"/>
      <c r="D2721" s="1274"/>
      <c r="E2721" s="1248"/>
      <c r="F2721" s="1248"/>
      <c r="G2721" s="1271"/>
      <c r="H2721" s="1250"/>
      <c r="I2721" s="1251"/>
      <c r="J2721" s="1271"/>
      <c r="K2721" s="1271"/>
      <c r="L2721" s="1254"/>
      <c r="M2721" s="1244"/>
      <c r="N2721" s="1275"/>
      <c r="O2721" s="1275"/>
      <c r="P2721" s="1244"/>
      <c r="Q2721" s="1244"/>
      <c r="R2721" s="1244"/>
      <c r="S2721" s="1265"/>
      <c r="T2721" s="1244"/>
      <c r="U2721" s="1244"/>
    </row>
    <row r="2722">
      <c r="A2722" s="1235"/>
      <c r="B2722" s="1235"/>
      <c r="C2722" s="1246"/>
      <c r="D2722" s="1274"/>
      <c r="E2722" s="1248"/>
      <c r="F2722" s="1248"/>
      <c r="G2722" s="1271"/>
      <c r="H2722" s="1250"/>
      <c r="I2722" s="1251"/>
      <c r="J2722" s="1271"/>
      <c r="K2722" s="1271"/>
      <c r="L2722" s="1254"/>
      <c r="M2722" s="1244"/>
      <c r="N2722" s="1275"/>
      <c r="O2722" s="1275"/>
      <c r="P2722" s="1244"/>
      <c r="Q2722" s="1244"/>
      <c r="R2722" s="1244"/>
      <c r="S2722" s="1265"/>
      <c r="T2722" s="1244"/>
      <c r="U2722" s="1244"/>
    </row>
    <row r="2723">
      <c r="A2723" s="1235"/>
      <c r="B2723" s="1235"/>
      <c r="C2723" s="1246"/>
      <c r="D2723" s="1274"/>
      <c r="E2723" s="1248"/>
      <c r="F2723" s="1248"/>
      <c r="G2723" s="1271"/>
      <c r="H2723" s="1250"/>
      <c r="I2723" s="1251"/>
      <c r="J2723" s="1271"/>
      <c r="K2723" s="1271"/>
      <c r="L2723" s="1254"/>
      <c r="M2723" s="1244"/>
      <c r="N2723" s="1275"/>
      <c r="O2723" s="1275"/>
      <c r="P2723" s="1244"/>
      <c r="Q2723" s="1244"/>
      <c r="R2723" s="1244"/>
      <c r="S2723" s="1265"/>
      <c r="T2723" s="1244"/>
      <c r="U2723" s="1244"/>
    </row>
    <row r="2724">
      <c r="A2724" s="1235"/>
      <c r="B2724" s="1235"/>
      <c r="C2724" s="1246"/>
      <c r="D2724" s="1274"/>
      <c r="E2724" s="1248"/>
      <c r="F2724" s="1248"/>
      <c r="G2724" s="1271"/>
      <c r="H2724" s="1250"/>
      <c r="I2724" s="1251"/>
      <c r="J2724" s="1271"/>
      <c r="K2724" s="1271"/>
      <c r="L2724" s="1254"/>
      <c r="M2724" s="1244"/>
      <c r="N2724" s="1275"/>
      <c r="O2724" s="1275"/>
      <c r="P2724" s="1244"/>
      <c r="Q2724" s="1244"/>
      <c r="R2724" s="1244"/>
      <c r="S2724" s="1265"/>
      <c r="T2724" s="1244"/>
      <c r="U2724" s="1244"/>
    </row>
    <row r="2725">
      <c r="A2725" s="1235"/>
      <c r="B2725" s="1235"/>
      <c r="C2725" s="1246"/>
      <c r="D2725" s="1274"/>
      <c r="E2725" s="1248"/>
      <c r="F2725" s="1248"/>
      <c r="G2725" s="1271"/>
      <c r="H2725" s="1250"/>
      <c r="I2725" s="1251"/>
      <c r="J2725" s="1271"/>
      <c r="K2725" s="1271"/>
      <c r="L2725" s="1254"/>
      <c r="M2725" s="1244"/>
      <c r="N2725" s="1275"/>
      <c r="O2725" s="1275"/>
      <c r="P2725" s="1244"/>
      <c r="Q2725" s="1244"/>
      <c r="R2725" s="1244"/>
      <c r="S2725" s="1265"/>
      <c r="T2725" s="1244"/>
      <c r="U2725" s="1244"/>
    </row>
    <row r="2726">
      <c r="A2726" s="1235"/>
      <c r="B2726" s="1235"/>
      <c r="C2726" s="1246"/>
      <c r="D2726" s="1274"/>
      <c r="E2726" s="1248"/>
      <c r="F2726" s="1248"/>
      <c r="G2726" s="1271"/>
      <c r="H2726" s="1250"/>
      <c r="I2726" s="1251"/>
      <c r="J2726" s="1271"/>
      <c r="K2726" s="1271"/>
      <c r="L2726" s="1254"/>
      <c r="M2726" s="1244"/>
      <c r="N2726" s="1275"/>
      <c r="O2726" s="1275"/>
      <c r="P2726" s="1244"/>
      <c r="Q2726" s="1244"/>
      <c r="R2726" s="1244"/>
      <c r="S2726" s="1265"/>
      <c r="T2726" s="1244"/>
      <c r="U2726" s="1244"/>
    </row>
    <row r="2727">
      <c r="A2727" s="1235"/>
      <c r="B2727" s="1235"/>
      <c r="C2727" s="1246"/>
      <c r="D2727" s="1274"/>
      <c r="E2727" s="1248"/>
      <c r="F2727" s="1248"/>
      <c r="G2727" s="1271"/>
      <c r="H2727" s="1250"/>
      <c r="I2727" s="1251"/>
      <c r="J2727" s="1271"/>
      <c r="K2727" s="1271"/>
      <c r="L2727" s="1254"/>
      <c r="M2727" s="1244"/>
      <c r="N2727" s="1275"/>
      <c r="O2727" s="1275"/>
      <c r="P2727" s="1244"/>
      <c r="Q2727" s="1244"/>
      <c r="R2727" s="1244"/>
      <c r="S2727" s="1265"/>
      <c r="T2727" s="1244"/>
      <c r="U2727" s="1244"/>
    </row>
    <row r="2728">
      <c r="A2728" s="1235"/>
      <c r="B2728" s="1235"/>
      <c r="C2728" s="1246"/>
      <c r="D2728" s="1274"/>
      <c r="E2728" s="1248"/>
      <c r="F2728" s="1248"/>
      <c r="G2728" s="1271"/>
      <c r="H2728" s="1250"/>
      <c r="I2728" s="1251"/>
      <c r="J2728" s="1271"/>
      <c r="K2728" s="1271"/>
      <c r="L2728" s="1254"/>
      <c r="M2728" s="1244"/>
      <c r="N2728" s="1275"/>
      <c r="O2728" s="1275"/>
      <c r="P2728" s="1244"/>
      <c r="Q2728" s="1244"/>
      <c r="R2728" s="1244"/>
      <c r="S2728" s="1265"/>
      <c r="T2728" s="1244"/>
      <c r="U2728" s="1244"/>
    </row>
    <row r="2729">
      <c r="A2729" s="1235"/>
      <c r="B2729" s="1235"/>
      <c r="C2729" s="1246"/>
      <c r="D2729" s="1274"/>
      <c r="E2729" s="1248"/>
      <c r="F2729" s="1248"/>
      <c r="G2729" s="1271"/>
      <c r="H2729" s="1250"/>
      <c r="I2729" s="1251"/>
      <c r="J2729" s="1271"/>
      <c r="K2729" s="1271"/>
      <c r="L2729" s="1254"/>
      <c r="M2729" s="1244"/>
      <c r="N2729" s="1275"/>
      <c r="O2729" s="1275"/>
      <c r="P2729" s="1244"/>
      <c r="Q2729" s="1244"/>
      <c r="R2729" s="1244"/>
      <c r="S2729" s="1265"/>
      <c r="T2729" s="1244"/>
      <c r="U2729" s="1244"/>
    </row>
    <row r="2730">
      <c r="A2730" s="1235"/>
      <c r="B2730" s="1235"/>
      <c r="C2730" s="1246"/>
      <c r="D2730" s="1274"/>
      <c r="E2730" s="1248"/>
      <c r="F2730" s="1248"/>
      <c r="G2730" s="1271"/>
      <c r="H2730" s="1250"/>
      <c r="I2730" s="1251"/>
      <c r="J2730" s="1271"/>
      <c r="K2730" s="1271"/>
      <c r="L2730" s="1254"/>
      <c r="M2730" s="1244"/>
      <c r="N2730" s="1275"/>
      <c r="O2730" s="1275"/>
      <c r="P2730" s="1244"/>
      <c r="Q2730" s="1244"/>
      <c r="R2730" s="1244"/>
      <c r="S2730" s="1265"/>
      <c r="T2730" s="1244"/>
      <c r="U2730" s="1244"/>
    </row>
    <row r="2731">
      <c r="A2731" s="1235"/>
      <c r="B2731" s="1235"/>
      <c r="C2731" s="1246"/>
      <c r="D2731" s="1274"/>
      <c r="E2731" s="1248"/>
      <c r="F2731" s="1248"/>
      <c r="G2731" s="1271"/>
      <c r="H2731" s="1250"/>
      <c r="I2731" s="1251"/>
      <c r="J2731" s="1271"/>
      <c r="K2731" s="1271"/>
      <c r="L2731" s="1254"/>
      <c r="M2731" s="1244"/>
      <c r="N2731" s="1275"/>
      <c r="O2731" s="1275"/>
      <c r="P2731" s="1244"/>
      <c r="Q2731" s="1244"/>
      <c r="R2731" s="1244"/>
      <c r="S2731" s="1265"/>
      <c r="T2731" s="1244"/>
      <c r="U2731" s="1244"/>
    </row>
    <row r="2732">
      <c r="A2732" s="1235"/>
      <c r="B2732" s="1235"/>
      <c r="C2732" s="1246"/>
      <c r="D2732" s="1274"/>
      <c r="E2732" s="1248"/>
      <c r="F2732" s="1248"/>
      <c r="G2732" s="1271"/>
      <c r="H2732" s="1250"/>
      <c r="I2732" s="1251"/>
      <c r="J2732" s="1271"/>
      <c r="K2732" s="1271"/>
      <c r="L2732" s="1254"/>
      <c r="M2732" s="1244"/>
      <c r="N2732" s="1275"/>
      <c r="O2732" s="1275"/>
      <c r="P2732" s="1244"/>
      <c r="Q2732" s="1244"/>
      <c r="R2732" s="1244"/>
      <c r="S2732" s="1265"/>
      <c r="T2732" s="1244"/>
      <c r="U2732" s="1244"/>
    </row>
    <row r="2733">
      <c r="A2733" s="1235"/>
      <c r="B2733" s="1235"/>
      <c r="C2733" s="1246"/>
      <c r="D2733" s="1274"/>
      <c r="E2733" s="1248"/>
      <c r="F2733" s="1248"/>
      <c r="G2733" s="1271"/>
      <c r="H2733" s="1250"/>
      <c r="I2733" s="1251"/>
      <c r="J2733" s="1271"/>
      <c r="K2733" s="1271"/>
      <c r="L2733" s="1254"/>
      <c r="M2733" s="1244"/>
      <c r="N2733" s="1275"/>
      <c r="O2733" s="1275"/>
      <c r="P2733" s="1244"/>
      <c r="Q2733" s="1244"/>
      <c r="R2733" s="1244"/>
      <c r="S2733" s="1265"/>
      <c r="T2733" s="1244"/>
      <c r="U2733" s="1244"/>
    </row>
    <row r="2734">
      <c r="A2734" s="1235"/>
      <c r="B2734" s="1235"/>
      <c r="C2734" s="1246"/>
      <c r="D2734" s="1274"/>
      <c r="E2734" s="1248"/>
      <c r="F2734" s="1248"/>
      <c r="G2734" s="1271"/>
      <c r="H2734" s="1250"/>
      <c r="I2734" s="1251"/>
      <c r="J2734" s="1271"/>
      <c r="K2734" s="1271"/>
      <c r="L2734" s="1254"/>
      <c r="M2734" s="1244"/>
      <c r="N2734" s="1275"/>
      <c r="O2734" s="1275"/>
      <c r="P2734" s="1244"/>
      <c r="Q2734" s="1244"/>
      <c r="R2734" s="1244"/>
      <c r="S2734" s="1265"/>
      <c r="T2734" s="1244"/>
      <c r="U2734" s="1244"/>
    </row>
    <row r="2735">
      <c r="A2735" s="1235"/>
      <c r="B2735" s="1235"/>
      <c r="C2735" s="1246"/>
      <c r="D2735" s="1274"/>
      <c r="E2735" s="1248"/>
      <c r="F2735" s="1248"/>
      <c r="G2735" s="1271"/>
      <c r="H2735" s="1250"/>
      <c r="I2735" s="1251"/>
      <c r="J2735" s="1271"/>
      <c r="K2735" s="1271"/>
      <c r="L2735" s="1254"/>
      <c r="M2735" s="1244"/>
      <c r="N2735" s="1275"/>
      <c r="O2735" s="1275"/>
      <c r="P2735" s="1244"/>
      <c r="Q2735" s="1244"/>
      <c r="R2735" s="1244"/>
      <c r="S2735" s="1265"/>
      <c r="T2735" s="1244"/>
      <c r="U2735" s="1244"/>
    </row>
    <row r="2736">
      <c r="A2736" s="1235"/>
      <c r="B2736" s="1235"/>
      <c r="C2736" s="1246"/>
      <c r="D2736" s="1274"/>
      <c r="E2736" s="1248"/>
      <c r="F2736" s="1248"/>
      <c r="G2736" s="1271"/>
      <c r="H2736" s="1250"/>
      <c r="I2736" s="1251"/>
      <c r="J2736" s="1271"/>
      <c r="K2736" s="1271"/>
      <c r="L2736" s="1254"/>
      <c r="M2736" s="1244"/>
      <c r="N2736" s="1275"/>
      <c r="O2736" s="1275"/>
      <c r="P2736" s="1244"/>
      <c r="Q2736" s="1244"/>
      <c r="R2736" s="1244"/>
      <c r="S2736" s="1265"/>
      <c r="T2736" s="1244"/>
      <c r="U2736" s="1244"/>
    </row>
    <row r="2737">
      <c r="A2737" s="1235"/>
      <c r="B2737" s="1235"/>
      <c r="C2737" s="1246"/>
      <c r="D2737" s="1274"/>
      <c r="E2737" s="1248"/>
      <c r="F2737" s="1248"/>
      <c r="G2737" s="1271"/>
      <c r="H2737" s="1250"/>
      <c r="I2737" s="1251"/>
      <c r="J2737" s="1271"/>
      <c r="K2737" s="1271"/>
      <c r="L2737" s="1254"/>
      <c r="M2737" s="1244"/>
      <c r="N2737" s="1275"/>
      <c r="O2737" s="1275"/>
      <c r="P2737" s="1244"/>
      <c r="Q2737" s="1244"/>
      <c r="R2737" s="1244"/>
      <c r="S2737" s="1265"/>
      <c r="T2737" s="1244"/>
      <c r="U2737" s="1244"/>
    </row>
    <row r="2738">
      <c r="A2738" s="1235"/>
      <c r="B2738" s="1235"/>
      <c r="C2738" s="1246"/>
      <c r="D2738" s="1274"/>
      <c r="E2738" s="1248"/>
      <c r="F2738" s="1248"/>
      <c r="G2738" s="1271"/>
      <c r="H2738" s="1250"/>
      <c r="I2738" s="1251"/>
      <c r="J2738" s="1271"/>
      <c r="K2738" s="1271"/>
      <c r="L2738" s="1254"/>
      <c r="M2738" s="1244"/>
      <c r="N2738" s="1275"/>
      <c r="O2738" s="1275"/>
      <c r="P2738" s="1244"/>
      <c r="Q2738" s="1244"/>
      <c r="R2738" s="1244"/>
      <c r="S2738" s="1265"/>
      <c r="T2738" s="1244"/>
      <c r="U2738" s="1244"/>
    </row>
    <row r="2739">
      <c r="A2739" s="1235"/>
      <c r="B2739" s="1235"/>
      <c r="C2739" s="1246"/>
      <c r="D2739" s="1274"/>
      <c r="E2739" s="1248"/>
      <c r="F2739" s="1248"/>
      <c r="G2739" s="1271"/>
      <c r="H2739" s="1250"/>
      <c r="I2739" s="1251"/>
      <c r="J2739" s="1271"/>
      <c r="K2739" s="1271"/>
      <c r="L2739" s="1254"/>
      <c r="M2739" s="1244"/>
      <c r="N2739" s="1275"/>
      <c r="O2739" s="1275"/>
      <c r="P2739" s="1244"/>
      <c r="Q2739" s="1244"/>
      <c r="R2739" s="1244"/>
      <c r="S2739" s="1265"/>
      <c r="T2739" s="1244"/>
      <c r="U2739" s="1244"/>
    </row>
    <row r="2740">
      <c r="A2740" s="1235"/>
      <c r="B2740" s="1235"/>
      <c r="C2740" s="1246"/>
      <c r="D2740" s="1274"/>
      <c r="E2740" s="1248"/>
      <c r="F2740" s="1248"/>
      <c r="G2740" s="1271"/>
      <c r="H2740" s="1250"/>
      <c r="I2740" s="1251"/>
      <c r="J2740" s="1271"/>
      <c r="K2740" s="1271"/>
      <c r="L2740" s="1254"/>
      <c r="M2740" s="1244"/>
      <c r="N2740" s="1275"/>
      <c r="O2740" s="1275"/>
      <c r="P2740" s="1244"/>
      <c r="Q2740" s="1244"/>
      <c r="R2740" s="1244"/>
      <c r="S2740" s="1265"/>
      <c r="T2740" s="1244"/>
      <c r="U2740" s="1244"/>
    </row>
    <row r="2741">
      <c r="A2741" s="1235"/>
      <c r="B2741" s="1235"/>
      <c r="C2741" s="1246"/>
      <c r="D2741" s="1274"/>
      <c r="E2741" s="1248"/>
      <c r="F2741" s="1248"/>
      <c r="G2741" s="1271"/>
      <c r="H2741" s="1250"/>
      <c r="I2741" s="1251"/>
      <c r="J2741" s="1271"/>
      <c r="K2741" s="1271"/>
      <c r="L2741" s="1254"/>
      <c r="M2741" s="1244"/>
      <c r="N2741" s="1275"/>
      <c r="O2741" s="1275"/>
      <c r="P2741" s="1244"/>
      <c r="Q2741" s="1244"/>
      <c r="R2741" s="1244"/>
      <c r="S2741" s="1265"/>
      <c r="T2741" s="1244"/>
      <c r="U2741" s="1244"/>
    </row>
    <row r="2742">
      <c r="A2742" s="1235"/>
      <c r="B2742" s="1235"/>
      <c r="C2742" s="1246"/>
      <c r="D2742" s="1274"/>
      <c r="E2742" s="1248"/>
      <c r="F2742" s="1248"/>
      <c r="G2742" s="1271"/>
      <c r="H2742" s="1250"/>
      <c r="I2742" s="1251"/>
      <c r="J2742" s="1271"/>
      <c r="K2742" s="1271"/>
      <c r="L2742" s="1254"/>
      <c r="M2742" s="1244"/>
      <c r="N2742" s="1275"/>
      <c r="O2742" s="1275"/>
      <c r="P2742" s="1244"/>
      <c r="Q2742" s="1244"/>
      <c r="R2742" s="1244"/>
      <c r="S2742" s="1265"/>
      <c r="T2742" s="1244"/>
      <c r="U2742" s="1244"/>
    </row>
    <row r="2743">
      <c r="A2743" s="1235"/>
      <c r="B2743" s="1235"/>
      <c r="C2743" s="1246"/>
      <c r="D2743" s="1274"/>
      <c r="E2743" s="1248"/>
      <c r="F2743" s="1248"/>
      <c r="G2743" s="1271"/>
      <c r="H2743" s="1250"/>
      <c r="I2743" s="1251"/>
      <c r="J2743" s="1271"/>
      <c r="K2743" s="1271"/>
      <c r="L2743" s="1254"/>
      <c r="M2743" s="1244"/>
      <c r="N2743" s="1275"/>
      <c r="O2743" s="1275"/>
      <c r="P2743" s="1244"/>
      <c r="Q2743" s="1244"/>
      <c r="R2743" s="1244"/>
      <c r="S2743" s="1265"/>
      <c r="T2743" s="1244"/>
      <c r="U2743" s="1244"/>
    </row>
    <row r="2744">
      <c r="A2744" s="1235"/>
      <c r="B2744" s="1235"/>
      <c r="C2744" s="1246"/>
      <c r="D2744" s="1274"/>
      <c r="E2744" s="1248"/>
      <c r="F2744" s="1248"/>
      <c r="G2744" s="1271"/>
      <c r="H2744" s="1250"/>
      <c r="I2744" s="1251"/>
      <c r="J2744" s="1271"/>
      <c r="K2744" s="1271"/>
      <c r="L2744" s="1254"/>
      <c r="M2744" s="1244"/>
      <c r="N2744" s="1275"/>
      <c r="O2744" s="1275"/>
      <c r="P2744" s="1244"/>
      <c r="Q2744" s="1244"/>
      <c r="R2744" s="1244"/>
      <c r="S2744" s="1265"/>
      <c r="T2744" s="1244"/>
      <c r="U2744" s="1244"/>
    </row>
    <row r="2745">
      <c r="A2745" s="1235"/>
      <c r="B2745" s="1235"/>
      <c r="C2745" s="1246"/>
      <c r="D2745" s="1274"/>
      <c r="E2745" s="1248"/>
      <c r="F2745" s="1248"/>
      <c r="G2745" s="1271"/>
      <c r="H2745" s="1250"/>
      <c r="I2745" s="1251"/>
      <c r="J2745" s="1271"/>
      <c r="K2745" s="1271"/>
      <c r="L2745" s="1254"/>
      <c r="M2745" s="1244"/>
      <c r="N2745" s="1275"/>
      <c r="O2745" s="1275"/>
      <c r="P2745" s="1244"/>
      <c r="Q2745" s="1244"/>
      <c r="R2745" s="1244"/>
      <c r="S2745" s="1265"/>
      <c r="T2745" s="1244"/>
      <c r="U2745" s="1244"/>
    </row>
    <row r="2746">
      <c r="A2746" s="1235"/>
      <c r="B2746" s="1235"/>
      <c r="C2746" s="1246"/>
      <c r="D2746" s="1274"/>
      <c r="E2746" s="1248"/>
      <c r="F2746" s="1248"/>
      <c r="G2746" s="1271"/>
      <c r="H2746" s="1250"/>
      <c r="I2746" s="1251"/>
      <c r="J2746" s="1271"/>
      <c r="K2746" s="1271"/>
      <c r="L2746" s="1254"/>
      <c r="M2746" s="1244"/>
      <c r="N2746" s="1275"/>
      <c r="O2746" s="1275"/>
      <c r="P2746" s="1244"/>
      <c r="Q2746" s="1244"/>
      <c r="R2746" s="1244"/>
      <c r="S2746" s="1265"/>
      <c r="T2746" s="1244"/>
      <c r="U2746" s="1244"/>
    </row>
    <row r="2747">
      <c r="A2747" s="1235"/>
      <c r="B2747" s="1235"/>
      <c r="C2747" s="1246"/>
      <c r="D2747" s="1274"/>
      <c r="E2747" s="1248"/>
      <c r="F2747" s="1248"/>
      <c r="G2747" s="1271"/>
      <c r="H2747" s="1250"/>
      <c r="I2747" s="1251"/>
      <c r="J2747" s="1271"/>
      <c r="K2747" s="1271"/>
      <c r="L2747" s="1254"/>
      <c r="M2747" s="1244"/>
      <c r="N2747" s="1275"/>
      <c r="O2747" s="1275"/>
      <c r="P2747" s="1244"/>
      <c r="Q2747" s="1244"/>
      <c r="R2747" s="1244"/>
      <c r="S2747" s="1265"/>
      <c r="T2747" s="1244"/>
      <c r="U2747" s="1244"/>
    </row>
    <row r="2748">
      <c r="A2748" s="1235"/>
      <c r="B2748" s="1235"/>
      <c r="C2748" s="1246"/>
      <c r="D2748" s="1274"/>
      <c r="E2748" s="1248"/>
      <c r="F2748" s="1248"/>
      <c r="G2748" s="1271"/>
      <c r="H2748" s="1250"/>
      <c r="I2748" s="1251"/>
      <c r="J2748" s="1271"/>
      <c r="K2748" s="1271"/>
      <c r="L2748" s="1254"/>
      <c r="M2748" s="1244"/>
      <c r="N2748" s="1275"/>
      <c r="O2748" s="1275"/>
      <c r="P2748" s="1244"/>
      <c r="Q2748" s="1244"/>
      <c r="R2748" s="1244"/>
      <c r="S2748" s="1265"/>
      <c r="T2748" s="1244"/>
      <c r="U2748" s="1244"/>
    </row>
    <row r="2749">
      <c r="A2749" s="1235"/>
      <c r="B2749" s="1235"/>
      <c r="C2749" s="1246"/>
      <c r="D2749" s="1274"/>
      <c r="E2749" s="1248"/>
      <c r="F2749" s="1248"/>
      <c r="G2749" s="1271"/>
      <c r="H2749" s="1250"/>
      <c r="I2749" s="1251"/>
      <c r="J2749" s="1271"/>
      <c r="K2749" s="1271"/>
      <c r="L2749" s="1254"/>
      <c r="M2749" s="1244"/>
      <c r="N2749" s="1275"/>
      <c r="O2749" s="1275"/>
      <c r="P2749" s="1244"/>
      <c r="Q2749" s="1244"/>
      <c r="R2749" s="1244"/>
      <c r="S2749" s="1265"/>
      <c r="T2749" s="1244"/>
      <c r="U2749" s="1244"/>
    </row>
    <row r="2750">
      <c r="A2750" s="1235"/>
      <c r="B2750" s="1235"/>
      <c r="C2750" s="1246"/>
      <c r="D2750" s="1274"/>
      <c r="E2750" s="1248"/>
      <c r="F2750" s="1248"/>
      <c r="G2750" s="1271"/>
      <c r="H2750" s="1250"/>
      <c r="I2750" s="1251"/>
      <c r="J2750" s="1271"/>
      <c r="K2750" s="1271"/>
      <c r="L2750" s="1254"/>
      <c r="M2750" s="1244"/>
      <c r="N2750" s="1275"/>
      <c r="O2750" s="1275"/>
      <c r="P2750" s="1244"/>
      <c r="Q2750" s="1244"/>
      <c r="R2750" s="1244"/>
      <c r="S2750" s="1265"/>
      <c r="T2750" s="1244"/>
      <c r="U2750" s="1244"/>
    </row>
    <row r="2751">
      <c r="A2751" s="1235"/>
      <c r="B2751" s="1235"/>
      <c r="C2751" s="1246"/>
      <c r="D2751" s="1274"/>
      <c r="E2751" s="1248"/>
      <c r="F2751" s="1248"/>
      <c r="G2751" s="1271"/>
      <c r="H2751" s="1250"/>
      <c r="I2751" s="1251"/>
      <c r="J2751" s="1271"/>
      <c r="K2751" s="1271"/>
      <c r="L2751" s="1254"/>
      <c r="M2751" s="1244"/>
      <c r="N2751" s="1275"/>
      <c r="O2751" s="1275"/>
      <c r="P2751" s="1244"/>
      <c r="Q2751" s="1244"/>
      <c r="R2751" s="1244"/>
      <c r="S2751" s="1265"/>
      <c r="T2751" s="1244"/>
      <c r="U2751" s="1244"/>
    </row>
    <row r="2752">
      <c r="A2752" s="1235"/>
      <c r="B2752" s="1235"/>
      <c r="C2752" s="1246"/>
      <c r="D2752" s="1274"/>
      <c r="E2752" s="1248"/>
      <c r="F2752" s="1248"/>
      <c r="G2752" s="1271"/>
      <c r="H2752" s="1250"/>
      <c r="I2752" s="1251"/>
      <c r="J2752" s="1271"/>
      <c r="K2752" s="1271"/>
      <c r="L2752" s="1254"/>
      <c r="M2752" s="1244"/>
      <c r="N2752" s="1275"/>
      <c r="O2752" s="1275"/>
      <c r="P2752" s="1244"/>
      <c r="Q2752" s="1244"/>
      <c r="R2752" s="1244"/>
      <c r="S2752" s="1265"/>
      <c r="T2752" s="1244"/>
      <c r="U2752" s="1244"/>
    </row>
    <row r="2753">
      <c r="A2753" s="1235"/>
      <c r="B2753" s="1235"/>
      <c r="C2753" s="1246"/>
      <c r="D2753" s="1274"/>
      <c r="E2753" s="1248"/>
      <c r="F2753" s="1248"/>
      <c r="G2753" s="1271"/>
      <c r="H2753" s="1250"/>
      <c r="I2753" s="1251"/>
      <c r="J2753" s="1271"/>
      <c r="K2753" s="1271"/>
      <c r="L2753" s="1254"/>
      <c r="M2753" s="1244"/>
      <c r="N2753" s="1275"/>
      <c r="O2753" s="1275"/>
      <c r="P2753" s="1244"/>
      <c r="Q2753" s="1244"/>
      <c r="R2753" s="1244"/>
      <c r="S2753" s="1265"/>
      <c r="T2753" s="1244"/>
      <c r="U2753" s="1244"/>
    </row>
    <row r="2754">
      <c r="A2754" s="1235"/>
      <c r="B2754" s="1235"/>
      <c r="C2754" s="1246"/>
      <c r="D2754" s="1274"/>
      <c r="E2754" s="1248"/>
      <c r="F2754" s="1248"/>
      <c r="G2754" s="1271"/>
      <c r="H2754" s="1250"/>
      <c r="I2754" s="1251"/>
      <c r="J2754" s="1271"/>
      <c r="K2754" s="1271"/>
      <c r="L2754" s="1254"/>
      <c r="M2754" s="1244"/>
      <c r="N2754" s="1275"/>
      <c r="O2754" s="1275"/>
      <c r="P2754" s="1244"/>
      <c r="Q2754" s="1244"/>
      <c r="R2754" s="1244"/>
      <c r="S2754" s="1265"/>
      <c r="T2754" s="1244"/>
      <c r="U2754" s="1244"/>
    </row>
    <row r="2755">
      <c r="A2755" s="1235"/>
      <c r="B2755" s="1235"/>
      <c r="C2755" s="1246"/>
      <c r="D2755" s="1274"/>
      <c r="E2755" s="1248"/>
      <c r="F2755" s="1248"/>
      <c r="G2755" s="1271"/>
      <c r="H2755" s="1250"/>
      <c r="I2755" s="1251"/>
      <c r="J2755" s="1271"/>
      <c r="K2755" s="1271"/>
      <c r="L2755" s="1254"/>
      <c r="M2755" s="1244"/>
      <c r="N2755" s="1275"/>
      <c r="O2755" s="1275"/>
      <c r="P2755" s="1244"/>
      <c r="Q2755" s="1244"/>
      <c r="R2755" s="1244"/>
      <c r="S2755" s="1265"/>
      <c r="T2755" s="1244"/>
      <c r="U2755" s="1244"/>
    </row>
    <row r="2756">
      <c r="A2756" s="1235"/>
      <c r="B2756" s="1235"/>
      <c r="C2756" s="1246"/>
      <c r="D2756" s="1274"/>
      <c r="E2756" s="1248"/>
      <c r="F2756" s="1248"/>
      <c r="G2756" s="1271"/>
      <c r="H2756" s="1250"/>
      <c r="I2756" s="1251"/>
      <c r="J2756" s="1271"/>
      <c r="K2756" s="1271"/>
      <c r="L2756" s="1254"/>
      <c r="M2756" s="1244"/>
      <c r="N2756" s="1275"/>
      <c r="O2756" s="1275"/>
      <c r="P2756" s="1244"/>
      <c r="Q2756" s="1244"/>
      <c r="R2756" s="1244"/>
      <c r="S2756" s="1265"/>
      <c r="T2756" s="1244"/>
      <c r="U2756" s="1244"/>
    </row>
    <row r="2757">
      <c r="A2757" s="1235"/>
      <c r="B2757" s="1235"/>
      <c r="C2757" s="1246"/>
      <c r="D2757" s="1274"/>
      <c r="E2757" s="1248"/>
      <c r="F2757" s="1248"/>
      <c r="G2757" s="1271"/>
      <c r="H2757" s="1250"/>
      <c r="I2757" s="1251"/>
      <c r="J2757" s="1271"/>
      <c r="K2757" s="1271"/>
      <c r="L2757" s="1254"/>
      <c r="M2757" s="1244"/>
      <c r="N2757" s="1275"/>
      <c r="O2757" s="1275"/>
      <c r="P2757" s="1244"/>
      <c r="Q2757" s="1244"/>
      <c r="R2757" s="1244"/>
      <c r="S2757" s="1265"/>
      <c r="T2757" s="1244"/>
      <c r="U2757" s="1244"/>
    </row>
    <row r="2758">
      <c r="A2758" s="1235"/>
      <c r="B2758" s="1235"/>
      <c r="C2758" s="1246"/>
      <c r="D2758" s="1274"/>
      <c r="E2758" s="1248"/>
      <c r="F2758" s="1248"/>
      <c r="G2758" s="1271"/>
      <c r="H2758" s="1250"/>
      <c r="I2758" s="1251"/>
      <c r="J2758" s="1271"/>
      <c r="K2758" s="1271"/>
      <c r="L2758" s="1254"/>
      <c r="M2758" s="1244"/>
      <c r="N2758" s="1275"/>
      <c r="O2758" s="1275"/>
      <c r="P2758" s="1244"/>
      <c r="Q2758" s="1244"/>
      <c r="R2758" s="1244"/>
      <c r="S2758" s="1265"/>
      <c r="T2758" s="1244"/>
      <c r="U2758" s="1244"/>
    </row>
    <row r="2759">
      <c r="A2759" s="1235"/>
      <c r="B2759" s="1235"/>
      <c r="C2759" s="1246"/>
      <c r="D2759" s="1274"/>
      <c r="E2759" s="1248"/>
      <c r="F2759" s="1248"/>
      <c r="G2759" s="1271"/>
      <c r="H2759" s="1250"/>
      <c r="I2759" s="1251"/>
      <c r="J2759" s="1271"/>
      <c r="K2759" s="1271"/>
      <c r="L2759" s="1254"/>
      <c r="M2759" s="1244"/>
      <c r="N2759" s="1275"/>
      <c r="O2759" s="1275"/>
      <c r="P2759" s="1244"/>
      <c r="Q2759" s="1244"/>
      <c r="R2759" s="1244"/>
      <c r="S2759" s="1265"/>
      <c r="T2759" s="1244"/>
      <c r="U2759" s="1244"/>
    </row>
    <row r="2760">
      <c r="A2760" s="1235"/>
      <c r="B2760" s="1235"/>
      <c r="C2760" s="1246"/>
      <c r="D2760" s="1274"/>
      <c r="E2760" s="1248"/>
      <c r="F2760" s="1248"/>
      <c r="G2760" s="1271"/>
      <c r="H2760" s="1250"/>
      <c r="I2760" s="1251"/>
      <c r="J2760" s="1271"/>
      <c r="K2760" s="1271"/>
      <c r="L2760" s="1254"/>
      <c r="M2760" s="1244"/>
      <c r="N2760" s="1275"/>
      <c r="O2760" s="1275"/>
      <c r="P2760" s="1244"/>
      <c r="Q2760" s="1244"/>
      <c r="R2760" s="1244"/>
      <c r="S2760" s="1265"/>
      <c r="T2760" s="1244"/>
      <c r="U2760" s="1244"/>
    </row>
    <row r="2761">
      <c r="A2761" s="1235"/>
      <c r="B2761" s="1235"/>
      <c r="C2761" s="1246"/>
      <c r="D2761" s="1274"/>
      <c r="E2761" s="1248"/>
      <c r="F2761" s="1248"/>
      <c r="G2761" s="1271"/>
      <c r="H2761" s="1250"/>
      <c r="I2761" s="1251"/>
      <c r="J2761" s="1271"/>
      <c r="K2761" s="1271"/>
      <c r="L2761" s="1254"/>
      <c r="M2761" s="1244"/>
      <c r="N2761" s="1275"/>
      <c r="O2761" s="1275"/>
      <c r="P2761" s="1244"/>
      <c r="Q2761" s="1244"/>
      <c r="R2761" s="1244"/>
      <c r="S2761" s="1265"/>
      <c r="T2761" s="1244"/>
      <c r="U2761" s="1244"/>
    </row>
    <row r="2762">
      <c r="A2762" s="1235"/>
      <c r="B2762" s="1235"/>
      <c r="C2762" s="1246"/>
      <c r="D2762" s="1274"/>
      <c r="E2762" s="1248"/>
      <c r="F2762" s="1248"/>
      <c r="G2762" s="1271"/>
      <c r="H2762" s="1250"/>
      <c r="I2762" s="1251"/>
      <c r="J2762" s="1271"/>
      <c r="K2762" s="1271"/>
      <c r="L2762" s="1254"/>
      <c r="M2762" s="1244"/>
      <c r="N2762" s="1275"/>
      <c r="O2762" s="1275"/>
      <c r="P2762" s="1244"/>
      <c r="Q2762" s="1244"/>
      <c r="R2762" s="1244"/>
      <c r="S2762" s="1265"/>
      <c r="T2762" s="1244"/>
      <c r="U2762" s="1244"/>
    </row>
    <row r="2763">
      <c r="A2763" s="1235"/>
      <c r="B2763" s="1235"/>
      <c r="C2763" s="1246"/>
      <c r="D2763" s="1274"/>
      <c r="E2763" s="1248"/>
      <c r="F2763" s="1248"/>
      <c r="G2763" s="1271"/>
      <c r="H2763" s="1250"/>
      <c r="I2763" s="1251"/>
      <c r="J2763" s="1271"/>
      <c r="K2763" s="1271"/>
      <c r="L2763" s="1254"/>
      <c r="M2763" s="1244"/>
      <c r="N2763" s="1275"/>
      <c r="O2763" s="1275"/>
      <c r="P2763" s="1244"/>
      <c r="Q2763" s="1244"/>
      <c r="R2763" s="1244"/>
      <c r="S2763" s="1265"/>
      <c r="T2763" s="1244"/>
      <c r="U2763" s="1244"/>
    </row>
    <row r="2764">
      <c r="A2764" s="1235"/>
      <c r="B2764" s="1235"/>
      <c r="C2764" s="1246"/>
      <c r="D2764" s="1274"/>
      <c r="E2764" s="1248"/>
      <c r="F2764" s="1248"/>
      <c r="G2764" s="1271"/>
      <c r="H2764" s="1250"/>
      <c r="I2764" s="1251"/>
      <c r="J2764" s="1271"/>
      <c r="K2764" s="1271"/>
      <c r="L2764" s="1254"/>
      <c r="M2764" s="1244"/>
      <c r="N2764" s="1275"/>
      <c r="O2764" s="1275"/>
      <c r="P2764" s="1244"/>
      <c r="Q2764" s="1244"/>
      <c r="R2764" s="1244"/>
      <c r="S2764" s="1265"/>
      <c r="T2764" s="1244"/>
      <c r="U2764" s="1244"/>
    </row>
    <row r="2765">
      <c r="A2765" s="1235"/>
      <c r="B2765" s="1235"/>
      <c r="C2765" s="1246"/>
      <c r="D2765" s="1274"/>
      <c r="E2765" s="1248"/>
      <c r="F2765" s="1248"/>
      <c r="G2765" s="1271"/>
      <c r="H2765" s="1250"/>
      <c r="I2765" s="1251"/>
      <c r="J2765" s="1271"/>
      <c r="K2765" s="1271"/>
      <c r="L2765" s="1254"/>
      <c r="M2765" s="1244"/>
      <c r="N2765" s="1275"/>
      <c r="O2765" s="1275"/>
      <c r="P2765" s="1244"/>
      <c r="Q2765" s="1244"/>
      <c r="R2765" s="1244"/>
      <c r="S2765" s="1265"/>
      <c r="T2765" s="1244"/>
      <c r="U2765" s="1244"/>
    </row>
    <row r="2766">
      <c r="A2766" s="1235"/>
      <c r="B2766" s="1235"/>
      <c r="C2766" s="1246"/>
      <c r="D2766" s="1274"/>
      <c r="E2766" s="1248"/>
      <c r="F2766" s="1248"/>
      <c r="G2766" s="1271"/>
      <c r="H2766" s="1250"/>
      <c r="I2766" s="1251"/>
      <c r="J2766" s="1271"/>
      <c r="K2766" s="1271"/>
      <c r="L2766" s="1254"/>
      <c r="M2766" s="1244"/>
      <c r="N2766" s="1275"/>
      <c r="O2766" s="1275"/>
      <c r="P2766" s="1244"/>
      <c r="Q2766" s="1244"/>
      <c r="R2766" s="1244"/>
      <c r="S2766" s="1265"/>
      <c r="T2766" s="1244"/>
      <c r="U2766" s="1244"/>
    </row>
    <row r="2767">
      <c r="A2767" s="1235"/>
      <c r="B2767" s="1235"/>
      <c r="C2767" s="1246"/>
      <c r="D2767" s="1274"/>
      <c r="E2767" s="1248"/>
      <c r="F2767" s="1248"/>
      <c r="G2767" s="1271"/>
      <c r="H2767" s="1250"/>
      <c r="I2767" s="1251"/>
      <c r="J2767" s="1271"/>
      <c r="K2767" s="1271"/>
      <c r="L2767" s="1254"/>
      <c r="M2767" s="1244"/>
      <c r="N2767" s="1275"/>
      <c r="O2767" s="1275"/>
      <c r="P2767" s="1244"/>
      <c r="Q2767" s="1244"/>
      <c r="R2767" s="1244"/>
      <c r="S2767" s="1265"/>
      <c r="T2767" s="1244"/>
      <c r="U2767" s="1244"/>
    </row>
    <row r="2768">
      <c r="A2768" s="1235"/>
      <c r="B2768" s="1235"/>
      <c r="C2768" s="1246"/>
      <c r="D2768" s="1274"/>
      <c r="E2768" s="1248"/>
      <c r="F2768" s="1248"/>
      <c r="G2768" s="1271"/>
      <c r="H2768" s="1250"/>
      <c r="I2768" s="1251"/>
      <c r="J2768" s="1271"/>
      <c r="K2768" s="1271"/>
      <c r="L2768" s="1254"/>
      <c r="M2768" s="1244"/>
      <c r="N2768" s="1275"/>
      <c r="O2768" s="1275"/>
      <c r="P2768" s="1244"/>
      <c r="Q2768" s="1244"/>
      <c r="R2768" s="1244"/>
      <c r="S2768" s="1265"/>
      <c r="T2768" s="1244"/>
      <c r="U2768" s="1244"/>
    </row>
    <row r="2769">
      <c r="A2769" s="1235"/>
      <c r="B2769" s="1235"/>
      <c r="C2769" s="1246"/>
      <c r="D2769" s="1274"/>
      <c r="E2769" s="1248"/>
      <c r="F2769" s="1248"/>
      <c r="G2769" s="1271"/>
      <c r="H2769" s="1250"/>
      <c r="I2769" s="1251"/>
      <c r="J2769" s="1271"/>
      <c r="K2769" s="1271"/>
      <c r="L2769" s="1254"/>
      <c r="M2769" s="1244"/>
      <c r="N2769" s="1275"/>
      <c r="O2769" s="1275"/>
      <c r="P2769" s="1244"/>
      <c r="Q2769" s="1244"/>
      <c r="R2769" s="1244"/>
      <c r="S2769" s="1265"/>
      <c r="T2769" s="1244"/>
      <c r="U2769" s="1244"/>
    </row>
    <row r="2770">
      <c r="A2770" s="1235"/>
      <c r="B2770" s="1235"/>
      <c r="C2770" s="1246"/>
      <c r="D2770" s="1274"/>
      <c r="E2770" s="1248"/>
      <c r="F2770" s="1248"/>
      <c r="G2770" s="1271"/>
      <c r="H2770" s="1250"/>
      <c r="I2770" s="1251"/>
      <c r="J2770" s="1271"/>
      <c r="K2770" s="1271"/>
      <c r="L2770" s="1254"/>
      <c r="M2770" s="1244"/>
      <c r="N2770" s="1275"/>
      <c r="O2770" s="1275"/>
      <c r="P2770" s="1244"/>
      <c r="Q2770" s="1244"/>
      <c r="R2770" s="1244"/>
      <c r="S2770" s="1265"/>
      <c r="T2770" s="1244"/>
      <c r="U2770" s="1244"/>
    </row>
    <row r="2771">
      <c r="A2771" s="1235"/>
      <c r="B2771" s="1235"/>
      <c r="C2771" s="1246"/>
      <c r="D2771" s="1274"/>
      <c r="E2771" s="1248"/>
      <c r="F2771" s="1248"/>
      <c r="G2771" s="1271"/>
      <c r="H2771" s="1250"/>
      <c r="I2771" s="1251"/>
      <c r="J2771" s="1271"/>
      <c r="K2771" s="1271"/>
      <c r="L2771" s="1254"/>
      <c r="M2771" s="1244"/>
      <c r="N2771" s="1275"/>
      <c r="O2771" s="1275"/>
      <c r="P2771" s="1244"/>
      <c r="Q2771" s="1244"/>
      <c r="R2771" s="1244"/>
      <c r="S2771" s="1265"/>
      <c r="T2771" s="1244"/>
      <c r="U2771" s="1244"/>
    </row>
    <row r="2772">
      <c r="A2772" s="1235"/>
      <c r="B2772" s="1235"/>
      <c r="C2772" s="1246"/>
      <c r="D2772" s="1274"/>
      <c r="E2772" s="1248"/>
      <c r="F2772" s="1248"/>
      <c r="G2772" s="1271"/>
      <c r="H2772" s="1250"/>
      <c r="I2772" s="1251"/>
      <c r="J2772" s="1271"/>
      <c r="K2772" s="1271"/>
      <c r="L2772" s="1254"/>
      <c r="M2772" s="1244"/>
      <c r="N2772" s="1275"/>
      <c r="O2772" s="1275"/>
      <c r="P2772" s="1244"/>
      <c r="Q2772" s="1244"/>
      <c r="R2772" s="1244"/>
      <c r="S2772" s="1265"/>
      <c r="T2772" s="1244"/>
      <c r="U2772" s="1244"/>
    </row>
    <row r="2773">
      <c r="A2773" s="1235"/>
      <c r="B2773" s="1235"/>
      <c r="C2773" s="1246"/>
      <c r="D2773" s="1274"/>
      <c r="E2773" s="1248"/>
      <c r="F2773" s="1248"/>
      <c r="G2773" s="1271"/>
      <c r="H2773" s="1250"/>
      <c r="I2773" s="1251"/>
      <c r="J2773" s="1271"/>
      <c r="K2773" s="1271"/>
      <c r="L2773" s="1254"/>
      <c r="M2773" s="1244"/>
      <c r="N2773" s="1275"/>
      <c r="O2773" s="1275"/>
      <c r="P2773" s="1244"/>
      <c r="Q2773" s="1244"/>
      <c r="R2773" s="1244"/>
      <c r="S2773" s="1265"/>
      <c r="T2773" s="1244"/>
      <c r="U2773" s="1244"/>
    </row>
    <row r="2774">
      <c r="A2774" s="1235"/>
      <c r="B2774" s="1235"/>
      <c r="C2774" s="1246"/>
      <c r="D2774" s="1274"/>
      <c r="E2774" s="1248"/>
      <c r="F2774" s="1248"/>
      <c r="G2774" s="1271"/>
      <c r="H2774" s="1250"/>
      <c r="I2774" s="1251"/>
      <c r="J2774" s="1271"/>
      <c r="K2774" s="1271"/>
      <c r="L2774" s="1254"/>
      <c r="M2774" s="1244"/>
      <c r="N2774" s="1275"/>
      <c r="O2774" s="1275"/>
      <c r="P2774" s="1244"/>
      <c r="Q2774" s="1244"/>
      <c r="R2774" s="1244"/>
      <c r="S2774" s="1265"/>
      <c r="T2774" s="1244"/>
      <c r="U2774" s="1244"/>
    </row>
    <row r="2775">
      <c r="A2775" s="1235"/>
      <c r="B2775" s="1235"/>
      <c r="C2775" s="1246"/>
      <c r="D2775" s="1274"/>
      <c r="E2775" s="1248"/>
      <c r="F2775" s="1248"/>
      <c r="G2775" s="1271"/>
      <c r="H2775" s="1250"/>
      <c r="I2775" s="1251"/>
      <c r="J2775" s="1271"/>
      <c r="K2775" s="1271"/>
      <c r="L2775" s="1254"/>
      <c r="M2775" s="1244"/>
      <c r="N2775" s="1275"/>
      <c r="O2775" s="1275"/>
      <c r="P2775" s="1244"/>
      <c r="Q2775" s="1244"/>
      <c r="R2775" s="1244"/>
      <c r="S2775" s="1265"/>
      <c r="T2775" s="1244"/>
      <c r="U2775" s="1244"/>
    </row>
    <row r="2776">
      <c r="A2776" s="1235"/>
      <c r="B2776" s="1235"/>
      <c r="C2776" s="1246"/>
      <c r="D2776" s="1274"/>
      <c r="E2776" s="1248"/>
      <c r="F2776" s="1248"/>
      <c r="G2776" s="1271"/>
      <c r="H2776" s="1250"/>
      <c r="I2776" s="1251"/>
      <c r="J2776" s="1271"/>
      <c r="K2776" s="1271"/>
      <c r="L2776" s="1254"/>
      <c r="M2776" s="1244"/>
      <c r="N2776" s="1275"/>
      <c r="O2776" s="1275"/>
      <c r="P2776" s="1244"/>
      <c r="Q2776" s="1244"/>
      <c r="R2776" s="1244"/>
      <c r="S2776" s="1265"/>
      <c r="T2776" s="1244"/>
      <c r="U2776" s="1244"/>
    </row>
    <row r="2777">
      <c r="A2777" s="1235"/>
      <c r="B2777" s="1235"/>
      <c r="C2777" s="1246"/>
      <c r="D2777" s="1274"/>
      <c r="E2777" s="1248"/>
      <c r="F2777" s="1248"/>
      <c r="G2777" s="1271"/>
      <c r="H2777" s="1250"/>
      <c r="I2777" s="1251"/>
      <c r="J2777" s="1271"/>
      <c r="K2777" s="1271"/>
      <c r="L2777" s="1254"/>
      <c r="M2777" s="1244"/>
      <c r="N2777" s="1275"/>
      <c r="O2777" s="1275"/>
      <c r="P2777" s="1244"/>
      <c r="Q2777" s="1244"/>
      <c r="R2777" s="1244"/>
      <c r="S2777" s="1265"/>
      <c r="T2777" s="1244"/>
      <c r="U2777" s="1244"/>
    </row>
    <row r="2778">
      <c r="A2778" s="1235"/>
      <c r="B2778" s="1235"/>
      <c r="C2778" s="1246"/>
      <c r="D2778" s="1274"/>
      <c r="E2778" s="1248"/>
      <c r="F2778" s="1248"/>
      <c r="G2778" s="1271"/>
      <c r="H2778" s="1250"/>
      <c r="I2778" s="1251"/>
      <c r="J2778" s="1271"/>
      <c r="K2778" s="1271"/>
      <c r="L2778" s="1254"/>
      <c r="M2778" s="1244"/>
      <c r="N2778" s="1275"/>
      <c r="O2778" s="1275"/>
      <c r="P2778" s="1244"/>
      <c r="Q2778" s="1244"/>
      <c r="R2778" s="1244"/>
      <c r="S2778" s="1265"/>
      <c r="T2778" s="1244"/>
      <c r="U2778" s="1244"/>
    </row>
    <row r="2779">
      <c r="A2779" s="1235"/>
      <c r="B2779" s="1235"/>
      <c r="C2779" s="1246"/>
      <c r="D2779" s="1274"/>
      <c r="E2779" s="1248"/>
      <c r="F2779" s="1248"/>
      <c r="G2779" s="1271"/>
      <c r="H2779" s="1250"/>
      <c r="I2779" s="1251"/>
      <c r="J2779" s="1271"/>
      <c r="K2779" s="1271"/>
      <c r="L2779" s="1254"/>
      <c r="M2779" s="1244"/>
      <c r="N2779" s="1275"/>
      <c r="O2779" s="1275"/>
      <c r="P2779" s="1244"/>
      <c r="Q2779" s="1244"/>
      <c r="R2779" s="1244"/>
      <c r="S2779" s="1265"/>
      <c r="T2779" s="1244"/>
      <c r="U2779" s="1244"/>
    </row>
    <row r="2780">
      <c r="A2780" s="1235"/>
      <c r="B2780" s="1235"/>
      <c r="C2780" s="1246"/>
      <c r="D2780" s="1274"/>
      <c r="E2780" s="1248"/>
      <c r="F2780" s="1248"/>
      <c r="G2780" s="1271"/>
      <c r="H2780" s="1250"/>
      <c r="I2780" s="1251"/>
      <c r="J2780" s="1271"/>
      <c r="K2780" s="1271"/>
      <c r="L2780" s="1254"/>
      <c r="M2780" s="1244"/>
      <c r="N2780" s="1275"/>
      <c r="O2780" s="1275"/>
      <c r="P2780" s="1244"/>
      <c r="Q2780" s="1244"/>
      <c r="R2780" s="1244"/>
      <c r="S2780" s="1265"/>
      <c r="T2780" s="1244"/>
      <c r="U2780" s="1244"/>
    </row>
    <row r="2781">
      <c r="A2781" s="1235"/>
      <c r="B2781" s="1235"/>
      <c r="C2781" s="1246"/>
      <c r="D2781" s="1274"/>
      <c r="E2781" s="1248"/>
      <c r="F2781" s="1248"/>
      <c r="G2781" s="1271"/>
      <c r="H2781" s="1250"/>
      <c r="I2781" s="1251"/>
      <c r="J2781" s="1271"/>
      <c r="K2781" s="1271"/>
      <c r="L2781" s="1254"/>
      <c r="M2781" s="1244"/>
      <c r="N2781" s="1275"/>
      <c r="O2781" s="1275"/>
      <c r="P2781" s="1244"/>
      <c r="Q2781" s="1244"/>
      <c r="R2781" s="1244"/>
      <c r="S2781" s="1265"/>
      <c r="T2781" s="1244"/>
      <c r="U2781" s="1244"/>
    </row>
    <row r="2782">
      <c r="A2782" s="1235"/>
      <c r="B2782" s="1235"/>
      <c r="C2782" s="1246"/>
      <c r="D2782" s="1274"/>
      <c r="E2782" s="1248"/>
      <c r="F2782" s="1248"/>
      <c r="G2782" s="1271"/>
      <c r="H2782" s="1250"/>
      <c r="I2782" s="1251"/>
      <c r="J2782" s="1271"/>
      <c r="K2782" s="1271"/>
      <c r="L2782" s="1254"/>
      <c r="M2782" s="1244"/>
      <c r="N2782" s="1275"/>
      <c r="O2782" s="1275"/>
      <c r="P2782" s="1244"/>
      <c r="Q2782" s="1244"/>
      <c r="R2782" s="1244"/>
      <c r="S2782" s="1265"/>
      <c r="T2782" s="1244"/>
      <c r="U2782" s="1244"/>
    </row>
    <row r="2783">
      <c r="A2783" s="1235"/>
      <c r="B2783" s="1235"/>
      <c r="C2783" s="1246"/>
      <c r="D2783" s="1274"/>
      <c r="E2783" s="1248"/>
      <c r="F2783" s="1248"/>
      <c r="G2783" s="1271"/>
      <c r="H2783" s="1250"/>
      <c r="I2783" s="1251"/>
      <c r="J2783" s="1271"/>
      <c r="K2783" s="1271"/>
      <c r="L2783" s="1254"/>
      <c r="M2783" s="1244"/>
      <c r="N2783" s="1275"/>
      <c r="O2783" s="1275"/>
      <c r="P2783" s="1244"/>
      <c r="Q2783" s="1244"/>
      <c r="R2783" s="1244"/>
      <c r="S2783" s="1265"/>
      <c r="T2783" s="1244"/>
      <c r="U2783" s="1244"/>
    </row>
    <row r="2784">
      <c r="A2784" s="1235"/>
      <c r="B2784" s="1235"/>
      <c r="C2784" s="1246"/>
      <c r="D2784" s="1274"/>
      <c r="E2784" s="1248"/>
      <c r="F2784" s="1248"/>
      <c r="G2784" s="1271"/>
      <c r="H2784" s="1250"/>
      <c r="I2784" s="1251"/>
      <c r="J2784" s="1271"/>
      <c r="K2784" s="1271"/>
      <c r="L2784" s="1254"/>
      <c r="M2784" s="1244"/>
      <c r="N2784" s="1275"/>
      <c r="O2784" s="1275"/>
      <c r="P2784" s="1244"/>
      <c r="Q2784" s="1244"/>
      <c r="R2784" s="1244"/>
      <c r="S2784" s="1265"/>
      <c r="T2784" s="1244"/>
      <c r="U2784" s="1244"/>
    </row>
    <row r="2785">
      <c r="A2785" s="1235"/>
      <c r="B2785" s="1235"/>
      <c r="C2785" s="1246"/>
      <c r="D2785" s="1274"/>
      <c r="E2785" s="1248"/>
      <c r="F2785" s="1248"/>
      <c r="G2785" s="1271"/>
      <c r="H2785" s="1250"/>
      <c r="I2785" s="1251"/>
      <c r="J2785" s="1271"/>
      <c r="K2785" s="1271"/>
      <c r="L2785" s="1254"/>
      <c r="M2785" s="1244"/>
      <c r="N2785" s="1275"/>
      <c r="O2785" s="1275"/>
      <c r="P2785" s="1244"/>
      <c r="Q2785" s="1244"/>
      <c r="R2785" s="1244"/>
      <c r="S2785" s="1265"/>
      <c r="T2785" s="1244"/>
      <c r="U2785" s="1244"/>
    </row>
    <row r="2786">
      <c r="A2786" s="1235"/>
      <c r="B2786" s="1235"/>
      <c r="C2786" s="1246"/>
      <c r="D2786" s="1274"/>
      <c r="E2786" s="1248"/>
      <c r="F2786" s="1248"/>
      <c r="G2786" s="1271"/>
      <c r="H2786" s="1250"/>
      <c r="I2786" s="1251"/>
      <c r="J2786" s="1271"/>
      <c r="K2786" s="1271"/>
      <c r="L2786" s="1254"/>
      <c r="M2786" s="1244"/>
      <c r="N2786" s="1275"/>
      <c r="O2786" s="1275"/>
      <c r="P2786" s="1244"/>
      <c r="Q2786" s="1244"/>
      <c r="R2786" s="1244"/>
      <c r="S2786" s="1265"/>
      <c r="T2786" s="1244"/>
      <c r="U2786" s="1244"/>
    </row>
    <row r="2787">
      <c r="A2787" s="1235"/>
      <c r="B2787" s="1235"/>
      <c r="C2787" s="1246"/>
      <c r="D2787" s="1274"/>
      <c r="E2787" s="1248"/>
      <c r="F2787" s="1248"/>
      <c r="G2787" s="1271"/>
      <c r="H2787" s="1250"/>
      <c r="I2787" s="1251"/>
      <c r="J2787" s="1271"/>
      <c r="K2787" s="1271"/>
      <c r="L2787" s="1254"/>
      <c r="M2787" s="1244"/>
      <c r="N2787" s="1275"/>
      <c r="O2787" s="1275"/>
      <c r="P2787" s="1244"/>
      <c r="Q2787" s="1244"/>
      <c r="R2787" s="1244"/>
      <c r="S2787" s="1265"/>
      <c r="T2787" s="1244"/>
      <c r="U2787" s="1244"/>
    </row>
    <row r="2788">
      <c r="A2788" s="1235"/>
      <c r="B2788" s="1235"/>
      <c r="C2788" s="1246"/>
      <c r="D2788" s="1274"/>
      <c r="E2788" s="1248"/>
      <c r="F2788" s="1248"/>
      <c r="G2788" s="1271"/>
      <c r="H2788" s="1250"/>
      <c r="I2788" s="1251"/>
      <c r="J2788" s="1271"/>
      <c r="K2788" s="1271"/>
      <c r="L2788" s="1254"/>
      <c r="M2788" s="1244"/>
      <c r="N2788" s="1275"/>
      <c r="O2788" s="1275"/>
      <c r="P2788" s="1244"/>
      <c r="Q2788" s="1244"/>
      <c r="R2788" s="1244"/>
      <c r="S2788" s="1265"/>
      <c r="T2788" s="1244"/>
      <c r="U2788" s="1244"/>
    </row>
    <row r="2789">
      <c r="A2789" s="1235"/>
      <c r="B2789" s="1235"/>
      <c r="C2789" s="1246"/>
      <c r="D2789" s="1274"/>
      <c r="E2789" s="1248"/>
      <c r="F2789" s="1248"/>
      <c r="G2789" s="1271"/>
      <c r="H2789" s="1250"/>
      <c r="I2789" s="1251"/>
      <c r="J2789" s="1271"/>
      <c r="K2789" s="1271"/>
      <c r="L2789" s="1254"/>
      <c r="M2789" s="1244"/>
      <c r="N2789" s="1275"/>
      <c r="O2789" s="1275"/>
      <c r="P2789" s="1244"/>
      <c r="Q2789" s="1244"/>
      <c r="R2789" s="1244"/>
      <c r="S2789" s="1265"/>
      <c r="T2789" s="1244"/>
      <c r="U2789" s="1244"/>
    </row>
    <row r="2790">
      <c r="A2790" s="1235"/>
      <c r="B2790" s="1235"/>
      <c r="C2790" s="1246"/>
      <c r="D2790" s="1274"/>
      <c r="E2790" s="1248"/>
      <c r="F2790" s="1248"/>
      <c r="G2790" s="1271"/>
      <c r="H2790" s="1250"/>
      <c r="I2790" s="1251"/>
      <c r="J2790" s="1271"/>
      <c r="K2790" s="1271"/>
      <c r="L2790" s="1254"/>
      <c r="M2790" s="1244"/>
      <c r="N2790" s="1275"/>
      <c r="O2790" s="1275"/>
      <c r="P2790" s="1244"/>
      <c r="Q2790" s="1244"/>
      <c r="R2790" s="1244"/>
      <c r="S2790" s="1265"/>
      <c r="T2790" s="1244"/>
      <c r="U2790" s="1244"/>
    </row>
    <row r="2791">
      <c r="A2791" s="1235"/>
      <c r="B2791" s="1235"/>
      <c r="C2791" s="1246"/>
      <c r="D2791" s="1274"/>
      <c r="E2791" s="1248"/>
      <c r="F2791" s="1248"/>
      <c r="G2791" s="1271"/>
      <c r="H2791" s="1250"/>
      <c r="I2791" s="1251"/>
      <c r="J2791" s="1271"/>
      <c r="K2791" s="1271"/>
      <c r="L2791" s="1254"/>
      <c r="M2791" s="1244"/>
      <c r="N2791" s="1275"/>
      <c r="O2791" s="1275"/>
      <c r="P2791" s="1244"/>
      <c r="Q2791" s="1244"/>
      <c r="R2791" s="1244"/>
      <c r="S2791" s="1265"/>
      <c r="T2791" s="1244"/>
      <c r="U2791" s="1244"/>
    </row>
    <row r="2792">
      <c r="A2792" s="1235"/>
      <c r="B2792" s="1235"/>
      <c r="C2792" s="1246"/>
      <c r="D2792" s="1274"/>
      <c r="E2792" s="1248"/>
      <c r="F2792" s="1248"/>
      <c r="G2792" s="1271"/>
      <c r="H2792" s="1250"/>
      <c r="I2792" s="1251"/>
      <c r="J2792" s="1271"/>
      <c r="K2792" s="1271"/>
      <c r="L2792" s="1254"/>
      <c r="M2792" s="1244"/>
      <c r="N2792" s="1275"/>
      <c r="O2792" s="1275"/>
      <c r="P2792" s="1244"/>
      <c r="Q2792" s="1244"/>
      <c r="R2792" s="1244"/>
      <c r="S2792" s="1265"/>
      <c r="T2792" s="1244"/>
      <c r="U2792" s="1244"/>
    </row>
    <row r="2793">
      <c r="A2793" s="1235"/>
      <c r="B2793" s="1235"/>
      <c r="C2793" s="1246"/>
      <c r="D2793" s="1274"/>
      <c r="E2793" s="1248"/>
      <c r="F2793" s="1248"/>
      <c r="G2793" s="1271"/>
      <c r="H2793" s="1250"/>
      <c r="I2793" s="1251"/>
      <c r="J2793" s="1271"/>
      <c r="K2793" s="1271"/>
      <c r="L2793" s="1254"/>
      <c r="M2793" s="1244"/>
      <c r="N2793" s="1275"/>
      <c r="O2793" s="1275"/>
      <c r="P2793" s="1244"/>
      <c r="Q2793" s="1244"/>
      <c r="R2793" s="1244"/>
      <c r="S2793" s="1265"/>
      <c r="T2793" s="1244"/>
      <c r="U2793" s="1244"/>
    </row>
    <row r="2794">
      <c r="A2794" s="1235"/>
      <c r="B2794" s="1235"/>
      <c r="C2794" s="1246"/>
      <c r="D2794" s="1274"/>
      <c r="E2794" s="1248"/>
      <c r="F2794" s="1248"/>
      <c r="G2794" s="1271"/>
      <c r="H2794" s="1250"/>
      <c r="I2794" s="1251"/>
      <c r="J2794" s="1271"/>
      <c r="K2794" s="1271"/>
      <c r="L2794" s="1254"/>
      <c r="M2794" s="1244"/>
      <c r="N2794" s="1275"/>
      <c r="O2794" s="1275"/>
      <c r="P2794" s="1244"/>
      <c r="Q2794" s="1244"/>
      <c r="R2794" s="1244"/>
      <c r="S2794" s="1265"/>
      <c r="T2794" s="1244"/>
      <c r="U2794" s="1244"/>
    </row>
    <row r="2795">
      <c r="A2795" s="1235"/>
      <c r="B2795" s="1235"/>
      <c r="C2795" s="1246"/>
      <c r="D2795" s="1274"/>
      <c r="E2795" s="1248"/>
      <c r="F2795" s="1248"/>
      <c r="G2795" s="1271"/>
      <c r="H2795" s="1250"/>
      <c r="I2795" s="1251"/>
      <c r="J2795" s="1271"/>
      <c r="K2795" s="1271"/>
      <c r="L2795" s="1254"/>
      <c r="M2795" s="1244"/>
      <c r="N2795" s="1275"/>
      <c r="O2795" s="1275"/>
      <c r="P2795" s="1244"/>
      <c r="Q2795" s="1244"/>
      <c r="R2795" s="1244"/>
      <c r="S2795" s="1265"/>
      <c r="T2795" s="1244"/>
      <c r="U2795" s="1244"/>
    </row>
    <row r="2796">
      <c r="A2796" s="1235"/>
      <c r="B2796" s="1235"/>
      <c r="C2796" s="1246"/>
      <c r="D2796" s="1274"/>
      <c r="E2796" s="1248"/>
      <c r="F2796" s="1248"/>
      <c r="G2796" s="1271"/>
      <c r="H2796" s="1250"/>
      <c r="I2796" s="1251"/>
      <c r="J2796" s="1271"/>
      <c r="K2796" s="1271"/>
      <c r="L2796" s="1254"/>
      <c r="M2796" s="1244"/>
      <c r="N2796" s="1275"/>
      <c r="O2796" s="1275"/>
      <c r="P2796" s="1244"/>
      <c r="Q2796" s="1244"/>
      <c r="R2796" s="1244"/>
      <c r="S2796" s="1265"/>
      <c r="T2796" s="1244"/>
      <c r="U2796" s="1244"/>
    </row>
    <row r="2797">
      <c r="A2797" s="1235"/>
      <c r="B2797" s="1235"/>
      <c r="C2797" s="1246"/>
      <c r="D2797" s="1274"/>
      <c r="E2797" s="1248"/>
      <c r="F2797" s="1248"/>
      <c r="G2797" s="1271"/>
      <c r="H2797" s="1250"/>
      <c r="I2797" s="1251"/>
      <c r="J2797" s="1271"/>
      <c r="K2797" s="1271"/>
      <c r="L2797" s="1254"/>
      <c r="M2797" s="1244"/>
      <c r="N2797" s="1275"/>
      <c r="O2797" s="1275"/>
      <c r="P2797" s="1244"/>
      <c r="Q2797" s="1244"/>
      <c r="R2797" s="1244"/>
      <c r="S2797" s="1265"/>
      <c r="T2797" s="1244"/>
      <c r="U2797" s="1244"/>
    </row>
    <row r="2798">
      <c r="A2798" s="1235"/>
      <c r="B2798" s="1235"/>
      <c r="C2798" s="1246"/>
      <c r="D2798" s="1274"/>
      <c r="E2798" s="1248"/>
      <c r="F2798" s="1248"/>
      <c r="G2798" s="1271"/>
      <c r="H2798" s="1250"/>
      <c r="I2798" s="1251"/>
      <c r="J2798" s="1271"/>
      <c r="K2798" s="1271"/>
      <c r="L2798" s="1254"/>
      <c r="M2798" s="1244"/>
      <c r="N2798" s="1275"/>
      <c r="O2798" s="1275"/>
      <c r="P2798" s="1244"/>
      <c r="Q2798" s="1244"/>
      <c r="R2798" s="1244"/>
      <c r="S2798" s="1265"/>
      <c r="T2798" s="1244"/>
      <c r="U2798" s="1244"/>
    </row>
    <row r="2799">
      <c r="A2799" s="1235"/>
      <c r="B2799" s="1235"/>
      <c r="C2799" s="1246"/>
      <c r="D2799" s="1274"/>
      <c r="E2799" s="1248"/>
      <c r="F2799" s="1248"/>
      <c r="G2799" s="1271"/>
      <c r="H2799" s="1250"/>
      <c r="I2799" s="1251"/>
      <c r="J2799" s="1271"/>
      <c r="K2799" s="1271"/>
      <c r="L2799" s="1254"/>
      <c r="M2799" s="1244"/>
      <c r="N2799" s="1275"/>
      <c r="O2799" s="1275"/>
      <c r="P2799" s="1244"/>
      <c r="Q2799" s="1244"/>
      <c r="R2799" s="1244"/>
      <c r="S2799" s="1265"/>
      <c r="T2799" s="1244"/>
      <c r="U2799" s="1244"/>
    </row>
    <row r="2800">
      <c r="A2800" s="1235"/>
      <c r="B2800" s="1235"/>
      <c r="C2800" s="1246"/>
      <c r="D2800" s="1274"/>
      <c r="E2800" s="1248"/>
      <c r="F2800" s="1248"/>
      <c r="G2800" s="1271"/>
      <c r="H2800" s="1250"/>
      <c r="I2800" s="1251"/>
      <c r="J2800" s="1271"/>
      <c r="K2800" s="1271"/>
      <c r="L2800" s="1254"/>
      <c r="M2800" s="1244"/>
      <c r="N2800" s="1275"/>
      <c r="O2800" s="1275"/>
      <c r="P2800" s="1244"/>
      <c r="Q2800" s="1244"/>
      <c r="R2800" s="1244"/>
      <c r="S2800" s="1265"/>
      <c r="T2800" s="1244"/>
      <c r="U2800" s="1244"/>
    </row>
    <row r="2801">
      <c r="A2801" s="1235"/>
      <c r="B2801" s="1235"/>
      <c r="C2801" s="1246"/>
      <c r="D2801" s="1274"/>
      <c r="E2801" s="1248"/>
      <c r="F2801" s="1248"/>
      <c r="G2801" s="1271"/>
      <c r="H2801" s="1250"/>
      <c r="I2801" s="1251"/>
      <c r="J2801" s="1271"/>
      <c r="K2801" s="1271"/>
      <c r="L2801" s="1254"/>
      <c r="M2801" s="1244"/>
      <c r="N2801" s="1275"/>
      <c r="O2801" s="1275"/>
      <c r="P2801" s="1244"/>
      <c r="Q2801" s="1244"/>
      <c r="R2801" s="1244"/>
      <c r="S2801" s="1265"/>
      <c r="T2801" s="1244"/>
      <c r="U2801" s="1244"/>
    </row>
    <row r="2802">
      <c r="A2802" s="1235"/>
      <c r="B2802" s="1235"/>
      <c r="C2802" s="1246"/>
      <c r="D2802" s="1274"/>
      <c r="E2802" s="1248"/>
      <c r="F2802" s="1248"/>
      <c r="G2802" s="1271"/>
      <c r="H2802" s="1250"/>
      <c r="I2802" s="1251"/>
      <c r="J2802" s="1271"/>
      <c r="K2802" s="1271"/>
      <c r="L2802" s="1254"/>
      <c r="M2802" s="1244"/>
      <c r="N2802" s="1275"/>
      <c r="O2802" s="1275"/>
      <c r="P2802" s="1244"/>
      <c r="Q2802" s="1244"/>
      <c r="R2802" s="1244"/>
      <c r="S2802" s="1265"/>
      <c r="T2802" s="1244"/>
      <c r="U2802" s="1244"/>
    </row>
    <row r="2803">
      <c r="A2803" s="1235"/>
      <c r="B2803" s="1235"/>
      <c r="C2803" s="1246"/>
      <c r="D2803" s="1274"/>
      <c r="E2803" s="1248"/>
      <c r="F2803" s="1248"/>
      <c r="G2803" s="1271"/>
      <c r="H2803" s="1250"/>
      <c r="I2803" s="1251"/>
      <c r="J2803" s="1271"/>
      <c r="K2803" s="1271"/>
      <c r="L2803" s="1254"/>
      <c r="M2803" s="1244"/>
      <c r="N2803" s="1275"/>
      <c r="O2803" s="1275"/>
      <c r="P2803" s="1244"/>
      <c r="Q2803" s="1244"/>
      <c r="R2803" s="1244"/>
      <c r="S2803" s="1265"/>
      <c r="T2803" s="1244"/>
      <c r="U2803" s="1244"/>
    </row>
    <row r="2804">
      <c r="A2804" s="1235"/>
      <c r="B2804" s="1235"/>
      <c r="C2804" s="1246"/>
      <c r="D2804" s="1274"/>
      <c r="E2804" s="1248"/>
      <c r="F2804" s="1248"/>
      <c r="G2804" s="1271"/>
      <c r="H2804" s="1250"/>
      <c r="I2804" s="1251"/>
      <c r="J2804" s="1271"/>
      <c r="K2804" s="1271"/>
      <c r="L2804" s="1254"/>
      <c r="M2804" s="1244"/>
      <c r="N2804" s="1275"/>
      <c r="O2804" s="1275"/>
      <c r="P2804" s="1244"/>
      <c r="Q2804" s="1244"/>
      <c r="R2804" s="1244"/>
      <c r="S2804" s="1265"/>
      <c r="T2804" s="1244"/>
      <c r="U2804" s="1244"/>
    </row>
    <row r="2805">
      <c r="A2805" s="1235"/>
      <c r="B2805" s="1235"/>
      <c r="C2805" s="1246"/>
      <c r="D2805" s="1274"/>
      <c r="E2805" s="1248"/>
      <c r="F2805" s="1248"/>
      <c r="G2805" s="1271"/>
      <c r="H2805" s="1250"/>
      <c r="I2805" s="1251"/>
      <c r="J2805" s="1271"/>
      <c r="K2805" s="1271"/>
      <c r="L2805" s="1254"/>
      <c r="M2805" s="1244"/>
      <c r="N2805" s="1275"/>
      <c r="O2805" s="1275"/>
      <c r="P2805" s="1244"/>
      <c r="Q2805" s="1244"/>
      <c r="R2805" s="1244"/>
      <c r="S2805" s="1265"/>
      <c r="T2805" s="1244"/>
      <c r="U2805" s="1244"/>
    </row>
    <row r="2806">
      <c r="A2806" s="1235"/>
      <c r="B2806" s="1235"/>
      <c r="C2806" s="1246"/>
      <c r="D2806" s="1274"/>
      <c r="E2806" s="1248"/>
      <c r="F2806" s="1248"/>
      <c r="G2806" s="1271"/>
      <c r="H2806" s="1250"/>
      <c r="I2806" s="1251"/>
      <c r="J2806" s="1271"/>
      <c r="K2806" s="1271"/>
      <c r="L2806" s="1254"/>
      <c r="M2806" s="1244"/>
      <c r="N2806" s="1275"/>
      <c r="O2806" s="1275"/>
      <c r="P2806" s="1244"/>
      <c r="Q2806" s="1244"/>
      <c r="R2806" s="1244"/>
      <c r="S2806" s="1265"/>
      <c r="T2806" s="1244"/>
      <c r="U2806" s="1244"/>
    </row>
    <row r="2807">
      <c r="A2807" s="1235"/>
      <c r="B2807" s="1235"/>
      <c r="C2807" s="1246"/>
      <c r="D2807" s="1274"/>
      <c r="E2807" s="1248"/>
      <c r="F2807" s="1248"/>
      <c r="G2807" s="1271"/>
      <c r="H2807" s="1250"/>
      <c r="I2807" s="1251"/>
      <c r="J2807" s="1271"/>
      <c r="K2807" s="1271"/>
      <c r="L2807" s="1254"/>
      <c r="M2807" s="1244"/>
      <c r="N2807" s="1275"/>
      <c r="O2807" s="1275"/>
      <c r="P2807" s="1244"/>
      <c r="Q2807" s="1244"/>
      <c r="R2807" s="1244"/>
      <c r="S2807" s="1265"/>
      <c r="T2807" s="1244"/>
      <c r="U2807" s="1244"/>
    </row>
    <row r="2808">
      <c r="A2808" s="1235"/>
      <c r="B2808" s="1235"/>
      <c r="C2808" s="1246"/>
      <c r="D2808" s="1274"/>
      <c r="E2808" s="1248"/>
      <c r="F2808" s="1248"/>
      <c r="G2808" s="1271"/>
      <c r="H2808" s="1250"/>
      <c r="I2808" s="1251"/>
      <c r="J2808" s="1271"/>
      <c r="K2808" s="1271"/>
      <c r="L2808" s="1254"/>
      <c r="M2808" s="1244"/>
      <c r="N2808" s="1275"/>
      <c r="O2808" s="1275"/>
      <c r="P2808" s="1244"/>
      <c r="Q2808" s="1244"/>
      <c r="R2808" s="1244"/>
      <c r="S2808" s="1265"/>
      <c r="T2808" s="1244"/>
      <c r="U2808" s="1244"/>
    </row>
    <row r="2809">
      <c r="A2809" s="1235"/>
      <c r="B2809" s="1235"/>
      <c r="C2809" s="1246"/>
      <c r="D2809" s="1274"/>
      <c r="E2809" s="1248"/>
      <c r="F2809" s="1248"/>
      <c r="G2809" s="1271"/>
      <c r="H2809" s="1250"/>
      <c r="I2809" s="1251"/>
      <c r="J2809" s="1271"/>
      <c r="K2809" s="1271"/>
      <c r="L2809" s="1254"/>
      <c r="M2809" s="1244"/>
      <c r="N2809" s="1275"/>
      <c r="O2809" s="1275"/>
      <c r="P2809" s="1244"/>
      <c r="Q2809" s="1244"/>
      <c r="R2809" s="1244"/>
      <c r="S2809" s="1265"/>
      <c r="T2809" s="1244"/>
      <c r="U2809" s="1244"/>
    </row>
    <row r="2810">
      <c r="A2810" s="1235"/>
      <c r="B2810" s="1235"/>
      <c r="C2810" s="1246"/>
      <c r="D2810" s="1274"/>
      <c r="E2810" s="1248"/>
      <c r="F2810" s="1248"/>
      <c r="G2810" s="1271"/>
      <c r="H2810" s="1250"/>
      <c r="I2810" s="1251"/>
      <c r="J2810" s="1271"/>
      <c r="K2810" s="1271"/>
      <c r="L2810" s="1254"/>
      <c r="M2810" s="1244"/>
      <c r="N2810" s="1275"/>
      <c r="O2810" s="1275"/>
      <c r="P2810" s="1244"/>
      <c r="Q2810" s="1244"/>
      <c r="R2810" s="1244"/>
      <c r="S2810" s="1265"/>
      <c r="T2810" s="1244"/>
      <c r="U2810" s="1244"/>
    </row>
    <row r="2811">
      <c r="A2811" s="1235"/>
      <c r="B2811" s="1235"/>
      <c r="C2811" s="1246"/>
      <c r="D2811" s="1274"/>
      <c r="E2811" s="1248"/>
      <c r="F2811" s="1248"/>
      <c r="G2811" s="1271"/>
      <c r="H2811" s="1250"/>
      <c r="I2811" s="1251"/>
      <c r="J2811" s="1271"/>
      <c r="K2811" s="1271"/>
      <c r="L2811" s="1254"/>
      <c r="M2811" s="1244"/>
      <c r="N2811" s="1275"/>
      <c r="O2811" s="1275"/>
      <c r="P2811" s="1244"/>
      <c r="Q2811" s="1244"/>
      <c r="R2811" s="1244"/>
      <c r="S2811" s="1265"/>
      <c r="T2811" s="1244"/>
      <c r="U2811" s="1244"/>
    </row>
    <row r="2812">
      <c r="A2812" s="1235"/>
      <c r="B2812" s="1235"/>
      <c r="C2812" s="1246"/>
      <c r="D2812" s="1274"/>
      <c r="E2812" s="1248"/>
      <c r="F2812" s="1248"/>
      <c r="G2812" s="1271"/>
      <c r="H2812" s="1250"/>
      <c r="I2812" s="1251"/>
      <c r="J2812" s="1271"/>
      <c r="K2812" s="1271"/>
      <c r="L2812" s="1254"/>
      <c r="M2812" s="1244"/>
      <c r="N2812" s="1275"/>
      <c r="O2812" s="1275"/>
      <c r="P2812" s="1244"/>
      <c r="Q2812" s="1244"/>
      <c r="R2812" s="1244"/>
      <c r="S2812" s="1265"/>
      <c r="T2812" s="1244"/>
      <c r="U2812" s="1244"/>
    </row>
    <row r="2813">
      <c r="A2813" s="1235"/>
      <c r="B2813" s="1235"/>
      <c r="C2813" s="1246"/>
      <c r="D2813" s="1274"/>
      <c r="E2813" s="1248"/>
      <c r="F2813" s="1248"/>
      <c r="G2813" s="1271"/>
      <c r="H2813" s="1250"/>
      <c r="I2813" s="1251"/>
      <c r="J2813" s="1271"/>
      <c r="K2813" s="1271"/>
      <c r="L2813" s="1254"/>
      <c r="M2813" s="1244"/>
      <c r="N2813" s="1275"/>
      <c r="O2813" s="1275"/>
      <c r="P2813" s="1244"/>
      <c r="Q2813" s="1244"/>
      <c r="R2813" s="1244"/>
      <c r="S2813" s="1265"/>
      <c r="T2813" s="1244"/>
      <c r="U2813" s="1244"/>
    </row>
    <row r="2814">
      <c r="A2814" s="1235"/>
      <c r="B2814" s="1235"/>
      <c r="C2814" s="1246"/>
      <c r="D2814" s="1274"/>
      <c r="E2814" s="1248"/>
      <c r="F2814" s="1248"/>
      <c r="G2814" s="1271"/>
      <c r="H2814" s="1250"/>
      <c r="I2814" s="1251"/>
      <c r="J2814" s="1271"/>
      <c r="K2814" s="1271"/>
      <c r="L2814" s="1254"/>
      <c r="M2814" s="1244"/>
      <c r="N2814" s="1275"/>
      <c r="O2814" s="1275"/>
      <c r="P2814" s="1244"/>
      <c r="Q2814" s="1244"/>
      <c r="R2814" s="1244"/>
      <c r="S2814" s="1265"/>
      <c r="T2814" s="1244"/>
      <c r="U2814" s="1244"/>
    </row>
    <row r="2815">
      <c r="A2815" s="1235"/>
      <c r="B2815" s="1235"/>
      <c r="C2815" s="1246"/>
      <c r="D2815" s="1274"/>
      <c r="E2815" s="1248"/>
      <c r="F2815" s="1248"/>
      <c r="G2815" s="1271"/>
      <c r="H2815" s="1250"/>
      <c r="I2815" s="1251"/>
      <c r="J2815" s="1271"/>
      <c r="K2815" s="1271"/>
      <c r="L2815" s="1254"/>
      <c r="M2815" s="1244"/>
      <c r="N2815" s="1275"/>
      <c r="O2815" s="1275"/>
      <c r="P2815" s="1244"/>
      <c r="Q2815" s="1244"/>
      <c r="R2815" s="1244"/>
      <c r="S2815" s="1265"/>
      <c r="T2815" s="1244"/>
      <c r="U2815" s="1244"/>
    </row>
    <row r="2816">
      <c r="A2816" s="1235"/>
      <c r="B2816" s="1235"/>
      <c r="C2816" s="1246"/>
      <c r="D2816" s="1274"/>
      <c r="E2816" s="1248"/>
      <c r="F2816" s="1248"/>
      <c r="G2816" s="1271"/>
      <c r="H2816" s="1250"/>
      <c r="I2816" s="1251"/>
      <c r="J2816" s="1271"/>
      <c r="K2816" s="1271"/>
      <c r="L2816" s="1254"/>
      <c r="M2816" s="1244"/>
      <c r="N2816" s="1275"/>
      <c r="O2816" s="1275"/>
      <c r="P2816" s="1244"/>
      <c r="Q2816" s="1244"/>
      <c r="R2816" s="1244"/>
      <c r="S2816" s="1265"/>
      <c r="T2816" s="1244"/>
      <c r="U2816" s="1244"/>
    </row>
    <row r="2817">
      <c r="A2817" s="1235"/>
      <c r="B2817" s="1235"/>
      <c r="C2817" s="1246"/>
      <c r="D2817" s="1274"/>
      <c r="E2817" s="1248"/>
      <c r="F2817" s="1248"/>
      <c r="G2817" s="1271"/>
      <c r="H2817" s="1250"/>
      <c r="I2817" s="1251"/>
      <c r="J2817" s="1271"/>
      <c r="K2817" s="1271"/>
      <c r="L2817" s="1254"/>
      <c r="M2817" s="1244"/>
      <c r="N2817" s="1275"/>
      <c r="O2817" s="1275"/>
      <c r="P2817" s="1244"/>
      <c r="Q2817" s="1244"/>
      <c r="R2817" s="1244"/>
      <c r="S2817" s="1265"/>
      <c r="T2817" s="1244"/>
      <c r="U2817" s="1244"/>
    </row>
    <row r="2818">
      <c r="A2818" s="1235"/>
      <c r="B2818" s="1235"/>
      <c r="C2818" s="1246"/>
      <c r="D2818" s="1274"/>
      <c r="E2818" s="1248"/>
      <c r="F2818" s="1248"/>
      <c r="G2818" s="1271"/>
      <c r="H2818" s="1250"/>
      <c r="I2818" s="1251"/>
      <c r="J2818" s="1271"/>
      <c r="K2818" s="1271"/>
      <c r="L2818" s="1254"/>
      <c r="M2818" s="1244"/>
      <c r="N2818" s="1275"/>
      <c r="O2818" s="1275"/>
      <c r="P2818" s="1244"/>
      <c r="Q2818" s="1244"/>
      <c r="R2818" s="1244"/>
      <c r="S2818" s="1265"/>
      <c r="T2818" s="1244"/>
      <c r="U2818" s="1244"/>
    </row>
    <row r="2819">
      <c r="A2819" s="1235"/>
      <c r="B2819" s="1235"/>
      <c r="C2819" s="1246"/>
      <c r="D2819" s="1274"/>
      <c r="E2819" s="1248"/>
      <c r="F2819" s="1248"/>
      <c r="G2819" s="1271"/>
      <c r="H2819" s="1250"/>
      <c r="I2819" s="1251"/>
      <c r="J2819" s="1271"/>
      <c r="K2819" s="1271"/>
      <c r="L2819" s="1254"/>
      <c r="M2819" s="1244"/>
      <c r="N2819" s="1275"/>
      <c r="O2819" s="1275"/>
      <c r="P2819" s="1244"/>
      <c r="Q2819" s="1244"/>
      <c r="R2819" s="1244"/>
      <c r="S2819" s="1265"/>
      <c r="T2819" s="1244"/>
      <c r="U2819" s="1244"/>
    </row>
    <row r="2820">
      <c r="A2820" s="1235"/>
      <c r="B2820" s="1235"/>
      <c r="C2820" s="1246"/>
      <c r="D2820" s="1274"/>
      <c r="E2820" s="1248"/>
      <c r="F2820" s="1248"/>
      <c r="G2820" s="1271"/>
      <c r="H2820" s="1250"/>
      <c r="I2820" s="1251"/>
      <c r="J2820" s="1271"/>
      <c r="K2820" s="1271"/>
      <c r="L2820" s="1254"/>
      <c r="M2820" s="1244"/>
      <c r="N2820" s="1275"/>
      <c r="O2820" s="1275"/>
      <c r="P2820" s="1244"/>
      <c r="Q2820" s="1244"/>
      <c r="R2820" s="1244"/>
      <c r="S2820" s="1265"/>
      <c r="T2820" s="1244"/>
      <c r="U2820" s="1244"/>
    </row>
    <row r="2821">
      <c r="A2821" s="1235"/>
      <c r="B2821" s="1235"/>
      <c r="C2821" s="1246"/>
      <c r="D2821" s="1274"/>
      <c r="E2821" s="1248"/>
      <c r="F2821" s="1248"/>
      <c r="G2821" s="1271"/>
      <c r="H2821" s="1250"/>
      <c r="I2821" s="1251"/>
      <c r="J2821" s="1271"/>
      <c r="K2821" s="1271"/>
      <c r="L2821" s="1254"/>
      <c r="M2821" s="1244"/>
      <c r="N2821" s="1275"/>
      <c r="O2821" s="1275"/>
      <c r="P2821" s="1244"/>
      <c r="Q2821" s="1244"/>
      <c r="R2821" s="1244"/>
      <c r="S2821" s="1265"/>
      <c r="T2821" s="1244"/>
      <c r="U2821" s="1244"/>
    </row>
    <row r="2822">
      <c r="A2822" s="1235"/>
      <c r="B2822" s="1235"/>
      <c r="C2822" s="1246"/>
      <c r="D2822" s="1274"/>
      <c r="E2822" s="1248"/>
      <c r="F2822" s="1248"/>
      <c r="G2822" s="1271"/>
      <c r="H2822" s="1250"/>
      <c r="I2822" s="1251"/>
      <c r="J2822" s="1271"/>
      <c r="K2822" s="1271"/>
      <c r="L2822" s="1254"/>
      <c r="M2822" s="1244"/>
      <c r="N2822" s="1275"/>
      <c r="O2822" s="1275"/>
      <c r="P2822" s="1244"/>
      <c r="Q2822" s="1244"/>
      <c r="R2822" s="1244"/>
      <c r="S2822" s="1265"/>
      <c r="T2822" s="1244"/>
      <c r="U2822" s="1244"/>
    </row>
    <row r="2823">
      <c r="A2823" s="1235"/>
      <c r="B2823" s="1235"/>
      <c r="C2823" s="1246"/>
      <c r="D2823" s="1274"/>
      <c r="E2823" s="1248"/>
      <c r="F2823" s="1248"/>
      <c r="G2823" s="1271"/>
      <c r="H2823" s="1250"/>
      <c r="I2823" s="1251"/>
      <c r="J2823" s="1271"/>
      <c r="K2823" s="1271"/>
      <c r="L2823" s="1254"/>
      <c r="M2823" s="1244"/>
      <c r="N2823" s="1275"/>
      <c r="O2823" s="1275"/>
      <c r="P2823" s="1244"/>
      <c r="Q2823" s="1244"/>
      <c r="R2823" s="1244"/>
      <c r="S2823" s="1265"/>
      <c r="T2823" s="1244"/>
      <c r="U2823" s="1244"/>
    </row>
    <row r="2824">
      <c r="A2824" s="1235"/>
      <c r="B2824" s="1235"/>
      <c r="C2824" s="1246"/>
      <c r="D2824" s="1274"/>
      <c r="E2824" s="1248"/>
      <c r="F2824" s="1248"/>
      <c r="G2824" s="1271"/>
      <c r="H2824" s="1250"/>
      <c r="I2824" s="1251"/>
      <c r="J2824" s="1271"/>
      <c r="K2824" s="1271"/>
      <c r="L2824" s="1254"/>
      <c r="M2824" s="1244"/>
      <c r="N2824" s="1275"/>
      <c r="O2824" s="1275"/>
      <c r="P2824" s="1244"/>
      <c r="Q2824" s="1244"/>
      <c r="R2824" s="1244"/>
      <c r="S2824" s="1265"/>
      <c r="T2824" s="1244"/>
      <c r="U2824" s="1244"/>
    </row>
    <row r="2825">
      <c r="A2825" s="1235"/>
      <c r="B2825" s="1235"/>
      <c r="C2825" s="1246"/>
      <c r="D2825" s="1274"/>
      <c r="E2825" s="1248"/>
      <c r="F2825" s="1248"/>
      <c r="G2825" s="1271"/>
      <c r="H2825" s="1250"/>
      <c r="I2825" s="1251"/>
      <c r="J2825" s="1271"/>
      <c r="K2825" s="1271"/>
      <c r="L2825" s="1254"/>
      <c r="M2825" s="1244"/>
      <c r="N2825" s="1275"/>
      <c r="O2825" s="1275"/>
      <c r="P2825" s="1244"/>
      <c r="Q2825" s="1244"/>
      <c r="R2825" s="1244"/>
      <c r="S2825" s="1265"/>
      <c r="T2825" s="1244"/>
      <c r="U2825" s="1244"/>
    </row>
    <row r="2826">
      <c r="A2826" s="1235"/>
      <c r="B2826" s="1235"/>
      <c r="C2826" s="1246"/>
      <c r="D2826" s="1274"/>
      <c r="E2826" s="1248"/>
      <c r="F2826" s="1248"/>
      <c r="G2826" s="1271"/>
      <c r="H2826" s="1250"/>
      <c r="I2826" s="1251"/>
      <c r="J2826" s="1271"/>
      <c r="K2826" s="1271"/>
      <c r="L2826" s="1254"/>
      <c r="M2826" s="1244"/>
      <c r="N2826" s="1275"/>
      <c r="O2826" s="1275"/>
      <c r="P2826" s="1244"/>
      <c r="Q2826" s="1244"/>
      <c r="R2826" s="1244"/>
      <c r="S2826" s="1265"/>
      <c r="T2826" s="1244"/>
      <c r="U2826" s="1244"/>
    </row>
    <row r="2827">
      <c r="A2827" s="1235"/>
      <c r="B2827" s="1235"/>
      <c r="C2827" s="1246"/>
      <c r="D2827" s="1274"/>
      <c r="E2827" s="1248"/>
      <c r="F2827" s="1248"/>
      <c r="G2827" s="1271"/>
      <c r="H2827" s="1250"/>
      <c r="I2827" s="1251"/>
      <c r="J2827" s="1271"/>
      <c r="K2827" s="1271"/>
      <c r="L2827" s="1254"/>
      <c r="M2827" s="1244"/>
      <c r="N2827" s="1275"/>
      <c r="O2827" s="1275"/>
      <c r="P2827" s="1244"/>
      <c r="Q2827" s="1244"/>
      <c r="R2827" s="1244"/>
      <c r="S2827" s="1265"/>
      <c r="T2827" s="1244"/>
      <c r="U2827" s="1244"/>
    </row>
    <row r="2828">
      <c r="A2828" s="1235"/>
      <c r="B2828" s="1235"/>
      <c r="C2828" s="1246"/>
      <c r="D2828" s="1274"/>
      <c r="E2828" s="1248"/>
      <c r="F2828" s="1248"/>
      <c r="G2828" s="1271"/>
      <c r="H2828" s="1250"/>
      <c r="I2828" s="1251"/>
      <c r="J2828" s="1271"/>
      <c r="K2828" s="1271"/>
      <c r="L2828" s="1254"/>
      <c r="M2828" s="1244"/>
      <c r="N2828" s="1275"/>
      <c r="O2828" s="1275"/>
      <c r="P2828" s="1244"/>
      <c r="Q2828" s="1244"/>
      <c r="R2828" s="1244"/>
      <c r="S2828" s="1265"/>
      <c r="T2828" s="1244"/>
      <c r="U2828" s="1244"/>
    </row>
    <row r="2829">
      <c r="A2829" s="1235"/>
      <c r="B2829" s="1235"/>
      <c r="C2829" s="1246"/>
      <c r="D2829" s="1274"/>
      <c r="E2829" s="1248"/>
      <c r="F2829" s="1248"/>
      <c r="G2829" s="1271"/>
      <c r="H2829" s="1250"/>
      <c r="I2829" s="1251"/>
      <c r="J2829" s="1271"/>
      <c r="K2829" s="1271"/>
      <c r="L2829" s="1254"/>
      <c r="M2829" s="1244"/>
      <c r="N2829" s="1275"/>
      <c r="O2829" s="1275"/>
      <c r="P2829" s="1244"/>
      <c r="Q2829" s="1244"/>
      <c r="R2829" s="1244"/>
      <c r="S2829" s="1265"/>
      <c r="T2829" s="1244"/>
      <c r="U2829" s="1244"/>
    </row>
    <row r="2830">
      <c r="A2830" s="1235"/>
      <c r="B2830" s="1235"/>
      <c r="C2830" s="1246"/>
      <c r="D2830" s="1274"/>
      <c r="E2830" s="1248"/>
      <c r="F2830" s="1248"/>
      <c r="G2830" s="1271"/>
      <c r="H2830" s="1250"/>
      <c r="I2830" s="1251"/>
      <c r="J2830" s="1271"/>
      <c r="K2830" s="1271"/>
      <c r="L2830" s="1254"/>
      <c r="M2830" s="1244"/>
      <c r="N2830" s="1275"/>
      <c r="O2830" s="1275"/>
      <c r="P2830" s="1244"/>
      <c r="Q2830" s="1244"/>
      <c r="R2830" s="1244"/>
      <c r="S2830" s="1265"/>
      <c r="T2830" s="1244"/>
      <c r="U2830" s="1244"/>
    </row>
    <row r="2831">
      <c r="A2831" s="1235"/>
      <c r="B2831" s="1235"/>
      <c r="C2831" s="1246"/>
      <c r="D2831" s="1274"/>
      <c r="E2831" s="1248"/>
      <c r="F2831" s="1248"/>
      <c r="G2831" s="1271"/>
      <c r="H2831" s="1250"/>
      <c r="I2831" s="1251"/>
      <c r="J2831" s="1271"/>
      <c r="K2831" s="1271"/>
      <c r="L2831" s="1254"/>
      <c r="M2831" s="1244"/>
      <c r="N2831" s="1275"/>
      <c r="O2831" s="1275"/>
      <c r="P2831" s="1244"/>
      <c r="Q2831" s="1244"/>
      <c r="R2831" s="1244"/>
      <c r="S2831" s="1265"/>
      <c r="T2831" s="1244"/>
      <c r="U2831" s="1244"/>
    </row>
    <row r="2832">
      <c r="A2832" s="1235"/>
      <c r="B2832" s="1235"/>
      <c r="C2832" s="1246"/>
      <c r="D2832" s="1274"/>
      <c r="E2832" s="1248"/>
      <c r="F2832" s="1248"/>
      <c r="G2832" s="1271"/>
      <c r="H2832" s="1250"/>
      <c r="I2832" s="1251"/>
      <c r="J2832" s="1271"/>
      <c r="K2832" s="1271"/>
      <c r="L2832" s="1254"/>
      <c r="M2832" s="1244"/>
      <c r="N2832" s="1275"/>
      <c r="O2832" s="1275"/>
      <c r="P2832" s="1244"/>
      <c r="Q2832" s="1244"/>
      <c r="R2832" s="1244"/>
      <c r="S2832" s="1265"/>
      <c r="T2832" s="1244"/>
      <c r="U2832" s="1244"/>
    </row>
    <row r="2833">
      <c r="A2833" s="1235"/>
      <c r="B2833" s="1235"/>
      <c r="C2833" s="1246"/>
      <c r="D2833" s="1274"/>
      <c r="E2833" s="1248"/>
      <c r="F2833" s="1248"/>
      <c r="G2833" s="1271"/>
      <c r="H2833" s="1250"/>
      <c r="I2833" s="1251"/>
      <c r="J2833" s="1271"/>
      <c r="K2833" s="1271"/>
      <c r="L2833" s="1254"/>
      <c r="M2833" s="1244"/>
      <c r="N2833" s="1275"/>
      <c r="O2833" s="1275"/>
      <c r="P2833" s="1244"/>
      <c r="Q2833" s="1244"/>
      <c r="R2833" s="1244"/>
      <c r="S2833" s="1265"/>
      <c r="T2833" s="1244"/>
      <c r="U2833" s="1244"/>
    </row>
    <row r="2834">
      <c r="A2834" s="1235"/>
      <c r="B2834" s="1235"/>
      <c r="C2834" s="1246"/>
      <c r="D2834" s="1274"/>
      <c r="E2834" s="1248"/>
      <c r="F2834" s="1248"/>
      <c r="G2834" s="1271"/>
      <c r="H2834" s="1250"/>
      <c r="I2834" s="1251"/>
      <c r="J2834" s="1271"/>
      <c r="K2834" s="1271"/>
      <c r="L2834" s="1254"/>
      <c r="M2834" s="1244"/>
      <c r="N2834" s="1275"/>
      <c r="O2834" s="1275"/>
      <c r="P2834" s="1244"/>
      <c r="Q2834" s="1244"/>
      <c r="R2834" s="1244"/>
      <c r="S2834" s="1265"/>
      <c r="T2834" s="1244"/>
      <c r="U2834" s="1244"/>
    </row>
    <row r="2835">
      <c r="A2835" s="1235"/>
      <c r="B2835" s="1235"/>
      <c r="C2835" s="1246"/>
      <c r="D2835" s="1274"/>
      <c r="E2835" s="1248"/>
      <c r="F2835" s="1248"/>
      <c r="G2835" s="1271"/>
      <c r="H2835" s="1250"/>
      <c r="I2835" s="1251"/>
      <c r="J2835" s="1271"/>
      <c r="K2835" s="1271"/>
      <c r="L2835" s="1254"/>
      <c r="M2835" s="1244"/>
      <c r="N2835" s="1275"/>
      <c r="O2835" s="1275"/>
      <c r="P2835" s="1244"/>
      <c r="Q2835" s="1244"/>
      <c r="R2835" s="1244"/>
      <c r="S2835" s="1265"/>
      <c r="T2835" s="1244"/>
      <c r="U2835" s="1244"/>
    </row>
    <row r="2836">
      <c r="A2836" s="1235"/>
      <c r="B2836" s="1235"/>
      <c r="C2836" s="1246"/>
      <c r="D2836" s="1274"/>
      <c r="E2836" s="1248"/>
      <c r="F2836" s="1248"/>
      <c r="G2836" s="1271"/>
      <c r="H2836" s="1250"/>
      <c r="I2836" s="1251"/>
      <c r="J2836" s="1271"/>
      <c r="K2836" s="1271"/>
      <c r="L2836" s="1254"/>
      <c r="M2836" s="1244"/>
      <c r="N2836" s="1275"/>
      <c r="O2836" s="1275"/>
      <c r="P2836" s="1244"/>
      <c r="Q2836" s="1244"/>
      <c r="R2836" s="1244"/>
      <c r="S2836" s="1265"/>
      <c r="T2836" s="1244"/>
      <c r="U2836" s="1244"/>
    </row>
    <row r="2837">
      <c r="A2837" s="1235"/>
      <c r="B2837" s="1235"/>
      <c r="C2837" s="1246"/>
      <c r="D2837" s="1274"/>
      <c r="E2837" s="1248"/>
      <c r="F2837" s="1248"/>
      <c r="G2837" s="1271"/>
      <c r="H2837" s="1250"/>
      <c r="I2837" s="1251"/>
      <c r="J2837" s="1271"/>
      <c r="K2837" s="1271"/>
      <c r="L2837" s="1254"/>
      <c r="M2837" s="1244"/>
      <c r="N2837" s="1275"/>
      <c r="O2837" s="1275"/>
      <c r="P2837" s="1244"/>
      <c r="Q2837" s="1244"/>
      <c r="R2837" s="1244"/>
      <c r="S2837" s="1265"/>
      <c r="T2837" s="1244"/>
      <c r="U2837" s="1244"/>
    </row>
    <row r="2838">
      <c r="A2838" s="1235"/>
      <c r="B2838" s="1235"/>
      <c r="C2838" s="1246"/>
      <c r="D2838" s="1274"/>
      <c r="E2838" s="1248"/>
      <c r="F2838" s="1248"/>
      <c r="G2838" s="1271"/>
      <c r="H2838" s="1250"/>
      <c r="I2838" s="1251"/>
      <c r="J2838" s="1271"/>
      <c r="K2838" s="1271"/>
      <c r="L2838" s="1254"/>
      <c r="M2838" s="1244"/>
      <c r="N2838" s="1275"/>
      <c r="O2838" s="1275"/>
      <c r="P2838" s="1244"/>
      <c r="Q2838" s="1244"/>
      <c r="R2838" s="1244"/>
      <c r="S2838" s="1265"/>
      <c r="T2838" s="1244"/>
      <c r="U2838" s="1244"/>
    </row>
    <row r="2839">
      <c r="A2839" s="1235"/>
      <c r="B2839" s="1235"/>
      <c r="C2839" s="1246"/>
      <c r="D2839" s="1274"/>
      <c r="E2839" s="1248"/>
      <c r="F2839" s="1248"/>
      <c r="G2839" s="1271"/>
      <c r="H2839" s="1250"/>
      <c r="I2839" s="1251"/>
      <c r="J2839" s="1271"/>
      <c r="K2839" s="1271"/>
      <c r="L2839" s="1254"/>
      <c r="M2839" s="1244"/>
      <c r="N2839" s="1275"/>
      <c r="O2839" s="1275"/>
      <c r="P2839" s="1244"/>
      <c r="Q2839" s="1244"/>
      <c r="R2839" s="1244"/>
      <c r="S2839" s="1265"/>
      <c r="T2839" s="1244"/>
      <c r="U2839" s="1244"/>
    </row>
    <row r="2840">
      <c r="A2840" s="1235"/>
      <c r="B2840" s="1235"/>
      <c r="C2840" s="1246"/>
      <c r="D2840" s="1274"/>
      <c r="E2840" s="1248"/>
      <c r="F2840" s="1248"/>
      <c r="G2840" s="1271"/>
      <c r="H2840" s="1250"/>
      <c r="I2840" s="1251"/>
      <c r="J2840" s="1271"/>
      <c r="K2840" s="1271"/>
      <c r="L2840" s="1254"/>
      <c r="M2840" s="1244"/>
      <c r="N2840" s="1275"/>
      <c r="O2840" s="1275"/>
      <c r="P2840" s="1244"/>
      <c r="Q2840" s="1244"/>
      <c r="R2840" s="1244"/>
      <c r="S2840" s="1265"/>
      <c r="T2840" s="1244"/>
      <c r="U2840" s="1244"/>
    </row>
    <row r="2841">
      <c r="A2841" s="1235"/>
      <c r="B2841" s="1235"/>
      <c r="C2841" s="1246"/>
      <c r="D2841" s="1274"/>
      <c r="E2841" s="1248"/>
      <c r="F2841" s="1248"/>
      <c r="G2841" s="1271"/>
      <c r="H2841" s="1250"/>
      <c r="I2841" s="1251"/>
      <c r="J2841" s="1271"/>
      <c r="K2841" s="1271"/>
      <c r="L2841" s="1254"/>
      <c r="M2841" s="1244"/>
      <c r="N2841" s="1275"/>
      <c r="O2841" s="1275"/>
      <c r="P2841" s="1244"/>
      <c r="Q2841" s="1244"/>
      <c r="R2841" s="1244"/>
      <c r="S2841" s="1265"/>
      <c r="T2841" s="1244"/>
      <c r="U2841" s="1244"/>
    </row>
    <row r="2842">
      <c r="A2842" s="1235"/>
      <c r="B2842" s="1235"/>
      <c r="C2842" s="1246"/>
      <c r="D2842" s="1274"/>
      <c r="E2842" s="1248"/>
      <c r="F2842" s="1248"/>
      <c r="G2842" s="1271"/>
      <c r="H2842" s="1250"/>
      <c r="I2842" s="1251"/>
      <c r="J2842" s="1271"/>
      <c r="K2842" s="1271"/>
      <c r="L2842" s="1254"/>
      <c r="M2842" s="1244"/>
      <c r="N2842" s="1275"/>
      <c r="O2842" s="1275"/>
      <c r="P2842" s="1244"/>
      <c r="Q2842" s="1244"/>
      <c r="R2842" s="1244"/>
      <c r="S2842" s="1265"/>
      <c r="T2842" s="1244"/>
      <c r="U2842" s="1244"/>
    </row>
    <row r="2843">
      <c r="A2843" s="1235"/>
      <c r="B2843" s="1235"/>
      <c r="C2843" s="1246"/>
      <c r="D2843" s="1274"/>
      <c r="E2843" s="1248"/>
      <c r="F2843" s="1248"/>
      <c r="G2843" s="1271"/>
      <c r="H2843" s="1250"/>
      <c r="I2843" s="1251"/>
      <c r="J2843" s="1271"/>
      <c r="K2843" s="1271"/>
      <c r="L2843" s="1254"/>
      <c r="M2843" s="1244"/>
      <c r="N2843" s="1275"/>
      <c r="O2843" s="1275"/>
      <c r="P2843" s="1244"/>
      <c r="Q2843" s="1244"/>
      <c r="R2843" s="1244"/>
      <c r="S2843" s="1265"/>
      <c r="T2843" s="1244"/>
      <c r="U2843" s="1244"/>
    </row>
    <row r="2844">
      <c r="A2844" s="1235"/>
      <c r="B2844" s="1235"/>
      <c r="C2844" s="1246"/>
      <c r="D2844" s="1274"/>
      <c r="E2844" s="1248"/>
      <c r="F2844" s="1248"/>
      <c r="G2844" s="1271"/>
      <c r="H2844" s="1250"/>
      <c r="I2844" s="1251"/>
      <c r="J2844" s="1271"/>
      <c r="K2844" s="1271"/>
      <c r="L2844" s="1254"/>
      <c r="M2844" s="1244"/>
      <c r="N2844" s="1275"/>
      <c r="O2844" s="1275"/>
      <c r="P2844" s="1244"/>
      <c r="Q2844" s="1244"/>
      <c r="R2844" s="1244"/>
      <c r="S2844" s="1265"/>
      <c r="T2844" s="1244"/>
      <c r="U2844" s="1244"/>
    </row>
    <row r="2845">
      <c r="A2845" s="1235"/>
      <c r="B2845" s="1235"/>
      <c r="C2845" s="1246"/>
      <c r="D2845" s="1274"/>
      <c r="E2845" s="1248"/>
      <c r="F2845" s="1248"/>
      <c r="G2845" s="1271"/>
      <c r="H2845" s="1250"/>
      <c r="I2845" s="1251"/>
      <c r="J2845" s="1271"/>
      <c r="K2845" s="1271"/>
      <c r="L2845" s="1254"/>
      <c r="M2845" s="1244"/>
      <c r="N2845" s="1275"/>
      <c r="O2845" s="1275"/>
      <c r="P2845" s="1244"/>
      <c r="Q2845" s="1244"/>
      <c r="R2845" s="1244"/>
      <c r="S2845" s="1265"/>
      <c r="T2845" s="1244"/>
      <c r="U2845" s="1244"/>
    </row>
    <row r="2846">
      <c r="A2846" s="1235"/>
      <c r="B2846" s="1235"/>
      <c r="C2846" s="1246"/>
      <c r="D2846" s="1274"/>
      <c r="E2846" s="1248"/>
      <c r="F2846" s="1248"/>
      <c r="G2846" s="1271"/>
      <c r="H2846" s="1250"/>
      <c r="I2846" s="1251"/>
      <c r="J2846" s="1271"/>
      <c r="K2846" s="1271"/>
      <c r="L2846" s="1254"/>
      <c r="M2846" s="1244"/>
      <c r="N2846" s="1275"/>
      <c r="O2846" s="1275"/>
      <c r="P2846" s="1244"/>
      <c r="Q2846" s="1244"/>
      <c r="R2846" s="1244"/>
      <c r="S2846" s="1265"/>
      <c r="T2846" s="1244"/>
      <c r="U2846" s="1244"/>
    </row>
    <row r="2847">
      <c r="A2847" s="1235"/>
      <c r="B2847" s="1235"/>
      <c r="C2847" s="1246"/>
      <c r="D2847" s="1274"/>
      <c r="E2847" s="1248"/>
      <c r="F2847" s="1248"/>
      <c r="G2847" s="1271"/>
      <c r="H2847" s="1250"/>
      <c r="I2847" s="1251"/>
      <c r="J2847" s="1271"/>
      <c r="K2847" s="1271"/>
      <c r="L2847" s="1254"/>
      <c r="M2847" s="1244"/>
      <c r="N2847" s="1275"/>
      <c r="O2847" s="1275"/>
      <c r="P2847" s="1244"/>
      <c r="Q2847" s="1244"/>
      <c r="R2847" s="1244"/>
      <c r="S2847" s="1265"/>
      <c r="T2847" s="1244"/>
      <c r="U2847" s="1244"/>
    </row>
    <row r="2848">
      <c r="A2848" s="1235"/>
      <c r="B2848" s="1235"/>
      <c r="C2848" s="1246"/>
      <c r="D2848" s="1274"/>
      <c r="E2848" s="1248"/>
      <c r="F2848" s="1248"/>
      <c r="G2848" s="1271"/>
      <c r="H2848" s="1250"/>
      <c r="I2848" s="1251"/>
      <c r="J2848" s="1271"/>
      <c r="K2848" s="1271"/>
      <c r="L2848" s="1254"/>
      <c r="M2848" s="1244"/>
      <c r="N2848" s="1275"/>
      <c r="O2848" s="1275"/>
      <c r="P2848" s="1244"/>
      <c r="Q2848" s="1244"/>
      <c r="R2848" s="1244"/>
      <c r="S2848" s="1265"/>
      <c r="T2848" s="1244"/>
      <c r="U2848" s="1244"/>
    </row>
    <row r="2849">
      <c r="A2849" s="1235"/>
      <c r="B2849" s="1235"/>
      <c r="C2849" s="1246"/>
      <c r="D2849" s="1274"/>
      <c r="E2849" s="1248"/>
      <c r="F2849" s="1248"/>
      <c r="G2849" s="1271"/>
      <c r="H2849" s="1250"/>
      <c r="I2849" s="1251"/>
      <c r="J2849" s="1271"/>
      <c r="K2849" s="1271"/>
      <c r="L2849" s="1254"/>
      <c r="M2849" s="1244"/>
      <c r="N2849" s="1275"/>
      <c r="O2849" s="1275"/>
      <c r="P2849" s="1244"/>
      <c r="Q2849" s="1244"/>
      <c r="R2849" s="1244"/>
      <c r="S2849" s="1265"/>
      <c r="T2849" s="1244"/>
      <c r="U2849" s="1244"/>
    </row>
    <row r="2850">
      <c r="A2850" s="1235"/>
      <c r="B2850" s="1235"/>
      <c r="C2850" s="1246"/>
      <c r="D2850" s="1274"/>
      <c r="E2850" s="1248"/>
      <c r="F2850" s="1248"/>
      <c r="G2850" s="1271"/>
      <c r="H2850" s="1250"/>
      <c r="I2850" s="1251"/>
      <c r="J2850" s="1271"/>
      <c r="K2850" s="1271"/>
      <c r="L2850" s="1254"/>
      <c r="M2850" s="1244"/>
      <c r="N2850" s="1275"/>
      <c r="O2850" s="1275"/>
      <c r="P2850" s="1244"/>
      <c r="Q2850" s="1244"/>
      <c r="R2850" s="1244"/>
      <c r="S2850" s="1265"/>
      <c r="T2850" s="1244"/>
      <c r="U2850" s="1244"/>
    </row>
    <row r="2851">
      <c r="A2851" s="1235"/>
      <c r="B2851" s="1235"/>
      <c r="C2851" s="1246"/>
      <c r="D2851" s="1274"/>
      <c r="E2851" s="1248"/>
      <c r="F2851" s="1248"/>
      <c r="G2851" s="1271"/>
      <c r="H2851" s="1250"/>
      <c r="I2851" s="1251"/>
      <c r="J2851" s="1271"/>
      <c r="K2851" s="1271"/>
      <c r="L2851" s="1254"/>
      <c r="M2851" s="1244"/>
      <c r="N2851" s="1275"/>
      <c r="O2851" s="1275"/>
      <c r="P2851" s="1244"/>
      <c r="Q2851" s="1244"/>
      <c r="R2851" s="1244"/>
      <c r="S2851" s="1265"/>
      <c r="T2851" s="1244"/>
      <c r="U2851" s="1244"/>
    </row>
    <row r="2852">
      <c r="A2852" s="1235"/>
      <c r="B2852" s="1235"/>
      <c r="C2852" s="1246"/>
      <c r="D2852" s="1274"/>
      <c r="E2852" s="1248"/>
      <c r="F2852" s="1248"/>
      <c r="G2852" s="1271"/>
      <c r="H2852" s="1250"/>
      <c r="I2852" s="1251"/>
      <c r="J2852" s="1271"/>
      <c r="K2852" s="1271"/>
      <c r="L2852" s="1254"/>
      <c r="M2852" s="1244"/>
      <c r="N2852" s="1275"/>
      <c r="O2852" s="1275"/>
      <c r="P2852" s="1244"/>
      <c r="Q2852" s="1244"/>
      <c r="R2852" s="1244"/>
      <c r="S2852" s="1265"/>
      <c r="T2852" s="1244"/>
      <c r="U2852" s="1244"/>
    </row>
    <row r="2853">
      <c r="A2853" s="1235"/>
      <c r="B2853" s="1235"/>
      <c r="C2853" s="1246"/>
      <c r="D2853" s="1274"/>
      <c r="E2853" s="1248"/>
      <c r="F2853" s="1248"/>
      <c r="G2853" s="1271"/>
      <c r="H2853" s="1250"/>
      <c r="I2853" s="1251"/>
      <c r="J2853" s="1271"/>
      <c r="K2853" s="1271"/>
      <c r="L2853" s="1254"/>
      <c r="M2853" s="1244"/>
      <c r="N2853" s="1275"/>
      <c r="O2853" s="1275"/>
      <c r="P2853" s="1244"/>
      <c r="Q2853" s="1244"/>
      <c r="R2853" s="1244"/>
      <c r="S2853" s="1265"/>
      <c r="T2853" s="1244"/>
      <c r="U2853" s="1244"/>
    </row>
    <row r="2854">
      <c r="A2854" s="1235"/>
      <c r="B2854" s="1235"/>
      <c r="C2854" s="1246"/>
      <c r="D2854" s="1274"/>
      <c r="E2854" s="1248"/>
      <c r="F2854" s="1248"/>
      <c r="G2854" s="1271"/>
      <c r="H2854" s="1250"/>
      <c r="I2854" s="1251"/>
      <c r="J2854" s="1271"/>
      <c r="K2854" s="1271"/>
      <c r="L2854" s="1254"/>
      <c r="M2854" s="1244"/>
      <c r="N2854" s="1275"/>
      <c r="O2854" s="1275"/>
      <c r="P2854" s="1244"/>
      <c r="Q2854" s="1244"/>
      <c r="R2854" s="1244"/>
      <c r="S2854" s="1265"/>
      <c r="T2854" s="1244"/>
      <c r="U2854" s="1244"/>
    </row>
    <row r="2855">
      <c r="A2855" s="1235"/>
      <c r="B2855" s="1235"/>
      <c r="C2855" s="1246"/>
      <c r="D2855" s="1274"/>
      <c r="E2855" s="1248"/>
      <c r="F2855" s="1248"/>
      <c r="G2855" s="1271"/>
      <c r="H2855" s="1250"/>
      <c r="I2855" s="1251"/>
      <c r="J2855" s="1271"/>
      <c r="K2855" s="1271"/>
      <c r="L2855" s="1254"/>
      <c r="M2855" s="1244"/>
      <c r="N2855" s="1275"/>
      <c r="O2855" s="1275"/>
      <c r="P2855" s="1244"/>
      <c r="Q2855" s="1244"/>
      <c r="R2855" s="1244"/>
      <c r="S2855" s="1265"/>
      <c r="T2855" s="1244"/>
      <c r="U2855" s="1244"/>
    </row>
    <row r="2856">
      <c r="A2856" s="1235"/>
      <c r="B2856" s="1235"/>
      <c r="C2856" s="1246"/>
      <c r="D2856" s="1274"/>
      <c r="E2856" s="1248"/>
      <c r="F2856" s="1248"/>
      <c r="G2856" s="1271"/>
      <c r="H2856" s="1250"/>
      <c r="I2856" s="1251"/>
      <c r="J2856" s="1271"/>
      <c r="K2856" s="1271"/>
      <c r="L2856" s="1254"/>
      <c r="M2856" s="1244"/>
      <c r="N2856" s="1275"/>
      <c r="O2856" s="1275"/>
      <c r="P2856" s="1244"/>
      <c r="Q2856" s="1244"/>
      <c r="R2856" s="1244"/>
      <c r="S2856" s="1265"/>
      <c r="T2856" s="1244"/>
      <c r="U2856" s="1244"/>
    </row>
    <row r="2857">
      <c r="A2857" s="1235"/>
      <c r="B2857" s="1235"/>
      <c r="C2857" s="1246"/>
      <c r="D2857" s="1274"/>
      <c r="E2857" s="1248"/>
      <c r="F2857" s="1248"/>
      <c r="G2857" s="1271"/>
      <c r="H2857" s="1250"/>
      <c r="I2857" s="1251"/>
      <c r="J2857" s="1271"/>
      <c r="K2857" s="1271"/>
      <c r="L2857" s="1254"/>
      <c r="M2857" s="1244"/>
      <c r="N2857" s="1275"/>
      <c r="O2857" s="1275"/>
      <c r="P2857" s="1244"/>
      <c r="Q2857" s="1244"/>
      <c r="R2857" s="1244"/>
      <c r="S2857" s="1265"/>
      <c r="T2857" s="1244"/>
      <c r="U2857" s="1244"/>
    </row>
    <row r="2858">
      <c r="A2858" s="1235"/>
      <c r="B2858" s="1235"/>
      <c r="C2858" s="1246"/>
      <c r="D2858" s="1274"/>
      <c r="E2858" s="1248"/>
      <c r="F2858" s="1248"/>
      <c r="G2858" s="1271"/>
      <c r="H2858" s="1250"/>
      <c r="I2858" s="1251"/>
      <c r="J2858" s="1271"/>
      <c r="K2858" s="1271"/>
      <c r="L2858" s="1254"/>
      <c r="M2858" s="1244"/>
      <c r="N2858" s="1275"/>
      <c r="O2858" s="1275"/>
      <c r="P2858" s="1244"/>
      <c r="Q2858" s="1244"/>
      <c r="R2858" s="1244"/>
      <c r="S2858" s="1265"/>
      <c r="T2858" s="1244"/>
      <c r="U2858" s="1244"/>
    </row>
    <row r="2859">
      <c r="A2859" s="1235"/>
      <c r="B2859" s="1235"/>
      <c r="C2859" s="1246"/>
      <c r="D2859" s="1274"/>
      <c r="E2859" s="1248"/>
      <c r="F2859" s="1248"/>
      <c r="G2859" s="1271"/>
      <c r="H2859" s="1250"/>
      <c r="I2859" s="1251"/>
      <c r="J2859" s="1271"/>
      <c r="K2859" s="1271"/>
      <c r="L2859" s="1254"/>
      <c r="M2859" s="1244"/>
      <c r="N2859" s="1275"/>
      <c r="O2859" s="1275"/>
      <c r="P2859" s="1244"/>
      <c r="Q2859" s="1244"/>
      <c r="R2859" s="1244"/>
      <c r="S2859" s="1265"/>
      <c r="T2859" s="1244"/>
      <c r="U2859" s="1244"/>
    </row>
    <row r="2860">
      <c r="A2860" s="1235"/>
      <c r="B2860" s="1235"/>
      <c r="C2860" s="1246"/>
      <c r="D2860" s="1274"/>
      <c r="E2860" s="1248"/>
      <c r="F2860" s="1248"/>
      <c r="G2860" s="1271"/>
      <c r="H2860" s="1250"/>
      <c r="I2860" s="1251"/>
      <c r="J2860" s="1271"/>
      <c r="K2860" s="1271"/>
      <c r="L2860" s="1254"/>
      <c r="M2860" s="1244"/>
      <c r="N2860" s="1275"/>
      <c r="O2860" s="1275"/>
      <c r="P2860" s="1244"/>
      <c r="Q2860" s="1244"/>
      <c r="R2860" s="1244"/>
      <c r="S2860" s="1265"/>
      <c r="T2860" s="1244"/>
      <c r="U2860" s="1244"/>
    </row>
    <row r="2861">
      <c r="A2861" s="1235"/>
      <c r="B2861" s="1235"/>
      <c r="C2861" s="1246"/>
      <c r="D2861" s="1274"/>
      <c r="E2861" s="1248"/>
      <c r="F2861" s="1248"/>
      <c r="G2861" s="1271"/>
      <c r="H2861" s="1250"/>
      <c r="I2861" s="1251"/>
      <c r="J2861" s="1271"/>
      <c r="K2861" s="1271"/>
      <c r="L2861" s="1254"/>
      <c r="M2861" s="1244"/>
      <c r="N2861" s="1275"/>
      <c r="O2861" s="1275"/>
      <c r="P2861" s="1244"/>
      <c r="Q2861" s="1244"/>
      <c r="R2861" s="1244"/>
      <c r="S2861" s="1265"/>
      <c r="T2861" s="1244"/>
      <c r="U2861" s="1244"/>
    </row>
    <row r="2862">
      <c r="A2862" s="1235"/>
      <c r="B2862" s="1235"/>
      <c r="C2862" s="1246"/>
      <c r="D2862" s="1274"/>
      <c r="E2862" s="1248"/>
      <c r="F2862" s="1248"/>
      <c r="G2862" s="1271"/>
      <c r="H2862" s="1250"/>
      <c r="I2862" s="1251"/>
      <c r="J2862" s="1271"/>
      <c r="K2862" s="1271"/>
      <c r="L2862" s="1254"/>
      <c r="M2862" s="1244"/>
      <c r="N2862" s="1275"/>
      <c r="O2862" s="1275"/>
      <c r="P2862" s="1244"/>
      <c r="Q2862" s="1244"/>
      <c r="R2862" s="1244"/>
      <c r="S2862" s="1265"/>
      <c r="T2862" s="1244"/>
      <c r="U2862" s="1244"/>
    </row>
    <row r="2863">
      <c r="A2863" s="1235"/>
      <c r="B2863" s="1235"/>
      <c r="C2863" s="1246"/>
      <c r="D2863" s="1274"/>
      <c r="E2863" s="1248"/>
      <c r="F2863" s="1248"/>
      <c r="G2863" s="1271"/>
      <c r="H2863" s="1250"/>
      <c r="I2863" s="1251"/>
      <c r="J2863" s="1271"/>
      <c r="K2863" s="1271"/>
      <c r="L2863" s="1254"/>
      <c r="M2863" s="1244"/>
      <c r="N2863" s="1275"/>
      <c r="O2863" s="1275"/>
      <c r="P2863" s="1244"/>
      <c r="Q2863" s="1244"/>
      <c r="R2863" s="1244"/>
      <c r="S2863" s="1265"/>
      <c r="T2863" s="1244"/>
      <c r="U2863" s="1244"/>
    </row>
    <row r="2864">
      <c r="A2864" s="1235"/>
      <c r="B2864" s="1235"/>
      <c r="C2864" s="1246"/>
      <c r="D2864" s="1274"/>
      <c r="E2864" s="1248"/>
      <c r="F2864" s="1248"/>
      <c r="G2864" s="1271"/>
      <c r="H2864" s="1250"/>
      <c r="I2864" s="1251"/>
      <c r="J2864" s="1271"/>
      <c r="K2864" s="1271"/>
      <c r="L2864" s="1254"/>
      <c r="M2864" s="1244"/>
      <c r="N2864" s="1275"/>
      <c r="O2864" s="1275"/>
      <c r="P2864" s="1244"/>
      <c r="Q2864" s="1244"/>
      <c r="R2864" s="1244"/>
      <c r="S2864" s="1265"/>
      <c r="T2864" s="1244"/>
      <c r="U2864" s="1244"/>
    </row>
    <row r="2865">
      <c r="A2865" s="1235"/>
      <c r="B2865" s="1235"/>
      <c r="C2865" s="1246"/>
      <c r="D2865" s="1274"/>
      <c r="E2865" s="1248"/>
      <c r="F2865" s="1248"/>
      <c r="G2865" s="1271"/>
      <c r="H2865" s="1250"/>
      <c r="I2865" s="1251"/>
      <c r="J2865" s="1271"/>
      <c r="K2865" s="1271"/>
      <c r="L2865" s="1254"/>
      <c r="M2865" s="1244"/>
      <c r="N2865" s="1275"/>
      <c r="O2865" s="1275"/>
      <c r="P2865" s="1244"/>
      <c r="Q2865" s="1244"/>
      <c r="R2865" s="1244"/>
      <c r="S2865" s="1265"/>
      <c r="T2865" s="1244"/>
      <c r="U2865" s="1244"/>
    </row>
    <row r="2866">
      <c r="A2866" s="1235"/>
      <c r="B2866" s="1235"/>
      <c r="C2866" s="1246"/>
      <c r="D2866" s="1274"/>
      <c r="E2866" s="1248"/>
      <c r="F2866" s="1248"/>
      <c r="G2866" s="1271"/>
      <c r="H2866" s="1250"/>
      <c r="I2866" s="1251"/>
      <c r="J2866" s="1271"/>
      <c r="K2866" s="1271"/>
      <c r="L2866" s="1254"/>
      <c r="M2866" s="1244"/>
      <c r="N2866" s="1275"/>
      <c r="O2866" s="1275"/>
      <c r="P2866" s="1244"/>
      <c r="Q2866" s="1244"/>
      <c r="R2866" s="1244"/>
      <c r="S2866" s="1265"/>
      <c r="T2866" s="1244"/>
      <c r="U2866" s="1244"/>
    </row>
    <row r="2867">
      <c r="A2867" s="1235"/>
      <c r="B2867" s="1235"/>
      <c r="C2867" s="1246"/>
      <c r="D2867" s="1274"/>
      <c r="E2867" s="1248"/>
      <c r="F2867" s="1248"/>
      <c r="G2867" s="1271"/>
      <c r="H2867" s="1250"/>
      <c r="I2867" s="1251"/>
      <c r="J2867" s="1271"/>
      <c r="K2867" s="1271"/>
      <c r="L2867" s="1254"/>
      <c r="M2867" s="1244"/>
      <c r="N2867" s="1275"/>
      <c r="O2867" s="1275"/>
      <c r="P2867" s="1244"/>
      <c r="Q2867" s="1244"/>
      <c r="R2867" s="1244"/>
      <c r="S2867" s="1265"/>
      <c r="T2867" s="1244"/>
      <c r="U2867" s="1244"/>
    </row>
    <row r="2868">
      <c r="A2868" s="1235"/>
      <c r="B2868" s="1235"/>
      <c r="C2868" s="1246"/>
      <c r="D2868" s="1274"/>
      <c r="E2868" s="1248"/>
      <c r="F2868" s="1248"/>
      <c r="G2868" s="1271"/>
      <c r="H2868" s="1250"/>
      <c r="I2868" s="1251"/>
      <c r="J2868" s="1271"/>
      <c r="K2868" s="1271"/>
      <c r="L2868" s="1254"/>
      <c r="M2868" s="1244"/>
      <c r="N2868" s="1275"/>
      <c r="O2868" s="1275"/>
      <c r="P2868" s="1244"/>
      <c r="Q2868" s="1244"/>
      <c r="R2868" s="1244"/>
      <c r="S2868" s="1265"/>
      <c r="T2868" s="1244"/>
      <c r="U2868" s="1244"/>
    </row>
    <row r="2869">
      <c r="A2869" s="1235"/>
      <c r="B2869" s="1235"/>
      <c r="C2869" s="1246"/>
      <c r="D2869" s="1274"/>
      <c r="E2869" s="1248"/>
      <c r="F2869" s="1248"/>
      <c r="G2869" s="1271"/>
      <c r="H2869" s="1250"/>
      <c r="I2869" s="1251"/>
      <c r="J2869" s="1271"/>
      <c r="K2869" s="1271"/>
      <c r="L2869" s="1254"/>
      <c r="M2869" s="1244"/>
      <c r="N2869" s="1275"/>
      <c r="O2869" s="1275"/>
      <c r="P2869" s="1244"/>
      <c r="Q2869" s="1244"/>
      <c r="R2869" s="1244"/>
      <c r="S2869" s="1265"/>
      <c r="T2869" s="1244"/>
      <c r="U2869" s="1244"/>
    </row>
    <row r="2870">
      <c r="A2870" s="1235"/>
      <c r="B2870" s="1235"/>
      <c r="C2870" s="1246"/>
      <c r="D2870" s="1274"/>
      <c r="E2870" s="1248"/>
      <c r="F2870" s="1248"/>
      <c r="G2870" s="1271"/>
      <c r="H2870" s="1250"/>
      <c r="I2870" s="1251"/>
      <c r="J2870" s="1271"/>
      <c r="K2870" s="1271"/>
      <c r="L2870" s="1254"/>
      <c r="M2870" s="1244"/>
      <c r="N2870" s="1275"/>
      <c r="O2870" s="1275"/>
      <c r="P2870" s="1244"/>
      <c r="Q2870" s="1244"/>
      <c r="R2870" s="1244"/>
      <c r="S2870" s="1265"/>
      <c r="T2870" s="1244"/>
      <c r="U2870" s="1244"/>
    </row>
    <row r="2871">
      <c r="A2871" s="1235"/>
      <c r="B2871" s="1235"/>
      <c r="C2871" s="1246"/>
      <c r="D2871" s="1274"/>
      <c r="E2871" s="1248"/>
      <c r="F2871" s="1248"/>
      <c r="G2871" s="1271"/>
      <c r="H2871" s="1250"/>
      <c r="I2871" s="1251"/>
      <c r="J2871" s="1271"/>
      <c r="K2871" s="1271"/>
      <c r="L2871" s="1254"/>
      <c r="M2871" s="1244"/>
      <c r="N2871" s="1275"/>
      <c r="O2871" s="1275"/>
      <c r="P2871" s="1244"/>
      <c r="Q2871" s="1244"/>
      <c r="R2871" s="1244"/>
      <c r="S2871" s="1265"/>
      <c r="T2871" s="1244"/>
      <c r="U2871" s="1244"/>
    </row>
    <row r="2872">
      <c r="A2872" s="1235"/>
      <c r="B2872" s="1235"/>
      <c r="C2872" s="1246"/>
      <c r="D2872" s="1274"/>
      <c r="E2872" s="1248"/>
      <c r="F2872" s="1248"/>
      <c r="G2872" s="1271"/>
      <c r="H2872" s="1250"/>
      <c r="I2872" s="1251"/>
      <c r="J2872" s="1271"/>
      <c r="K2872" s="1271"/>
      <c r="L2872" s="1254"/>
      <c r="M2872" s="1244"/>
      <c r="N2872" s="1275"/>
      <c r="O2872" s="1275"/>
      <c r="P2872" s="1244"/>
      <c r="Q2872" s="1244"/>
      <c r="R2872" s="1244"/>
      <c r="S2872" s="1265"/>
      <c r="T2872" s="1244"/>
      <c r="U2872" s="1244"/>
    </row>
    <row r="2873">
      <c r="A2873" s="1235"/>
      <c r="B2873" s="1235"/>
      <c r="C2873" s="1246"/>
      <c r="D2873" s="1274"/>
      <c r="E2873" s="1248"/>
      <c r="F2873" s="1248"/>
      <c r="G2873" s="1271"/>
      <c r="H2873" s="1250"/>
      <c r="I2873" s="1251"/>
      <c r="J2873" s="1271"/>
      <c r="K2873" s="1271"/>
      <c r="L2873" s="1254"/>
      <c r="M2873" s="1244"/>
      <c r="N2873" s="1275"/>
      <c r="O2873" s="1275"/>
      <c r="P2873" s="1244"/>
      <c r="Q2873" s="1244"/>
      <c r="R2873" s="1244"/>
      <c r="S2873" s="1265"/>
      <c r="T2873" s="1244"/>
      <c r="U2873" s="1244"/>
    </row>
    <row r="2874">
      <c r="A2874" s="1235"/>
      <c r="B2874" s="1235"/>
      <c r="C2874" s="1246"/>
      <c r="D2874" s="1274"/>
      <c r="E2874" s="1248"/>
      <c r="F2874" s="1248"/>
      <c r="G2874" s="1271"/>
      <c r="H2874" s="1250"/>
      <c r="I2874" s="1251"/>
      <c r="J2874" s="1271"/>
      <c r="K2874" s="1271"/>
      <c r="L2874" s="1254"/>
      <c r="M2874" s="1244"/>
      <c r="N2874" s="1275"/>
      <c r="O2874" s="1275"/>
      <c r="P2874" s="1244"/>
      <c r="Q2874" s="1244"/>
      <c r="R2874" s="1244"/>
      <c r="S2874" s="1265"/>
      <c r="T2874" s="1244"/>
      <c r="U2874" s="1244"/>
    </row>
    <row r="2875">
      <c r="A2875" s="1235"/>
      <c r="B2875" s="1235"/>
      <c r="C2875" s="1246"/>
      <c r="D2875" s="1274"/>
      <c r="E2875" s="1248"/>
      <c r="F2875" s="1248"/>
      <c r="G2875" s="1271"/>
      <c r="H2875" s="1250"/>
      <c r="I2875" s="1251"/>
      <c r="J2875" s="1271"/>
      <c r="K2875" s="1271"/>
      <c r="L2875" s="1254"/>
      <c r="M2875" s="1244"/>
      <c r="N2875" s="1275"/>
      <c r="O2875" s="1275"/>
      <c r="P2875" s="1244"/>
      <c r="Q2875" s="1244"/>
      <c r="R2875" s="1244"/>
      <c r="S2875" s="1265"/>
      <c r="T2875" s="1244"/>
      <c r="U2875" s="1244"/>
    </row>
    <row r="2876">
      <c r="A2876" s="1235"/>
      <c r="B2876" s="1235"/>
      <c r="C2876" s="1246"/>
      <c r="D2876" s="1274"/>
      <c r="E2876" s="1248"/>
      <c r="F2876" s="1248"/>
      <c r="G2876" s="1271"/>
      <c r="H2876" s="1250"/>
      <c r="I2876" s="1251"/>
      <c r="J2876" s="1271"/>
      <c r="K2876" s="1271"/>
      <c r="L2876" s="1254"/>
      <c r="M2876" s="1244"/>
      <c r="N2876" s="1275"/>
      <c r="O2876" s="1275"/>
      <c r="P2876" s="1244"/>
      <c r="Q2876" s="1244"/>
      <c r="R2876" s="1244"/>
      <c r="S2876" s="1265"/>
      <c r="T2876" s="1244"/>
      <c r="U2876" s="1244"/>
    </row>
    <row r="2877">
      <c r="A2877" s="1235"/>
      <c r="B2877" s="1235"/>
      <c r="C2877" s="1246"/>
      <c r="D2877" s="1274"/>
      <c r="E2877" s="1248"/>
      <c r="F2877" s="1248"/>
      <c r="G2877" s="1271"/>
      <c r="H2877" s="1250"/>
      <c r="I2877" s="1251"/>
      <c r="J2877" s="1271"/>
      <c r="K2877" s="1271"/>
      <c r="L2877" s="1254"/>
      <c r="M2877" s="1244"/>
      <c r="N2877" s="1275"/>
      <c r="O2877" s="1275"/>
      <c r="P2877" s="1244"/>
      <c r="Q2877" s="1244"/>
      <c r="R2877" s="1244"/>
      <c r="S2877" s="1265"/>
      <c r="T2877" s="1244"/>
      <c r="U2877" s="1244"/>
    </row>
    <row r="2878">
      <c r="A2878" s="1235"/>
      <c r="B2878" s="1235"/>
      <c r="C2878" s="1246"/>
      <c r="D2878" s="1274"/>
      <c r="E2878" s="1248"/>
      <c r="F2878" s="1248"/>
      <c r="G2878" s="1271"/>
      <c r="H2878" s="1250"/>
      <c r="I2878" s="1251"/>
      <c r="J2878" s="1271"/>
      <c r="K2878" s="1271"/>
      <c r="L2878" s="1254"/>
      <c r="M2878" s="1244"/>
      <c r="N2878" s="1275"/>
      <c r="O2878" s="1275"/>
      <c r="P2878" s="1244"/>
      <c r="Q2878" s="1244"/>
      <c r="R2878" s="1244"/>
      <c r="S2878" s="1265"/>
      <c r="T2878" s="1244"/>
      <c r="U2878" s="1244"/>
    </row>
    <row r="2879">
      <c r="A2879" s="1235"/>
      <c r="B2879" s="1235"/>
      <c r="C2879" s="1246"/>
      <c r="D2879" s="1274"/>
      <c r="E2879" s="1248"/>
      <c r="F2879" s="1248"/>
      <c r="G2879" s="1271"/>
      <c r="H2879" s="1250"/>
      <c r="I2879" s="1251"/>
      <c r="J2879" s="1271"/>
      <c r="K2879" s="1271"/>
      <c r="L2879" s="1254"/>
      <c r="M2879" s="1244"/>
      <c r="N2879" s="1275"/>
      <c r="O2879" s="1275"/>
      <c r="P2879" s="1244"/>
      <c r="Q2879" s="1244"/>
      <c r="R2879" s="1244"/>
      <c r="S2879" s="1265"/>
      <c r="T2879" s="1244"/>
      <c r="U2879" s="1244"/>
    </row>
    <row r="2880">
      <c r="A2880" s="1235"/>
      <c r="B2880" s="1235"/>
      <c r="C2880" s="1246"/>
      <c r="D2880" s="1274"/>
      <c r="E2880" s="1248"/>
      <c r="F2880" s="1248"/>
      <c r="G2880" s="1271"/>
      <c r="H2880" s="1250"/>
      <c r="I2880" s="1251"/>
      <c r="J2880" s="1271"/>
      <c r="K2880" s="1271"/>
      <c r="L2880" s="1254"/>
      <c r="M2880" s="1244"/>
      <c r="N2880" s="1275"/>
      <c r="O2880" s="1275"/>
      <c r="P2880" s="1244"/>
      <c r="Q2880" s="1244"/>
      <c r="R2880" s="1244"/>
      <c r="S2880" s="1265"/>
      <c r="T2880" s="1244"/>
      <c r="U2880" s="1244"/>
    </row>
    <row r="2881">
      <c r="A2881" s="1235"/>
      <c r="B2881" s="1235"/>
      <c r="C2881" s="1246"/>
      <c r="D2881" s="1274"/>
      <c r="E2881" s="1248"/>
      <c r="F2881" s="1248"/>
      <c r="G2881" s="1271"/>
      <c r="H2881" s="1250"/>
      <c r="I2881" s="1251"/>
      <c r="J2881" s="1271"/>
      <c r="K2881" s="1271"/>
      <c r="L2881" s="1254"/>
      <c r="M2881" s="1244"/>
      <c r="N2881" s="1275"/>
      <c r="O2881" s="1275"/>
      <c r="P2881" s="1244"/>
      <c r="Q2881" s="1244"/>
      <c r="R2881" s="1244"/>
      <c r="S2881" s="1265"/>
      <c r="T2881" s="1244"/>
      <c r="U2881" s="1244"/>
    </row>
    <row r="2882">
      <c r="A2882" s="1235"/>
      <c r="B2882" s="1235"/>
      <c r="C2882" s="1246"/>
      <c r="D2882" s="1274"/>
      <c r="E2882" s="1248"/>
      <c r="F2882" s="1248"/>
      <c r="G2882" s="1271"/>
      <c r="H2882" s="1250"/>
      <c r="I2882" s="1251"/>
      <c r="J2882" s="1271"/>
      <c r="K2882" s="1271"/>
      <c r="L2882" s="1254"/>
      <c r="M2882" s="1244"/>
      <c r="N2882" s="1275"/>
      <c r="O2882" s="1275"/>
      <c r="P2882" s="1244"/>
      <c r="Q2882" s="1244"/>
      <c r="R2882" s="1244"/>
      <c r="S2882" s="1265"/>
      <c r="T2882" s="1244"/>
      <c r="U2882" s="1244"/>
    </row>
    <row r="2883">
      <c r="A2883" s="1235"/>
      <c r="B2883" s="1235"/>
      <c r="C2883" s="1246"/>
      <c r="D2883" s="1274"/>
      <c r="E2883" s="1248"/>
      <c r="F2883" s="1248"/>
      <c r="G2883" s="1271"/>
      <c r="H2883" s="1250"/>
      <c r="I2883" s="1251"/>
      <c r="J2883" s="1271"/>
      <c r="K2883" s="1271"/>
      <c r="L2883" s="1254"/>
      <c r="M2883" s="1244"/>
      <c r="N2883" s="1275"/>
      <c r="O2883" s="1275"/>
      <c r="P2883" s="1244"/>
      <c r="Q2883" s="1244"/>
      <c r="R2883" s="1244"/>
      <c r="S2883" s="1265"/>
      <c r="T2883" s="1244"/>
      <c r="U2883" s="1244"/>
    </row>
    <row r="2884">
      <c r="A2884" s="1235"/>
      <c r="B2884" s="1235"/>
      <c r="C2884" s="1246"/>
      <c r="D2884" s="1274"/>
      <c r="E2884" s="1248"/>
      <c r="F2884" s="1248"/>
      <c r="G2884" s="1271"/>
      <c r="H2884" s="1250"/>
      <c r="I2884" s="1251"/>
      <c r="J2884" s="1271"/>
      <c r="K2884" s="1271"/>
      <c r="L2884" s="1254"/>
      <c r="M2884" s="1244"/>
      <c r="N2884" s="1275"/>
      <c r="O2884" s="1275"/>
      <c r="P2884" s="1244"/>
      <c r="Q2884" s="1244"/>
      <c r="R2884" s="1244"/>
      <c r="S2884" s="1265"/>
      <c r="T2884" s="1244"/>
      <c r="U2884" s="1244"/>
    </row>
    <row r="2885">
      <c r="A2885" s="1235"/>
      <c r="B2885" s="1235"/>
      <c r="C2885" s="1246"/>
      <c r="D2885" s="1274"/>
      <c r="E2885" s="1248"/>
      <c r="F2885" s="1248"/>
      <c r="G2885" s="1271"/>
      <c r="H2885" s="1250"/>
      <c r="I2885" s="1251"/>
      <c r="J2885" s="1271"/>
      <c r="K2885" s="1271"/>
      <c r="L2885" s="1254"/>
      <c r="M2885" s="1244"/>
      <c r="N2885" s="1275"/>
      <c r="O2885" s="1275"/>
      <c r="P2885" s="1244"/>
      <c r="Q2885" s="1244"/>
      <c r="R2885" s="1244"/>
      <c r="S2885" s="1265"/>
      <c r="T2885" s="1244"/>
      <c r="U2885" s="1244"/>
    </row>
    <row r="2886">
      <c r="A2886" s="1235"/>
      <c r="B2886" s="1235"/>
      <c r="C2886" s="1246"/>
      <c r="D2886" s="1274"/>
      <c r="E2886" s="1248"/>
      <c r="F2886" s="1248"/>
      <c r="G2886" s="1271"/>
      <c r="H2886" s="1250"/>
      <c r="I2886" s="1251"/>
      <c r="J2886" s="1271"/>
      <c r="K2886" s="1271"/>
      <c r="L2886" s="1254"/>
      <c r="M2886" s="1244"/>
      <c r="N2886" s="1275"/>
      <c r="O2886" s="1275"/>
      <c r="P2886" s="1244"/>
      <c r="Q2886" s="1244"/>
      <c r="R2886" s="1244"/>
      <c r="S2886" s="1265"/>
      <c r="T2886" s="1244"/>
      <c r="U2886" s="1244"/>
    </row>
    <row r="2887">
      <c r="A2887" s="1235"/>
      <c r="B2887" s="1235"/>
      <c r="C2887" s="1246"/>
      <c r="D2887" s="1274"/>
      <c r="E2887" s="1248"/>
      <c r="F2887" s="1248"/>
      <c r="G2887" s="1271"/>
      <c r="H2887" s="1250"/>
      <c r="I2887" s="1251"/>
      <c r="J2887" s="1271"/>
      <c r="K2887" s="1271"/>
      <c r="L2887" s="1254"/>
      <c r="M2887" s="1244"/>
      <c r="N2887" s="1275"/>
      <c r="O2887" s="1275"/>
      <c r="P2887" s="1244"/>
      <c r="Q2887" s="1244"/>
      <c r="R2887" s="1244"/>
      <c r="S2887" s="1265"/>
      <c r="T2887" s="1244"/>
      <c r="U2887" s="1244"/>
    </row>
    <row r="2888">
      <c r="A2888" s="1235"/>
      <c r="B2888" s="1235"/>
      <c r="C2888" s="1246"/>
      <c r="D2888" s="1274"/>
      <c r="E2888" s="1248"/>
      <c r="F2888" s="1248"/>
      <c r="G2888" s="1271"/>
      <c r="H2888" s="1250"/>
      <c r="I2888" s="1251"/>
      <c r="J2888" s="1271"/>
      <c r="K2888" s="1271"/>
      <c r="L2888" s="1254"/>
      <c r="M2888" s="1244"/>
      <c r="N2888" s="1275"/>
      <c r="O2888" s="1275"/>
      <c r="P2888" s="1244"/>
      <c r="Q2888" s="1244"/>
      <c r="R2888" s="1244"/>
      <c r="S2888" s="1265"/>
      <c r="T2888" s="1244"/>
      <c r="U2888" s="1244"/>
    </row>
    <row r="2889">
      <c r="A2889" s="1235"/>
      <c r="B2889" s="1235"/>
      <c r="C2889" s="1246"/>
      <c r="D2889" s="1274"/>
      <c r="E2889" s="1248"/>
      <c r="F2889" s="1248"/>
      <c r="G2889" s="1271"/>
      <c r="H2889" s="1250"/>
      <c r="I2889" s="1251"/>
      <c r="J2889" s="1271"/>
      <c r="K2889" s="1271"/>
      <c r="L2889" s="1254"/>
      <c r="M2889" s="1244"/>
      <c r="N2889" s="1275"/>
      <c r="O2889" s="1275"/>
      <c r="P2889" s="1244"/>
      <c r="Q2889" s="1244"/>
      <c r="R2889" s="1244"/>
      <c r="S2889" s="1265"/>
      <c r="T2889" s="1244"/>
      <c r="U2889" s="1244"/>
    </row>
    <row r="2890">
      <c r="A2890" s="1235"/>
      <c r="B2890" s="1235"/>
      <c r="C2890" s="1246"/>
      <c r="D2890" s="1274"/>
      <c r="E2890" s="1248"/>
      <c r="F2890" s="1248"/>
      <c r="G2890" s="1271"/>
      <c r="H2890" s="1250"/>
      <c r="I2890" s="1251"/>
      <c r="J2890" s="1271"/>
      <c r="K2890" s="1271"/>
      <c r="L2890" s="1254"/>
      <c r="M2890" s="1244"/>
      <c r="N2890" s="1275"/>
      <c r="O2890" s="1275"/>
      <c r="P2890" s="1244"/>
      <c r="Q2890" s="1244"/>
      <c r="R2890" s="1244"/>
      <c r="S2890" s="1265"/>
      <c r="T2890" s="1244"/>
      <c r="U2890" s="1244"/>
    </row>
    <row r="2891">
      <c r="A2891" s="1235"/>
      <c r="B2891" s="1235"/>
      <c r="C2891" s="1246"/>
      <c r="D2891" s="1274"/>
      <c r="E2891" s="1248"/>
      <c r="F2891" s="1248"/>
      <c r="G2891" s="1271"/>
      <c r="H2891" s="1250"/>
      <c r="I2891" s="1251"/>
      <c r="J2891" s="1271"/>
      <c r="K2891" s="1271"/>
      <c r="L2891" s="1254"/>
      <c r="M2891" s="1244"/>
      <c r="N2891" s="1275"/>
      <c r="O2891" s="1275"/>
      <c r="P2891" s="1244"/>
      <c r="Q2891" s="1244"/>
      <c r="R2891" s="1244"/>
      <c r="S2891" s="1265"/>
      <c r="T2891" s="1244"/>
      <c r="U2891" s="1244"/>
    </row>
    <row r="2892">
      <c r="A2892" s="1235"/>
      <c r="B2892" s="1235"/>
      <c r="C2892" s="1246"/>
      <c r="D2892" s="1274"/>
      <c r="E2892" s="1248"/>
      <c r="F2892" s="1248"/>
      <c r="G2892" s="1271"/>
      <c r="H2892" s="1250"/>
      <c r="I2892" s="1251"/>
      <c r="J2892" s="1271"/>
      <c r="K2892" s="1271"/>
      <c r="L2892" s="1254"/>
      <c r="M2892" s="1244"/>
      <c r="N2892" s="1275"/>
      <c r="O2892" s="1275"/>
      <c r="P2892" s="1244"/>
      <c r="Q2892" s="1244"/>
      <c r="R2892" s="1244"/>
      <c r="S2892" s="1265"/>
      <c r="T2892" s="1244"/>
      <c r="U2892" s="1244"/>
    </row>
    <row r="2893">
      <c r="A2893" s="1235"/>
      <c r="B2893" s="1235"/>
      <c r="C2893" s="1246"/>
      <c r="D2893" s="1274"/>
      <c r="E2893" s="1248"/>
      <c r="F2893" s="1248"/>
      <c r="G2893" s="1271"/>
      <c r="H2893" s="1250"/>
      <c r="I2893" s="1251"/>
      <c r="J2893" s="1271"/>
      <c r="K2893" s="1271"/>
      <c r="L2893" s="1254"/>
      <c r="M2893" s="1244"/>
      <c r="N2893" s="1275"/>
      <c r="O2893" s="1275"/>
      <c r="P2893" s="1244"/>
      <c r="Q2893" s="1244"/>
      <c r="R2893" s="1244"/>
      <c r="S2893" s="1265"/>
      <c r="T2893" s="1244"/>
      <c r="U2893" s="1244"/>
    </row>
    <row r="2894">
      <c r="A2894" s="1235"/>
      <c r="B2894" s="1235"/>
      <c r="C2894" s="1246"/>
      <c r="D2894" s="1274"/>
      <c r="E2894" s="1248"/>
      <c r="F2894" s="1248"/>
      <c r="G2894" s="1271"/>
      <c r="H2894" s="1250"/>
      <c r="I2894" s="1251"/>
      <c r="J2894" s="1271"/>
      <c r="K2894" s="1271"/>
      <c r="L2894" s="1254"/>
      <c r="M2894" s="1244"/>
      <c r="N2894" s="1275"/>
      <c r="O2894" s="1275"/>
      <c r="P2894" s="1244"/>
      <c r="Q2894" s="1244"/>
      <c r="R2894" s="1244"/>
      <c r="S2894" s="1265"/>
      <c r="T2894" s="1244"/>
      <c r="U2894" s="1244"/>
    </row>
    <row r="2895">
      <c r="A2895" s="1235"/>
      <c r="B2895" s="1235"/>
      <c r="C2895" s="1246"/>
      <c r="D2895" s="1274"/>
      <c r="E2895" s="1248"/>
      <c r="F2895" s="1248"/>
      <c r="G2895" s="1271"/>
      <c r="H2895" s="1250"/>
      <c r="I2895" s="1251"/>
      <c r="J2895" s="1271"/>
      <c r="K2895" s="1271"/>
      <c r="L2895" s="1254"/>
      <c r="M2895" s="1244"/>
      <c r="N2895" s="1275"/>
      <c r="O2895" s="1275"/>
      <c r="P2895" s="1244"/>
      <c r="Q2895" s="1244"/>
      <c r="R2895" s="1244"/>
      <c r="S2895" s="1265"/>
      <c r="T2895" s="1244"/>
      <c r="U2895" s="1244"/>
    </row>
    <row r="2896">
      <c r="A2896" s="1235"/>
      <c r="B2896" s="1235"/>
      <c r="C2896" s="1246"/>
      <c r="D2896" s="1274"/>
      <c r="E2896" s="1248"/>
      <c r="F2896" s="1248"/>
      <c r="G2896" s="1271"/>
      <c r="H2896" s="1250"/>
      <c r="I2896" s="1251"/>
      <c r="J2896" s="1271"/>
      <c r="K2896" s="1271"/>
      <c r="L2896" s="1254"/>
      <c r="M2896" s="1244"/>
      <c r="N2896" s="1275"/>
      <c r="O2896" s="1275"/>
      <c r="P2896" s="1244"/>
      <c r="Q2896" s="1244"/>
      <c r="R2896" s="1244"/>
      <c r="S2896" s="1265"/>
      <c r="T2896" s="1244"/>
      <c r="U2896" s="1244"/>
    </row>
    <row r="2897">
      <c r="A2897" s="1235"/>
      <c r="B2897" s="1235"/>
      <c r="C2897" s="1246"/>
      <c r="D2897" s="1274"/>
      <c r="E2897" s="1248"/>
      <c r="F2897" s="1248"/>
      <c r="G2897" s="1271"/>
      <c r="H2897" s="1250"/>
      <c r="I2897" s="1251"/>
      <c r="J2897" s="1271"/>
      <c r="K2897" s="1271"/>
      <c r="L2897" s="1254"/>
      <c r="M2897" s="1244"/>
      <c r="N2897" s="1275"/>
      <c r="O2897" s="1275"/>
      <c r="P2897" s="1244"/>
      <c r="Q2897" s="1244"/>
      <c r="R2897" s="1244"/>
      <c r="S2897" s="1265"/>
      <c r="T2897" s="1244"/>
      <c r="U2897" s="1244"/>
    </row>
    <row r="2898">
      <c r="A2898" s="1235"/>
      <c r="B2898" s="1235"/>
      <c r="C2898" s="1246"/>
      <c r="D2898" s="1274"/>
      <c r="E2898" s="1248"/>
      <c r="F2898" s="1248"/>
      <c r="G2898" s="1271"/>
      <c r="H2898" s="1250"/>
      <c r="I2898" s="1251"/>
      <c r="J2898" s="1271"/>
      <c r="K2898" s="1271"/>
      <c r="L2898" s="1254"/>
      <c r="M2898" s="1244"/>
      <c r="N2898" s="1275"/>
      <c r="O2898" s="1275"/>
      <c r="P2898" s="1244"/>
      <c r="Q2898" s="1244"/>
      <c r="R2898" s="1244"/>
      <c r="S2898" s="1265"/>
      <c r="T2898" s="1244"/>
      <c r="U2898" s="1244"/>
    </row>
    <row r="2899">
      <c r="A2899" s="1235"/>
      <c r="B2899" s="1235"/>
      <c r="C2899" s="1246"/>
      <c r="D2899" s="1274"/>
      <c r="E2899" s="1248"/>
      <c r="F2899" s="1248"/>
      <c r="G2899" s="1271"/>
      <c r="H2899" s="1250"/>
      <c r="I2899" s="1251"/>
      <c r="J2899" s="1271"/>
      <c r="K2899" s="1271"/>
      <c r="L2899" s="1254"/>
      <c r="M2899" s="1244"/>
      <c r="N2899" s="1275"/>
      <c r="O2899" s="1275"/>
      <c r="P2899" s="1244"/>
      <c r="Q2899" s="1244"/>
      <c r="R2899" s="1244"/>
      <c r="S2899" s="1265"/>
      <c r="T2899" s="1244"/>
      <c r="U2899" s="1244"/>
    </row>
    <row r="2900">
      <c r="A2900" s="1235"/>
      <c r="B2900" s="1235"/>
      <c r="C2900" s="1246"/>
      <c r="D2900" s="1274"/>
      <c r="E2900" s="1248"/>
      <c r="F2900" s="1248"/>
      <c r="G2900" s="1271"/>
      <c r="H2900" s="1250"/>
      <c r="I2900" s="1251"/>
      <c r="J2900" s="1271"/>
      <c r="K2900" s="1271"/>
      <c r="L2900" s="1254"/>
      <c r="M2900" s="1244"/>
      <c r="N2900" s="1275"/>
      <c r="O2900" s="1275"/>
      <c r="P2900" s="1244"/>
      <c r="Q2900" s="1244"/>
      <c r="R2900" s="1244"/>
      <c r="S2900" s="1265"/>
      <c r="T2900" s="1244"/>
      <c r="U2900" s="1244"/>
    </row>
    <row r="2901">
      <c r="A2901" s="1235"/>
      <c r="B2901" s="1235"/>
      <c r="C2901" s="1246"/>
      <c r="D2901" s="1274"/>
      <c r="E2901" s="1248"/>
      <c r="F2901" s="1248"/>
      <c r="G2901" s="1271"/>
      <c r="H2901" s="1250"/>
      <c r="I2901" s="1251"/>
      <c r="J2901" s="1271"/>
      <c r="K2901" s="1271"/>
      <c r="L2901" s="1254"/>
      <c r="M2901" s="1244"/>
      <c r="N2901" s="1275"/>
      <c r="O2901" s="1275"/>
      <c r="P2901" s="1244"/>
      <c r="Q2901" s="1244"/>
      <c r="R2901" s="1244"/>
      <c r="S2901" s="1265"/>
      <c r="T2901" s="1244"/>
      <c r="U2901" s="1244"/>
    </row>
    <row r="2902">
      <c r="A2902" s="1235"/>
      <c r="B2902" s="1235"/>
      <c r="C2902" s="1246"/>
      <c r="D2902" s="1274"/>
      <c r="E2902" s="1248"/>
      <c r="F2902" s="1248"/>
      <c r="G2902" s="1271"/>
      <c r="H2902" s="1250"/>
      <c r="I2902" s="1251"/>
      <c r="J2902" s="1271"/>
      <c r="K2902" s="1271"/>
      <c r="L2902" s="1254"/>
      <c r="M2902" s="1244"/>
      <c r="N2902" s="1275"/>
      <c r="O2902" s="1275"/>
      <c r="P2902" s="1244"/>
      <c r="Q2902" s="1244"/>
      <c r="R2902" s="1244"/>
      <c r="S2902" s="1265"/>
      <c r="T2902" s="1244"/>
      <c r="U2902" s="1244"/>
    </row>
    <row r="2903">
      <c r="A2903" s="1235"/>
      <c r="B2903" s="1235"/>
      <c r="C2903" s="1246"/>
      <c r="D2903" s="1274"/>
      <c r="E2903" s="1248"/>
      <c r="F2903" s="1248"/>
      <c r="G2903" s="1271"/>
      <c r="H2903" s="1250"/>
      <c r="I2903" s="1251"/>
      <c r="J2903" s="1271"/>
      <c r="K2903" s="1271"/>
      <c r="L2903" s="1254"/>
      <c r="M2903" s="1244"/>
      <c r="N2903" s="1275"/>
      <c r="O2903" s="1275"/>
      <c r="P2903" s="1244"/>
      <c r="Q2903" s="1244"/>
      <c r="R2903" s="1244"/>
      <c r="S2903" s="1265"/>
      <c r="T2903" s="1244"/>
      <c r="U2903" s="1244"/>
    </row>
    <row r="2904">
      <c r="A2904" s="1235"/>
      <c r="B2904" s="1235"/>
      <c r="C2904" s="1246"/>
      <c r="D2904" s="1274"/>
      <c r="E2904" s="1248"/>
      <c r="F2904" s="1248"/>
      <c r="G2904" s="1271"/>
      <c r="H2904" s="1250"/>
      <c r="I2904" s="1251"/>
      <c r="J2904" s="1271"/>
      <c r="K2904" s="1271"/>
      <c r="L2904" s="1254"/>
      <c r="M2904" s="1244"/>
      <c r="N2904" s="1275"/>
      <c r="O2904" s="1275"/>
      <c r="P2904" s="1244"/>
      <c r="Q2904" s="1244"/>
      <c r="R2904" s="1244"/>
      <c r="S2904" s="1265"/>
      <c r="T2904" s="1244"/>
      <c r="U2904" s="1244"/>
    </row>
    <row r="2905">
      <c r="A2905" s="1235"/>
      <c r="B2905" s="1235"/>
      <c r="C2905" s="1246"/>
      <c r="D2905" s="1274"/>
      <c r="E2905" s="1248"/>
      <c r="F2905" s="1248"/>
      <c r="G2905" s="1271"/>
      <c r="H2905" s="1250"/>
      <c r="I2905" s="1251"/>
      <c r="J2905" s="1271"/>
      <c r="K2905" s="1271"/>
      <c r="L2905" s="1254"/>
      <c r="M2905" s="1244"/>
      <c r="N2905" s="1275"/>
      <c r="O2905" s="1275"/>
      <c r="P2905" s="1244"/>
      <c r="Q2905" s="1244"/>
      <c r="R2905" s="1244"/>
      <c r="S2905" s="1265"/>
      <c r="T2905" s="1244"/>
      <c r="U2905" s="1244"/>
    </row>
    <row r="2906">
      <c r="A2906" s="1235"/>
      <c r="B2906" s="1235"/>
      <c r="C2906" s="1246"/>
      <c r="D2906" s="1274"/>
      <c r="E2906" s="1248"/>
      <c r="F2906" s="1248"/>
      <c r="G2906" s="1271"/>
      <c r="H2906" s="1250"/>
      <c r="I2906" s="1251"/>
      <c r="J2906" s="1271"/>
      <c r="K2906" s="1271"/>
      <c r="L2906" s="1254"/>
      <c r="M2906" s="1244"/>
      <c r="N2906" s="1275"/>
      <c r="O2906" s="1275"/>
      <c r="P2906" s="1244"/>
      <c r="Q2906" s="1244"/>
      <c r="R2906" s="1244"/>
      <c r="S2906" s="1265"/>
      <c r="T2906" s="1244"/>
      <c r="U2906" s="1244"/>
    </row>
    <row r="2907">
      <c r="A2907" s="1235"/>
      <c r="B2907" s="1235"/>
      <c r="C2907" s="1246"/>
      <c r="D2907" s="1274"/>
      <c r="E2907" s="1248"/>
      <c r="F2907" s="1248"/>
      <c r="G2907" s="1271"/>
      <c r="H2907" s="1250"/>
      <c r="I2907" s="1251"/>
      <c r="J2907" s="1271"/>
      <c r="K2907" s="1271"/>
      <c r="L2907" s="1254"/>
      <c r="M2907" s="1244"/>
      <c r="N2907" s="1275"/>
      <c r="O2907" s="1275"/>
      <c r="P2907" s="1244"/>
      <c r="Q2907" s="1244"/>
      <c r="R2907" s="1244"/>
      <c r="S2907" s="1265"/>
      <c r="T2907" s="1244"/>
      <c r="U2907" s="1244"/>
    </row>
    <row r="2908">
      <c r="A2908" s="1235"/>
      <c r="B2908" s="1235"/>
      <c r="C2908" s="1246"/>
      <c r="D2908" s="1274"/>
      <c r="E2908" s="1248"/>
      <c r="F2908" s="1248"/>
      <c r="G2908" s="1271"/>
      <c r="H2908" s="1250"/>
      <c r="I2908" s="1251"/>
      <c r="J2908" s="1271"/>
      <c r="K2908" s="1271"/>
      <c r="L2908" s="1254"/>
      <c r="M2908" s="1244"/>
      <c r="N2908" s="1275"/>
      <c r="O2908" s="1275"/>
      <c r="P2908" s="1244"/>
      <c r="Q2908" s="1244"/>
      <c r="R2908" s="1244"/>
      <c r="S2908" s="1265"/>
      <c r="T2908" s="1244"/>
      <c r="U2908" s="1244"/>
    </row>
    <row r="2909">
      <c r="A2909" s="1235"/>
      <c r="B2909" s="1235"/>
      <c r="C2909" s="1246"/>
      <c r="D2909" s="1274"/>
      <c r="E2909" s="1248"/>
      <c r="F2909" s="1248"/>
      <c r="G2909" s="1271"/>
      <c r="H2909" s="1250"/>
      <c r="I2909" s="1251"/>
      <c r="J2909" s="1271"/>
      <c r="K2909" s="1271"/>
      <c r="L2909" s="1254"/>
      <c r="M2909" s="1244"/>
      <c r="N2909" s="1275"/>
      <c r="O2909" s="1275"/>
      <c r="P2909" s="1244"/>
      <c r="Q2909" s="1244"/>
      <c r="R2909" s="1244"/>
      <c r="S2909" s="1265"/>
      <c r="T2909" s="1244"/>
      <c r="U2909" s="1244"/>
    </row>
    <row r="2910">
      <c r="A2910" s="1235"/>
      <c r="B2910" s="1235"/>
      <c r="C2910" s="1246"/>
      <c r="D2910" s="1274"/>
      <c r="E2910" s="1248"/>
      <c r="F2910" s="1248"/>
      <c r="G2910" s="1271"/>
      <c r="H2910" s="1250"/>
      <c r="I2910" s="1251"/>
      <c r="J2910" s="1271"/>
      <c r="K2910" s="1271"/>
      <c r="L2910" s="1254"/>
      <c r="M2910" s="1244"/>
      <c r="N2910" s="1275"/>
      <c r="O2910" s="1275"/>
      <c r="P2910" s="1244"/>
      <c r="Q2910" s="1244"/>
      <c r="R2910" s="1244"/>
      <c r="S2910" s="1265"/>
      <c r="T2910" s="1244"/>
      <c r="U2910" s="1244"/>
    </row>
    <row r="2911">
      <c r="A2911" s="1235"/>
      <c r="B2911" s="1235"/>
      <c r="C2911" s="1246"/>
      <c r="D2911" s="1274"/>
      <c r="E2911" s="1248"/>
      <c r="F2911" s="1248"/>
      <c r="G2911" s="1271"/>
      <c r="H2911" s="1250"/>
      <c r="I2911" s="1251"/>
      <c r="J2911" s="1271"/>
      <c r="K2911" s="1271"/>
      <c r="L2911" s="1254"/>
      <c r="M2911" s="1244"/>
      <c r="N2911" s="1275"/>
      <c r="O2911" s="1275"/>
      <c r="P2911" s="1244"/>
      <c r="Q2911" s="1244"/>
      <c r="R2911" s="1244"/>
      <c r="S2911" s="1265"/>
      <c r="T2911" s="1244"/>
      <c r="U2911" s="1244"/>
    </row>
    <row r="2912">
      <c r="A2912" s="1235"/>
      <c r="B2912" s="1235"/>
      <c r="C2912" s="1246"/>
      <c r="D2912" s="1274"/>
      <c r="E2912" s="1248"/>
      <c r="F2912" s="1248"/>
      <c r="G2912" s="1271"/>
      <c r="H2912" s="1250"/>
      <c r="I2912" s="1251"/>
      <c r="J2912" s="1271"/>
      <c r="K2912" s="1271"/>
      <c r="L2912" s="1254"/>
      <c r="M2912" s="1244"/>
      <c r="N2912" s="1275"/>
      <c r="O2912" s="1275"/>
      <c r="P2912" s="1244"/>
      <c r="Q2912" s="1244"/>
      <c r="R2912" s="1244"/>
      <c r="S2912" s="1265"/>
      <c r="T2912" s="1244"/>
      <c r="U2912" s="1244"/>
    </row>
    <row r="2913">
      <c r="A2913" s="1235"/>
      <c r="B2913" s="1235"/>
      <c r="C2913" s="1246"/>
      <c r="D2913" s="1274"/>
      <c r="E2913" s="1248"/>
      <c r="F2913" s="1248"/>
      <c r="G2913" s="1271"/>
      <c r="H2913" s="1250"/>
      <c r="I2913" s="1251"/>
      <c r="J2913" s="1271"/>
      <c r="K2913" s="1271"/>
      <c r="L2913" s="1254"/>
      <c r="M2913" s="1244"/>
      <c r="N2913" s="1275"/>
      <c r="O2913" s="1275"/>
      <c r="P2913" s="1244"/>
      <c r="Q2913" s="1244"/>
      <c r="R2913" s="1244"/>
      <c r="S2913" s="1265"/>
      <c r="T2913" s="1244"/>
      <c r="U2913" s="1244"/>
    </row>
    <row r="2914">
      <c r="A2914" s="1235"/>
      <c r="B2914" s="1235"/>
      <c r="C2914" s="1246"/>
      <c r="D2914" s="1274"/>
      <c r="E2914" s="1248"/>
      <c r="F2914" s="1248"/>
      <c r="G2914" s="1271"/>
      <c r="H2914" s="1250"/>
      <c r="I2914" s="1251"/>
      <c r="J2914" s="1271"/>
      <c r="K2914" s="1271"/>
      <c r="L2914" s="1254"/>
      <c r="M2914" s="1244"/>
      <c r="N2914" s="1275"/>
      <c r="O2914" s="1275"/>
      <c r="P2914" s="1244"/>
      <c r="Q2914" s="1244"/>
      <c r="R2914" s="1244"/>
      <c r="S2914" s="1265"/>
      <c r="T2914" s="1244"/>
      <c r="U2914" s="1244"/>
    </row>
    <row r="2915">
      <c r="A2915" s="1235"/>
      <c r="B2915" s="1235"/>
      <c r="C2915" s="1246"/>
      <c r="D2915" s="1274"/>
      <c r="E2915" s="1248"/>
      <c r="F2915" s="1248"/>
      <c r="G2915" s="1271"/>
      <c r="H2915" s="1250"/>
      <c r="I2915" s="1251"/>
      <c r="J2915" s="1271"/>
      <c r="K2915" s="1271"/>
      <c r="L2915" s="1254"/>
      <c r="M2915" s="1244"/>
      <c r="N2915" s="1275"/>
      <c r="O2915" s="1275"/>
      <c r="P2915" s="1244"/>
      <c r="Q2915" s="1244"/>
      <c r="R2915" s="1244"/>
      <c r="S2915" s="1265"/>
      <c r="T2915" s="1244"/>
      <c r="U2915" s="1244"/>
    </row>
    <row r="2916">
      <c r="A2916" s="1235"/>
      <c r="B2916" s="1235"/>
      <c r="C2916" s="1246"/>
      <c r="D2916" s="1274"/>
      <c r="E2916" s="1248"/>
      <c r="F2916" s="1248"/>
      <c r="G2916" s="1271"/>
      <c r="H2916" s="1250"/>
      <c r="I2916" s="1251"/>
      <c r="J2916" s="1271"/>
      <c r="K2916" s="1271"/>
      <c r="L2916" s="1254"/>
      <c r="M2916" s="1244"/>
      <c r="N2916" s="1275"/>
      <c r="O2916" s="1275"/>
      <c r="P2916" s="1244"/>
      <c r="Q2916" s="1244"/>
      <c r="R2916" s="1244"/>
      <c r="S2916" s="1265"/>
      <c r="T2916" s="1244"/>
      <c r="U2916" s="1244"/>
    </row>
    <row r="2917">
      <c r="A2917" s="1235"/>
      <c r="B2917" s="1235"/>
      <c r="C2917" s="1246"/>
      <c r="D2917" s="1274"/>
      <c r="E2917" s="1248"/>
      <c r="F2917" s="1248"/>
      <c r="G2917" s="1271"/>
      <c r="H2917" s="1250"/>
      <c r="I2917" s="1251"/>
      <c r="J2917" s="1271"/>
      <c r="K2917" s="1271"/>
      <c r="L2917" s="1254"/>
      <c r="M2917" s="1244"/>
      <c r="N2917" s="1275"/>
      <c r="O2917" s="1275"/>
      <c r="P2917" s="1244"/>
      <c r="Q2917" s="1244"/>
      <c r="R2917" s="1244"/>
      <c r="S2917" s="1265"/>
      <c r="T2917" s="1244"/>
      <c r="U2917" s="1244"/>
    </row>
    <row r="2918">
      <c r="A2918" s="1235"/>
      <c r="B2918" s="1235"/>
      <c r="C2918" s="1246"/>
      <c r="D2918" s="1274"/>
      <c r="E2918" s="1248"/>
      <c r="F2918" s="1248"/>
      <c r="G2918" s="1271"/>
      <c r="H2918" s="1250"/>
      <c r="I2918" s="1251"/>
      <c r="J2918" s="1271"/>
      <c r="K2918" s="1271"/>
      <c r="L2918" s="1254"/>
      <c r="M2918" s="1244"/>
      <c r="N2918" s="1275"/>
      <c r="O2918" s="1275"/>
      <c r="P2918" s="1244"/>
      <c r="Q2918" s="1244"/>
      <c r="R2918" s="1244"/>
      <c r="S2918" s="1265"/>
      <c r="T2918" s="1244"/>
      <c r="U2918" s="1244"/>
    </row>
    <row r="2919">
      <c r="A2919" s="1235"/>
      <c r="B2919" s="1235"/>
      <c r="C2919" s="1246"/>
      <c r="D2919" s="1274"/>
      <c r="E2919" s="1248"/>
      <c r="F2919" s="1248"/>
      <c r="G2919" s="1271"/>
      <c r="H2919" s="1250"/>
      <c r="I2919" s="1251"/>
      <c r="J2919" s="1271"/>
      <c r="K2919" s="1271"/>
      <c r="L2919" s="1254"/>
      <c r="M2919" s="1244"/>
      <c r="N2919" s="1275"/>
      <c r="O2919" s="1275"/>
      <c r="P2919" s="1244"/>
      <c r="Q2919" s="1244"/>
      <c r="R2919" s="1244"/>
      <c r="S2919" s="1265"/>
      <c r="T2919" s="1244"/>
      <c r="U2919" s="1244"/>
    </row>
    <row r="2920">
      <c r="A2920" s="1235"/>
      <c r="B2920" s="1235"/>
      <c r="C2920" s="1246"/>
      <c r="D2920" s="1274"/>
      <c r="E2920" s="1248"/>
      <c r="F2920" s="1248"/>
      <c r="G2920" s="1271"/>
      <c r="H2920" s="1250"/>
      <c r="I2920" s="1251"/>
      <c r="J2920" s="1271"/>
      <c r="K2920" s="1271"/>
      <c r="L2920" s="1254"/>
      <c r="M2920" s="1244"/>
      <c r="N2920" s="1275"/>
      <c r="O2920" s="1275"/>
      <c r="P2920" s="1244"/>
      <c r="Q2920" s="1244"/>
      <c r="R2920" s="1244"/>
      <c r="S2920" s="1265"/>
      <c r="T2920" s="1244"/>
      <c r="U2920" s="1244"/>
    </row>
    <row r="2921">
      <c r="A2921" s="1235"/>
      <c r="B2921" s="1235"/>
      <c r="C2921" s="1246"/>
      <c r="D2921" s="1274"/>
      <c r="E2921" s="1248"/>
      <c r="F2921" s="1248"/>
      <c r="G2921" s="1271"/>
      <c r="H2921" s="1250"/>
      <c r="I2921" s="1251"/>
      <c r="J2921" s="1271"/>
      <c r="K2921" s="1271"/>
      <c r="L2921" s="1254"/>
      <c r="M2921" s="1244"/>
      <c r="N2921" s="1275"/>
      <c r="O2921" s="1275"/>
      <c r="P2921" s="1244"/>
      <c r="Q2921" s="1244"/>
      <c r="R2921" s="1244"/>
      <c r="S2921" s="1265"/>
      <c r="T2921" s="1244"/>
      <c r="U2921" s="1244"/>
    </row>
    <row r="2922">
      <c r="A2922" s="1235"/>
      <c r="B2922" s="1235"/>
      <c r="C2922" s="1246"/>
      <c r="D2922" s="1274"/>
      <c r="E2922" s="1248"/>
      <c r="F2922" s="1248"/>
      <c r="G2922" s="1271"/>
      <c r="H2922" s="1250"/>
      <c r="I2922" s="1251"/>
      <c r="J2922" s="1271"/>
      <c r="K2922" s="1271"/>
      <c r="L2922" s="1254"/>
      <c r="M2922" s="1244"/>
      <c r="N2922" s="1275"/>
      <c r="O2922" s="1275"/>
      <c r="P2922" s="1244"/>
      <c r="Q2922" s="1244"/>
      <c r="R2922" s="1244"/>
      <c r="S2922" s="1265"/>
      <c r="T2922" s="1244"/>
      <c r="U2922" s="1244"/>
    </row>
    <row r="2923">
      <c r="A2923" s="1235"/>
      <c r="B2923" s="1235"/>
      <c r="C2923" s="1246"/>
      <c r="D2923" s="1274"/>
      <c r="E2923" s="1248"/>
      <c r="F2923" s="1248"/>
      <c r="G2923" s="1271"/>
      <c r="H2923" s="1250"/>
      <c r="I2923" s="1251"/>
      <c r="J2923" s="1271"/>
      <c r="K2923" s="1271"/>
      <c r="L2923" s="1254"/>
      <c r="M2923" s="1244"/>
      <c r="N2923" s="1275"/>
      <c r="O2923" s="1275"/>
      <c r="P2923" s="1244"/>
      <c r="Q2923" s="1244"/>
      <c r="R2923" s="1244"/>
      <c r="S2923" s="1265"/>
      <c r="T2923" s="1244"/>
      <c r="U2923" s="1244"/>
    </row>
    <row r="2924">
      <c r="A2924" s="1235"/>
      <c r="B2924" s="1235"/>
      <c r="C2924" s="1246"/>
      <c r="D2924" s="1274"/>
      <c r="E2924" s="1248"/>
      <c r="F2924" s="1248"/>
      <c r="G2924" s="1271"/>
      <c r="H2924" s="1250"/>
      <c r="I2924" s="1251"/>
      <c r="J2924" s="1271"/>
      <c r="K2924" s="1271"/>
      <c r="L2924" s="1254"/>
      <c r="M2924" s="1244"/>
      <c r="N2924" s="1275"/>
      <c r="O2924" s="1275"/>
      <c r="P2924" s="1244"/>
      <c r="Q2924" s="1244"/>
      <c r="R2924" s="1244"/>
      <c r="S2924" s="1265"/>
      <c r="T2924" s="1244"/>
      <c r="U2924" s="1244"/>
    </row>
    <row r="2925">
      <c r="A2925" s="1235"/>
      <c r="B2925" s="1235"/>
      <c r="C2925" s="1246"/>
      <c r="D2925" s="1274"/>
      <c r="E2925" s="1248"/>
      <c r="F2925" s="1248"/>
      <c r="G2925" s="1271"/>
      <c r="H2925" s="1250"/>
      <c r="I2925" s="1251"/>
      <c r="J2925" s="1271"/>
      <c r="K2925" s="1271"/>
      <c r="L2925" s="1254"/>
      <c r="M2925" s="1244"/>
      <c r="N2925" s="1275"/>
      <c r="O2925" s="1275"/>
      <c r="P2925" s="1244"/>
      <c r="Q2925" s="1244"/>
      <c r="R2925" s="1244"/>
      <c r="S2925" s="1265"/>
      <c r="T2925" s="1244"/>
      <c r="U2925" s="1244"/>
    </row>
    <row r="2926">
      <c r="A2926" s="1235"/>
      <c r="B2926" s="1235"/>
      <c r="C2926" s="1246"/>
      <c r="D2926" s="1274"/>
      <c r="E2926" s="1248"/>
      <c r="F2926" s="1248"/>
      <c r="G2926" s="1271"/>
      <c r="H2926" s="1250"/>
      <c r="I2926" s="1251"/>
      <c r="J2926" s="1271"/>
      <c r="K2926" s="1271"/>
      <c r="L2926" s="1254"/>
      <c r="M2926" s="1244"/>
      <c r="N2926" s="1275"/>
      <c r="O2926" s="1275"/>
      <c r="P2926" s="1244"/>
      <c r="Q2926" s="1244"/>
      <c r="R2926" s="1244"/>
      <c r="S2926" s="1265"/>
      <c r="T2926" s="1244"/>
      <c r="U2926" s="1244"/>
    </row>
    <row r="2927">
      <c r="A2927" s="1235"/>
      <c r="B2927" s="1235"/>
      <c r="C2927" s="1246"/>
      <c r="D2927" s="1274"/>
      <c r="E2927" s="1248"/>
      <c r="F2927" s="1248"/>
      <c r="G2927" s="1271"/>
      <c r="H2927" s="1250"/>
      <c r="I2927" s="1251"/>
      <c r="J2927" s="1271"/>
      <c r="K2927" s="1271"/>
      <c r="L2927" s="1254"/>
      <c r="M2927" s="1244"/>
      <c r="N2927" s="1275"/>
      <c r="O2927" s="1275"/>
      <c r="P2927" s="1244"/>
      <c r="Q2927" s="1244"/>
      <c r="R2927" s="1244"/>
      <c r="S2927" s="1265"/>
      <c r="T2927" s="1244"/>
      <c r="U2927" s="1244"/>
    </row>
    <row r="2928">
      <c r="A2928" s="1235"/>
      <c r="B2928" s="1235"/>
      <c r="C2928" s="1246"/>
      <c r="D2928" s="1274"/>
      <c r="E2928" s="1248"/>
      <c r="F2928" s="1248"/>
      <c r="G2928" s="1271"/>
      <c r="H2928" s="1250"/>
      <c r="I2928" s="1251"/>
      <c r="J2928" s="1271"/>
      <c r="K2928" s="1271"/>
      <c r="L2928" s="1254"/>
      <c r="M2928" s="1244"/>
      <c r="N2928" s="1275"/>
      <c r="O2928" s="1275"/>
      <c r="P2928" s="1244"/>
      <c r="Q2928" s="1244"/>
      <c r="R2928" s="1244"/>
      <c r="S2928" s="1265"/>
      <c r="T2928" s="1244"/>
      <c r="U2928" s="1244"/>
    </row>
    <row r="2929">
      <c r="A2929" s="1235"/>
      <c r="B2929" s="1235"/>
      <c r="C2929" s="1246"/>
      <c r="D2929" s="1274"/>
      <c r="E2929" s="1248"/>
      <c r="F2929" s="1248"/>
      <c r="G2929" s="1271"/>
      <c r="H2929" s="1250"/>
      <c r="I2929" s="1251"/>
      <c r="J2929" s="1271"/>
      <c r="K2929" s="1271"/>
      <c r="L2929" s="1254"/>
      <c r="M2929" s="1244"/>
      <c r="N2929" s="1275"/>
      <c r="O2929" s="1275"/>
      <c r="P2929" s="1244"/>
      <c r="Q2929" s="1244"/>
      <c r="R2929" s="1244"/>
      <c r="S2929" s="1265"/>
      <c r="T2929" s="1244"/>
      <c r="U2929" s="1244"/>
    </row>
    <row r="2930">
      <c r="A2930" s="1235"/>
      <c r="B2930" s="1235"/>
      <c r="C2930" s="1246"/>
      <c r="D2930" s="1274"/>
      <c r="E2930" s="1248"/>
      <c r="F2930" s="1248"/>
      <c r="G2930" s="1271"/>
      <c r="H2930" s="1250"/>
      <c r="I2930" s="1251"/>
      <c r="J2930" s="1271"/>
      <c r="K2930" s="1271"/>
      <c r="L2930" s="1254"/>
      <c r="M2930" s="1244"/>
      <c r="N2930" s="1275"/>
      <c r="O2930" s="1275"/>
      <c r="P2930" s="1244"/>
      <c r="Q2930" s="1244"/>
      <c r="R2930" s="1244"/>
      <c r="S2930" s="1265"/>
      <c r="T2930" s="1244"/>
      <c r="U2930" s="1244"/>
    </row>
    <row r="2931">
      <c r="A2931" s="1235"/>
      <c r="B2931" s="1235"/>
      <c r="C2931" s="1246"/>
      <c r="D2931" s="1274"/>
      <c r="E2931" s="1248"/>
      <c r="F2931" s="1248"/>
      <c r="G2931" s="1271"/>
      <c r="H2931" s="1250"/>
      <c r="I2931" s="1251"/>
      <c r="J2931" s="1271"/>
      <c r="K2931" s="1271"/>
      <c r="L2931" s="1254"/>
      <c r="M2931" s="1244"/>
      <c r="N2931" s="1275"/>
      <c r="O2931" s="1275"/>
      <c r="P2931" s="1244"/>
      <c r="Q2931" s="1244"/>
      <c r="R2931" s="1244"/>
      <c r="S2931" s="1265"/>
      <c r="T2931" s="1244"/>
      <c r="U2931" s="1244"/>
    </row>
    <row r="2932">
      <c r="A2932" s="1235"/>
      <c r="B2932" s="1235"/>
      <c r="C2932" s="1246"/>
      <c r="D2932" s="1274"/>
      <c r="E2932" s="1248"/>
      <c r="F2932" s="1248"/>
      <c r="G2932" s="1271"/>
      <c r="H2932" s="1250"/>
      <c r="I2932" s="1251"/>
      <c r="J2932" s="1271"/>
      <c r="K2932" s="1271"/>
      <c r="L2932" s="1254"/>
      <c r="M2932" s="1244"/>
      <c r="N2932" s="1275"/>
      <c r="O2932" s="1275"/>
      <c r="P2932" s="1244"/>
      <c r="Q2932" s="1244"/>
      <c r="R2932" s="1244"/>
      <c r="S2932" s="1265"/>
      <c r="T2932" s="1244"/>
      <c r="U2932" s="1244"/>
    </row>
    <row r="2933">
      <c r="A2933" s="1235"/>
      <c r="B2933" s="1235"/>
      <c r="C2933" s="1246"/>
      <c r="D2933" s="1274"/>
      <c r="E2933" s="1248"/>
      <c r="F2933" s="1248"/>
      <c r="G2933" s="1271"/>
      <c r="H2933" s="1250"/>
      <c r="I2933" s="1251"/>
      <c r="J2933" s="1271"/>
      <c r="K2933" s="1271"/>
      <c r="L2933" s="1254"/>
      <c r="M2933" s="1244"/>
      <c r="N2933" s="1275"/>
      <c r="O2933" s="1275"/>
      <c r="P2933" s="1244"/>
      <c r="Q2933" s="1244"/>
      <c r="R2933" s="1244"/>
      <c r="S2933" s="1265"/>
      <c r="T2933" s="1244"/>
      <c r="U2933" s="1244"/>
    </row>
    <row r="2934">
      <c r="A2934" s="1235"/>
      <c r="B2934" s="1235"/>
      <c r="C2934" s="1246"/>
      <c r="D2934" s="1274"/>
      <c r="E2934" s="1248"/>
      <c r="F2934" s="1248"/>
      <c r="G2934" s="1271"/>
      <c r="H2934" s="1250"/>
      <c r="I2934" s="1251"/>
      <c r="J2934" s="1271"/>
      <c r="K2934" s="1271"/>
      <c r="L2934" s="1254"/>
      <c r="M2934" s="1244"/>
      <c r="N2934" s="1275"/>
      <c r="O2934" s="1275"/>
      <c r="P2934" s="1244"/>
      <c r="Q2934" s="1244"/>
      <c r="R2934" s="1244"/>
      <c r="S2934" s="1265"/>
      <c r="T2934" s="1244"/>
      <c r="U2934" s="1244"/>
    </row>
    <row r="2935">
      <c r="A2935" s="1235"/>
      <c r="B2935" s="1235"/>
      <c r="C2935" s="1246"/>
      <c r="D2935" s="1274"/>
      <c r="E2935" s="1248"/>
      <c r="F2935" s="1248"/>
      <c r="G2935" s="1271"/>
      <c r="H2935" s="1250"/>
      <c r="I2935" s="1251"/>
      <c r="J2935" s="1271"/>
      <c r="K2935" s="1271"/>
      <c r="L2935" s="1254"/>
      <c r="M2935" s="1244"/>
      <c r="N2935" s="1275"/>
      <c r="O2935" s="1275"/>
      <c r="P2935" s="1244"/>
      <c r="Q2935" s="1244"/>
      <c r="R2935" s="1244"/>
      <c r="S2935" s="1265"/>
      <c r="T2935" s="1244"/>
      <c r="U2935" s="1244"/>
    </row>
    <row r="2936">
      <c r="A2936" s="1235"/>
      <c r="B2936" s="1235"/>
      <c r="C2936" s="1246"/>
      <c r="D2936" s="1274"/>
      <c r="E2936" s="1248"/>
      <c r="F2936" s="1248"/>
      <c r="G2936" s="1271"/>
      <c r="H2936" s="1250"/>
      <c r="I2936" s="1251"/>
      <c r="J2936" s="1271"/>
      <c r="K2936" s="1271"/>
      <c r="L2936" s="1254"/>
      <c r="M2936" s="1244"/>
      <c r="N2936" s="1275"/>
      <c r="O2936" s="1275"/>
      <c r="P2936" s="1244"/>
      <c r="Q2936" s="1244"/>
      <c r="R2936" s="1244"/>
      <c r="S2936" s="1265"/>
      <c r="T2936" s="1244"/>
      <c r="U2936" s="1244"/>
    </row>
    <row r="2937">
      <c r="A2937" s="1235"/>
      <c r="B2937" s="1235"/>
      <c r="C2937" s="1246"/>
      <c r="D2937" s="1274"/>
      <c r="E2937" s="1248"/>
      <c r="F2937" s="1248"/>
      <c r="G2937" s="1271"/>
      <c r="H2937" s="1250"/>
      <c r="I2937" s="1251"/>
      <c r="J2937" s="1271"/>
      <c r="K2937" s="1271"/>
      <c r="L2937" s="1254"/>
      <c r="M2937" s="1244"/>
      <c r="N2937" s="1275"/>
      <c r="O2937" s="1275"/>
      <c r="P2937" s="1244"/>
      <c r="Q2937" s="1244"/>
      <c r="R2937" s="1244"/>
      <c r="S2937" s="1265"/>
      <c r="T2937" s="1244"/>
      <c r="U2937" s="1244"/>
    </row>
    <row r="2938">
      <c r="A2938" s="1235"/>
      <c r="B2938" s="1235"/>
      <c r="C2938" s="1246"/>
      <c r="D2938" s="1274"/>
      <c r="E2938" s="1248"/>
      <c r="F2938" s="1248"/>
      <c r="G2938" s="1271"/>
      <c r="H2938" s="1250"/>
      <c r="I2938" s="1251"/>
      <c r="J2938" s="1271"/>
      <c r="K2938" s="1271"/>
      <c r="L2938" s="1254"/>
      <c r="M2938" s="1244"/>
      <c r="N2938" s="1275"/>
      <c r="O2938" s="1275"/>
      <c r="P2938" s="1244"/>
      <c r="Q2938" s="1244"/>
      <c r="R2938" s="1244"/>
      <c r="S2938" s="1265"/>
      <c r="T2938" s="1244"/>
      <c r="U2938" s="1244"/>
    </row>
    <row r="2939">
      <c r="A2939" s="1235"/>
      <c r="B2939" s="1235"/>
      <c r="C2939" s="1246"/>
      <c r="D2939" s="1274"/>
      <c r="E2939" s="1248"/>
      <c r="F2939" s="1248"/>
      <c r="G2939" s="1271"/>
      <c r="H2939" s="1250"/>
      <c r="I2939" s="1251"/>
      <c r="J2939" s="1271"/>
      <c r="K2939" s="1271"/>
      <c r="L2939" s="1254"/>
      <c r="M2939" s="1244"/>
      <c r="N2939" s="1275"/>
      <c r="O2939" s="1275"/>
      <c r="P2939" s="1244"/>
      <c r="Q2939" s="1244"/>
      <c r="R2939" s="1244"/>
      <c r="S2939" s="1265"/>
      <c r="T2939" s="1244"/>
      <c r="U2939" s="1244"/>
    </row>
    <row r="2940">
      <c r="A2940" s="1235"/>
      <c r="B2940" s="1235"/>
      <c r="C2940" s="1246"/>
      <c r="D2940" s="1274"/>
      <c r="E2940" s="1248"/>
      <c r="F2940" s="1248"/>
      <c r="G2940" s="1271"/>
      <c r="H2940" s="1250"/>
      <c r="I2940" s="1251"/>
      <c r="J2940" s="1271"/>
      <c r="K2940" s="1271"/>
      <c r="L2940" s="1254"/>
      <c r="M2940" s="1244"/>
      <c r="N2940" s="1275"/>
      <c r="O2940" s="1275"/>
      <c r="P2940" s="1244"/>
      <c r="Q2940" s="1244"/>
      <c r="R2940" s="1244"/>
      <c r="S2940" s="1265"/>
      <c r="T2940" s="1244"/>
      <c r="U2940" s="1244"/>
    </row>
    <row r="2941">
      <c r="A2941" s="1235"/>
      <c r="B2941" s="1235"/>
      <c r="C2941" s="1246"/>
      <c r="D2941" s="1274"/>
      <c r="E2941" s="1248"/>
      <c r="F2941" s="1248"/>
      <c r="G2941" s="1271"/>
      <c r="H2941" s="1250"/>
      <c r="I2941" s="1251"/>
      <c r="J2941" s="1271"/>
      <c r="K2941" s="1271"/>
      <c r="L2941" s="1254"/>
      <c r="M2941" s="1244"/>
      <c r="N2941" s="1275"/>
      <c r="O2941" s="1275"/>
      <c r="P2941" s="1244"/>
      <c r="Q2941" s="1244"/>
      <c r="R2941" s="1244"/>
      <c r="S2941" s="1265"/>
      <c r="T2941" s="1244"/>
      <c r="U2941" s="1244"/>
    </row>
    <row r="2942">
      <c r="A2942" s="1235"/>
      <c r="B2942" s="1235"/>
      <c r="C2942" s="1246"/>
      <c r="D2942" s="1274"/>
      <c r="E2942" s="1248"/>
      <c r="F2942" s="1248"/>
      <c r="G2942" s="1271"/>
      <c r="H2942" s="1250"/>
      <c r="I2942" s="1251"/>
      <c r="J2942" s="1271"/>
      <c r="K2942" s="1271"/>
      <c r="L2942" s="1254"/>
      <c r="M2942" s="1244"/>
      <c r="N2942" s="1275"/>
      <c r="O2942" s="1275"/>
      <c r="P2942" s="1244"/>
      <c r="Q2942" s="1244"/>
      <c r="R2942" s="1244"/>
      <c r="S2942" s="1265"/>
      <c r="T2942" s="1244"/>
      <c r="U2942" s="1244"/>
    </row>
    <row r="2943">
      <c r="A2943" s="1235"/>
      <c r="B2943" s="1235"/>
      <c r="C2943" s="1246"/>
      <c r="D2943" s="1274"/>
      <c r="E2943" s="1248"/>
      <c r="F2943" s="1248"/>
      <c r="G2943" s="1271"/>
      <c r="H2943" s="1250"/>
      <c r="I2943" s="1251"/>
      <c r="J2943" s="1271"/>
      <c r="K2943" s="1271"/>
      <c r="L2943" s="1254"/>
      <c r="M2943" s="1244"/>
      <c r="N2943" s="1275"/>
      <c r="O2943" s="1275"/>
      <c r="P2943" s="1244"/>
      <c r="Q2943" s="1244"/>
      <c r="R2943" s="1244"/>
      <c r="S2943" s="1265"/>
      <c r="T2943" s="1244"/>
      <c r="U2943" s="1244"/>
    </row>
    <row r="2944">
      <c r="A2944" s="1235"/>
      <c r="B2944" s="1235"/>
      <c r="C2944" s="1246"/>
      <c r="D2944" s="1274"/>
      <c r="E2944" s="1248"/>
      <c r="F2944" s="1248"/>
      <c r="G2944" s="1271"/>
      <c r="H2944" s="1250"/>
      <c r="I2944" s="1251"/>
      <c r="J2944" s="1271"/>
      <c r="K2944" s="1271"/>
      <c r="L2944" s="1254"/>
      <c r="M2944" s="1244"/>
      <c r="N2944" s="1275"/>
      <c r="O2944" s="1275"/>
      <c r="P2944" s="1244"/>
      <c r="Q2944" s="1244"/>
      <c r="R2944" s="1244"/>
      <c r="S2944" s="1265"/>
      <c r="T2944" s="1244"/>
      <c r="U2944" s="1244"/>
    </row>
    <row r="2945">
      <c r="A2945" s="1235"/>
      <c r="B2945" s="1235"/>
      <c r="C2945" s="1246"/>
      <c r="D2945" s="1274"/>
      <c r="E2945" s="1248"/>
      <c r="F2945" s="1248"/>
      <c r="G2945" s="1271"/>
      <c r="H2945" s="1250"/>
      <c r="I2945" s="1251"/>
      <c r="J2945" s="1271"/>
      <c r="K2945" s="1271"/>
      <c r="L2945" s="1254"/>
      <c r="M2945" s="1244"/>
      <c r="N2945" s="1275"/>
      <c r="O2945" s="1275"/>
      <c r="P2945" s="1244"/>
      <c r="Q2945" s="1244"/>
      <c r="R2945" s="1244"/>
      <c r="S2945" s="1265"/>
      <c r="T2945" s="1244"/>
      <c r="U2945" s="1244"/>
    </row>
    <row r="2946">
      <c r="A2946" s="1235"/>
      <c r="B2946" s="1235"/>
      <c r="C2946" s="1246"/>
      <c r="D2946" s="1274"/>
      <c r="E2946" s="1248"/>
      <c r="F2946" s="1248"/>
      <c r="G2946" s="1271"/>
      <c r="H2946" s="1250"/>
      <c r="I2946" s="1251"/>
      <c r="J2946" s="1271"/>
      <c r="K2946" s="1271"/>
      <c r="L2946" s="1254"/>
      <c r="M2946" s="1244"/>
      <c r="N2946" s="1275"/>
      <c r="O2946" s="1275"/>
      <c r="P2946" s="1244"/>
      <c r="Q2946" s="1244"/>
      <c r="R2946" s="1244"/>
      <c r="S2946" s="1265"/>
      <c r="T2946" s="1244"/>
      <c r="U2946" s="1244"/>
    </row>
    <row r="2947">
      <c r="A2947" s="1235"/>
      <c r="B2947" s="1235"/>
      <c r="C2947" s="1246"/>
      <c r="D2947" s="1274"/>
      <c r="E2947" s="1248"/>
      <c r="F2947" s="1248"/>
      <c r="G2947" s="1271"/>
      <c r="H2947" s="1250"/>
      <c r="I2947" s="1251"/>
      <c r="J2947" s="1271"/>
      <c r="K2947" s="1271"/>
      <c r="L2947" s="1254"/>
      <c r="M2947" s="1244"/>
      <c r="N2947" s="1275"/>
      <c r="O2947" s="1275"/>
      <c r="P2947" s="1244"/>
      <c r="Q2947" s="1244"/>
      <c r="R2947" s="1244"/>
      <c r="S2947" s="1265"/>
      <c r="T2947" s="1244"/>
      <c r="U2947" s="1244"/>
    </row>
    <row r="2948">
      <c r="A2948" s="1235"/>
      <c r="B2948" s="1235"/>
      <c r="C2948" s="1246"/>
      <c r="D2948" s="1274"/>
      <c r="E2948" s="1248"/>
      <c r="F2948" s="1248"/>
      <c r="G2948" s="1271"/>
      <c r="H2948" s="1250"/>
      <c r="I2948" s="1251"/>
      <c r="J2948" s="1271"/>
      <c r="K2948" s="1271"/>
      <c r="L2948" s="1254"/>
      <c r="M2948" s="1244"/>
      <c r="N2948" s="1275"/>
      <c r="O2948" s="1275"/>
      <c r="P2948" s="1244"/>
      <c r="Q2948" s="1244"/>
      <c r="R2948" s="1244"/>
      <c r="S2948" s="1265"/>
      <c r="T2948" s="1244"/>
      <c r="U2948" s="1244"/>
    </row>
    <row r="2949">
      <c r="A2949" s="1235"/>
      <c r="B2949" s="1235"/>
      <c r="C2949" s="1246"/>
      <c r="D2949" s="1274"/>
      <c r="E2949" s="1248"/>
      <c r="F2949" s="1248"/>
      <c r="G2949" s="1271"/>
      <c r="H2949" s="1250"/>
      <c r="I2949" s="1251"/>
      <c r="J2949" s="1271"/>
      <c r="K2949" s="1271"/>
      <c r="L2949" s="1254"/>
      <c r="M2949" s="1244"/>
      <c r="N2949" s="1275"/>
      <c r="O2949" s="1275"/>
      <c r="P2949" s="1244"/>
      <c r="Q2949" s="1244"/>
      <c r="R2949" s="1244"/>
      <c r="S2949" s="1265"/>
      <c r="T2949" s="1244"/>
      <c r="U2949" s="1244"/>
    </row>
    <row r="2950">
      <c r="A2950" s="1235"/>
      <c r="B2950" s="1235"/>
      <c r="C2950" s="1246"/>
      <c r="D2950" s="1274"/>
      <c r="E2950" s="1248"/>
      <c r="F2950" s="1248"/>
      <c r="G2950" s="1271"/>
      <c r="H2950" s="1250"/>
      <c r="I2950" s="1251"/>
      <c r="J2950" s="1271"/>
      <c r="K2950" s="1271"/>
      <c r="L2950" s="1254"/>
      <c r="M2950" s="1244"/>
      <c r="N2950" s="1275"/>
      <c r="O2950" s="1275"/>
      <c r="P2950" s="1244"/>
      <c r="Q2950" s="1244"/>
      <c r="R2950" s="1244"/>
      <c r="S2950" s="1265"/>
      <c r="T2950" s="1244"/>
      <c r="U2950" s="1244"/>
    </row>
    <row r="2951">
      <c r="A2951" s="1235"/>
      <c r="B2951" s="1235"/>
      <c r="C2951" s="1246"/>
      <c r="D2951" s="1274"/>
      <c r="E2951" s="1248"/>
      <c r="F2951" s="1248"/>
      <c r="G2951" s="1271"/>
      <c r="H2951" s="1250"/>
      <c r="I2951" s="1251"/>
      <c r="J2951" s="1271"/>
      <c r="K2951" s="1271"/>
      <c r="L2951" s="1254"/>
      <c r="M2951" s="1244"/>
      <c r="N2951" s="1275"/>
      <c r="O2951" s="1275"/>
      <c r="P2951" s="1244"/>
      <c r="Q2951" s="1244"/>
      <c r="R2951" s="1244"/>
      <c r="S2951" s="1265"/>
      <c r="T2951" s="1244"/>
      <c r="U2951" s="1244"/>
    </row>
    <row r="2952">
      <c r="A2952" s="1235"/>
      <c r="B2952" s="1235"/>
      <c r="C2952" s="1246"/>
      <c r="D2952" s="1274"/>
      <c r="E2952" s="1248"/>
      <c r="F2952" s="1248"/>
      <c r="G2952" s="1271"/>
      <c r="H2952" s="1250"/>
      <c r="I2952" s="1251"/>
      <c r="J2952" s="1271"/>
      <c r="K2952" s="1271"/>
      <c r="L2952" s="1254"/>
      <c r="M2952" s="1244"/>
      <c r="N2952" s="1275"/>
      <c r="O2952" s="1275"/>
      <c r="P2952" s="1244"/>
      <c r="Q2952" s="1244"/>
      <c r="R2952" s="1244"/>
      <c r="S2952" s="1265"/>
      <c r="T2952" s="1244"/>
      <c r="U2952" s="1244"/>
    </row>
    <row r="2953">
      <c r="A2953" s="1235"/>
      <c r="B2953" s="1235"/>
      <c r="C2953" s="1246"/>
      <c r="D2953" s="1274"/>
      <c r="E2953" s="1248"/>
      <c r="F2953" s="1248"/>
      <c r="G2953" s="1271"/>
      <c r="H2953" s="1250"/>
      <c r="I2953" s="1251"/>
      <c r="J2953" s="1271"/>
      <c r="K2953" s="1271"/>
      <c r="L2953" s="1254"/>
      <c r="M2953" s="1244"/>
      <c r="N2953" s="1275"/>
      <c r="O2953" s="1275"/>
      <c r="P2953" s="1244"/>
      <c r="Q2953" s="1244"/>
      <c r="R2953" s="1244"/>
      <c r="S2953" s="1265"/>
      <c r="T2953" s="1244"/>
      <c r="U2953" s="1244"/>
    </row>
    <row r="2954">
      <c r="A2954" s="1235"/>
      <c r="B2954" s="1235"/>
      <c r="C2954" s="1246"/>
      <c r="D2954" s="1274"/>
      <c r="E2954" s="1248"/>
      <c r="F2954" s="1248"/>
      <c r="G2954" s="1271"/>
      <c r="H2954" s="1250"/>
      <c r="I2954" s="1251"/>
      <c r="J2954" s="1271"/>
      <c r="K2954" s="1271"/>
      <c r="L2954" s="1254"/>
      <c r="M2954" s="1244"/>
      <c r="N2954" s="1275"/>
      <c r="O2954" s="1275"/>
      <c r="P2954" s="1244"/>
      <c r="Q2954" s="1244"/>
      <c r="R2954" s="1244"/>
      <c r="S2954" s="1265"/>
      <c r="T2954" s="1244"/>
      <c r="U2954" s="1244"/>
    </row>
    <row r="2955">
      <c r="A2955" s="1235"/>
      <c r="B2955" s="1235"/>
      <c r="C2955" s="1246"/>
      <c r="D2955" s="1274"/>
      <c r="E2955" s="1248"/>
      <c r="F2955" s="1248"/>
      <c r="G2955" s="1271"/>
      <c r="H2955" s="1250"/>
      <c r="I2955" s="1251"/>
      <c r="J2955" s="1271"/>
      <c r="K2955" s="1271"/>
      <c r="L2955" s="1254"/>
      <c r="M2955" s="1244"/>
      <c r="N2955" s="1275"/>
      <c r="O2955" s="1275"/>
      <c r="P2955" s="1244"/>
      <c r="Q2955" s="1244"/>
      <c r="R2955" s="1244"/>
      <c r="S2955" s="1265"/>
      <c r="T2955" s="1244"/>
      <c r="U2955" s="1244"/>
    </row>
    <row r="2956">
      <c r="A2956" s="1235"/>
      <c r="B2956" s="1235"/>
      <c r="C2956" s="1246"/>
      <c r="D2956" s="1274"/>
      <c r="E2956" s="1248"/>
      <c r="F2956" s="1248"/>
      <c r="G2956" s="1271"/>
      <c r="H2956" s="1250"/>
      <c r="I2956" s="1251"/>
      <c r="J2956" s="1271"/>
      <c r="K2956" s="1271"/>
      <c r="L2956" s="1254"/>
      <c r="M2956" s="1244"/>
      <c r="N2956" s="1275"/>
      <c r="O2956" s="1275"/>
      <c r="P2956" s="1244"/>
      <c r="Q2956" s="1244"/>
      <c r="R2956" s="1244"/>
      <c r="S2956" s="1265"/>
      <c r="T2956" s="1244"/>
      <c r="U2956" s="1244"/>
    </row>
    <row r="2957">
      <c r="A2957" s="1235"/>
      <c r="B2957" s="1235"/>
      <c r="C2957" s="1246"/>
      <c r="D2957" s="1274"/>
      <c r="E2957" s="1248"/>
      <c r="F2957" s="1248"/>
      <c r="G2957" s="1271"/>
      <c r="H2957" s="1250"/>
      <c r="I2957" s="1251"/>
      <c r="J2957" s="1271"/>
      <c r="K2957" s="1271"/>
      <c r="L2957" s="1254"/>
      <c r="M2957" s="1244"/>
      <c r="N2957" s="1275"/>
      <c r="O2957" s="1275"/>
      <c r="P2957" s="1244"/>
      <c r="Q2957" s="1244"/>
      <c r="R2957" s="1244"/>
      <c r="S2957" s="1265"/>
      <c r="T2957" s="1244"/>
      <c r="U2957" s="1244"/>
    </row>
    <row r="2958">
      <c r="A2958" s="1235"/>
      <c r="B2958" s="1235"/>
      <c r="C2958" s="1246"/>
      <c r="D2958" s="1274"/>
      <c r="E2958" s="1248"/>
      <c r="F2958" s="1248"/>
      <c r="G2958" s="1271"/>
      <c r="H2958" s="1250"/>
      <c r="I2958" s="1251"/>
      <c r="J2958" s="1271"/>
      <c r="K2958" s="1271"/>
      <c r="L2958" s="1254"/>
      <c r="M2958" s="1244"/>
      <c r="N2958" s="1275"/>
      <c r="O2958" s="1275"/>
      <c r="P2958" s="1244"/>
      <c r="Q2958" s="1244"/>
      <c r="R2958" s="1244"/>
      <c r="S2958" s="1265"/>
      <c r="T2958" s="1244"/>
      <c r="U2958" s="1244"/>
    </row>
    <row r="2959">
      <c r="A2959" s="1235"/>
      <c r="B2959" s="1235"/>
      <c r="C2959" s="1246"/>
      <c r="D2959" s="1274"/>
      <c r="E2959" s="1248"/>
      <c r="F2959" s="1248"/>
      <c r="G2959" s="1271"/>
      <c r="H2959" s="1250"/>
      <c r="I2959" s="1251"/>
      <c r="J2959" s="1271"/>
      <c r="K2959" s="1271"/>
      <c r="L2959" s="1254"/>
      <c r="M2959" s="1244"/>
      <c r="N2959" s="1275"/>
      <c r="O2959" s="1275"/>
      <c r="P2959" s="1244"/>
      <c r="Q2959" s="1244"/>
      <c r="R2959" s="1244"/>
      <c r="S2959" s="1265"/>
      <c r="T2959" s="1244"/>
      <c r="U2959" s="1244"/>
    </row>
    <row r="2960">
      <c r="A2960" s="1235"/>
      <c r="B2960" s="1235"/>
      <c r="C2960" s="1246"/>
      <c r="D2960" s="1274"/>
      <c r="E2960" s="1248"/>
      <c r="F2960" s="1248"/>
      <c r="G2960" s="1271"/>
      <c r="H2960" s="1250"/>
      <c r="I2960" s="1251"/>
      <c r="J2960" s="1271"/>
      <c r="K2960" s="1271"/>
      <c r="L2960" s="1254"/>
      <c r="M2960" s="1244"/>
      <c r="N2960" s="1275"/>
      <c r="O2960" s="1275"/>
      <c r="P2960" s="1244"/>
      <c r="Q2960" s="1244"/>
      <c r="R2960" s="1244"/>
      <c r="S2960" s="1265"/>
      <c r="T2960" s="1244"/>
      <c r="U2960" s="1244"/>
    </row>
    <row r="2961">
      <c r="A2961" s="1235"/>
      <c r="B2961" s="1235"/>
      <c r="C2961" s="1246"/>
      <c r="D2961" s="1274"/>
      <c r="E2961" s="1248"/>
      <c r="F2961" s="1248"/>
      <c r="G2961" s="1271"/>
      <c r="H2961" s="1250"/>
      <c r="I2961" s="1251"/>
      <c r="J2961" s="1271"/>
      <c r="K2961" s="1271"/>
      <c r="L2961" s="1254"/>
      <c r="M2961" s="1244"/>
      <c r="N2961" s="1275"/>
      <c r="O2961" s="1275"/>
      <c r="P2961" s="1244"/>
      <c r="Q2961" s="1244"/>
      <c r="R2961" s="1244"/>
      <c r="S2961" s="1265"/>
      <c r="T2961" s="1244"/>
      <c r="U2961" s="1244"/>
    </row>
    <row r="2962">
      <c r="A2962" s="1235"/>
      <c r="B2962" s="1235"/>
      <c r="C2962" s="1246"/>
      <c r="D2962" s="1274"/>
      <c r="E2962" s="1248"/>
      <c r="F2962" s="1248"/>
      <c r="G2962" s="1271"/>
      <c r="H2962" s="1250"/>
      <c r="I2962" s="1251"/>
      <c r="J2962" s="1271"/>
      <c r="K2962" s="1271"/>
      <c r="L2962" s="1254"/>
      <c r="M2962" s="1244"/>
      <c r="N2962" s="1275"/>
      <c r="O2962" s="1275"/>
      <c r="P2962" s="1244"/>
      <c r="Q2962" s="1244"/>
      <c r="R2962" s="1244"/>
      <c r="S2962" s="1265"/>
      <c r="T2962" s="1244"/>
      <c r="U2962" s="1244"/>
    </row>
    <row r="2963">
      <c r="A2963" s="1235"/>
      <c r="B2963" s="1235"/>
      <c r="C2963" s="1246"/>
      <c r="D2963" s="1274"/>
      <c r="E2963" s="1248"/>
      <c r="F2963" s="1248"/>
      <c r="G2963" s="1271"/>
      <c r="H2963" s="1250"/>
      <c r="I2963" s="1251"/>
      <c r="J2963" s="1271"/>
      <c r="K2963" s="1271"/>
      <c r="L2963" s="1254"/>
      <c r="M2963" s="1244"/>
      <c r="N2963" s="1275"/>
      <c r="O2963" s="1275"/>
      <c r="P2963" s="1244"/>
      <c r="Q2963" s="1244"/>
      <c r="R2963" s="1244"/>
      <c r="S2963" s="1265"/>
      <c r="T2963" s="1244"/>
      <c r="U2963" s="1244"/>
    </row>
    <row r="2964">
      <c r="A2964" s="1235"/>
      <c r="B2964" s="1235"/>
      <c r="C2964" s="1246"/>
      <c r="D2964" s="1274"/>
      <c r="E2964" s="1248"/>
      <c r="F2964" s="1248"/>
      <c r="G2964" s="1271"/>
      <c r="H2964" s="1250"/>
      <c r="I2964" s="1251"/>
      <c r="J2964" s="1271"/>
      <c r="K2964" s="1271"/>
      <c r="L2964" s="1254"/>
      <c r="M2964" s="1244"/>
      <c r="N2964" s="1275"/>
      <c r="O2964" s="1275"/>
      <c r="P2964" s="1244"/>
      <c r="Q2964" s="1244"/>
      <c r="R2964" s="1244"/>
      <c r="S2964" s="1265"/>
      <c r="T2964" s="1244"/>
      <c r="U2964" s="1244"/>
    </row>
    <row r="2965">
      <c r="A2965" s="1235"/>
      <c r="B2965" s="1235"/>
      <c r="C2965" s="1246"/>
      <c r="D2965" s="1274"/>
      <c r="E2965" s="1248"/>
      <c r="F2965" s="1248"/>
      <c r="G2965" s="1271"/>
      <c r="H2965" s="1250"/>
      <c r="I2965" s="1251"/>
      <c r="J2965" s="1271"/>
      <c r="K2965" s="1271"/>
      <c r="L2965" s="1254"/>
      <c r="M2965" s="1244"/>
      <c r="N2965" s="1275"/>
      <c r="O2965" s="1275"/>
      <c r="P2965" s="1244"/>
      <c r="Q2965" s="1244"/>
      <c r="R2965" s="1244"/>
      <c r="S2965" s="1265"/>
      <c r="T2965" s="1244"/>
      <c r="U2965" s="1244"/>
    </row>
    <row r="2966">
      <c r="A2966" s="1235"/>
      <c r="B2966" s="1235"/>
      <c r="C2966" s="1246"/>
      <c r="D2966" s="1274"/>
      <c r="E2966" s="1248"/>
      <c r="F2966" s="1248"/>
      <c r="G2966" s="1271"/>
      <c r="H2966" s="1250"/>
      <c r="I2966" s="1251"/>
      <c r="J2966" s="1271"/>
      <c r="K2966" s="1271"/>
      <c r="L2966" s="1254"/>
      <c r="M2966" s="1244"/>
      <c r="N2966" s="1275"/>
      <c r="O2966" s="1275"/>
      <c r="P2966" s="1244"/>
      <c r="Q2966" s="1244"/>
      <c r="R2966" s="1244"/>
      <c r="S2966" s="1265"/>
      <c r="T2966" s="1244"/>
      <c r="U2966" s="1244"/>
    </row>
    <row r="2967">
      <c r="A2967" s="1235"/>
      <c r="B2967" s="1235"/>
      <c r="C2967" s="1246"/>
      <c r="D2967" s="1274"/>
      <c r="E2967" s="1248"/>
      <c r="F2967" s="1248"/>
      <c r="G2967" s="1271"/>
      <c r="H2967" s="1250"/>
      <c r="I2967" s="1251"/>
      <c r="J2967" s="1271"/>
      <c r="K2967" s="1271"/>
      <c r="L2967" s="1254"/>
      <c r="M2967" s="1244"/>
      <c r="N2967" s="1275"/>
      <c r="O2967" s="1275"/>
      <c r="P2967" s="1244"/>
      <c r="Q2967" s="1244"/>
      <c r="R2967" s="1244"/>
      <c r="S2967" s="1265"/>
      <c r="T2967" s="1244"/>
      <c r="U2967" s="1244"/>
    </row>
    <row r="2968">
      <c r="A2968" s="1235"/>
      <c r="B2968" s="1235"/>
      <c r="C2968" s="1246"/>
      <c r="D2968" s="1274"/>
      <c r="E2968" s="1248"/>
      <c r="F2968" s="1248"/>
      <c r="G2968" s="1271"/>
      <c r="H2968" s="1250"/>
      <c r="I2968" s="1251"/>
      <c r="J2968" s="1271"/>
      <c r="K2968" s="1271"/>
      <c r="L2968" s="1254"/>
      <c r="M2968" s="1244"/>
      <c r="N2968" s="1275"/>
      <c r="O2968" s="1275"/>
      <c r="P2968" s="1244"/>
      <c r="Q2968" s="1244"/>
      <c r="R2968" s="1244"/>
      <c r="S2968" s="1265"/>
      <c r="T2968" s="1244"/>
      <c r="U2968" s="1244"/>
    </row>
    <row r="2969">
      <c r="A2969" s="1235"/>
      <c r="B2969" s="1235"/>
      <c r="C2969" s="1246"/>
      <c r="D2969" s="1274"/>
      <c r="E2969" s="1248"/>
      <c r="F2969" s="1248"/>
      <c r="G2969" s="1271"/>
      <c r="H2969" s="1250"/>
      <c r="I2969" s="1251"/>
      <c r="J2969" s="1271"/>
      <c r="K2969" s="1271"/>
      <c r="L2969" s="1254"/>
      <c r="M2969" s="1244"/>
      <c r="N2969" s="1275"/>
      <c r="O2969" s="1275"/>
      <c r="P2969" s="1244"/>
      <c r="Q2969" s="1244"/>
      <c r="R2969" s="1244"/>
      <c r="S2969" s="1265"/>
      <c r="T2969" s="1244"/>
      <c r="U2969" s="1244"/>
    </row>
    <row r="2970">
      <c r="A2970" s="1235"/>
      <c r="B2970" s="1235"/>
      <c r="C2970" s="1246"/>
      <c r="D2970" s="1274"/>
      <c r="E2970" s="1248"/>
      <c r="F2970" s="1248"/>
      <c r="G2970" s="1271"/>
      <c r="H2970" s="1250"/>
      <c r="I2970" s="1251"/>
      <c r="J2970" s="1271"/>
      <c r="K2970" s="1271"/>
      <c r="L2970" s="1254"/>
      <c r="M2970" s="1244"/>
      <c r="N2970" s="1275"/>
      <c r="O2970" s="1275"/>
      <c r="P2970" s="1244"/>
      <c r="Q2970" s="1244"/>
      <c r="R2970" s="1244"/>
      <c r="S2970" s="1265"/>
      <c r="T2970" s="1244"/>
      <c r="U2970" s="1244"/>
    </row>
    <row r="2971">
      <c r="A2971" s="1235"/>
      <c r="B2971" s="1235"/>
      <c r="C2971" s="1246"/>
      <c r="D2971" s="1274"/>
      <c r="E2971" s="1248"/>
      <c r="F2971" s="1248"/>
      <c r="G2971" s="1271"/>
      <c r="H2971" s="1250"/>
      <c r="I2971" s="1251"/>
      <c r="J2971" s="1271"/>
      <c r="K2971" s="1271"/>
      <c r="L2971" s="1254"/>
      <c r="M2971" s="1244"/>
      <c r="N2971" s="1275"/>
      <c r="O2971" s="1275"/>
      <c r="P2971" s="1244"/>
      <c r="Q2971" s="1244"/>
      <c r="R2971" s="1244"/>
      <c r="S2971" s="1265"/>
      <c r="T2971" s="1244"/>
      <c r="U2971" s="1244"/>
    </row>
    <row r="2972">
      <c r="A2972" s="1235"/>
      <c r="B2972" s="1235"/>
      <c r="C2972" s="1246"/>
      <c r="D2972" s="1274"/>
      <c r="E2972" s="1248"/>
      <c r="F2972" s="1248"/>
      <c r="G2972" s="1271"/>
      <c r="H2972" s="1250"/>
      <c r="I2972" s="1251"/>
      <c r="J2972" s="1271"/>
      <c r="K2972" s="1271"/>
      <c r="L2972" s="1254"/>
      <c r="M2972" s="1244"/>
      <c r="N2972" s="1275"/>
      <c r="O2972" s="1275"/>
      <c r="P2972" s="1244"/>
      <c r="Q2972" s="1244"/>
      <c r="R2972" s="1244"/>
      <c r="S2972" s="1265"/>
      <c r="T2972" s="1244"/>
      <c r="U2972" s="1244"/>
    </row>
    <row r="2973">
      <c r="A2973" s="1235"/>
      <c r="B2973" s="1235"/>
      <c r="C2973" s="1246"/>
      <c r="D2973" s="1274"/>
      <c r="E2973" s="1248"/>
      <c r="F2973" s="1248"/>
      <c r="G2973" s="1271"/>
      <c r="H2973" s="1250"/>
      <c r="I2973" s="1251"/>
      <c r="J2973" s="1271"/>
      <c r="K2973" s="1271"/>
      <c r="L2973" s="1254"/>
      <c r="M2973" s="1244"/>
      <c r="N2973" s="1275"/>
      <c r="O2973" s="1275"/>
      <c r="P2973" s="1244"/>
      <c r="Q2973" s="1244"/>
      <c r="R2973" s="1244"/>
      <c r="S2973" s="1265"/>
      <c r="T2973" s="1244"/>
      <c r="U2973" s="1244"/>
    </row>
    <row r="2974">
      <c r="A2974" s="1235"/>
      <c r="B2974" s="1235"/>
      <c r="C2974" s="1246"/>
      <c r="D2974" s="1274"/>
      <c r="E2974" s="1248"/>
      <c r="F2974" s="1248"/>
      <c r="G2974" s="1271"/>
      <c r="H2974" s="1250"/>
      <c r="I2974" s="1251"/>
      <c r="J2974" s="1271"/>
      <c r="K2974" s="1271"/>
      <c r="L2974" s="1254"/>
      <c r="M2974" s="1244"/>
      <c r="N2974" s="1275"/>
      <c r="O2974" s="1275"/>
      <c r="P2974" s="1244"/>
      <c r="Q2974" s="1244"/>
      <c r="R2974" s="1244"/>
      <c r="S2974" s="1265"/>
      <c r="T2974" s="1244"/>
      <c r="U2974" s="1244"/>
    </row>
    <row r="2975">
      <c r="A2975" s="1235"/>
      <c r="B2975" s="1235"/>
      <c r="C2975" s="1246"/>
      <c r="D2975" s="1274"/>
      <c r="E2975" s="1248"/>
      <c r="F2975" s="1248"/>
      <c r="G2975" s="1271"/>
      <c r="H2975" s="1250"/>
      <c r="I2975" s="1251"/>
      <c r="J2975" s="1271"/>
      <c r="K2975" s="1271"/>
      <c r="L2975" s="1254"/>
      <c r="M2975" s="1244"/>
      <c r="N2975" s="1275"/>
      <c r="O2975" s="1275"/>
      <c r="P2975" s="1244"/>
      <c r="Q2975" s="1244"/>
      <c r="R2975" s="1244"/>
      <c r="S2975" s="1265"/>
      <c r="T2975" s="1244"/>
      <c r="U2975" s="1244"/>
    </row>
    <row r="2976">
      <c r="A2976" s="1235"/>
      <c r="B2976" s="1235"/>
      <c r="C2976" s="1246"/>
      <c r="D2976" s="1274"/>
      <c r="E2976" s="1248"/>
      <c r="F2976" s="1248"/>
      <c r="G2976" s="1271"/>
      <c r="H2976" s="1250"/>
      <c r="I2976" s="1251"/>
      <c r="J2976" s="1271"/>
      <c r="K2976" s="1271"/>
      <c r="L2976" s="1254"/>
      <c r="M2976" s="1244"/>
      <c r="N2976" s="1275"/>
      <c r="O2976" s="1275"/>
      <c r="P2976" s="1244"/>
      <c r="Q2976" s="1244"/>
      <c r="R2976" s="1244"/>
      <c r="S2976" s="1265"/>
      <c r="T2976" s="1244"/>
      <c r="U2976" s="1244"/>
    </row>
    <row r="2977">
      <c r="A2977" s="1235"/>
      <c r="B2977" s="1235"/>
      <c r="C2977" s="1246"/>
      <c r="D2977" s="1274"/>
      <c r="E2977" s="1248"/>
      <c r="F2977" s="1248"/>
      <c r="G2977" s="1271"/>
      <c r="H2977" s="1250"/>
      <c r="I2977" s="1251"/>
      <c r="J2977" s="1271"/>
      <c r="K2977" s="1271"/>
      <c r="L2977" s="1254"/>
      <c r="M2977" s="1244"/>
      <c r="N2977" s="1275"/>
      <c r="O2977" s="1275"/>
      <c r="P2977" s="1244"/>
      <c r="Q2977" s="1244"/>
      <c r="R2977" s="1244"/>
      <c r="S2977" s="1265"/>
      <c r="T2977" s="1244"/>
      <c r="U2977" s="1244"/>
    </row>
    <row r="2978">
      <c r="A2978" s="1235"/>
      <c r="B2978" s="1235"/>
      <c r="C2978" s="1246"/>
      <c r="D2978" s="1274"/>
      <c r="E2978" s="1248"/>
      <c r="F2978" s="1248"/>
      <c r="G2978" s="1271"/>
      <c r="H2978" s="1250"/>
      <c r="I2978" s="1251"/>
      <c r="J2978" s="1271"/>
      <c r="K2978" s="1271"/>
      <c r="L2978" s="1254"/>
      <c r="M2978" s="1244"/>
      <c r="N2978" s="1275"/>
      <c r="O2978" s="1275"/>
      <c r="P2978" s="1244"/>
      <c r="Q2978" s="1244"/>
      <c r="R2978" s="1244"/>
      <c r="S2978" s="1265"/>
      <c r="T2978" s="1244"/>
      <c r="U2978" s="1244"/>
    </row>
    <row r="2979">
      <c r="A2979" s="1235"/>
      <c r="B2979" s="1235"/>
      <c r="C2979" s="1246"/>
      <c r="D2979" s="1274"/>
      <c r="E2979" s="1248"/>
      <c r="F2979" s="1248"/>
      <c r="G2979" s="1271"/>
      <c r="H2979" s="1250"/>
      <c r="I2979" s="1251"/>
      <c r="J2979" s="1271"/>
      <c r="K2979" s="1271"/>
      <c r="L2979" s="1254"/>
      <c r="M2979" s="1244"/>
      <c r="N2979" s="1275"/>
      <c r="O2979" s="1275"/>
      <c r="P2979" s="1244"/>
      <c r="Q2979" s="1244"/>
      <c r="R2979" s="1244"/>
      <c r="S2979" s="1265"/>
      <c r="T2979" s="1244"/>
      <c r="U2979" s="1244"/>
    </row>
    <row r="2980">
      <c r="A2980" s="1235"/>
      <c r="B2980" s="1235"/>
      <c r="C2980" s="1246"/>
      <c r="D2980" s="1274"/>
      <c r="E2980" s="1248"/>
      <c r="F2980" s="1248"/>
      <c r="G2980" s="1271"/>
      <c r="H2980" s="1250"/>
      <c r="I2980" s="1251"/>
      <c r="J2980" s="1271"/>
      <c r="K2980" s="1271"/>
      <c r="L2980" s="1254"/>
      <c r="M2980" s="1244"/>
      <c r="N2980" s="1275"/>
      <c r="O2980" s="1275"/>
      <c r="P2980" s="1244"/>
      <c r="Q2980" s="1244"/>
      <c r="R2980" s="1244"/>
      <c r="S2980" s="1265"/>
      <c r="T2980" s="1244"/>
      <c r="U2980" s="1244"/>
    </row>
    <row r="2981">
      <c r="A2981" s="1235"/>
      <c r="B2981" s="1235"/>
      <c r="C2981" s="1246"/>
      <c r="D2981" s="1274"/>
      <c r="E2981" s="1248"/>
      <c r="F2981" s="1248"/>
      <c r="G2981" s="1271"/>
      <c r="H2981" s="1250"/>
      <c r="I2981" s="1251"/>
      <c r="J2981" s="1271"/>
      <c r="K2981" s="1271"/>
      <c r="L2981" s="1254"/>
      <c r="M2981" s="1244"/>
      <c r="N2981" s="1275"/>
      <c r="O2981" s="1275"/>
      <c r="P2981" s="1244"/>
      <c r="Q2981" s="1244"/>
      <c r="R2981" s="1244"/>
      <c r="S2981" s="1265"/>
      <c r="T2981" s="1244"/>
      <c r="U2981" s="1244"/>
    </row>
    <row r="2982">
      <c r="A2982" s="1235"/>
      <c r="B2982" s="1235"/>
      <c r="C2982" s="1246"/>
      <c r="D2982" s="1274"/>
      <c r="E2982" s="1248"/>
      <c r="F2982" s="1248"/>
      <c r="G2982" s="1271"/>
      <c r="H2982" s="1250"/>
      <c r="I2982" s="1251"/>
      <c r="J2982" s="1271"/>
      <c r="K2982" s="1271"/>
      <c r="L2982" s="1254"/>
      <c r="M2982" s="1244"/>
      <c r="N2982" s="1275"/>
      <c r="O2982" s="1275"/>
      <c r="P2982" s="1244"/>
      <c r="Q2982" s="1244"/>
      <c r="R2982" s="1244"/>
      <c r="S2982" s="1265"/>
      <c r="T2982" s="1244"/>
      <c r="U2982" s="1244"/>
    </row>
    <row r="2983">
      <c r="A2983" s="1235"/>
      <c r="B2983" s="1235"/>
      <c r="C2983" s="1246"/>
      <c r="D2983" s="1274"/>
      <c r="E2983" s="1248"/>
      <c r="F2983" s="1248"/>
      <c r="G2983" s="1271"/>
      <c r="H2983" s="1250"/>
      <c r="I2983" s="1251"/>
      <c r="J2983" s="1271"/>
      <c r="K2983" s="1271"/>
      <c r="L2983" s="1254"/>
      <c r="M2983" s="1244"/>
      <c r="N2983" s="1275"/>
      <c r="O2983" s="1275"/>
      <c r="P2983" s="1244"/>
      <c r="Q2983" s="1244"/>
      <c r="R2983" s="1244"/>
      <c r="S2983" s="1265"/>
      <c r="T2983" s="1244"/>
      <c r="U2983" s="1244"/>
    </row>
    <row r="2984">
      <c r="A2984" s="1235"/>
      <c r="B2984" s="1235"/>
      <c r="C2984" s="1246"/>
      <c r="D2984" s="1274"/>
      <c r="E2984" s="1248"/>
      <c r="F2984" s="1248"/>
      <c r="G2984" s="1271"/>
      <c r="H2984" s="1250"/>
      <c r="I2984" s="1251"/>
      <c r="J2984" s="1271"/>
      <c r="K2984" s="1271"/>
      <c r="L2984" s="1254"/>
      <c r="M2984" s="1244"/>
      <c r="N2984" s="1275"/>
      <c r="O2984" s="1275"/>
      <c r="P2984" s="1244"/>
      <c r="Q2984" s="1244"/>
      <c r="R2984" s="1244"/>
      <c r="S2984" s="1265"/>
      <c r="T2984" s="1244"/>
      <c r="U2984" s="1244"/>
    </row>
    <row r="2985">
      <c r="A2985" s="1235"/>
      <c r="B2985" s="1235"/>
      <c r="C2985" s="1246"/>
      <c r="D2985" s="1274"/>
      <c r="E2985" s="1248"/>
      <c r="F2985" s="1248"/>
      <c r="G2985" s="1271"/>
      <c r="H2985" s="1250"/>
      <c r="I2985" s="1251"/>
      <c r="J2985" s="1271"/>
      <c r="K2985" s="1271"/>
      <c r="L2985" s="1254"/>
      <c r="M2985" s="1244"/>
      <c r="N2985" s="1275"/>
      <c r="O2985" s="1275"/>
      <c r="P2985" s="1244"/>
      <c r="Q2985" s="1244"/>
      <c r="R2985" s="1244"/>
      <c r="S2985" s="1265"/>
      <c r="T2985" s="1244"/>
      <c r="U2985" s="1244"/>
    </row>
    <row r="2986">
      <c r="A2986" s="1235"/>
      <c r="B2986" s="1235"/>
      <c r="C2986" s="1246"/>
      <c r="D2986" s="1274"/>
      <c r="E2986" s="1248"/>
      <c r="F2986" s="1248"/>
      <c r="G2986" s="1271"/>
      <c r="H2986" s="1250"/>
      <c r="I2986" s="1251"/>
      <c r="J2986" s="1271"/>
      <c r="K2986" s="1271"/>
      <c r="L2986" s="1254"/>
      <c r="M2986" s="1244"/>
      <c r="N2986" s="1275"/>
      <c r="O2986" s="1275"/>
      <c r="P2986" s="1244"/>
      <c r="Q2986" s="1244"/>
      <c r="R2986" s="1244"/>
      <c r="S2986" s="1265"/>
      <c r="T2986" s="1244"/>
      <c r="U2986" s="1244"/>
    </row>
    <row r="2987">
      <c r="A2987" s="1235"/>
      <c r="B2987" s="1235"/>
      <c r="C2987" s="1246"/>
      <c r="D2987" s="1274"/>
      <c r="E2987" s="1248"/>
      <c r="F2987" s="1248"/>
      <c r="G2987" s="1271"/>
      <c r="H2987" s="1250"/>
      <c r="I2987" s="1251"/>
      <c r="J2987" s="1271"/>
      <c r="K2987" s="1271"/>
      <c r="L2987" s="1254"/>
      <c r="M2987" s="1244"/>
      <c r="N2987" s="1275"/>
      <c r="O2987" s="1275"/>
      <c r="P2987" s="1244"/>
      <c r="Q2987" s="1244"/>
      <c r="R2987" s="1244"/>
      <c r="S2987" s="1265"/>
      <c r="T2987" s="1244"/>
      <c r="U2987" s="1244"/>
    </row>
    <row r="2988">
      <c r="A2988" s="1235"/>
      <c r="B2988" s="1235"/>
      <c r="C2988" s="1246"/>
      <c r="D2988" s="1274"/>
      <c r="E2988" s="1248"/>
      <c r="F2988" s="1248"/>
      <c r="G2988" s="1271"/>
      <c r="H2988" s="1250"/>
      <c r="I2988" s="1251"/>
      <c r="J2988" s="1271"/>
      <c r="K2988" s="1271"/>
      <c r="L2988" s="1254"/>
      <c r="M2988" s="1244"/>
      <c r="N2988" s="1275"/>
      <c r="O2988" s="1275"/>
      <c r="P2988" s="1244"/>
      <c r="Q2988" s="1244"/>
      <c r="R2988" s="1244"/>
      <c r="S2988" s="1265"/>
      <c r="T2988" s="1244"/>
      <c r="U2988" s="1244"/>
    </row>
    <row r="2989">
      <c r="A2989" s="1235"/>
      <c r="B2989" s="1235"/>
      <c r="C2989" s="1246"/>
      <c r="D2989" s="1274"/>
      <c r="E2989" s="1248"/>
      <c r="F2989" s="1248"/>
      <c r="G2989" s="1271"/>
      <c r="H2989" s="1250"/>
      <c r="I2989" s="1251"/>
      <c r="J2989" s="1271"/>
      <c r="K2989" s="1271"/>
      <c r="L2989" s="1254"/>
      <c r="M2989" s="1244"/>
      <c r="N2989" s="1275"/>
      <c r="O2989" s="1275"/>
      <c r="P2989" s="1244"/>
      <c r="Q2989" s="1244"/>
      <c r="R2989" s="1244"/>
      <c r="S2989" s="1265"/>
      <c r="T2989" s="1244"/>
      <c r="U2989" s="1244"/>
    </row>
    <row r="2990">
      <c r="A2990" s="1235"/>
      <c r="B2990" s="1235"/>
      <c r="C2990" s="1246"/>
      <c r="D2990" s="1274"/>
      <c r="E2990" s="1248"/>
      <c r="F2990" s="1248"/>
      <c r="G2990" s="1271"/>
      <c r="H2990" s="1250"/>
      <c r="I2990" s="1251"/>
      <c r="J2990" s="1271"/>
      <c r="K2990" s="1271"/>
      <c r="L2990" s="1254"/>
      <c r="M2990" s="1244"/>
      <c r="N2990" s="1275"/>
      <c r="O2990" s="1275"/>
      <c r="P2990" s="1244"/>
      <c r="Q2990" s="1244"/>
      <c r="R2990" s="1244"/>
      <c r="S2990" s="1265"/>
      <c r="T2990" s="1244"/>
      <c r="U2990" s="1244"/>
    </row>
    <row r="2991">
      <c r="A2991" s="1235"/>
      <c r="B2991" s="1235"/>
      <c r="C2991" s="1246"/>
      <c r="D2991" s="1274"/>
      <c r="E2991" s="1248"/>
      <c r="F2991" s="1248"/>
      <c r="G2991" s="1271"/>
      <c r="H2991" s="1250"/>
      <c r="I2991" s="1251"/>
      <c r="J2991" s="1271"/>
      <c r="K2991" s="1271"/>
      <c r="L2991" s="1254"/>
      <c r="M2991" s="1244"/>
      <c r="N2991" s="1275"/>
      <c r="O2991" s="1275"/>
      <c r="P2991" s="1244"/>
      <c r="Q2991" s="1244"/>
      <c r="R2991" s="1244"/>
      <c r="S2991" s="1265"/>
      <c r="T2991" s="1244"/>
      <c r="U2991" s="1244"/>
    </row>
    <row r="2992">
      <c r="A2992" s="1235"/>
      <c r="B2992" s="1235"/>
      <c r="C2992" s="1246"/>
      <c r="D2992" s="1274"/>
      <c r="E2992" s="1248"/>
      <c r="F2992" s="1248"/>
      <c r="G2992" s="1271"/>
      <c r="H2992" s="1250"/>
      <c r="I2992" s="1251"/>
      <c r="J2992" s="1271"/>
      <c r="K2992" s="1271"/>
      <c r="L2992" s="1254"/>
      <c r="M2992" s="1244"/>
      <c r="N2992" s="1275"/>
      <c r="O2992" s="1275"/>
      <c r="P2992" s="1244"/>
      <c r="Q2992" s="1244"/>
      <c r="R2992" s="1244"/>
      <c r="S2992" s="1265"/>
      <c r="T2992" s="1244"/>
      <c r="U2992" s="1244"/>
    </row>
    <row r="2993">
      <c r="A2993" s="1235"/>
      <c r="B2993" s="1235"/>
      <c r="C2993" s="1246"/>
      <c r="D2993" s="1274"/>
      <c r="E2993" s="1248"/>
      <c r="F2993" s="1248"/>
      <c r="G2993" s="1271"/>
      <c r="H2993" s="1250"/>
      <c r="I2993" s="1251"/>
      <c r="J2993" s="1271"/>
      <c r="K2993" s="1271"/>
      <c r="L2993" s="1254"/>
      <c r="M2993" s="1244"/>
      <c r="N2993" s="1275"/>
      <c r="O2993" s="1275"/>
      <c r="P2993" s="1244"/>
      <c r="Q2993" s="1244"/>
      <c r="R2993" s="1244"/>
      <c r="S2993" s="1265"/>
      <c r="T2993" s="1244"/>
      <c r="U2993" s="1244"/>
    </row>
    <row r="2994">
      <c r="A2994" s="1235"/>
      <c r="B2994" s="1235"/>
      <c r="C2994" s="1246"/>
      <c r="D2994" s="1274"/>
      <c r="E2994" s="1248"/>
      <c r="F2994" s="1248"/>
      <c r="G2994" s="1271"/>
      <c r="H2994" s="1250"/>
      <c r="I2994" s="1251"/>
      <c r="J2994" s="1271"/>
      <c r="K2994" s="1271"/>
      <c r="L2994" s="1254"/>
      <c r="M2994" s="1244"/>
      <c r="N2994" s="1275"/>
      <c r="O2994" s="1275"/>
      <c r="P2994" s="1244"/>
      <c r="Q2994" s="1244"/>
      <c r="R2994" s="1244"/>
      <c r="S2994" s="1265"/>
      <c r="T2994" s="1244"/>
      <c r="U2994" s="1244"/>
    </row>
    <row r="2995">
      <c r="A2995" s="1235"/>
      <c r="B2995" s="1235"/>
      <c r="C2995" s="1246"/>
      <c r="D2995" s="1274"/>
      <c r="E2995" s="1248"/>
      <c r="F2995" s="1248"/>
      <c r="G2995" s="1271"/>
      <c r="H2995" s="1250"/>
      <c r="I2995" s="1251"/>
      <c r="J2995" s="1271"/>
      <c r="K2995" s="1271"/>
      <c r="L2995" s="1254"/>
      <c r="M2995" s="1244"/>
      <c r="N2995" s="1275"/>
      <c r="O2995" s="1275"/>
      <c r="P2995" s="1244"/>
      <c r="Q2995" s="1244"/>
      <c r="R2995" s="1244"/>
      <c r="S2995" s="1265"/>
      <c r="T2995" s="1244"/>
      <c r="U2995" s="1244"/>
    </row>
    <row r="2996">
      <c r="A2996" s="1235"/>
      <c r="B2996" s="1235"/>
      <c r="C2996" s="1246"/>
      <c r="D2996" s="1274"/>
      <c r="E2996" s="1248"/>
      <c r="F2996" s="1248"/>
      <c r="G2996" s="1271"/>
      <c r="H2996" s="1250"/>
      <c r="I2996" s="1251"/>
      <c r="J2996" s="1271"/>
      <c r="K2996" s="1271"/>
      <c r="L2996" s="1254"/>
      <c r="M2996" s="1244"/>
      <c r="N2996" s="1275"/>
      <c r="O2996" s="1275"/>
      <c r="P2996" s="1244"/>
      <c r="Q2996" s="1244"/>
      <c r="R2996" s="1244"/>
      <c r="S2996" s="1265"/>
      <c r="T2996" s="1244"/>
      <c r="U2996" s="1244"/>
    </row>
    <row r="2997">
      <c r="A2997" s="1235"/>
      <c r="B2997" s="1235"/>
      <c r="C2997" s="1246"/>
      <c r="D2997" s="1274"/>
      <c r="E2997" s="1248"/>
      <c r="F2997" s="1248"/>
      <c r="G2997" s="1271"/>
      <c r="H2997" s="1250"/>
      <c r="I2997" s="1251"/>
      <c r="J2997" s="1271"/>
      <c r="K2997" s="1271"/>
      <c r="L2997" s="1254"/>
      <c r="M2997" s="1244"/>
      <c r="N2997" s="1275"/>
      <c r="O2997" s="1275"/>
      <c r="P2997" s="1244"/>
      <c r="Q2997" s="1244"/>
      <c r="R2997" s="1244"/>
      <c r="S2997" s="1265"/>
      <c r="T2997" s="1244"/>
      <c r="U2997" s="1244"/>
    </row>
    <row r="2998">
      <c r="A2998" s="1235"/>
      <c r="B2998" s="1235"/>
      <c r="C2998" s="1246"/>
      <c r="D2998" s="1274"/>
      <c r="E2998" s="1248"/>
      <c r="F2998" s="1248"/>
      <c r="G2998" s="1271"/>
      <c r="H2998" s="1250"/>
      <c r="I2998" s="1251"/>
      <c r="J2998" s="1271"/>
      <c r="K2998" s="1271"/>
      <c r="L2998" s="1254"/>
      <c r="M2998" s="1244"/>
      <c r="N2998" s="1275"/>
      <c r="O2998" s="1275"/>
      <c r="P2998" s="1244"/>
      <c r="Q2998" s="1244"/>
      <c r="R2998" s="1244"/>
      <c r="S2998" s="1265"/>
      <c r="T2998" s="1244"/>
      <c r="U2998" s="1244"/>
    </row>
    <row r="2999">
      <c r="A2999" s="1235"/>
      <c r="B2999" s="1235"/>
      <c r="C2999" s="1246"/>
      <c r="D2999" s="1274"/>
      <c r="E2999" s="1248"/>
      <c r="F2999" s="1248"/>
      <c r="G2999" s="1271"/>
      <c r="H2999" s="1250"/>
      <c r="I2999" s="1251"/>
      <c r="J2999" s="1271"/>
      <c r="K2999" s="1271"/>
      <c r="L2999" s="1254"/>
      <c r="M2999" s="1244"/>
      <c r="N2999" s="1275"/>
      <c r="O2999" s="1275"/>
      <c r="P2999" s="1244"/>
      <c r="Q2999" s="1244"/>
      <c r="R2999" s="1244"/>
      <c r="S2999" s="1265"/>
      <c r="T2999" s="1244"/>
      <c r="U2999" s="1244"/>
    </row>
    <row r="3000">
      <c r="A3000" s="1235"/>
      <c r="B3000" s="1235"/>
      <c r="C3000" s="1246"/>
      <c r="D3000" s="1274"/>
      <c r="E3000" s="1248"/>
      <c r="F3000" s="1248"/>
      <c r="G3000" s="1271"/>
      <c r="H3000" s="1250"/>
      <c r="I3000" s="1251"/>
      <c r="J3000" s="1271"/>
      <c r="K3000" s="1271"/>
      <c r="L3000" s="1254"/>
      <c r="M3000" s="1244"/>
      <c r="N3000" s="1275"/>
      <c r="O3000" s="1275"/>
      <c r="P3000" s="1244"/>
      <c r="Q3000" s="1244"/>
      <c r="R3000" s="1244"/>
      <c r="S3000" s="1265"/>
      <c r="T3000" s="1244"/>
      <c r="U3000" s="1244"/>
    </row>
    <row r="3001">
      <c r="A3001" s="1235"/>
      <c r="B3001" s="1235"/>
      <c r="C3001" s="1246"/>
      <c r="D3001" s="1274"/>
      <c r="E3001" s="1248"/>
      <c r="F3001" s="1248"/>
      <c r="G3001" s="1271"/>
      <c r="H3001" s="1250"/>
      <c r="I3001" s="1251"/>
      <c r="J3001" s="1271"/>
      <c r="K3001" s="1271"/>
      <c r="L3001" s="1254"/>
      <c r="M3001" s="1244"/>
      <c r="N3001" s="1275"/>
      <c r="O3001" s="1275"/>
      <c r="P3001" s="1244"/>
      <c r="Q3001" s="1244"/>
      <c r="R3001" s="1244"/>
      <c r="S3001" s="1265"/>
      <c r="T3001" s="1244"/>
      <c r="U3001" s="1244"/>
    </row>
    <row r="3002">
      <c r="A3002" s="1235"/>
      <c r="B3002" s="1235"/>
      <c r="C3002" s="1246"/>
      <c r="D3002" s="1274"/>
      <c r="E3002" s="1248"/>
      <c r="F3002" s="1248"/>
      <c r="G3002" s="1271"/>
      <c r="H3002" s="1250"/>
      <c r="I3002" s="1251"/>
      <c r="J3002" s="1271"/>
      <c r="K3002" s="1271"/>
      <c r="L3002" s="1254"/>
      <c r="M3002" s="1244"/>
      <c r="N3002" s="1275"/>
      <c r="O3002" s="1275"/>
      <c r="P3002" s="1244"/>
      <c r="Q3002" s="1244"/>
      <c r="R3002" s="1244"/>
      <c r="S3002" s="1265"/>
      <c r="T3002" s="1244"/>
      <c r="U3002" s="1244"/>
    </row>
    <row r="3003">
      <c r="A3003" s="1235"/>
      <c r="B3003" s="1235"/>
      <c r="C3003" s="1246"/>
      <c r="D3003" s="1274"/>
      <c r="E3003" s="1248"/>
      <c r="F3003" s="1248"/>
      <c r="G3003" s="1271"/>
      <c r="H3003" s="1250"/>
      <c r="I3003" s="1251"/>
      <c r="J3003" s="1271"/>
      <c r="K3003" s="1271"/>
      <c r="L3003" s="1254"/>
      <c r="M3003" s="1244"/>
      <c r="N3003" s="1275"/>
      <c r="O3003" s="1275"/>
      <c r="P3003" s="1244"/>
      <c r="Q3003" s="1244"/>
      <c r="R3003" s="1244"/>
      <c r="S3003" s="1265"/>
      <c r="T3003" s="1244"/>
      <c r="U3003" s="1244"/>
    </row>
    <row r="3004">
      <c r="A3004" s="1235"/>
      <c r="B3004" s="1235"/>
      <c r="C3004" s="1246"/>
      <c r="D3004" s="1274"/>
      <c r="E3004" s="1248"/>
      <c r="F3004" s="1248"/>
      <c r="G3004" s="1271"/>
      <c r="H3004" s="1250"/>
      <c r="I3004" s="1251"/>
      <c r="J3004" s="1271"/>
      <c r="K3004" s="1271"/>
      <c r="L3004" s="1254"/>
      <c r="M3004" s="1244"/>
      <c r="N3004" s="1275"/>
      <c r="O3004" s="1275"/>
      <c r="P3004" s="1244"/>
      <c r="Q3004" s="1244"/>
      <c r="R3004" s="1244"/>
      <c r="S3004" s="1265"/>
      <c r="T3004" s="1244"/>
      <c r="U3004" s="1244"/>
    </row>
    <row r="3005">
      <c r="A3005" s="1235"/>
      <c r="B3005" s="1235"/>
      <c r="C3005" s="1246"/>
      <c r="D3005" s="1274"/>
      <c r="E3005" s="1248"/>
      <c r="F3005" s="1248"/>
      <c r="G3005" s="1271"/>
      <c r="H3005" s="1250"/>
      <c r="I3005" s="1251"/>
      <c r="J3005" s="1271"/>
      <c r="K3005" s="1271"/>
      <c r="L3005" s="1254"/>
      <c r="M3005" s="1244"/>
      <c r="N3005" s="1275"/>
      <c r="O3005" s="1275"/>
      <c r="P3005" s="1244"/>
      <c r="Q3005" s="1244"/>
      <c r="R3005" s="1244"/>
      <c r="S3005" s="1265"/>
      <c r="T3005" s="1244"/>
      <c r="U3005" s="1244"/>
    </row>
    <row r="3006">
      <c r="A3006" s="1235"/>
      <c r="B3006" s="1235"/>
      <c r="C3006" s="1246"/>
      <c r="D3006" s="1274"/>
      <c r="E3006" s="1248"/>
      <c r="F3006" s="1248"/>
      <c r="G3006" s="1271"/>
      <c r="H3006" s="1250"/>
      <c r="I3006" s="1251"/>
      <c r="J3006" s="1271"/>
      <c r="K3006" s="1271"/>
      <c r="L3006" s="1254"/>
      <c r="M3006" s="1244"/>
      <c r="N3006" s="1275"/>
      <c r="O3006" s="1275"/>
      <c r="P3006" s="1244"/>
      <c r="Q3006" s="1244"/>
      <c r="R3006" s="1244"/>
      <c r="S3006" s="1265"/>
      <c r="T3006" s="1244"/>
      <c r="U3006" s="1244"/>
    </row>
    <row r="3007">
      <c r="A3007" s="1235"/>
      <c r="B3007" s="1235"/>
      <c r="C3007" s="1246"/>
      <c r="D3007" s="1274"/>
      <c r="E3007" s="1248"/>
      <c r="F3007" s="1248"/>
      <c r="G3007" s="1271"/>
      <c r="H3007" s="1250"/>
      <c r="I3007" s="1251"/>
      <c r="J3007" s="1271"/>
      <c r="K3007" s="1271"/>
      <c r="L3007" s="1254"/>
      <c r="M3007" s="1244"/>
      <c r="N3007" s="1275"/>
      <c r="O3007" s="1275"/>
      <c r="P3007" s="1244"/>
      <c r="Q3007" s="1244"/>
      <c r="R3007" s="1244"/>
      <c r="S3007" s="1265"/>
      <c r="T3007" s="1244"/>
      <c r="U3007" s="1244"/>
    </row>
    <row r="3008">
      <c r="A3008" s="1235"/>
      <c r="B3008" s="1235"/>
      <c r="C3008" s="1246"/>
      <c r="D3008" s="1274"/>
      <c r="E3008" s="1248"/>
      <c r="F3008" s="1248"/>
      <c r="G3008" s="1271"/>
      <c r="H3008" s="1250"/>
      <c r="I3008" s="1251"/>
      <c r="J3008" s="1271"/>
      <c r="K3008" s="1271"/>
      <c r="L3008" s="1254"/>
      <c r="M3008" s="1244"/>
      <c r="N3008" s="1275"/>
      <c r="O3008" s="1275"/>
      <c r="P3008" s="1244"/>
      <c r="Q3008" s="1244"/>
      <c r="R3008" s="1244"/>
      <c r="S3008" s="1265"/>
      <c r="T3008" s="1244"/>
      <c r="U3008" s="1244"/>
    </row>
    <row r="3009">
      <c r="A3009" s="1235"/>
      <c r="B3009" s="1235"/>
      <c r="C3009" s="1246"/>
      <c r="D3009" s="1274"/>
      <c r="E3009" s="1248"/>
      <c r="F3009" s="1248"/>
      <c r="G3009" s="1271"/>
      <c r="H3009" s="1250"/>
      <c r="I3009" s="1251"/>
      <c r="J3009" s="1271"/>
      <c r="K3009" s="1271"/>
      <c r="L3009" s="1254"/>
      <c r="M3009" s="1244"/>
      <c r="N3009" s="1275"/>
      <c r="O3009" s="1275"/>
      <c r="P3009" s="1244"/>
      <c r="Q3009" s="1244"/>
      <c r="R3009" s="1244"/>
      <c r="S3009" s="1265"/>
      <c r="T3009" s="1244"/>
      <c r="U3009" s="1244"/>
    </row>
    <row r="3010">
      <c r="A3010" s="1235"/>
      <c r="B3010" s="1235"/>
      <c r="C3010" s="1246"/>
      <c r="D3010" s="1274"/>
      <c r="E3010" s="1248"/>
      <c r="F3010" s="1248"/>
      <c r="G3010" s="1271"/>
      <c r="H3010" s="1250"/>
      <c r="I3010" s="1251"/>
      <c r="J3010" s="1271"/>
      <c r="K3010" s="1271"/>
      <c r="L3010" s="1254"/>
      <c r="M3010" s="1244"/>
      <c r="N3010" s="1275"/>
      <c r="O3010" s="1275"/>
      <c r="P3010" s="1244"/>
      <c r="Q3010" s="1244"/>
      <c r="R3010" s="1244"/>
      <c r="S3010" s="1265"/>
      <c r="T3010" s="1244"/>
      <c r="U3010" s="1244"/>
    </row>
    <row r="3011">
      <c r="A3011" s="1235"/>
      <c r="B3011" s="1235"/>
      <c r="C3011" s="1246"/>
      <c r="D3011" s="1274"/>
      <c r="E3011" s="1248"/>
      <c r="F3011" s="1248"/>
      <c r="G3011" s="1271"/>
      <c r="H3011" s="1250"/>
      <c r="I3011" s="1251"/>
      <c r="J3011" s="1271"/>
      <c r="K3011" s="1271"/>
      <c r="L3011" s="1254"/>
      <c r="M3011" s="1244"/>
      <c r="N3011" s="1275"/>
      <c r="O3011" s="1275"/>
      <c r="P3011" s="1244"/>
      <c r="Q3011" s="1244"/>
      <c r="R3011" s="1244"/>
      <c r="S3011" s="1265"/>
      <c r="T3011" s="1244"/>
      <c r="U3011" s="1244"/>
    </row>
    <row r="3012">
      <c r="A3012" s="1235"/>
      <c r="B3012" s="1235"/>
      <c r="C3012" s="1246"/>
      <c r="D3012" s="1274"/>
      <c r="E3012" s="1248"/>
      <c r="F3012" s="1248"/>
      <c r="G3012" s="1271"/>
      <c r="H3012" s="1250"/>
      <c r="I3012" s="1251"/>
      <c r="J3012" s="1271"/>
      <c r="K3012" s="1271"/>
      <c r="L3012" s="1254"/>
      <c r="M3012" s="1244"/>
      <c r="N3012" s="1275"/>
      <c r="O3012" s="1275"/>
      <c r="P3012" s="1244"/>
      <c r="Q3012" s="1244"/>
      <c r="R3012" s="1244"/>
      <c r="S3012" s="1265"/>
      <c r="T3012" s="1244"/>
      <c r="U3012" s="1244"/>
    </row>
    <row r="3013">
      <c r="A3013" s="1235"/>
      <c r="B3013" s="1235"/>
      <c r="C3013" s="1246"/>
      <c r="D3013" s="1274"/>
      <c r="E3013" s="1248"/>
      <c r="F3013" s="1248"/>
      <c r="G3013" s="1271"/>
      <c r="H3013" s="1250"/>
      <c r="I3013" s="1251"/>
      <c r="J3013" s="1271"/>
      <c r="K3013" s="1271"/>
      <c r="L3013" s="1254"/>
      <c r="M3013" s="1244"/>
      <c r="N3013" s="1275"/>
      <c r="O3013" s="1275"/>
      <c r="P3013" s="1244"/>
      <c r="Q3013" s="1244"/>
      <c r="R3013" s="1244"/>
      <c r="S3013" s="1265"/>
      <c r="T3013" s="1244"/>
      <c r="U3013" s="1244"/>
    </row>
    <row r="3014">
      <c r="A3014" s="1235"/>
      <c r="B3014" s="1235"/>
      <c r="C3014" s="1246"/>
      <c r="D3014" s="1274"/>
      <c r="E3014" s="1248"/>
      <c r="F3014" s="1248"/>
      <c r="G3014" s="1271"/>
      <c r="H3014" s="1250"/>
      <c r="I3014" s="1251"/>
      <c r="J3014" s="1271"/>
      <c r="K3014" s="1271"/>
      <c r="L3014" s="1254"/>
      <c r="M3014" s="1244"/>
      <c r="N3014" s="1275"/>
      <c r="O3014" s="1275"/>
      <c r="P3014" s="1244"/>
      <c r="Q3014" s="1244"/>
      <c r="R3014" s="1244"/>
      <c r="S3014" s="1265"/>
      <c r="T3014" s="1244"/>
      <c r="U3014" s="1244"/>
    </row>
    <row r="3015">
      <c r="A3015" s="1235"/>
      <c r="B3015" s="1235"/>
      <c r="C3015" s="1246"/>
      <c r="D3015" s="1274"/>
      <c r="E3015" s="1248"/>
      <c r="F3015" s="1248"/>
      <c r="G3015" s="1271"/>
      <c r="H3015" s="1250"/>
      <c r="I3015" s="1251"/>
      <c r="J3015" s="1271"/>
      <c r="K3015" s="1271"/>
      <c r="L3015" s="1254"/>
      <c r="M3015" s="1244"/>
      <c r="N3015" s="1275"/>
      <c r="O3015" s="1275"/>
      <c r="P3015" s="1244"/>
      <c r="Q3015" s="1244"/>
      <c r="R3015" s="1244"/>
      <c r="S3015" s="1265"/>
      <c r="T3015" s="1244"/>
      <c r="U3015" s="1244"/>
    </row>
    <row r="3016">
      <c r="A3016" s="1235"/>
      <c r="B3016" s="1235"/>
      <c r="C3016" s="1246"/>
      <c r="D3016" s="1274"/>
      <c r="E3016" s="1248"/>
      <c r="F3016" s="1248"/>
      <c r="G3016" s="1271"/>
      <c r="H3016" s="1250"/>
      <c r="I3016" s="1251"/>
      <c r="J3016" s="1271"/>
      <c r="K3016" s="1271"/>
      <c r="L3016" s="1254"/>
      <c r="M3016" s="1244"/>
      <c r="N3016" s="1275"/>
      <c r="O3016" s="1275"/>
      <c r="P3016" s="1244"/>
      <c r="Q3016" s="1244"/>
      <c r="R3016" s="1244"/>
      <c r="S3016" s="1265"/>
      <c r="T3016" s="1244"/>
      <c r="U3016" s="1244"/>
    </row>
    <row r="3017">
      <c r="A3017" s="1235"/>
      <c r="B3017" s="1235"/>
      <c r="C3017" s="1246"/>
      <c r="D3017" s="1274"/>
      <c r="E3017" s="1248"/>
      <c r="F3017" s="1248"/>
      <c r="G3017" s="1271"/>
      <c r="H3017" s="1250"/>
      <c r="I3017" s="1251"/>
      <c r="J3017" s="1271"/>
      <c r="K3017" s="1271"/>
      <c r="L3017" s="1254"/>
      <c r="M3017" s="1244"/>
      <c r="N3017" s="1275"/>
      <c r="O3017" s="1275"/>
      <c r="P3017" s="1244"/>
      <c r="Q3017" s="1244"/>
      <c r="R3017" s="1244"/>
      <c r="S3017" s="1265"/>
      <c r="T3017" s="1244"/>
      <c r="U3017" s="1244"/>
    </row>
    <row r="3018">
      <c r="A3018" s="1235"/>
      <c r="B3018" s="1235"/>
      <c r="C3018" s="1246"/>
      <c r="D3018" s="1274"/>
      <c r="E3018" s="1248"/>
      <c r="F3018" s="1248"/>
      <c r="G3018" s="1271"/>
      <c r="H3018" s="1250"/>
      <c r="I3018" s="1251"/>
      <c r="J3018" s="1271"/>
      <c r="K3018" s="1271"/>
      <c r="L3018" s="1254"/>
      <c r="M3018" s="1244"/>
      <c r="N3018" s="1275"/>
      <c r="O3018" s="1275"/>
      <c r="P3018" s="1244"/>
      <c r="Q3018" s="1244"/>
      <c r="R3018" s="1244"/>
      <c r="S3018" s="1265"/>
      <c r="T3018" s="1244"/>
      <c r="U3018" s="1244"/>
    </row>
    <row r="3019">
      <c r="A3019" s="1235"/>
      <c r="B3019" s="1235"/>
      <c r="C3019" s="1246"/>
      <c r="D3019" s="1274"/>
      <c r="E3019" s="1248"/>
      <c r="F3019" s="1248"/>
      <c r="G3019" s="1271"/>
      <c r="H3019" s="1250"/>
      <c r="I3019" s="1251"/>
      <c r="J3019" s="1271"/>
      <c r="K3019" s="1271"/>
      <c r="L3019" s="1254"/>
      <c r="M3019" s="1244"/>
      <c r="N3019" s="1275"/>
      <c r="O3019" s="1275"/>
      <c r="P3019" s="1244"/>
      <c r="Q3019" s="1244"/>
      <c r="R3019" s="1244"/>
      <c r="S3019" s="1265"/>
      <c r="T3019" s="1244"/>
      <c r="U3019" s="1244"/>
    </row>
    <row r="3020">
      <c r="A3020" s="1235"/>
      <c r="B3020" s="1235"/>
      <c r="C3020" s="1246"/>
      <c r="D3020" s="1274"/>
      <c r="E3020" s="1248"/>
      <c r="F3020" s="1248"/>
      <c r="G3020" s="1271"/>
      <c r="H3020" s="1250"/>
      <c r="I3020" s="1251"/>
      <c r="J3020" s="1271"/>
      <c r="K3020" s="1271"/>
      <c r="L3020" s="1254"/>
      <c r="M3020" s="1244"/>
      <c r="N3020" s="1275"/>
      <c r="O3020" s="1275"/>
      <c r="P3020" s="1244"/>
      <c r="Q3020" s="1244"/>
      <c r="R3020" s="1244"/>
      <c r="S3020" s="1265"/>
      <c r="T3020" s="1244"/>
      <c r="U3020" s="1244"/>
    </row>
    <row r="3021">
      <c r="A3021" s="1235"/>
      <c r="B3021" s="1235"/>
      <c r="C3021" s="1246"/>
      <c r="D3021" s="1274"/>
      <c r="E3021" s="1248"/>
      <c r="F3021" s="1248"/>
      <c r="G3021" s="1271"/>
      <c r="H3021" s="1250"/>
      <c r="I3021" s="1251"/>
      <c r="J3021" s="1271"/>
      <c r="K3021" s="1271"/>
      <c r="L3021" s="1254"/>
      <c r="M3021" s="1244"/>
      <c r="N3021" s="1275"/>
      <c r="O3021" s="1275"/>
      <c r="P3021" s="1244"/>
      <c r="Q3021" s="1244"/>
      <c r="R3021" s="1244"/>
      <c r="S3021" s="1265"/>
      <c r="T3021" s="1244"/>
      <c r="U3021" s="1244"/>
    </row>
    <row r="3022">
      <c r="A3022" s="1235"/>
      <c r="B3022" s="1235"/>
      <c r="C3022" s="1246"/>
      <c r="D3022" s="1274"/>
      <c r="E3022" s="1248"/>
      <c r="F3022" s="1248"/>
      <c r="G3022" s="1271"/>
      <c r="H3022" s="1250"/>
      <c r="I3022" s="1251"/>
      <c r="J3022" s="1271"/>
      <c r="K3022" s="1271"/>
      <c r="L3022" s="1254"/>
      <c r="M3022" s="1244"/>
      <c r="N3022" s="1275"/>
      <c r="O3022" s="1275"/>
      <c r="P3022" s="1244"/>
      <c r="Q3022" s="1244"/>
      <c r="R3022" s="1244"/>
      <c r="S3022" s="1265"/>
      <c r="T3022" s="1244"/>
      <c r="U3022" s="1244"/>
    </row>
    <row r="3023">
      <c r="A3023" s="1235"/>
      <c r="B3023" s="1235"/>
      <c r="C3023" s="1246"/>
      <c r="D3023" s="1274"/>
      <c r="E3023" s="1248"/>
      <c r="F3023" s="1248"/>
      <c r="G3023" s="1271"/>
      <c r="H3023" s="1250"/>
      <c r="I3023" s="1251"/>
      <c r="J3023" s="1271"/>
      <c r="K3023" s="1271"/>
      <c r="L3023" s="1254"/>
      <c r="M3023" s="1244"/>
      <c r="N3023" s="1275"/>
      <c r="O3023" s="1275"/>
      <c r="P3023" s="1244"/>
      <c r="Q3023" s="1244"/>
      <c r="R3023" s="1244"/>
      <c r="S3023" s="1265"/>
      <c r="T3023" s="1244"/>
      <c r="U3023" s="1244"/>
    </row>
    <row r="3024">
      <c r="A3024" s="1235"/>
      <c r="B3024" s="1235"/>
      <c r="C3024" s="1246"/>
      <c r="D3024" s="1274"/>
      <c r="E3024" s="1248"/>
      <c r="F3024" s="1248"/>
      <c r="G3024" s="1271"/>
      <c r="H3024" s="1250"/>
      <c r="I3024" s="1251"/>
      <c r="J3024" s="1271"/>
      <c r="K3024" s="1271"/>
      <c r="L3024" s="1254"/>
      <c r="M3024" s="1244"/>
      <c r="N3024" s="1275"/>
      <c r="O3024" s="1275"/>
      <c r="P3024" s="1244"/>
      <c r="Q3024" s="1244"/>
      <c r="R3024" s="1244"/>
      <c r="S3024" s="1265"/>
      <c r="T3024" s="1244"/>
      <c r="U3024" s="1244"/>
    </row>
    <row r="3025">
      <c r="A3025" s="1235"/>
      <c r="B3025" s="1235"/>
      <c r="C3025" s="1246"/>
      <c r="D3025" s="1274"/>
      <c r="E3025" s="1248"/>
      <c r="F3025" s="1248"/>
      <c r="G3025" s="1271"/>
      <c r="H3025" s="1250"/>
      <c r="I3025" s="1251"/>
      <c r="J3025" s="1271"/>
      <c r="K3025" s="1271"/>
      <c r="L3025" s="1254"/>
      <c r="M3025" s="1244"/>
      <c r="N3025" s="1275"/>
      <c r="O3025" s="1275"/>
      <c r="P3025" s="1244"/>
      <c r="Q3025" s="1244"/>
      <c r="R3025" s="1244"/>
      <c r="S3025" s="1265"/>
      <c r="T3025" s="1244"/>
      <c r="U3025" s="1244"/>
    </row>
    <row r="3026">
      <c r="A3026" s="1235"/>
      <c r="B3026" s="1235"/>
      <c r="C3026" s="1246"/>
      <c r="D3026" s="1274"/>
      <c r="E3026" s="1248"/>
      <c r="F3026" s="1248"/>
      <c r="G3026" s="1271"/>
      <c r="H3026" s="1250"/>
      <c r="I3026" s="1251"/>
      <c r="J3026" s="1271"/>
      <c r="K3026" s="1271"/>
      <c r="L3026" s="1254"/>
      <c r="M3026" s="1244"/>
      <c r="N3026" s="1275"/>
      <c r="O3026" s="1275"/>
      <c r="P3026" s="1244"/>
      <c r="Q3026" s="1244"/>
      <c r="R3026" s="1244"/>
      <c r="S3026" s="1265"/>
      <c r="T3026" s="1244"/>
      <c r="U3026" s="1244"/>
    </row>
    <row r="3027">
      <c r="A3027" s="1235"/>
      <c r="B3027" s="1235"/>
      <c r="C3027" s="1246"/>
      <c r="D3027" s="1274"/>
      <c r="E3027" s="1248"/>
      <c r="F3027" s="1248"/>
      <c r="G3027" s="1271"/>
      <c r="H3027" s="1250"/>
      <c r="I3027" s="1251"/>
      <c r="J3027" s="1271"/>
      <c r="K3027" s="1271"/>
      <c r="L3027" s="1254"/>
      <c r="M3027" s="1244"/>
      <c r="N3027" s="1275"/>
      <c r="O3027" s="1275"/>
      <c r="P3027" s="1244"/>
      <c r="Q3027" s="1244"/>
      <c r="R3027" s="1244"/>
      <c r="S3027" s="1265"/>
      <c r="T3027" s="1244"/>
      <c r="U3027" s="1244"/>
    </row>
    <row r="3028">
      <c r="A3028" s="1235"/>
      <c r="B3028" s="1235"/>
      <c r="C3028" s="1246"/>
      <c r="D3028" s="1274"/>
      <c r="E3028" s="1248"/>
      <c r="F3028" s="1248"/>
      <c r="G3028" s="1271"/>
      <c r="H3028" s="1250"/>
      <c r="I3028" s="1251"/>
      <c r="J3028" s="1271"/>
      <c r="K3028" s="1271"/>
      <c r="L3028" s="1254"/>
      <c r="M3028" s="1244"/>
      <c r="N3028" s="1275"/>
      <c r="O3028" s="1275"/>
      <c r="P3028" s="1244"/>
      <c r="Q3028" s="1244"/>
      <c r="R3028" s="1244"/>
      <c r="S3028" s="1265"/>
      <c r="T3028" s="1244"/>
      <c r="U3028" s="1244"/>
    </row>
    <row r="3029">
      <c r="A3029" s="1235"/>
      <c r="B3029" s="1235"/>
      <c r="C3029" s="1246"/>
      <c r="D3029" s="1274"/>
      <c r="E3029" s="1248"/>
      <c r="F3029" s="1248"/>
      <c r="G3029" s="1271"/>
      <c r="H3029" s="1250"/>
      <c r="I3029" s="1251"/>
      <c r="J3029" s="1271"/>
      <c r="K3029" s="1271"/>
      <c r="L3029" s="1254"/>
      <c r="M3029" s="1244"/>
      <c r="N3029" s="1275"/>
      <c r="O3029" s="1275"/>
      <c r="P3029" s="1244"/>
      <c r="Q3029" s="1244"/>
      <c r="R3029" s="1244"/>
      <c r="S3029" s="1265"/>
      <c r="T3029" s="1244"/>
      <c r="U3029" s="1244"/>
    </row>
    <row r="3030">
      <c r="A3030" s="1235"/>
      <c r="B3030" s="1235"/>
      <c r="C3030" s="1246"/>
      <c r="D3030" s="1274"/>
      <c r="E3030" s="1248"/>
      <c r="F3030" s="1248"/>
      <c r="G3030" s="1271"/>
      <c r="H3030" s="1250"/>
      <c r="I3030" s="1251"/>
      <c r="J3030" s="1271"/>
      <c r="K3030" s="1271"/>
      <c r="L3030" s="1254"/>
      <c r="M3030" s="1244"/>
      <c r="N3030" s="1275"/>
      <c r="O3030" s="1275"/>
      <c r="P3030" s="1244"/>
      <c r="Q3030" s="1244"/>
      <c r="R3030" s="1244"/>
      <c r="S3030" s="1265"/>
      <c r="T3030" s="1244"/>
      <c r="U3030" s="1244"/>
    </row>
    <row r="3031">
      <c r="A3031" s="1235"/>
      <c r="B3031" s="1235"/>
      <c r="C3031" s="1246"/>
      <c r="D3031" s="1274"/>
      <c r="E3031" s="1248"/>
      <c r="F3031" s="1248"/>
      <c r="G3031" s="1271"/>
      <c r="H3031" s="1250"/>
      <c r="I3031" s="1251"/>
      <c r="J3031" s="1271"/>
      <c r="K3031" s="1271"/>
      <c r="L3031" s="1254"/>
      <c r="M3031" s="1244"/>
      <c r="N3031" s="1275"/>
      <c r="O3031" s="1275"/>
      <c r="P3031" s="1244"/>
      <c r="Q3031" s="1244"/>
      <c r="R3031" s="1244"/>
      <c r="S3031" s="1265"/>
      <c r="T3031" s="1244"/>
      <c r="U3031" s="1244"/>
    </row>
    <row r="3032">
      <c r="A3032" s="1235"/>
      <c r="B3032" s="1235"/>
      <c r="C3032" s="1246"/>
      <c r="D3032" s="1274"/>
      <c r="E3032" s="1248"/>
      <c r="F3032" s="1248"/>
      <c r="G3032" s="1271"/>
      <c r="H3032" s="1250"/>
      <c r="I3032" s="1251"/>
      <c r="J3032" s="1271"/>
      <c r="K3032" s="1271"/>
      <c r="L3032" s="1254"/>
      <c r="M3032" s="1244"/>
      <c r="N3032" s="1275"/>
      <c r="O3032" s="1275"/>
      <c r="P3032" s="1244"/>
      <c r="Q3032" s="1244"/>
      <c r="R3032" s="1244"/>
      <c r="S3032" s="1265"/>
      <c r="T3032" s="1244"/>
      <c r="U3032" s="1244"/>
    </row>
    <row r="3033">
      <c r="A3033" s="1235"/>
      <c r="B3033" s="1235"/>
      <c r="C3033" s="1246"/>
      <c r="D3033" s="1274"/>
      <c r="E3033" s="1248"/>
      <c r="F3033" s="1248"/>
      <c r="G3033" s="1271"/>
      <c r="H3033" s="1250"/>
      <c r="I3033" s="1251"/>
      <c r="J3033" s="1271"/>
      <c r="K3033" s="1271"/>
      <c r="L3033" s="1254"/>
      <c r="M3033" s="1244"/>
      <c r="N3033" s="1275"/>
      <c r="O3033" s="1275"/>
      <c r="P3033" s="1244"/>
      <c r="Q3033" s="1244"/>
      <c r="R3033" s="1244"/>
      <c r="S3033" s="1265"/>
      <c r="T3033" s="1244"/>
      <c r="U3033" s="1244"/>
    </row>
    <row r="3034">
      <c r="A3034" s="1235"/>
      <c r="B3034" s="1235"/>
      <c r="C3034" s="1246"/>
      <c r="D3034" s="1274"/>
      <c r="E3034" s="1248"/>
      <c r="F3034" s="1248"/>
      <c r="G3034" s="1271"/>
      <c r="H3034" s="1250"/>
      <c r="I3034" s="1251"/>
      <c r="J3034" s="1271"/>
      <c r="K3034" s="1271"/>
      <c r="L3034" s="1254"/>
      <c r="M3034" s="1244"/>
      <c r="N3034" s="1275"/>
      <c r="O3034" s="1275"/>
      <c r="P3034" s="1244"/>
      <c r="Q3034" s="1244"/>
      <c r="R3034" s="1244"/>
      <c r="S3034" s="1265"/>
      <c r="T3034" s="1244"/>
      <c r="U3034" s="1244"/>
    </row>
    <row r="3035">
      <c r="A3035" s="1235"/>
      <c r="B3035" s="1235"/>
      <c r="C3035" s="1246"/>
      <c r="D3035" s="1274"/>
      <c r="E3035" s="1248"/>
      <c r="F3035" s="1248"/>
      <c r="G3035" s="1271"/>
      <c r="H3035" s="1250"/>
      <c r="I3035" s="1251"/>
      <c r="J3035" s="1271"/>
      <c r="K3035" s="1271"/>
      <c r="L3035" s="1254"/>
      <c r="M3035" s="1244"/>
      <c r="N3035" s="1275"/>
      <c r="O3035" s="1275"/>
      <c r="P3035" s="1244"/>
      <c r="Q3035" s="1244"/>
      <c r="R3035" s="1244"/>
      <c r="S3035" s="1265"/>
      <c r="T3035" s="1244"/>
      <c r="U3035" s="1244"/>
    </row>
    <row r="3036">
      <c r="A3036" s="1235"/>
      <c r="B3036" s="1235"/>
      <c r="C3036" s="1246"/>
      <c r="D3036" s="1274"/>
      <c r="E3036" s="1248"/>
      <c r="F3036" s="1248"/>
      <c r="G3036" s="1271"/>
      <c r="H3036" s="1250"/>
      <c r="I3036" s="1251"/>
      <c r="J3036" s="1271"/>
      <c r="K3036" s="1271"/>
      <c r="L3036" s="1254"/>
      <c r="M3036" s="1244"/>
      <c r="N3036" s="1275"/>
      <c r="O3036" s="1275"/>
      <c r="P3036" s="1244"/>
      <c r="Q3036" s="1244"/>
      <c r="R3036" s="1244"/>
      <c r="S3036" s="1265"/>
      <c r="T3036" s="1244"/>
      <c r="U3036" s="1244"/>
    </row>
    <row r="3037">
      <c r="A3037" s="1235"/>
      <c r="B3037" s="1235"/>
      <c r="C3037" s="1246"/>
      <c r="D3037" s="1274"/>
      <c r="E3037" s="1248"/>
      <c r="F3037" s="1248"/>
      <c r="G3037" s="1271"/>
      <c r="H3037" s="1250"/>
      <c r="I3037" s="1251"/>
      <c r="J3037" s="1271"/>
      <c r="K3037" s="1271"/>
      <c r="L3037" s="1254"/>
      <c r="M3037" s="1244"/>
      <c r="N3037" s="1275"/>
      <c r="O3037" s="1275"/>
      <c r="P3037" s="1244"/>
      <c r="Q3037" s="1244"/>
      <c r="R3037" s="1244"/>
      <c r="S3037" s="1265"/>
      <c r="T3037" s="1244"/>
      <c r="U3037" s="1244"/>
    </row>
    <row r="3038">
      <c r="A3038" s="1235"/>
      <c r="B3038" s="1235"/>
      <c r="C3038" s="1246"/>
      <c r="D3038" s="1274"/>
      <c r="E3038" s="1248"/>
      <c r="F3038" s="1248"/>
      <c r="G3038" s="1271"/>
      <c r="H3038" s="1250"/>
      <c r="I3038" s="1251"/>
      <c r="J3038" s="1271"/>
      <c r="K3038" s="1271"/>
      <c r="L3038" s="1254"/>
      <c r="M3038" s="1244"/>
      <c r="N3038" s="1275"/>
      <c r="O3038" s="1275"/>
      <c r="P3038" s="1244"/>
      <c r="Q3038" s="1244"/>
      <c r="R3038" s="1244"/>
      <c r="S3038" s="1265"/>
      <c r="T3038" s="1244"/>
      <c r="U3038" s="1244"/>
    </row>
    <row r="3039">
      <c r="A3039" s="1235"/>
      <c r="B3039" s="1235"/>
      <c r="C3039" s="1246"/>
      <c r="D3039" s="1274"/>
      <c r="E3039" s="1248"/>
      <c r="F3039" s="1248"/>
      <c r="G3039" s="1271"/>
      <c r="H3039" s="1250"/>
      <c r="I3039" s="1251"/>
      <c r="J3039" s="1271"/>
      <c r="K3039" s="1271"/>
      <c r="L3039" s="1254"/>
      <c r="M3039" s="1244"/>
      <c r="N3039" s="1275"/>
      <c r="O3039" s="1275"/>
      <c r="P3039" s="1244"/>
      <c r="Q3039" s="1244"/>
      <c r="R3039" s="1244"/>
      <c r="S3039" s="1265"/>
      <c r="T3039" s="1244"/>
      <c r="U3039" s="1244"/>
    </row>
    <row r="3040">
      <c r="A3040" s="1235"/>
      <c r="B3040" s="1235"/>
      <c r="C3040" s="1246"/>
      <c r="D3040" s="1274"/>
      <c r="E3040" s="1248"/>
      <c r="F3040" s="1248"/>
      <c r="G3040" s="1271"/>
      <c r="H3040" s="1250"/>
      <c r="I3040" s="1251"/>
      <c r="J3040" s="1271"/>
      <c r="K3040" s="1271"/>
      <c r="L3040" s="1254"/>
      <c r="M3040" s="1244"/>
      <c r="N3040" s="1275"/>
      <c r="O3040" s="1275"/>
      <c r="P3040" s="1244"/>
      <c r="Q3040" s="1244"/>
      <c r="R3040" s="1244"/>
      <c r="S3040" s="1265"/>
      <c r="T3040" s="1244"/>
      <c r="U3040" s="1244"/>
    </row>
    <row r="3041">
      <c r="A3041" s="1235"/>
      <c r="B3041" s="1235"/>
      <c r="C3041" s="1246"/>
      <c r="D3041" s="1274"/>
      <c r="E3041" s="1248"/>
      <c r="F3041" s="1248"/>
      <c r="G3041" s="1271"/>
      <c r="H3041" s="1250"/>
      <c r="I3041" s="1251"/>
      <c r="J3041" s="1271"/>
      <c r="K3041" s="1271"/>
      <c r="L3041" s="1254"/>
      <c r="M3041" s="1244"/>
      <c r="N3041" s="1275"/>
      <c r="O3041" s="1275"/>
      <c r="P3041" s="1244"/>
      <c r="Q3041" s="1244"/>
      <c r="R3041" s="1244"/>
      <c r="S3041" s="1265"/>
      <c r="T3041" s="1244"/>
      <c r="U3041" s="1244"/>
    </row>
    <row r="3042">
      <c r="A3042" s="1235"/>
      <c r="B3042" s="1235"/>
      <c r="C3042" s="1246"/>
      <c r="D3042" s="1274"/>
      <c r="E3042" s="1248"/>
      <c r="F3042" s="1248"/>
      <c r="G3042" s="1271"/>
      <c r="H3042" s="1250"/>
      <c r="I3042" s="1251"/>
      <c r="J3042" s="1271"/>
      <c r="K3042" s="1271"/>
      <c r="L3042" s="1254"/>
      <c r="M3042" s="1244"/>
      <c r="N3042" s="1275"/>
      <c r="O3042" s="1275"/>
      <c r="P3042" s="1244"/>
      <c r="Q3042" s="1244"/>
      <c r="R3042" s="1244"/>
      <c r="S3042" s="1265"/>
      <c r="T3042" s="1244"/>
      <c r="U3042" s="1244"/>
    </row>
    <row r="3043">
      <c r="A3043" s="1235"/>
      <c r="B3043" s="1235"/>
      <c r="C3043" s="1246"/>
      <c r="D3043" s="1274"/>
      <c r="E3043" s="1248"/>
      <c r="F3043" s="1248"/>
      <c r="G3043" s="1271"/>
      <c r="H3043" s="1250"/>
      <c r="I3043" s="1251"/>
      <c r="J3043" s="1271"/>
      <c r="K3043" s="1271"/>
      <c r="L3043" s="1254"/>
      <c r="M3043" s="1244"/>
      <c r="N3043" s="1275"/>
      <c r="O3043" s="1275"/>
      <c r="P3043" s="1244"/>
      <c r="Q3043" s="1244"/>
      <c r="R3043" s="1244"/>
      <c r="S3043" s="1265"/>
      <c r="T3043" s="1244"/>
      <c r="U3043" s="1244"/>
    </row>
    <row r="3044">
      <c r="A3044" s="1235"/>
      <c r="B3044" s="1235"/>
      <c r="C3044" s="1246"/>
      <c r="D3044" s="1274"/>
      <c r="E3044" s="1248"/>
      <c r="F3044" s="1248"/>
      <c r="G3044" s="1271"/>
      <c r="H3044" s="1250"/>
      <c r="I3044" s="1251"/>
      <c r="J3044" s="1271"/>
      <c r="K3044" s="1271"/>
      <c r="L3044" s="1254"/>
      <c r="M3044" s="1244"/>
      <c r="N3044" s="1275"/>
      <c r="O3044" s="1275"/>
      <c r="P3044" s="1244"/>
      <c r="Q3044" s="1244"/>
      <c r="R3044" s="1244"/>
      <c r="S3044" s="1265"/>
      <c r="T3044" s="1244"/>
      <c r="U3044" s="1244"/>
    </row>
    <row r="3045">
      <c r="A3045" s="1235"/>
      <c r="B3045" s="1235"/>
      <c r="C3045" s="1246"/>
      <c r="D3045" s="1274"/>
      <c r="E3045" s="1248"/>
      <c r="F3045" s="1248"/>
      <c r="G3045" s="1271"/>
      <c r="H3045" s="1250"/>
      <c r="I3045" s="1251"/>
      <c r="J3045" s="1271"/>
      <c r="K3045" s="1271"/>
      <c r="L3045" s="1254"/>
      <c r="M3045" s="1244"/>
      <c r="N3045" s="1275"/>
      <c r="O3045" s="1275"/>
      <c r="P3045" s="1244"/>
      <c r="Q3045" s="1244"/>
      <c r="R3045" s="1244"/>
      <c r="S3045" s="1265"/>
      <c r="T3045" s="1244"/>
      <c r="U3045" s="1244"/>
    </row>
    <row r="3046">
      <c r="A3046" s="1235"/>
      <c r="B3046" s="1235"/>
      <c r="C3046" s="1246"/>
      <c r="D3046" s="1274"/>
      <c r="E3046" s="1248"/>
      <c r="F3046" s="1248"/>
      <c r="G3046" s="1271"/>
      <c r="H3046" s="1250"/>
      <c r="I3046" s="1251"/>
      <c r="J3046" s="1271"/>
      <c r="K3046" s="1271"/>
      <c r="L3046" s="1254"/>
      <c r="M3046" s="1244"/>
      <c r="N3046" s="1275"/>
      <c r="O3046" s="1275"/>
      <c r="P3046" s="1244"/>
      <c r="Q3046" s="1244"/>
      <c r="R3046" s="1244"/>
      <c r="S3046" s="1265"/>
      <c r="T3046" s="1244"/>
      <c r="U3046" s="1244"/>
    </row>
    <row r="3047">
      <c r="A3047" s="1235"/>
      <c r="B3047" s="1235"/>
      <c r="C3047" s="1246"/>
      <c r="D3047" s="1274"/>
      <c r="E3047" s="1248"/>
      <c r="F3047" s="1248"/>
      <c r="G3047" s="1271"/>
      <c r="H3047" s="1250"/>
      <c r="I3047" s="1251"/>
      <c r="J3047" s="1271"/>
      <c r="K3047" s="1271"/>
      <c r="L3047" s="1254"/>
      <c r="M3047" s="1244"/>
      <c r="N3047" s="1275"/>
      <c r="O3047" s="1275"/>
      <c r="P3047" s="1244"/>
      <c r="Q3047" s="1244"/>
      <c r="R3047" s="1244"/>
      <c r="S3047" s="1265"/>
      <c r="T3047" s="1244"/>
      <c r="U3047" s="1244"/>
    </row>
    <row r="3048">
      <c r="A3048" s="1235"/>
      <c r="B3048" s="1235"/>
      <c r="C3048" s="1246"/>
      <c r="D3048" s="1274"/>
      <c r="E3048" s="1248"/>
      <c r="F3048" s="1248"/>
      <c r="G3048" s="1271"/>
      <c r="H3048" s="1250"/>
      <c r="I3048" s="1251"/>
      <c r="J3048" s="1271"/>
      <c r="K3048" s="1271"/>
      <c r="L3048" s="1254"/>
      <c r="M3048" s="1244"/>
      <c r="N3048" s="1275"/>
      <c r="O3048" s="1275"/>
      <c r="P3048" s="1244"/>
      <c r="Q3048" s="1244"/>
      <c r="R3048" s="1244"/>
      <c r="S3048" s="1265"/>
      <c r="T3048" s="1244"/>
      <c r="U3048" s="1244"/>
    </row>
    <row r="3049">
      <c r="A3049" s="1235"/>
      <c r="B3049" s="1235"/>
      <c r="C3049" s="1246"/>
      <c r="D3049" s="1274"/>
      <c r="E3049" s="1248"/>
      <c r="F3049" s="1248"/>
      <c r="G3049" s="1271"/>
      <c r="H3049" s="1250"/>
      <c r="I3049" s="1251"/>
      <c r="J3049" s="1271"/>
      <c r="K3049" s="1271"/>
      <c r="L3049" s="1254"/>
      <c r="M3049" s="1244"/>
      <c r="N3049" s="1275"/>
      <c r="O3049" s="1275"/>
      <c r="P3049" s="1244"/>
      <c r="Q3049" s="1244"/>
      <c r="R3049" s="1244"/>
      <c r="S3049" s="1265"/>
      <c r="T3049" s="1244"/>
      <c r="U3049" s="1244"/>
    </row>
    <row r="3050">
      <c r="A3050" s="1235"/>
      <c r="B3050" s="1235"/>
      <c r="C3050" s="1246"/>
      <c r="D3050" s="1274"/>
      <c r="E3050" s="1248"/>
      <c r="F3050" s="1248"/>
      <c r="G3050" s="1271"/>
      <c r="H3050" s="1250"/>
      <c r="I3050" s="1251"/>
      <c r="J3050" s="1271"/>
      <c r="K3050" s="1271"/>
      <c r="L3050" s="1254"/>
      <c r="M3050" s="1244"/>
      <c r="N3050" s="1275"/>
      <c r="O3050" s="1275"/>
      <c r="P3050" s="1244"/>
      <c r="Q3050" s="1244"/>
      <c r="R3050" s="1244"/>
      <c r="S3050" s="1265"/>
      <c r="T3050" s="1244"/>
      <c r="U3050" s="1244"/>
    </row>
    <row r="3051">
      <c r="A3051" s="1235"/>
      <c r="B3051" s="1235"/>
      <c r="C3051" s="1246"/>
      <c r="D3051" s="1274"/>
      <c r="E3051" s="1248"/>
      <c r="F3051" s="1248"/>
      <c r="G3051" s="1271"/>
      <c r="H3051" s="1250"/>
      <c r="I3051" s="1251"/>
      <c r="J3051" s="1271"/>
      <c r="K3051" s="1271"/>
      <c r="L3051" s="1254"/>
      <c r="M3051" s="1244"/>
      <c r="N3051" s="1275"/>
      <c r="O3051" s="1275"/>
      <c r="P3051" s="1244"/>
      <c r="Q3051" s="1244"/>
      <c r="R3051" s="1244"/>
      <c r="S3051" s="1265"/>
      <c r="T3051" s="1244"/>
      <c r="U3051" s="1244"/>
    </row>
    <row r="3052">
      <c r="A3052" s="1235"/>
      <c r="B3052" s="1235"/>
      <c r="C3052" s="1246"/>
      <c r="D3052" s="1274"/>
      <c r="E3052" s="1248"/>
      <c r="F3052" s="1248"/>
      <c r="G3052" s="1271"/>
      <c r="H3052" s="1250"/>
      <c r="I3052" s="1251"/>
      <c r="J3052" s="1271"/>
      <c r="K3052" s="1271"/>
      <c r="L3052" s="1254"/>
      <c r="M3052" s="1244"/>
      <c r="N3052" s="1275"/>
      <c r="O3052" s="1275"/>
      <c r="P3052" s="1244"/>
      <c r="Q3052" s="1244"/>
      <c r="R3052" s="1244"/>
      <c r="S3052" s="1265"/>
      <c r="T3052" s="1244"/>
      <c r="U3052" s="1244"/>
    </row>
    <row r="3053">
      <c r="A3053" s="1235"/>
      <c r="B3053" s="1235"/>
      <c r="C3053" s="1246"/>
      <c r="D3053" s="1274"/>
      <c r="E3053" s="1248"/>
      <c r="F3053" s="1248"/>
      <c r="G3053" s="1271"/>
      <c r="H3053" s="1250"/>
      <c r="I3053" s="1251"/>
      <c r="J3053" s="1271"/>
      <c r="K3053" s="1271"/>
      <c r="L3053" s="1254"/>
      <c r="M3053" s="1244"/>
      <c r="N3053" s="1275"/>
      <c r="O3053" s="1275"/>
      <c r="P3053" s="1244"/>
      <c r="Q3053" s="1244"/>
      <c r="R3053" s="1244"/>
      <c r="S3053" s="1265"/>
      <c r="T3053" s="1244"/>
      <c r="U3053" s="1244"/>
    </row>
    <row r="3054">
      <c r="A3054" s="1235"/>
      <c r="B3054" s="1235"/>
      <c r="C3054" s="1246"/>
      <c r="D3054" s="1274"/>
      <c r="E3054" s="1248"/>
      <c r="F3054" s="1248"/>
      <c r="G3054" s="1271"/>
      <c r="H3054" s="1250"/>
      <c r="I3054" s="1251"/>
      <c r="J3054" s="1271"/>
      <c r="K3054" s="1271"/>
      <c r="L3054" s="1254"/>
      <c r="M3054" s="1244"/>
      <c r="N3054" s="1275"/>
      <c r="O3054" s="1275"/>
      <c r="P3054" s="1244"/>
      <c r="Q3054" s="1244"/>
      <c r="R3054" s="1244"/>
      <c r="S3054" s="1265"/>
      <c r="T3054" s="1244"/>
      <c r="U3054" s="1244"/>
    </row>
    <row r="3055">
      <c r="A3055" s="1235"/>
      <c r="B3055" s="1235"/>
      <c r="C3055" s="1246"/>
      <c r="D3055" s="1274"/>
      <c r="E3055" s="1248"/>
      <c r="F3055" s="1248"/>
      <c r="G3055" s="1271"/>
      <c r="H3055" s="1250"/>
      <c r="I3055" s="1251"/>
      <c r="J3055" s="1271"/>
      <c r="K3055" s="1271"/>
      <c r="L3055" s="1254"/>
      <c r="M3055" s="1244"/>
      <c r="N3055" s="1275"/>
      <c r="O3055" s="1275"/>
      <c r="P3055" s="1244"/>
      <c r="Q3055" s="1244"/>
      <c r="R3055" s="1244"/>
      <c r="S3055" s="1265"/>
      <c r="T3055" s="1244"/>
      <c r="U3055" s="1244"/>
    </row>
    <row r="3056">
      <c r="A3056" s="1235"/>
      <c r="B3056" s="1235"/>
      <c r="C3056" s="1246"/>
      <c r="D3056" s="1274"/>
      <c r="E3056" s="1248"/>
      <c r="F3056" s="1248"/>
      <c r="G3056" s="1271"/>
      <c r="H3056" s="1250"/>
      <c r="I3056" s="1251"/>
      <c r="J3056" s="1271"/>
      <c r="K3056" s="1271"/>
      <c r="L3056" s="1254"/>
      <c r="M3056" s="1244"/>
      <c r="N3056" s="1275"/>
      <c r="O3056" s="1275"/>
      <c r="P3056" s="1244"/>
      <c r="Q3056" s="1244"/>
      <c r="R3056" s="1244"/>
      <c r="S3056" s="1265"/>
      <c r="T3056" s="1244"/>
      <c r="U3056" s="1244"/>
    </row>
    <row r="3057">
      <c r="A3057" s="1235"/>
      <c r="B3057" s="1235"/>
      <c r="C3057" s="1246"/>
      <c r="D3057" s="1274"/>
      <c r="E3057" s="1248"/>
      <c r="F3057" s="1248"/>
      <c r="G3057" s="1271"/>
      <c r="H3057" s="1250"/>
      <c r="I3057" s="1251"/>
      <c r="J3057" s="1271"/>
      <c r="K3057" s="1271"/>
      <c r="L3057" s="1254"/>
      <c r="M3057" s="1244"/>
      <c r="N3057" s="1275"/>
      <c r="O3057" s="1275"/>
      <c r="P3057" s="1244"/>
      <c r="Q3057" s="1244"/>
      <c r="R3057" s="1244"/>
      <c r="S3057" s="1265"/>
      <c r="T3057" s="1244"/>
      <c r="U3057" s="1244"/>
    </row>
    <row r="3058">
      <c r="A3058" s="1235"/>
      <c r="B3058" s="1235"/>
      <c r="C3058" s="1246"/>
      <c r="D3058" s="1274"/>
      <c r="E3058" s="1248"/>
      <c r="F3058" s="1248"/>
      <c r="G3058" s="1271"/>
      <c r="H3058" s="1250"/>
      <c r="I3058" s="1251"/>
      <c r="J3058" s="1271"/>
      <c r="K3058" s="1271"/>
      <c r="L3058" s="1254"/>
      <c r="M3058" s="1244"/>
      <c r="N3058" s="1275"/>
      <c r="O3058" s="1275"/>
      <c r="P3058" s="1244"/>
      <c r="Q3058" s="1244"/>
      <c r="R3058" s="1244"/>
      <c r="S3058" s="1265"/>
      <c r="T3058" s="1244"/>
      <c r="U3058" s="1244"/>
    </row>
    <row r="3059">
      <c r="A3059" s="1235"/>
      <c r="B3059" s="1235"/>
      <c r="C3059" s="1246"/>
      <c r="D3059" s="1274"/>
      <c r="E3059" s="1248"/>
      <c r="F3059" s="1248"/>
      <c r="G3059" s="1271"/>
      <c r="H3059" s="1250"/>
      <c r="I3059" s="1251"/>
      <c r="J3059" s="1271"/>
      <c r="K3059" s="1271"/>
      <c r="L3059" s="1254"/>
      <c r="M3059" s="1244"/>
      <c r="N3059" s="1275"/>
      <c r="O3059" s="1275"/>
      <c r="P3059" s="1244"/>
      <c r="Q3059" s="1244"/>
      <c r="R3059" s="1244"/>
      <c r="S3059" s="1265"/>
      <c r="T3059" s="1244"/>
      <c r="U3059" s="1244"/>
    </row>
    <row r="3060">
      <c r="A3060" s="1235"/>
      <c r="B3060" s="1235"/>
      <c r="C3060" s="1246"/>
      <c r="D3060" s="1274"/>
      <c r="E3060" s="1248"/>
      <c r="F3060" s="1248"/>
      <c r="G3060" s="1271"/>
      <c r="H3060" s="1250"/>
      <c r="I3060" s="1251"/>
      <c r="J3060" s="1271"/>
      <c r="K3060" s="1271"/>
      <c r="L3060" s="1254"/>
      <c r="M3060" s="1244"/>
      <c r="N3060" s="1275"/>
      <c r="O3060" s="1275"/>
      <c r="P3060" s="1244"/>
      <c r="Q3060" s="1244"/>
      <c r="R3060" s="1244"/>
      <c r="S3060" s="1265"/>
      <c r="T3060" s="1244"/>
      <c r="U3060" s="1244"/>
    </row>
    <row r="3061">
      <c r="A3061" s="1235"/>
      <c r="B3061" s="1235"/>
      <c r="C3061" s="1246"/>
      <c r="D3061" s="1274"/>
      <c r="E3061" s="1248"/>
      <c r="F3061" s="1248"/>
      <c r="G3061" s="1271"/>
      <c r="H3061" s="1250"/>
      <c r="I3061" s="1251"/>
      <c r="J3061" s="1271"/>
      <c r="K3061" s="1271"/>
      <c r="L3061" s="1254"/>
      <c r="M3061" s="1244"/>
      <c r="N3061" s="1275"/>
      <c r="O3061" s="1275"/>
      <c r="P3061" s="1244"/>
      <c r="Q3061" s="1244"/>
      <c r="R3061" s="1244"/>
      <c r="S3061" s="1265"/>
      <c r="T3061" s="1244"/>
      <c r="U3061" s="1244"/>
    </row>
    <row r="3062">
      <c r="A3062" s="1235"/>
      <c r="B3062" s="1235"/>
      <c r="C3062" s="1246"/>
      <c r="D3062" s="1274"/>
      <c r="E3062" s="1248"/>
      <c r="F3062" s="1248"/>
      <c r="G3062" s="1271"/>
      <c r="H3062" s="1250"/>
      <c r="I3062" s="1251"/>
      <c r="J3062" s="1271"/>
      <c r="K3062" s="1271"/>
      <c r="L3062" s="1254"/>
      <c r="M3062" s="1244"/>
      <c r="N3062" s="1275"/>
      <c r="O3062" s="1275"/>
      <c r="P3062" s="1244"/>
      <c r="Q3062" s="1244"/>
      <c r="R3062" s="1244"/>
      <c r="S3062" s="1265"/>
      <c r="T3062" s="1244"/>
      <c r="U3062" s="1244"/>
    </row>
    <row r="3063">
      <c r="A3063" s="1235"/>
      <c r="B3063" s="1235"/>
      <c r="C3063" s="1246"/>
      <c r="D3063" s="1274"/>
      <c r="E3063" s="1248"/>
      <c r="F3063" s="1248"/>
      <c r="G3063" s="1271"/>
      <c r="H3063" s="1250"/>
      <c r="I3063" s="1251"/>
      <c r="J3063" s="1271"/>
      <c r="K3063" s="1271"/>
      <c r="L3063" s="1254"/>
      <c r="M3063" s="1244"/>
      <c r="N3063" s="1275"/>
      <c r="O3063" s="1275"/>
      <c r="P3063" s="1244"/>
      <c r="Q3063" s="1244"/>
      <c r="R3063" s="1244"/>
      <c r="S3063" s="1265"/>
      <c r="T3063" s="1244"/>
      <c r="U3063" s="1244"/>
    </row>
    <row r="3064">
      <c r="A3064" s="1235"/>
      <c r="B3064" s="1235"/>
      <c r="C3064" s="1246"/>
      <c r="D3064" s="1274"/>
      <c r="E3064" s="1248"/>
      <c r="F3064" s="1248"/>
      <c r="G3064" s="1271"/>
      <c r="H3064" s="1250"/>
      <c r="I3064" s="1251"/>
      <c r="J3064" s="1271"/>
      <c r="K3064" s="1271"/>
      <c r="L3064" s="1254"/>
      <c r="M3064" s="1244"/>
      <c r="N3064" s="1275"/>
      <c r="O3064" s="1275"/>
      <c r="P3064" s="1244"/>
      <c r="Q3064" s="1244"/>
      <c r="R3064" s="1244"/>
      <c r="S3064" s="1265"/>
      <c r="T3064" s="1244"/>
      <c r="U3064" s="1244"/>
    </row>
    <row r="3065">
      <c r="A3065" s="1235"/>
      <c r="B3065" s="1235"/>
      <c r="C3065" s="1246"/>
      <c r="D3065" s="1274"/>
      <c r="E3065" s="1248"/>
      <c r="F3065" s="1248"/>
      <c r="G3065" s="1271"/>
      <c r="H3065" s="1250"/>
      <c r="I3065" s="1251"/>
      <c r="J3065" s="1271"/>
      <c r="K3065" s="1271"/>
      <c r="L3065" s="1254"/>
      <c r="M3065" s="1244"/>
      <c r="N3065" s="1275"/>
      <c r="O3065" s="1275"/>
      <c r="P3065" s="1244"/>
      <c r="Q3065" s="1244"/>
      <c r="R3065" s="1244"/>
      <c r="S3065" s="1265"/>
      <c r="T3065" s="1244"/>
      <c r="U3065" s="1244"/>
    </row>
    <row r="3066">
      <c r="A3066" s="1235"/>
      <c r="B3066" s="1235"/>
      <c r="C3066" s="1246"/>
      <c r="D3066" s="1274"/>
      <c r="E3066" s="1248"/>
      <c r="F3066" s="1248"/>
      <c r="G3066" s="1271"/>
      <c r="H3066" s="1250"/>
      <c r="I3066" s="1251"/>
      <c r="J3066" s="1271"/>
      <c r="K3066" s="1271"/>
      <c r="L3066" s="1254"/>
      <c r="M3066" s="1244"/>
      <c r="N3066" s="1275"/>
      <c r="O3066" s="1275"/>
      <c r="P3066" s="1244"/>
      <c r="Q3066" s="1244"/>
      <c r="R3066" s="1244"/>
      <c r="S3066" s="1265"/>
      <c r="T3066" s="1244"/>
      <c r="U3066" s="1244"/>
    </row>
    <row r="3067">
      <c r="A3067" s="1235"/>
      <c r="B3067" s="1235"/>
      <c r="C3067" s="1246"/>
      <c r="D3067" s="1274"/>
      <c r="E3067" s="1248"/>
      <c r="F3067" s="1248"/>
      <c r="G3067" s="1271"/>
      <c r="H3067" s="1250"/>
      <c r="I3067" s="1251"/>
      <c r="J3067" s="1271"/>
      <c r="K3067" s="1271"/>
      <c r="L3067" s="1254"/>
      <c r="M3067" s="1244"/>
      <c r="N3067" s="1275"/>
      <c r="O3067" s="1275"/>
      <c r="P3067" s="1244"/>
      <c r="Q3067" s="1244"/>
      <c r="R3067" s="1244"/>
      <c r="S3067" s="1265"/>
      <c r="T3067" s="1244"/>
      <c r="U3067" s="1244"/>
    </row>
    <row r="3068">
      <c r="A3068" s="1235"/>
      <c r="B3068" s="1235"/>
      <c r="C3068" s="1246"/>
      <c r="D3068" s="1274"/>
      <c r="E3068" s="1248"/>
      <c r="F3068" s="1248"/>
      <c r="G3068" s="1271"/>
      <c r="H3068" s="1250"/>
      <c r="I3068" s="1251"/>
      <c r="J3068" s="1271"/>
      <c r="K3068" s="1271"/>
      <c r="L3068" s="1254"/>
      <c r="M3068" s="1244"/>
      <c r="N3068" s="1275"/>
      <c r="O3068" s="1275"/>
      <c r="P3068" s="1244"/>
      <c r="Q3068" s="1244"/>
      <c r="R3068" s="1244"/>
      <c r="S3068" s="1265"/>
      <c r="T3068" s="1244"/>
      <c r="U3068" s="1244"/>
    </row>
    <row r="3069">
      <c r="A3069" s="1235"/>
      <c r="B3069" s="1235"/>
      <c r="C3069" s="1246"/>
      <c r="D3069" s="1274"/>
      <c r="E3069" s="1248"/>
      <c r="F3069" s="1248"/>
      <c r="G3069" s="1271"/>
      <c r="H3069" s="1250"/>
      <c r="I3069" s="1251"/>
      <c r="J3069" s="1271"/>
      <c r="K3069" s="1271"/>
      <c r="L3069" s="1254"/>
      <c r="M3069" s="1244"/>
      <c r="N3069" s="1275"/>
      <c r="O3069" s="1275"/>
      <c r="P3069" s="1244"/>
      <c r="Q3069" s="1244"/>
      <c r="R3069" s="1244"/>
      <c r="S3069" s="1265"/>
      <c r="T3069" s="1244"/>
      <c r="U3069" s="1244"/>
    </row>
    <row r="3070">
      <c r="A3070" s="1235"/>
      <c r="B3070" s="1235"/>
      <c r="C3070" s="1246"/>
      <c r="D3070" s="1274"/>
      <c r="E3070" s="1248"/>
      <c r="F3070" s="1248"/>
      <c r="G3070" s="1271"/>
      <c r="H3070" s="1250"/>
      <c r="I3070" s="1251"/>
      <c r="J3070" s="1271"/>
      <c r="K3070" s="1271"/>
      <c r="L3070" s="1254"/>
      <c r="M3070" s="1244"/>
      <c r="N3070" s="1275"/>
      <c r="O3070" s="1275"/>
      <c r="P3070" s="1244"/>
      <c r="Q3070" s="1244"/>
      <c r="R3070" s="1244"/>
      <c r="S3070" s="1265"/>
      <c r="T3070" s="1244"/>
      <c r="U3070" s="1244"/>
    </row>
    <row r="3071">
      <c r="A3071" s="1235"/>
      <c r="B3071" s="1235"/>
      <c r="C3071" s="1246"/>
      <c r="D3071" s="1274"/>
      <c r="E3071" s="1248"/>
      <c r="F3071" s="1248"/>
      <c r="G3071" s="1271"/>
      <c r="H3071" s="1250"/>
      <c r="I3071" s="1251"/>
      <c r="J3071" s="1271"/>
      <c r="K3071" s="1271"/>
      <c r="L3071" s="1254"/>
      <c r="M3071" s="1244"/>
      <c r="N3071" s="1275"/>
      <c r="O3071" s="1275"/>
      <c r="P3071" s="1244"/>
      <c r="Q3071" s="1244"/>
      <c r="R3071" s="1244"/>
      <c r="S3071" s="1265"/>
      <c r="T3071" s="1244"/>
      <c r="U3071" s="1244"/>
    </row>
    <row r="3072">
      <c r="A3072" s="1235"/>
      <c r="B3072" s="1235"/>
      <c r="C3072" s="1246"/>
      <c r="D3072" s="1274"/>
      <c r="E3072" s="1248"/>
      <c r="F3072" s="1248"/>
      <c r="G3072" s="1271"/>
      <c r="H3072" s="1250"/>
      <c r="I3072" s="1251"/>
      <c r="J3072" s="1271"/>
      <c r="K3072" s="1271"/>
      <c r="L3072" s="1254"/>
      <c r="M3072" s="1244"/>
      <c r="N3072" s="1275"/>
      <c r="O3072" s="1275"/>
      <c r="P3072" s="1244"/>
      <c r="Q3072" s="1244"/>
      <c r="R3072" s="1244"/>
      <c r="S3072" s="1265"/>
      <c r="T3072" s="1244"/>
      <c r="U3072" s="1244"/>
    </row>
    <row r="3073">
      <c r="A3073" s="1235"/>
      <c r="B3073" s="1235"/>
      <c r="C3073" s="1246"/>
      <c r="D3073" s="1274"/>
      <c r="E3073" s="1248"/>
      <c r="F3073" s="1248"/>
      <c r="G3073" s="1271"/>
      <c r="H3073" s="1250"/>
      <c r="I3073" s="1251"/>
      <c r="J3073" s="1271"/>
      <c r="K3073" s="1271"/>
      <c r="L3073" s="1254"/>
      <c r="M3073" s="1244"/>
      <c r="N3073" s="1275"/>
      <c r="O3073" s="1275"/>
      <c r="P3073" s="1244"/>
      <c r="Q3073" s="1244"/>
      <c r="R3073" s="1244"/>
      <c r="S3073" s="1265"/>
      <c r="T3073" s="1244"/>
      <c r="U3073" s="1244"/>
    </row>
    <row r="3074">
      <c r="A3074" s="1235"/>
      <c r="B3074" s="1235"/>
      <c r="C3074" s="1246"/>
      <c r="D3074" s="1274"/>
      <c r="E3074" s="1248"/>
      <c r="F3074" s="1248"/>
      <c r="G3074" s="1271"/>
      <c r="H3074" s="1250"/>
      <c r="I3074" s="1251"/>
      <c r="J3074" s="1271"/>
      <c r="K3074" s="1271"/>
      <c r="L3074" s="1254"/>
      <c r="M3074" s="1244"/>
      <c r="N3074" s="1275"/>
      <c r="O3074" s="1275"/>
      <c r="P3074" s="1244"/>
      <c r="Q3074" s="1244"/>
      <c r="R3074" s="1244"/>
      <c r="S3074" s="1265"/>
      <c r="T3074" s="1244"/>
      <c r="U3074" s="1244"/>
    </row>
    <row r="3075">
      <c r="A3075" s="1235"/>
      <c r="B3075" s="1235"/>
      <c r="C3075" s="1246"/>
      <c r="D3075" s="1274"/>
      <c r="E3075" s="1248"/>
      <c r="F3075" s="1248"/>
      <c r="G3075" s="1271"/>
      <c r="H3075" s="1250"/>
      <c r="I3075" s="1251"/>
      <c r="J3075" s="1271"/>
      <c r="K3075" s="1271"/>
      <c r="L3075" s="1254"/>
      <c r="M3075" s="1244"/>
      <c r="N3075" s="1275"/>
      <c r="O3075" s="1275"/>
      <c r="P3075" s="1244"/>
      <c r="Q3075" s="1244"/>
      <c r="R3075" s="1244"/>
      <c r="S3075" s="1265"/>
      <c r="T3075" s="1244"/>
      <c r="U3075" s="1244"/>
    </row>
    <row r="3076">
      <c r="A3076" s="1235"/>
      <c r="B3076" s="1235"/>
      <c r="C3076" s="1246"/>
      <c r="D3076" s="1274"/>
      <c r="E3076" s="1248"/>
      <c r="F3076" s="1248"/>
      <c r="G3076" s="1271"/>
      <c r="H3076" s="1250"/>
      <c r="I3076" s="1251"/>
      <c r="J3076" s="1271"/>
      <c r="K3076" s="1271"/>
      <c r="L3076" s="1254"/>
      <c r="M3076" s="1244"/>
      <c r="N3076" s="1275"/>
      <c r="O3076" s="1275"/>
      <c r="P3076" s="1244"/>
      <c r="Q3076" s="1244"/>
      <c r="R3076" s="1244"/>
      <c r="S3076" s="1265"/>
      <c r="T3076" s="1244"/>
      <c r="U3076" s="1244"/>
    </row>
    <row r="3077">
      <c r="A3077" s="1235"/>
      <c r="B3077" s="1235"/>
      <c r="C3077" s="1246"/>
      <c r="D3077" s="1274"/>
      <c r="E3077" s="1248"/>
      <c r="F3077" s="1248"/>
      <c r="G3077" s="1271"/>
      <c r="H3077" s="1250"/>
      <c r="I3077" s="1251"/>
      <c r="J3077" s="1271"/>
      <c r="K3077" s="1271"/>
      <c r="L3077" s="1254"/>
      <c r="M3077" s="1244"/>
      <c r="N3077" s="1275"/>
      <c r="O3077" s="1275"/>
      <c r="P3077" s="1244"/>
      <c r="Q3077" s="1244"/>
      <c r="R3077" s="1244"/>
      <c r="S3077" s="1265"/>
      <c r="T3077" s="1244"/>
      <c r="U3077" s="1244"/>
    </row>
    <row r="3078">
      <c r="A3078" s="1235"/>
      <c r="B3078" s="1235"/>
      <c r="C3078" s="1246"/>
      <c r="D3078" s="1274"/>
      <c r="E3078" s="1248"/>
      <c r="F3078" s="1248"/>
      <c r="G3078" s="1271"/>
      <c r="H3078" s="1250"/>
      <c r="I3078" s="1251"/>
      <c r="J3078" s="1271"/>
      <c r="K3078" s="1271"/>
      <c r="L3078" s="1254"/>
      <c r="M3078" s="1244"/>
      <c r="N3078" s="1275"/>
      <c r="O3078" s="1275"/>
      <c r="P3078" s="1244"/>
      <c r="Q3078" s="1244"/>
      <c r="R3078" s="1244"/>
      <c r="S3078" s="1265"/>
      <c r="T3078" s="1244"/>
      <c r="U3078" s="1244"/>
    </row>
    <row r="3079">
      <c r="A3079" s="1235"/>
      <c r="B3079" s="1235"/>
      <c r="C3079" s="1246"/>
      <c r="D3079" s="1274"/>
      <c r="E3079" s="1248"/>
      <c r="F3079" s="1248"/>
      <c r="G3079" s="1271"/>
      <c r="H3079" s="1250"/>
      <c r="I3079" s="1251"/>
      <c r="J3079" s="1271"/>
      <c r="K3079" s="1271"/>
      <c r="L3079" s="1254"/>
      <c r="M3079" s="1244"/>
      <c r="N3079" s="1275"/>
      <c r="O3079" s="1275"/>
      <c r="P3079" s="1244"/>
      <c r="Q3079" s="1244"/>
      <c r="R3079" s="1244"/>
      <c r="S3079" s="1265"/>
      <c r="T3079" s="1244"/>
      <c r="U3079" s="1244"/>
    </row>
    <row r="3080">
      <c r="A3080" s="1235"/>
      <c r="B3080" s="1235"/>
      <c r="C3080" s="1246"/>
      <c r="D3080" s="1274"/>
      <c r="E3080" s="1248"/>
      <c r="F3080" s="1248"/>
      <c r="G3080" s="1271"/>
      <c r="H3080" s="1250"/>
      <c r="I3080" s="1251"/>
      <c r="J3080" s="1271"/>
      <c r="K3080" s="1271"/>
      <c r="L3080" s="1254"/>
      <c r="M3080" s="1244"/>
      <c r="N3080" s="1275"/>
      <c r="O3080" s="1275"/>
      <c r="P3080" s="1244"/>
      <c r="Q3080" s="1244"/>
      <c r="R3080" s="1244"/>
      <c r="S3080" s="1265"/>
      <c r="T3080" s="1244"/>
      <c r="U3080" s="1244"/>
    </row>
    <row r="3081">
      <c r="A3081" s="1235"/>
      <c r="B3081" s="1235"/>
      <c r="C3081" s="1246"/>
      <c r="D3081" s="1274"/>
      <c r="E3081" s="1248"/>
      <c r="F3081" s="1248"/>
      <c r="G3081" s="1271"/>
      <c r="H3081" s="1250"/>
      <c r="I3081" s="1251"/>
      <c r="J3081" s="1271"/>
      <c r="K3081" s="1271"/>
      <c r="L3081" s="1254"/>
      <c r="M3081" s="1244"/>
      <c r="N3081" s="1275"/>
      <c r="O3081" s="1275"/>
      <c r="P3081" s="1244"/>
      <c r="Q3081" s="1244"/>
      <c r="R3081" s="1244"/>
      <c r="S3081" s="1265"/>
      <c r="T3081" s="1244"/>
      <c r="U3081" s="1244"/>
    </row>
    <row r="3082">
      <c r="A3082" s="1235"/>
      <c r="B3082" s="1235"/>
      <c r="C3082" s="1246"/>
      <c r="D3082" s="1274"/>
      <c r="E3082" s="1248"/>
      <c r="F3082" s="1248"/>
      <c r="G3082" s="1271"/>
      <c r="H3082" s="1250"/>
      <c r="I3082" s="1251"/>
      <c r="J3082" s="1271"/>
      <c r="K3082" s="1271"/>
      <c r="L3082" s="1254"/>
      <c r="M3082" s="1244"/>
      <c r="N3082" s="1275"/>
      <c r="O3082" s="1275"/>
      <c r="P3082" s="1244"/>
      <c r="Q3082" s="1244"/>
      <c r="R3082" s="1244"/>
      <c r="S3082" s="1265"/>
      <c r="T3082" s="1244"/>
      <c r="U3082" s="1244"/>
    </row>
    <row r="3083">
      <c r="A3083" s="1235"/>
      <c r="B3083" s="1235"/>
      <c r="C3083" s="1246"/>
      <c r="D3083" s="1274"/>
      <c r="E3083" s="1248"/>
      <c r="F3083" s="1248"/>
      <c r="G3083" s="1271"/>
      <c r="H3083" s="1250"/>
      <c r="I3083" s="1251"/>
      <c r="J3083" s="1271"/>
      <c r="K3083" s="1271"/>
      <c r="L3083" s="1254"/>
      <c r="M3083" s="1244"/>
      <c r="N3083" s="1275"/>
      <c r="O3083" s="1275"/>
      <c r="P3083" s="1244"/>
      <c r="Q3083" s="1244"/>
      <c r="R3083" s="1244"/>
      <c r="S3083" s="1265"/>
      <c r="T3083" s="1244"/>
      <c r="U3083" s="1244"/>
    </row>
    <row r="3084">
      <c r="A3084" s="1235"/>
      <c r="B3084" s="1235"/>
      <c r="C3084" s="1246"/>
      <c r="D3084" s="1274"/>
      <c r="E3084" s="1248"/>
      <c r="F3084" s="1248"/>
      <c r="G3084" s="1271"/>
      <c r="H3084" s="1250"/>
      <c r="I3084" s="1251"/>
      <c r="J3084" s="1271"/>
      <c r="K3084" s="1271"/>
      <c r="L3084" s="1254"/>
      <c r="M3084" s="1244"/>
      <c r="N3084" s="1275"/>
      <c r="O3084" s="1275"/>
      <c r="P3084" s="1244"/>
      <c r="Q3084" s="1244"/>
      <c r="R3084" s="1244"/>
      <c r="S3084" s="1265"/>
      <c r="T3084" s="1244"/>
      <c r="U3084" s="1244"/>
    </row>
    <row r="3085">
      <c r="A3085" s="1235"/>
      <c r="B3085" s="1235"/>
      <c r="C3085" s="1246"/>
      <c r="D3085" s="1274"/>
      <c r="E3085" s="1248"/>
      <c r="F3085" s="1248"/>
      <c r="G3085" s="1271"/>
      <c r="H3085" s="1250"/>
      <c r="I3085" s="1251"/>
      <c r="J3085" s="1271"/>
      <c r="K3085" s="1271"/>
      <c r="L3085" s="1254"/>
      <c r="M3085" s="1244"/>
      <c r="N3085" s="1275"/>
      <c r="O3085" s="1275"/>
      <c r="P3085" s="1244"/>
      <c r="Q3085" s="1244"/>
      <c r="R3085" s="1244"/>
      <c r="S3085" s="1265"/>
      <c r="T3085" s="1244"/>
      <c r="U3085" s="1244"/>
    </row>
    <row r="3086">
      <c r="A3086" s="1235"/>
      <c r="B3086" s="1235"/>
      <c r="C3086" s="1246"/>
      <c r="D3086" s="1274"/>
      <c r="E3086" s="1248"/>
      <c r="F3086" s="1248"/>
      <c r="G3086" s="1271"/>
      <c r="H3086" s="1250"/>
      <c r="I3086" s="1251"/>
      <c r="J3086" s="1271"/>
      <c r="K3086" s="1271"/>
      <c r="L3086" s="1254"/>
      <c r="M3086" s="1244"/>
      <c r="N3086" s="1275"/>
      <c r="O3086" s="1275"/>
      <c r="P3086" s="1244"/>
      <c r="Q3086" s="1244"/>
      <c r="R3086" s="1244"/>
      <c r="S3086" s="1265"/>
      <c r="T3086" s="1244"/>
      <c r="U3086" s="1244"/>
    </row>
    <row r="3087">
      <c r="A3087" s="1235"/>
      <c r="B3087" s="1235"/>
      <c r="C3087" s="1246"/>
      <c r="D3087" s="1274"/>
      <c r="E3087" s="1248"/>
      <c r="F3087" s="1248"/>
      <c r="G3087" s="1271"/>
      <c r="H3087" s="1250"/>
      <c r="I3087" s="1251"/>
      <c r="J3087" s="1271"/>
      <c r="K3087" s="1271"/>
      <c r="L3087" s="1254"/>
      <c r="M3087" s="1244"/>
      <c r="N3087" s="1275"/>
      <c r="O3087" s="1275"/>
      <c r="P3087" s="1244"/>
      <c r="Q3087" s="1244"/>
      <c r="R3087" s="1244"/>
      <c r="S3087" s="1265"/>
      <c r="T3087" s="1244"/>
      <c r="U3087" s="1244"/>
    </row>
    <row r="3088">
      <c r="A3088" s="1235"/>
      <c r="B3088" s="1235"/>
      <c r="C3088" s="1246"/>
      <c r="D3088" s="1274"/>
      <c r="E3088" s="1248"/>
      <c r="F3088" s="1248"/>
      <c r="G3088" s="1271"/>
      <c r="H3088" s="1250"/>
      <c r="I3088" s="1251"/>
      <c r="J3088" s="1271"/>
      <c r="K3088" s="1271"/>
      <c r="L3088" s="1254"/>
      <c r="M3088" s="1244"/>
      <c r="N3088" s="1275"/>
      <c r="O3088" s="1275"/>
      <c r="P3088" s="1244"/>
      <c r="Q3088" s="1244"/>
      <c r="R3088" s="1244"/>
      <c r="S3088" s="1265"/>
      <c r="T3088" s="1244"/>
      <c r="U3088" s="1244"/>
    </row>
    <row r="3089">
      <c r="A3089" s="1235"/>
      <c r="B3089" s="1235"/>
      <c r="C3089" s="1246"/>
      <c r="D3089" s="1274"/>
      <c r="E3089" s="1248"/>
      <c r="F3089" s="1248"/>
      <c r="G3089" s="1271"/>
      <c r="H3089" s="1250"/>
      <c r="I3089" s="1251"/>
      <c r="J3089" s="1271"/>
      <c r="K3089" s="1271"/>
      <c r="L3089" s="1254"/>
      <c r="M3089" s="1244"/>
      <c r="N3089" s="1275"/>
      <c r="O3089" s="1275"/>
      <c r="P3089" s="1244"/>
      <c r="Q3089" s="1244"/>
      <c r="R3089" s="1244"/>
      <c r="S3089" s="1265"/>
      <c r="T3089" s="1244"/>
      <c r="U3089" s="1244"/>
    </row>
    <row r="3090">
      <c r="A3090" s="1235"/>
      <c r="B3090" s="1235"/>
      <c r="C3090" s="1246"/>
      <c r="D3090" s="1274"/>
      <c r="E3090" s="1248"/>
      <c r="F3090" s="1248"/>
      <c r="G3090" s="1271"/>
      <c r="H3090" s="1250"/>
      <c r="I3090" s="1251"/>
      <c r="J3090" s="1271"/>
      <c r="K3090" s="1271"/>
      <c r="L3090" s="1254"/>
      <c r="M3090" s="1244"/>
      <c r="N3090" s="1275"/>
      <c r="O3090" s="1275"/>
      <c r="P3090" s="1244"/>
      <c r="Q3090" s="1244"/>
      <c r="R3090" s="1244"/>
      <c r="S3090" s="1265"/>
      <c r="T3090" s="1244"/>
      <c r="U3090" s="1244"/>
    </row>
    <row r="3091">
      <c r="A3091" s="1235"/>
      <c r="B3091" s="1235"/>
      <c r="C3091" s="1246"/>
      <c r="D3091" s="1274"/>
      <c r="E3091" s="1248"/>
      <c r="F3091" s="1248"/>
      <c r="G3091" s="1271"/>
      <c r="H3091" s="1250"/>
      <c r="I3091" s="1251"/>
      <c r="J3091" s="1271"/>
      <c r="K3091" s="1271"/>
      <c r="L3091" s="1254"/>
      <c r="M3091" s="1244"/>
      <c r="N3091" s="1275"/>
      <c r="O3091" s="1275"/>
      <c r="P3091" s="1244"/>
      <c r="Q3091" s="1244"/>
      <c r="R3091" s="1244"/>
      <c r="S3091" s="1265"/>
      <c r="T3091" s="1244"/>
      <c r="U3091" s="1244"/>
    </row>
    <row r="3092">
      <c r="A3092" s="1235"/>
      <c r="B3092" s="1235"/>
      <c r="C3092" s="1246"/>
      <c r="D3092" s="1274"/>
      <c r="E3092" s="1248"/>
      <c r="F3092" s="1248"/>
      <c r="G3092" s="1271"/>
      <c r="H3092" s="1250"/>
      <c r="I3092" s="1251"/>
      <c r="J3092" s="1271"/>
      <c r="K3092" s="1271"/>
      <c r="L3092" s="1254"/>
      <c r="M3092" s="1244"/>
      <c r="N3092" s="1275"/>
      <c r="O3092" s="1275"/>
      <c r="P3092" s="1244"/>
      <c r="Q3092" s="1244"/>
      <c r="R3092" s="1244"/>
      <c r="S3092" s="1265"/>
      <c r="T3092" s="1244"/>
      <c r="U3092" s="1244"/>
    </row>
    <row r="3093">
      <c r="A3093" s="1235"/>
      <c r="B3093" s="1235"/>
      <c r="C3093" s="1246"/>
      <c r="D3093" s="1274"/>
      <c r="E3093" s="1248"/>
      <c r="F3093" s="1248"/>
      <c r="G3093" s="1271"/>
      <c r="H3093" s="1250"/>
      <c r="I3093" s="1251"/>
      <c r="J3093" s="1271"/>
      <c r="K3093" s="1271"/>
      <c r="L3093" s="1254"/>
      <c r="M3093" s="1244"/>
      <c r="N3093" s="1275"/>
      <c r="O3093" s="1275"/>
      <c r="P3093" s="1244"/>
      <c r="Q3093" s="1244"/>
      <c r="R3093" s="1244"/>
      <c r="S3093" s="1265"/>
      <c r="T3093" s="1244"/>
      <c r="U3093" s="1244"/>
    </row>
    <row r="3094">
      <c r="A3094" s="1235"/>
      <c r="B3094" s="1235"/>
      <c r="C3094" s="1246"/>
      <c r="D3094" s="1274"/>
      <c r="E3094" s="1248"/>
      <c r="F3094" s="1248"/>
      <c r="G3094" s="1271"/>
      <c r="H3094" s="1250"/>
      <c r="I3094" s="1251"/>
      <c r="J3094" s="1271"/>
      <c r="K3094" s="1271"/>
      <c r="L3094" s="1254"/>
      <c r="M3094" s="1244"/>
      <c r="N3094" s="1275"/>
      <c r="O3094" s="1275"/>
      <c r="P3094" s="1244"/>
      <c r="Q3094" s="1244"/>
      <c r="R3094" s="1244"/>
      <c r="S3094" s="1265"/>
      <c r="T3094" s="1244"/>
      <c r="U3094" s="1244"/>
    </row>
    <row r="3095">
      <c r="A3095" s="1235"/>
      <c r="B3095" s="1235"/>
      <c r="C3095" s="1246"/>
      <c r="D3095" s="1274"/>
      <c r="E3095" s="1248"/>
      <c r="F3095" s="1248"/>
      <c r="G3095" s="1271"/>
      <c r="H3095" s="1250"/>
      <c r="I3095" s="1251"/>
      <c r="J3095" s="1271"/>
      <c r="K3095" s="1271"/>
      <c r="L3095" s="1254"/>
      <c r="M3095" s="1244"/>
      <c r="N3095" s="1275"/>
      <c r="O3095" s="1275"/>
      <c r="P3095" s="1244"/>
      <c r="Q3095" s="1244"/>
      <c r="R3095" s="1244"/>
      <c r="S3095" s="1265"/>
      <c r="T3095" s="1244"/>
      <c r="U3095" s="1244"/>
    </row>
    <row r="3096">
      <c r="A3096" s="1235"/>
      <c r="B3096" s="1235"/>
      <c r="C3096" s="1246"/>
      <c r="D3096" s="1274"/>
      <c r="E3096" s="1248"/>
      <c r="F3096" s="1248"/>
      <c r="G3096" s="1271"/>
      <c r="H3096" s="1250"/>
      <c r="I3096" s="1251"/>
      <c r="J3096" s="1271"/>
      <c r="K3096" s="1271"/>
      <c r="L3096" s="1254"/>
      <c r="M3096" s="1244"/>
      <c r="N3096" s="1275"/>
      <c r="O3096" s="1275"/>
      <c r="P3096" s="1244"/>
      <c r="Q3096" s="1244"/>
      <c r="R3096" s="1244"/>
      <c r="S3096" s="1265"/>
      <c r="T3096" s="1244"/>
      <c r="U3096" s="1244"/>
    </row>
    <row r="3097">
      <c r="A3097" s="1235"/>
      <c r="B3097" s="1235"/>
      <c r="C3097" s="1246"/>
      <c r="D3097" s="1274"/>
      <c r="E3097" s="1248"/>
      <c r="F3097" s="1248"/>
      <c r="G3097" s="1271"/>
      <c r="H3097" s="1250"/>
      <c r="I3097" s="1251"/>
      <c r="J3097" s="1271"/>
      <c r="K3097" s="1271"/>
      <c r="L3097" s="1254"/>
      <c r="M3097" s="1244"/>
      <c r="N3097" s="1275"/>
      <c r="O3097" s="1275"/>
      <c r="P3097" s="1244"/>
      <c r="Q3097" s="1244"/>
      <c r="R3097" s="1244"/>
      <c r="S3097" s="1265"/>
      <c r="T3097" s="1244"/>
      <c r="U3097" s="1244"/>
    </row>
    <row r="3098">
      <c r="A3098" s="1235"/>
      <c r="B3098" s="1235"/>
      <c r="C3098" s="1246"/>
      <c r="D3098" s="1274"/>
      <c r="E3098" s="1248"/>
      <c r="F3098" s="1248"/>
      <c r="G3098" s="1271"/>
      <c r="H3098" s="1250"/>
      <c r="I3098" s="1251"/>
      <c r="J3098" s="1271"/>
      <c r="K3098" s="1271"/>
      <c r="L3098" s="1254"/>
      <c r="M3098" s="1244"/>
      <c r="N3098" s="1275"/>
      <c r="O3098" s="1275"/>
      <c r="P3098" s="1244"/>
      <c r="Q3098" s="1244"/>
      <c r="R3098" s="1244"/>
      <c r="S3098" s="1265"/>
      <c r="T3098" s="1244"/>
      <c r="U3098" s="1244"/>
    </row>
    <row r="3099">
      <c r="A3099" s="1235"/>
      <c r="B3099" s="1235"/>
      <c r="C3099" s="1246"/>
      <c r="D3099" s="1274"/>
      <c r="E3099" s="1248"/>
      <c r="F3099" s="1248"/>
      <c r="G3099" s="1271"/>
      <c r="H3099" s="1250"/>
      <c r="I3099" s="1251"/>
      <c r="J3099" s="1271"/>
      <c r="K3099" s="1271"/>
      <c r="L3099" s="1254"/>
      <c r="M3099" s="1244"/>
      <c r="N3099" s="1275"/>
      <c r="O3099" s="1275"/>
      <c r="P3099" s="1244"/>
      <c r="Q3099" s="1244"/>
      <c r="R3099" s="1244"/>
      <c r="S3099" s="1265"/>
      <c r="T3099" s="1244"/>
      <c r="U3099" s="1244"/>
    </row>
    <row r="3100">
      <c r="A3100" s="1235"/>
      <c r="B3100" s="1235"/>
      <c r="C3100" s="1246"/>
      <c r="D3100" s="1274"/>
      <c r="E3100" s="1248"/>
      <c r="F3100" s="1248"/>
      <c r="G3100" s="1271"/>
      <c r="H3100" s="1250"/>
      <c r="I3100" s="1251"/>
      <c r="J3100" s="1271"/>
      <c r="K3100" s="1271"/>
      <c r="L3100" s="1254"/>
      <c r="M3100" s="1244"/>
      <c r="N3100" s="1275"/>
      <c r="O3100" s="1275"/>
      <c r="P3100" s="1244"/>
      <c r="Q3100" s="1244"/>
      <c r="R3100" s="1244"/>
      <c r="S3100" s="1265"/>
      <c r="T3100" s="1244"/>
      <c r="U3100" s="1244"/>
    </row>
    <row r="3101">
      <c r="A3101" s="1235"/>
      <c r="B3101" s="1235"/>
      <c r="C3101" s="1246"/>
      <c r="D3101" s="1274"/>
      <c r="E3101" s="1248"/>
      <c r="F3101" s="1248"/>
      <c r="G3101" s="1271"/>
      <c r="H3101" s="1250"/>
      <c r="I3101" s="1251"/>
      <c r="J3101" s="1271"/>
      <c r="K3101" s="1271"/>
      <c r="L3101" s="1254"/>
      <c r="M3101" s="1244"/>
      <c r="N3101" s="1275"/>
      <c r="O3101" s="1275"/>
      <c r="P3101" s="1244"/>
      <c r="Q3101" s="1244"/>
      <c r="R3101" s="1244"/>
      <c r="S3101" s="1265"/>
      <c r="T3101" s="1244"/>
      <c r="U3101" s="1244"/>
    </row>
    <row r="3102">
      <c r="A3102" s="1235"/>
      <c r="B3102" s="1235"/>
      <c r="C3102" s="1246"/>
      <c r="D3102" s="1274"/>
      <c r="E3102" s="1248"/>
      <c r="F3102" s="1248"/>
      <c r="G3102" s="1271"/>
      <c r="H3102" s="1250"/>
      <c r="I3102" s="1251"/>
      <c r="J3102" s="1271"/>
      <c r="K3102" s="1271"/>
      <c r="L3102" s="1254"/>
      <c r="M3102" s="1244"/>
      <c r="N3102" s="1275"/>
      <c r="O3102" s="1275"/>
      <c r="P3102" s="1244"/>
      <c r="Q3102" s="1244"/>
      <c r="R3102" s="1244"/>
      <c r="S3102" s="1265"/>
      <c r="T3102" s="1244"/>
      <c r="U3102" s="1244"/>
    </row>
    <row r="3103">
      <c r="A3103" s="1235"/>
      <c r="B3103" s="1235"/>
      <c r="C3103" s="1246"/>
      <c r="D3103" s="1274"/>
      <c r="E3103" s="1248"/>
      <c r="F3103" s="1248"/>
      <c r="G3103" s="1271"/>
      <c r="H3103" s="1250"/>
      <c r="I3103" s="1251"/>
      <c r="J3103" s="1271"/>
      <c r="K3103" s="1271"/>
      <c r="L3103" s="1254"/>
      <c r="M3103" s="1244"/>
      <c r="N3103" s="1275"/>
      <c r="O3103" s="1275"/>
      <c r="P3103" s="1244"/>
      <c r="Q3103" s="1244"/>
      <c r="R3103" s="1244"/>
      <c r="S3103" s="1265"/>
      <c r="T3103" s="1244"/>
      <c r="U3103" s="1244"/>
    </row>
    <row r="3104">
      <c r="A3104" s="1235"/>
      <c r="B3104" s="1235"/>
      <c r="C3104" s="1246"/>
      <c r="D3104" s="1274"/>
      <c r="E3104" s="1248"/>
      <c r="F3104" s="1248"/>
      <c r="G3104" s="1271"/>
      <c r="H3104" s="1250"/>
      <c r="I3104" s="1251"/>
      <c r="J3104" s="1271"/>
      <c r="K3104" s="1271"/>
      <c r="L3104" s="1254"/>
      <c r="M3104" s="1244"/>
      <c r="N3104" s="1275"/>
      <c r="O3104" s="1275"/>
      <c r="P3104" s="1244"/>
      <c r="Q3104" s="1244"/>
      <c r="R3104" s="1244"/>
      <c r="S3104" s="1265"/>
      <c r="T3104" s="1244"/>
      <c r="U3104" s="1244"/>
    </row>
    <row r="3105">
      <c r="A3105" s="1235"/>
      <c r="B3105" s="1235"/>
      <c r="C3105" s="1246"/>
      <c r="D3105" s="1274"/>
      <c r="E3105" s="1248"/>
      <c r="F3105" s="1248"/>
      <c r="G3105" s="1271"/>
      <c r="H3105" s="1250"/>
      <c r="I3105" s="1251"/>
      <c r="J3105" s="1271"/>
      <c r="K3105" s="1271"/>
      <c r="L3105" s="1254"/>
      <c r="M3105" s="1244"/>
      <c r="N3105" s="1275"/>
      <c r="O3105" s="1275"/>
      <c r="P3105" s="1244"/>
      <c r="Q3105" s="1244"/>
      <c r="R3105" s="1244"/>
      <c r="S3105" s="1265"/>
      <c r="T3105" s="1244"/>
      <c r="U3105" s="1244"/>
    </row>
    <row r="3106">
      <c r="A3106" s="1235"/>
      <c r="B3106" s="1235"/>
      <c r="C3106" s="1246"/>
      <c r="D3106" s="1274"/>
      <c r="E3106" s="1248"/>
      <c r="F3106" s="1248"/>
      <c r="G3106" s="1271"/>
      <c r="H3106" s="1250"/>
      <c r="I3106" s="1251"/>
      <c r="J3106" s="1271"/>
      <c r="K3106" s="1271"/>
      <c r="L3106" s="1254"/>
      <c r="M3106" s="1244"/>
      <c r="N3106" s="1275"/>
      <c r="O3106" s="1275"/>
      <c r="P3106" s="1244"/>
      <c r="Q3106" s="1244"/>
      <c r="R3106" s="1244"/>
      <c r="S3106" s="1265"/>
      <c r="T3106" s="1244"/>
      <c r="U3106" s="1244"/>
    </row>
    <row r="3107">
      <c r="A3107" s="1235"/>
      <c r="B3107" s="1235"/>
      <c r="C3107" s="1246"/>
      <c r="D3107" s="1274"/>
      <c r="E3107" s="1248"/>
      <c r="F3107" s="1248"/>
      <c r="G3107" s="1271"/>
      <c r="H3107" s="1250"/>
      <c r="I3107" s="1251"/>
      <c r="J3107" s="1271"/>
      <c r="K3107" s="1271"/>
      <c r="L3107" s="1254"/>
      <c r="M3107" s="1244"/>
      <c r="N3107" s="1275"/>
      <c r="O3107" s="1275"/>
      <c r="P3107" s="1244"/>
      <c r="Q3107" s="1244"/>
      <c r="R3107" s="1244"/>
      <c r="S3107" s="1265"/>
      <c r="T3107" s="1244"/>
      <c r="U3107" s="1244"/>
    </row>
    <row r="3108">
      <c r="A3108" s="1235"/>
      <c r="B3108" s="1235"/>
      <c r="C3108" s="1246"/>
      <c r="D3108" s="1274"/>
      <c r="E3108" s="1248"/>
      <c r="F3108" s="1248"/>
      <c r="G3108" s="1271"/>
      <c r="H3108" s="1250"/>
      <c r="I3108" s="1251"/>
      <c r="J3108" s="1271"/>
      <c r="K3108" s="1271"/>
      <c r="L3108" s="1254"/>
      <c r="M3108" s="1244"/>
      <c r="N3108" s="1275"/>
      <c r="O3108" s="1275"/>
      <c r="P3108" s="1244"/>
      <c r="Q3108" s="1244"/>
      <c r="R3108" s="1244"/>
      <c r="S3108" s="1265"/>
      <c r="T3108" s="1244"/>
      <c r="U3108" s="1244"/>
    </row>
    <row r="3109">
      <c r="A3109" s="1235"/>
      <c r="B3109" s="1235"/>
      <c r="C3109" s="1246"/>
      <c r="D3109" s="1274"/>
      <c r="E3109" s="1248"/>
      <c r="F3109" s="1248"/>
      <c r="G3109" s="1271"/>
      <c r="H3109" s="1250"/>
      <c r="I3109" s="1251"/>
      <c r="J3109" s="1271"/>
      <c r="K3109" s="1271"/>
      <c r="L3109" s="1254"/>
      <c r="M3109" s="1244"/>
      <c r="N3109" s="1275"/>
      <c r="O3109" s="1275"/>
      <c r="P3109" s="1244"/>
      <c r="Q3109" s="1244"/>
      <c r="R3109" s="1244"/>
      <c r="S3109" s="1265"/>
      <c r="T3109" s="1244"/>
      <c r="U3109" s="1244"/>
    </row>
    <row r="3110">
      <c r="A3110" s="1235"/>
      <c r="B3110" s="1235"/>
      <c r="C3110" s="1246"/>
      <c r="D3110" s="1274"/>
      <c r="E3110" s="1248"/>
      <c r="F3110" s="1248"/>
      <c r="G3110" s="1271"/>
      <c r="H3110" s="1250"/>
      <c r="I3110" s="1251"/>
      <c r="J3110" s="1271"/>
      <c r="K3110" s="1271"/>
      <c r="L3110" s="1254"/>
      <c r="M3110" s="1244"/>
      <c r="N3110" s="1275"/>
      <c r="O3110" s="1275"/>
      <c r="P3110" s="1244"/>
      <c r="Q3110" s="1244"/>
      <c r="R3110" s="1244"/>
      <c r="S3110" s="1265"/>
      <c r="T3110" s="1244"/>
      <c r="U3110" s="1244"/>
    </row>
    <row r="3111">
      <c r="A3111" s="1235"/>
      <c r="B3111" s="1235"/>
      <c r="C3111" s="1246"/>
      <c r="D3111" s="1274"/>
      <c r="E3111" s="1248"/>
      <c r="F3111" s="1248"/>
      <c r="G3111" s="1271"/>
      <c r="H3111" s="1250"/>
      <c r="I3111" s="1251"/>
      <c r="J3111" s="1271"/>
      <c r="K3111" s="1271"/>
      <c r="L3111" s="1254"/>
      <c r="M3111" s="1244"/>
      <c r="N3111" s="1275"/>
      <c r="O3111" s="1275"/>
      <c r="P3111" s="1244"/>
      <c r="Q3111" s="1244"/>
      <c r="R3111" s="1244"/>
      <c r="S3111" s="1265"/>
      <c r="T3111" s="1244"/>
      <c r="U3111" s="1244"/>
    </row>
    <row r="3112">
      <c r="A3112" s="1235"/>
      <c r="B3112" s="1235"/>
      <c r="C3112" s="1246"/>
      <c r="D3112" s="1274"/>
      <c r="E3112" s="1248"/>
      <c r="F3112" s="1248"/>
      <c r="G3112" s="1271"/>
      <c r="H3112" s="1250"/>
      <c r="I3112" s="1251"/>
      <c r="J3112" s="1271"/>
      <c r="K3112" s="1271"/>
      <c r="L3112" s="1254"/>
      <c r="M3112" s="1244"/>
      <c r="N3112" s="1275"/>
      <c r="O3112" s="1275"/>
      <c r="P3112" s="1244"/>
      <c r="Q3112" s="1244"/>
      <c r="R3112" s="1244"/>
      <c r="S3112" s="1265"/>
      <c r="T3112" s="1244"/>
      <c r="U3112" s="1244"/>
    </row>
    <row r="3113">
      <c r="A3113" s="1235"/>
      <c r="B3113" s="1235"/>
      <c r="C3113" s="1246"/>
      <c r="D3113" s="1274"/>
      <c r="E3113" s="1248"/>
      <c r="F3113" s="1248"/>
      <c r="G3113" s="1271"/>
      <c r="H3113" s="1250"/>
      <c r="I3113" s="1251"/>
      <c r="J3113" s="1271"/>
      <c r="K3113" s="1271"/>
      <c r="L3113" s="1254"/>
      <c r="M3113" s="1244"/>
      <c r="N3113" s="1275"/>
      <c r="O3113" s="1275"/>
      <c r="P3113" s="1244"/>
      <c r="Q3113" s="1244"/>
      <c r="R3113" s="1244"/>
      <c r="S3113" s="1265"/>
      <c r="T3113" s="1244"/>
      <c r="U3113" s="1244"/>
    </row>
    <row r="3114">
      <c r="A3114" s="1235"/>
      <c r="B3114" s="1235"/>
      <c r="C3114" s="1246"/>
      <c r="D3114" s="1274"/>
      <c r="E3114" s="1248"/>
      <c r="F3114" s="1248"/>
      <c r="G3114" s="1271"/>
      <c r="H3114" s="1250"/>
      <c r="I3114" s="1251"/>
      <c r="J3114" s="1271"/>
      <c r="K3114" s="1271"/>
      <c r="L3114" s="1254"/>
      <c r="M3114" s="1244"/>
      <c r="N3114" s="1275"/>
      <c r="O3114" s="1275"/>
      <c r="P3114" s="1244"/>
      <c r="Q3114" s="1244"/>
      <c r="R3114" s="1244"/>
      <c r="S3114" s="1265"/>
      <c r="T3114" s="1244"/>
      <c r="U3114" s="1244"/>
    </row>
    <row r="3115">
      <c r="A3115" s="1235"/>
      <c r="B3115" s="1235"/>
      <c r="C3115" s="1246"/>
      <c r="D3115" s="1274"/>
      <c r="E3115" s="1248"/>
      <c r="F3115" s="1248"/>
      <c r="G3115" s="1271"/>
      <c r="H3115" s="1250"/>
      <c r="I3115" s="1251"/>
      <c r="J3115" s="1271"/>
      <c r="K3115" s="1271"/>
      <c r="L3115" s="1254"/>
      <c r="M3115" s="1244"/>
      <c r="N3115" s="1275"/>
      <c r="O3115" s="1275"/>
      <c r="P3115" s="1244"/>
      <c r="Q3115" s="1244"/>
      <c r="R3115" s="1244"/>
      <c r="S3115" s="1265"/>
      <c r="T3115" s="1244"/>
      <c r="U3115" s="1244"/>
    </row>
    <row r="3116">
      <c r="A3116" s="1235"/>
      <c r="B3116" s="1235"/>
      <c r="C3116" s="1246"/>
      <c r="D3116" s="1274"/>
      <c r="E3116" s="1248"/>
      <c r="F3116" s="1248"/>
      <c r="G3116" s="1271"/>
      <c r="H3116" s="1250"/>
      <c r="I3116" s="1251"/>
      <c r="J3116" s="1271"/>
      <c r="K3116" s="1271"/>
      <c r="L3116" s="1254"/>
      <c r="M3116" s="1244"/>
      <c r="N3116" s="1275"/>
      <c r="O3116" s="1275"/>
      <c r="P3116" s="1244"/>
      <c r="Q3116" s="1244"/>
      <c r="R3116" s="1244"/>
      <c r="S3116" s="1265"/>
      <c r="T3116" s="1244"/>
      <c r="U3116" s="1244"/>
    </row>
    <row r="3117">
      <c r="A3117" s="1235"/>
      <c r="B3117" s="1235"/>
      <c r="C3117" s="1246"/>
      <c r="D3117" s="1274"/>
      <c r="E3117" s="1248"/>
      <c r="F3117" s="1248"/>
      <c r="G3117" s="1271"/>
      <c r="H3117" s="1250"/>
      <c r="I3117" s="1251"/>
      <c r="J3117" s="1271"/>
      <c r="K3117" s="1271"/>
      <c r="L3117" s="1254"/>
      <c r="M3117" s="1244"/>
      <c r="N3117" s="1275"/>
      <c r="O3117" s="1275"/>
      <c r="P3117" s="1244"/>
      <c r="Q3117" s="1244"/>
      <c r="R3117" s="1244"/>
      <c r="S3117" s="1265"/>
      <c r="T3117" s="1244"/>
      <c r="U3117" s="1244"/>
    </row>
    <row r="3118">
      <c r="A3118" s="1235"/>
      <c r="B3118" s="1235"/>
      <c r="C3118" s="1246"/>
      <c r="D3118" s="1274"/>
      <c r="E3118" s="1248"/>
      <c r="F3118" s="1248"/>
      <c r="G3118" s="1271"/>
      <c r="H3118" s="1250"/>
      <c r="I3118" s="1251"/>
      <c r="J3118" s="1271"/>
      <c r="K3118" s="1271"/>
      <c r="L3118" s="1254"/>
      <c r="M3118" s="1244"/>
      <c r="N3118" s="1275"/>
      <c r="O3118" s="1275"/>
      <c r="P3118" s="1244"/>
      <c r="Q3118" s="1244"/>
      <c r="R3118" s="1244"/>
      <c r="S3118" s="1265"/>
      <c r="T3118" s="1244"/>
      <c r="U3118" s="1244"/>
    </row>
    <row r="3119">
      <c r="A3119" s="1235"/>
      <c r="B3119" s="1235"/>
      <c r="C3119" s="1246"/>
      <c r="D3119" s="1274"/>
      <c r="E3119" s="1248"/>
      <c r="F3119" s="1248"/>
      <c r="G3119" s="1271"/>
      <c r="H3119" s="1250"/>
      <c r="I3119" s="1251"/>
      <c r="J3119" s="1271"/>
      <c r="K3119" s="1271"/>
      <c r="L3119" s="1254"/>
      <c r="M3119" s="1244"/>
      <c r="N3119" s="1275"/>
      <c r="O3119" s="1275"/>
      <c r="P3119" s="1244"/>
      <c r="Q3119" s="1244"/>
      <c r="R3119" s="1244"/>
      <c r="S3119" s="1265"/>
      <c r="T3119" s="1244"/>
      <c r="U3119" s="1244"/>
    </row>
    <row r="3120">
      <c r="A3120" s="1235"/>
      <c r="B3120" s="1235"/>
      <c r="C3120" s="1246"/>
      <c r="D3120" s="1274"/>
      <c r="E3120" s="1248"/>
      <c r="F3120" s="1248"/>
      <c r="G3120" s="1271"/>
      <c r="H3120" s="1250"/>
      <c r="I3120" s="1251"/>
      <c r="J3120" s="1271"/>
      <c r="K3120" s="1271"/>
      <c r="L3120" s="1254"/>
      <c r="M3120" s="1244"/>
      <c r="N3120" s="1275"/>
      <c r="O3120" s="1275"/>
      <c r="P3120" s="1244"/>
      <c r="Q3120" s="1244"/>
      <c r="R3120" s="1244"/>
      <c r="S3120" s="1265"/>
      <c r="T3120" s="1244"/>
      <c r="U3120" s="1244"/>
    </row>
    <row r="3121">
      <c r="A3121" s="1235"/>
      <c r="B3121" s="1235"/>
      <c r="C3121" s="1246"/>
      <c r="D3121" s="1274"/>
      <c r="E3121" s="1248"/>
      <c r="F3121" s="1248"/>
      <c r="G3121" s="1271"/>
      <c r="H3121" s="1250"/>
      <c r="I3121" s="1251"/>
      <c r="J3121" s="1271"/>
      <c r="K3121" s="1271"/>
      <c r="L3121" s="1254"/>
      <c r="M3121" s="1244"/>
      <c r="N3121" s="1275"/>
      <c r="O3121" s="1275"/>
      <c r="P3121" s="1244"/>
      <c r="Q3121" s="1244"/>
      <c r="R3121" s="1244"/>
      <c r="S3121" s="1265"/>
      <c r="T3121" s="1244"/>
      <c r="U3121" s="1244"/>
    </row>
    <row r="3122">
      <c r="A3122" s="1235"/>
      <c r="B3122" s="1235"/>
      <c r="C3122" s="1246"/>
      <c r="D3122" s="1274"/>
      <c r="E3122" s="1248"/>
      <c r="F3122" s="1248"/>
      <c r="G3122" s="1271"/>
      <c r="H3122" s="1250"/>
      <c r="I3122" s="1251"/>
      <c r="J3122" s="1271"/>
      <c r="K3122" s="1271"/>
      <c r="L3122" s="1254"/>
      <c r="M3122" s="1244"/>
      <c r="N3122" s="1275"/>
      <c r="O3122" s="1275"/>
      <c r="P3122" s="1244"/>
      <c r="Q3122" s="1244"/>
      <c r="R3122" s="1244"/>
      <c r="S3122" s="1265"/>
      <c r="T3122" s="1244"/>
      <c r="U3122" s="1244"/>
    </row>
    <row r="3123">
      <c r="A3123" s="1235"/>
      <c r="B3123" s="1235"/>
      <c r="C3123" s="1246"/>
      <c r="D3123" s="1274"/>
      <c r="E3123" s="1248"/>
      <c r="F3123" s="1248"/>
      <c r="G3123" s="1271"/>
      <c r="H3123" s="1250"/>
      <c r="I3123" s="1251"/>
      <c r="J3123" s="1271"/>
      <c r="K3123" s="1271"/>
      <c r="L3123" s="1254"/>
      <c r="M3123" s="1244"/>
      <c r="N3123" s="1275"/>
      <c r="O3123" s="1275"/>
      <c r="P3123" s="1244"/>
      <c r="Q3123" s="1244"/>
      <c r="R3123" s="1244"/>
      <c r="S3123" s="1265"/>
      <c r="T3123" s="1244"/>
      <c r="U3123" s="1244"/>
    </row>
    <row r="3124">
      <c r="A3124" s="1235"/>
      <c r="B3124" s="1235"/>
      <c r="C3124" s="1246"/>
      <c r="D3124" s="1274"/>
      <c r="E3124" s="1248"/>
      <c r="F3124" s="1248"/>
      <c r="G3124" s="1271"/>
      <c r="H3124" s="1250"/>
      <c r="I3124" s="1251"/>
      <c r="J3124" s="1271"/>
      <c r="K3124" s="1271"/>
      <c r="L3124" s="1254"/>
      <c r="M3124" s="1244"/>
      <c r="N3124" s="1275"/>
      <c r="O3124" s="1275"/>
      <c r="P3124" s="1244"/>
      <c r="Q3124" s="1244"/>
      <c r="R3124" s="1244"/>
      <c r="S3124" s="1265"/>
      <c r="T3124" s="1244"/>
      <c r="U3124" s="1244"/>
    </row>
    <row r="3125">
      <c r="A3125" s="1235"/>
      <c r="B3125" s="1235"/>
      <c r="C3125" s="1246"/>
      <c r="D3125" s="1274"/>
      <c r="E3125" s="1248"/>
      <c r="F3125" s="1248"/>
      <c r="G3125" s="1271"/>
      <c r="H3125" s="1250"/>
      <c r="I3125" s="1251"/>
      <c r="J3125" s="1271"/>
      <c r="K3125" s="1271"/>
      <c r="L3125" s="1254"/>
      <c r="M3125" s="1244"/>
      <c r="N3125" s="1275"/>
      <c r="O3125" s="1275"/>
      <c r="P3125" s="1244"/>
      <c r="Q3125" s="1244"/>
      <c r="R3125" s="1244"/>
      <c r="S3125" s="1265"/>
      <c r="T3125" s="1244"/>
      <c r="U3125" s="1244"/>
    </row>
    <row r="3126">
      <c r="A3126" s="1235"/>
      <c r="B3126" s="1235"/>
      <c r="C3126" s="1246"/>
      <c r="D3126" s="1274"/>
      <c r="E3126" s="1248"/>
      <c r="F3126" s="1248"/>
      <c r="G3126" s="1271"/>
      <c r="H3126" s="1250"/>
      <c r="I3126" s="1251"/>
      <c r="J3126" s="1271"/>
      <c r="K3126" s="1271"/>
      <c r="L3126" s="1254"/>
      <c r="M3126" s="1244"/>
      <c r="N3126" s="1275"/>
      <c r="O3126" s="1275"/>
      <c r="P3126" s="1244"/>
      <c r="Q3126" s="1244"/>
      <c r="R3126" s="1244"/>
      <c r="S3126" s="1265"/>
      <c r="T3126" s="1244"/>
      <c r="U3126" s="1244"/>
    </row>
    <row r="3127">
      <c r="A3127" s="1235"/>
      <c r="B3127" s="1235"/>
      <c r="C3127" s="1246"/>
      <c r="D3127" s="1274"/>
      <c r="E3127" s="1248"/>
      <c r="F3127" s="1248"/>
      <c r="G3127" s="1271"/>
      <c r="H3127" s="1250"/>
      <c r="I3127" s="1251"/>
      <c r="J3127" s="1271"/>
      <c r="K3127" s="1271"/>
      <c r="L3127" s="1254"/>
      <c r="M3127" s="1244"/>
      <c r="N3127" s="1275"/>
      <c r="O3127" s="1275"/>
      <c r="P3127" s="1244"/>
      <c r="Q3127" s="1244"/>
      <c r="R3127" s="1244"/>
      <c r="S3127" s="1265"/>
      <c r="T3127" s="1244"/>
      <c r="U3127" s="1244"/>
    </row>
    <row r="3128">
      <c r="A3128" s="1235"/>
      <c r="B3128" s="1235"/>
      <c r="C3128" s="1246"/>
      <c r="D3128" s="1274"/>
      <c r="E3128" s="1248"/>
      <c r="F3128" s="1248"/>
      <c r="G3128" s="1271"/>
      <c r="H3128" s="1250"/>
      <c r="I3128" s="1251"/>
      <c r="J3128" s="1271"/>
      <c r="K3128" s="1271"/>
      <c r="L3128" s="1254"/>
      <c r="M3128" s="1244"/>
      <c r="N3128" s="1275"/>
      <c r="O3128" s="1275"/>
      <c r="P3128" s="1244"/>
      <c r="Q3128" s="1244"/>
      <c r="R3128" s="1244"/>
      <c r="S3128" s="1265"/>
      <c r="T3128" s="1244"/>
      <c r="U3128" s="1244"/>
    </row>
    <row r="3129">
      <c r="A3129" s="1235"/>
      <c r="B3129" s="1235"/>
      <c r="C3129" s="1246"/>
      <c r="D3129" s="1274"/>
      <c r="E3129" s="1248"/>
      <c r="F3129" s="1248"/>
      <c r="G3129" s="1271"/>
      <c r="H3129" s="1250"/>
      <c r="I3129" s="1251"/>
      <c r="J3129" s="1271"/>
      <c r="K3129" s="1271"/>
      <c r="L3129" s="1254"/>
      <c r="M3129" s="1244"/>
      <c r="N3129" s="1275"/>
      <c r="O3129" s="1275"/>
      <c r="P3129" s="1244"/>
      <c r="Q3129" s="1244"/>
      <c r="R3129" s="1244"/>
      <c r="S3129" s="1265"/>
      <c r="T3129" s="1244"/>
      <c r="U3129" s="1244"/>
    </row>
    <row r="3130">
      <c r="A3130" s="1235"/>
      <c r="B3130" s="1235"/>
      <c r="C3130" s="1246"/>
      <c r="D3130" s="1274"/>
      <c r="E3130" s="1248"/>
      <c r="F3130" s="1248"/>
      <c r="G3130" s="1271"/>
      <c r="H3130" s="1250"/>
      <c r="I3130" s="1251"/>
      <c r="J3130" s="1271"/>
      <c r="K3130" s="1271"/>
      <c r="L3130" s="1254"/>
      <c r="M3130" s="1244"/>
      <c r="N3130" s="1275"/>
      <c r="O3130" s="1275"/>
      <c r="P3130" s="1244"/>
      <c r="Q3130" s="1244"/>
      <c r="R3130" s="1244"/>
      <c r="S3130" s="1265"/>
      <c r="T3130" s="1244"/>
      <c r="U3130" s="1244"/>
    </row>
    <row r="3131">
      <c r="A3131" s="1235"/>
      <c r="B3131" s="1235"/>
      <c r="C3131" s="1246"/>
      <c r="D3131" s="1274"/>
      <c r="E3131" s="1248"/>
      <c r="F3131" s="1248"/>
      <c r="G3131" s="1271"/>
      <c r="H3131" s="1250"/>
      <c r="I3131" s="1251"/>
      <c r="J3131" s="1271"/>
      <c r="K3131" s="1271"/>
      <c r="L3131" s="1254"/>
      <c r="M3131" s="1244"/>
      <c r="N3131" s="1275"/>
      <c r="O3131" s="1275"/>
      <c r="P3131" s="1244"/>
      <c r="Q3131" s="1244"/>
      <c r="R3131" s="1244"/>
      <c r="S3131" s="1265"/>
      <c r="T3131" s="1244"/>
      <c r="U3131" s="1244"/>
    </row>
    <row r="3132">
      <c r="A3132" s="1235"/>
      <c r="B3132" s="1235"/>
      <c r="C3132" s="1246"/>
      <c r="D3132" s="1274"/>
      <c r="E3132" s="1248"/>
      <c r="F3132" s="1248"/>
      <c r="G3132" s="1271"/>
      <c r="H3132" s="1250"/>
      <c r="I3132" s="1251"/>
      <c r="J3132" s="1271"/>
      <c r="K3132" s="1271"/>
      <c r="L3132" s="1254"/>
      <c r="M3132" s="1244"/>
      <c r="N3132" s="1275"/>
      <c r="O3132" s="1275"/>
      <c r="P3132" s="1244"/>
      <c r="Q3132" s="1244"/>
      <c r="R3132" s="1244"/>
      <c r="S3132" s="1265"/>
      <c r="T3132" s="1244"/>
      <c r="U3132" s="1244"/>
    </row>
    <row r="3133">
      <c r="A3133" s="1235"/>
      <c r="B3133" s="1235"/>
      <c r="C3133" s="1246"/>
      <c r="D3133" s="1274"/>
      <c r="E3133" s="1248"/>
      <c r="F3133" s="1248"/>
      <c r="G3133" s="1271"/>
      <c r="H3133" s="1250"/>
      <c r="I3133" s="1251"/>
      <c r="J3133" s="1271"/>
      <c r="K3133" s="1271"/>
      <c r="L3133" s="1254"/>
      <c r="M3133" s="1244"/>
      <c r="N3133" s="1275"/>
      <c r="O3133" s="1275"/>
      <c r="P3133" s="1244"/>
      <c r="Q3133" s="1244"/>
      <c r="R3133" s="1244"/>
      <c r="S3133" s="1265"/>
      <c r="T3133" s="1244"/>
      <c r="U3133" s="1244"/>
    </row>
    <row r="3134">
      <c r="A3134" s="1235"/>
      <c r="B3134" s="1235"/>
      <c r="C3134" s="1246"/>
      <c r="D3134" s="1274"/>
      <c r="E3134" s="1248"/>
      <c r="F3134" s="1248"/>
      <c r="G3134" s="1271"/>
      <c r="H3134" s="1250"/>
      <c r="I3134" s="1251"/>
      <c r="J3134" s="1271"/>
      <c r="K3134" s="1271"/>
      <c r="L3134" s="1254"/>
      <c r="M3134" s="1244"/>
      <c r="N3134" s="1275"/>
      <c r="O3134" s="1275"/>
      <c r="P3134" s="1244"/>
      <c r="Q3134" s="1244"/>
      <c r="R3134" s="1244"/>
      <c r="S3134" s="1265"/>
      <c r="T3134" s="1244"/>
      <c r="U3134" s="1244"/>
    </row>
    <row r="3135">
      <c r="A3135" s="1235"/>
      <c r="B3135" s="1235"/>
      <c r="C3135" s="1246"/>
      <c r="D3135" s="1274"/>
      <c r="E3135" s="1248"/>
      <c r="F3135" s="1248"/>
      <c r="G3135" s="1271"/>
      <c r="H3135" s="1250"/>
      <c r="I3135" s="1251"/>
      <c r="J3135" s="1271"/>
      <c r="K3135" s="1271"/>
      <c r="L3135" s="1254"/>
      <c r="M3135" s="1244"/>
      <c r="N3135" s="1275"/>
      <c r="O3135" s="1275"/>
      <c r="P3135" s="1244"/>
      <c r="Q3135" s="1244"/>
      <c r="R3135" s="1244"/>
      <c r="S3135" s="1265"/>
      <c r="T3135" s="1244"/>
      <c r="U3135" s="1244"/>
    </row>
    <row r="3136">
      <c r="A3136" s="1235"/>
      <c r="B3136" s="1235"/>
      <c r="C3136" s="1246"/>
      <c r="D3136" s="1274"/>
      <c r="E3136" s="1248"/>
      <c r="F3136" s="1248"/>
      <c r="G3136" s="1271"/>
      <c r="H3136" s="1250"/>
      <c r="I3136" s="1251"/>
      <c r="J3136" s="1271"/>
      <c r="K3136" s="1271"/>
      <c r="L3136" s="1254"/>
      <c r="M3136" s="1244"/>
      <c r="N3136" s="1275"/>
      <c r="O3136" s="1275"/>
      <c r="P3136" s="1244"/>
      <c r="Q3136" s="1244"/>
      <c r="R3136" s="1244"/>
      <c r="S3136" s="1265"/>
      <c r="T3136" s="1244"/>
      <c r="U3136" s="1244"/>
    </row>
    <row r="3137">
      <c r="A3137" s="1235"/>
      <c r="B3137" s="1235"/>
      <c r="C3137" s="1246"/>
      <c r="D3137" s="1274"/>
      <c r="E3137" s="1248"/>
      <c r="F3137" s="1248"/>
      <c r="G3137" s="1271"/>
      <c r="H3137" s="1250"/>
      <c r="I3137" s="1251"/>
      <c r="J3137" s="1271"/>
      <c r="K3137" s="1271"/>
      <c r="L3137" s="1254"/>
      <c r="M3137" s="1244"/>
      <c r="N3137" s="1275"/>
      <c r="O3137" s="1275"/>
      <c r="P3137" s="1244"/>
      <c r="Q3137" s="1244"/>
      <c r="R3137" s="1244"/>
      <c r="S3137" s="1265"/>
      <c r="T3137" s="1244"/>
      <c r="U3137" s="1244"/>
    </row>
    <row r="3138">
      <c r="A3138" s="1235"/>
      <c r="B3138" s="1235"/>
      <c r="C3138" s="1246"/>
      <c r="D3138" s="1274"/>
      <c r="E3138" s="1248"/>
      <c r="F3138" s="1248"/>
      <c r="G3138" s="1271"/>
      <c r="H3138" s="1250"/>
      <c r="I3138" s="1251"/>
      <c r="J3138" s="1271"/>
      <c r="K3138" s="1271"/>
      <c r="L3138" s="1254"/>
      <c r="M3138" s="1244"/>
      <c r="N3138" s="1275"/>
      <c r="O3138" s="1275"/>
      <c r="P3138" s="1244"/>
      <c r="Q3138" s="1244"/>
      <c r="R3138" s="1244"/>
      <c r="S3138" s="1265"/>
      <c r="T3138" s="1244"/>
      <c r="U3138" s="1244"/>
    </row>
    <row r="3139">
      <c r="A3139" s="1235"/>
      <c r="B3139" s="1235"/>
      <c r="C3139" s="1246"/>
      <c r="D3139" s="1274"/>
      <c r="E3139" s="1248"/>
      <c r="F3139" s="1248"/>
      <c r="G3139" s="1271"/>
      <c r="H3139" s="1250"/>
      <c r="I3139" s="1251"/>
      <c r="J3139" s="1271"/>
      <c r="K3139" s="1271"/>
      <c r="L3139" s="1254"/>
      <c r="M3139" s="1244"/>
      <c r="N3139" s="1275"/>
      <c r="O3139" s="1275"/>
      <c r="P3139" s="1244"/>
      <c r="Q3139" s="1244"/>
      <c r="R3139" s="1244"/>
      <c r="S3139" s="1265"/>
      <c r="T3139" s="1244"/>
      <c r="U3139" s="1244"/>
    </row>
    <row r="3140">
      <c r="A3140" s="1235"/>
      <c r="B3140" s="1235"/>
      <c r="C3140" s="1246"/>
      <c r="D3140" s="1274"/>
      <c r="E3140" s="1248"/>
      <c r="F3140" s="1248"/>
      <c r="G3140" s="1271"/>
      <c r="H3140" s="1250"/>
      <c r="I3140" s="1251"/>
      <c r="J3140" s="1271"/>
      <c r="K3140" s="1271"/>
      <c r="L3140" s="1254"/>
      <c r="M3140" s="1244"/>
      <c r="N3140" s="1275"/>
      <c r="O3140" s="1275"/>
      <c r="P3140" s="1244"/>
      <c r="Q3140" s="1244"/>
      <c r="R3140" s="1244"/>
      <c r="S3140" s="1265"/>
      <c r="T3140" s="1244"/>
      <c r="U3140" s="1244"/>
    </row>
    <row r="3141">
      <c r="A3141" s="1235"/>
      <c r="B3141" s="1235"/>
      <c r="C3141" s="1246"/>
      <c r="D3141" s="1274"/>
      <c r="E3141" s="1248"/>
      <c r="F3141" s="1248"/>
      <c r="G3141" s="1271"/>
      <c r="H3141" s="1250"/>
      <c r="I3141" s="1251"/>
      <c r="J3141" s="1271"/>
      <c r="K3141" s="1271"/>
      <c r="L3141" s="1254"/>
      <c r="M3141" s="1244"/>
      <c r="N3141" s="1275"/>
      <c r="O3141" s="1275"/>
      <c r="P3141" s="1244"/>
      <c r="Q3141" s="1244"/>
      <c r="R3141" s="1244"/>
      <c r="S3141" s="1265"/>
      <c r="T3141" s="1244"/>
      <c r="U3141" s="1244"/>
    </row>
    <row r="3142">
      <c r="A3142" s="1235"/>
      <c r="B3142" s="1235"/>
      <c r="C3142" s="1246"/>
      <c r="D3142" s="1274"/>
      <c r="E3142" s="1248"/>
      <c r="F3142" s="1248"/>
      <c r="G3142" s="1271"/>
      <c r="H3142" s="1250"/>
      <c r="I3142" s="1251"/>
      <c r="J3142" s="1271"/>
      <c r="K3142" s="1271"/>
      <c r="L3142" s="1254"/>
      <c r="M3142" s="1244"/>
      <c r="N3142" s="1275"/>
      <c r="O3142" s="1275"/>
      <c r="P3142" s="1244"/>
      <c r="Q3142" s="1244"/>
      <c r="R3142" s="1244"/>
      <c r="S3142" s="1265"/>
      <c r="T3142" s="1244"/>
      <c r="U3142" s="1244"/>
    </row>
    <row r="3143">
      <c r="A3143" s="1235"/>
      <c r="B3143" s="1235"/>
      <c r="C3143" s="1246"/>
      <c r="D3143" s="1274"/>
      <c r="E3143" s="1248"/>
      <c r="F3143" s="1248"/>
      <c r="G3143" s="1271"/>
      <c r="H3143" s="1250"/>
      <c r="I3143" s="1251"/>
      <c r="J3143" s="1271"/>
      <c r="K3143" s="1271"/>
      <c r="L3143" s="1254"/>
      <c r="M3143" s="1244"/>
      <c r="N3143" s="1275"/>
      <c r="O3143" s="1275"/>
      <c r="P3143" s="1244"/>
      <c r="Q3143" s="1244"/>
      <c r="R3143" s="1244"/>
      <c r="S3143" s="1265"/>
      <c r="T3143" s="1244"/>
      <c r="U3143" s="1244"/>
    </row>
    <row r="3144">
      <c r="A3144" s="1235"/>
      <c r="B3144" s="1235"/>
      <c r="C3144" s="1246"/>
      <c r="D3144" s="1274"/>
      <c r="E3144" s="1248"/>
      <c r="F3144" s="1248"/>
      <c r="G3144" s="1271"/>
      <c r="H3144" s="1250"/>
      <c r="I3144" s="1251"/>
      <c r="J3144" s="1271"/>
      <c r="K3144" s="1271"/>
      <c r="L3144" s="1254"/>
      <c r="M3144" s="1244"/>
      <c r="N3144" s="1275"/>
      <c r="O3144" s="1275"/>
      <c r="P3144" s="1244"/>
      <c r="Q3144" s="1244"/>
      <c r="R3144" s="1244"/>
      <c r="S3144" s="1265"/>
      <c r="T3144" s="1244"/>
      <c r="U3144" s="1244"/>
    </row>
    <row r="3145">
      <c r="A3145" s="1235"/>
      <c r="B3145" s="1235"/>
      <c r="C3145" s="1246"/>
      <c r="D3145" s="1274"/>
      <c r="E3145" s="1248"/>
      <c r="F3145" s="1248"/>
      <c r="G3145" s="1271"/>
      <c r="H3145" s="1250"/>
      <c r="I3145" s="1251"/>
      <c r="J3145" s="1271"/>
      <c r="K3145" s="1271"/>
      <c r="L3145" s="1254"/>
      <c r="M3145" s="1244"/>
      <c r="N3145" s="1275"/>
      <c r="O3145" s="1275"/>
      <c r="P3145" s="1244"/>
      <c r="Q3145" s="1244"/>
      <c r="R3145" s="1244"/>
      <c r="S3145" s="1265"/>
      <c r="T3145" s="1244"/>
      <c r="U3145" s="1244"/>
    </row>
    <row r="3146">
      <c r="A3146" s="1235"/>
      <c r="B3146" s="1235"/>
      <c r="C3146" s="1246"/>
      <c r="D3146" s="1274"/>
      <c r="E3146" s="1248"/>
      <c r="F3146" s="1248"/>
      <c r="G3146" s="1271"/>
      <c r="H3146" s="1250"/>
      <c r="I3146" s="1251"/>
      <c r="J3146" s="1271"/>
      <c r="K3146" s="1271"/>
      <c r="L3146" s="1254"/>
      <c r="M3146" s="1244"/>
      <c r="N3146" s="1275"/>
      <c r="O3146" s="1275"/>
      <c r="P3146" s="1244"/>
      <c r="Q3146" s="1244"/>
      <c r="R3146" s="1244"/>
      <c r="S3146" s="1265"/>
      <c r="T3146" s="1244"/>
      <c r="U3146" s="1244"/>
    </row>
    <row r="3147">
      <c r="A3147" s="1235"/>
      <c r="B3147" s="1235"/>
      <c r="C3147" s="1246"/>
      <c r="D3147" s="1274"/>
      <c r="E3147" s="1248"/>
      <c r="F3147" s="1248"/>
      <c r="G3147" s="1271"/>
      <c r="H3147" s="1250"/>
      <c r="I3147" s="1251"/>
      <c r="J3147" s="1271"/>
      <c r="K3147" s="1271"/>
      <c r="L3147" s="1254"/>
      <c r="M3147" s="1244"/>
      <c r="N3147" s="1275"/>
      <c r="O3147" s="1275"/>
      <c r="P3147" s="1244"/>
      <c r="Q3147" s="1244"/>
      <c r="R3147" s="1244"/>
      <c r="S3147" s="1265"/>
      <c r="T3147" s="1244"/>
      <c r="U3147" s="1244"/>
    </row>
    <row r="3148">
      <c r="A3148" s="1235"/>
      <c r="B3148" s="1235"/>
      <c r="C3148" s="1246"/>
      <c r="D3148" s="1274"/>
      <c r="E3148" s="1248"/>
      <c r="F3148" s="1248"/>
      <c r="G3148" s="1271"/>
      <c r="H3148" s="1250"/>
      <c r="I3148" s="1251"/>
      <c r="J3148" s="1271"/>
      <c r="K3148" s="1271"/>
      <c r="L3148" s="1254"/>
      <c r="M3148" s="1244"/>
      <c r="N3148" s="1275"/>
      <c r="O3148" s="1275"/>
      <c r="P3148" s="1244"/>
      <c r="Q3148" s="1244"/>
      <c r="R3148" s="1244"/>
      <c r="S3148" s="1265"/>
      <c r="T3148" s="1244"/>
      <c r="U3148" s="1244"/>
    </row>
    <row r="3149">
      <c r="A3149" s="1235"/>
      <c r="B3149" s="1235"/>
      <c r="C3149" s="1246"/>
      <c r="D3149" s="1274"/>
      <c r="E3149" s="1248"/>
      <c r="F3149" s="1248"/>
      <c r="G3149" s="1271"/>
      <c r="H3149" s="1250"/>
      <c r="I3149" s="1251"/>
      <c r="J3149" s="1271"/>
      <c r="K3149" s="1271"/>
      <c r="L3149" s="1254"/>
      <c r="M3149" s="1244"/>
      <c r="N3149" s="1275"/>
      <c r="O3149" s="1275"/>
      <c r="P3149" s="1244"/>
      <c r="Q3149" s="1244"/>
      <c r="R3149" s="1244"/>
      <c r="S3149" s="1265"/>
      <c r="T3149" s="1244"/>
      <c r="U3149" s="1244"/>
    </row>
    <row r="3150">
      <c r="A3150" s="1235"/>
      <c r="B3150" s="1235"/>
      <c r="C3150" s="1246"/>
      <c r="D3150" s="1274"/>
      <c r="E3150" s="1248"/>
      <c r="F3150" s="1248"/>
      <c r="G3150" s="1271"/>
      <c r="H3150" s="1250"/>
      <c r="I3150" s="1251"/>
      <c r="J3150" s="1271"/>
      <c r="K3150" s="1271"/>
      <c r="L3150" s="1254"/>
      <c r="M3150" s="1244"/>
      <c r="N3150" s="1275"/>
      <c r="O3150" s="1275"/>
      <c r="P3150" s="1244"/>
      <c r="Q3150" s="1244"/>
      <c r="R3150" s="1244"/>
      <c r="S3150" s="1265"/>
      <c r="T3150" s="1244"/>
      <c r="U3150" s="1244"/>
    </row>
    <row r="3151">
      <c r="A3151" s="1235"/>
      <c r="B3151" s="1235"/>
      <c r="C3151" s="1246"/>
      <c r="D3151" s="1274"/>
      <c r="E3151" s="1248"/>
      <c r="F3151" s="1248"/>
      <c r="G3151" s="1271"/>
      <c r="H3151" s="1250"/>
      <c r="I3151" s="1251"/>
      <c r="J3151" s="1271"/>
      <c r="K3151" s="1271"/>
      <c r="L3151" s="1254"/>
      <c r="M3151" s="1244"/>
      <c r="N3151" s="1275"/>
      <c r="O3151" s="1275"/>
      <c r="P3151" s="1244"/>
      <c r="Q3151" s="1244"/>
      <c r="R3151" s="1244"/>
      <c r="S3151" s="1265"/>
      <c r="T3151" s="1244"/>
      <c r="U3151" s="1244"/>
    </row>
    <row r="3152">
      <c r="A3152" s="1235"/>
      <c r="B3152" s="1235"/>
      <c r="C3152" s="1246"/>
      <c r="D3152" s="1274"/>
      <c r="E3152" s="1248"/>
      <c r="F3152" s="1248"/>
      <c r="G3152" s="1271"/>
      <c r="H3152" s="1250"/>
      <c r="I3152" s="1251"/>
      <c r="J3152" s="1271"/>
      <c r="K3152" s="1271"/>
      <c r="L3152" s="1254"/>
      <c r="M3152" s="1244"/>
      <c r="N3152" s="1275"/>
      <c r="O3152" s="1275"/>
      <c r="P3152" s="1244"/>
      <c r="Q3152" s="1244"/>
      <c r="R3152" s="1244"/>
      <c r="S3152" s="1265"/>
      <c r="T3152" s="1244"/>
      <c r="U3152" s="1244"/>
    </row>
    <row r="3153">
      <c r="A3153" s="1235"/>
      <c r="B3153" s="1235"/>
      <c r="C3153" s="1246"/>
      <c r="D3153" s="1274"/>
      <c r="E3153" s="1248"/>
      <c r="F3153" s="1248"/>
      <c r="G3153" s="1271"/>
      <c r="H3153" s="1250"/>
      <c r="I3153" s="1251"/>
      <c r="J3153" s="1271"/>
      <c r="K3153" s="1271"/>
      <c r="L3153" s="1254"/>
      <c r="M3153" s="1244"/>
      <c r="N3153" s="1275"/>
      <c r="O3153" s="1275"/>
      <c r="P3153" s="1244"/>
      <c r="Q3153" s="1244"/>
      <c r="R3153" s="1244"/>
      <c r="S3153" s="1265"/>
      <c r="T3153" s="1244"/>
      <c r="U3153" s="1244"/>
    </row>
    <row r="3154">
      <c r="A3154" s="1235"/>
      <c r="B3154" s="1235"/>
      <c r="C3154" s="1246"/>
      <c r="D3154" s="1274"/>
      <c r="E3154" s="1248"/>
      <c r="F3154" s="1248"/>
      <c r="G3154" s="1271"/>
      <c r="H3154" s="1250"/>
      <c r="I3154" s="1251"/>
      <c r="J3154" s="1271"/>
      <c r="K3154" s="1271"/>
      <c r="L3154" s="1254"/>
      <c r="M3154" s="1244"/>
      <c r="N3154" s="1275"/>
      <c r="O3154" s="1275"/>
      <c r="P3154" s="1244"/>
      <c r="Q3154" s="1244"/>
      <c r="R3154" s="1244"/>
      <c r="S3154" s="1265"/>
      <c r="T3154" s="1244"/>
      <c r="U3154" s="1244"/>
    </row>
    <row r="3155">
      <c r="A3155" s="1235"/>
      <c r="B3155" s="1235"/>
      <c r="C3155" s="1246"/>
      <c r="D3155" s="1274"/>
      <c r="E3155" s="1248"/>
      <c r="F3155" s="1248"/>
      <c r="G3155" s="1271"/>
      <c r="H3155" s="1250"/>
      <c r="I3155" s="1251"/>
      <c r="J3155" s="1271"/>
      <c r="K3155" s="1271"/>
      <c r="L3155" s="1254"/>
      <c r="M3155" s="1244"/>
      <c r="N3155" s="1275"/>
      <c r="O3155" s="1275"/>
      <c r="P3155" s="1244"/>
      <c r="Q3155" s="1244"/>
      <c r="R3155" s="1244"/>
      <c r="S3155" s="1265"/>
      <c r="T3155" s="1244"/>
      <c r="U3155" s="1244"/>
    </row>
    <row r="3156">
      <c r="A3156" s="1235"/>
      <c r="B3156" s="1235"/>
      <c r="C3156" s="1246"/>
      <c r="D3156" s="1274"/>
      <c r="E3156" s="1248"/>
      <c r="F3156" s="1248"/>
      <c r="G3156" s="1271"/>
      <c r="H3156" s="1250"/>
      <c r="I3156" s="1251"/>
      <c r="J3156" s="1271"/>
      <c r="K3156" s="1271"/>
      <c r="L3156" s="1254"/>
      <c r="M3156" s="1244"/>
      <c r="N3156" s="1275"/>
      <c r="O3156" s="1275"/>
      <c r="P3156" s="1244"/>
      <c r="Q3156" s="1244"/>
      <c r="R3156" s="1244"/>
      <c r="S3156" s="1265"/>
      <c r="T3156" s="1244"/>
      <c r="U3156" s="1244"/>
    </row>
    <row r="3157">
      <c r="A3157" s="1235"/>
      <c r="B3157" s="1235"/>
      <c r="C3157" s="1246"/>
      <c r="D3157" s="1274"/>
      <c r="E3157" s="1248"/>
      <c r="F3157" s="1248"/>
      <c r="G3157" s="1271"/>
      <c r="H3157" s="1250"/>
      <c r="I3157" s="1251"/>
      <c r="J3157" s="1271"/>
      <c r="K3157" s="1271"/>
      <c r="L3157" s="1254"/>
      <c r="M3157" s="1244"/>
      <c r="N3157" s="1275"/>
      <c r="O3157" s="1275"/>
      <c r="P3157" s="1244"/>
      <c r="Q3157" s="1244"/>
      <c r="R3157" s="1244"/>
      <c r="S3157" s="1265"/>
      <c r="T3157" s="1244"/>
      <c r="U3157" s="1244"/>
    </row>
    <row r="3158">
      <c r="A3158" s="1235"/>
      <c r="B3158" s="1235"/>
      <c r="C3158" s="1246"/>
      <c r="D3158" s="1274"/>
      <c r="E3158" s="1248"/>
      <c r="F3158" s="1248"/>
      <c r="G3158" s="1271"/>
      <c r="H3158" s="1250"/>
      <c r="I3158" s="1251"/>
      <c r="J3158" s="1271"/>
      <c r="K3158" s="1271"/>
      <c r="L3158" s="1254"/>
      <c r="M3158" s="1244"/>
      <c r="N3158" s="1275"/>
      <c r="O3158" s="1275"/>
      <c r="P3158" s="1244"/>
      <c r="Q3158" s="1244"/>
      <c r="R3158" s="1244"/>
      <c r="S3158" s="1265"/>
      <c r="T3158" s="1244"/>
      <c r="U3158" s="1244"/>
    </row>
    <row r="3159">
      <c r="A3159" s="1235"/>
      <c r="B3159" s="1235"/>
      <c r="C3159" s="1246"/>
      <c r="D3159" s="1274"/>
      <c r="E3159" s="1248"/>
      <c r="F3159" s="1248"/>
      <c r="G3159" s="1271"/>
      <c r="H3159" s="1250"/>
      <c r="I3159" s="1251"/>
      <c r="J3159" s="1271"/>
      <c r="K3159" s="1271"/>
      <c r="L3159" s="1254"/>
      <c r="M3159" s="1244"/>
      <c r="N3159" s="1275"/>
      <c r="O3159" s="1275"/>
      <c r="P3159" s="1244"/>
      <c r="Q3159" s="1244"/>
      <c r="R3159" s="1244"/>
      <c r="S3159" s="1265"/>
      <c r="T3159" s="1244"/>
      <c r="U3159" s="1244"/>
    </row>
    <row r="3160">
      <c r="A3160" s="1235"/>
      <c r="B3160" s="1235"/>
      <c r="C3160" s="1246"/>
      <c r="D3160" s="1274"/>
      <c r="E3160" s="1248"/>
      <c r="F3160" s="1248"/>
      <c r="G3160" s="1271"/>
      <c r="H3160" s="1250"/>
      <c r="I3160" s="1251"/>
      <c r="J3160" s="1271"/>
      <c r="K3160" s="1271"/>
      <c r="L3160" s="1254"/>
      <c r="M3160" s="1244"/>
      <c r="N3160" s="1275"/>
      <c r="O3160" s="1275"/>
      <c r="P3160" s="1244"/>
      <c r="Q3160" s="1244"/>
      <c r="R3160" s="1244"/>
      <c r="S3160" s="1265"/>
      <c r="T3160" s="1244"/>
      <c r="U3160" s="1244"/>
    </row>
    <row r="3161">
      <c r="A3161" s="1235"/>
      <c r="B3161" s="1235"/>
      <c r="C3161" s="1246"/>
      <c r="D3161" s="1274"/>
      <c r="E3161" s="1248"/>
      <c r="F3161" s="1248"/>
      <c r="G3161" s="1271"/>
      <c r="H3161" s="1250"/>
      <c r="I3161" s="1251"/>
      <c r="J3161" s="1271"/>
      <c r="K3161" s="1271"/>
      <c r="L3161" s="1254"/>
      <c r="M3161" s="1244"/>
      <c r="N3161" s="1275"/>
      <c r="O3161" s="1275"/>
      <c r="P3161" s="1244"/>
      <c r="Q3161" s="1244"/>
      <c r="R3161" s="1244"/>
      <c r="S3161" s="1265"/>
      <c r="T3161" s="1244"/>
      <c r="U3161" s="1244"/>
    </row>
    <row r="3162">
      <c r="A3162" s="1235"/>
      <c r="B3162" s="1235"/>
      <c r="C3162" s="1246"/>
      <c r="D3162" s="1274"/>
      <c r="E3162" s="1248"/>
      <c r="F3162" s="1248"/>
      <c r="G3162" s="1271"/>
      <c r="H3162" s="1250"/>
      <c r="I3162" s="1251"/>
      <c r="J3162" s="1271"/>
      <c r="K3162" s="1271"/>
      <c r="L3162" s="1254"/>
      <c r="M3162" s="1244"/>
      <c r="N3162" s="1275"/>
      <c r="O3162" s="1275"/>
      <c r="P3162" s="1244"/>
      <c r="Q3162" s="1244"/>
      <c r="R3162" s="1244"/>
      <c r="S3162" s="1265"/>
      <c r="T3162" s="1244"/>
      <c r="U3162" s="1244"/>
    </row>
    <row r="3163">
      <c r="A3163" s="1235"/>
      <c r="B3163" s="1235"/>
      <c r="C3163" s="1246"/>
      <c r="D3163" s="1274"/>
      <c r="E3163" s="1248"/>
      <c r="F3163" s="1248"/>
      <c r="G3163" s="1271"/>
      <c r="H3163" s="1250"/>
      <c r="I3163" s="1251"/>
      <c r="J3163" s="1271"/>
      <c r="K3163" s="1271"/>
      <c r="L3163" s="1254"/>
      <c r="M3163" s="1244"/>
      <c r="N3163" s="1275"/>
      <c r="O3163" s="1275"/>
      <c r="P3163" s="1244"/>
      <c r="Q3163" s="1244"/>
      <c r="R3163" s="1244"/>
      <c r="S3163" s="1265"/>
      <c r="T3163" s="1244"/>
      <c r="U3163" s="1244"/>
    </row>
    <row r="3164">
      <c r="A3164" s="1235"/>
      <c r="B3164" s="1235"/>
      <c r="C3164" s="1246"/>
      <c r="D3164" s="1274"/>
      <c r="E3164" s="1248"/>
      <c r="F3164" s="1248"/>
      <c r="G3164" s="1271"/>
      <c r="H3164" s="1250"/>
      <c r="I3164" s="1251"/>
      <c r="J3164" s="1271"/>
      <c r="K3164" s="1271"/>
      <c r="L3164" s="1254"/>
      <c r="M3164" s="1244"/>
      <c r="N3164" s="1275"/>
      <c r="O3164" s="1275"/>
      <c r="P3164" s="1244"/>
      <c r="Q3164" s="1244"/>
      <c r="R3164" s="1244"/>
      <c r="S3164" s="1265"/>
      <c r="T3164" s="1244"/>
      <c r="U3164" s="1244"/>
    </row>
    <row r="3165">
      <c r="A3165" s="1235"/>
      <c r="B3165" s="1235"/>
      <c r="C3165" s="1246"/>
      <c r="D3165" s="1274"/>
      <c r="E3165" s="1248"/>
      <c r="F3165" s="1248"/>
      <c r="G3165" s="1271"/>
      <c r="H3165" s="1250"/>
      <c r="I3165" s="1251"/>
      <c r="J3165" s="1271"/>
      <c r="K3165" s="1271"/>
      <c r="L3165" s="1254"/>
      <c r="M3165" s="1244"/>
      <c r="N3165" s="1275"/>
      <c r="O3165" s="1275"/>
      <c r="P3165" s="1244"/>
      <c r="Q3165" s="1244"/>
      <c r="R3165" s="1244"/>
      <c r="S3165" s="1265"/>
      <c r="T3165" s="1244"/>
      <c r="U3165" s="1244"/>
    </row>
    <row r="3166">
      <c r="A3166" s="1235"/>
      <c r="B3166" s="1235"/>
      <c r="C3166" s="1246"/>
      <c r="D3166" s="1274"/>
      <c r="E3166" s="1248"/>
      <c r="F3166" s="1248"/>
      <c r="G3166" s="1271"/>
      <c r="H3166" s="1250"/>
      <c r="I3166" s="1251"/>
      <c r="J3166" s="1271"/>
      <c r="K3166" s="1271"/>
      <c r="L3166" s="1254"/>
      <c r="M3166" s="1244"/>
      <c r="N3166" s="1275"/>
      <c r="O3166" s="1275"/>
      <c r="P3166" s="1244"/>
      <c r="Q3166" s="1244"/>
      <c r="R3166" s="1244"/>
      <c r="S3166" s="1265"/>
      <c r="T3166" s="1244"/>
      <c r="U3166" s="1244"/>
    </row>
    <row r="3167">
      <c r="A3167" s="1235"/>
      <c r="B3167" s="1235"/>
      <c r="C3167" s="1246"/>
      <c r="D3167" s="1274"/>
      <c r="E3167" s="1248"/>
      <c r="F3167" s="1248"/>
      <c r="G3167" s="1271"/>
      <c r="H3167" s="1250"/>
      <c r="I3167" s="1251"/>
      <c r="J3167" s="1271"/>
      <c r="K3167" s="1271"/>
      <c r="L3167" s="1254"/>
      <c r="M3167" s="1244"/>
      <c r="N3167" s="1275"/>
      <c r="O3167" s="1275"/>
      <c r="P3167" s="1244"/>
      <c r="Q3167" s="1244"/>
      <c r="R3167" s="1244"/>
      <c r="S3167" s="1265"/>
      <c r="T3167" s="1244"/>
      <c r="U3167" s="1244"/>
    </row>
    <row r="3168">
      <c r="A3168" s="1235"/>
      <c r="B3168" s="1235"/>
      <c r="C3168" s="1246"/>
      <c r="D3168" s="1274"/>
      <c r="E3168" s="1248"/>
      <c r="F3168" s="1248"/>
      <c r="G3168" s="1271"/>
      <c r="H3168" s="1250"/>
      <c r="I3168" s="1251"/>
      <c r="J3168" s="1271"/>
      <c r="K3168" s="1271"/>
      <c r="L3168" s="1254"/>
      <c r="M3168" s="1244"/>
      <c r="N3168" s="1275"/>
      <c r="O3168" s="1275"/>
      <c r="P3168" s="1244"/>
      <c r="Q3168" s="1244"/>
      <c r="R3168" s="1244"/>
      <c r="S3168" s="1265"/>
      <c r="T3168" s="1244"/>
      <c r="U3168" s="1244"/>
    </row>
    <row r="3169">
      <c r="A3169" s="1235"/>
      <c r="B3169" s="1235"/>
      <c r="C3169" s="1246"/>
      <c r="D3169" s="1274"/>
      <c r="E3169" s="1248"/>
      <c r="F3169" s="1248"/>
      <c r="G3169" s="1271"/>
      <c r="H3169" s="1250"/>
      <c r="I3169" s="1251"/>
      <c r="J3169" s="1271"/>
      <c r="K3169" s="1271"/>
      <c r="L3169" s="1254"/>
      <c r="M3169" s="1244"/>
      <c r="N3169" s="1275"/>
      <c r="O3169" s="1275"/>
      <c r="P3169" s="1244"/>
      <c r="Q3169" s="1244"/>
      <c r="R3169" s="1244"/>
      <c r="S3169" s="1265"/>
      <c r="T3169" s="1244"/>
      <c r="U3169" s="1244"/>
    </row>
    <row r="3170">
      <c r="A3170" s="1235"/>
      <c r="B3170" s="1235"/>
      <c r="C3170" s="1246"/>
      <c r="D3170" s="1274"/>
      <c r="E3170" s="1248"/>
      <c r="F3170" s="1248"/>
      <c r="G3170" s="1271"/>
      <c r="H3170" s="1250"/>
      <c r="I3170" s="1251"/>
      <c r="J3170" s="1271"/>
      <c r="K3170" s="1271"/>
      <c r="L3170" s="1254"/>
      <c r="M3170" s="1244"/>
      <c r="N3170" s="1275"/>
      <c r="O3170" s="1275"/>
      <c r="P3170" s="1244"/>
      <c r="Q3170" s="1244"/>
      <c r="R3170" s="1244"/>
      <c r="S3170" s="1265"/>
      <c r="T3170" s="1244"/>
      <c r="U3170" s="1244"/>
    </row>
    <row r="3171">
      <c r="A3171" s="1235"/>
      <c r="B3171" s="1235"/>
      <c r="C3171" s="1246"/>
      <c r="D3171" s="1274"/>
      <c r="E3171" s="1248"/>
      <c r="F3171" s="1248"/>
      <c r="G3171" s="1271"/>
      <c r="H3171" s="1250"/>
      <c r="I3171" s="1251"/>
      <c r="J3171" s="1271"/>
      <c r="K3171" s="1271"/>
      <c r="L3171" s="1254"/>
      <c r="M3171" s="1244"/>
      <c r="N3171" s="1275"/>
      <c r="O3171" s="1275"/>
      <c r="P3171" s="1244"/>
      <c r="Q3171" s="1244"/>
      <c r="R3171" s="1244"/>
      <c r="S3171" s="1265"/>
      <c r="T3171" s="1244"/>
      <c r="U3171" s="1244"/>
    </row>
    <row r="3172">
      <c r="A3172" s="1235"/>
      <c r="B3172" s="1235"/>
      <c r="C3172" s="1246"/>
      <c r="D3172" s="1274"/>
      <c r="E3172" s="1248"/>
      <c r="F3172" s="1248"/>
      <c r="G3172" s="1271"/>
      <c r="H3172" s="1250"/>
      <c r="I3172" s="1251"/>
      <c r="J3172" s="1271"/>
      <c r="K3172" s="1271"/>
      <c r="L3172" s="1254"/>
      <c r="M3172" s="1244"/>
      <c r="N3172" s="1275"/>
      <c r="O3172" s="1275"/>
      <c r="P3172" s="1244"/>
      <c r="Q3172" s="1244"/>
      <c r="R3172" s="1244"/>
      <c r="S3172" s="1265"/>
      <c r="T3172" s="1244"/>
      <c r="U3172" s="1244"/>
    </row>
    <row r="3173">
      <c r="A3173" s="1235"/>
      <c r="B3173" s="1235"/>
      <c r="C3173" s="1246"/>
      <c r="D3173" s="1274"/>
      <c r="E3173" s="1248"/>
      <c r="F3173" s="1248"/>
      <c r="G3173" s="1271"/>
      <c r="H3173" s="1250"/>
      <c r="I3173" s="1251"/>
      <c r="J3173" s="1271"/>
      <c r="K3173" s="1271"/>
      <c r="L3173" s="1254"/>
      <c r="M3173" s="1244"/>
      <c r="N3173" s="1275"/>
      <c r="O3173" s="1275"/>
      <c r="P3173" s="1244"/>
      <c r="Q3173" s="1244"/>
      <c r="R3173" s="1244"/>
      <c r="S3173" s="1265"/>
      <c r="T3173" s="1244"/>
      <c r="U3173" s="1244"/>
    </row>
    <row r="3174">
      <c r="A3174" s="1235"/>
      <c r="B3174" s="1235"/>
      <c r="C3174" s="1246"/>
      <c r="D3174" s="1274"/>
      <c r="E3174" s="1248"/>
      <c r="F3174" s="1248"/>
      <c r="G3174" s="1271"/>
      <c r="H3174" s="1250"/>
      <c r="I3174" s="1251"/>
      <c r="J3174" s="1271"/>
      <c r="K3174" s="1271"/>
      <c r="L3174" s="1254"/>
      <c r="M3174" s="1244"/>
      <c r="N3174" s="1275"/>
      <c r="O3174" s="1275"/>
      <c r="P3174" s="1244"/>
      <c r="Q3174" s="1244"/>
      <c r="R3174" s="1244"/>
      <c r="S3174" s="1265"/>
      <c r="T3174" s="1244"/>
      <c r="U3174" s="1244"/>
    </row>
    <row r="3175">
      <c r="A3175" s="1235"/>
      <c r="B3175" s="1235"/>
      <c r="C3175" s="1246"/>
      <c r="D3175" s="1274"/>
      <c r="E3175" s="1248"/>
      <c r="F3175" s="1248"/>
      <c r="G3175" s="1271"/>
      <c r="H3175" s="1250"/>
      <c r="I3175" s="1251"/>
      <c r="J3175" s="1271"/>
      <c r="K3175" s="1271"/>
      <c r="L3175" s="1254"/>
      <c r="M3175" s="1244"/>
      <c r="N3175" s="1275"/>
      <c r="O3175" s="1275"/>
      <c r="P3175" s="1244"/>
      <c r="Q3175" s="1244"/>
      <c r="R3175" s="1244"/>
      <c r="S3175" s="1265"/>
      <c r="T3175" s="1244"/>
      <c r="U3175" s="1244"/>
    </row>
    <row r="3176">
      <c r="A3176" s="1235"/>
      <c r="B3176" s="1235"/>
      <c r="C3176" s="1246"/>
      <c r="D3176" s="1274"/>
      <c r="E3176" s="1248"/>
      <c r="F3176" s="1248"/>
      <c r="G3176" s="1271"/>
      <c r="H3176" s="1250"/>
      <c r="I3176" s="1251"/>
      <c r="J3176" s="1271"/>
      <c r="K3176" s="1271"/>
      <c r="L3176" s="1254"/>
      <c r="M3176" s="1244"/>
      <c r="N3176" s="1275"/>
      <c r="O3176" s="1275"/>
      <c r="P3176" s="1244"/>
      <c r="Q3176" s="1244"/>
      <c r="R3176" s="1244"/>
      <c r="S3176" s="1265"/>
      <c r="T3176" s="1244"/>
      <c r="U3176" s="1244"/>
    </row>
    <row r="3177">
      <c r="A3177" s="1235"/>
      <c r="B3177" s="1235"/>
      <c r="C3177" s="1246"/>
      <c r="D3177" s="1274"/>
      <c r="E3177" s="1248"/>
      <c r="F3177" s="1248"/>
      <c r="G3177" s="1271"/>
      <c r="H3177" s="1250"/>
      <c r="I3177" s="1251"/>
      <c r="J3177" s="1271"/>
      <c r="K3177" s="1271"/>
      <c r="L3177" s="1254"/>
      <c r="M3177" s="1244"/>
      <c r="N3177" s="1275"/>
      <c r="O3177" s="1275"/>
      <c r="P3177" s="1244"/>
      <c r="Q3177" s="1244"/>
      <c r="R3177" s="1244"/>
      <c r="S3177" s="1265"/>
      <c r="T3177" s="1244"/>
      <c r="U3177" s="1244"/>
    </row>
    <row r="3178">
      <c r="A3178" s="1235"/>
      <c r="B3178" s="1235"/>
      <c r="C3178" s="1246"/>
      <c r="D3178" s="1274"/>
      <c r="E3178" s="1248"/>
      <c r="F3178" s="1248"/>
      <c r="G3178" s="1271"/>
      <c r="H3178" s="1250"/>
      <c r="I3178" s="1251"/>
      <c r="J3178" s="1271"/>
      <c r="K3178" s="1271"/>
      <c r="L3178" s="1254"/>
      <c r="M3178" s="1244"/>
      <c r="N3178" s="1275"/>
      <c r="O3178" s="1275"/>
      <c r="P3178" s="1244"/>
      <c r="Q3178" s="1244"/>
      <c r="R3178" s="1244"/>
      <c r="S3178" s="1265"/>
      <c r="T3178" s="1244"/>
      <c r="U3178" s="1244"/>
    </row>
    <row r="3179">
      <c r="A3179" s="1235"/>
      <c r="B3179" s="1235"/>
      <c r="C3179" s="1246"/>
      <c r="D3179" s="1274"/>
      <c r="E3179" s="1248"/>
      <c r="F3179" s="1248"/>
      <c r="G3179" s="1271"/>
      <c r="H3179" s="1250"/>
      <c r="I3179" s="1251"/>
      <c r="J3179" s="1271"/>
      <c r="K3179" s="1271"/>
      <c r="L3179" s="1254"/>
      <c r="M3179" s="1244"/>
      <c r="N3179" s="1275"/>
      <c r="O3179" s="1275"/>
      <c r="P3179" s="1244"/>
      <c r="Q3179" s="1244"/>
      <c r="R3179" s="1244"/>
      <c r="S3179" s="1265"/>
      <c r="T3179" s="1244"/>
      <c r="U3179" s="1244"/>
    </row>
    <row r="3180">
      <c r="A3180" s="1235"/>
      <c r="B3180" s="1235"/>
      <c r="C3180" s="1246"/>
      <c r="D3180" s="1274"/>
      <c r="E3180" s="1248"/>
      <c r="F3180" s="1248"/>
      <c r="G3180" s="1271"/>
      <c r="H3180" s="1250"/>
      <c r="I3180" s="1251"/>
      <c r="J3180" s="1271"/>
      <c r="K3180" s="1271"/>
      <c r="L3180" s="1254"/>
      <c r="M3180" s="1244"/>
      <c r="N3180" s="1275"/>
      <c r="O3180" s="1275"/>
      <c r="P3180" s="1244"/>
      <c r="Q3180" s="1244"/>
      <c r="R3180" s="1244"/>
      <c r="S3180" s="1265"/>
      <c r="T3180" s="1244"/>
      <c r="U3180" s="1244"/>
    </row>
    <row r="3181">
      <c r="A3181" s="1235"/>
      <c r="B3181" s="1235"/>
      <c r="C3181" s="1246"/>
      <c r="D3181" s="1274"/>
      <c r="E3181" s="1248"/>
      <c r="F3181" s="1248"/>
      <c r="G3181" s="1271"/>
      <c r="H3181" s="1250"/>
      <c r="I3181" s="1251"/>
      <c r="J3181" s="1271"/>
      <c r="K3181" s="1271"/>
      <c r="L3181" s="1254"/>
      <c r="M3181" s="1244"/>
      <c r="N3181" s="1275"/>
      <c r="O3181" s="1275"/>
      <c r="P3181" s="1244"/>
      <c r="Q3181" s="1244"/>
      <c r="R3181" s="1244"/>
      <c r="S3181" s="1265"/>
      <c r="T3181" s="1244"/>
      <c r="U3181" s="1244"/>
    </row>
    <row r="3182">
      <c r="A3182" s="1235"/>
      <c r="B3182" s="1235"/>
      <c r="C3182" s="1246"/>
      <c r="D3182" s="1274"/>
      <c r="E3182" s="1248"/>
      <c r="F3182" s="1248"/>
      <c r="G3182" s="1271"/>
      <c r="H3182" s="1250"/>
      <c r="I3182" s="1251"/>
      <c r="J3182" s="1271"/>
      <c r="K3182" s="1271"/>
      <c r="L3182" s="1254"/>
      <c r="M3182" s="1244"/>
      <c r="N3182" s="1275"/>
      <c r="O3182" s="1275"/>
      <c r="P3182" s="1244"/>
      <c r="Q3182" s="1244"/>
      <c r="R3182" s="1244"/>
      <c r="S3182" s="1265"/>
      <c r="T3182" s="1244"/>
      <c r="U3182" s="1244"/>
    </row>
    <row r="3183">
      <c r="A3183" s="1235"/>
      <c r="B3183" s="1235"/>
      <c r="C3183" s="1246"/>
      <c r="D3183" s="1274"/>
      <c r="E3183" s="1248"/>
      <c r="F3183" s="1248"/>
      <c r="G3183" s="1271"/>
      <c r="H3183" s="1250"/>
      <c r="I3183" s="1251"/>
      <c r="J3183" s="1271"/>
      <c r="K3183" s="1271"/>
      <c r="L3183" s="1254"/>
      <c r="M3183" s="1244"/>
      <c r="N3183" s="1275"/>
      <c r="O3183" s="1275"/>
      <c r="P3183" s="1244"/>
      <c r="Q3183" s="1244"/>
      <c r="R3183" s="1244"/>
      <c r="S3183" s="1265"/>
      <c r="T3183" s="1244"/>
      <c r="U3183" s="1244"/>
    </row>
    <row r="3184">
      <c r="A3184" s="1235"/>
      <c r="B3184" s="1235"/>
      <c r="C3184" s="1246"/>
      <c r="D3184" s="1274"/>
      <c r="E3184" s="1248"/>
      <c r="F3184" s="1248"/>
      <c r="G3184" s="1271"/>
      <c r="H3184" s="1250"/>
      <c r="I3184" s="1251"/>
      <c r="J3184" s="1271"/>
      <c r="K3184" s="1271"/>
      <c r="L3184" s="1254"/>
      <c r="M3184" s="1244"/>
      <c r="N3184" s="1275"/>
      <c r="O3184" s="1275"/>
      <c r="P3184" s="1244"/>
      <c r="Q3184" s="1244"/>
      <c r="R3184" s="1244"/>
      <c r="S3184" s="1265"/>
      <c r="T3184" s="1244"/>
      <c r="U3184" s="1244"/>
    </row>
    <row r="3185">
      <c r="A3185" s="1235"/>
      <c r="B3185" s="1235"/>
      <c r="C3185" s="1246"/>
      <c r="D3185" s="1274"/>
      <c r="E3185" s="1248"/>
      <c r="F3185" s="1248"/>
      <c r="G3185" s="1271"/>
      <c r="H3185" s="1250"/>
      <c r="I3185" s="1251"/>
      <c r="J3185" s="1271"/>
      <c r="K3185" s="1271"/>
      <c r="L3185" s="1254"/>
      <c r="M3185" s="1244"/>
      <c r="N3185" s="1275"/>
      <c r="O3185" s="1275"/>
      <c r="P3185" s="1244"/>
      <c r="Q3185" s="1244"/>
      <c r="R3185" s="1244"/>
      <c r="S3185" s="1265"/>
      <c r="T3185" s="1244"/>
      <c r="U3185" s="1244"/>
    </row>
    <row r="3186">
      <c r="A3186" s="1235"/>
      <c r="B3186" s="1235"/>
      <c r="C3186" s="1246"/>
      <c r="D3186" s="1274"/>
      <c r="E3186" s="1248"/>
      <c r="F3186" s="1248"/>
      <c r="G3186" s="1271"/>
      <c r="H3186" s="1250"/>
      <c r="I3186" s="1251"/>
      <c r="J3186" s="1271"/>
      <c r="K3186" s="1271"/>
      <c r="L3186" s="1254"/>
      <c r="M3186" s="1244"/>
      <c r="N3186" s="1275"/>
      <c r="O3186" s="1275"/>
      <c r="P3186" s="1244"/>
      <c r="Q3186" s="1244"/>
      <c r="R3186" s="1244"/>
      <c r="S3186" s="1265"/>
      <c r="T3186" s="1244"/>
      <c r="U3186" s="1244"/>
    </row>
    <row r="3187">
      <c r="A3187" s="1235"/>
      <c r="B3187" s="1235"/>
      <c r="C3187" s="1246"/>
      <c r="D3187" s="1274"/>
      <c r="E3187" s="1248"/>
      <c r="F3187" s="1248"/>
      <c r="G3187" s="1271"/>
      <c r="H3187" s="1250"/>
      <c r="I3187" s="1251"/>
      <c r="J3187" s="1271"/>
      <c r="K3187" s="1271"/>
      <c r="L3187" s="1254"/>
      <c r="M3187" s="1244"/>
      <c r="N3187" s="1275"/>
      <c r="O3187" s="1275"/>
      <c r="P3187" s="1244"/>
      <c r="Q3187" s="1244"/>
      <c r="R3187" s="1244"/>
      <c r="S3187" s="1265"/>
      <c r="T3187" s="1244"/>
      <c r="U3187" s="1244"/>
    </row>
    <row r="3188">
      <c r="A3188" s="1235"/>
      <c r="B3188" s="1235"/>
      <c r="C3188" s="1246"/>
      <c r="D3188" s="1274"/>
      <c r="E3188" s="1248"/>
      <c r="F3188" s="1248"/>
      <c r="G3188" s="1271"/>
      <c r="H3188" s="1250"/>
      <c r="I3188" s="1251"/>
      <c r="J3188" s="1271"/>
      <c r="K3188" s="1271"/>
      <c r="L3188" s="1254"/>
      <c r="M3188" s="1244"/>
      <c r="N3188" s="1275"/>
      <c r="O3188" s="1275"/>
      <c r="P3188" s="1244"/>
      <c r="Q3188" s="1244"/>
      <c r="R3188" s="1244"/>
      <c r="S3188" s="1265"/>
      <c r="T3188" s="1244"/>
      <c r="U3188" s="1244"/>
    </row>
    <row r="3189">
      <c r="A3189" s="1235"/>
      <c r="B3189" s="1235"/>
      <c r="C3189" s="1246"/>
      <c r="D3189" s="1274"/>
      <c r="E3189" s="1248"/>
      <c r="F3189" s="1248"/>
      <c r="G3189" s="1271"/>
      <c r="H3189" s="1250"/>
      <c r="I3189" s="1251"/>
      <c r="J3189" s="1271"/>
      <c r="K3189" s="1271"/>
      <c r="L3189" s="1254"/>
      <c r="M3189" s="1244"/>
      <c r="N3189" s="1275"/>
      <c r="O3189" s="1275"/>
      <c r="P3189" s="1244"/>
      <c r="Q3189" s="1244"/>
      <c r="R3189" s="1244"/>
      <c r="S3189" s="1265"/>
      <c r="T3189" s="1244"/>
      <c r="U3189" s="1244"/>
    </row>
    <row r="3190">
      <c r="A3190" s="1235"/>
      <c r="B3190" s="1235"/>
      <c r="C3190" s="1246"/>
      <c r="D3190" s="1274"/>
      <c r="E3190" s="1248"/>
      <c r="F3190" s="1248"/>
      <c r="G3190" s="1271"/>
      <c r="H3190" s="1250"/>
      <c r="I3190" s="1251"/>
      <c r="J3190" s="1271"/>
      <c r="K3190" s="1271"/>
      <c r="L3190" s="1254"/>
      <c r="M3190" s="1244"/>
      <c r="N3190" s="1275"/>
      <c r="O3190" s="1275"/>
      <c r="P3190" s="1244"/>
      <c r="Q3190" s="1244"/>
      <c r="R3190" s="1244"/>
      <c r="S3190" s="1265"/>
      <c r="T3190" s="1244"/>
      <c r="U3190" s="1244"/>
    </row>
    <row r="3191">
      <c r="A3191" s="1235"/>
      <c r="B3191" s="1235"/>
      <c r="C3191" s="1246"/>
      <c r="D3191" s="1274"/>
      <c r="E3191" s="1248"/>
      <c r="F3191" s="1248"/>
      <c r="G3191" s="1271"/>
      <c r="H3191" s="1250"/>
      <c r="I3191" s="1251"/>
      <c r="J3191" s="1271"/>
      <c r="K3191" s="1271"/>
      <c r="L3191" s="1254"/>
      <c r="M3191" s="1244"/>
      <c r="N3191" s="1275"/>
      <c r="O3191" s="1275"/>
      <c r="P3191" s="1244"/>
      <c r="Q3191" s="1244"/>
      <c r="R3191" s="1244"/>
      <c r="S3191" s="1265"/>
      <c r="T3191" s="1244"/>
      <c r="U3191" s="1244"/>
    </row>
    <row r="3192">
      <c r="A3192" s="1235"/>
      <c r="B3192" s="1235"/>
      <c r="C3192" s="1246"/>
      <c r="D3192" s="1274"/>
      <c r="E3192" s="1248"/>
      <c r="F3192" s="1248"/>
      <c r="G3192" s="1271"/>
      <c r="H3192" s="1250"/>
      <c r="I3192" s="1251"/>
      <c r="J3192" s="1271"/>
      <c r="K3192" s="1271"/>
      <c r="L3192" s="1254"/>
      <c r="M3192" s="1244"/>
      <c r="N3192" s="1275"/>
      <c r="O3192" s="1275"/>
      <c r="P3192" s="1244"/>
      <c r="Q3192" s="1244"/>
      <c r="R3192" s="1244"/>
      <c r="S3192" s="1265"/>
      <c r="T3192" s="1244"/>
      <c r="U3192" s="1244"/>
    </row>
    <row r="3193">
      <c r="A3193" s="1235"/>
      <c r="B3193" s="1235"/>
      <c r="C3193" s="1246"/>
      <c r="D3193" s="1274"/>
      <c r="E3193" s="1248"/>
      <c r="F3193" s="1248"/>
      <c r="G3193" s="1271"/>
      <c r="H3193" s="1250"/>
      <c r="I3193" s="1251"/>
      <c r="J3193" s="1271"/>
      <c r="K3193" s="1271"/>
      <c r="L3193" s="1254"/>
      <c r="M3193" s="1244"/>
      <c r="N3193" s="1275"/>
      <c r="O3193" s="1275"/>
      <c r="P3193" s="1244"/>
      <c r="Q3193" s="1244"/>
      <c r="R3193" s="1244"/>
      <c r="S3193" s="1265"/>
      <c r="T3193" s="1244"/>
      <c r="U3193" s="1244"/>
    </row>
    <row r="3194">
      <c r="A3194" s="1235"/>
      <c r="B3194" s="1235"/>
      <c r="C3194" s="1246"/>
      <c r="D3194" s="1274"/>
      <c r="E3194" s="1248"/>
      <c r="F3194" s="1248"/>
      <c r="G3194" s="1271"/>
      <c r="H3194" s="1250"/>
      <c r="I3194" s="1251"/>
      <c r="J3194" s="1271"/>
      <c r="K3194" s="1271"/>
      <c r="L3194" s="1254"/>
      <c r="M3194" s="1244"/>
      <c r="N3194" s="1275"/>
      <c r="O3194" s="1275"/>
      <c r="P3194" s="1244"/>
      <c r="Q3194" s="1244"/>
      <c r="R3194" s="1244"/>
      <c r="S3194" s="1265"/>
      <c r="T3194" s="1244"/>
      <c r="U3194" s="1244"/>
    </row>
    <row r="3195">
      <c r="A3195" s="1235"/>
      <c r="B3195" s="1235"/>
      <c r="C3195" s="1246"/>
      <c r="D3195" s="1274"/>
      <c r="E3195" s="1248"/>
      <c r="F3195" s="1248"/>
      <c r="G3195" s="1271"/>
      <c r="H3195" s="1250"/>
      <c r="I3195" s="1251"/>
      <c r="J3195" s="1271"/>
      <c r="K3195" s="1271"/>
      <c r="L3195" s="1254"/>
      <c r="M3195" s="1244"/>
      <c r="N3195" s="1275"/>
      <c r="O3195" s="1275"/>
      <c r="P3195" s="1244"/>
      <c r="Q3195" s="1244"/>
      <c r="R3195" s="1244"/>
      <c r="S3195" s="1265"/>
      <c r="T3195" s="1244"/>
      <c r="U3195" s="1244"/>
    </row>
    <row r="3196">
      <c r="A3196" s="1235"/>
      <c r="B3196" s="1235"/>
      <c r="C3196" s="1246"/>
      <c r="D3196" s="1274"/>
      <c r="E3196" s="1248"/>
      <c r="F3196" s="1248"/>
      <c r="G3196" s="1271"/>
      <c r="H3196" s="1250"/>
      <c r="I3196" s="1251"/>
      <c r="J3196" s="1271"/>
      <c r="K3196" s="1271"/>
      <c r="L3196" s="1254"/>
      <c r="M3196" s="1244"/>
      <c r="N3196" s="1275"/>
      <c r="O3196" s="1275"/>
      <c r="P3196" s="1244"/>
      <c r="Q3196" s="1244"/>
      <c r="R3196" s="1244"/>
      <c r="S3196" s="1265"/>
      <c r="T3196" s="1244"/>
      <c r="U3196" s="1244"/>
    </row>
    <row r="3197">
      <c r="A3197" s="1235"/>
      <c r="B3197" s="1235"/>
      <c r="C3197" s="1246"/>
      <c r="D3197" s="1274"/>
      <c r="E3197" s="1248"/>
      <c r="F3197" s="1248"/>
      <c r="G3197" s="1271"/>
      <c r="H3197" s="1250"/>
      <c r="I3197" s="1251"/>
      <c r="J3197" s="1271"/>
      <c r="K3197" s="1271"/>
      <c r="L3197" s="1254"/>
      <c r="M3197" s="1244"/>
      <c r="N3197" s="1275"/>
      <c r="O3197" s="1275"/>
      <c r="P3197" s="1244"/>
      <c r="Q3197" s="1244"/>
      <c r="R3197" s="1244"/>
      <c r="S3197" s="1265"/>
      <c r="T3197" s="1244"/>
      <c r="U3197" s="1244"/>
    </row>
    <row r="3198">
      <c r="A3198" s="1235"/>
      <c r="B3198" s="1235"/>
      <c r="C3198" s="1246"/>
      <c r="D3198" s="1274"/>
      <c r="E3198" s="1248"/>
      <c r="F3198" s="1248"/>
      <c r="G3198" s="1271"/>
      <c r="H3198" s="1250"/>
      <c r="I3198" s="1251"/>
      <c r="J3198" s="1271"/>
      <c r="K3198" s="1271"/>
      <c r="L3198" s="1254"/>
      <c r="M3198" s="1244"/>
      <c r="N3198" s="1275"/>
      <c r="O3198" s="1275"/>
      <c r="P3198" s="1244"/>
      <c r="Q3198" s="1244"/>
      <c r="R3198" s="1244"/>
      <c r="S3198" s="1265"/>
      <c r="T3198" s="1244"/>
      <c r="U3198" s="1244"/>
    </row>
    <row r="3199">
      <c r="A3199" s="1235"/>
      <c r="B3199" s="1235"/>
      <c r="C3199" s="1246"/>
      <c r="D3199" s="1274"/>
      <c r="E3199" s="1248"/>
      <c r="F3199" s="1248"/>
      <c r="G3199" s="1271"/>
      <c r="H3199" s="1250"/>
      <c r="I3199" s="1251"/>
      <c r="J3199" s="1271"/>
      <c r="K3199" s="1271"/>
      <c r="L3199" s="1254"/>
      <c r="M3199" s="1244"/>
      <c r="N3199" s="1275"/>
      <c r="O3199" s="1275"/>
      <c r="P3199" s="1244"/>
      <c r="Q3199" s="1244"/>
      <c r="R3199" s="1244"/>
      <c r="S3199" s="1265"/>
      <c r="T3199" s="1244"/>
      <c r="U3199" s="1244"/>
    </row>
    <row r="3200">
      <c r="A3200" s="1235"/>
      <c r="B3200" s="1235"/>
      <c r="C3200" s="1246"/>
      <c r="D3200" s="1274"/>
      <c r="E3200" s="1248"/>
      <c r="F3200" s="1248"/>
      <c r="G3200" s="1271"/>
      <c r="H3200" s="1250"/>
      <c r="I3200" s="1251"/>
      <c r="J3200" s="1271"/>
      <c r="K3200" s="1271"/>
      <c r="L3200" s="1254"/>
      <c r="M3200" s="1244"/>
      <c r="N3200" s="1275"/>
      <c r="O3200" s="1275"/>
      <c r="P3200" s="1244"/>
      <c r="Q3200" s="1244"/>
      <c r="R3200" s="1244"/>
      <c r="S3200" s="1265"/>
      <c r="T3200" s="1244"/>
      <c r="U3200" s="1244"/>
    </row>
    <row r="3201">
      <c r="A3201" s="1235"/>
      <c r="B3201" s="1235"/>
      <c r="C3201" s="1246"/>
      <c r="D3201" s="1274"/>
      <c r="E3201" s="1248"/>
      <c r="F3201" s="1248"/>
      <c r="G3201" s="1271"/>
      <c r="H3201" s="1250"/>
      <c r="I3201" s="1251"/>
      <c r="J3201" s="1271"/>
      <c r="K3201" s="1271"/>
      <c r="L3201" s="1254"/>
      <c r="M3201" s="1244"/>
      <c r="N3201" s="1275"/>
      <c r="O3201" s="1275"/>
      <c r="P3201" s="1244"/>
      <c r="Q3201" s="1244"/>
      <c r="R3201" s="1244"/>
      <c r="S3201" s="1265"/>
      <c r="T3201" s="1244"/>
      <c r="U3201" s="1244"/>
    </row>
    <row r="3202">
      <c r="A3202" s="1235"/>
      <c r="B3202" s="1235"/>
      <c r="C3202" s="1246"/>
      <c r="D3202" s="1274"/>
      <c r="E3202" s="1248"/>
      <c r="F3202" s="1248"/>
      <c r="G3202" s="1271"/>
      <c r="H3202" s="1250"/>
      <c r="I3202" s="1251"/>
      <c r="J3202" s="1271"/>
      <c r="K3202" s="1271"/>
      <c r="L3202" s="1254"/>
      <c r="M3202" s="1244"/>
      <c r="N3202" s="1275"/>
      <c r="O3202" s="1275"/>
      <c r="P3202" s="1244"/>
      <c r="Q3202" s="1244"/>
      <c r="R3202" s="1244"/>
      <c r="S3202" s="1265"/>
      <c r="T3202" s="1244"/>
      <c r="U3202" s="1244"/>
    </row>
    <row r="3203">
      <c r="A3203" s="1235"/>
      <c r="B3203" s="1235"/>
      <c r="C3203" s="1246"/>
      <c r="D3203" s="1274"/>
      <c r="E3203" s="1248"/>
      <c r="F3203" s="1248"/>
      <c r="G3203" s="1271"/>
      <c r="H3203" s="1250"/>
      <c r="I3203" s="1251"/>
      <c r="J3203" s="1271"/>
      <c r="K3203" s="1271"/>
      <c r="L3203" s="1254"/>
      <c r="M3203" s="1244"/>
      <c r="N3203" s="1275"/>
      <c r="O3203" s="1275"/>
      <c r="P3203" s="1244"/>
      <c r="Q3203" s="1244"/>
      <c r="R3203" s="1244"/>
      <c r="S3203" s="1265"/>
      <c r="T3203" s="1244"/>
      <c r="U3203" s="1244"/>
    </row>
    <row r="3204">
      <c r="A3204" s="1235"/>
      <c r="B3204" s="1235"/>
      <c r="C3204" s="1246"/>
      <c r="D3204" s="1274"/>
      <c r="E3204" s="1248"/>
      <c r="F3204" s="1248"/>
      <c r="G3204" s="1271"/>
      <c r="H3204" s="1250"/>
      <c r="I3204" s="1251"/>
      <c r="J3204" s="1271"/>
      <c r="K3204" s="1271"/>
      <c r="L3204" s="1254"/>
      <c r="M3204" s="1244"/>
      <c r="N3204" s="1275"/>
      <c r="O3204" s="1275"/>
      <c r="P3204" s="1244"/>
      <c r="Q3204" s="1244"/>
      <c r="R3204" s="1244"/>
      <c r="S3204" s="1265"/>
      <c r="T3204" s="1244"/>
      <c r="U3204" s="1244"/>
    </row>
    <row r="3205">
      <c r="A3205" s="1235"/>
      <c r="B3205" s="1235"/>
      <c r="C3205" s="1246"/>
      <c r="D3205" s="1274"/>
      <c r="E3205" s="1248"/>
      <c r="F3205" s="1248"/>
      <c r="G3205" s="1271"/>
      <c r="H3205" s="1250"/>
      <c r="I3205" s="1251"/>
      <c r="J3205" s="1271"/>
      <c r="K3205" s="1271"/>
      <c r="L3205" s="1254"/>
      <c r="M3205" s="1244"/>
      <c r="N3205" s="1275"/>
      <c r="O3205" s="1275"/>
      <c r="P3205" s="1244"/>
      <c r="Q3205" s="1244"/>
      <c r="R3205" s="1244"/>
      <c r="S3205" s="1265"/>
      <c r="T3205" s="1244"/>
      <c r="U3205" s="1244"/>
    </row>
    <row r="3206">
      <c r="A3206" s="1235"/>
      <c r="B3206" s="1235"/>
      <c r="C3206" s="1246"/>
      <c r="D3206" s="1274"/>
      <c r="E3206" s="1248"/>
      <c r="F3206" s="1248"/>
      <c r="G3206" s="1271"/>
      <c r="H3206" s="1250"/>
      <c r="I3206" s="1251"/>
      <c r="J3206" s="1271"/>
      <c r="K3206" s="1271"/>
      <c r="L3206" s="1254"/>
      <c r="M3206" s="1244"/>
      <c r="N3206" s="1275"/>
      <c r="O3206" s="1275"/>
      <c r="P3206" s="1244"/>
      <c r="Q3206" s="1244"/>
      <c r="R3206" s="1244"/>
      <c r="S3206" s="1265"/>
      <c r="T3206" s="1244"/>
      <c r="U3206" s="1244"/>
    </row>
    <row r="3207">
      <c r="A3207" s="1235"/>
      <c r="B3207" s="1235"/>
      <c r="C3207" s="1246"/>
      <c r="D3207" s="1274"/>
      <c r="E3207" s="1248"/>
      <c r="F3207" s="1248"/>
      <c r="G3207" s="1271"/>
      <c r="H3207" s="1250"/>
      <c r="I3207" s="1251"/>
      <c r="J3207" s="1271"/>
      <c r="K3207" s="1271"/>
      <c r="L3207" s="1254"/>
      <c r="M3207" s="1244"/>
      <c r="N3207" s="1275"/>
      <c r="O3207" s="1275"/>
      <c r="P3207" s="1244"/>
      <c r="Q3207" s="1244"/>
      <c r="R3207" s="1244"/>
      <c r="S3207" s="1265"/>
      <c r="T3207" s="1244"/>
      <c r="U3207" s="1244"/>
    </row>
    <row r="3208">
      <c r="A3208" s="1235"/>
      <c r="B3208" s="1235"/>
      <c r="C3208" s="1246"/>
      <c r="D3208" s="1274"/>
      <c r="E3208" s="1248"/>
      <c r="F3208" s="1248"/>
      <c r="G3208" s="1271"/>
      <c r="H3208" s="1250"/>
      <c r="I3208" s="1251"/>
      <c r="J3208" s="1271"/>
      <c r="K3208" s="1271"/>
      <c r="L3208" s="1254"/>
      <c r="M3208" s="1244"/>
      <c r="N3208" s="1275"/>
      <c r="O3208" s="1275"/>
      <c r="P3208" s="1244"/>
      <c r="Q3208" s="1244"/>
      <c r="R3208" s="1244"/>
      <c r="S3208" s="1265"/>
      <c r="T3208" s="1244"/>
      <c r="U3208" s="1244"/>
    </row>
    <row r="3209">
      <c r="A3209" s="1235"/>
      <c r="B3209" s="1235"/>
      <c r="C3209" s="1246"/>
      <c r="D3209" s="1274"/>
      <c r="E3209" s="1248"/>
      <c r="F3209" s="1248"/>
      <c r="G3209" s="1271"/>
      <c r="H3209" s="1250"/>
      <c r="I3209" s="1251"/>
      <c r="J3209" s="1271"/>
      <c r="K3209" s="1271"/>
      <c r="L3209" s="1254"/>
      <c r="M3209" s="1244"/>
      <c r="N3209" s="1275"/>
      <c r="O3209" s="1275"/>
      <c r="P3209" s="1244"/>
      <c r="Q3209" s="1244"/>
      <c r="R3209" s="1244"/>
      <c r="S3209" s="1265"/>
      <c r="T3209" s="1244"/>
      <c r="U3209" s="1244"/>
    </row>
    <row r="3210">
      <c r="A3210" s="1235"/>
      <c r="B3210" s="1235"/>
      <c r="C3210" s="1246"/>
      <c r="D3210" s="1274"/>
      <c r="E3210" s="1248"/>
      <c r="F3210" s="1248"/>
      <c r="G3210" s="1271"/>
      <c r="H3210" s="1250"/>
      <c r="I3210" s="1251"/>
      <c r="J3210" s="1271"/>
      <c r="K3210" s="1271"/>
      <c r="L3210" s="1254"/>
      <c r="M3210" s="1244"/>
      <c r="N3210" s="1275"/>
      <c r="O3210" s="1275"/>
      <c r="P3210" s="1244"/>
      <c r="Q3210" s="1244"/>
      <c r="R3210" s="1244"/>
      <c r="S3210" s="1265"/>
      <c r="T3210" s="1244"/>
      <c r="U3210" s="1244"/>
    </row>
    <row r="3211">
      <c r="A3211" s="1235"/>
      <c r="B3211" s="1235"/>
      <c r="C3211" s="1246"/>
      <c r="D3211" s="1274"/>
      <c r="E3211" s="1248"/>
      <c r="F3211" s="1248"/>
      <c r="G3211" s="1271"/>
      <c r="H3211" s="1250"/>
      <c r="I3211" s="1251"/>
      <c r="J3211" s="1271"/>
      <c r="K3211" s="1271"/>
      <c r="L3211" s="1254"/>
      <c r="M3211" s="1244"/>
      <c r="N3211" s="1275"/>
      <c r="O3211" s="1275"/>
      <c r="P3211" s="1244"/>
      <c r="Q3211" s="1244"/>
      <c r="R3211" s="1244"/>
      <c r="S3211" s="1265"/>
      <c r="T3211" s="1244"/>
      <c r="U3211" s="1244"/>
    </row>
    <row r="3212">
      <c r="A3212" s="1235"/>
      <c r="B3212" s="1235"/>
      <c r="C3212" s="1246"/>
      <c r="D3212" s="1274"/>
      <c r="E3212" s="1248"/>
      <c r="F3212" s="1248"/>
      <c r="G3212" s="1271"/>
      <c r="H3212" s="1250"/>
      <c r="I3212" s="1251"/>
      <c r="J3212" s="1271"/>
      <c r="K3212" s="1271"/>
      <c r="L3212" s="1254"/>
      <c r="M3212" s="1244"/>
      <c r="N3212" s="1275"/>
      <c r="O3212" s="1275"/>
      <c r="P3212" s="1244"/>
      <c r="Q3212" s="1244"/>
      <c r="R3212" s="1244"/>
      <c r="S3212" s="1265"/>
      <c r="T3212" s="1244"/>
      <c r="U3212" s="1244"/>
    </row>
    <row r="3213">
      <c r="A3213" s="1235"/>
      <c r="B3213" s="1235"/>
      <c r="C3213" s="1246"/>
      <c r="D3213" s="1274"/>
      <c r="E3213" s="1248"/>
      <c r="F3213" s="1248"/>
      <c r="G3213" s="1271"/>
      <c r="H3213" s="1250"/>
      <c r="I3213" s="1251"/>
      <c r="J3213" s="1271"/>
      <c r="K3213" s="1271"/>
      <c r="L3213" s="1254"/>
      <c r="M3213" s="1244"/>
      <c r="N3213" s="1275"/>
      <c r="O3213" s="1275"/>
      <c r="P3213" s="1244"/>
      <c r="Q3213" s="1244"/>
      <c r="R3213" s="1244"/>
      <c r="S3213" s="1265"/>
      <c r="T3213" s="1244"/>
      <c r="U3213" s="1244"/>
    </row>
    <row r="3214">
      <c r="A3214" s="1235"/>
      <c r="B3214" s="1235"/>
      <c r="C3214" s="1246"/>
      <c r="D3214" s="1274"/>
      <c r="E3214" s="1248"/>
      <c r="F3214" s="1248"/>
      <c r="G3214" s="1271"/>
      <c r="H3214" s="1250"/>
      <c r="I3214" s="1251"/>
      <c r="J3214" s="1271"/>
      <c r="K3214" s="1271"/>
      <c r="L3214" s="1254"/>
      <c r="M3214" s="1244"/>
      <c r="N3214" s="1275"/>
      <c r="O3214" s="1275"/>
      <c r="P3214" s="1244"/>
      <c r="Q3214" s="1244"/>
      <c r="R3214" s="1244"/>
      <c r="S3214" s="1265"/>
      <c r="T3214" s="1244"/>
      <c r="U3214" s="1244"/>
    </row>
    <row r="3215">
      <c r="A3215" s="1235"/>
      <c r="B3215" s="1235"/>
      <c r="C3215" s="1246"/>
      <c r="D3215" s="1274"/>
      <c r="E3215" s="1248"/>
      <c r="F3215" s="1248"/>
      <c r="G3215" s="1271"/>
      <c r="H3215" s="1250"/>
      <c r="I3215" s="1251"/>
      <c r="J3215" s="1271"/>
      <c r="K3215" s="1271"/>
      <c r="L3215" s="1254"/>
      <c r="M3215" s="1244"/>
      <c r="N3215" s="1275"/>
      <c r="O3215" s="1275"/>
      <c r="P3215" s="1244"/>
      <c r="Q3215" s="1244"/>
      <c r="R3215" s="1244"/>
      <c r="S3215" s="1265"/>
      <c r="T3215" s="1244"/>
      <c r="U3215" s="1244"/>
    </row>
    <row r="3216">
      <c r="A3216" s="1235"/>
      <c r="B3216" s="1235"/>
      <c r="C3216" s="1246"/>
      <c r="D3216" s="1274"/>
      <c r="E3216" s="1248"/>
      <c r="F3216" s="1248"/>
      <c r="G3216" s="1271"/>
      <c r="H3216" s="1250"/>
      <c r="I3216" s="1251"/>
      <c r="J3216" s="1271"/>
      <c r="K3216" s="1271"/>
      <c r="L3216" s="1254"/>
      <c r="M3216" s="1244"/>
      <c r="N3216" s="1275"/>
      <c r="O3216" s="1275"/>
      <c r="P3216" s="1244"/>
      <c r="Q3216" s="1244"/>
      <c r="R3216" s="1244"/>
      <c r="S3216" s="1265"/>
      <c r="T3216" s="1244"/>
      <c r="U3216" s="1244"/>
    </row>
    <row r="3217">
      <c r="A3217" s="1235"/>
      <c r="B3217" s="1235"/>
      <c r="C3217" s="1246"/>
      <c r="D3217" s="1274"/>
      <c r="E3217" s="1248"/>
      <c r="F3217" s="1248"/>
      <c r="G3217" s="1271"/>
      <c r="H3217" s="1250"/>
      <c r="I3217" s="1251"/>
      <c r="J3217" s="1271"/>
      <c r="K3217" s="1271"/>
      <c r="L3217" s="1254"/>
      <c r="M3217" s="1244"/>
      <c r="N3217" s="1275"/>
      <c r="O3217" s="1275"/>
      <c r="P3217" s="1244"/>
      <c r="Q3217" s="1244"/>
      <c r="R3217" s="1244"/>
      <c r="S3217" s="1265"/>
      <c r="T3217" s="1244"/>
      <c r="U3217" s="1244"/>
    </row>
    <row r="3218">
      <c r="A3218" s="1235"/>
      <c r="B3218" s="1235"/>
      <c r="C3218" s="1246"/>
      <c r="D3218" s="1274"/>
      <c r="E3218" s="1248"/>
      <c r="F3218" s="1248"/>
      <c r="G3218" s="1271"/>
      <c r="H3218" s="1250"/>
      <c r="I3218" s="1251"/>
      <c r="J3218" s="1271"/>
      <c r="K3218" s="1271"/>
      <c r="L3218" s="1254"/>
      <c r="M3218" s="1244"/>
      <c r="N3218" s="1275"/>
      <c r="O3218" s="1275"/>
      <c r="P3218" s="1244"/>
      <c r="Q3218" s="1244"/>
      <c r="R3218" s="1244"/>
      <c r="S3218" s="1265"/>
      <c r="T3218" s="1244"/>
      <c r="U3218" s="1244"/>
    </row>
    <row r="3219">
      <c r="A3219" s="1235"/>
      <c r="B3219" s="1235"/>
      <c r="C3219" s="1246"/>
      <c r="D3219" s="1274"/>
      <c r="E3219" s="1248"/>
      <c r="F3219" s="1248"/>
      <c r="G3219" s="1271"/>
      <c r="H3219" s="1250"/>
      <c r="I3219" s="1251"/>
      <c r="J3219" s="1271"/>
      <c r="K3219" s="1271"/>
      <c r="L3219" s="1254"/>
      <c r="M3219" s="1244"/>
      <c r="N3219" s="1275"/>
      <c r="O3219" s="1275"/>
      <c r="P3219" s="1244"/>
      <c r="Q3219" s="1244"/>
      <c r="R3219" s="1244"/>
      <c r="S3219" s="1265"/>
      <c r="T3219" s="1244"/>
      <c r="U3219" s="1244"/>
    </row>
    <row r="3220">
      <c r="A3220" s="1235"/>
      <c r="B3220" s="1235"/>
      <c r="C3220" s="1246"/>
      <c r="D3220" s="1274"/>
      <c r="E3220" s="1248"/>
      <c r="F3220" s="1248"/>
      <c r="G3220" s="1271"/>
      <c r="H3220" s="1250"/>
      <c r="I3220" s="1251"/>
      <c r="J3220" s="1271"/>
      <c r="K3220" s="1271"/>
      <c r="L3220" s="1254"/>
      <c r="M3220" s="1244"/>
      <c r="N3220" s="1275"/>
      <c r="O3220" s="1275"/>
      <c r="P3220" s="1244"/>
      <c r="Q3220" s="1244"/>
      <c r="R3220" s="1244"/>
      <c r="S3220" s="1265"/>
      <c r="T3220" s="1244"/>
      <c r="U3220" s="1244"/>
    </row>
    <row r="3221">
      <c r="A3221" s="1235"/>
      <c r="B3221" s="1235"/>
      <c r="C3221" s="1246"/>
      <c r="D3221" s="1274"/>
      <c r="E3221" s="1248"/>
      <c r="F3221" s="1248"/>
      <c r="G3221" s="1271"/>
      <c r="H3221" s="1250"/>
      <c r="I3221" s="1251"/>
      <c r="J3221" s="1271"/>
      <c r="K3221" s="1271"/>
      <c r="L3221" s="1254"/>
      <c r="M3221" s="1244"/>
      <c r="N3221" s="1275"/>
      <c r="O3221" s="1275"/>
      <c r="P3221" s="1244"/>
      <c r="Q3221" s="1244"/>
      <c r="R3221" s="1244"/>
      <c r="S3221" s="1265"/>
      <c r="T3221" s="1244"/>
      <c r="U3221" s="1244"/>
    </row>
    <row r="3222">
      <c r="A3222" s="1235"/>
      <c r="B3222" s="1235"/>
      <c r="C3222" s="1246"/>
      <c r="D3222" s="1274"/>
      <c r="E3222" s="1248"/>
      <c r="F3222" s="1248"/>
      <c r="G3222" s="1271"/>
      <c r="H3222" s="1250"/>
      <c r="I3222" s="1251"/>
      <c r="J3222" s="1271"/>
      <c r="K3222" s="1271"/>
      <c r="L3222" s="1254"/>
      <c r="M3222" s="1244"/>
      <c r="N3222" s="1275"/>
      <c r="O3222" s="1275"/>
      <c r="P3222" s="1244"/>
      <c r="Q3222" s="1244"/>
      <c r="R3222" s="1244"/>
      <c r="S3222" s="1265"/>
      <c r="T3222" s="1244"/>
      <c r="U3222" s="1244"/>
    </row>
    <row r="3223">
      <c r="A3223" s="1235"/>
      <c r="B3223" s="1235"/>
      <c r="C3223" s="1246"/>
      <c r="D3223" s="1274"/>
      <c r="E3223" s="1248"/>
      <c r="F3223" s="1248"/>
      <c r="G3223" s="1271"/>
      <c r="H3223" s="1250"/>
      <c r="I3223" s="1251"/>
      <c r="J3223" s="1271"/>
      <c r="K3223" s="1271"/>
      <c r="L3223" s="1254"/>
      <c r="M3223" s="1244"/>
      <c r="N3223" s="1275"/>
      <c r="O3223" s="1275"/>
      <c r="P3223" s="1244"/>
      <c r="Q3223" s="1244"/>
      <c r="R3223" s="1244"/>
      <c r="S3223" s="1265"/>
      <c r="T3223" s="1244"/>
      <c r="U3223" s="1244"/>
    </row>
    <row r="3224">
      <c r="A3224" s="1235"/>
      <c r="B3224" s="1235"/>
      <c r="C3224" s="1246"/>
      <c r="D3224" s="1274"/>
      <c r="E3224" s="1248"/>
      <c r="F3224" s="1248"/>
      <c r="G3224" s="1271"/>
      <c r="H3224" s="1250"/>
      <c r="I3224" s="1251"/>
      <c r="J3224" s="1271"/>
      <c r="K3224" s="1271"/>
      <c r="L3224" s="1254"/>
      <c r="M3224" s="1244"/>
      <c r="N3224" s="1275"/>
      <c r="O3224" s="1275"/>
      <c r="P3224" s="1244"/>
      <c r="Q3224" s="1244"/>
      <c r="R3224" s="1244"/>
      <c r="S3224" s="1265"/>
      <c r="T3224" s="1244"/>
      <c r="U3224" s="1244"/>
    </row>
    <row r="3225">
      <c r="A3225" s="1235"/>
      <c r="B3225" s="1235"/>
      <c r="C3225" s="1246"/>
      <c r="D3225" s="1274"/>
      <c r="E3225" s="1248"/>
      <c r="F3225" s="1248"/>
      <c r="G3225" s="1271"/>
      <c r="H3225" s="1250"/>
      <c r="I3225" s="1251"/>
      <c r="J3225" s="1271"/>
      <c r="K3225" s="1271"/>
      <c r="L3225" s="1254"/>
      <c r="M3225" s="1244"/>
      <c r="N3225" s="1275"/>
      <c r="O3225" s="1275"/>
      <c r="P3225" s="1244"/>
      <c r="Q3225" s="1244"/>
      <c r="R3225" s="1244"/>
      <c r="S3225" s="1265"/>
      <c r="T3225" s="1244"/>
      <c r="U3225" s="1244"/>
    </row>
    <row r="3226">
      <c r="A3226" s="1235"/>
      <c r="B3226" s="1235"/>
      <c r="C3226" s="1246"/>
      <c r="D3226" s="1274"/>
      <c r="E3226" s="1248"/>
      <c r="F3226" s="1248"/>
      <c r="G3226" s="1271"/>
      <c r="H3226" s="1250"/>
      <c r="I3226" s="1251"/>
      <c r="J3226" s="1271"/>
      <c r="K3226" s="1271"/>
      <c r="L3226" s="1254"/>
      <c r="M3226" s="1244"/>
      <c r="N3226" s="1275"/>
      <c r="O3226" s="1275"/>
      <c r="P3226" s="1244"/>
      <c r="Q3226" s="1244"/>
      <c r="R3226" s="1244"/>
      <c r="S3226" s="1265"/>
      <c r="T3226" s="1244"/>
      <c r="U3226" s="1244"/>
    </row>
    <row r="3227">
      <c r="A3227" s="1235"/>
      <c r="B3227" s="1235"/>
      <c r="C3227" s="1246"/>
      <c r="D3227" s="1274"/>
      <c r="E3227" s="1248"/>
      <c r="F3227" s="1248"/>
      <c r="G3227" s="1271"/>
      <c r="H3227" s="1250"/>
      <c r="I3227" s="1251"/>
      <c r="J3227" s="1271"/>
      <c r="K3227" s="1271"/>
      <c r="L3227" s="1254"/>
      <c r="M3227" s="1244"/>
      <c r="N3227" s="1275"/>
      <c r="O3227" s="1275"/>
      <c r="P3227" s="1244"/>
      <c r="Q3227" s="1244"/>
      <c r="R3227" s="1244"/>
      <c r="S3227" s="1265"/>
      <c r="T3227" s="1244"/>
      <c r="U3227" s="1244"/>
    </row>
    <row r="3228">
      <c r="A3228" s="1235"/>
      <c r="B3228" s="1235"/>
      <c r="C3228" s="1246"/>
      <c r="D3228" s="1274"/>
      <c r="E3228" s="1248"/>
      <c r="F3228" s="1248"/>
      <c r="G3228" s="1271"/>
      <c r="H3228" s="1250"/>
      <c r="I3228" s="1251"/>
      <c r="J3228" s="1271"/>
      <c r="K3228" s="1271"/>
      <c r="L3228" s="1254"/>
      <c r="M3228" s="1244"/>
      <c r="N3228" s="1275"/>
      <c r="O3228" s="1275"/>
      <c r="P3228" s="1244"/>
      <c r="Q3228" s="1244"/>
      <c r="R3228" s="1244"/>
      <c r="S3228" s="1265"/>
      <c r="T3228" s="1244"/>
      <c r="U3228" s="1244"/>
    </row>
    <row r="3229">
      <c r="A3229" s="1235"/>
      <c r="B3229" s="1235"/>
      <c r="C3229" s="1246"/>
      <c r="D3229" s="1274"/>
      <c r="E3229" s="1248"/>
      <c r="F3229" s="1248"/>
      <c r="G3229" s="1271"/>
      <c r="H3229" s="1250"/>
      <c r="I3229" s="1251"/>
      <c r="J3229" s="1271"/>
      <c r="K3229" s="1271"/>
      <c r="L3229" s="1254"/>
      <c r="M3229" s="1244"/>
      <c r="N3229" s="1275"/>
      <c r="O3229" s="1275"/>
      <c r="P3229" s="1244"/>
      <c r="Q3229" s="1244"/>
      <c r="R3229" s="1244"/>
      <c r="S3229" s="1265"/>
      <c r="T3229" s="1244"/>
      <c r="U3229" s="1244"/>
    </row>
    <row r="3230">
      <c r="A3230" s="1235"/>
      <c r="B3230" s="1235"/>
      <c r="C3230" s="1246"/>
      <c r="D3230" s="1274"/>
      <c r="E3230" s="1248"/>
      <c r="F3230" s="1248"/>
      <c r="G3230" s="1271"/>
      <c r="H3230" s="1250"/>
      <c r="I3230" s="1251"/>
      <c r="J3230" s="1271"/>
      <c r="K3230" s="1271"/>
      <c r="L3230" s="1254"/>
      <c r="M3230" s="1244"/>
      <c r="N3230" s="1275"/>
      <c r="O3230" s="1275"/>
      <c r="P3230" s="1244"/>
      <c r="Q3230" s="1244"/>
      <c r="R3230" s="1244"/>
      <c r="S3230" s="1265"/>
      <c r="T3230" s="1244"/>
      <c r="U3230" s="1244"/>
    </row>
    <row r="3231">
      <c r="A3231" s="1235"/>
      <c r="B3231" s="1235"/>
      <c r="C3231" s="1246"/>
      <c r="D3231" s="1274"/>
      <c r="E3231" s="1248"/>
      <c r="F3231" s="1248"/>
      <c r="G3231" s="1271"/>
      <c r="H3231" s="1250"/>
      <c r="I3231" s="1251"/>
      <c r="J3231" s="1271"/>
      <c r="K3231" s="1271"/>
      <c r="L3231" s="1254"/>
      <c r="M3231" s="1244"/>
      <c r="N3231" s="1275"/>
      <c r="O3231" s="1275"/>
      <c r="P3231" s="1244"/>
      <c r="Q3231" s="1244"/>
      <c r="R3231" s="1244"/>
      <c r="S3231" s="1265"/>
      <c r="T3231" s="1244"/>
      <c r="U3231" s="1244"/>
    </row>
    <row r="3232">
      <c r="A3232" s="1235"/>
      <c r="B3232" s="1235"/>
      <c r="C3232" s="1246"/>
      <c r="D3232" s="1274"/>
      <c r="E3232" s="1248"/>
      <c r="F3232" s="1248"/>
      <c r="G3232" s="1271"/>
      <c r="H3232" s="1250"/>
      <c r="I3232" s="1251"/>
      <c r="J3232" s="1271"/>
      <c r="K3232" s="1271"/>
      <c r="L3232" s="1254"/>
      <c r="M3232" s="1244"/>
      <c r="N3232" s="1275"/>
      <c r="O3232" s="1275"/>
      <c r="P3232" s="1244"/>
      <c r="Q3232" s="1244"/>
      <c r="R3232" s="1244"/>
      <c r="S3232" s="1265"/>
      <c r="T3232" s="1244"/>
      <c r="U3232" s="1244"/>
    </row>
    <row r="3233">
      <c r="A3233" s="1235"/>
      <c r="B3233" s="1235"/>
      <c r="C3233" s="1246"/>
      <c r="D3233" s="1274"/>
      <c r="E3233" s="1248"/>
      <c r="F3233" s="1248"/>
      <c r="G3233" s="1271"/>
      <c r="H3233" s="1250"/>
      <c r="I3233" s="1251"/>
      <c r="J3233" s="1271"/>
      <c r="K3233" s="1271"/>
      <c r="L3233" s="1254"/>
      <c r="M3233" s="1244"/>
      <c r="N3233" s="1275"/>
      <c r="O3233" s="1275"/>
      <c r="P3233" s="1244"/>
      <c r="Q3233" s="1244"/>
      <c r="R3233" s="1244"/>
      <c r="S3233" s="1265"/>
      <c r="T3233" s="1244"/>
      <c r="U3233" s="1244"/>
    </row>
    <row r="3234">
      <c r="A3234" s="1235"/>
      <c r="B3234" s="1235"/>
      <c r="C3234" s="1246"/>
      <c r="D3234" s="1274"/>
      <c r="E3234" s="1248"/>
      <c r="F3234" s="1248"/>
      <c r="G3234" s="1271"/>
      <c r="H3234" s="1250"/>
      <c r="I3234" s="1251"/>
      <c r="J3234" s="1271"/>
      <c r="K3234" s="1271"/>
      <c r="L3234" s="1254"/>
      <c r="M3234" s="1244"/>
      <c r="N3234" s="1275"/>
      <c r="O3234" s="1275"/>
      <c r="P3234" s="1244"/>
      <c r="Q3234" s="1244"/>
      <c r="R3234" s="1244"/>
      <c r="S3234" s="1265"/>
      <c r="T3234" s="1244"/>
      <c r="U3234" s="1244"/>
    </row>
    <row r="3235">
      <c r="A3235" s="1235"/>
      <c r="B3235" s="1235"/>
      <c r="C3235" s="1246"/>
      <c r="D3235" s="1274"/>
      <c r="E3235" s="1248"/>
      <c r="F3235" s="1248"/>
      <c r="G3235" s="1271"/>
      <c r="H3235" s="1250"/>
      <c r="I3235" s="1251"/>
      <c r="J3235" s="1271"/>
      <c r="K3235" s="1271"/>
      <c r="L3235" s="1254"/>
      <c r="M3235" s="1244"/>
      <c r="N3235" s="1275"/>
      <c r="O3235" s="1275"/>
      <c r="P3235" s="1244"/>
      <c r="Q3235" s="1244"/>
      <c r="R3235" s="1244"/>
      <c r="S3235" s="1265"/>
      <c r="T3235" s="1244"/>
      <c r="U3235" s="1244"/>
    </row>
    <row r="3236">
      <c r="A3236" s="1235"/>
      <c r="B3236" s="1235"/>
      <c r="C3236" s="1246"/>
      <c r="D3236" s="1274"/>
      <c r="E3236" s="1248"/>
      <c r="F3236" s="1248"/>
      <c r="G3236" s="1271"/>
      <c r="H3236" s="1250"/>
      <c r="I3236" s="1251"/>
      <c r="J3236" s="1271"/>
      <c r="K3236" s="1271"/>
      <c r="L3236" s="1254"/>
      <c r="M3236" s="1244"/>
      <c r="N3236" s="1275"/>
      <c r="O3236" s="1275"/>
      <c r="P3236" s="1244"/>
      <c r="Q3236" s="1244"/>
      <c r="R3236" s="1244"/>
      <c r="S3236" s="1265"/>
      <c r="T3236" s="1244"/>
      <c r="U3236" s="1244"/>
    </row>
    <row r="3237">
      <c r="A3237" s="1235"/>
      <c r="B3237" s="1235"/>
      <c r="C3237" s="1246"/>
      <c r="D3237" s="1274"/>
      <c r="E3237" s="1248"/>
      <c r="F3237" s="1248"/>
      <c r="G3237" s="1271"/>
      <c r="H3237" s="1250"/>
      <c r="I3237" s="1251"/>
      <c r="J3237" s="1271"/>
      <c r="K3237" s="1271"/>
      <c r="L3237" s="1254"/>
      <c r="M3237" s="1244"/>
      <c r="N3237" s="1275"/>
      <c r="O3237" s="1275"/>
      <c r="P3237" s="1244"/>
      <c r="Q3237" s="1244"/>
      <c r="R3237" s="1244"/>
      <c r="S3237" s="1265"/>
      <c r="T3237" s="1244"/>
      <c r="U3237" s="1244"/>
    </row>
    <row r="3238">
      <c r="A3238" s="1235"/>
      <c r="B3238" s="1235"/>
      <c r="C3238" s="1246"/>
      <c r="D3238" s="1274"/>
      <c r="E3238" s="1248"/>
      <c r="F3238" s="1248"/>
      <c r="G3238" s="1271"/>
      <c r="H3238" s="1250"/>
      <c r="I3238" s="1251"/>
      <c r="J3238" s="1271"/>
      <c r="K3238" s="1271"/>
      <c r="L3238" s="1254"/>
      <c r="M3238" s="1244"/>
      <c r="N3238" s="1275"/>
      <c r="O3238" s="1275"/>
      <c r="P3238" s="1244"/>
      <c r="Q3238" s="1244"/>
      <c r="R3238" s="1244"/>
      <c r="S3238" s="1265"/>
      <c r="T3238" s="1244"/>
      <c r="U3238" s="1244"/>
    </row>
    <row r="3239">
      <c r="A3239" s="1235"/>
      <c r="B3239" s="1235"/>
      <c r="C3239" s="1246"/>
      <c r="D3239" s="1274"/>
      <c r="E3239" s="1248"/>
      <c r="F3239" s="1248"/>
      <c r="G3239" s="1271"/>
      <c r="H3239" s="1250"/>
      <c r="I3239" s="1251"/>
      <c r="J3239" s="1271"/>
      <c r="K3239" s="1271"/>
      <c r="L3239" s="1254"/>
      <c r="M3239" s="1244"/>
      <c r="N3239" s="1275"/>
      <c r="O3239" s="1275"/>
      <c r="P3239" s="1244"/>
      <c r="Q3239" s="1244"/>
      <c r="R3239" s="1244"/>
      <c r="S3239" s="1265"/>
      <c r="T3239" s="1244"/>
      <c r="U3239" s="1244"/>
    </row>
    <row r="3240">
      <c r="A3240" s="1235"/>
      <c r="B3240" s="1235"/>
      <c r="C3240" s="1246"/>
      <c r="D3240" s="1274"/>
      <c r="E3240" s="1248"/>
      <c r="F3240" s="1248"/>
      <c r="G3240" s="1271"/>
      <c r="H3240" s="1250"/>
      <c r="I3240" s="1251"/>
      <c r="J3240" s="1271"/>
      <c r="K3240" s="1271"/>
      <c r="L3240" s="1254"/>
      <c r="M3240" s="1244"/>
      <c r="N3240" s="1275"/>
      <c r="O3240" s="1275"/>
      <c r="P3240" s="1244"/>
      <c r="Q3240" s="1244"/>
      <c r="R3240" s="1244"/>
      <c r="S3240" s="1265"/>
      <c r="T3240" s="1244"/>
      <c r="U3240" s="1244"/>
    </row>
    <row r="3241">
      <c r="A3241" s="1235"/>
      <c r="B3241" s="1235"/>
      <c r="C3241" s="1246"/>
      <c r="D3241" s="1274"/>
      <c r="E3241" s="1248"/>
      <c r="F3241" s="1248"/>
      <c r="G3241" s="1271"/>
      <c r="H3241" s="1250"/>
      <c r="I3241" s="1251"/>
      <c r="J3241" s="1271"/>
      <c r="K3241" s="1271"/>
      <c r="L3241" s="1254"/>
      <c r="M3241" s="1244"/>
      <c r="N3241" s="1275"/>
      <c r="O3241" s="1275"/>
      <c r="P3241" s="1244"/>
      <c r="Q3241" s="1244"/>
      <c r="R3241" s="1244"/>
      <c r="S3241" s="1265"/>
      <c r="T3241" s="1244"/>
      <c r="U3241" s="1244"/>
    </row>
    <row r="3242">
      <c r="A3242" s="1235"/>
      <c r="B3242" s="1235"/>
      <c r="C3242" s="1246"/>
      <c r="D3242" s="1274"/>
      <c r="E3242" s="1248"/>
      <c r="F3242" s="1248"/>
      <c r="G3242" s="1271"/>
      <c r="H3242" s="1250"/>
      <c r="I3242" s="1251"/>
      <c r="J3242" s="1271"/>
      <c r="K3242" s="1271"/>
      <c r="L3242" s="1254"/>
      <c r="M3242" s="1244"/>
      <c r="N3242" s="1275"/>
      <c r="O3242" s="1275"/>
      <c r="P3242" s="1244"/>
      <c r="Q3242" s="1244"/>
      <c r="R3242" s="1244"/>
      <c r="S3242" s="1265"/>
      <c r="T3242" s="1244"/>
      <c r="U3242" s="1244"/>
    </row>
    <row r="3243">
      <c r="A3243" s="1235"/>
      <c r="B3243" s="1235"/>
      <c r="C3243" s="1246"/>
      <c r="D3243" s="1274"/>
      <c r="E3243" s="1248"/>
      <c r="F3243" s="1248"/>
      <c r="G3243" s="1271"/>
      <c r="H3243" s="1250"/>
      <c r="I3243" s="1251"/>
      <c r="J3243" s="1271"/>
      <c r="K3243" s="1271"/>
      <c r="L3243" s="1254"/>
      <c r="M3243" s="1244"/>
      <c r="N3243" s="1275"/>
      <c r="O3243" s="1275"/>
      <c r="P3243" s="1244"/>
      <c r="Q3243" s="1244"/>
      <c r="R3243" s="1244"/>
      <c r="S3243" s="1265"/>
      <c r="T3243" s="1244"/>
      <c r="U3243" s="1244"/>
    </row>
    <row r="3244">
      <c r="A3244" s="1235"/>
      <c r="B3244" s="1235"/>
      <c r="C3244" s="1246"/>
      <c r="D3244" s="1274"/>
      <c r="E3244" s="1248"/>
      <c r="F3244" s="1248"/>
      <c r="G3244" s="1271"/>
      <c r="H3244" s="1250"/>
      <c r="I3244" s="1251"/>
      <c r="J3244" s="1271"/>
      <c r="K3244" s="1271"/>
      <c r="L3244" s="1254"/>
      <c r="M3244" s="1244"/>
      <c r="N3244" s="1275"/>
      <c r="O3244" s="1275"/>
      <c r="P3244" s="1244"/>
      <c r="Q3244" s="1244"/>
      <c r="R3244" s="1244"/>
      <c r="S3244" s="1265"/>
      <c r="T3244" s="1244"/>
      <c r="U3244" s="1244"/>
    </row>
    <row r="3245">
      <c r="A3245" s="1235"/>
      <c r="B3245" s="1235"/>
      <c r="C3245" s="1246"/>
      <c r="D3245" s="1274"/>
      <c r="E3245" s="1248"/>
      <c r="F3245" s="1248"/>
      <c r="G3245" s="1271"/>
      <c r="H3245" s="1250"/>
      <c r="I3245" s="1251"/>
      <c r="J3245" s="1271"/>
      <c r="K3245" s="1271"/>
      <c r="L3245" s="1254"/>
      <c r="M3245" s="1244"/>
      <c r="N3245" s="1275"/>
      <c r="O3245" s="1275"/>
      <c r="P3245" s="1244"/>
      <c r="Q3245" s="1244"/>
      <c r="R3245" s="1244"/>
      <c r="S3245" s="1265"/>
      <c r="T3245" s="1244"/>
      <c r="U3245" s="1244"/>
    </row>
    <row r="3246">
      <c r="A3246" s="1235"/>
      <c r="B3246" s="1235"/>
      <c r="C3246" s="1246"/>
      <c r="D3246" s="1274"/>
      <c r="E3246" s="1248"/>
      <c r="F3246" s="1248"/>
      <c r="G3246" s="1271"/>
      <c r="H3246" s="1250"/>
      <c r="I3246" s="1251"/>
      <c r="J3246" s="1271"/>
      <c r="K3246" s="1271"/>
      <c r="L3246" s="1254"/>
      <c r="M3246" s="1244"/>
      <c r="N3246" s="1275"/>
      <c r="O3246" s="1275"/>
      <c r="P3246" s="1244"/>
      <c r="Q3246" s="1244"/>
      <c r="R3246" s="1244"/>
      <c r="S3246" s="1265"/>
      <c r="T3246" s="1244"/>
      <c r="U3246" s="1244"/>
    </row>
    <row r="3247">
      <c r="A3247" s="1235"/>
      <c r="B3247" s="1235"/>
      <c r="C3247" s="1246"/>
      <c r="D3247" s="1274"/>
      <c r="E3247" s="1248"/>
      <c r="F3247" s="1248"/>
      <c r="G3247" s="1271"/>
      <c r="H3247" s="1250"/>
      <c r="I3247" s="1251"/>
      <c r="J3247" s="1271"/>
      <c r="K3247" s="1271"/>
      <c r="L3247" s="1254"/>
      <c r="M3247" s="1244"/>
      <c r="N3247" s="1275"/>
      <c r="O3247" s="1275"/>
      <c r="P3247" s="1244"/>
      <c r="Q3247" s="1244"/>
      <c r="R3247" s="1244"/>
      <c r="S3247" s="1265"/>
      <c r="T3247" s="1244"/>
      <c r="U3247" s="1244"/>
    </row>
    <row r="3248">
      <c r="A3248" s="1235"/>
      <c r="B3248" s="1235"/>
      <c r="C3248" s="1246"/>
      <c r="D3248" s="1274"/>
      <c r="E3248" s="1248"/>
      <c r="F3248" s="1248"/>
      <c r="G3248" s="1271"/>
      <c r="H3248" s="1250"/>
      <c r="I3248" s="1251"/>
      <c r="J3248" s="1271"/>
      <c r="K3248" s="1271"/>
      <c r="L3248" s="1254"/>
      <c r="M3248" s="1244"/>
      <c r="N3248" s="1275"/>
      <c r="O3248" s="1275"/>
      <c r="P3248" s="1244"/>
      <c r="Q3248" s="1244"/>
      <c r="R3248" s="1244"/>
      <c r="S3248" s="1265"/>
      <c r="T3248" s="1244"/>
      <c r="U3248" s="1244"/>
    </row>
    <row r="3249">
      <c r="A3249" s="1235"/>
      <c r="B3249" s="1235"/>
      <c r="C3249" s="1246"/>
      <c r="D3249" s="1274"/>
      <c r="E3249" s="1248"/>
      <c r="F3249" s="1248"/>
      <c r="G3249" s="1271"/>
      <c r="H3249" s="1250"/>
      <c r="I3249" s="1251"/>
      <c r="J3249" s="1271"/>
      <c r="K3249" s="1271"/>
      <c r="L3249" s="1254"/>
      <c r="M3249" s="1244"/>
      <c r="N3249" s="1275"/>
      <c r="O3249" s="1275"/>
      <c r="P3249" s="1244"/>
      <c r="Q3249" s="1244"/>
      <c r="R3249" s="1244"/>
      <c r="S3249" s="1265"/>
      <c r="T3249" s="1244"/>
      <c r="U3249" s="1244"/>
    </row>
    <row r="3250">
      <c r="A3250" s="1235"/>
      <c r="B3250" s="1235"/>
      <c r="C3250" s="1246"/>
      <c r="D3250" s="1274"/>
      <c r="E3250" s="1248"/>
      <c r="F3250" s="1248"/>
      <c r="G3250" s="1271"/>
      <c r="H3250" s="1250"/>
      <c r="I3250" s="1251"/>
      <c r="J3250" s="1271"/>
      <c r="K3250" s="1271"/>
      <c r="L3250" s="1254"/>
      <c r="M3250" s="1244"/>
      <c r="N3250" s="1275"/>
      <c r="O3250" s="1275"/>
      <c r="P3250" s="1244"/>
      <c r="Q3250" s="1244"/>
      <c r="R3250" s="1244"/>
      <c r="S3250" s="1265"/>
      <c r="T3250" s="1244"/>
      <c r="U3250" s="1244"/>
    </row>
    <row r="3251">
      <c r="A3251" s="1235"/>
      <c r="B3251" s="1235"/>
      <c r="C3251" s="1246"/>
      <c r="D3251" s="1274"/>
      <c r="E3251" s="1248"/>
      <c r="F3251" s="1248"/>
      <c r="G3251" s="1271"/>
      <c r="H3251" s="1250"/>
      <c r="I3251" s="1251"/>
      <c r="J3251" s="1271"/>
      <c r="K3251" s="1271"/>
      <c r="L3251" s="1254"/>
      <c r="M3251" s="1244"/>
      <c r="N3251" s="1275"/>
      <c r="O3251" s="1275"/>
      <c r="P3251" s="1244"/>
      <c r="Q3251" s="1244"/>
      <c r="R3251" s="1244"/>
      <c r="S3251" s="1265"/>
      <c r="T3251" s="1244"/>
      <c r="U3251" s="1244"/>
    </row>
    <row r="3252">
      <c r="A3252" s="1235"/>
      <c r="B3252" s="1235"/>
      <c r="C3252" s="1246"/>
      <c r="D3252" s="1274"/>
      <c r="E3252" s="1248"/>
      <c r="F3252" s="1248"/>
      <c r="G3252" s="1271"/>
      <c r="H3252" s="1250"/>
      <c r="I3252" s="1251"/>
      <c r="J3252" s="1271"/>
      <c r="K3252" s="1271"/>
      <c r="L3252" s="1254"/>
      <c r="M3252" s="1244"/>
      <c r="N3252" s="1275"/>
      <c r="O3252" s="1275"/>
      <c r="P3252" s="1244"/>
      <c r="Q3252" s="1244"/>
      <c r="R3252" s="1244"/>
      <c r="S3252" s="1265"/>
      <c r="T3252" s="1244"/>
      <c r="U3252" s="1244"/>
    </row>
    <row r="3253">
      <c r="A3253" s="1235"/>
      <c r="B3253" s="1235"/>
      <c r="C3253" s="1246"/>
      <c r="D3253" s="1274"/>
      <c r="E3253" s="1248"/>
      <c r="F3253" s="1248"/>
      <c r="G3253" s="1271"/>
      <c r="H3253" s="1250"/>
      <c r="I3253" s="1251"/>
      <c r="J3253" s="1271"/>
      <c r="K3253" s="1271"/>
      <c r="L3253" s="1254"/>
      <c r="M3253" s="1244"/>
      <c r="N3253" s="1275"/>
      <c r="O3253" s="1275"/>
      <c r="P3253" s="1244"/>
      <c r="Q3253" s="1244"/>
      <c r="R3253" s="1244"/>
      <c r="S3253" s="1265"/>
      <c r="T3253" s="1244"/>
      <c r="U3253" s="1244"/>
    </row>
    <row r="3254">
      <c r="A3254" s="1235"/>
      <c r="B3254" s="1235"/>
      <c r="C3254" s="1246"/>
      <c r="D3254" s="1274"/>
      <c r="E3254" s="1248"/>
      <c r="F3254" s="1248"/>
      <c r="G3254" s="1271"/>
      <c r="H3254" s="1250"/>
      <c r="I3254" s="1251"/>
      <c r="J3254" s="1271"/>
      <c r="K3254" s="1271"/>
      <c r="L3254" s="1254"/>
      <c r="M3254" s="1244"/>
      <c r="N3254" s="1275"/>
      <c r="O3254" s="1275"/>
      <c r="P3254" s="1244"/>
      <c r="Q3254" s="1244"/>
      <c r="R3254" s="1244"/>
      <c r="S3254" s="1265"/>
      <c r="T3254" s="1244"/>
      <c r="U3254" s="1244"/>
    </row>
    <row r="3255">
      <c r="A3255" s="1235"/>
      <c r="B3255" s="1235"/>
      <c r="C3255" s="1246"/>
      <c r="D3255" s="1274"/>
      <c r="E3255" s="1248"/>
      <c r="F3255" s="1248"/>
      <c r="G3255" s="1271"/>
      <c r="H3255" s="1250"/>
      <c r="I3255" s="1251"/>
      <c r="J3255" s="1271"/>
      <c r="K3255" s="1271"/>
      <c r="L3255" s="1254"/>
      <c r="M3255" s="1244"/>
      <c r="N3255" s="1275"/>
      <c r="O3255" s="1275"/>
      <c r="P3255" s="1244"/>
      <c r="Q3255" s="1244"/>
      <c r="R3255" s="1244"/>
      <c r="S3255" s="1265"/>
      <c r="T3255" s="1244"/>
      <c r="U3255" s="1244"/>
    </row>
    <row r="3256">
      <c r="A3256" s="1235"/>
      <c r="B3256" s="1235"/>
      <c r="C3256" s="1246"/>
      <c r="D3256" s="1274"/>
      <c r="E3256" s="1248"/>
      <c r="F3256" s="1248"/>
      <c r="G3256" s="1271"/>
      <c r="H3256" s="1250"/>
      <c r="I3256" s="1251"/>
      <c r="J3256" s="1271"/>
      <c r="K3256" s="1271"/>
      <c r="L3256" s="1254"/>
      <c r="M3256" s="1244"/>
      <c r="N3256" s="1275"/>
      <c r="O3256" s="1275"/>
      <c r="P3256" s="1244"/>
      <c r="Q3256" s="1244"/>
      <c r="R3256" s="1244"/>
      <c r="S3256" s="1265"/>
      <c r="T3256" s="1244"/>
      <c r="U3256" s="1244"/>
    </row>
    <row r="3257">
      <c r="A3257" s="1235"/>
      <c r="B3257" s="1235"/>
      <c r="C3257" s="1246"/>
      <c r="D3257" s="1274"/>
      <c r="E3257" s="1248"/>
      <c r="F3257" s="1248"/>
      <c r="G3257" s="1271"/>
      <c r="H3257" s="1250"/>
      <c r="I3257" s="1251"/>
      <c r="J3257" s="1271"/>
      <c r="K3257" s="1271"/>
      <c r="L3257" s="1254"/>
      <c r="M3257" s="1244"/>
      <c r="N3257" s="1275"/>
      <c r="O3257" s="1275"/>
      <c r="P3257" s="1244"/>
      <c r="Q3257" s="1244"/>
      <c r="R3257" s="1244"/>
      <c r="S3257" s="1265"/>
      <c r="T3257" s="1244"/>
      <c r="U3257" s="1244"/>
    </row>
    <row r="3258">
      <c r="A3258" s="1235"/>
      <c r="B3258" s="1235"/>
      <c r="C3258" s="1246"/>
      <c r="D3258" s="1274"/>
      <c r="E3258" s="1248"/>
      <c r="F3258" s="1248"/>
      <c r="G3258" s="1271"/>
      <c r="H3258" s="1250"/>
      <c r="I3258" s="1251"/>
      <c r="J3258" s="1271"/>
      <c r="K3258" s="1271"/>
      <c r="L3258" s="1254"/>
      <c r="M3258" s="1244"/>
      <c r="N3258" s="1275"/>
      <c r="O3258" s="1275"/>
      <c r="P3258" s="1244"/>
      <c r="Q3258" s="1244"/>
      <c r="R3258" s="1244"/>
      <c r="S3258" s="1265"/>
      <c r="T3258" s="1244"/>
      <c r="U3258" s="1244"/>
    </row>
    <row r="3259">
      <c r="A3259" s="1235"/>
      <c r="B3259" s="1235"/>
      <c r="C3259" s="1246"/>
      <c r="D3259" s="1274"/>
      <c r="E3259" s="1248"/>
      <c r="F3259" s="1248"/>
      <c r="G3259" s="1271"/>
      <c r="H3259" s="1250"/>
      <c r="I3259" s="1251"/>
      <c r="J3259" s="1271"/>
      <c r="K3259" s="1271"/>
      <c r="L3259" s="1254"/>
      <c r="M3259" s="1244"/>
      <c r="N3259" s="1275"/>
      <c r="O3259" s="1275"/>
      <c r="P3259" s="1244"/>
      <c r="Q3259" s="1244"/>
      <c r="R3259" s="1244"/>
      <c r="S3259" s="1265"/>
      <c r="T3259" s="1244"/>
      <c r="U3259" s="1244"/>
    </row>
    <row r="3260">
      <c r="A3260" s="1235"/>
      <c r="B3260" s="1235"/>
      <c r="C3260" s="1246"/>
      <c r="D3260" s="1274"/>
      <c r="E3260" s="1248"/>
      <c r="F3260" s="1248"/>
      <c r="G3260" s="1271"/>
      <c r="H3260" s="1250"/>
      <c r="I3260" s="1251"/>
      <c r="J3260" s="1271"/>
      <c r="K3260" s="1271"/>
      <c r="L3260" s="1254"/>
      <c r="M3260" s="1244"/>
      <c r="N3260" s="1275"/>
      <c r="O3260" s="1275"/>
      <c r="P3260" s="1244"/>
      <c r="Q3260" s="1244"/>
      <c r="R3260" s="1244"/>
      <c r="S3260" s="1265"/>
      <c r="T3260" s="1244"/>
      <c r="U3260" s="1244"/>
    </row>
    <row r="3261">
      <c r="A3261" s="1235"/>
      <c r="B3261" s="1235"/>
      <c r="C3261" s="1246"/>
      <c r="D3261" s="1274"/>
      <c r="E3261" s="1248"/>
      <c r="F3261" s="1248"/>
      <c r="G3261" s="1271"/>
      <c r="H3261" s="1250"/>
      <c r="I3261" s="1251"/>
      <c r="J3261" s="1271"/>
      <c r="K3261" s="1271"/>
      <c r="L3261" s="1254"/>
      <c r="M3261" s="1244"/>
      <c r="N3261" s="1275"/>
      <c r="O3261" s="1275"/>
      <c r="P3261" s="1244"/>
      <c r="Q3261" s="1244"/>
      <c r="R3261" s="1244"/>
      <c r="S3261" s="1265"/>
      <c r="T3261" s="1244"/>
      <c r="U3261" s="1244"/>
    </row>
    <row r="3262">
      <c r="A3262" s="1235"/>
      <c r="B3262" s="1235"/>
      <c r="C3262" s="1246"/>
      <c r="D3262" s="1274"/>
      <c r="E3262" s="1248"/>
      <c r="F3262" s="1248"/>
      <c r="G3262" s="1271"/>
      <c r="H3262" s="1250"/>
      <c r="I3262" s="1251"/>
      <c r="J3262" s="1271"/>
      <c r="K3262" s="1271"/>
      <c r="L3262" s="1254"/>
      <c r="M3262" s="1244"/>
      <c r="N3262" s="1275"/>
      <c r="O3262" s="1275"/>
      <c r="P3262" s="1244"/>
      <c r="Q3262" s="1244"/>
      <c r="R3262" s="1244"/>
      <c r="S3262" s="1265"/>
      <c r="T3262" s="1244"/>
      <c r="U3262" s="1244"/>
    </row>
    <row r="3263">
      <c r="A3263" s="1235"/>
      <c r="B3263" s="1235"/>
      <c r="C3263" s="1246"/>
      <c r="D3263" s="1274"/>
      <c r="E3263" s="1248"/>
      <c r="F3263" s="1248"/>
      <c r="G3263" s="1271"/>
      <c r="H3263" s="1250"/>
      <c r="I3263" s="1251"/>
      <c r="J3263" s="1271"/>
      <c r="K3263" s="1271"/>
      <c r="L3263" s="1254"/>
      <c r="M3263" s="1244"/>
      <c r="N3263" s="1275"/>
      <c r="O3263" s="1275"/>
      <c r="P3263" s="1244"/>
      <c r="Q3263" s="1244"/>
      <c r="R3263" s="1244"/>
      <c r="S3263" s="1265"/>
      <c r="T3263" s="1244"/>
      <c r="U3263" s="1244"/>
    </row>
    <row r="3264">
      <c r="A3264" s="1235"/>
      <c r="B3264" s="1235"/>
      <c r="C3264" s="1246"/>
      <c r="D3264" s="1274"/>
      <c r="E3264" s="1248"/>
      <c r="F3264" s="1248"/>
      <c r="G3264" s="1271"/>
      <c r="H3264" s="1250"/>
      <c r="I3264" s="1251"/>
      <c r="J3264" s="1271"/>
      <c r="K3264" s="1271"/>
      <c r="L3264" s="1254"/>
      <c r="M3264" s="1244"/>
      <c r="N3264" s="1275"/>
      <c r="O3264" s="1275"/>
      <c r="P3264" s="1244"/>
      <c r="Q3264" s="1244"/>
      <c r="R3264" s="1244"/>
      <c r="S3264" s="1265"/>
      <c r="T3264" s="1244"/>
      <c r="U3264" s="1244"/>
    </row>
    <row r="3265">
      <c r="A3265" s="1235"/>
      <c r="B3265" s="1235"/>
      <c r="C3265" s="1246"/>
      <c r="D3265" s="1274"/>
      <c r="E3265" s="1248"/>
      <c r="F3265" s="1248"/>
      <c r="G3265" s="1271"/>
      <c r="H3265" s="1250"/>
      <c r="I3265" s="1251"/>
      <c r="J3265" s="1271"/>
      <c r="K3265" s="1271"/>
      <c r="L3265" s="1254"/>
      <c r="M3265" s="1244"/>
      <c r="N3265" s="1275"/>
      <c r="O3265" s="1275"/>
      <c r="P3265" s="1244"/>
      <c r="Q3265" s="1244"/>
      <c r="R3265" s="1244"/>
      <c r="S3265" s="1265"/>
      <c r="T3265" s="1244"/>
      <c r="U3265" s="1244"/>
    </row>
    <row r="3266">
      <c r="A3266" s="1235"/>
      <c r="B3266" s="1235"/>
      <c r="C3266" s="1246"/>
      <c r="D3266" s="1274"/>
      <c r="E3266" s="1248"/>
      <c r="F3266" s="1248"/>
      <c r="G3266" s="1271"/>
      <c r="H3266" s="1250"/>
      <c r="I3266" s="1251"/>
      <c r="J3266" s="1271"/>
      <c r="K3266" s="1271"/>
      <c r="L3266" s="1254"/>
      <c r="M3266" s="1244"/>
      <c r="N3266" s="1275"/>
      <c r="O3266" s="1275"/>
      <c r="P3266" s="1244"/>
      <c r="Q3266" s="1244"/>
      <c r="R3266" s="1244"/>
      <c r="S3266" s="1265"/>
      <c r="T3266" s="1244"/>
      <c r="U3266" s="1244"/>
    </row>
    <row r="3267">
      <c r="A3267" s="1235"/>
      <c r="B3267" s="1235"/>
      <c r="C3267" s="1246"/>
      <c r="D3267" s="1274"/>
      <c r="E3267" s="1248"/>
      <c r="F3267" s="1248"/>
      <c r="G3267" s="1271"/>
      <c r="H3267" s="1250"/>
      <c r="I3267" s="1251"/>
      <c r="J3267" s="1271"/>
      <c r="K3267" s="1271"/>
      <c r="L3267" s="1254"/>
      <c r="M3267" s="1244"/>
      <c r="N3267" s="1275"/>
      <c r="O3267" s="1275"/>
      <c r="P3267" s="1244"/>
      <c r="Q3267" s="1244"/>
      <c r="R3267" s="1244"/>
      <c r="S3267" s="1265"/>
      <c r="T3267" s="1244"/>
      <c r="U3267" s="1244"/>
    </row>
    <row r="3268">
      <c r="A3268" s="1235"/>
      <c r="B3268" s="1235"/>
      <c r="C3268" s="1246"/>
      <c r="D3268" s="1274"/>
      <c r="E3268" s="1248"/>
      <c r="F3268" s="1248"/>
      <c r="G3268" s="1271"/>
      <c r="H3268" s="1250"/>
      <c r="I3268" s="1251"/>
      <c r="J3268" s="1271"/>
      <c r="K3268" s="1271"/>
      <c r="L3268" s="1254"/>
      <c r="M3268" s="1244"/>
      <c r="N3268" s="1275"/>
      <c r="O3268" s="1275"/>
      <c r="P3268" s="1244"/>
      <c r="Q3268" s="1244"/>
      <c r="R3268" s="1244"/>
      <c r="S3268" s="1265"/>
      <c r="T3268" s="1244"/>
      <c r="U3268" s="1244"/>
    </row>
    <row r="3269">
      <c r="A3269" s="1235"/>
      <c r="B3269" s="1235"/>
      <c r="C3269" s="1246"/>
      <c r="D3269" s="1274"/>
      <c r="E3269" s="1248"/>
      <c r="F3269" s="1248"/>
      <c r="G3269" s="1271"/>
      <c r="H3269" s="1250"/>
      <c r="I3269" s="1251"/>
      <c r="J3269" s="1271"/>
      <c r="K3269" s="1271"/>
      <c r="L3269" s="1254"/>
      <c r="M3269" s="1244"/>
      <c r="N3269" s="1275"/>
      <c r="O3269" s="1275"/>
      <c r="P3269" s="1244"/>
      <c r="Q3269" s="1244"/>
      <c r="R3269" s="1244"/>
      <c r="S3269" s="1265"/>
      <c r="T3269" s="1244"/>
      <c r="U3269" s="1244"/>
    </row>
    <row r="3270">
      <c r="A3270" s="1235"/>
      <c r="B3270" s="1235"/>
      <c r="C3270" s="1246"/>
      <c r="D3270" s="1274"/>
      <c r="E3270" s="1248"/>
      <c r="F3270" s="1248"/>
      <c r="G3270" s="1271"/>
      <c r="H3270" s="1250"/>
      <c r="I3270" s="1251"/>
      <c r="J3270" s="1271"/>
      <c r="K3270" s="1271"/>
      <c r="L3270" s="1254"/>
      <c r="M3270" s="1244"/>
      <c r="N3270" s="1275"/>
      <c r="O3270" s="1275"/>
      <c r="P3270" s="1244"/>
      <c r="Q3270" s="1244"/>
      <c r="R3270" s="1244"/>
      <c r="S3270" s="1265"/>
      <c r="T3270" s="1244"/>
      <c r="U3270" s="1244"/>
    </row>
    <row r="3271">
      <c r="A3271" s="1235"/>
      <c r="B3271" s="1235"/>
      <c r="C3271" s="1246"/>
      <c r="D3271" s="1274"/>
      <c r="E3271" s="1248"/>
      <c r="F3271" s="1248"/>
      <c r="G3271" s="1271"/>
      <c r="H3271" s="1250"/>
      <c r="I3271" s="1251"/>
      <c r="J3271" s="1271"/>
      <c r="K3271" s="1271"/>
      <c r="L3271" s="1254"/>
      <c r="M3271" s="1244"/>
      <c r="N3271" s="1275"/>
      <c r="O3271" s="1275"/>
      <c r="P3271" s="1244"/>
      <c r="Q3271" s="1244"/>
      <c r="R3271" s="1244"/>
      <c r="S3271" s="1265"/>
      <c r="T3271" s="1244"/>
      <c r="U3271" s="1244"/>
    </row>
    <row r="3272">
      <c r="A3272" s="1235"/>
      <c r="B3272" s="1235"/>
      <c r="C3272" s="1246"/>
      <c r="D3272" s="1274"/>
      <c r="E3272" s="1248"/>
      <c r="F3272" s="1248"/>
      <c r="G3272" s="1271"/>
      <c r="H3272" s="1250"/>
      <c r="I3272" s="1251"/>
      <c r="J3272" s="1271"/>
      <c r="K3272" s="1271"/>
      <c r="L3272" s="1254"/>
      <c r="M3272" s="1244"/>
      <c r="N3272" s="1275"/>
      <c r="O3272" s="1275"/>
      <c r="P3272" s="1244"/>
      <c r="Q3272" s="1244"/>
      <c r="R3272" s="1244"/>
      <c r="S3272" s="1265"/>
      <c r="T3272" s="1244"/>
      <c r="U3272" s="1244"/>
    </row>
    <row r="3273">
      <c r="A3273" s="1235"/>
      <c r="B3273" s="1235"/>
      <c r="C3273" s="1246"/>
      <c r="D3273" s="1274"/>
      <c r="E3273" s="1248"/>
      <c r="F3273" s="1248"/>
      <c r="G3273" s="1271"/>
      <c r="H3273" s="1250"/>
      <c r="I3273" s="1251"/>
      <c r="J3273" s="1271"/>
      <c r="K3273" s="1271"/>
      <c r="L3273" s="1254"/>
      <c r="M3273" s="1244"/>
      <c r="N3273" s="1275"/>
      <c r="O3273" s="1275"/>
      <c r="P3273" s="1244"/>
      <c r="Q3273" s="1244"/>
      <c r="R3273" s="1244"/>
      <c r="S3273" s="1265"/>
      <c r="T3273" s="1244"/>
      <c r="U3273" s="1244"/>
    </row>
    <row r="3274">
      <c r="A3274" s="1235"/>
      <c r="B3274" s="1235"/>
      <c r="C3274" s="1246"/>
      <c r="D3274" s="1274"/>
      <c r="E3274" s="1248"/>
      <c r="F3274" s="1248"/>
      <c r="G3274" s="1271"/>
      <c r="H3274" s="1250"/>
      <c r="I3274" s="1251"/>
      <c r="J3274" s="1271"/>
      <c r="K3274" s="1271"/>
      <c r="L3274" s="1254"/>
      <c r="M3274" s="1244"/>
      <c r="N3274" s="1275"/>
      <c r="O3274" s="1275"/>
      <c r="P3274" s="1244"/>
      <c r="Q3274" s="1244"/>
      <c r="R3274" s="1244"/>
      <c r="S3274" s="1265"/>
      <c r="T3274" s="1244"/>
      <c r="U3274" s="1244"/>
    </row>
    <row r="3275">
      <c r="A3275" s="1235"/>
      <c r="B3275" s="1235"/>
      <c r="C3275" s="1246"/>
      <c r="D3275" s="1274"/>
      <c r="E3275" s="1248"/>
      <c r="F3275" s="1248"/>
      <c r="G3275" s="1271"/>
      <c r="H3275" s="1250"/>
      <c r="I3275" s="1251"/>
      <c r="J3275" s="1271"/>
      <c r="K3275" s="1271"/>
      <c r="L3275" s="1254"/>
      <c r="M3275" s="1244"/>
      <c r="N3275" s="1275"/>
      <c r="O3275" s="1275"/>
      <c r="P3275" s="1244"/>
      <c r="Q3275" s="1244"/>
      <c r="R3275" s="1244"/>
      <c r="S3275" s="1265"/>
      <c r="T3275" s="1244"/>
      <c r="U3275" s="1244"/>
    </row>
    <row r="3276">
      <c r="A3276" s="1235"/>
      <c r="B3276" s="1235"/>
      <c r="C3276" s="1246"/>
      <c r="D3276" s="1274"/>
      <c r="E3276" s="1248"/>
      <c r="F3276" s="1248"/>
      <c r="G3276" s="1271"/>
      <c r="H3276" s="1250"/>
      <c r="I3276" s="1251"/>
      <c r="J3276" s="1271"/>
      <c r="K3276" s="1271"/>
      <c r="L3276" s="1254"/>
      <c r="M3276" s="1244"/>
      <c r="N3276" s="1275"/>
      <c r="O3276" s="1275"/>
      <c r="P3276" s="1244"/>
      <c r="Q3276" s="1244"/>
      <c r="R3276" s="1244"/>
      <c r="S3276" s="1265"/>
      <c r="T3276" s="1244"/>
      <c r="U3276" s="1244"/>
    </row>
    <row r="3277">
      <c r="A3277" s="1235"/>
      <c r="B3277" s="1235"/>
      <c r="C3277" s="1246"/>
      <c r="D3277" s="1274"/>
      <c r="E3277" s="1248"/>
      <c r="F3277" s="1248"/>
      <c r="G3277" s="1271"/>
      <c r="H3277" s="1250"/>
      <c r="I3277" s="1251"/>
      <c r="J3277" s="1271"/>
      <c r="K3277" s="1271"/>
      <c r="L3277" s="1254"/>
      <c r="M3277" s="1244"/>
      <c r="N3277" s="1275"/>
      <c r="O3277" s="1275"/>
      <c r="P3277" s="1244"/>
      <c r="Q3277" s="1244"/>
      <c r="R3277" s="1244"/>
      <c r="S3277" s="1265"/>
      <c r="T3277" s="1244"/>
      <c r="U3277" s="1244"/>
    </row>
    <row r="3278">
      <c r="A3278" s="1235"/>
      <c r="B3278" s="1235"/>
      <c r="C3278" s="1246"/>
      <c r="D3278" s="1274"/>
      <c r="E3278" s="1248"/>
      <c r="F3278" s="1248"/>
      <c r="G3278" s="1271"/>
      <c r="H3278" s="1250"/>
      <c r="I3278" s="1251"/>
      <c r="J3278" s="1271"/>
      <c r="K3278" s="1271"/>
      <c r="L3278" s="1254"/>
      <c r="M3278" s="1244"/>
      <c r="N3278" s="1275"/>
      <c r="O3278" s="1275"/>
      <c r="P3278" s="1244"/>
      <c r="Q3278" s="1244"/>
      <c r="R3278" s="1244"/>
      <c r="S3278" s="1265"/>
      <c r="T3278" s="1244"/>
      <c r="U3278" s="1244"/>
    </row>
    <row r="3279">
      <c r="A3279" s="1235"/>
      <c r="B3279" s="1235"/>
      <c r="C3279" s="1246"/>
      <c r="D3279" s="1274"/>
      <c r="E3279" s="1248"/>
      <c r="F3279" s="1248"/>
      <c r="G3279" s="1271"/>
      <c r="H3279" s="1250"/>
      <c r="I3279" s="1251"/>
      <c r="J3279" s="1271"/>
      <c r="K3279" s="1271"/>
      <c r="L3279" s="1254"/>
      <c r="M3279" s="1244"/>
      <c r="N3279" s="1275"/>
      <c r="O3279" s="1275"/>
      <c r="P3279" s="1244"/>
      <c r="Q3279" s="1244"/>
      <c r="R3279" s="1244"/>
      <c r="S3279" s="1265"/>
      <c r="T3279" s="1244"/>
      <c r="U3279" s="1244"/>
    </row>
    <row r="3280">
      <c r="A3280" s="1235"/>
      <c r="B3280" s="1235"/>
      <c r="C3280" s="1246"/>
      <c r="D3280" s="1274"/>
      <c r="E3280" s="1248"/>
      <c r="F3280" s="1248"/>
      <c r="G3280" s="1271"/>
      <c r="H3280" s="1250"/>
      <c r="I3280" s="1251"/>
      <c r="J3280" s="1271"/>
      <c r="K3280" s="1271"/>
      <c r="L3280" s="1254"/>
      <c r="M3280" s="1244"/>
      <c r="N3280" s="1275"/>
      <c r="O3280" s="1275"/>
      <c r="P3280" s="1244"/>
      <c r="Q3280" s="1244"/>
      <c r="R3280" s="1244"/>
      <c r="S3280" s="1265"/>
      <c r="T3280" s="1244"/>
      <c r="U3280" s="1244"/>
    </row>
    <row r="3281">
      <c r="A3281" s="1235"/>
      <c r="B3281" s="1235"/>
      <c r="C3281" s="1246"/>
      <c r="D3281" s="1274"/>
      <c r="E3281" s="1248"/>
      <c r="F3281" s="1248"/>
      <c r="G3281" s="1271"/>
      <c r="H3281" s="1250"/>
      <c r="I3281" s="1251"/>
      <c r="J3281" s="1271"/>
      <c r="K3281" s="1271"/>
      <c r="L3281" s="1254"/>
      <c r="M3281" s="1244"/>
      <c r="N3281" s="1275"/>
      <c r="O3281" s="1275"/>
      <c r="P3281" s="1244"/>
      <c r="Q3281" s="1244"/>
      <c r="R3281" s="1244"/>
      <c r="S3281" s="1265"/>
      <c r="T3281" s="1244"/>
      <c r="U3281" s="1244"/>
    </row>
    <row r="3282">
      <c r="A3282" s="1235"/>
      <c r="B3282" s="1235"/>
      <c r="C3282" s="1246"/>
      <c r="D3282" s="1274"/>
      <c r="E3282" s="1248"/>
      <c r="F3282" s="1248"/>
      <c r="G3282" s="1271"/>
      <c r="H3282" s="1250"/>
      <c r="I3282" s="1251"/>
      <c r="J3282" s="1271"/>
      <c r="K3282" s="1271"/>
      <c r="L3282" s="1254"/>
      <c r="M3282" s="1244"/>
      <c r="N3282" s="1275"/>
      <c r="O3282" s="1275"/>
      <c r="P3282" s="1244"/>
      <c r="Q3282" s="1244"/>
      <c r="R3282" s="1244"/>
      <c r="S3282" s="1265"/>
      <c r="T3282" s="1244"/>
      <c r="U3282" s="1244"/>
    </row>
    <row r="3283">
      <c r="A3283" s="1235"/>
      <c r="B3283" s="1235"/>
      <c r="C3283" s="1246"/>
      <c r="D3283" s="1274"/>
      <c r="E3283" s="1248"/>
      <c r="F3283" s="1248"/>
      <c r="G3283" s="1271"/>
      <c r="H3283" s="1250"/>
      <c r="I3283" s="1251"/>
      <c r="J3283" s="1271"/>
      <c r="K3283" s="1271"/>
      <c r="L3283" s="1254"/>
      <c r="M3283" s="1244"/>
      <c r="N3283" s="1275"/>
      <c r="O3283" s="1275"/>
      <c r="P3283" s="1244"/>
      <c r="Q3283" s="1244"/>
      <c r="R3283" s="1244"/>
      <c r="S3283" s="1265"/>
      <c r="T3283" s="1244"/>
      <c r="U3283" s="1244"/>
    </row>
    <row r="3284">
      <c r="A3284" s="1235"/>
      <c r="B3284" s="1235"/>
      <c r="C3284" s="1246"/>
      <c r="D3284" s="1274"/>
      <c r="E3284" s="1248"/>
      <c r="F3284" s="1248"/>
      <c r="G3284" s="1271"/>
      <c r="H3284" s="1250"/>
      <c r="I3284" s="1251"/>
      <c r="J3284" s="1271"/>
      <c r="K3284" s="1271"/>
      <c r="L3284" s="1254"/>
      <c r="M3284" s="1244"/>
      <c r="N3284" s="1275"/>
      <c r="O3284" s="1275"/>
      <c r="P3284" s="1244"/>
      <c r="Q3284" s="1244"/>
      <c r="R3284" s="1244"/>
      <c r="S3284" s="1265"/>
      <c r="T3284" s="1244"/>
      <c r="U3284" s="1244"/>
    </row>
    <row r="3285">
      <c r="A3285" s="1235"/>
      <c r="B3285" s="1235"/>
      <c r="C3285" s="1246"/>
      <c r="D3285" s="1274"/>
      <c r="E3285" s="1248"/>
      <c r="F3285" s="1248"/>
      <c r="G3285" s="1271"/>
      <c r="H3285" s="1250"/>
      <c r="I3285" s="1251"/>
      <c r="J3285" s="1271"/>
      <c r="K3285" s="1271"/>
      <c r="L3285" s="1254"/>
      <c r="M3285" s="1244"/>
      <c r="N3285" s="1275"/>
      <c r="O3285" s="1275"/>
      <c r="P3285" s="1244"/>
      <c r="Q3285" s="1244"/>
      <c r="R3285" s="1244"/>
      <c r="S3285" s="1265"/>
      <c r="T3285" s="1244"/>
      <c r="U3285" s="1244"/>
    </row>
    <row r="3286">
      <c r="A3286" s="1235"/>
      <c r="B3286" s="1235"/>
      <c r="C3286" s="1246"/>
      <c r="D3286" s="1274"/>
      <c r="E3286" s="1248"/>
      <c r="F3286" s="1248"/>
      <c r="G3286" s="1271"/>
      <c r="H3286" s="1250"/>
      <c r="I3286" s="1251"/>
      <c r="J3286" s="1271"/>
      <c r="K3286" s="1271"/>
      <c r="L3286" s="1254"/>
      <c r="M3286" s="1244"/>
      <c r="N3286" s="1275"/>
      <c r="O3286" s="1275"/>
      <c r="P3286" s="1244"/>
      <c r="Q3286" s="1244"/>
      <c r="R3286" s="1244"/>
      <c r="S3286" s="1265"/>
      <c r="T3286" s="1244"/>
      <c r="U3286" s="1244"/>
    </row>
    <row r="3287">
      <c r="A3287" s="1235"/>
      <c r="B3287" s="1235"/>
      <c r="C3287" s="1246"/>
      <c r="D3287" s="1274"/>
      <c r="E3287" s="1248"/>
      <c r="F3287" s="1248"/>
      <c r="G3287" s="1271"/>
      <c r="H3287" s="1250"/>
      <c r="I3287" s="1251"/>
      <c r="J3287" s="1271"/>
      <c r="K3287" s="1271"/>
      <c r="L3287" s="1254"/>
      <c r="M3287" s="1244"/>
      <c r="N3287" s="1275"/>
      <c r="O3287" s="1275"/>
      <c r="P3287" s="1244"/>
      <c r="Q3287" s="1244"/>
      <c r="R3287" s="1244"/>
      <c r="S3287" s="1265"/>
      <c r="T3287" s="1244"/>
      <c r="U3287" s="1244"/>
    </row>
    <row r="3288">
      <c r="A3288" s="1235"/>
      <c r="B3288" s="1235"/>
      <c r="C3288" s="1246"/>
      <c r="D3288" s="1274"/>
      <c r="E3288" s="1248"/>
      <c r="F3288" s="1248"/>
      <c r="G3288" s="1271"/>
      <c r="H3288" s="1250"/>
      <c r="I3288" s="1251"/>
      <c r="J3288" s="1271"/>
      <c r="K3288" s="1271"/>
      <c r="L3288" s="1254"/>
      <c r="M3288" s="1244"/>
      <c r="N3288" s="1275"/>
      <c r="O3288" s="1275"/>
      <c r="P3288" s="1244"/>
      <c r="Q3288" s="1244"/>
      <c r="R3288" s="1244"/>
      <c r="S3288" s="1265"/>
      <c r="T3288" s="1244"/>
      <c r="U3288" s="1244"/>
    </row>
    <row r="3289">
      <c r="A3289" s="1235"/>
      <c r="B3289" s="1235"/>
      <c r="C3289" s="1246"/>
      <c r="D3289" s="1274"/>
      <c r="E3289" s="1248"/>
      <c r="F3289" s="1248"/>
      <c r="G3289" s="1271"/>
      <c r="H3289" s="1250"/>
      <c r="I3289" s="1251"/>
      <c r="J3289" s="1271"/>
      <c r="K3289" s="1271"/>
      <c r="L3289" s="1254"/>
      <c r="M3289" s="1244"/>
      <c r="N3289" s="1275"/>
      <c r="O3289" s="1275"/>
      <c r="P3289" s="1244"/>
      <c r="Q3289" s="1244"/>
      <c r="R3289" s="1244"/>
      <c r="S3289" s="1265"/>
      <c r="T3289" s="1244"/>
      <c r="U3289" s="1244"/>
    </row>
    <row r="3290">
      <c r="A3290" s="1235"/>
      <c r="B3290" s="1235"/>
      <c r="C3290" s="1246"/>
      <c r="D3290" s="1274"/>
      <c r="E3290" s="1248"/>
      <c r="F3290" s="1248"/>
      <c r="G3290" s="1271"/>
      <c r="H3290" s="1250"/>
      <c r="I3290" s="1251"/>
      <c r="J3290" s="1271"/>
      <c r="K3290" s="1271"/>
      <c r="L3290" s="1254"/>
      <c r="M3290" s="1244"/>
      <c r="N3290" s="1275"/>
      <c r="O3290" s="1275"/>
      <c r="P3290" s="1244"/>
      <c r="Q3290" s="1244"/>
      <c r="R3290" s="1244"/>
      <c r="S3290" s="1265"/>
      <c r="T3290" s="1244"/>
      <c r="U3290" s="1244"/>
    </row>
    <row r="3291">
      <c r="A3291" s="1235"/>
      <c r="B3291" s="1235"/>
      <c r="C3291" s="1246"/>
      <c r="D3291" s="1274"/>
      <c r="E3291" s="1248"/>
      <c r="F3291" s="1248"/>
      <c r="G3291" s="1271"/>
      <c r="H3291" s="1250"/>
      <c r="I3291" s="1251"/>
      <c r="J3291" s="1271"/>
      <c r="K3291" s="1271"/>
      <c r="L3291" s="1254"/>
      <c r="M3291" s="1244"/>
      <c r="N3291" s="1275"/>
      <c r="O3291" s="1275"/>
      <c r="P3291" s="1244"/>
      <c r="Q3291" s="1244"/>
      <c r="R3291" s="1244"/>
      <c r="S3291" s="1265"/>
      <c r="T3291" s="1244"/>
      <c r="U3291" s="1244"/>
    </row>
    <row r="3292">
      <c r="A3292" s="1235"/>
      <c r="B3292" s="1235"/>
      <c r="C3292" s="1246"/>
      <c r="D3292" s="1274"/>
      <c r="E3292" s="1248"/>
      <c r="F3292" s="1248"/>
      <c r="G3292" s="1271"/>
      <c r="H3292" s="1250"/>
      <c r="I3292" s="1251"/>
      <c r="J3292" s="1271"/>
      <c r="K3292" s="1271"/>
      <c r="L3292" s="1254"/>
      <c r="M3292" s="1244"/>
      <c r="N3292" s="1275"/>
      <c r="O3292" s="1275"/>
      <c r="P3292" s="1244"/>
      <c r="Q3292" s="1244"/>
      <c r="R3292" s="1244"/>
      <c r="S3292" s="1265"/>
      <c r="T3292" s="1244"/>
      <c r="U3292" s="1244"/>
    </row>
    <row r="3293">
      <c r="A3293" s="1235"/>
      <c r="B3293" s="1235"/>
      <c r="C3293" s="1246"/>
      <c r="D3293" s="1274"/>
      <c r="E3293" s="1248"/>
      <c r="F3293" s="1248"/>
      <c r="G3293" s="1271"/>
      <c r="H3293" s="1250"/>
      <c r="I3293" s="1251"/>
      <c r="J3293" s="1271"/>
      <c r="K3293" s="1271"/>
      <c r="L3293" s="1254"/>
      <c r="M3293" s="1244"/>
      <c r="N3293" s="1275"/>
      <c r="O3293" s="1275"/>
      <c r="P3293" s="1244"/>
      <c r="Q3293" s="1244"/>
      <c r="R3293" s="1244"/>
      <c r="S3293" s="1265"/>
      <c r="T3293" s="1244"/>
      <c r="U3293" s="1244"/>
    </row>
    <row r="3294">
      <c r="A3294" s="1235"/>
      <c r="B3294" s="1235"/>
      <c r="C3294" s="1246"/>
      <c r="D3294" s="1274"/>
      <c r="E3294" s="1248"/>
      <c r="F3294" s="1248"/>
      <c r="G3294" s="1271"/>
      <c r="H3294" s="1250"/>
      <c r="I3294" s="1251"/>
      <c r="J3294" s="1271"/>
      <c r="K3294" s="1271"/>
      <c r="L3294" s="1254"/>
      <c r="M3294" s="1244"/>
      <c r="N3294" s="1275"/>
      <c r="O3294" s="1275"/>
      <c r="P3294" s="1244"/>
      <c r="Q3294" s="1244"/>
      <c r="R3294" s="1244"/>
      <c r="S3294" s="1265"/>
      <c r="T3294" s="1244"/>
      <c r="U3294" s="1244"/>
    </row>
    <row r="3295">
      <c r="A3295" s="1235"/>
      <c r="B3295" s="1235"/>
      <c r="C3295" s="1246"/>
      <c r="D3295" s="1274"/>
      <c r="E3295" s="1248"/>
      <c r="F3295" s="1248"/>
      <c r="G3295" s="1271"/>
      <c r="H3295" s="1250"/>
      <c r="I3295" s="1251"/>
      <c r="J3295" s="1271"/>
      <c r="K3295" s="1271"/>
      <c r="L3295" s="1254"/>
      <c r="M3295" s="1244"/>
      <c r="N3295" s="1275"/>
      <c r="O3295" s="1275"/>
      <c r="P3295" s="1244"/>
      <c r="Q3295" s="1244"/>
      <c r="R3295" s="1244"/>
      <c r="S3295" s="1265"/>
      <c r="T3295" s="1244"/>
      <c r="U3295" s="1244"/>
    </row>
    <row r="3296">
      <c r="A3296" s="1235"/>
      <c r="B3296" s="1235"/>
      <c r="C3296" s="1246"/>
      <c r="D3296" s="1274"/>
      <c r="E3296" s="1248"/>
      <c r="F3296" s="1248"/>
      <c r="G3296" s="1271"/>
      <c r="H3296" s="1250"/>
      <c r="I3296" s="1251"/>
      <c r="J3296" s="1271"/>
      <c r="K3296" s="1271"/>
      <c r="L3296" s="1254"/>
      <c r="M3296" s="1244"/>
      <c r="N3296" s="1275"/>
      <c r="O3296" s="1275"/>
      <c r="P3296" s="1244"/>
      <c r="Q3296" s="1244"/>
      <c r="R3296" s="1244"/>
      <c r="S3296" s="1265"/>
      <c r="T3296" s="1244"/>
      <c r="U3296" s="1244"/>
    </row>
    <row r="3297">
      <c r="A3297" s="1235"/>
      <c r="B3297" s="1235"/>
      <c r="C3297" s="1246"/>
      <c r="D3297" s="1274"/>
      <c r="E3297" s="1248"/>
      <c r="F3297" s="1248"/>
      <c r="G3297" s="1271"/>
      <c r="H3297" s="1250"/>
      <c r="I3297" s="1251"/>
      <c r="J3297" s="1271"/>
      <c r="K3297" s="1271"/>
      <c r="L3297" s="1254"/>
      <c r="M3297" s="1244"/>
      <c r="N3297" s="1275"/>
      <c r="O3297" s="1275"/>
      <c r="P3297" s="1244"/>
      <c r="Q3297" s="1244"/>
      <c r="R3297" s="1244"/>
      <c r="S3297" s="1265"/>
      <c r="T3297" s="1244"/>
      <c r="U3297" s="1244"/>
    </row>
    <row r="3298">
      <c r="A3298" s="1235"/>
      <c r="B3298" s="1235"/>
      <c r="C3298" s="1246"/>
      <c r="D3298" s="1274"/>
      <c r="E3298" s="1248"/>
      <c r="F3298" s="1248"/>
      <c r="G3298" s="1271"/>
      <c r="H3298" s="1250"/>
      <c r="I3298" s="1251"/>
      <c r="J3298" s="1271"/>
      <c r="K3298" s="1271"/>
      <c r="L3298" s="1254"/>
      <c r="M3298" s="1244"/>
      <c r="N3298" s="1275"/>
      <c r="O3298" s="1275"/>
      <c r="P3298" s="1244"/>
      <c r="Q3298" s="1244"/>
      <c r="R3298" s="1244"/>
      <c r="S3298" s="1265"/>
      <c r="T3298" s="1244"/>
      <c r="U3298" s="1244"/>
    </row>
    <row r="3299">
      <c r="A3299" s="1235"/>
      <c r="B3299" s="1235"/>
      <c r="C3299" s="1246"/>
      <c r="D3299" s="1274"/>
      <c r="E3299" s="1248"/>
      <c r="F3299" s="1248"/>
      <c r="G3299" s="1271"/>
      <c r="H3299" s="1250"/>
      <c r="I3299" s="1251"/>
      <c r="J3299" s="1271"/>
      <c r="K3299" s="1271"/>
      <c r="L3299" s="1254"/>
      <c r="M3299" s="1244"/>
      <c r="N3299" s="1275"/>
      <c r="O3299" s="1275"/>
      <c r="P3299" s="1244"/>
      <c r="Q3299" s="1244"/>
      <c r="R3299" s="1244"/>
      <c r="S3299" s="1265"/>
      <c r="T3299" s="1244"/>
      <c r="U3299" s="1244"/>
    </row>
    <row r="3300">
      <c r="A3300" s="1235"/>
      <c r="B3300" s="1235"/>
      <c r="C3300" s="1246"/>
      <c r="D3300" s="1274"/>
      <c r="E3300" s="1248"/>
      <c r="F3300" s="1248"/>
      <c r="G3300" s="1271"/>
      <c r="H3300" s="1250"/>
      <c r="I3300" s="1251"/>
      <c r="J3300" s="1271"/>
      <c r="K3300" s="1271"/>
      <c r="L3300" s="1254"/>
      <c r="M3300" s="1244"/>
      <c r="N3300" s="1275"/>
      <c r="O3300" s="1275"/>
      <c r="P3300" s="1244"/>
      <c r="Q3300" s="1244"/>
      <c r="R3300" s="1244"/>
      <c r="S3300" s="1265"/>
      <c r="T3300" s="1244"/>
      <c r="U3300" s="1244"/>
    </row>
    <row r="3301">
      <c r="A3301" s="1235"/>
      <c r="B3301" s="1235"/>
      <c r="C3301" s="1246"/>
      <c r="D3301" s="1274"/>
      <c r="E3301" s="1248"/>
      <c r="F3301" s="1248"/>
      <c r="G3301" s="1271"/>
      <c r="H3301" s="1250"/>
      <c r="I3301" s="1251"/>
      <c r="J3301" s="1271"/>
      <c r="K3301" s="1271"/>
      <c r="L3301" s="1254"/>
      <c r="M3301" s="1244"/>
      <c r="N3301" s="1275"/>
      <c r="O3301" s="1275"/>
      <c r="P3301" s="1244"/>
      <c r="Q3301" s="1244"/>
      <c r="R3301" s="1244"/>
      <c r="S3301" s="1265"/>
      <c r="T3301" s="1244"/>
      <c r="U3301" s="1244"/>
    </row>
    <row r="3302">
      <c r="A3302" s="1235"/>
      <c r="B3302" s="1235"/>
      <c r="C3302" s="1246"/>
      <c r="D3302" s="1274"/>
      <c r="E3302" s="1248"/>
      <c r="F3302" s="1248"/>
      <c r="G3302" s="1271"/>
      <c r="H3302" s="1250"/>
      <c r="I3302" s="1251"/>
      <c r="J3302" s="1271"/>
      <c r="K3302" s="1271"/>
      <c r="L3302" s="1254"/>
      <c r="M3302" s="1244"/>
      <c r="N3302" s="1275"/>
      <c r="O3302" s="1275"/>
      <c r="P3302" s="1244"/>
      <c r="Q3302" s="1244"/>
      <c r="R3302" s="1244"/>
      <c r="S3302" s="1265"/>
      <c r="T3302" s="1244"/>
      <c r="U3302" s="1244"/>
    </row>
    <row r="3303">
      <c r="A3303" s="1235"/>
      <c r="B3303" s="1235"/>
      <c r="C3303" s="1246"/>
      <c r="D3303" s="1274"/>
      <c r="E3303" s="1248"/>
      <c r="F3303" s="1248"/>
      <c r="G3303" s="1271"/>
      <c r="H3303" s="1250"/>
      <c r="I3303" s="1251"/>
      <c r="J3303" s="1271"/>
      <c r="K3303" s="1271"/>
      <c r="L3303" s="1254"/>
      <c r="M3303" s="1244"/>
      <c r="N3303" s="1275"/>
      <c r="O3303" s="1275"/>
      <c r="P3303" s="1244"/>
      <c r="Q3303" s="1244"/>
      <c r="R3303" s="1244"/>
      <c r="S3303" s="1265"/>
      <c r="T3303" s="1244"/>
      <c r="U3303" s="1244"/>
    </row>
    <row r="3304">
      <c r="A3304" s="1235"/>
      <c r="B3304" s="1235"/>
      <c r="C3304" s="1246"/>
      <c r="D3304" s="1274"/>
      <c r="E3304" s="1248"/>
      <c r="F3304" s="1248"/>
      <c r="G3304" s="1271"/>
      <c r="H3304" s="1250"/>
      <c r="I3304" s="1251"/>
      <c r="J3304" s="1271"/>
      <c r="K3304" s="1271"/>
      <c r="L3304" s="1254"/>
      <c r="M3304" s="1244"/>
      <c r="N3304" s="1275"/>
      <c r="O3304" s="1275"/>
      <c r="P3304" s="1244"/>
      <c r="Q3304" s="1244"/>
      <c r="R3304" s="1244"/>
      <c r="S3304" s="1265"/>
      <c r="T3304" s="1244"/>
      <c r="U3304" s="1244"/>
    </row>
    <row r="3305">
      <c r="A3305" s="1235"/>
      <c r="B3305" s="1235"/>
      <c r="C3305" s="1246"/>
      <c r="D3305" s="1274"/>
      <c r="E3305" s="1248"/>
      <c r="F3305" s="1248"/>
      <c r="G3305" s="1271"/>
      <c r="H3305" s="1250"/>
      <c r="I3305" s="1251"/>
      <c r="J3305" s="1271"/>
      <c r="K3305" s="1271"/>
      <c r="L3305" s="1254"/>
      <c r="M3305" s="1244"/>
      <c r="N3305" s="1275"/>
      <c r="O3305" s="1275"/>
      <c r="P3305" s="1244"/>
      <c r="Q3305" s="1244"/>
      <c r="R3305" s="1244"/>
      <c r="S3305" s="1265"/>
      <c r="T3305" s="1244"/>
      <c r="U3305" s="1244"/>
    </row>
    <row r="3306">
      <c r="A3306" s="1235"/>
      <c r="B3306" s="1235"/>
      <c r="C3306" s="1246"/>
      <c r="D3306" s="1274"/>
      <c r="E3306" s="1248"/>
      <c r="F3306" s="1248"/>
      <c r="G3306" s="1271"/>
      <c r="H3306" s="1250"/>
      <c r="I3306" s="1251"/>
      <c r="J3306" s="1271"/>
      <c r="K3306" s="1271"/>
      <c r="L3306" s="1254"/>
      <c r="M3306" s="1244"/>
      <c r="N3306" s="1275"/>
      <c r="O3306" s="1275"/>
      <c r="P3306" s="1244"/>
      <c r="Q3306" s="1244"/>
      <c r="R3306" s="1244"/>
      <c r="S3306" s="1265"/>
      <c r="T3306" s="1244"/>
      <c r="U3306" s="1244"/>
    </row>
    <row r="3307">
      <c r="A3307" s="1235"/>
      <c r="B3307" s="1235"/>
      <c r="C3307" s="1246"/>
      <c r="D3307" s="1274"/>
      <c r="E3307" s="1248"/>
      <c r="F3307" s="1248"/>
      <c r="G3307" s="1271"/>
      <c r="H3307" s="1250"/>
      <c r="I3307" s="1251"/>
      <c r="J3307" s="1271"/>
      <c r="K3307" s="1271"/>
      <c r="L3307" s="1254"/>
      <c r="M3307" s="1244"/>
      <c r="N3307" s="1275"/>
      <c r="O3307" s="1275"/>
      <c r="P3307" s="1244"/>
      <c r="Q3307" s="1244"/>
      <c r="R3307" s="1244"/>
      <c r="S3307" s="1265"/>
      <c r="T3307" s="1244"/>
      <c r="U3307" s="1244"/>
    </row>
    <row r="3308">
      <c r="A3308" s="1235"/>
      <c r="B3308" s="1235"/>
      <c r="C3308" s="1246"/>
      <c r="D3308" s="1274"/>
      <c r="E3308" s="1248"/>
      <c r="F3308" s="1248"/>
      <c r="G3308" s="1271"/>
      <c r="H3308" s="1250"/>
      <c r="I3308" s="1251"/>
      <c r="J3308" s="1271"/>
      <c r="K3308" s="1271"/>
      <c r="L3308" s="1254"/>
      <c r="M3308" s="1244"/>
      <c r="N3308" s="1275"/>
      <c r="O3308" s="1275"/>
      <c r="P3308" s="1244"/>
      <c r="Q3308" s="1244"/>
      <c r="R3308" s="1244"/>
      <c r="S3308" s="1265"/>
      <c r="T3308" s="1244"/>
      <c r="U3308" s="1244"/>
    </row>
    <row r="3309">
      <c r="A3309" s="1235"/>
      <c r="B3309" s="1235"/>
      <c r="C3309" s="1246"/>
      <c r="D3309" s="1274"/>
      <c r="E3309" s="1248"/>
      <c r="F3309" s="1248"/>
      <c r="G3309" s="1271"/>
      <c r="H3309" s="1250"/>
      <c r="I3309" s="1251"/>
      <c r="J3309" s="1271"/>
      <c r="K3309" s="1271"/>
      <c r="L3309" s="1254"/>
      <c r="M3309" s="1244"/>
      <c r="N3309" s="1275"/>
      <c r="O3309" s="1275"/>
      <c r="P3309" s="1244"/>
      <c r="Q3309" s="1244"/>
      <c r="R3309" s="1244"/>
      <c r="S3309" s="1265"/>
      <c r="T3309" s="1244"/>
      <c r="U3309" s="1244"/>
    </row>
    <row r="3310">
      <c r="A3310" s="1235"/>
      <c r="B3310" s="1235"/>
      <c r="C3310" s="1246"/>
      <c r="D3310" s="1274"/>
      <c r="E3310" s="1248"/>
      <c r="F3310" s="1248"/>
      <c r="G3310" s="1271"/>
      <c r="H3310" s="1250"/>
      <c r="I3310" s="1251"/>
      <c r="J3310" s="1271"/>
      <c r="K3310" s="1271"/>
      <c r="L3310" s="1254"/>
      <c r="M3310" s="1244"/>
      <c r="N3310" s="1275"/>
      <c r="O3310" s="1275"/>
      <c r="P3310" s="1244"/>
      <c r="Q3310" s="1244"/>
      <c r="R3310" s="1244"/>
      <c r="S3310" s="1265"/>
      <c r="T3310" s="1244"/>
      <c r="U3310" s="1244"/>
    </row>
    <row r="3311">
      <c r="A3311" s="1235"/>
      <c r="B3311" s="1235"/>
      <c r="C3311" s="1246"/>
      <c r="D3311" s="1274"/>
      <c r="E3311" s="1248"/>
      <c r="F3311" s="1248"/>
      <c r="G3311" s="1271"/>
      <c r="H3311" s="1250"/>
      <c r="I3311" s="1251"/>
      <c r="J3311" s="1271"/>
      <c r="K3311" s="1271"/>
      <c r="L3311" s="1254"/>
      <c r="M3311" s="1244"/>
      <c r="N3311" s="1275"/>
      <c r="O3311" s="1275"/>
      <c r="P3311" s="1244"/>
      <c r="Q3311" s="1244"/>
      <c r="R3311" s="1244"/>
      <c r="S3311" s="1265"/>
      <c r="T3311" s="1244"/>
      <c r="U3311" s="1244"/>
    </row>
    <row r="3312">
      <c r="A3312" s="1235"/>
      <c r="B3312" s="1235"/>
      <c r="C3312" s="1246"/>
      <c r="D3312" s="1274"/>
      <c r="E3312" s="1248"/>
      <c r="F3312" s="1248"/>
      <c r="G3312" s="1271"/>
      <c r="H3312" s="1250"/>
      <c r="I3312" s="1251"/>
      <c r="J3312" s="1271"/>
      <c r="K3312" s="1271"/>
      <c r="L3312" s="1254"/>
      <c r="M3312" s="1244"/>
      <c r="N3312" s="1275"/>
      <c r="O3312" s="1275"/>
      <c r="P3312" s="1244"/>
      <c r="Q3312" s="1244"/>
      <c r="R3312" s="1244"/>
      <c r="S3312" s="1265"/>
      <c r="T3312" s="1244"/>
      <c r="U3312" s="1244"/>
    </row>
    <row r="3313">
      <c r="A3313" s="1235"/>
      <c r="B3313" s="1235"/>
      <c r="C3313" s="1246"/>
      <c r="D3313" s="1274"/>
      <c r="E3313" s="1248"/>
      <c r="F3313" s="1248"/>
      <c r="G3313" s="1271"/>
      <c r="H3313" s="1250"/>
      <c r="I3313" s="1251"/>
      <c r="J3313" s="1271"/>
      <c r="K3313" s="1271"/>
      <c r="L3313" s="1254"/>
      <c r="M3313" s="1244"/>
      <c r="N3313" s="1275"/>
      <c r="O3313" s="1275"/>
      <c r="P3313" s="1244"/>
      <c r="Q3313" s="1244"/>
      <c r="R3313" s="1244"/>
      <c r="S3313" s="1265"/>
      <c r="T3313" s="1244"/>
      <c r="U3313" s="1244"/>
    </row>
    <row r="3314">
      <c r="A3314" s="1235"/>
      <c r="B3314" s="1235"/>
      <c r="C3314" s="1246"/>
      <c r="D3314" s="1274"/>
      <c r="E3314" s="1248"/>
      <c r="F3314" s="1248"/>
      <c r="G3314" s="1271"/>
      <c r="H3314" s="1250"/>
      <c r="I3314" s="1251"/>
      <c r="J3314" s="1271"/>
      <c r="K3314" s="1271"/>
      <c r="L3314" s="1254"/>
      <c r="M3314" s="1244"/>
      <c r="N3314" s="1275"/>
      <c r="O3314" s="1275"/>
      <c r="P3314" s="1244"/>
      <c r="Q3314" s="1244"/>
      <c r="R3314" s="1244"/>
      <c r="S3314" s="1265"/>
      <c r="T3314" s="1244"/>
      <c r="U3314" s="1244"/>
    </row>
    <row r="3315">
      <c r="A3315" s="1235"/>
      <c r="B3315" s="1235"/>
      <c r="C3315" s="1246"/>
      <c r="D3315" s="1274"/>
      <c r="E3315" s="1248"/>
      <c r="F3315" s="1248"/>
      <c r="G3315" s="1271"/>
      <c r="H3315" s="1250"/>
      <c r="I3315" s="1251"/>
      <c r="J3315" s="1271"/>
      <c r="K3315" s="1271"/>
      <c r="L3315" s="1254"/>
      <c r="M3315" s="1244"/>
      <c r="N3315" s="1275"/>
      <c r="O3315" s="1275"/>
      <c r="P3315" s="1244"/>
      <c r="Q3315" s="1244"/>
      <c r="R3315" s="1244"/>
      <c r="S3315" s="1265"/>
      <c r="T3315" s="1244"/>
      <c r="U3315" s="1244"/>
    </row>
    <row r="3316">
      <c r="A3316" s="1235"/>
      <c r="B3316" s="1235"/>
      <c r="C3316" s="1246"/>
      <c r="D3316" s="1274"/>
      <c r="E3316" s="1248"/>
      <c r="F3316" s="1248"/>
      <c r="G3316" s="1271"/>
      <c r="H3316" s="1250"/>
      <c r="I3316" s="1251"/>
      <c r="J3316" s="1271"/>
      <c r="K3316" s="1271"/>
      <c r="L3316" s="1254"/>
      <c r="M3316" s="1244"/>
      <c r="N3316" s="1275"/>
      <c r="O3316" s="1275"/>
      <c r="P3316" s="1244"/>
      <c r="Q3316" s="1244"/>
      <c r="R3316" s="1244"/>
      <c r="S3316" s="1265"/>
      <c r="T3316" s="1244"/>
      <c r="U3316" s="1244"/>
    </row>
    <row r="3317">
      <c r="A3317" s="1235"/>
      <c r="B3317" s="1235"/>
      <c r="C3317" s="1246"/>
      <c r="D3317" s="1274"/>
      <c r="E3317" s="1248"/>
      <c r="F3317" s="1248"/>
      <c r="G3317" s="1271"/>
      <c r="H3317" s="1250"/>
      <c r="I3317" s="1251"/>
      <c r="J3317" s="1271"/>
      <c r="K3317" s="1271"/>
      <c r="L3317" s="1254"/>
      <c r="M3317" s="1244"/>
      <c r="N3317" s="1275"/>
      <c r="O3317" s="1275"/>
      <c r="P3317" s="1244"/>
      <c r="Q3317" s="1244"/>
      <c r="R3317" s="1244"/>
      <c r="S3317" s="1265"/>
      <c r="T3317" s="1244"/>
      <c r="U3317" s="1244"/>
    </row>
    <row r="3318">
      <c r="A3318" s="1235"/>
      <c r="B3318" s="1235"/>
      <c r="C3318" s="1246"/>
      <c r="D3318" s="1274"/>
      <c r="E3318" s="1248"/>
      <c r="F3318" s="1248"/>
      <c r="G3318" s="1271"/>
      <c r="H3318" s="1250"/>
      <c r="I3318" s="1251"/>
      <c r="J3318" s="1271"/>
      <c r="K3318" s="1271"/>
      <c r="L3318" s="1254"/>
      <c r="M3318" s="1244"/>
      <c r="N3318" s="1275"/>
      <c r="O3318" s="1275"/>
      <c r="P3318" s="1244"/>
      <c r="Q3318" s="1244"/>
      <c r="R3318" s="1244"/>
      <c r="S3318" s="1265"/>
      <c r="T3318" s="1244"/>
      <c r="U3318" s="1244"/>
    </row>
    <row r="3319">
      <c r="A3319" s="1235"/>
      <c r="B3319" s="1235"/>
      <c r="C3319" s="1246"/>
      <c r="D3319" s="1274"/>
      <c r="E3319" s="1248"/>
      <c r="F3319" s="1248"/>
      <c r="G3319" s="1271"/>
      <c r="H3319" s="1250"/>
      <c r="I3319" s="1251"/>
      <c r="J3319" s="1271"/>
      <c r="K3319" s="1271"/>
      <c r="L3319" s="1254"/>
      <c r="M3319" s="1244"/>
      <c r="N3319" s="1275"/>
      <c r="O3319" s="1275"/>
      <c r="P3319" s="1244"/>
      <c r="Q3319" s="1244"/>
      <c r="R3319" s="1244"/>
      <c r="S3319" s="1265"/>
      <c r="T3319" s="1244"/>
      <c r="U3319" s="1244"/>
    </row>
    <row r="3320">
      <c r="A3320" s="1235"/>
      <c r="B3320" s="1235"/>
      <c r="C3320" s="1246"/>
      <c r="D3320" s="1274"/>
      <c r="E3320" s="1248"/>
      <c r="F3320" s="1248"/>
      <c r="G3320" s="1271"/>
      <c r="H3320" s="1250"/>
      <c r="I3320" s="1251"/>
      <c r="J3320" s="1271"/>
      <c r="K3320" s="1271"/>
      <c r="L3320" s="1254"/>
      <c r="M3320" s="1244"/>
      <c r="N3320" s="1275"/>
      <c r="O3320" s="1275"/>
      <c r="P3320" s="1244"/>
      <c r="Q3320" s="1244"/>
      <c r="R3320" s="1244"/>
      <c r="S3320" s="1265"/>
      <c r="T3320" s="1244"/>
      <c r="U3320" s="1244"/>
    </row>
    <row r="3321">
      <c r="A3321" s="1235"/>
      <c r="B3321" s="1235"/>
      <c r="C3321" s="1246"/>
      <c r="D3321" s="1274"/>
      <c r="E3321" s="1248"/>
      <c r="F3321" s="1248"/>
      <c r="G3321" s="1271"/>
      <c r="H3321" s="1250"/>
      <c r="I3321" s="1251"/>
      <c r="J3321" s="1271"/>
      <c r="K3321" s="1271"/>
      <c r="L3321" s="1254"/>
      <c r="M3321" s="1244"/>
      <c r="N3321" s="1275"/>
      <c r="O3321" s="1275"/>
      <c r="P3321" s="1244"/>
      <c r="Q3321" s="1244"/>
      <c r="R3321" s="1244"/>
      <c r="S3321" s="1265"/>
      <c r="T3321" s="1244"/>
      <c r="U3321" s="1244"/>
    </row>
    <row r="3322">
      <c r="A3322" s="1235"/>
      <c r="B3322" s="1235"/>
      <c r="C3322" s="1246"/>
      <c r="D3322" s="1274"/>
      <c r="E3322" s="1248"/>
      <c r="F3322" s="1248"/>
      <c r="G3322" s="1271"/>
      <c r="H3322" s="1250"/>
      <c r="I3322" s="1251"/>
      <c r="J3322" s="1271"/>
      <c r="K3322" s="1271"/>
      <c r="L3322" s="1254"/>
      <c r="M3322" s="1244"/>
      <c r="N3322" s="1275"/>
      <c r="O3322" s="1275"/>
      <c r="P3322" s="1244"/>
      <c r="Q3322" s="1244"/>
      <c r="R3322" s="1244"/>
      <c r="S3322" s="1265"/>
      <c r="T3322" s="1244"/>
      <c r="U3322" s="1244"/>
    </row>
    <row r="3323">
      <c r="A3323" s="1235"/>
      <c r="B3323" s="1235"/>
      <c r="C3323" s="1246"/>
      <c r="D3323" s="1274"/>
      <c r="E3323" s="1248"/>
      <c r="F3323" s="1248"/>
      <c r="G3323" s="1271"/>
      <c r="H3323" s="1250"/>
      <c r="I3323" s="1251"/>
      <c r="J3323" s="1271"/>
      <c r="K3323" s="1271"/>
      <c r="L3323" s="1254"/>
      <c r="M3323" s="1244"/>
      <c r="N3323" s="1275"/>
      <c r="O3323" s="1275"/>
      <c r="P3323" s="1244"/>
      <c r="Q3323" s="1244"/>
      <c r="R3323" s="1244"/>
      <c r="S3323" s="1265"/>
      <c r="T3323" s="1244"/>
      <c r="U3323" s="1244"/>
    </row>
    <row r="3324">
      <c r="A3324" s="1235"/>
      <c r="B3324" s="1235"/>
      <c r="C3324" s="1246"/>
      <c r="D3324" s="1274"/>
      <c r="E3324" s="1248"/>
      <c r="F3324" s="1248"/>
      <c r="G3324" s="1271"/>
      <c r="H3324" s="1250"/>
      <c r="I3324" s="1251"/>
      <c r="J3324" s="1271"/>
      <c r="K3324" s="1271"/>
      <c r="L3324" s="1254"/>
      <c r="M3324" s="1244"/>
      <c r="N3324" s="1275"/>
      <c r="O3324" s="1275"/>
      <c r="P3324" s="1244"/>
      <c r="Q3324" s="1244"/>
      <c r="R3324" s="1244"/>
      <c r="S3324" s="1265"/>
      <c r="T3324" s="1244"/>
      <c r="U3324" s="1244"/>
    </row>
    <row r="3325">
      <c r="A3325" s="1235"/>
      <c r="B3325" s="1235"/>
      <c r="C3325" s="1246"/>
      <c r="D3325" s="1274"/>
      <c r="E3325" s="1248"/>
      <c r="F3325" s="1248"/>
      <c r="G3325" s="1271"/>
      <c r="H3325" s="1250"/>
      <c r="I3325" s="1251"/>
      <c r="J3325" s="1271"/>
      <c r="K3325" s="1271"/>
      <c r="L3325" s="1254"/>
      <c r="M3325" s="1244"/>
      <c r="N3325" s="1275"/>
      <c r="O3325" s="1275"/>
      <c r="P3325" s="1244"/>
      <c r="Q3325" s="1244"/>
      <c r="R3325" s="1244"/>
      <c r="S3325" s="1265"/>
      <c r="T3325" s="1244"/>
      <c r="U3325" s="1244"/>
    </row>
    <row r="3326">
      <c r="A3326" s="1235"/>
      <c r="B3326" s="1235"/>
      <c r="C3326" s="1246"/>
      <c r="D3326" s="1274"/>
      <c r="E3326" s="1248"/>
      <c r="F3326" s="1248"/>
      <c r="G3326" s="1271"/>
      <c r="H3326" s="1250"/>
      <c r="I3326" s="1251"/>
      <c r="J3326" s="1271"/>
      <c r="K3326" s="1271"/>
      <c r="L3326" s="1254"/>
      <c r="M3326" s="1244"/>
      <c r="N3326" s="1275"/>
      <c r="O3326" s="1275"/>
      <c r="P3326" s="1244"/>
      <c r="Q3326" s="1244"/>
      <c r="R3326" s="1244"/>
      <c r="S3326" s="1265"/>
      <c r="T3326" s="1244"/>
      <c r="U3326" s="1244"/>
    </row>
    <row r="3327">
      <c r="A3327" s="1235"/>
      <c r="B3327" s="1235"/>
      <c r="C3327" s="1246"/>
      <c r="D3327" s="1274"/>
      <c r="E3327" s="1248"/>
      <c r="F3327" s="1248"/>
      <c r="G3327" s="1271"/>
      <c r="H3327" s="1250"/>
      <c r="I3327" s="1251"/>
      <c r="J3327" s="1271"/>
      <c r="K3327" s="1271"/>
      <c r="L3327" s="1254"/>
      <c r="M3327" s="1244"/>
      <c r="N3327" s="1275"/>
      <c r="O3327" s="1275"/>
      <c r="P3327" s="1244"/>
      <c r="Q3327" s="1244"/>
      <c r="R3327" s="1244"/>
      <c r="S3327" s="1265"/>
      <c r="T3327" s="1244"/>
      <c r="U3327" s="1244"/>
    </row>
    <row r="3328">
      <c r="A3328" s="1235"/>
      <c r="B3328" s="1235"/>
      <c r="C3328" s="1246"/>
      <c r="D3328" s="1274"/>
      <c r="E3328" s="1248"/>
      <c r="F3328" s="1248"/>
      <c r="G3328" s="1271"/>
      <c r="H3328" s="1250"/>
      <c r="I3328" s="1251"/>
      <c r="J3328" s="1271"/>
      <c r="K3328" s="1271"/>
      <c r="L3328" s="1254"/>
      <c r="M3328" s="1244"/>
      <c r="N3328" s="1275"/>
      <c r="O3328" s="1275"/>
      <c r="P3328" s="1244"/>
      <c r="Q3328" s="1244"/>
      <c r="R3328" s="1244"/>
      <c r="S3328" s="1265"/>
      <c r="T3328" s="1244"/>
      <c r="U3328" s="1244"/>
    </row>
    <row r="3329">
      <c r="A3329" s="1235"/>
      <c r="B3329" s="1235"/>
      <c r="C3329" s="1246"/>
      <c r="D3329" s="1274"/>
      <c r="E3329" s="1248"/>
      <c r="F3329" s="1248"/>
      <c r="G3329" s="1271"/>
      <c r="H3329" s="1250"/>
      <c r="I3329" s="1251"/>
      <c r="J3329" s="1271"/>
      <c r="K3329" s="1271"/>
      <c r="L3329" s="1254"/>
      <c r="M3329" s="1244"/>
      <c r="N3329" s="1275"/>
      <c r="O3329" s="1275"/>
      <c r="P3329" s="1244"/>
      <c r="Q3329" s="1244"/>
      <c r="R3329" s="1244"/>
      <c r="S3329" s="1265"/>
      <c r="T3329" s="1244"/>
      <c r="U3329" s="1244"/>
    </row>
    <row r="3330">
      <c r="A3330" s="1235"/>
      <c r="B3330" s="1235"/>
      <c r="C3330" s="1246"/>
      <c r="D3330" s="1274"/>
      <c r="E3330" s="1248"/>
      <c r="F3330" s="1248"/>
      <c r="G3330" s="1271"/>
      <c r="H3330" s="1250"/>
      <c r="I3330" s="1251"/>
      <c r="J3330" s="1271"/>
      <c r="K3330" s="1271"/>
      <c r="L3330" s="1254"/>
      <c r="M3330" s="1244"/>
      <c r="N3330" s="1275"/>
      <c r="O3330" s="1275"/>
      <c r="P3330" s="1244"/>
      <c r="Q3330" s="1244"/>
      <c r="R3330" s="1244"/>
      <c r="S3330" s="1265"/>
      <c r="T3330" s="1244"/>
      <c r="U3330" s="1244"/>
    </row>
    <row r="3331">
      <c r="A3331" s="1235"/>
      <c r="B3331" s="1235"/>
      <c r="C3331" s="1246"/>
      <c r="D3331" s="1274"/>
      <c r="E3331" s="1248"/>
      <c r="F3331" s="1248"/>
      <c r="G3331" s="1271"/>
      <c r="H3331" s="1250"/>
      <c r="I3331" s="1251"/>
      <c r="J3331" s="1271"/>
      <c r="K3331" s="1271"/>
      <c r="L3331" s="1254"/>
      <c r="M3331" s="1244"/>
      <c r="N3331" s="1275"/>
      <c r="O3331" s="1275"/>
      <c r="P3331" s="1244"/>
      <c r="Q3331" s="1244"/>
      <c r="R3331" s="1244"/>
      <c r="S3331" s="1265"/>
      <c r="T3331" s="1244"/>
      <c r="U3331" s="1244"/>
    </row>
    <row r="3332">
      <c r="A3332" s="1235"/>
      <c r="B3332" s="1235"/>
      <c r="C3332" s="1246"/>
      <c r="D3332" s="1274"/>
      <c r="E3332" s="1248"/>
      <c r="F3332" s="1248"/>
      <c r="G3332" s="1271"/>
      <c r="H3332" s="1250"/>
      <c r="I3332" s="1251"/>
      <c r="J3332" s="1271"/>
      <c r="K3332" s="1271"/>
      <c r="L3332" s="1254"/>
      <c r="M3332" s="1244"/>
      <c r="N3332" s="1275"/>
      <c r="O3332" s="1275"/>
      <c r="P3332" s="1244"/>
      <c r="Q3332" s="1244"/>
      <c r="R3332" s="1244"/>
      <c r="S3332" s="1265"/>
      <c r="T3332" s="1244"/>
      <c r="U3332" s="1244"/>
    </row>
    <row r="3333">
      <c r="A3333" s="1235"/>
      <c r="B3333" s="1235"/>
      <c r="C3333" s="1246"/>
      <c r="D3333" s="1274"/>
      <c r="E3333" s="1248"/>
      <c r="F3333" s="1248"/>
      <c r="G3333" s="1271"/>
      <c r="H3333" s="1250"/>
      <c r="I3333" s="1251"/>
      <c r="J3333" s="1271"/>
      <c r="K3333" s="1271"/>
      <c r="L3333" s="1254"/>
      <c r="M3333" s="1244"/>
      <c r="N3333" s="1275"/>
      <c r="O3333" s="1275"/>
      <c r="P3333" s="1244"/>
      <c r="Q3333" s="1244"/>
      <c r="R3333" s="1244"/>
      <c r="S3333" s="1265"/>
      <c r="T3333" s="1244"/>
      <c r="U3333" s="1244"/>
    </row>
    <row r="3334">
      <c r="A3334" s="1235"/>
      <c r="B3334" s="1235"/>
      <c r="C3334" s="1246"/>
      <c r="D3334" s="1274"/>
      <c r="E3334" s="1248"/>
      <c r="F3334" s="1248"/>
      <c r="G3334" s="1271"/>
      <c r="H3334" s="1250"/>
      <c r="I3334" s="1251"/>
      <c r="J3334" s="1271"/>
      <c r="K3334" s="1271"/>
      <c r="L3334" s="1254"/>
      <c r="M3334" s="1244"/>
      <c r="N3334" s="1275"/>
      <c r="O3334" s="1275"/>
      <c r="P3334" s="1244"/>
      <c r="Q3334" s="1244"/>
      <c r="R3334" s="1244"/>
      <c r="S3334" s="1265"/>
      <c r="T3334" s="1244"/>
      <c r="U3334" s="1244"/>
    </row>
    <row r="3335">
      <c r="A3335" s="1235"/>
      <c r="B3335" s="1235"/>
      <c r="C3335" s="1246"/>
      <c r="D3335" s="1274"/>
      <c r="E3335" s="1248"/>
      <c r="F3335" s="1248"/>
      <c r="G3335" s="1271"/>
      <c r="H3335" s="1250"/>
      <c r="I3335" s="1251"/>
      <c r="J3335" s="1271"/>
      <c r="K3335" s="1271"/>
      <c r="L3335" s="1254"/>
      <c r="M3335" s="1244"/>
      <c r="N3335" s="1275"/>
      <c r="O3335" s="1275"/>
      <c r="P3335" s="1244"/>
      <c r="Q3335" s="1244"/>
      <c r="R3335" s="1244"/>
      <c r="S3335" s="1265"/>
      <c r="T3335" s="1244"/>
      <c r="U3335" s="1244"/>
    </row>
    <row r="3336">
      <c r="A3336" s="1235"/>
      <c r="B3336" s="1235"/>
      <c r="C3336" s="1246"/>
      <c r="D3336" s="1274"/>
      <c r="E3336" s="1248"/>
      <c r="F3336" s="1248"/>
      <c r="G3336" s="1271"/>
      <c r="H3336" s="1250"/>
      <c r="I3336" s="1251"/>
      <c r="J3336" s="1271"/>
      <c r="K3336" s="1271"/>
      <c r="L3336" s="1254"/>
      <c r="M3336" s="1244"/>
      <c r="N3336" s="1275"/>
      <c r="O3336" s="1275"/>
      <c r="P3336" s="1244"/>
      <c r="Q3336" s="1244"/>
      <c r="R3336" s="1244"/>
      <c r="S3336" s="1265"/>
      <c r="T3336" s="1244"/>
      <c r="U3336" s="1244"/>
    </row>
    <row r="3337">
      <c r="A3337" s="1235"/>
      <c r="B3337" s="1235"/>
      <c r="C3337" s="1246"/>
      <c r="D3337" s="1274"/>
      <c r="E3337" s="1248"/>
      <c r="F3337" s="1248"/>
      <c r="G3337" s="1271"/>
      <c r="H3337" s="1250"/>
      <c r="I3337" s="1251"/>
      <c r="J3337" s="1271"/>
      <c r="K3337" s="1271"/>
      <c r="L3337" s="1254"/>
      <c r="M3337" s="1244"/>
      <c r="N3337" s="1275"/>
      <c r="O3337" s="1275"/>
      <c r="P3337" s="1244"/>
      <c r="Q3337" s="1244"/>
      <c r="R3337" s="1244"/>
      <c r="S3337" s="1265"/>
      <c r="T3337" s="1244"/>
      <c r="U3337" s="1244"/>
    </row>
    <row r="3338">
      <c r="A3338" s="1235"/>
      <c r="B3338" s="1235"/>
      <c r="C3338" s="1246"/>
      <c r="D3338" s="1274"/>
      <c r="E3338" s="1248"/>
      <c r="F3338" s="1248"/>
      <c r="G3338" s="1271"/>
      <c r="H3338" s="1250"/>
      <c r="I3338" s="1251"/>
      <c r="J3338" s="1271"/>
      <c r="K3338" s="1271"/>
      <c r="L3338" s="1254"/>
      <c r="M3338" s="1244"/>
      <c r="N3338" s="1275"/>
      <c r="O3338" s="1275"/>
      <c r="P3338" s="1244"/>
      <c r="Q3338" s="1244"/>
      <c r="R3338" s="1244"/>
      <c r="S3338" s="1265"/>
      <c r="T3338" s="1244"/>
      <c r="U3338" s="1244"/>
    </row>
    <row r="3339">
      <c r="A3339" s="1235"/>
      <c r="B3339" s="1235"/>
      <c r="C3339" s="1246"/>
      <c r="D3339" s="1274"/>
      <c r="E3339" s="1248"/>
      <c r="F3339" s="1248"/>
      <c r="G3339" s="1271"/>
      <c r="H3339" s="1250"/>
      <c r="I3339" s="1251"/>
      <c r="J3339" s="1271"/>
      <c r="K3339" s="1271"/>
      <c r="L3339" s="1254"/>
      <c r="M3339" s="1244"/>
      <c r="N3339" s="1275"/>
      <c r="O3339" s="1275"/>
      <c r="P3339" s="1244"/>
      <c r="Q3339" s="1244"/>
      <c r="R3339" s="1244"/>
      <c r="S3339" s="1265"/>
      <c r="T3339" s="1244"/>
      <c r="U3339" s="1244"/>
    </row>
    <row r="3340">
      <c r="A3340" s="1235"/>
      <c r="B3340" s="1235"/>
      <c r="C3340" s="1246"/>
      <c r="D3340" s="1274"/>
      <c r="E3340" s="1248"/>
      <c r="F3340" s="1248"/>
      <c r="G3340" s="1271"/>
      <c r="H3340" s="1250"/>
      <c r="I3340" s="1251"/>
      <c r="J3340" s="1271"/>
      <c r="K3340" s="1271"/>
      <c r="L3340" s="1254"/>
      <c r="M3340" s="1244"/>
      <c r="N3340" s="1275"/>
      <c r="O3340" s="1275"/>
      <c r="P3340" s="1244"/>
      <c r="Q3340" s="1244"/>
      <c r="R3340" s="1244"/>
      <c r="S3340" s="1265"/>
      <c r="T3340" s="1244"/>
      <c r="U3340" s="1244"/>
    </row>
    <row r="3341">
      <c r="A3341" s="1235"/>
      <c r="B3341" s="1235"/>
      <c r="C3341" s="1246"/>
      <c r="D3341" s="1274"/>
      <c r="E3341" s="1248"/>
      <c r="F3341" s="1248"/>
      <c r="G3341" s="1271"/>
      <c r="H3341" s="1250"/>
      <c r="I3341" s="1251"/>
      <c r="J3341" s="1271"/>
      <c r="K3341" s="1271"/>
      <c r="L3341" s="1254"/>
      <c r="M3341" s="1244"/>
      <c r="N3341" s="1275"/>
      <c r="O3341" s="1275"/>
      <c r="P3341" s="1244"/>
      <c r="Q3341" s="1244"/>
      <c r="R3341" s="1244"/>
      <c r="S3341" s="1265"/>
      <c r="T3341" s="1244"/>
      <c r="U3341" s="1244"/>
    </row>
    <row r="3342">
      <c r="A3342" s="1235"/>
      <c r="B3342" s="1235"/>
      <c r="C3342" s="1246"/>
      <c r="D3342" s="1274"/>
      <c r="E3342" s="1248"/>
      <c r="F3342" s="1248"/>
      <c r="G3342" s="1271"/>
      <c r="H3342" s="1250"/>
      <c r="I3342" s="1251"/>
      <c r="J3342" s="1271"/>
      <c r="K3342" s="1271"/>
      <c r="L3342" s="1254"/>
      <c r="M3342" s="1244"/>
      <c r="N3342" s="1275"/>
      <c r="O3342" s="1275"/>
      <c r="P3342" s="1244"/>
      <c r="Q3342" s="1244"/>
      <c r="R3342" s="1244"/>
      <c r="S3342" s="1265"/>
      <c r="T3342" s="1244"/>
      <c r="U3342" s="1244"/>
    </row>
    <row r="3343">
      <c r="A3343" s="1235"/>
      <c r="B3343" s="1235"/>
      <c r="C3343" s="1246"/>
      <c r="D3343" s="1274"/>
      <c r="E3343" s="1248"/>
      <c r="F3343" s="1248"/>
      <c r="G3343" s="1271"/>
      <c r="H3343" s="1250"/>
      <c r="I3343" s="1251"/>
      <c r="J3343" s="1271"/>
      <c r="K3343" s="1271"/>
      <c r="L3343" s="1254"/>
      <c r="M3343" s="1244"/>
      <c r="N3343" s="1275"/>
      <c r="O3343" s="1275"/>
      <c r="P3343" s="1244"/>
      <c r="Q3343" s="1244"/>
      <c r="R3343" s="1244"/>
      <c r="S3343" s="1265"/>
      <c r="T3343" s="1244"/>
      <c r="U3343" s="1244"/>
    </row>
    <row r="3344">
      <c r="A3344" s="1235"/>
      <c r="B3344" s="1235"/>
      <c r="C3344" s="1246"/>
      <c r="D3344" s="1274"/>
      <c r="E3344" s="1248"/>
      <c r="F3344" s="1248"/>
      <c r="G3344" s="1271"/>
      <c r="H3344" s="1250"/>
      <c r="I3344" s="1251"/>
      <c r="J3344" s="1271"/>
      <c r="K3344" s="1271"/>
      <c r="L3344" s="1254"/>
      <c r="M3344" s="1244"/>
      <c r="N3344" s="1275"/>
      <c r="O3344" s="1275"/>
      <c r="P3344" s="1244"/>
      <c r="Q3344" s="1244"/>
      <c r="R3344" s="1244"/>
      <c r="S3344" s="1265"/>
      <c r="T3344" s="1244"/>
      <c r="U3344" s="1244"/>
    </row>
    <row r="3345">
      <c r="A3345" s="1235"/>
      <c r="B3345" s="1235"/>
      <c r="C3345" s="1246"/>
      <c r="D3345" s="1274"/>
      <c r="E3345" s="1248"/>
      <c r="F3345" s="1248"/>
      <c r="G3345" s="1271"/>
      <c r="H3345" s="1250"/>
      <c r="I3345" s="1251"/>
      <c r="J3345" s="1271"/>
      <c r="K3345" s="1271"/>
      <c r="L3345" s="1254"/>
      <c r="M3345" s="1244"/>
      <c r="N3345" s="1275"/>
      <c r="O3345" s="1275"/>
      <c r="P3345" s="1244"/>
      <c r="Q3345" s="1244"/>
      <c r="R3345" s="1244"/>
      <c r="S3345" s="1265"/>
      <c r="T3345" s="1244"/>
      <c r="U3345" s="1244"/>
    </row>
    <row r="3346">
      <c r="A3346" s="1235"/>
      <c r="B3346" s="1235"/>
      <c r="C3346" s="1246"/>
      <c r="D3346" s="1274"/>
      <c r="E3346" s="1248"/>
      <c r="F3346" s="1248"/>
      <c r="G3346" s="1271"/>
      <c r="H3346" s="1250"/>
      <c r="I3346" s="1251"/>
      <c r="J3346" s="1271"/>
      <c r="K3346" s="1271"/>
      <c r="L3346" s="1254"/>
      <c r="M3346" s="1244"/>
      <c r="N3346" s="1275"/>
      <c r="O3346" s="1275"/>
      <c r="P3346" s="1244"/>
      <c r="Q3346" s="1244"/>
      <c r="R3346" s="1244"/>
      <c r="S3346" s="1265"/>
      <c r="T3346" s="1244"/>
      <c r="U3346" s="1244"/>
    </row>
    <row r="3347">
      <c r="A3347" s="1235"/>
      <c r="B3347" s="1235"/>
      <c r="C3347" s="1246"/>
      <c r="D3347" s="1274"/>
      <c r="E3347" s="1248"/>
      <c r="F3347" s="1248"/>
      <c r="G3347" s="1271"/>
      <c r="H3347" s="1250"/>
      <c r="I3347" s="1251"/>
      <c r="J3347" s="1271"/>
      <c r="K3347" s="1271"/>
      <c r="L3347" s="1254"/>
      <c r="M3347" s="1244"/>
      <c r="N3347" s="1275"/>
      <c r="O3347" s="1275"/>
      <c r="P3347" s="1244"/>
      <c r="Q3347" s="1244"/>
      <c r="R3347" s="1244"/>
      <c r="S3347" s="1265"/>
      <c r="T3347" s="1244"/>
      <c r="U3347" s="1244"/>
    </row>
    <row r="3348">
      <c r="A3348" s="1235"/>
      <c r="B3348" s="1235"/>
      <c r="C3348" s="1246"/>
      <c r="D3348" s="1274"/>
      <c r="E3348" s="1248"/>
      <c r="F3348" s="1248"/>
      <c r="G3348" s="1271"/>
      <c r="H3348" s="1250"/>
      <c r="I3348" s="1251"/>
      <c r="J3348" s="1271"/>
      <c r="K3348" s="1271"/>
      <c r="L3348" s="1254"/>
      <c r="M3348" s="1244"/>
      <c r="N3348" s="1275"/>
      <c r="O3348" s="1275"/>
      <c r="P3348" s="1244"/>
      <c r="Q3348" s="1244"/>
      <c r="R3348" s="1244"/>
      <c r="S3348" s="1265"/>
      <c r="T3348" s="1244"/>
      <c r="U3348" s="1244"/>
    </row>
    <row r="3349">
      <c r="A3349" s="1235"/>
      <c r="B3349" s="1235"/>
      <c r="C3349" s="1246"/>
      <c r="D3349" s="1274"/>
      <c r="E3349" s="1248"/>
      <c r="F3349" s="1248"/>
      <c r="G3349" s="1271"/>
      <c r="H3349" s="1250"/>
      <c r="I3349" s="1251"/>
      <c r="J3349" s="1271"/>
      <c r="K3349" s="1271"/>
      <c r="L3349" s="1254"/>
      <c r="M3349" s="1244"/>
      <c r="N3349" s="1275"/>
      <c r="O3349" s="1275"/>
      <c r="P3349" s="1244"/>
      <c r="Q3349" s="1244"/>
      <c r="R3349" s="1244"/>
      <c r="S3349" s="1265"/>
      <c r="T3349" s="1244"/>
      <c r="U3349" s="1244"/>
    </row>
    <row r="3350">
      <c r="A3350" s="1235"/>
      <c r="B3350" s="1235"/>
      <c r="C3350" s="1246"/>
      <c r="D3350" s="1274"/>
      <c r="E3350" s="1248"/>
      <c r="F3350" s="1248"/>
      <c r="G3350" s="1271"/>
      <c r="H3350" s="1250"/>
      <c r="I3350" s="1251"/>
      <c r="J3350" s="1271"/>
      <c r="K3350" s="1271"/>
      <c r="L3350" s="1254"/>
      <c r="M3350" s="1244"/>
      <c r="N3350" s="1275"/>
      <c r="O3350" s="1275"/>
      <c r="P3350" s="1244"/>
      <c r="Q3350" s="1244"/>
      <c r="R3350" s="1244"/>
      <c r="S3350" s="1265"/>
      <c r="T3350" s="1244"/>
      <c r="U3350" s="1244"/>
    </row>
    <row r="3351">
      <c r="A3351" s="1235"/>
      <c r="B3351" s="1235"/>
      <c r="C3351" s="1246"/>
      <c r="D3351" s="1274"/>
      <c r="E3351" s="1248"/>
      <c r="F3351" s="1248"/>
      <c r="G3351" s="1271"/>
      <c r="H3351" s="1250"/>
      <c r="I3351" s="1251"/>
      <c r="J3351" s="1271"/>
      <c r="K3351" s="1271"/>
      <c r="L3351" s="1254"/>
      <c r="M3351" s="1244"/>
      <c r="N3351" s="1275"/>
      <c r="O3351" s="1275"/>
      <c r="P3351" s="1244"/>
      <c r="Q3351" s="1244"/>
      <c r="R3351" s="1244"/>
      <c r="S3351" s="1265"/>
      <c r="T3351" s="1244"/>
      <c r="U3351" s="1244"/>
    </row>
    <row r="3352">
      <c r="A3352" s="1235"/>
      <c r="B3352" s="1235"/>
      <c r="C3352" s="1246"/>
      <c r="D3352" s="1274"/>
      <c r="E3352" s="1248"/>
      <c r="F3352" s="1248"/>
      <c r="G3352" s="1271"/>
      <c r="H3352" s="1250"/>
      <c r="I3352" s="1251"/>
      <c r="J3352" s="1271"/>
      <c r="K3352" s="1271"/>
      <c r="L3352" s="1254"/>
      <c r="M3352" s="1244"/>
      <c r="N3352" s="1275"/>
      <c r="O3352" s="1275"/>
      <c r="P3352" s="1244"/>
      <c r="Q3352" s="1244"/>
      <c r="R3352" s="1244"/>
      <c r="S3352" s="1265"/>
      <c r="T3352" s="1244"/>
      <c r="U3352" s="1244"/>
    </row>
    <row r="3353">
      <c r="A3353" s="1235"/>
      <c r="B3353" s="1235"/>
      <c r="C3353" s="1246"/>
      <c r="D3353" s="1274"/>
      <c r="E3353" s="1248"/>
      <c r="F3353" s="1248"/>
      <c r="G3353" s="1271"/>
      <c r="H3353" s="1250"/>
      <c r="I3353" s="1251"/>
      <c r="J3353" s="1271"/>
      <c r="K3353" s="1271"/>
      <c r="L3353" s="1254"/>
      <c r="M3353" s="1244"/>
      <c r="N3353" s="1275"/>
      <c r="O3353" s="1275"/>
      <c r="P3353" s="1244"/>
      <c r="Q3353" s="1244"/>
      <c r="R3353" s="1244"/>
      <c r="S3353" s="1265"/>
      <c r="T3353" s="1244"/>
      <c r="U3353" s="1244"/>
    </row>
    <row r="3354">
      <c r="A3354" s="1235"/>
      <c r="B3354" s="1235"/>
      <c r="C3354" s="1246"/>
      <c r="D3354" s="1274"/>
      <c r="E3354" s="1248"/>
      <c r="F3354" s="1248"/>
      <c r="G3354" s="1271"/>
      <c r="H3354" s="1250"/>
      <c r="I3354" s="1251"/>
      <c r="J3354" s="1271"/>
      <c r="K3354" s="1271"/>
      <c r="L3354" s="1254"/>
      <c r="M3354" s="1244"/>
      <c r="N3354" s="1275"/>
      <c r="O3354" s="1275"/>
      <c r="P3354" s="1244"/>
      <c r="Q3354" s="1244"/>
      <c r="R3354" s="1244"/>
      <c r="S3354" s="1265"/>
      <c r="T3354" s="1244"/>
      <c r="U3354" s="1244"/>
    </row>
    <row r="3355">
      <c r="A3355" s="1235"/>
      <c r="B3355" s="1235"/>
      <c r="C3355" s="1246"/>
      <c r="D3355" s="1274"/>
      <c r="E3355" s="1248"/>
      <c r="F3355" s="1248"/>
      <c r="G3355" s="1271"/>
      <c r="H3355" s="1250"/>
      <c r="I3355" s="1251"/>
      <c r="J3355" s="1271"/>
      <c r="K3355" s="1271"/>
      <c r="L3355" s="1254"/>
      <c r="M3355" s="1244"/>
      <c r="N3355" s="1275"/>
      <c r="O3355" s="1275"/>
      <c r="P3355" s="1244"/>
      <c r="Q3355" s="1244"/>
      <c r="R3355" s="1244"/>
      <c r="S3355" s="1265"/>
      <c r="T3355" s="1244"/>
      <c r="U3355" s="1244"/>
    </row>
    <row r="3356">
      <c r="A3356" s="1235"/>
      <c r="B3356" s="1235"/>
      <c r="C3356" s="1246"/>
      <c r="D3356" s="1274"/>
      <c r="E3356" s="1248"/>
      <c r="F3356" s="1248"/>
      <c r="G3356" s="1271"/>
      <c r="H3356" s="1250"/>
      <c r="I3356" s="1251"/>
      <c r="J3356" s="1271"/>
      <c r="K3356" s="1271"/>
      <c r="L3356" s="1254"/>
      <c r="M3356" s="1244"/>
      <c r="N3356" s="1275"/>
      <c r="O3356" s="1275"/>
      <c r="P3356" s="1244"/>
      <c r="Q3356" s="1244"/>
      <c r="R3356" s="1244"/>
      <c r="S3356" s="1265"/>
      <c r="T3356" s="1244"/>
      <c r="U3356" s="1244"/>
    </row>
    <row r="3357">
      <c r="A3357" s="1235"/>
      <c r="B3357" s="1235"/>
      <c r="C3357" s="1246"/>
      <c r="D3357" s="1274"/>
      <c r="E3357" s="1248"/>
      <c r="F3357" s="1248"/>
      <c r="G3357" s="1271"/>
      <c r="H3357" s="1250"/>
      <c r="I3357" s="1251"/>
      <c r="J3357" s="1271"/>
      <c r="K3357" s="1271"/>
      <c r="L3357" s="1254"/>
      <c r="M3357" s="1244"/>
      <c r="N3357" s="1275"/>
      <c r="O3357" s="1275"/>
      <c r="P3357" s="1244"/>
      <c r="Q3357" s="1244"/>
      <c r="R3357" s="1244"/>
      <c r="S3357" s="1265"/>
      <c r="T3357" s="1244"/>
      <c r="U3357" s="1244"/>
    </row>
    <row r="3358">
      <c r="A3358" s="1235"/>
      <c r="B3358" s="1235"/>
      <c r="C3358" s="1246"/>
      <c r="D3358" s="1274"/>
      <c r="E3358" s="1248"/>
      <c r="F3358" s="1248"/>
      <c r="G3358" s="1271"/>
      <c r="H3358" s="1250"/>
      <c r="I3358" s="1251"/>
      <c r="J3358" s="1271"/>
      <c r="K3358" s="1271"/>
      <c r="L3358" s="1254"/>
      <c r="M3358" s="1244"/>
      <c r="N3358" s="1275"/>
      <c r="O3358" s="1275"/>
      <c r="P3358" s="1244"/>
      <c r="Q3358" s="1244"/>
      <c r="R3358" s="1244"/>
      <c r="S3358" s="1265"/>
      <c r="T3358" s="1244"/>
      <c r="U3358" s="1244"/>
    </row>
    <row r="3359">
      <c r="A3359" s="1235"/>
      <c r="B3359" s="1235"/>
      <c r="C3359" s="1246"/>
      <c r="D3359" s="1274"/>
      <c r="E3359" s="1248"/>
      <c r="F3359" s="1248"/>
      <c r="G3359" s="1271"/>
      <c r="H3359" s="1250"/>
      <c r="I3359" s="1251"/>
      <c r="J3359" s="1271"/>
      <c r="K3359" s="1271"/>
      <c r="L3359" s="1254"/>
      <c r="M3359" s="1244"/>
      <c r="N3359" s="1275"/>
      <c r="O3359" s="1275"/>
      <c r="P3359" s="1244"/>
      <c r="Q3359" s="1244"/>
      <c r="R3359" s="1244"/>
      <c r="S3359" s="1265"/>
      <c r="T3359" s="1244"/>
      <c r="U3359" s="1244"/>
    </row>
    <row r="3360">
      <c r="A3360" s="1235"/>
      <c r="B3360" s="1235"/>
      <c r="C3360" s="1246"/>
      <c r="D3360" s="1274"/>
      <c r="E3360" s="1248"/>
      <c r="F3360" s="1248"/>
      <c r="G3360" s="1271"/>
      <c r="H3360" s="1250"/>
      <c r="I3360" s="1251"/>
      <c r="J3360" s="1271"/>
      <c r="K3360" s="1271"/>
      <c r="L3360" s="1254"/>
      <c r="M3360" s="1244"/>
      <c r="N3360" s="1275"/>
      <c r="O3360" s="1275"/>
      <c r="P3360" s="1244"/>
      <c r="Q3360" s="1244"/>
      <c r="R3360" s="1244"/>
      <c r="S3360" s="1265"/>
      <c r="T3360" s="1244"/>
      <c r="U3360" s="1244"/>
    </row>
    <row r="3361">
      <c r="A3361" s="1235"/>
      <c r="B3361" s="1235"/>
      <c r="C3361" s="1246"/>
      <c r="D3361" s="1274"/>
      <c r="E3361" s="1248"/>
      <c r="F3361" s="1248"/>
      <c r="G3361" s="1271"/>
      <c r="H3361" s="1250"/>
      <c r="I3361" s="1251"/>
      <c r="J3361" s="1271"/>
      <c r="K3361" s="1271"/>
      <c r="L3361" s="1254"/>
      <c r="M3361" s="1244"/>
      <c r="N3361" s="1275"/>
      <c r="O3361" s="1275"/>
      <c r="P3361" s="1244"/>
      <c r="Q3361" s="1244"/>
      <c r="R3361" s="1244"/>
      <c r="S3361" s="1265"/>
      <c r="T3361" s="1244"/>
      <c r="U3361" s="1244"/>
    </row>
    <row r="3362">
      <c r="A3362" s="1235"/>
      <c r="B3362" s="1235"/>
      <c r="C3362" s="1246"/>
      <c r="D3362" s="1274"/>
      <c r="E3362" s="1248"/>
      <c r="F3362" s="1248"/>
      <c r="G3362" s="1271"/>
      <c r="H3362" s="1250"/>
      <c r="I3362" s="1251"/>
      <c r="J3362" s="1271"/>
      <c r="K3362" s="1271"/>
      <c r="L3362" s="1254"/>
      <c r="M3362" s="1244"/>
      <c r="N3362" s="1275"/>
      <c r="O3362" s="1275"/>
      <c r="P3362" s="1244"/>
      <c r="Q3362" s="1244"/>
      <c r="R3362" s="1244"/>
      <c r="S3362" s="1265"/>
      <c r="T3362" s="1244"/>
      <c r="U3362" s="1244"/>
    </row>
    <row r="3363">
      <c r="A3363" s="1235"/>
      <c r="B3363" s="1235"/>
      <c r="C3363" s="1246"/>
      <c r="D3363" s="1274"/>
      <c r="E3363" s="1248"/>
      <c r="F3363" s="1248"/>
      <c r="G3363" s="1271"/>
      <c r="H3363" s="1250"/>
      <c r="I3363" s="1251"/>
      <c r="J3363" s="1271"/>
      <c r="K3363" s="1271"/>
      <c r="L3363" s="1254"/>
      <c r="M3363" s="1244"/>
      <c r="N3363" s="1275"/>
      <c r="O3363" s="1275"/>
      <c r="P3363" s="1244"/>
      <c r="Q3363" s="1244"/>
      <c r="R3363" s="1244"/>
      <c r="S3363" s="1265"/>
      <c r="T3363" s="1244"/>
      <c r="U3363" s="1244"/>
    </row>
    <row r="3364">
      <c r="A3364" s="1235"/>
      <c r="B3364" s="1235"/>
      <c r="C3364" s="1246"/>
      <c r="D3364" s="1274"/>
      <c r="E3364" s="1248"/>
      <c r="F3364" s="1248"/>
      <c r="G3364" s="1271"/>
      <c r="H3364" s="1250"/>
      <c r="I3364" s="1251"/>
      <c r="J3364" s="1271"/>
      <c r="K3364" s="1271"/>
      <c r="L3364" s="1254"/>
      <c r="M3364" s="1244"/>
      <c r="N3364" s="1275"/>
      <c r="O3364" s="1275"/>
      <c r="P3364" s="1244"/>
      <c r="Q3364" s="1244"/>
      <c r="R3364" s="1244"/>
      <c r="S3364" s="1265"/>
      <c r="T3364" s="1244"/>
      <c r="U3364" s="1244"/>
    </row>
    <row r="3365">
      <c r="A3365" s="1235"/>
      <c r="B3365" s="1235"/>
      <c r="C3365" s="1246"/>
      <c r="D3365" s="1274"/>
      <c r="E3365" s="1248"/>
      <c r="F3365" s="1248"/>
      <c r="G3365" s="1271"/>
      <c r="H3365" s="1250"/>
      <c r="I3365" s="1251"/>
      <c r="J3365" s="1271"/>
      <c r="K3365" s="1271"/>
      <c r="L3365" s="1254"/>
      <c r="M3365" s="1244"/>
      <c r="N3365" s="1275"/>
      <c r="O3365" s="1275"/>
      <c r="P3365" s="1244"/>
      <c r="Q3365" s="1244"/>
      <c r="R3365" s="1244"/>
      <c r="S3365" s="1265"/>
      <c r="T3365" s="1244"/>
      <c r="U3365" s="1244"/>
    </row>
    <row r="3366">
      <c r="A3366" s="1235"/>
      <c r="B3366" s="1235"/>
      <c r="C3366" s="1246"/>
      <c r="D3366" s="1274"/>
      <c r="E3366" s="1248"/>
      <c r="F3366" s="1248"/>
      <c r="G3366" s="1271"/>
      <c r="H3366" s="1250"/>
      <c r="I3366" s="1251"/>
      <c r="J3366" s="1271"/>
      <c r="K3366" s="1271"/>
      <c r="L3366" s="1254"/>
      <c r="M3366" s="1244"/>
      <c r="N3366" s="1275"/>
      <c r="O3366" s="1275"/>
      <c r="P3366" s="1244"/>
      <c r="Q3366" s="1244"/>
      <c r="R3366" s="1244"/>
      <c r="S3366" s="1265"/>
      <c r="T3366" s="1244"/>
      <c r="U3366" s="1244"/>
    </row>
    <row r="3367">
      <c r="A3367" s="1235"/>
      <c r="B3367" s="1235"/>
      <c r="C3367" s="1246"/>
      <c r="D3367" s="1274"/>
      <c r="E3367" s="1248"/>
      <c r="F3367" s="1248"/>
      <c r="G3367" s="1271"/>
      <c r="H3367" s="1250"/>
      <c r="I3367" s="1251"/>
      <c r="J3367" s="1271"/>
      <c r="K3367" s="1271"/>
      <c r="L3367" s="1254"/>
      <c r="M3367" s="1244"/>
      <c r="N3367" s="1275"/>
      <c r="O3367" s="1275"/>
      <c r="P3367" s="1244"/>
      <c r="Q3367" s="1244"/>
      <c r="R3367" s="1244"/>
      <c r="S3367" s="1265"/>
      <c r="T3367" s="1244"/>
      <c r="U3367" s="1244"/>
    </row>
    <row r="3368">
      <c r="A3368" s="1235"/>
      <c r="B3368" s="1235"/>
      <c r="C3368" s="1246"/>
      <c r="D3368" s="1274"/>
      <c r="E3368" s="1248"/>
      <c r="F3368" s="1248"/>
      <c r="G3368" s="1271"/>
      <c r="H3368" s="1250"/>
      <c r="I3368" s="1251"/>
      <c r="J3368" s="1271"/>
      <c r="K3368" s="1271"/>
      <c r="L3368" s="1254"/>
      <c r="M3368" s="1244"/>
      <c r="N3368" s="1275"/>
      <c r="O3368" s="1275"/>
      <c r="P3368" s="1244"/>
      <c r="Q3368" s="1244"/>
      <c r="R3368" s="1244"/>
      <c r="S3368" s="1265"/>
      <c r="T3368" s="1244"/>
      <c r="U3368" s="1244"/>
    </row>
    <row r="3369">
      <c r="A3369" s="1235"/>
      <c r="B3369" s="1235"/>
      <c r="C3369" s="1246"/>
      <c r="D3369" s="1274"/>
      <c r="E3369" s="1248"/>
      <c r="F3369" s="1248"/>
      <c r="G3369" s="1271"/>
      <c r="H3369" s="1250"/>
      <c r="I3369" s="1251"/>
      <c r="J3369" s="1271"/>
      <c r="K3369" s="1271"/>
      <c r="L3369" s="1254"/>
      <c r="M3369" s="1244"/>
      <c r="N3369" s="1275"/>
      <c r="O3369" s="1275"/>
      <c r="P3369" s="1244"/>
      <c r="Q3369" s="1244"/>
      <c r="R3369" s="1244"/>
      <c r="S3369" s="1265"/>
      <c r="T3369" s="1244"/>
      <c r="U3369" s="1244"/>
    </row>
    <row r="3370">
      <c r="A3370" s="1235"/>
      <c r="B3370" s="1235"/>
      <c r="C3370" s="1246"/>
      <c r="D3370" s="1274"/>
      <c r="E3370" s="1248"/>
      <c r="F3370" s="1248"/>
      <c r="G3370" s="1271"/>
      <c r="H3370" s="1250"/>
      <c r="I3370" s="1251"/>
      <c r="J3370" s="1271"/>
      <c r="K3370" s="1271"/>
      <c r="L3370" s="1254"/>
      <c r="M3370" s="1244"/>
      <c r="N3370" s="1275"/>
      <c r="O3370" s="1275"/>
      <c r="P3370" s="1244"/>
      <c r="Q3370" s="1244"/>
      <c r="R3370" s="1244"/>
      <c r="S3370" s="1265"/>
      <c r="T3370" s="1244"/>
      <c r="U3370" s="1244"/>
    </row>
    <row r="3371">
      <c r="A3371" s="1235"/>
      <c r="B3371" s="1235"/>
      <c r="C3371" s="1246"/>
      <c r="D3371" s="1274"/>
      <c r="E3371" s="1248"/>
      <c r="F3371" s="1248"/>
      <c r="G3371" s="1271"/>
      <c r="H3371" s="1250"/>
      <c r="I3371" s="1251"/>
      <c r="J3371" s="1271"/>
      <c r="K3371" s="1271"/>
      <c r="L3371" s="1254"/>
      <c r="M3371" s="1244"/>
      <c r="N3371" s="1275"/>
      <c r="O3371" s="1275"/>
      <c r="P3371" s="1244"/>
      <c r="Q3371" s="1244"/>
      <c r="R3371" s="1244"/>
      <c r="S3371" s="1265"/>
      <c r="T3371" s="1244"/>
      <c r="U3371" s="1244"/>
    </row>
    <row r="3372">
      <c r="A3372" s="1235"/>
      <c r="B3372" s="1235"/>
      <c r="C3372" s="1246"/>
      <c r="D3372" s="1274"/>
      <c r="E3372" s="1248"/>
      <c r="F3372" s="1248"/>
      <c r="G3372" s="1271"/>
      <c r="H3372" s="1250"/>
      <c r="I3372" s="1251"/>
      <c r="J3372" s="1271"/>
      <c r="K3372" s="1271"/>
      <c r="L3372" s="1254"/>
      <c r="M3372" s="1244"/>
      <c r="N3372" s="1275"/>
      <c r="O3372" s="1275"/>
      <c r="P3372" s="1244"/>
      <c r="Q3372" s="1244"/>
      <c r="R3372" s="1244"/>
      <c r="S3372" s="1265"/>
      <c r="T3372" s="1244"/>
      <c r="U3372" s="1244"/>
    </row>
    <row r="3373">
      <c r="A3373" s="1235"/>
      <c r="B3373" s="1235"/>
      <c r="C3373" s="1246"/>
      <c r="D3373" s="1274"/>
      <c r="E3373" s="1248"/>
      <c r="F3373" s="1248"/>
      <c r="G3373" s="1271"/>
      <c r="H3373" s="1250"/>
      <c r="I3373" s="1251"/>
      <c r="J3373" s="1271"/>
      <c r="K3373" s="1271"/>
      <c r="L3373" s="1254"/>
      <c r="M3373" s="1244"/>
      <c r="N3373" s="1275"/>
      <c r="O3373" s="1275"/>
      <c r="P3373" s="1244"/>
      <c r="Q3373" s="1244"/>
      <c r="R3373" s="1244"/>
      <c r="S3373" s="1265"/>
      <c r="T3373" s="1244"/>
      <c r="U3373" s="1244"/>
    </row>
    <row r="3374">
      <c r="A3374" s="1235"/>
      <c r="B3374" s="1235"/>
      <c r="C3374" s="1246"/>
      <c r="D3374" s="1274"/>
      <c r="E3374" s="1248"/>
      <c r="F3374" s="1248"/>
      <c r="G3374" s="1271"/>
      <c r="H3374" s="1250"/>
      <c r="I3374" s="1251"/>
      <c r="J3374" s="1271"/>
      <c r="K3374" s="1271"/>
      <c r="L3374" s="1254"/>
      <c r="M3374" s="1244"/>
      <c r="N3374" s="1275"/>
      <c r="O3374" s="1275"/>
      <c r="P3374" s="1244"/>
      <c r="Q3374" s="1244"/>
      <c r="R3374" s="1244"/>
      <c r="S3374" s="1265"/>
      <c r="T3374" s="1244"/>
      <c r="U3374" s="1244"/>
    </row>
    <row r="3375">
      <c r="A3375" s="1235"/>
      <c r="B3375" s="1235"/>
      <c r="C3375" s="1246"/>
      <c r="D3375" s="1274"/>
      <c r="E3375" s="1248"/>
      <c r="F3375" s="1248"/>
      <c r="G3375" s="1271"/>
      <c r="H3375" s="1250"/>
      <c r="I3375" s="1251"/>
      <c r="J3375" s="1271"/>
      <c r="K3375" s="1271"/>
      <c r="L3375" s="1254"/>
      <c r="M3375" s="1244"/>
      <c r="N3375" s="1275"/>
      <c r="O3375" s="1275"/>
      <c r="P3375" s="1244"/>
      <c r="Q3375" s="1244"/>
      <c r="R3375" s="1244"/>
      <c r="S3375" s="1265"/>
      <c r="T3375" s="1244"/>
      <c r="U3375" s="1244"/>
    </row>
    <row r="3376">
      <c r="A3376" s="1235"/>
      <c r="B3376" s="1235"/>
      <c r="C3376" s="1246"/>
      <c r="D3376" s="1274"/>
      <c r="E3376" s="1248"/>
      <c r="F3376" s="1248"/>
      <c r="G3376" s="1271"/>
      <c r="H3376" s="1250"/>
      <c r="I3376" s="1251"/>
      <c r="J3376" s="1271"/>
      <c r="K3376" s="1271"/>
      <c r="L3376" s="1254"/>
      <c r="M3376" s="1244"/>
      <c r="N3376" s="1275"/>
      <c r="O3376" s="1275"/>
      <c r="P3376" s="1244"/>
      <c r="Q3376" s="1244"/>
      <c r="R3376" s="1244"/>
      <c r="S3376" s="1265"/>
      <c r="T3376" s="1244"/>
      <c r="U3376" s="1244"/>
    </row>
    <row r="3377">
      <c r="A3377" s="1235"/>
      <c r="B3377" s="1235"/>
      <c r="C3377" s="1246"/>
      <c r="D3377" s="1274"/>
      <c r="E3377" s="1248"/>
      <c r="F3377" s="1248"/>
      <c r="G3377" s="1271"/>
      <c r="H3377" s="1250"/>
      <c r="I3377" s="1251"/>
      <c r="J3377" s="1271"/>
      <c r="K3377" s="1271"/>
      <c r="L3377" s="1254"/>
      <c r="M3377" s="1244"/>
      <c r="N3377" s="1275"/>
      <c r="O3377" s="1275"/>
      <c r="P3377" s="1244"/>
      <c r="Q3377" s="1244"/>
      <c r="R3377" s="1244"/>
      <c r="S3377" s="1265"/>
      <c r="T3377" s="1244"/>
      <c r="U3377" s="1244"/>
    </row>
    <row r="3378">
      <c r="A3378" s="1235"/>
      <c r="B3378" s="1235"/>
      <c r="C3378" s="1246"/>
      <c r="D3378" s="1274"/>
      <c r="E3378" s="1248"/>
      <c r="F3378" s="1248"/>
      <c r="G3378" s="1271"/>
      <c r="H3378" s="1250"/>
      <c r="I3378" s="1251"/>
      <c r="J3378" s="1271"/>
      <c r="K3378" s="1271"/>
      <c r="L3378" s="1254"/>
      <c r="M3378" s="1244"/>
      <c r="N3378" s="1275"/>
      <c r="O3378" s="1275"/>
      <c r="P3378" s="1244"/>
      <c r="Q3378" s="1244"/>
      <c r="R3378" s="1244"/>
      <c r="S3378" s="1265"/>
      <c r="T3378" s="1244"/>
      <c r="U3378" s="1244"/>
    </row>
    <row r="3379">
      <c r="A3379" s="1235"/>
      <c r="B3379" s="1235"/>
      <c r="C3379" s="1246"/>
      <c r="D3379" s="1274"/>
      <c r="E3379" s="1248"/>
      <c r="F3379" s="1248"/>
      <c r="G3379" s="1271"/>
      <c r="H3379" s="1250"/>
      <c r="I3379" s="1251"/>
      <c r="J3379" s="1271"/>
      <c r="K3379" s="1271"/>
      <c r="L3379" s="1254"/>
      <c r="M3379" s="1244"/>
      <c r="N3379" s="1275"/>
      <c r="O3379" s="1275"/>
      <c r="P3379" s="1244"/>
      <c r="Q3379" s="1244"/>
      <c r="R3379" s="1244"/>
      <c r="S3379" s="1265"/>
      <c r="T3379" s="1244"/>
      <c r="U3379" s="1244"/>
    </row>
    <row r="3380">
      <c r="A3380" s="1235"/>
      <c r="B3380" s="1235"/>
      <c r="C3380" s="1246"/>
      <c r="D3380" s="1274"/>
      <c r="E3380" s="1248"/>
      <c r="F3380" s="1248"/>
      <c r="G3380" s="1271"/>
      <c r="H3380" s="1250"/>
      <c r="I3380" s="1251"/>
      <c r="J3380" s="1271"/>
      <c r="K3380" s="1271"/>
      <c r="L3380" s="1254"/>
      <c r="M3380" s="1244"/>
      <c r="N3380" s="1275"/>
      <c r="O3380" s="1275"/>
      <c r="P3380" s="1244"/>
      <c r="Q3380" s="1244"/>
      <c r="R3380" s="1244"/>
      <c r="S3380" s="1265"/>
      <c r="T3380" s="1244"/>
      <c r="U3380" s="1244"/>
    </row>
    <row r="3381">
      <c r="A3381" s="1235"/>
      <c r="B3381" s="1235"/>
      <c r="C3381" s="1246"/>
      <c r="D3381" s="1274"/>
      <c r="E3381" s="1248"/>
      <c r="F3381" s="1248"/>
      <c r="G3381" s="1271"/>
      <c r="H3381" s="1250"/>
      <c r="I3381" s="1251"/>
      <c r="J3381" s="1271"/>
      <c r="K3381" s="1271"/>
      <c r="L3381" s="1254"/>
      <c r="M3381" s="1244"/>
      <c r="N3381" s="1275"/>
      <c r="O3381" s="1275"/>
      <c r="P3381" s="1244"/>
      <c r="Q3381" s="1244"/>
      <c r="R3381" s="1244"/>
      <c r="S3381" s="1265"/>
      <c r="T3381" s="1244"/>
      <c r="U3381" s="1244"/>
    </row>
    <row r="3382">
      <c r="A3382" s="1235"/>
      <c r="B3382" s="1235"/>
      <c r="C3382" s="1246"/>
      <c r="D3382" s="1274"/>
      <c r="E3382" s="1248"/>
      <c r="F3382" s="1248"/>
      <c r="G3382" s="1271"/>
      <c r="H3382" s="1250"/>
      <c r="I3382" s="1251"/>
      <c r="J3382" s="1271"/>
      <c r="K3382" s="1271"/>
      <c r="L3382" s="1254"/>
      <c r="M3382" s="1244"/>
      <c r="N3382" s="1275"/>
      <c r="O3382" s="1275"/>
      <c r="P3382" s="1244"/>
      <c r="Q3382" s="1244"/>
      <c r="R3382" s="1244"/>
      <c r="S3382" s="1265"/>
      <c r="T3382" s="1244"/>
      <c r="U3382" s="1244"/>
    </row>
    <row r="3383">
      <c r="A3383" s="1235"/>
      <c r="B3383" s="1235"/>
      <c r="C3383" s="1246"/>
      <c r="D3383" s="1274"/>
      <c r="E3383" s="1248"/>
      <c r="F3383" s="1248"/>
      <c r="G3383" s="1271"/>
      <c r="H3383" s="1250"/>
      <c r="I3383" s="1251"/>
      <c r="J3383" s="1271"/>
      <c r="K3383" s="1271"/>
      <c r="L3383" s="1254"/>
      <c r="M3383" s="1244"/>
      <c r="N3383" s="1275"/>
      <c r="O3383" s="1275"/>
      <c r="P3383" s="1244"/>
      <c r="Q3383" s="1244"/>
      <c r="R3383" s="1244"/>
      <c r="S3383" s="1265"/>
      <c r="T3383" s="1244"/>
      <c r="U3383" s="1244"/>
    </row>
    <row r="3384">
      <c r="A3384" s="1235"/>
      <c r="B3384" s="1235"/>
      <c r="C3384" s="1246"/>
      <c r="D3384" s="1274"/>
      <c r="E3384" s="1248"/>
      <c r="F3384" s="1248"/>
      <c r="G3384" s="1271"/>
      <c r="H3384" s="1250"/>
      <c r="I3384" s="1251"/>
      <c r="J3384" s="1271"/>
      <c r="K3384" s="1271"/>
      <c r="L3384" s="1254"/>
      <c r="M3384" s="1244"/>
      <c r="N3384" s="1275"/>
      <c r="O3384" s="1275"/>
      <c r="P3384" s="1244"/>
      <c r="Q3384" s="1244"/>
      <c r="R3384" s="1244"/>
      <c r="S3384" s="1265"/>
      <c r="T3384" s="1244"/>
      <c r="U3384" s="1244"/>
    </row>
    <row r="3385">
      <c r="A3385" s="1235"/>
      <c r="B3385" s="1235"/>
      <c r="C3385" s="1246"/>
      <c r="D3385" s="1274"/>
      <c r="E3385" s="1248"/>
      <c r="F3385" s="1248"/>
      <c r="G3385" s="1271"/>
      <c r="H3385" s="1250"/>
      <c r="I3385" s="1251"/>
      <c r="J3385" s="1271"/>
      <c r="K3385" s="1271"/>
      <c r="L3385" s="1254"/>
      <c r="M3385" s="1244"/>
      <c r="N3385" s="1275"/>
      <c r="O3385" s="1275"/>
      <c r="P3385" s="1244"/>
      <c r="Q3385" s="1244"/>
      <c r="R3385" s="1244"/>
      <c r="S3385" s="1265"/>
      <c r="T3385" s="1244"/>
      <c r="U3385" s="1244"/>
    </row>
    <row r="3386">
      <c r="A3386" s="1235"/>
      <c r="B3386" s="1235"/>
      <c r="C3386" s="1246"/>
      <c r="D3386" s="1274"/>
      <c r="E3386" s="1248"/>
      <c r="F3386" s="1248"/>
      <c r="G3386" s="1271"/>
      <c r="H3386" s="1250"/>
      <c r="I3386" s="1251"/>
      <c r="J3386" s="1271"/>
      <c r="K3386" s="1271"/>
      <c r="L3386" s="1254"/>
      <c r="M3386" s="1244"/>
      <c r="N3386" s="1275"/>
      <c r="O3386" s="1275"/>
      <c r="P3386" s="1244"/>
      <c r="Q3386" s="1244"/>
      <c r="R3386" s="1244"/>
      <c r="S3386" s="1265"/>
      <c r="T3386" s="1244"/>
      <c r="U3386" s="1244"/>
    </row>
    <row r="3387">
      <c r="A3387" s="1235"/>
      <c r="B3387" s="1235"/>
      <c r="C3387" s="1246"/>
      <c r="D3387" s="1274"/>
      <c r="E3387" s="1248"/>
      <c r="F3387" s="1248"/>
      <c r="G3387" s="1271"/>
      <c r="H3387" s="1250"/>
      <c r="I3387" s="1251"/>
      <c r="J3387" s="1271"/>
      <c r="K3387" s="1271"/>
      <c r="L3387" s="1254"/>
      <c r="M3387" s="1244"/>
      <c r="N3387" s="1275"/>
      <c r="O3387" s="1275"/>
      <c r="P3387" s="1244"/>
      <c r="Q3387" s="1244"/>
      <c r="R3387" s="1244"/>
      <c r="S3387" s="1265"/>
      <c r="T3387" s="1244"/>
      <c r="U3387" s="1244"/>
    </row>
    <row r="3388">
      <c r="A3388" s="1235"/>
      <c r="B3388" s="1235"/>
      <c r="C3388" s="1246"/>
      <c r="D3388" s="1274"/>
      <c r="E3388" s="1248"/>
      <c r="F3388" s="1248"/>
      <c r="G3388" s="1271"/>
      <c r="H3388" s="1250"/>
      <c r="I3388" s="1251"/>
      <c r="J3388" s="1271"/>
      <c r="K3388" s="1271"/>
      <c r="L3388" s="1254"/>
      <c r="M3388" s="1244"/>
      <c r="N3388" s="1275"/>
      <c r="O3388" s="1275"/>
      <c r="P3388" s="1244"/>
      <c r="Q3388" s="1244"/>
      <c r="R3388" s="1244"/>
      <c r="S3388" s="1265"/>
      <c r="T3388" s="1244"/>
      <c r="U3388" s="1244"/>
    </row>
    <row r="3389">
      <c r="A3389" s="1235"/>
      <c r="B3389" s="1235"/>
      <c r="C3389" s="1246"/>
      <c r="D3389" s="1274"/>
      <c r="E3389" s="1248"/>
      <c r="F3389" s="1248"/>
      <c r="G3389" s="1271"/>
      <c r="H3389" s="1250"/>
      <c r="I3389" s="1251"/>
      <c r="J3389" s="1271"/>
      <c r="K3389" s="1271"/>
      <c r="L3389" s="1254"/>
      <c r="M3389" s="1244"/>
      <c r="N3389" s="1275"/>
      <c r="O3389" s="1275"/>
      <c r="P3389" s="1244"/>
      <c r="Q3389" s="1244"/>
      <c r="R3389" s="1244"/>
      <c r="S3389" s="1265"/>
      <c r="T3389" s="1244"/>
      <c r="U3389" s="1244"/>
    </row>
    <row r="3390">
      <c r="A3390" s="1235"/>
      <c r="B3390" s="1235"/>
      <c r="C3390" s="1246"/>
      <c r="D3390" s="1274"/>
      <c r="E3390" s="1248"/>
      <c r="F3390" s="1248"/>
      <c r="G3390" s="1271"/>
      <c r="H3390" s="1250"/>
      <c r="I3390" s="1251"/>
      <c r="J3390" s="1271"/>
      <c r="K3390" s="1271"/>
      <c r="L3390" s="1254"/>
      <c r="M3390" s="1244"/>
      <c r="N3390" s="1275"/>
      <c r="O3390" s="1275"/>
      <c r="P3390" s="1244"/>
      <c r="Q3390" s="1244"/>
      <c r="R3390" s="1244"/>
      <c r="S3390" s="1265"/>
      <c r="T3390" s="1244"/>
      <c r="U3390" s="1244"/>
    </row>
    <row r="3391">
      <c r="A3391" s="1235"/>
      <c r="B3391" s="1235"/>
      <c r="C3391" s="1246"/>
      <c r="D3391" s="1274"/>
      <c r="E3391" s="1248"/>
      <c r="F3391" s="1248"/>
      <c r="G3391" s="1271"/>
      <c r="H3391" s="1250"/>
      <c r="I3391" s="1251"/>
      <c r="J3391" s="1271"/>
      <c r="K3391" s="1271"/>
      <c r="L3391" s="1254"/>
      <c r="M3391" s="1244"/>
      <c r="N3391" s="1275"/>
      <c r="O3391" s="1275"/>
      <c r="P3391" s="1244"/>
      <c r="Q3391" s="1244"/>
      <c r="R3391" s="1244"/>
      <c r="S3391" s="1265"/>
      <c r="T3391" s="1244"/>
      <c r="U3391" s="1244"/>
    </row>
    <row r="3392">
      <c r="A3392" s="1235"/>
      <c r="B3392" s="1235"/>
      <c r="C3392" s="1246"/>
      <c r="D3392" s="1274"/>
      <c r="E3392" s="1248"/>
      <c r="F3392" s="1248"/>
      <c r="G3392" s="1271"/>
      <c r="H3392" s="1250"/>
      <c r="I3392" s="1251"/>
      <c r="J3392" s="1271"/>
      <c r="K3392" s="1271"/>
      <c r="L3392" s="1254"/>
      <c r="M3392" s="1244"/>
      <c r="N3392" s="1275"/>
      <c r="O3392" s="1275"/>
      <c r="P3392" s="1244"/>
      <c r="Q3392" s="1244"/>
      <c r="R3392" s="1244"/>
      <c r="S3392" s="1265"/>
      <c r="T3392" s="1244"/>
      <c r="U3392" s="1244"/>
    </row>
    <row r="3393">
      <c r="A3393" s="1235"/>
      <c r="B3393" s="1235"/>
      <c r="C3393" s="1246"/>
      <c r="D3393" s="1274"/>
      <c r="E3393" s="1248"/>
      <c r="F3393" s="1248"/>
      <c r="G3393" s="1271"/>
      <c r="H3393" s="1250"/>
      <c r="I3393" s="1251"/>
      <c r="J3393" s="1271"/>
      <c r="K3393" s="1271"/>
      <c r="L3393" s="1254"/>
      <c r="M3393" s="1244"/>
      <c r="N3393" s="1275"/>
      <c r="O3393" s="1275"/>
      <c r="P3393" s="1244"/>
      <c r="Q3393" s="1244"/>
      <c r="R3393" s="1244"/>
      <c r="S3393" s="1265"/>
      <c r="T3393" s="1244"/>
      <c r="U3393" s="1244"/>
    </row>
    <row r="3394">
      <c r="A3394" s="1235"/>
      <c r="B3394" s="1235"/>
      <c r="C3394" s="1246"/>
      <c r="D3394" s="1274"/>
      <c r="E3394" s="1248"/>
      <c r="F3394" s="1248"/>
      <c r="G3394" s="1271"/>
      <c r="H3394" s="1250"/>
      <c r="I3394" s="1251"/>
      <c r="J3394" s="1271"/>
      <c r="K3394" s="1271"/>
      <c r="L3394" s="1254"/>
      <c r="M3394" s="1244"/>
      <c r="N3394" s="1275"/>
      <c r="O3394" s="1275"/>
      <c r="P3394" s="1244"/>
      <c r="Q3394" s="1244"/>
      <c r="R3394" s="1244"/>
      <c r="S3394" s="1265"/>
      <c r="T3394" s="1244"/>
      <c r="U3394" s="1244"/>
    </row>
    <row r="3395">
      <c r="A3395" s="1235"/>
      <c r="B3395" s="1235"/>
      <c r="C3395" s="1246"/>
      <c r="D3395" s="1274"/>
      <c r="E3395" s="1248"/>
      <c r="F3395" s="1248"/>
      <c r="G3395" s="1271"/>
      <c r="H3395" s="1250"/>
      <c r="I3395" s="1251"/>
      <c r="J3395" s="1271"/>
      <c r="K3395" s="1271"/>
      <c r="L3395" s="1254"/>
      <c r="M3395" s="1244"/>
      <c r="N3395" s="1275"/>
      <c r="O3395" s="1275"/>
      <c r="P3395" s="1244"/>
      <c r="Q3395" s="1244"/>
      <c r="R3395" s="1244"/>
      <c r="S3395" s="1265"/>
      <c r="T3395" s="1244"/>
      <c r="U3395" s="1244"/>
    </row>
    <row r="3396">
      <c r="A3396" s="1235"/>
      <c r="B3396" s="1235"/>
      <c r="C3396" s="1246"/>
      <c r="D3396" s="1274"/>
      <c r="E3396" s="1248"/>
      <c r="F3396" s="1248"/>
      <c r="G3396" s="1271"/>
      <c r="H3396" s="1250"/>
      <c r="I3396" s="1251"/>
      <c r="J3396" s="1271"/>
      <c r="K3396" s="1271"/>
      <c r="L3396" s="1254"/>
      <c r="M3396" s="1244"/>
      <c r="N3396" s="1275"/>
      <c r="O3396" s="1275"/>
      <c r="P3396" s="1244"/>
      <c r="Q3396" s="1244"/>
      <c r="R3396" s="1244"/>
      <c r="S3396" s="1265"/>
      <c r="T3396" s="1244"/>
      <c r="U3396" s="1244"/>
    </row>
    <row r="3397">
      <c r="A3397" s="1235"/>
      <c r="B3397" s="1235"/>
      <c r="C3397" s="1246"/>
      <c r="D3397" s="1274"/>
      <c r="E3397" s="1248"/>
      <c r="F3397" s="1248"/>
      <c r="G3397" s="1271"/>
      <c r="H3397" s="1250"/>
      <c r="I3397" s="1251"/>
      <c r="J3397" s="1271"/>
      <c r="K3397" s="1271"/>
      <c r="L3397" s="1254"/>
      <c r="M3397" s="1244"/>
      <c r="N3397" s="1275"/>
      <c r="O3397" s="1275"/>
      <c r="P3397" s="1244"/>
      <c r="Q3397" s="1244"/>
      <c r="R3397" s="1244"/>
      <c r="S3397" s="1265"/>
      <c r="T3397" s="1244"/>
      <c r="U3397" s="1244"/>
    </row>
    <row r="3398">
      <c r="A3398" s="1235"/>
      <c r="B3398" s="1235"/>
      <c r="C3398" s="1246"/>
      <c r="D3398" s="1274"/>
      <c r="E3398" s="1248"/>
      <c r="F3398" s="1248"/>
      <c r="G3398" s="1271"/>
      <c r="H3398" s="1250"/>
      <c r="I3398" s="1251"/>
      <c r="J3398" s="1271"/>
      <c r="K3398" s="1271"/>
      <c r="L3398" s="1254"/>
      <c r="M3398" s="1244"/>
      <c r="N3398" s="1275"/>
      <c r="O3398" s="1275"/>
      <c r="P3398" s="1244"/>
      <c r="Q3398" s="1244"/>
      <c r="R3398" s="1244"/>
      <c r="S3398" s="1265"/>
      <c r="T3398" s="1244"/>
      <c r="U3398" s="1244"/>
    </row>
    <row r="3399">
      <c r="A3399" s="1235"/>
      <c r="B3399" s="1235"/>
      <c r="C3399" s="1246"/>
      <c r="D3399" s="1274"/>
      <c r="E3399" s="1248"/>
      <c r="F3399" s="1248"/>
      <c r="G3399" s="1271"/>
      <c r="H3399" s="1250"/>
      <c r="I3399" s="1251"/>
      <c r="J3399" s="1271"/>
      <c r="K3399" s="1271"/>
      <c r="L3399" s="1254"/>
      <c r="M3399" s="1244"/>
      <c r="N3399" s="1275"/>
      <c r="O3399" s="1275"/>
      <c r="P3399" s="1244"/>
      <c r="Q3399" s="1244"/>
      <c r="R3399" s="1244"/>
      <c r="S3399" s="1265"/>
      <c r="T3399" s="1244"/>
      <c r="U3399" s="1244"/>
    </row>
    <row r="3400">
      <c r="A3400" s="1235"/>
      <c r="B3400" s="1235"/>
      <c r="C3400" s="1246"/>
      <c r="D3400" s="1274"/>
      <c r="E3400" s="1248"/>
      <c r="F3400" s="1248"/>
      <c r="G3400" s="1271"/>
      <c r="H3400" s="1250"/>
      <c r="I3400" s="1251"/>
      <c r="J3400" s="1271"/>
      <c r="K3400" s="1271"/>
      <c r="L3400" s="1254"/>
      <c r="M3400" s="1244"/>
      <c r="N3400" s="1275"/>
      <c r="O3400" s="1275"/>
      <c r="P3400" s="1244"/>
      <c r="Q3400" s="1244"/>
      <c r="R3400" s="1244"/>
      <c r="S3400" s="1265"/>
      <c r="T3400" s="1244"/>
      <c r="U3400" s="1244"/>
    </row>
    <row r="3401">
      <c r="A3401" s="1235"/>
      <c r="B3401" s="1235"/>
      <c r="C3401" s="1246"/>
      <c r="D3401" s="1274"/>
      <c r="E3401" s="1248"/>
      <c r="F3401" s="1248"/>
      <c r="G3401" s="1271"/>
      <c r="H3401" s="1250"/>
      <c r="I3401" s="1251"/>
      <c r="J3401" s="1271"/>
      <c r="K3401" s="1271"/>
      <c r="L3401" s="1254"/>
      <c r="M3401" s="1244"/>
      <c r="N3401" s="1275"/>
      <c r="O3401" s="1275"/>
      <c r="P3401" s="1244"/>
      <c r="Q3401" s="1244"/>
      <c r="R3401" s="1244"/>
      <c r="S3401" s="1265"/>
      <c r="T3401" s="1244"/>
      <c r="U3401" s="1244"/>
    </row>
    <row r="3402">
      <c r="A3402" s="1235"/>
      <c r="B3402" s="1235"/>
      <c r="C3402" s="1246"/>
      <c r="D3402" s="1274"/>
      <c r="E3402" s="1248"/>
      <c r="F3402" s="1248"/>
      <c r="G3402" s="1271"/>
      <c r="H3402" s="1250"/>
      <c r="I3402" s="1251"/>
      <c r="J3402" s="1271"/>
      <c r="K3402" s="1271"/>
      <c r="L3402" s="1254"/>
      <c r="M3402" s="1244"/>
      <c r="N3402" s="1275"/>
      <c r="O3402" s="1275"/>
      <c r="P3402" s="1244"/>
      <c r="Q3402" s="1244"/>
      <c r="R3402" s="1244"/>
      <c r="S3402" s="1265"/>
      <c r="T3402" s="1244"/>
      <c r="U3402" s="1244"/>
    </row>
    <row r="3403">
      <c r="A3403" s="1235"/>
      <c r="B3403" s="1235"/>
      <c r="C3403" s="1246"/>
      <c r="D3403" s="1274"/>
      <c r="E3403" s="1248"/>
      <c r="F3403" s="1248"/>
      <c r="G3403" s="1271"/>
      <c r="H3403" s="1250"/>
      <c r="I3403" s="1251"/>
      <c r="J3403" s="1271"/>
      <c r="K3403" s="1271"/>
      <c r="L3403" s="1254"/>
      <c r="M3403" s="1244"/>
      <c r="N3403" s="1275"/>
      <c r="O3403" s="1275"/>
      <c r="P3403" s="1244"/>
      <c r="Q3403" s="1244"/>
      <c r="R3403" s="1244"/>
      <c r="S3403" s="1265"/>
      <c r="T3403" s="1244"/>
      <c r="U3403" s="1244"/>
    </row>
    <row r="3404">
      <c r="A3404" s="1235"/>
      <c r="B3404" s="1235"/>
      <c r="C3404" s="1246"/>
      <c r="D3404" s="1274"/>
      <c r="E3404" s="1248"/>
      <c r="F3404" s="1248"/>
      <c r="G3404" s="1271"/>
      <c r="H3404" s="1250"/>
      <c r="I3404" s="1251"/>
      <c r="J3404" s="1271"/>
      <c r="K3404" s="1271"/>
      <c r="L3404" s="1254"/>
      <c r="M3404" s="1244"/>
      <c r="N3404" s="1275"/>
      <c r="O3404" s="1275"/>
      <c r="P3404" s="1244"/>
      <c r="Q3404" s="1244"/>
      <c r="R3404" s="1244"/>
      <c r="S3404" s="1265"/>
      <c r="T3404" s="1244"/>
      <c r="U3404" s="1244"/>
    </row>
    <row r="3405">
      <c r="A3405" s="1235"/>
      <c r="B3405" s="1235"/>
      <c r="C3405" s="1246"/>
      <c r="D3405" s="1274"/>
      <c r="E3405" s="1248"/>
      <c r="F3405" s="1248"/>
      <c r="G3405" s="1271"/>
      <c r="H3405" s="1250"/>
      <c r="I3405" s="1251"/>
      <c r="J3405" s="1271"/>
      <c r="K3405" s="1271"/>
      <c r="L3405" s="1254"/>
      <c r="M3405" s="1244"/>
      <c r="N3405" s="1275"/>
      <c r="O3405" s="1275"/>
      <c r="P3405" s="1244"/>
      <c r="Q3405" s="1244"/>
      <c r="R3405" s="1244"/>
      <c r="S3405" s="1265"/>
      <c r="T3405" s="1244"/>
      <c r="U3405" s="1244"/>
    </row>
    <row r="3406">
      <c r="A3406" s="1235"/>
      <c r="B3406" s="1235"/>
      <c r="C3406" s="1246"/>
      <c r="D3406" s="1274"/>
      <c r="E3406" s="1248"/>
      <c r="F3406" s="1248"/>
      <c r="G3406" s="1271"/>
      <c r="H3406" s="1250"/>
      <c r="I3406" s="1251"/>
      <c r="J3406" s="1271"/>
      <c r="K3406" s="1271"/>
      <c r="L3406" s="1254"/>
      <c r="M3406" s="1244"/>
      <c r="N3406" s="1275"/>
      <c r="O3406" s="1275"/>
      <c r="P3406" s="1244"/>
      <c r="Q3406" s="1244"/>
      <c r="R3406" s="1244"/>
      <c r="S3406" s="1265"/>
      <c r="T3406" s="1244"/>
      <c r="U3406" s="1244"/>
    </row>
    <row r="3407">
      <c r="A3407" s="1235"/>
      <c r="B3407" s="1235"/>
      <c r="C3407" s="1246"/>
      <c r="D3407" s="1274"/>
      <c r="E3407" s="1248"/>
      <c r="F3407" s="1248"/>
      <c r="G3407" s="1271"/>
      <c r="H3407" s="1250"/>
      <c r="I3407" s="1251"/>
      <c r="J3407" s="1271"/>
      <c r="K3407" s="1271"/>
      <c r="L3407" s="1254"/>
      <c r="M3407" s="1244"/>
      <c r="N3407" s="1275"/>
      <c r="O3407" s="1275"/>
      <c r="P3407" s="1244"/>
      <c r="Q3407" s="1244"/>
      <c r="R3407" s="1244"/>
      <c r="S3407" s="1265"/>
      <c r="T3407" s="1244"/>
      <c r="U3407" s="1244"/>
    </row>
    <row r="3408">
      <c r="A3408" s="1235"/>
      <c r="B3408" s="1235"/>
      <c r="C3408" s="1246"/>
      <c r="D3408" s="1274"/>
      <c r="E3408" s="1248"/>
      <c r="F3408" s="1248"/>
      <c r="G3408" s="1271"/>
      <c r="H3408" s="1250"/>
      <c r="I3408" s="1251"/>
      <c r="J3408" s="1271"/>
      <c r="K3408" s="1271"/>
      <c r="L3408" s="1254"/>
      <c r="M3408" s="1244"/>
      <c r="N3408" s="1275"/>
      <c r="O3408" s="1275"/>
      <c r="P3408" s="1244"/>
      <c r="Q3408" s="1244"/>
      <c r="R3408" s="1244"/>
      <c r="S3408" s="1265"/>
      <c r="T3408" s="1244"/>
      <c r="U3408" s="1244"/>
    </row>
    <row r="3409">
      <c r="A3409" s="1235"/>
      <c r="B3409" s="1235"/>
      <c r="C3409" s="1246"/>
      <c r="D3409" s="1274"/>
      <c r="E3409" s="1248"/>
      <c r="F3409" s="1248"/>
      <c r="G3409" s="1271"/>
      <c r="H3409" s="1250"/>
      <c r="I3409" s="1251"/>
      <c r="J3409" s="1271"/>
      <c r="K3409" s="1271"/>
      <c r="L3409" s="1254"/>
      <c r="M3409" s="1244"/>
      <c r="N3409" s="1275"/>
      <c r="O3409" s="1275"/>
      <c r="P3409" s="1244"/>
      <c r="Q3409" s="1244"/>
      <c r="R3409" s="1244"/>
      <c r="S3409" s="1265"/>
      <c r="T3409" s="1244"/>
      <c r="U3409" s="1244"/>
    </row>
    <row r="3410">
      <c r="A3410" s="1235"/>
      <c r="B3410" s="1235"/>
      <c r="C3410" s="1246"/>
      <c r="D3410" s="1274"/>
      <c r="E3410" s="1248"/>
      <c r="F3410" s="1248"/>
      <c r="G3410" s="1271"/>
      <c r="H3410" s="1250"/>
      <c r="I3410" s="1251"/>
      <c r="J3410" s="1271"/>
      <c r="K3410" s="1271"/>
      <c r="L3410" s="1254"/>
      <c r="M3410" s="1244"/>
      <c r="N3410" s="1275"/>
      <c r="O3410" s="1275"/>
      <c r="P3410" s="1244"/>
      <c r="Q3410" s="1244"/>
      <c r="R3410" s="1244"/>
      <c r="S3410" s="1265"/>
      <c r="T3410" s="1244"/>
      <c r="U3410" s="1244"/>
    </row>
    <row r="3411">
      <c r="A3411" s="1235"/>
      <c r="B3411" s="1235"/>
      <c r="C3411" s="1246"/>
      <c r="D3411" s="1274"/>
      <c r="E3411" s="1248"/>
      <c r="F3411" s="1248"/>
      <c r="G3411" s="1271"/>
      <c r="H3411" s="1250"/>
      <c r="I3411" s="1251"/>
      <c r="J3411" s="1271"/>
      <c r="K3411" s="1271"/>
      <c r="L3411" s="1254"/>
      <c r="M3411" s="1244"/>
      <c r="N3411" s="1275"/>
      <c r="O3411" s="1275"/>
      <c r="P3411" s="1244"/>
      <c r="Q3411" s="1244"/>
      <c r="R3411" s="1244"/>
      <c r="S3411" s="1265"/>
      <c r="T3411" s="1244"/>
      <c r="U3411" s="1244"/>
    </row>
    <row r="3412">
      <c r="A3412" s="1235"/>
      <c r="B3412" s="1235"/>
      <c r="C3412" s="1246"/>
      <c r="D3412" s="1274"/>
      <c r="E3412" s="1248"/>
      <c r="F3412" s="1248"/>
      <c r="G3412" s="1271"/>
      <c r="H3412" s="1250"/>
      <c r="I3412" s="1251"/>
      <c r="J3412" s="1271"/>
      <c r="K3412" s="1271"/>
      <c r="L3412" s="1254"/>
      <c r="M3412" s="1244"/>
      <c r="N3412" s="1275"/>
      <c r="O3412" s="1275"/>
      <c r="P3412" s="1244"/>
      <c r="Q3412" s="1244"/>
      <c r="R3412" s="1244"/>
      <c r="S3412" s="1265"/>
      <c r="T3412" s="1244"/>
      <c r="U3412" s="1244"/>
    </row>
    <row r="3413">
      <c r="A3413" s="1235"/>
      <c r="B3413" s="1235"/>
      <c r="C3413" s="1246"/>
      <c r="D3413" s="1274"/>
      <c r="E3413" s="1248"/>
      <c r="F3413" s="1248"/>
      <c r="G3413" s="1271"/>
      <c r="H3413" s="1250"/>
      <c r="I3413" s="1251"/>
      <c r="J3413" s="1271"/>
      <c r="K3413" s="1271"/>
      <c r="L3413" s="1254"/>
      <c r="M3413" s="1244"/>
      <c r="N3413" s="1275"/>
      <c r="O3413" s="1275"/>
      <c r="P3413" s="1244"/>
      <c r="Q3413" s="1244"/>
      <c r="R3413" s="1244"/>
      <c r="S3413" s="1265"/>
      <c r="T3413" s="1244"/>
      <c r="U3413" s="1244"/>
    </row>
    <row r="3414">
      <c r="A3414" s="1235"/>
      <c r="B3414" s="1235"/>
      <c r="C3414" s="1246"/>
      <c r="D3414" s="1274"/>
      <c r="E3414" s="1248"/>
      <c r="F3414" s="1248"/>
      <c r="G3414" s="1271"/>
      <c r="H3414" s="1250"/>
      <c r="I3414" s="1251"/>
      <c r="J3414" s="1271"/>
      <c r="K3414" s="1271"/>
      <c r="L3414" s="1254"/>
      <c r="M3414" s="1244"/>
      <c r="N3414" s="1275"/>
      <c r="O3414" s="1275"/>
      <c r="P3414" s="1244"/>
      <c r="Q3414" s="1244"/>
      <c r="R3414" s="1244"/>
      <c r="S3414" s="1265"/>
      <c r="T3414" s="1244"/>
      <c r="U3414" s="1244"/>
    </row>
    <row r="3415">
      <c r="A3415" s="1235"/>
      <c r="B3415" s="1235"/>
      <c r="C3415" s="1246"/>
      <c r="D3415" s="1274"/>
      <c r="E3415" s="1248"/>
      <c r="F3415" s="1248"/>
      <c r="G3415" s="1271"/>
      <c r="H3415" s="1250"/>
      <c r="I3415" s="1251"/>
      <c r="J3415" s="1271"/>
      <c r="K3415" s="1271"/>
      <c r="L3415" s="1254"/>
      <c r="M3415" s="1244"/>
      <c r="N3415" s="1275"/>
      <c r="O3415" s="1275"/>
      <c r="P3415" s="1244"/>
      <c r="Q3415" s="1244"/>
      <c r="R3415" s="1244"/>
      <c r="S3415" s="1265"/>
      <c r="T3415" s="1244"/>
      <c r="U3415" s="1244"/>
    </row>
    <row r="3416">
      <c r="A3416" s="1235"/>
      <c r="B3416" s="1235"/>
      <c r="C3416" s="1246"/>
      <c r="D3416" s="1274"/>
      <c r="E3416" s="1248"/>
      <c r="F3416" s="1248"/>
      <c r="G3416" s="1271"/>
      <c r="H3416" s="1250"/>
      <c r="I3416" s="1251"/>
      <c r="J3416" s="1271"/>
      <c r="K3416" s="1271"/>
      <c r="L3416" s="1254"/>
      <c r="M3416" s="1244"/>
      <c r="N3416" s="1275"/>
      <c r="O3416" s="1275"/>
      <c r="P3416" s="1244"/>
      <c r="Q3416" s="1244"/>
      <c r="R3416" s="1244"/>
      <c r="S3416" s="1265"/>
      <c r="T3416" s="1244"/>
      <c r="U3416" s="1244"/>
    </row>
    <row r="3417">
      <c r="A3417" s="1235"/>
      <c r="B3417" s="1235"/>
      <c r="C3417" s="1246"/>
      <c r="D3417" s="1274"/>
      <c r="E3417" s="1248"/>
      <c r="F3417" s="1248"/>
      <c r="G3417" s="1271"/>
      <c r="H3417" s="1250"/>
      <c r="I3417" s="1251"/>
      <c r="J3417" s="1271"/>
      <c r="K3417" s="1271"/>
      <c r="L3417" s="1254"/>
      <c r="M3417" s="1244"/>
      <c r="N3417" s="1275"/>
      <c r="O3417" s="1275"/>
      <c r="P3417" s="1244"/>
      <c r="Q3417" s="1244"/>
      <c r="R3417" s="1244"/>
      <c r="S3417" s="1265"/>
      <c r="T3417" s="1244"/>
      <c r="U3417" s="1244"/>
    </row>
    <row r="3418">
      <c r="A3418" s="1235"/>
      <c r="B3418" s="1235"/>
      <c r="C3418" s="1246"/>
      <c r="D3418" s="1274"/>
      <c r="E3418" s="1248"/>
      <c r="F3418" s="1248"/>
      <c r="G3418" s="1271"/>
      <c r="H3418" s="1250"/>
      <c r="I3418" s="1251"/>
      <c r="J3418" s="1271"/>
      <c r="K3418" s="1271"/>
      <c r="L3418" s="1254"/>
      <c r="M3418" s="1244"/>
      <c r="N3418" s="1275"/>
      <c r="O3418" s="1275"/>
      <c r="P3418" s="1244"/>
      <c r="Q3418" s="1244"/>
      <c r="R3418" s="1244"/>
      <c r="S3418" s="1265"/>
      <c r="T3418" s="1244"/>
      <c r="U3418" s="1244"/>
    </row>
    <row r="3419">
      <c r="A3419" s="1235"/>
      <c r="B3419" s="1235"/>
      <c r="C3419" s="1246"/>
      <c r="D3419" s="1274"/>
      <c r="E3419" s="1248"/>
      <c r="F3419" s="1248"/>
      <c r="G3419" s="1271"/>
      <c r="H3419" s="1250"/>
      <c r="I3419" s="1251"/>
      <c r="J3419" s="1271"/>
      <c r="K3419" s="1271"/>
      <c r="L3419" s="1254"/>
      <c r="M3419" s="1244"/>
      <c r="N3419" s="1275"/>
      <c r="O3419" s="1275"/>
      <c r="P3419" s="1244"/>
      <c r="Q3419" s="1244"/>
      <c r="R3419" s="1244"/>
      <c r="S3419" s="1265"/>
      <c r="T3419" s="1244"/>
      <c r="U3419" s="1244"/>
    </row>
    <row r="3420">
      <c r="A3420" s="1235"/>
      <c r="B3420" s="1235"/>
      <c r="C3420" s="1246"/>
      <c r="D3420" s="1274"/>
      <c r="E3420" s="1248"/>
      <c r="F3420" s="1248"/>
      <c r="G3420" s="1271"/>
      <c r="H3420" s="1250"/>
      <c r="I3420" s="1251"/>
      <c r="J3420" s="1271"/>
      <c r="K3420" s="1271"/>
      <c r="L3420" s="1254"/>
      <c r="M3420" s="1244"/>
      <c r="N3420" s="1275"/>
      <c r="O3420" s="1275"/>
      <c r="P3420" s="1244"/>
      <c r="Q3420" s="1244"/>
      <c r="R3420" s="1244"/>
      <c r="S3420" s="1265"/>
      <c r="T3420" s="1244"/>
      <c r="U3420" s="1244"/>
    </row>
    <row r="3421">
      <c r="A3421" s="1235"/>
      <c r="B3421" s="1235"/>
      <c r="C3421" s="1246"/>
      <c r="D3421" s="1274"/>
      <c r="E3421" s="1248"/>
      <c r="F3421" s="1248"/>
      <c r="G3421" s="1271"/>
      <c r="H3421" s="1250"/>
      <c r="I3421" s="1251"/>
      <c r="J3421" s="1271"/>
      <c r="K3421" s="1271"/>
      <c r="L3421" s="1254"/>
      <c r="M3421" s="1244"/>
      <c r="N3421" s="1275"/>
      <c r="O3421" s="1275"/>
      <c r="P3421" s="1244"/>
      <c r="Q3421" s="1244"/>
      <c r="R3421" s="1244"/>
      <c r="S3421" s="1265"/>
      <c r="T3421" s="1244"/>
      <c r="U3421" s="1244"/>
    </row>
    <row r="3422">
      <c r="A3422" s="1235"/>
      <c r="B3422" s="1235"/>
      <c r="C3422" s="1246"/>
      <c r="D3422" s="1274"/>
      <c r="E3422" s="1248"/>
      <c r="F3422" s="1248"/>
      <c r="G3422" s="1271"/>
      <c r="H3422" s="1250"/>
      <c r="I3422" s="1251"/>
      <c r="J3422" s="1271"/>
      <c r="K3422" s="1271"/>
      <c r="L3422" s="1254"/>
      <c r="M3422" s="1244"/>
      <c r="N3422" s="1275"/>
      <c r="O3422" s="1275"/>
      <c r="P3422" s="1244"/>
      <c r="Q3422" s="1244"/>
      <c r="R3422" s="1244"/>
      <c r="S3422" s="1265"/>
      <c r="T3422" s="1244"/>
      <c r="U3422" s="1244"/>
    </row>
    <row r="3423">
      <c r="A3423" s="1235"/>
      <c r="B3423" s="1235"/>
      <c r="C3423" s="1246"/>
      <c r="D3423" s="1274"/>
      <c r="E3423" s="1248"/>
      <c r="F3423" s="1248"/>
      <c r="G3423" s="1271"/>
      <c r="H3423" s="1250"/>
      <c r="I3423" s="1251"/>
      <c r="J3423" s="1271"/>
      <c r="K3423" s="1271"/>
      <c r="L3423" s="1254"/>
      <c r="M3423" s="1244"/>
      <c r="N3423" s="1275"/>
      <c r="O3423" s="1275"/>
      <c r="P3423" s="1244"/>
      <c r="Q3423" s="1244"/>
      <c r="R3423" s="1244"/>
      <c r="S3423" s="1265"/>
      <c r="T3423" s="1244"/>
      <c r="U3423" s="1244"/>
    </row>
    <row r="3424">
      <c r="A3424" s="1235"/>
      <c r="B3424" s="1235"/>
      <c r="C3424" s="1246"/>
      <c r="D3424" s="1274"/>
      <c r="E3424" s="1248"/>
      <c r="F3424" s="1248"/>
      <c r="G3424" s="1271"/>
      <c r="H3424" s="1250"/>
      <c r="I3424" s="1251"/>
      <c r="J3424" s="1271"/>
      <c r="K3424" s="1271"/>
      <c r="L3424" s="1254"/>
      <c r="M3424" s="1244"/>
      <c r="N3424" s="1275"/>
      <c r="O3424" s="1275"/>
      <c r="P3424" s="1244"/>
      <c r="Q3424" s="1244"/>
      <c r="R3424" s="1244"/>
      <c r="S3424" s="1265"/>
      <c r="T3424" s="1244"/>
      <c r="U3424" s="1244"/>
    </row>
    <row r="3425">
      <c r="A3425" s="1235"/>
      <c r="B3425" s="1235"/>
      <c r="C3425" s="1246"/>
      <c r="D3425" s="1274"/>
      <c r="E3425" s="1248"/>
      <c r="F3425" s="1248"/>
      <c r="G3425" s="1271"/>
      <c r="H3425" s="1250"/>
      <c r="I3425" s="1251"/>
      <c r="J3425" s="1271"/>
      <c r="K3425" s="1271"/>
      <c r="L3425" s="1254"/>
      <c r="M3425" s="1244"/>
      <c r="N3425" s="1275"/>
      <c r="O3425" s="1275"/>
      <c r="P3425" s="1244"/>
      <c r="Q3425" s="1244"/>
      <c r="R3425" s="1244"/>
      <c r="S3425" s="1265"/>
      <c r="T3425" s="1244"/>
      <c r="U3425" s="1244"/>
    </row>
    <row r="3426">
      <c r="A3426" s="1235"/>
      <c r="B3426" s="1235"/>
      <c r="C3426" s="1246"/>
      <c r="D3426" s="1274"/>
      <c r="E3426" s="1248"/>
      <c r="F3426" s="1248"/>
      <c r="G3426" s="1271"/>
      <c r="H3426" s="1250"/>
      <c r="I3426" s="1251"/>
      <c r="J3426" s="1271"/>
      <c r="K3426" s="1271"/>
      <c r="L3426" s="1254"/>
      <c r="M3426" s="1244"/>
      <c r="N3426" s="1275"/>
      <c r="O3426" s="1275"/>
      <c r="P3426" s="1244"/>
      <c r="Q3426" s="1244"/>
      <c r="R3426" s="1244"/>
      <c r="S3426" s="1265"/>
      <c r="T3426" s="1244"/>
      <c r="U3426" s="1244"/>
    </row>
    <row r="3427">
      <c r="A3427" s="1235"/>
      <c r="B3427" s="1235"/>
      <c r="C3427" s="1246"/>
      <c r="D3427" s="1274"/>
      <c r="E3427" s="1248"/>
      <c r="F3427" s="1248"/>
      <c r="G3427" s="1271"/>
      <c r="H3427" s="1250"/>
      <c r="I3427" s="1251"/>
      <c r="J3427" s="1271"/>
      <c r="K3427" s="1271"/>
      <c r="L3427" s="1254"/>
      <c r="M3427" s="1244"/>
      <c r="N3427" s="1275"/>
      <c r="O3427" s="1275"/>
      <c r="P3427" s="1244"/>
      <c r="Q3427" s="1244"/>
      <c r="R3427" s="1244"/>
      <c r="S3427" s="1265"/>
      <c r="T3427" s="1244"/>
      <c r="U3427" s="1244"/>
    </row>
    <row r="3428">
      <c r="A3428" s="1235"/>
      <c r="B3428" s="1235"/>
      <c r="C3428" s="1246"/>
      <c r="D3428" s="1274"/>
      <c r="E3428" s="1248"/>
      <c r="F3428" s="1248"/>
      <c r="G3428" s="1271"/>
      <c r="H3428" s="1250"/>
      <c r="I3428" s="1251"/>
      <c r="J3428" s="1271"/>
      <c r="K3428" s="1271"/>
      <c r="L3428" s="1254"/>
      <c r="M3428" s="1244"/>
      <c r="N3428" s="1275"/>
      <c r="O3428" s="1275"/>
      <c r="P3428" s="1244"/>
      <c r="Q3428" s="1244"/>
      <c r="R3428" s="1244"/>
      <c r="S3428" s="1265"/>
      <c r="T3428" s="1244"/>
      <c r="U3428" s="1244"/>
    </row>
    <row r="3429">
      <c r="A3429" s="1235"/>
      <c r="B3429" s="1235"/>
      <c r="C3429" s="1246"/>
      <c r="D3429" s="1274"/>
      <c r="E3429" s="1248"/>
      <c r="F3429" s="1248"/>
      <c r="G3429" s="1271"/>
      <c r="H3429" s="1250"/>
      <c r="I3429" s="1251"/>
      <c r="J3429" s="1271"/>
      <c r="K3429" s="1271"/>
      <c r="L3429" s="1254"/>
      <c r="M3429" s="1244"/>
      <c r="N3429" s="1275"/>
      <c r="O3429" s="1275"/>
      <c r="P3429" s="1244"/>
      <c r="Q3429" s="1244"/>
      <c r="R3429" s="1244"/>
      <c r="S3429" s="1265"/>
      <c r="T3429" s="1244"/>
      <c r="U3429" s="1244"/>
    </row>
    <row r="3430">
      <c r="A3430" s="1235"/>
      <c r="B3430" s="1235"/>
      <c r="C3430" s="1246"/>
      <c r="D3430" s="1274"/>
      <c r="E3430" s="1248"/>
      <c r="F3430" s="1248"/>
      <c r="G3430" s="1271"/>
      <c r="H3430" s="1250"/>
      <c r="I3430" s="1251"/>
      <c r="J3430" s="1271"/>
      <c r="K3430" s="1271"/>
      <c r="L3430" s="1254"/>
      <c r="M3430" s="1244"/>
      <c r="N3430" s="1275"/>
      <c r="O3430" s="1275"/>
      <c r="P3430" s="1244"/>
      <c r="Q3430" s="1244"/>
      <c r="R3430" s="1244"/>
      <c r="S3430" s="1265"/>
      <c r="T3430" s="1244"/>
      <c r="U3430" s="1244"/>
    </row>
    <row r="3431">
      <c r="A3431" s="1235"/>
      <c r="B3431" s="1235"/>
      <c r="C3431" s="1246"/>
      <c r="D3431" s="1274"/>
      <c r="E3431" s="1248"/>
      <c r="F3431" s="1248"/>
      <c r="G3431" s="1271"/>
      <c r="H3431" s="1250"/>
      <c r="I3431" s="1251"/>
      <c r="J3431" s="1271"/>
      <c r="K3431" s="1271"/>
      <c r="L3431" s="1254"/>
      <c r="M3431" s="1244"/>
      <c r="N3431" s="1275"/>
      <c r="O3431" s="1275"/>
      <c r="P3431" s="1244"/>
      <c r="Q3431" s="1244"/>
      <c r="R3431" s="1244"/>
      <c r="S3431" s="1265"/>
      <c r="T3431" s="1244"/>
      <c r="U3431" s="1244"/>
    </row>
    <row r="3432">
      <c r="A3432" s="1235"/>
      <c r="B3432" s="1235"/>
      <c r="C3432" s="1246"/>
      <c r="D3432" s="1274"/>
      <c r="E3432" s="1248"/>
      <c r="F3432" s="1248"/>
      <c r="G3432" s="1271"/>
      <c r="H3432" s="1250"/>
      <c r="I3432" s="1251"/>
      <c r="J3432" s="1271"/>
      <c r="K3432" s="1271"/>
      <c r="L3432" s="1254"/>
      <c r="M3432" s="1244"/>
      <c r="N3432" s="1275"/>
      <c r="O3432" s="1275"/>
      <c r="P3432" s="1244"/>
      <c r="Q3432" s="1244"/>
      <c r="R3432" s="1244"/>
      <c r="S3432" s="1265"/>
      <c r="T3432" s="1244"/>
      <c r="U3432" s="1244"/>
    </row>
    <row r="3433">
      <c r="A3433" s="1235"/>
      <c r="B3433" s="1235"/>
      <c r="C3433" s="1246"/>
      <c r="D3433" s="1274"/>
      <c r="E3433" s="1248"/>
      <c r="F3433" s="1248"/>
      <c r="G3433" s="1271"/>
      <c r="H3433" s="1250"/>
      <c r="I3433" s="1251"/>
      <c r="J3433" s="1271"/>
      <c r="K3433" s="1271"/>
      <c r="L3433" s="1254"/>
      <c r="M3433" s="1244"/>
      <c r="N3433" s="1275"/>
      <c r="O3433" s="1275"/>
      <c r="P3433" s="1244"/>
      <c r="Q3433" s="1244"/>
      <c r="R3433" s="1244"/>
      <c r="S3433" s="1265"/>
      <c r="T3433" s="1244"/>
      <c r="U3433" s="1244"/>
    </row>
    <row r="3434">
      <c r="A3434" s="1235"/>
      <c r="B3434" s="1235"/>
      <c r="C3434" s="1246"/>
      <c r="D3434" s="1274"/>
      <c r="E3434" s="1248"/>
      <c r="F3434" s="1248"/>
      <c r="G3434" s="1271"/>
      <c r="H3434" s="1250"/>
      <c r="I3434" s="1251"/>
      <c r="J3434" s="1271"/>
      <c r="K3434" s="1271"/>
      <c r="L3434" s="1254"/>
      <c r="M3434" s="1244"/>
      <c r="N3434" s="1275"/>
      <c r="O3434" s="1275"/>
      <c r="P3434" s="1244"/>
      <c r="Q3434" s="1244"/>
      <c r="R3434" s="1244"/>
      <c r="S3434" s="1265"/>
      <c r="T3434" s="1244"/>
      <c r="U3434" s="1244"/>
    </row>
    <row r="3435">
      <c r="A3435" s="1235"/>
      <c r="B3435" s="1235"/>
      <c r="C3435" s="1246"/>
      <c r="D3435" s="1274"/>
      <c r="E3435" s="1248"/>
      <c r="F3435" s="1248"/>
      <c r="G3435" s="1271"/>
      <c r="H3435" s="1250"/>
      <c r="I3435" s="1251"/>
      <c r="J3435" s="1271"/>
      <c r="K3435" s="1271"/>
      <c r="L3435" s="1254"/>
      <c r="M3435" s="1244"/>
      <c r="N3435" s="1275"/>
      <c r="O3435" s="1275"/>
      <c r="P3435" s="1244"/>
      <c r="Q3435" s="1244"/>
      <c r="R3435" s="1244"/>
      <c r="S3435" s="1265"/>
      <c r="T3435" s="1244"/>
      <c r="U3435" s="1244"/>
    </row>
    <row r="3436">
      <c r="A3436" s="1235"/>
      <c r="B3436" s="1235"/>
      <c r="C3436" s="1246"/>
      <c r="D3436" s="1274"/>
      <c r="E3436" s="1248"/>
      <c r="F3436" s="1248"/>
      <c r="G3436" s="1271"/>
      <c r="H3436" s="1250"/>
      <c r="I3436" s="1251"/>
      <c r="J3436" s="1271"/>
      <c r="K3436" s="1271"/>
      <c r="L3436" s="1254"/>
      <c r="M3436" s="1244"/>
      <c r="N3436" s="1275"/>
      <c r="O3436" s="1275"/>
      <c r="P3436" s="1244"/>
      <c r="Q3436" s="1244"/>
      <c r="R3436" s="1244"/>
      <c r="S3436" s="1265"/>
      <c r="T3436" s="1244"/>
      <c r="U3436" s="1244"/>
    </row>
    <row r="3437">
      <c r="A3437" s="1235"/>
      <c r="B3437" s="1235"/>
      <c r="C3437" s="1246"/>
      <c r="D3437" s="1274"/>
      <c r="E3437" s="1248"/>
      <c r="F3437" s="1248"/>
      <c r="G3437" s="1271"/>
      <c r="H3437" s="1250"/>
      <c r="I3437" s="1251"/>
      <c r="J3437" s="1271"/>
      <c r="K3437" s="1271"/>
      <c r="L3437" s="1254"/>
      <c r="M3437" s="1244"/>
      <c r="N3437" s="1275"/>
      <c r="O3437" s="1275"/>
      <c r="P3437" s="1244"/>
      <c r="Q3437" s="1244"/>
      <c r="R3437" s="1244"/>
      <c r="S3437" s="1265"/>
      <c r="T3437" s="1244"/>
      <c r="U3437" s="1244"/>
    </row>
    <row r="3438">
      <c r="A3438" s="1235"/>
      <c r="B3438" s="1235"/>
      <c r="C3438" s="1246"/>
      <c r="D3438" s="1274"/>
      <c r="E3438" s="1248"/>
      <c r="F3438" s="1248"/>
      <c r="G3438" s="1271"/>
      <c r="H3438" s="1250"/>
      <c r="I3438" s="1251"/>
      <c r="J3438" s="1271"/>
      <c r="K3438" s="1271"/>
      <c r="L3438" s="1254"/>
      <c r="M3438" s="1244"/>
      <c r="N3438" s="1275"/>
      <c r="O3438" s="1275"/>
      <c r="P3438" s="1244"/>
      <c r="Q3438" s="1244"/>
      <c r="R3438" s="1244"/>
      <c r="S3438" s="1265"/>
      <c r="T3438" s="1244"/>
      <c r="U3438" s="1244"/>
    </row>
    <row r="3439">
      <c r="A3439" s="1235"/>
      <c r="B3439" s="1235"/>
      <c r="C3439" s="1246"/>
      <c r="D3439" s="1274"/>
      <c r="E3439" s="1248"/>
      <c r="F3439" s="1248"/>
      <c r="G3439" s="1271"/>
      <c r="H3439" s="1250"/>
      <c r="I3439" s="1251"/>
      <c r="J3439" s="1271"/>
      <c r="K3439" s="1271"/>
      <c r="L3439" s="1254"/>
      <c r="M3439" s="1244"/>
      <c r="N3439" s="1275"/>
      <c r="O3439" s="1275"/>
      <c r="P3439" s="1244"/>
      <c r="Q3439" s="1244"/>
      <c r="R3439" s="1244"/>
      <c r="S3439" s="1265"/>
      <c r="T3439" s="1244"/>
      <c r="U3439" s="1244"/>
    </row>
    <row r="3440">
      <c r="A3440" s="1235"/>
      <c r="B3440" s="1235"/>
      <c r="C3440" s="1246"/>
      <c r="D3440" s="1274"/>
      <c r="E3440" s="1248"/>
      <c r="F3440" s="1248"/>
      <c r="G3440" s="1271"/>
      <c r="H3440" s="1250"/>
      <c r="I3440" s="1251"/>
      <c r="J3440" s="1271"/>
      <c r="K3440" s="1271"/>
      <c r="L3440" s="1254"/>
      <c r="M3440" s="1244"/>
      <c r="N3440" s="1275"/>
      <c r="O3440" s="1275"/>
      <c r="P3440" s="1244"/>
      <c r="Q3440" s="1244"/>
      <c r="R3440" s="1244"/>
      <c r="S3440" s="1265"/>
      <c r="T3440" s="1244"/>
      <c r="U3440" s="1244"/>
    </row>
    <row r="3441">
      <c r="A3441" s="1235"/>
      <c r="B3441" s="1235"/>
      <c r="C3441" s="1246"/>
      <c r="D3441" s="1274"/>
      <c r="E3441" s="1248"/>
      <c r="F3441" s="1248"/>
      <c r="G3441" s="1271"/>
      <c r="H3441" s="1250"/>
      <c r="I3441" s="1251"/>
      <c r="J3441" s="1271"/>
      <c r="K3441" s="1271"/>
      <c r="L3441" s="1254"/>
      <c r="M3441" s="1244"/>
      <c r="N3441" s="1275"/>
      <c r="O3441" s="1275"/>
      <c r="P3441" s="1244"/>
      <c r="Q3441" s="1244"/>
      <c r="R3441" s="1244"/>
      <c r="S3441" s="1265"/>
      <c r="T3441" s="1244"/>
      <c r="U3441" s="1244"/>
    </row>
    <row r="3442">
      <c r="A3442" s="1235"/>
      <c r="B3442" s="1235"/>
      <c r="C3442" s="1246"/>
      <c r="D3442" s="1274"/>
      <c r="E3442" s="1248"/>
      <c r="F3442" s="1248"/>
      <c r="G3442" s="1271"/>
      <c r="H3442" s="1250"/>
      <c r="I3442" s="1251"/>
      <c r="J3442" s="1271"/>
      <c r="K3442" s="1271"/>
      <c r="L3442" s="1254"/>
      <c r="M3442" s="1244"/>
      <c r="N3442" s="1275"/>
      <c r="O3442" s="1275"/>
      <c r="P3442" s="1244"/>
      <c r="Q3442" s="1244"/>
      <c r="R3442" s="1244"/>
      <c r="S3442" s="1265"/>
      <c r="T3442" s="1244"/>
      <c r="U3442" s="1244"/>
    </row>
    <row r="3443">
      <c r="A3443" s="1235"/>
      <c r="B3443" s="1235"/>
      <c r="C3443" s="1246"/>
      <c r="D3443" s="1274"/>
      <c r="E3443" s="1248"/>
      <c r="F3443" s="1248"/>
      <c r="G3443" s="1271"/>
      <c r="H3443" s="1250"/>
      <c r="I3443" s="1251"/>
      <c r="J3443" s="1271"/>
      <c r="K3443" s="1271"/>
      <c r="L3443" s="1254"/>
      <c r="M3443" s="1244"/>
      <c r="N3443" s="1275"/>
      <c r="O3443" s="1275"/>
      <c r="P3443" s="1244"/>
      <c r="Q3443" s="1244"/>
      <c r="R3443" s="1244"/>
      <c r="S3443" s="1265"/>
      <c r="T3443" s="1244"/>
      <c r="U3443" s="1244"/>
    </row>
    <row r="3444">
      <c r="A3444" s="1235"/>
      <c r="B3444" s="1235"/>
      <c r="C3444" s="1246"/>
      <c r="D3444" s="1274"/>
      <c r="E3444" s="1248"/>
      <c r="F3444" s="1248"/>
      <c r="G3444" s="1271"/>
      <c r="H3444" s="1250"/>
      <c r="I3444" s="1251"/>
      <c r="J3444" s="1271"/>
      <c r="K3444" s="1271"/>
      <c r="L3444" s="1254"/>
      <c r="M3444" s="1244"/>
      <c r="N3444" s="1275"/>
      <c r="O3444" s="1275"/>
      <c r="P3444" s="1244"/>
      <c r="Q3444" s="1244"/>
      <c r="R3444" s="1244"/>
      <c r="S3444" s="1265"/>
      <c r="T3444" s="1244"/>
      <c r="U3444" s="1244"/>
    </row>
    <row r="3445">
      <c r="A3445" s="1235"/>
      <c r="B3445" s="1235"/>
      <c r="C3445" s="1246"/>
      <c r="D3445" s="1274"/>
      <c r="E3445" s="1248"/>
      <c r="F3445" s="1248"/>
      <c r="G3445" s="1271"/>
      <c r="H3445" s="1250"/>
      <c r="I3445" s="1251"/>
      <c r="J3445" s="1271"/>
      <c r="K3445" s="1271"/>
      <c r="L3445" s="1254"/>
      <c r="M3445" s="1244"/>
      <c r="N3445" s="1275"/>
      <c r="O3445" s="1275"/>
      <c r="P3445" s="1244"/>
      <c r="Q3445" s="1244"/>
      <c r="R3445" s="1244"/>
      <c r="S3445" s="1265"/>
      <c r="T3445" s="1244"/>
      <c r="U3445" s="1244"/>
    </row>
    <row r="3446">
      <c r="A3446" s="1235"/>
      <c r="B3446" s="1235"/>
      <c r="C3446" s="1246"/>
      <c r="D3446" s="1274"/>
      <c r="E3446" s="1248"/>
      <c r="F3446" s="1248"/>
      <c r="G3446" s="1271"/>
      <c r="H3446" s="1250"/>
      <c r="I3446" s="1251"/>
      <c r="J3446" s="1271"/>
      <c r="K3446" s="1271"/>
      <c r="L3446" s="1254"/>
      <c r="M3446" s="1244"/>
      <c r="N3446" s="1275"/>
      <c r="O3446" s="1275"/>
      <c r="P3446" s="1244"/>
      <c r="Q3446" s="1244"/>
      <c r="R3446" s="1244"/>
      <c r="S3446" s="1265"/>
      <c r="T3446" s="1244"/>
      <c r="U3446" s="1244"/>
    </row>
    <row r="3447">
      <c r="A3447" s="1235"/>
      <c r="B3447" s="1235"/>
      <c r="C3447" s="1246"/>
      <c r="D3447" s="1274"/>
      <c r="E3447" s="1248"/>
      <c r="F3447" s="1248"/>
      <c r="G3447" s="1271"/>
      <c r="H3447" s="1250"/>
      <c r="I3447" s="1251"/>
      <c r="J3447" s="1271"/>
      <c r="K3447" s="1271"/>
      <c r="L3447" s="1254"/>
      <c r="M3447" s="1244"/>
      <c r="N3447" s="1275"/>
      <c r="O3447" s="1275"/>
      <c r="P3447" s="1244"/>
      <c r="Q3447" s="1244"/>
      <c r="R3447" s="1244"/>
      <c r="S3447" s="1265"/>
      <c r="T3447" s="1244"/>
      <c r="U3447" s="1244"/>
    </row>
    <row r="3448">
      <c r="A3448" s="1235"/>
      <c r="B3448" s="1235"/>
      <c r="C3448" s="1246"/>
      <c r="D3448" s="1274"/>
      <c r="E3448" s="1248"/>
      <c r="F3448" s="1248"/>
      <c r="G3448" s="1271"/>
      <c r="H3448" s="1250"/>
      <c r="I3448" s="1251"/>
      <c r="J3448" s="1271"/>
      <c r="K3448" s="1271"/>
      <c r="L3448" s="1254"/>
      <c r="M3448" s="1244"/>
      <c r="N3448" s="1275"/>
      <c r="O3448" s="1275"/>
      <c r="P3448" s="1244"/>
      <c r="Q3448" s="1244"/>
      <c r="R3448" s="1244"/>
      <c r="S3448" s="1265"/>
      <c r="T3448" s="1244"/>
      <c r="U3448" s="1244"/>
    </row>
    <row r="3449">
      <c r="A3449" s="1235"/>
      <c r="B3449" s="1235"/>
      <c r="C3449" s="1246"/>
      <c r="D3449" s="1274"/>
      <c r="E3449" s="1248"/>
      <c r="F3449" s="1248"/>
      <c r="G3449" s="1271"/>
      <c r="H3449" s="1250"/>
      <c r="I3449" s="1251"/>
      <c r="J3449" s="1271"/>
      <c r="K3449" s="1271"/>
      <c r="L3449" s="1254"/>
      <c r="M3449" s="1244"/>
      <c r="N3449" s="1275"/>
      <c r="O3449" s="1275"/>
      <c r="P3449" s="1244"/>
      <c r="Q3449" s="1244"/>
      <c r="R3449" s="1244"/>
      <c r="S3449" s="1265"/>
      <c r="T3449" s="1244"/>
      <c r="U3449" s="1244"/>
    </row>
    <row r="3450">
      <c r="A3450" s="1235"/>
      <c r="B3450" s="1235"/>
      <c r="C3450" s="1246"/>
      <c r="D3450" s="1274"/>
      <c r="E3450" s="1248"/>
      <c r="F3450" s="1248"/>
      <c r="G3450" s="1271"/>
      <c r="H3450" s="1250"/>
      <c r="I3450" s="1251"/>
      <c r="J3450" s="1271"/>
      <c r="K3450" s="1271"/>
      <c r="L3450" s="1254"/>
      <c r="M3450" s="1244"/>
      <c r="N3450" s="1275"/>
      <c r="O3450" s="1275"/>
      <c r="P3450" s="1244"/>
      <c r="Q3450" s="1244"/>
      <c r="R3450" s="1244"/>
      <c r="S3450" s="1265"/>
      <c r="T3450" s="1244"/>
      <c r="U3450" s="1244"/>
    </row>
    <row r="3451">
      <c r="A3451" s="1235"/>
      <c r="B3451" s="1235"/>
      <c r="C3451" s="1246"/>
      <c r="D3451" s="1274"/>
      <c r="E3451" s="1248"/>
      <c r="F3451" s="1248"/>
      <c r="G3451" s="1271"/>
      <c r="H3451" s="1250"/>
      <c r="I3451" s="1251"/>
      <c r="J3451" s="1271"/>
      <c r="K3451" s="1271"/>
      <c r="L3451" s="1254"/>
      <c r="M3451" s="1244"/>
      <c r="N3451" s="1275"/>
      <c r="O3451" s="1275"/>
      <c r="P3451" s="1244"/>
      <c r="Q3451" s="1244"/>
      <c r="R3451" s="1244"/>
      <c r="S3451" s="1265"/>
      <c r="T3451" s="1244"/>
      <c r="U3451" s="1244"/>
    </row>
    <row r="3452">
      <c r="A3452" s="1235"/>
      <c r="B3452" s="1235"/>
      <c r="C3452" s="1246"/>
      <c r="D3452" s="1274"/>
      <c r="E3452" s="1248"/>
      <c r="F3452" s="1248"/>
      <c r="G3452" s="1271"/>
      <c r="H3452" s="1250"/>
      <c r="I3452" s="1251"/>
      <c r="J3452" s="1271"/>
      <c r="K3452" s="1271"/>
      <c r="L3452" s="1254"/>
      <c r="M3452" s="1244"/>
      <c r="N3452" s="1275"/>
      <c r="O3452" s="1275"/>
      <c r="P3452" s="1244"/>
      <c r="Q3452" s="1244"/>
      <c r="R3452" s="1244"/>
      <c r="S3452" s="1265"/>
      <c r="T3452" s="1244"/>
      <c r="U3452" s="1244"/>
    </row>
    <row r="3453">
      <c r="A3453" s="1235"/>
      <c r="B3453" s="1235"/>
      <c r="C3453" s="1246"/>
      <c r="D3453" s="1274"/>
      <c r="E3453" s="1248"/>
      <c r="F3453" s="1248"/>
      <c r="G3453" s="1271"/>
      <c r="H3453" s="1250"/>
      <c r="I3453" s="1251"/>
      <c r="J3453" s="1271"/>
      <c r="K3453" s="1271"/>
      <c r="L3453" s="1254"/>
      <c r="M3453" s="1244"/>
      <c r="N3453" s="1275"/>
      <c r="O3453" s="1275"/>
      <c r="P3453" s="1244"/>
      <c r="Q3453" s="1244"/>
      <c r="R3453" s="1244"/>
      <c r="S3453" s="1265"/>
      <c r="T3453" s="1244"/>
      <c r="U3453" s="1244"/>
    </row>
    <row r="3454">
      <c r="A3454" s="1235"/>
      <c r="B3454" s="1235"/>
      <c r="C3454" s="1246"/>
      <c r="D3454" s="1274"/>
      <c r="E3454" s="1248"/>
      <c r="F3454" s="1248"/>
      <c r="G3454" s="1271"/>
      <c r="H3454" s="1250"/>
      <c r="I3454" s="1251"/>
      <c r="J3454" s="1271"/>
      <c r="K3454" s="1271"/>
      <c r="L3454" s="1254"/>
      <c r="M3454" s="1244"/>
      <c r="N3454" s="1275"/>
      <c r="O3454" s="1275"/>
      <c r="P3454" s="1244"/>
      <c r="Q3454" s="1244"/>
      <c r="R3454" s="1244"/>
      <c r="S3454" s="1265"/>
      <c r="T3454" s="1244"/>
      <c r="U3454" s="1244"/>
    </row>
    <row r="3455">
      <c r="A3455" s="1235"/>
      <c r="B3455" s="1235"/>
      <c r="C3455" s="1246"/>
      <c r="D3455" s="1274"/>
      <c r="E3455" s="1248"/>
      <c r="F3455" s="1248"/>
      <c r="G3455" s="1271"/>
      <c r="H3455" s="1250"/>
      <c r="I3455" s="1251"/>
      <c r="J3455" s="1271"/>
      <c r="K3455" s="1271"/>
      <c r="L3455" s="1254"/>
      <c r="M3455" s="1244"/>
      <c r="N3455" s="1275"/>
      <c r="O3455" s="1275"/>
      <c r="P3455" s="1244"/>
      <c r="Q3455" s="1244"/>
      <c r="R3455" s="1244"/>
      <c r="S3455" s="1265"/>
      <c r="T3455" s="1244"/>
      <c r="U3455" s="1244"/>
    </row>
    <row r="3456">
      <c r="A3456" s="1235"/>
      <c r="B3456" s="1235"/>
      <c r="C3456" s="1246"/>
      <c r="D3456" s="1274"/>
      <c r="E3456" s="1248"/>
      <c r="F3456" s="1248"/>
      <c r="G3456" s="1271"/>
      <c r="H3456" s="1250"/>
      <c r="I3456" s="1251"/>
      <c r="J3456" s="1271"/>
      <c r="K3456" s="1271"/>
      <c r="L3456" s="1254"/>
      <c r="M3456" s="1244"/>
      <c r="N3456" s="1275"/>
      <c r="O3456" s="1275"/>
      <c r="P3456" s="1244"/>
      <c r="Q3456" s="1244"/>
      <c r="R3456" s="1244"/>
      <c r="S3456" s="1265"/>
      <c r="T3456" s="1244"/>
      <c r="U3456" s="1244"/>
    </row>
    <row r="3457">
      <c r="A3457" s="1235"/>
      <c r="B3457" s="1235"/>
      <c r="C3457" s="1246"/>
      <c r="D3457" s="1274"/>
      <c r="E3457" s="1248"/>
      <c r="F3457" s="1248"/>
      <c r="G3457" s="1271"/>
      <c r="H3457" s="1250"/>
      <c r="I3457" s="1251"/>
      <c r="J3457" s="1271"/>
      <c r="K3457" s="1271"/>
      <c r="L3457" s="1254"/>
      <c r="M3457" s="1244"/>
      <c r="N3457" s="1275"/>
      <c r="O3457" s="1275"/>
      <c r="P3457" s="1244"/>
      <c r="Q3457" s="1244"/>
      <c r="R3457" s="1244"/>
      <c r="S3457" s="1265"/>
      <c r="T3457" s="1244"/>
      <c r="U3457" s="1244"/>
    </row>
    <row r="3458">
      <c r="A3458" s="1235"/>
      <c r="B3458" s="1235"/>
      <c r="C3458" s="1246"/>
      <c r="D3458" s="1274"/>
      <c r="E3458" s="1248"/>
      <c r="F3458" s="1248"/>
      <c r="G3458" s="1271"/>
      <c r="H3458" s="1250"/>
      <c r="I3458" s="1251"/>
      <c r="J3458" s="1271"/>
      <c r="K3458" s="1271"/>
      <c r="L3458" s="1254"/>
      <c r="M3458" s="1244"/>
      <c r="N3458" s="1275"/>
      <c r="O3458" s="1275"/>
      <c r="P3458" s="1244"/>
      <c r="Q3458" s="1244"/>
      <c r="R3458" s="1244"/>
      <c r="S3458" s="1265"/>
      <c r="T3458" s="1244"/>
      <c r="U3458" s="1244"/>
    </row>
    <row r="3459">
      <c r="A3459" s="1235"/>
      <c r="B3459" s="1235"/>
      <c r="C3459" s="1246"/>
      <c r="D3459" s="1274"/>
      <c r="E3459" s="1248"/>
      <c r="F3459" s="1248"/>
      <c r="G3459" s="1271"/>
      <c r="H3459" s="1250"/>
      <c r="I3459" s="1251"/>
      <c r="J3459" s="1271"/>
      <c r="K3459" s="1271"/>
      <c r="L3459" s="1254"/>
      <c r="M3459" s="1244"/>
      <c r="N3459" s="1275"/>
      <c r="O3459" s="1275"/>
      <c r="P3459" s="1244"/>
      <c r="Q3459" s="1244"/>
      <c r="R3459" s="1244"/>
      <c r="S3459" s="1265"/>
      <c r="T3459" s="1244"/>
      <c r="U3459" s="1244"/>
    </row>
    <row r="3460">
      <c r="A3460" s="1235"/>
      <c r="B3460" s="1235"/>
      <c r="C3460" s="1246"/>
      <c r="D3460" s="1274"/>
      <c r="E3460" s="1248"/>
      <c r="F3460" s="1248"/>
      <c r="G3460" s="1271"/>
      <c r="H3460" s="1250"/>
      <c r="I3460" s="1251"/>
      <c r="J3460" s="1271"/>
      <c r="K3460" s="1271"/>
      <c r="L3460" s="1254"/>
      <c r="M3460" s="1244"/>
      <c r="N3460" s="1275"/>
      <c r="O3460" s="1275"/>
      <c r="P3460" s="1244"/>
      <c r="Q3460" s="1244"/>
      <c r="R3460" s="1244"/>
      <c r="S3460" s="1265"/>
      <c r="T3460" s="1244"/>
      <c r="U3460" s="1244"/>
    </row>
    <row r="3461">
      <c r="A3461" s="1235"/>
      <c r="B3461" s="1235"/>
      <c r="C3461" s="1246"/>
      <c r="D3461" s="1274"/>
      <c r="E3461" s="1248"/>
      <c r="F3461" s="1248"/>
      <c r="G3461" s="1271"/>
      <c r="H3461" s="1250"/>
      <c r="I3461" s="1251"/>
      <c r="J3461" s="1271"/>
      <c r="K3461" s="1271"/>
      <c r="L3461" s="1254"/>
      <c r="M3461" s="1244"/>
      <c r="N3461" s="1275"/>
      <c r="O3461" s="1275"/>
      <c r="P3461" s="1244"/>
      <c r="Q3461" s="1244"/>
      <c r="R3461" s="1244"/>
      <c r="S3461" s="1265"/>
      <c r="T3461" s="1244"/>
      <c r="U3461" s="1244"/>
    </row>
    <row r="3462">
      <c r="A3462" s="1235"/>
      <c r="B3462" s="1235"/>
      <c r="C3462" s="1246"/>
      <c r="D3462" s="1274"/>
      <c r="E3462" s="1248"/>
      <c r="F3462" s="1248"/>
      <c r="G3462" s="1271"/>
      <c r="H3462" s="1250"/>
      <c r="I3462" s="1251"/>
      <c r="J3462" s="1271"/>
      <c r="K3462" s="1271"/>
      <c r="L3462" s="1254"/>
      <c r="M3462" s="1244"/>
      <c r="N3462" s="1275"/>
      <c r="O3462" s="1275"/>
      <c r="P3462" s="1244"/>
      <c r="Q3462" s="1244"/>
      <c r="R3462" s="1244"/>
      <c r="S3462" s="1265"/>
      <c r="T3462" s="1244"/>
      <c r="U3462" s="1244"/>
    </row>
    <row r="3463">
      <c r="A3463" s="1235"/>
      <c r="B3463" s="1235"/>
      <c r="C3463" s="1246"/>
      <c r="D3463" s="1274"/>
      <c r="E3463" s="1248"/>
      <c r="F3463" s="1248"/>
      <c r="G3463" s="1271"/>
      <c r="H3463" s="1250"/>
      <c r="I3463" s="1251"/>
      <c r="J3463" s="1271"/>
      <c r="K3463" s="1271"/>
      <c r="L3463" s="1254"/>
      <c r="M3463" s="1244"/>
      <c r="N3463" s="1275"/>
      <c r="O3463" s="1275"/>
      <c r="P3463" s="1244"/>
      <c r="Q3463" s="1244"/>
      <c r="R3463" s="1244"/>
      <c r="S3463" s="1265"/>
      <c r="T3463" s="1244"/>
      <c r="U3463" s="1244"/>
    </row>
    <row r="3464">
      <c r="A3464" s="1235"/>
      <c r="B3464" s="1235"/>
      <c r="C3464" s="1246"/>
      <c r="D3464" s="1274"/>
      <c r="E3464" s="1248"/>
      <c r="F3464" s="1248"/>
      <c r="G3464" s="1271"/>
      <c r="H3464" s="1250"/>
      <c r="I3464" s="1251"/>
      <c r="J3464" s="1271"/>
      <c r="K3464" s="1271"/>
      <c r="L3464" s="1254"/>
      <c r="M3464" s="1244"/>
      <c r="N3464" s="1275"/>
      <c r="O3464" s="1275"/>
      <c r="P3464" s="1244"/>
      <c r="Q3464" s="1244"/>
      <c r="R3464" s="1244"/>
      <c r="S3464" s="1265"/>
      <c r="T3464" s="1244"/>
      <c r="U3464" s="1244"/>
    </row>
    <row r="3465">
      <c r="A3465" s="1235"/>
      <c r="B3465" s="1235"/>
      <c r="C3465" s="1246"/>
      <c r="D3465" s="1274"/>
      <c r="E3465" s="1248"/>
      <c r="F3465" s="1248"/>
      <c r="G3465" s="1271"/>
      <c r="H3465" s="1250"/>
      <c r="I3465" s="1251"/>
      <c r="J3465" s="1271"/>
      <c r="K3465" s="1271"/>
      <c r="L3465" s="1254"/>
      <c r="M3465" s="1244"/>
      <c r="N3465" s="1275"/>
      <c r="O3465" s="1275"/>
      <c r="P3465" s="1244"/>
      <c r="Q3465" s="1244"/>
      <c r="R3465" s="1244"/>
      <c r="S3465" s="1265"/>
      <c r="T3465" s="1244"/>
      <c r="U3465" s="1244"/>
    </row>
    <row r="3466">
      <c r="A3466" s="1235"/>
      <c r="B3466" s="1235"/>
      <c r="C3466" s="1246"/>
      <c r="D3466" s="1274"/>
      <c r="E3466" s="1248"/>
      <c r="F3466" s="1248"/>
      <c r="G3466" s="1271"/>
      <c r="H3466" s="1250"/>
      <c r="I3466" s="1251"/>
      <c r="J3466" s="1271"/>
      <c r="K3466" s="1271"/>
      <c r="L3466" s="1254"/>
      <c r="M3466" s="1244"/>
      <c r="N3466" s="1275"/>
      <c r="O3466" s="1275"/>
      <c r="P3466" s="1244"/>
      <c r="Q3466" s="1244"/>
      <c r="R3466" s="1244"/>
      <c r="S3466" s="1265"/>
      <c r="T3466" s="1244"/>
      <c r="U3466" s="1244"/>
    </row>
    <row r="3467">
      <c r="A3467" s="1235"/>
      <c r="B3467" s="1235"/>
      <c r="C3467" s="1246"/>
      <c r="D3467" s="1274"/>
      <c r="E3467" s="1248"/>
      <c r="F3467" s="1248"/>
      <c r="G3467" s="1271"/>
      <c r="H3467" s="1250"/>
      <c r="I3467" s="1251"/>
      <c r="J3467" s="1271"/>
      <c r="K3467" s="1271"/>
      <c r="L3467" s="1254"/>
      <c r="M3467" s="1244"/>
      <c r="N3467" s="1275"/>
      <c r="O3467" s="1275"/>
      <c r="P3467" s="1244"/>
      <c r="Q3467" s="1244"/>
      <c r="R3467" s="1244"/>
      <c r="S3467" s="1265"/>
      <c r="T3467" s="1244"/>
      <c r="U3467" s="1244"/>
    </row>
    <row r="3468">
      <c r="A3468" s="1235"/>
      <c r="B3468" s="1235"/>
      <c r="C3468" s="1246"/>
      <c r="D3468" s="1274"/>
      <c r="E3468" s="1248"/>
      <c r="F3468" s="1248"/>
      <c r="G3468" s="1271"/>
      <c r="H3468" s="1250"/>
      <c r="I3468" s="1251"/>
      <c r="J3468" s="1271"/>
      <c r="K3468" s="1271"/>
      <c r="L3468" s="1254"/>
      <c r="M3468" s="1244"/>
      <c r="N3468" s="1275"/>
      <c r="O3468" s="1275"/>
      <c r="P3468" s="1244"/>
      <c r="Q3468" s="1244"/>
      <c r="R3468" s="1244"/>
      <c r="S3468" s="1265"/>
      <c r="T3468" s="1244"/>
      <c r="U3468" s="1244"/>
    </row>
    <row r="3469">
      <c r="A3469" s="1235"/>
      <c r="B3469" s="1235"/>
      <c r="C3469" s="1246"/>
      <c r="D3469" s="1274"/>
      <c r="E3469" s="1248"/>
      <c r="F3469" s="1248"/>
      <c r="G3469" s="1271"/>
      <c r="H3469" s="1250"/>
      <c r="I3469" s="1251"/>
      <c r="J3469" s="1271"/>
      <c r="K3469" s="1271"/>
      <c r="L3469" s="1254"/>
      <c r="M3469" s="1244"/>
      <c r="N3469" s="1275"/>
      <c r="O3469" s="1275"/>
      <c r="P3469" s="1244"/>
      <c r="Q3469" s="1244"/>
      <c r="R3469" s="1244"/>
      <c r="S3469" s="1265"/>
      <c r="T3469" s="1244"/>
      <c r="U3469" s="1244"/>
    </row>
    <row r="3470">
      <c r="A3470" s="1235"/>
      <c r="B3470" s="1235"/>
      <c r="C3470" s="1246"/>
      <c r="D3470" s="1274"/>
      <c r="E3470" s="1248"/>
      <c r="F3470" s="1248"/>
      <c r="G3470" s="1271"/>
      <c r="H3470" s="1250"/>
      <c r="I3470" s="1251"/>
      <c r="J3470" s="1271"/>
      <c r="K3470" s="1271"/>
      <c r="L3470" s="1254"/>
      <c r="M3470" s="1244"/>
      <c r="N3470" s="1275"/>
      <c r="O3470" s="1275"/>
      <c r="P3470" s="1244"/>
      <c r="Q3470" s="1244"/>
      <c r="R3470" s="1244"/>
      <c r="S3470" s="1265"/>
      <c r="T3470" s="1244"/>
      <c r="U3470" s="1244"/>
    </row>
    <row r="3471">
      <c r="A3471" s="1235"/>
      <c r="B3471" s="1235"/>
      <c r="C3471" s="1246"/>
      <c r="D3471" s="1274"/>
      <c r="E3471" s="1248"/>
      <c r="F3471" s="1248"/>
      <c r="G3471" s="1271"/>
      <c r="H3471" s="1250"/>
      <c r="I3471" s="1251"/>
      <c r="J3471" s="1271"/>
      <c r="K3471" s="1271"/>
      <c r="L3471" s="1254"/>
      <c r="M3471" s="1244"/>
      <c r="N3471" s="1275"/>
      <c r="O3471" s="1275"/>
      <c r="P3471" s="1244"/>
      <c r="Q3471" s="1244"/>
      <c r="R3471" s="1244"/>
      <c r="S3471" s="1265"/>
      <c r="T3471" s="1244"/>
      <c r="U3471" s="1244"/>
    </row>
    <row r="3472">
      <c r="A3472" s="1235"/>
      <c r="B3472" s="1235"/>
      <c r="C3472" s="1246"/>
      <c r="D3472" s="1274"/>
      <c r="E3472" s="1248"/>
      <c r="F3472" s="1248"/>
      <c r="G3472" s="1271"/>
      <c r="H3472" s="1250"/>
      <c r="I3472" s="1251"/>
      <c r="J3472" s="1271"/>
      <c r="K3472" s="1271"/>
      <c r="L3472" s="1254"/>
      <c r="M3472" s="1244"/>
      <c r="N3472" s="1275"/>
      <c r="O3472" s="1275"/>
      <c r="P3472" s="1244"/>
      <c r="Q3472" s="1244"/>
      <c r="R3472" s="1244"/>
      <c r="S3472" s="1265"/>
      <c r="T3472" s="1244"/>
      <c r="U3472" s="1244"/>
    </row>
  </sheetData>
  <conditionalFormatting sqref="J2:K185">
    <cfRule type="expression" dxfId="6" priority="1">
      <formula>E2:E3472&lt;&gt;J2:J3472</formula>
    </cfRule>
  </conditionalFormatting>
  <conditionalFormatting sqref="N2:N3472 O2:O109">
    <cfRule type="expression" dxfId="0" priority="2">
      <formula>N2="POA Price"</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11.14"/>
    <col customWidth="1" min="2" max="2" width="10.29"/>
    <col customWidth="1" min="3" max="3" width="3.14"/>
    <col customWidth="1" min="4" max="4" width="9.86"/>
    <col customWidth="1" min="5" max="5" width="15.86"/>
    <col customWidth="1" min="6" max="6" width="5.14"/>
    <col customWidth="1" min="7" max="7" width="23.57"/>
    <col customWidth="1" min="8" max="8" width="16.71"/>
    <col customWidth="1" min="9" max="9" width="6.71"/>
    <col customWidth="1" min="10" max="10" width="3.57"/>
    <col customWidth="1" min="11" max="11" width="2.57"/>
    <col customWidth="1" min="14" max="14" width="14.14"/>
  </cols>
  <sheetData>
    <row r="1">
      <c r="A1" s="1276"/>
      <c r="B1" s="1277"/>
      <c r="C1" s="1067"/>
      <c r="D1" s="1066"/>
      <c r="E1" s="1066"/>
      <c r="F1" s="1066"/>
      <c r="G1" s="1278"/>
      <c r="H1" s="1066"/>
      <c r="I1" s="1066"/>
      <c r="J1" s="1066"/>
      <c r="K1" s="1066"/>
      <c r="L1" s="1066"/>
      <c r="M1" s="1066"/>
      <c r="N1" s="1066"/>
    </row>
    <row r="2">
      <c r="A2" s="1276"/>
      <c r="B2" s="1277"/>
      <c r="C2" s="1067"/>
      <c r="D2" s="1066"/>
      <c r="E2" s="1066"/>
      <c r="F2" s="1066"/>
      <c r="G2" s="1066"/>
      <c r="H2" s="1066"/>
      <c r="I2" s="1066"/>
      <c r="J2" s="1066"/>
      <c r="K2" s="1066"/>
      <c r="L2" s="1066"/>
      <c r="M2" s="1066"/>
      <c r="N2" s="1066"/>
    </row>
    <row r="3">
      <c r="A3" s="1276"/>
      <c r="B3" s="1279"/>
      <c r="C3" s="1231"/>
      <c r="D3" s="1280"/>
      <c r="E3" s="1066"/>
      <c r="F3" s="1066"/>
      <c r="G3" s="1066"/>
      <c r="H3" s="1066"/>
      <c r="I3" s="1066"/>
      <c r="J3" s="1066"/>
      <c r="K3" s="1066"/>
      <c r="L3" s="1066"/>
      <c r="M3" s="1066"/>
      <c r="N3" s="1066"/>
    </row>
    <row r="4">
      <c r="A4" s="1276"/>
      <c r="B4" s="1279"/>
      <c r="C4" s="1231"/>
      <c r="D4" s="1280"/>
      <c r="E4" s="1066"/>
      <c r="F4" s="1066"/>
      <c r="G4" s="1066"/>
      <c r="H4" s="1066"/>
      <c r="I4" s="1066"/>
      <c r="J4" s="1066"/>
      <c r="K4" s="1066"/>
      <c r="L4" s="1066"/>
      <c r="M4" s="1066"/>
      <c r="N4" s="1066"/>
    </row>
    <row r="5" ht="12.75" customHeight="1">
      <c r="A5" s="1276"/>
      <c r="B5" s="1279"/>
      <c r="C5" s="1231"/>
      <c r="D5" s="1280"/>
      <c r="E5" s="1066"/>
      <c r="F5" s="1066"/>
      <c r="G5" s="1066"/>
      <c r="H5" s="1066"/>
      <c r="I5" s="1066"/>
      <c r="J5" s="1066"/>
      <c r="K5" s="1066"/>
      <c r="L5" s="1066"/>
      <c r="M5" s="1066"/>
      <c r="N5" s="1066"/>
    </row>
    <row r="6">
      <c r="A6" s="1276"/>
      <c r="B6" s="1281" t="s">
        <v>873</v>
      </c>
      <c r="N6" s="1066"/>
    </row>
    <row r="7" ht="15.75" customHeight="1">
      <c r="A7" s="1276"/>
      <c r="B7" s="1282" t="s">
        <v>874</v>
      </c>
      <c r="C7" s="1283"/>
      <c r="D7" s="1283"/>
      <c r="E7" s="1283"/>
      <c r="F7" s="1283"/>
      <c r="G7" s="1283"/>
      <c r="H7" s="1283"/>
      <c r="I7" s="1283"/>
      <c r="J7" s="1283"/>
      <c r="K7" s="1283"/>
      <c r="L7" s="1283"/>
      <c r="M7" s="1283"/>
      <c r="N7" s="1066"/>
    </row>
    <row r="8" ht="15.0" customHeight="1">
      <c r="A8" s="1276"/>
      <c r="B8" s="1279"/>
      <c r="C8" s="1231"/>
      <c r="D8" s="1280"/>
      <c r="E8" s="1066"/>
      <c r="F8" s="1066"/>
      <c r="G8" s="1066"/>
      <c r="H8" s="1066"/>
      <c r="I8" s="1066"/>
      <c r="J8" s="1066"/>
      <c r="K8" s="1066"/>
      <c r="L8" s="1066"/>
      <c r="M8" s="1284" t="str">
        <f>IFERROR(__xludf.DUMMYFUNCTION("Join("" "",""Ref:"",Pricing!D8)"),"Ref: DKR-92")</f>
        <v>Ref: DKR-92</v>
      </c>
      <c r="N8" s="1066"/>
    </row>
    <row r="9" ht="15.0" customHeight="1">
      <c r="A9" s="1276"/>
      <c r="B9" s="1279"/>
      <c r="C9" s="1231"/>
      <c r="D9" s="1280"/>
      <c r="E9" s="1066"/>
      <c r="F9" s="1066"/>
      <c r="G9" s="1066"/>
      <c r="H9" s="1066"/>
      <c r="I9" s="1066"/>
      <c r="J9" s="1066"/>
      <c r="K9" s="1066"/>
      <c r="L9" s="1066"/>
      <c r="M9" s="1284"/>
      <c r="N9" s="1066"/>
    </row>
    <row r="10">
      <c r="A10" s="1276"/>
      <c r="B10" s="1285">
        <f>TODAY()</f>
        <v>46223</v>
      </c>
      <c r="E10" s="1066"/>
      <c r="F10" s="1066"/>
      <c r="G10" s="1066"/>
      <c r="H10" s="1066"/>
      <c r="I10" s="1066"/>
      <c r="J10" s="1066"/>
      <c r="K10" s="1066"/>
      <c r="L10" s="1066"/>
      <c r="N10" s="1066"/>
    </row>
    <row r="11" ht="6.75" customHeight="1">
      <c r="A11" s="1276"/>
      <c r="B11" s="1279"/>
      <c r="C11" s="1231"/>
      <c r="D11" s="1280"/>
      <c r="E11" s="1066"/>
      <c r="F11" s="1066"/>
      <c r="G11" s="1066"/>
      <c r="H11" s="1066"/>
      <c r="I11" s="1066"/>
      <c r="J11" s="1066"/>
      <c r="K11" s="1066"/>
      <c r="L11" s="1066"/>
      <c r="N11" s="1066"/>
    </row>
    <row r="12" ht="18.75" customHeight="1">
      <c r="A12" s="1276"/>
      <c r="B12" s="1279" t="s">
        <v>875</v>
      </c>
      <c r="C12" s="1231"/>
      <c r="D12" s="1280" t="str">
        <f>IFERROR(__xludf.DUMMYFUNCTION("IF(
  Pricing!D8="""",
  """",
  IFERROR(
    VLOOKUP(
      Pricing!D8,
      IMPORTRANGE(
        ""1yRKiSiwTOx_Hj9DHPwpMhw9gK8bTY1IeLWGRh62hnCs"",
        ""Masterlist!E:L""
      ),
      5,
      FALSE
    )
  )
)
"),"Lex Smith")</f>
        <v>Lex Smith</v>
      </c>
      <c r="E12" s="1066"/>
      <c r="F12" s="1066"/>
      <c r="G12" s="1066"/>
      <c r="H12" s="1066"/>
      <c r="I12" s="1066"/>
      <c r="J12" s="1066"/>
      <c r="K12" s="1066"/>
      <c r="L12" s="1066"/>
      <c r="M12" s="1230"/>
      <c r="N12" s="1066"/>
    </row>
    <row r="13">
      <c r="A13" s="1276"/>
      <c r="B13" s="1279" t="s">
        <v>876</v>
      </c>
      <c r="C13" s="1231"/>
      <c r="D13" s="1280" t="str">
        <f>IFERROR(__xludf.DUMMYFUNCTION("IF(
  Pricing!D8="""",
  """",
  IFERROR(
    VLOOKUP(
      Pricing!D8,
      IMPORTRANGE(
        ""1yRKiSiwTOx_Hj9DHPwpMhw9gK8bTY1IeLWGRh62hnCs"",
        ""Masterlist!E:L""
      ),
      4,
      FALSE
    )
  )
)
"),"Watts &amp; Hughs ")</f>
        <v>Watts &amp; Hughs </v>
      </c>
      <c r="E13" s="1066"/>
      <c r="F13" s="1066"/>
      <c r="G13" s="1066"/>
      <c r="H13" s="1066"/>
      <c r="I13" s="1066"/>
      <c r="J13" s="1066"/>
      <c r="K13" s="1066"/>
      <c r="L13" s="1066"/>
      <c r="M13" s="1066"/>
      <c r="N13" s="1066"/>
    </row>
    <row r="14">
      <c r="A14" s="1276"/>
      <c r="B14" s="1279" t="s">
        <v>877</v>
      </c>
      <c r="C14" s="1231"/>
      <c r="D14" s="1280" t="s">
        <v>878</v>
      </c>
      <c r="E14" s="1066"/>
      <c r="F14" s="1066"/>
      <c r="G14" s="1066"/>
      <c r="H14" s="1066"/>
      <c r="I14" s="1066"/>
      <c r="J14" s="1066"/>
      <c r="K14" s="1066"/>
      <c r="L14" s="1066"/>
      <c r="M14" s="1066"/>
      <c r="N14" s="1066"/>
    </row>
    <row r="15">
      <c r="A15" s="1276"/>
      <c r="B15" s="1279" t="s">
        <v>879</v>
      </c>
      <c r="C15" s="1231"/>
      <c r="D15" s="1280" t="str">
        <f>IFERROR(__xludf.DUMMYFUNCTION("JOIN(CHAR(10),
  IF(Pricing!D8="""","""",
    IFERROR(VLOOKUP(Pricing!D8,
      IMPORTRANGE(""1yRKiSiwTOx_Hj9DHPwpMhw9gK8bTY1IeLWGRh62hnCs"",""Masterlist!E:L""),
    2,FALSE)
  )),
  IF(Pricing!D8="""","""",
    IFERROR(VLOOKUP(Pricing!D8,
      IMPORTRAN"&amp;"GE(""1yRKiSiwTOx_Hj9DHPwpMhw9gK8bTY1IeLWGRh62hnCs"",""Masterlist!E:L""),
    3,FALSE)
  ))
)"),"Lakecrest Townhouses
Tauhara Ridge Drive, Richmond Heights, Taupō 3330, New Zealand")</f>
        <v>Lakecrest Townhouses
Tauhara Ridge Drive, Richmond Heights, Taupō 3330, New Zealand</v>
      </c>
      <c r="E15" s="1066"/>
      <c r="F15" s="1066"/>
      <c r="G15" s="1066"/>
      <c r="H15" s="1066"/>
      <c r="I15" s="1066"/>
      <c r="J15" s="1066"/>
      <c r="K15" s="1066"/>
      <c r="L15" s="1066"/>
      <c r="M15" s="1066"/>
      <c r="N15" s="1066"/>
    </row>
    <row r="16">
      <c r="A16" s="1276"/>
      <c r="B16" s="1277"/>
      <c r="C16" s="1231"/>
      <c r="D16" s="1286" t="s">
        <v>83</v>
      </c>
      <c r="E16" s="1066"/>
      <c r="F16" s="1066"/>
      <c r="G16" s="1066"/>
      <c r="H16" s="1066"/>
      <c r="I16" s="1066"/>
      <c r="J16" s="1066"/>
      <c r="K16" s="1066"/>
      <c r="L16" s="1066"/>
      <c r="M16" s="1066"/>
      <c r="N16" s="1066"/>
    </row>
    <row r="17">
      <c r="A17" s="1276"/>
      <c r="B17" s="1287" t="s">
        <v>880</v>
      </c>
      <c r="C17" s="1231"/>
      <c r="D17" s="1066"/>
      <c r="E17" s="1066"/>
      <c r="F17" s="1066"/>
      <c r="G17" s="1066"/>
      <c r="H17" s="1066"/>
      <c r="I17" s="1066"/>
      <c r="J17" s="1066"/>
      <c r="K17" s="1066"/>
      <c r="L17" s="1066"/>
      <c r="M17" s="1066"/>
      <c r="N17" s="1066"/>
    </row>
    <row r="18">
      <c r="A18" s="1276"/>
      <c r="B18" s="1288"/>
      <c r="C18" s="1289"/>
      <c r="D18" s="1066"/>
      <c r="E18" s="1066"/>
      <c r="F18" s="1066"/>
      <c r="G18" s="1066"/>
      <c r="H18" s="1066"/>
      <c r="I18" s="1066"/>
      <c r="J18" s="1066"/>
      <c r="K18" s="1066"/>
      <c r="L18" s="1066"/>
      <c r="M18" s="1066"/>
      <c r="N18" s="1066"/>
    </row>
    <row r="19">
      <c r="A19" s="1276"/>
      <c r="B19" s="1290"/>
      <c r="C19" s="1291" t="s">
        <v>881</v>
      </c>
      <c r="D19" s="1292" t="s">
        <v>882</v>
      </c>
      <c r="E19" s="1066"/>
      <c r="F19" s="1066"/>
      <c r="G19" s="1066"/>
      <c r="H19" s="1066"/>
      <c r="I19" s="1066"/>
      <c r="J19" s="1066"/>
      <c r="K19" s="1066"/>
      <c r="L19" s="1066"/>
      <c r="M19" s="1066"/>
      <c r="N19" s="1066"/>
    </row>
    <row r="20">
      <c r="A20" s="1276"/>
      <c r="B20" s="1290"/>
      <c r="C20" s="1291" t="s">
        <v>881</v>
      </c>
      <c r="D20" s="1292" t="s">
        <v>883</v>
      </c>
      <c r="E20" s="1066"/>
      <c r="F20" s="1066"/>
      <c r="G20" s="1066"/>
      <c r="H20" s="1066"/>
      <c r="I20" s="1066"/>
      <c r="J20" s="1066"/>
      <c r="K20" s="1066"/>
      <c r="L20" s="1066"/>
      <c r="M20" s="1066"/>
      <c r="N20" s="1066"/>
    </row>
    <row r="21">
      <c r="A21" s="1276"/>
      <c r="B21" s="1290"/>
      <c r="C21" s="1291" t="s">
        <v>881</v>
      </c>
      <c r="D21" s="1292" t="s">
        <v>884</v>
      </c>
      <c r="E21" s="1066"/>
      <c r="F21" s="1066"/>
      <c r="G21" s="1066"/>
      <c r="H21" s="1066"/>
      <c r="I21" s="1066"/>
      <c r="J21" s="1066"/>
      <c r="K21" s="1066"/>
      <c r="L21" s="1066"/>
      <c r="M21" s="1066"/>
      <c r="N21" s="1066"/>
    </row>
    <row r="22">
      <c r="A22" s="1276"/>
      <c r="B22" s="1290"/>
      <c r="C22" s="1291" t="s">
        <v>881</v>
      </c>
      <c r="D22" s="1292" t="s">
        <v>885</v>
      </c>
      <c r="E22" s="1066"/>
      <c r="F22" s="1066"/>
      <c r="G22" s="1066"/>
      <c r="H22" s="1066"/>
      <c r="I22" s="1066"/>
      <c r="J22" s="1066"/>
      <c r="K22" s="1066"/>
      <c r="L22" s="1066"/>
      <c r="M22" s="1066"/>
      <c r="N22" s="1066"/>
    </row>
    <row r="23">
      <c r="A23" s="1276"/>
      <c r="B23" s="1290"/>
      <c r="C23" s="1291" t="s">
        <v>881</v>
      </c>
      <c r="D23" s="1292" t="s">
        <v>886</v>
      </c>
      <c r="E23" s="1066"/>
      <c r="F23" s="1066"/>
      <c r="G23" s="1066"/>
      <c r="H23" s="1066"/>
      <c r="I23" s="1066"/>
      <c r="J23" s="1066"/>
      <c r="K23" s="1066"/>
      <c r="L23" s="1066"/>
      <c r="M23" s="1066"/>
      <c r="N23" s="1293"/>
    </row>
    <row r="24">
      <c r="A24" s="1276"/>
      <c r="B24" s="1290"/>
      <c r="C24" s="1291" t="s">
        <v>881</v>
      </c>
      <c r="D24" s="1292" t="s">
        <v>887</v>
      </c>
      <c r="E24" s="1066"/>
      <c r="F24" s="1066"/>
      <c r="G24" s="1066"/>
      <c r="H24" s="1066"/>
      <c r="I24" s="1066"/>
      <c r="J24" s="1066"/>
      <c r="K24" s="1066"/>
      <c r="L24" s="1066"/>
      <c r="M24" s="1066"/>
      <c r="N24" s="1066"/>
    </row>
    <row r="25">
      <c r="A25" s="1276"/>
      <c r="B25" s="1290"/>
      <c r="C25" s="1291" t="s">
        <v>881</v>
      </c>
      <c r="D25" s="1292" t="s">
        <v>888</v>
      </c>
      <c r="E25" s="1066"/>
      <c r="F25" s="1066"/>
      <c r="G25" s="1066"/>
      <c r="H25" s="1066"/>
      <c r="I25" s="1066"/>
      <c r="J25" s="1066"/>
      <c r="K25" s="1066"/>
      <c r="L25" s="1066"/>
      <c r="M25" s="1066"/>
      <c r="N25" s="1066"/>
    </row>
    <row r="26">
      <c r="A26" s="1276"/>
      <c r="B26" s="1277"/>
      <c r="C26" s="1067"/>
      <c r="D26" s="1066"/>
      <c r="E26" s="1066"/>
      <c r="F26" s="1066"/>
      <c r="G26" s="1066"/>
      <c r="H26" s="1066"/>
      <c r="I26" s="1066"/>
      <c r="J26" s="1066"/>
      <c r="K26" s="1066"/>
      <c r="L26" s="1066"/>
      <c r="M26" s="1066"/>
      <c r="N26" s="1066"/>
    </row>
    <row r="27">
      <c r="A27" s="1276"/>
      <c r="B27" s="1280" t="s">
        <v>889</v>
      </c>
      <c r="C27" s="1067"/>
      <c r="D27" s="1066"/>
      <c r="E27" s="1066"/>
      <c r="F27" s="1066"/>
      <c r="G27" s="1066"/>
      <c r="H27" s="1066"/>
      <c r="I27" s="1066"/>
      <c r="J27" s="1066"/>
      <c r="K27" s="1066"/>
      <c r="L27" s="1066"/>
      <c r="M27" s="1066"/>
      <c r="N27" s="1066"/>
    </row>
    <row r="28">
      <c r="A28" s="1276"/>
      <c r="B28" s="1277"/>
      <c r="C28" s="1067"/>
      <c r="D28" s="1066"/>
      <c r="E28" s="1294"/>
      <c r="F28" s="1066"/>
      <c r="G28" s="1066"/>
      <c r="H28" s="1066"/>
      <c r="I28" s="1066"/>
      <c r="J28" s="1066"/>
      <c r="K28" s="1066"/>
      <c r="L28" s="1066"/>
      <c r="M28" s="1066"/>
      <c r="N28" s="1066"/>
    </row>
    <row r="29">
      <c r="A29" s="1295" t="str">
        <f>IFERROR(__xludf.DUMMYFUNCTION("filter(Pricing!B14:D506,Pricing!A14:A506=1)"),"TB")</f>
        <v>TB</v>
      </c>
      <c r="B29" s="1296" t="str">
        <f>IFERROR(__xludf.DUMMYFUNCTION("""COMPUTED_VALUE"""),"ROOFING WORKS")</f>
        <v>ROOFING WORKS</v>
      </c>
      <c r="C29" s="1297"/>
      <c r="D29" s="1297"/>
      <c r="E29" s="1297"/>
      <c r="F29" s="1297"/>
      <c r="G29" s="1297"/>
      <c r="H29" s="1297"/>
      <c r="I29" s="1297"/>
      <c r="J29" s="1297"/>
      <c r="K29" s="1297"/>
      <c r="L29" s="1297"/>
      <c r="M29" s="1298"/>
      <c r="N29" s="1066"/>
    </row>
    <row r="30">
      <c r="A30" s="1276" t="str">
        <f>IFERROR(__xludf.DUMMYFUNCTION("""COMPUTED_VALUE"""),"B")</f>
        <v>B</v>
      </c>
      <c r="B30" s="1299" t="str">
        <f>IFERROR(__xludf.DUMMYFUNCTION("""COMPUTED_VALUE"""),"Roof Sheeting")</f>
        <v>Roof Sheeting</v>
      </c>
      <c r="C30" s="1297"/>
      <c r="D30" s="1297"/>
      <c r="E30" s="1297"/>
      <c r="F30" s="1297"/>
      <c r="G30" s="1297"/>
      <c r="H30" s="1297"/>
      <c r="I30" s="1297"/>
      <c r="J30" s="1297"/>
      <c r="K30" s="1297"/>
      <c r="L30" s="1297"/>
      <c r="M30" s="1298"/>
      <c r="N30" s="1066"/>
    </row>
    <row r="31">
      <c r="A31" s="1276"/>
      <c r="B31" s="1296" t="str">
        <f>IFERROR(__xludf.DUMMYFUNCTION("""COMPUTED_VALUE"""),"Supply and install 0.55bmt Dimond LT7 Magnaflow, as per plan (A09-02)")</f>
        <v>Supply and install 0.55bmt Dimond LT7 Magnaflow, as per plan (A09-02)</v>
      </c>
      <c r="C31" s="1297"/>
      <c r="D31" s="1297"/>
      <c r="E31" s="1297"/>
      <c r="F31" s="1297"/>
      <c r="G31" s="1297"/>
      <c r="H31" s="1297"/>
      <c r="I31" s="1297"/>
      <c r="J31" s="1297"/>
      <c r="K31" s="1297"/>
      <c r="L31" s="1297"/>
      <c r="M31" s="1298"/>
      <c r="N31" s="1066"/>
    </row>
    <row r="32">
      <c r="A32" s="1276" t="str">
        <f>IFERROR(__xludf.DUMMYFUNCTION("""COMPUTED_VALUE"""),"B")</f>
        <v>B</v>
      </c>
      <c r="B32" s="1296" t="str">
        <f>IFERROR(__xludf.DUMMYFUNCTION("""COMPUTED_VALUE"""),"Underlay")</f>
        <v>Underlay</v>
      </c>
      <c r="C32" s="1297"/>
      <c r="D32" s="1297"/>
      <c r="E32" s="1297"/>
      <c r="F32" s="1297"/>
      <c r="G32" s="1297"/>
      <c r="H32" s="1297"/>
      <c r="I32" s="1297"/>
      <c r="J32" s="1297"/>
      <c r="K32" s="1297"/>
      <c r="L32" s="1297"/>
      <c r="M32" s="1298"/>
      <c r="N32" s="1066"/>
    </row>
    <row r="33">
      <c r="A33" s="1276"/>
      <c r="B33" s="1296" t="str">
        <f>IFERROR(__xludf.DUMMYFUNCTION("""COMPUTED_VALUE"""),"Supply and install underlay")</f>
        <v>Supply and install underlay</v>
      </c>
      <c r="C33" s="1297"/>
      <c r="D33" s="1297"/>
      <c r="E33" s="1297"/>
      <c r="F33" s="1297"/>
      <c r="G33" s="1297"/>
      <c r="H33" s="1297"/>
      <c r="I33" s="1297"/>
      <c r="J33" s="1297"/>
      <c r="K33" s="1297"/>
      <c r="L33" s="1297"/>
      <c r="M33" s="1298"/>
      <c r="N33" s="1066"/>
    </row>
    <row r="34">
      <c r="A34" s="1276" t="str">
        <f>IFERROR(__xludf.DUMMYFUNCTION("""COMPUTED_VALUE"""),"B")</f>
        <v>B</v>
      </c>
      <c r="B34" s="1296" t="str">
        <f>IFERROR(__xludf.DUMMYFUNCTION("""COMPUTED_VALUE"""),"Safety Mesh")</f>
        <v>Safety Mesh</v>
      </c>
      <c r="C34" s="1297"/>
      <c r="D34" s="1297"/>
      <c r="E34" s="1297"/>
      <c r="F34" s="1297"/>
      <c r="G34" s="1297"/>
      <c r="H34" s="1297"/>
      <c r="I34" s="1297"/>
      <c r="J34" s="1297"/>
      <c r="K34" s="1297"/>
      <c r="L34" s="1297"/>
      <c r="M34" s="1298"/>
      <c r="N34" s="1066"/>
    </row>
    <row r="35">
      <c r="A35" s="1276"/>
      <c r="B35" s="1296" t="str">
        <f>IFERROR(__xludf.DUMMYFUNCTION("""COMPUTED_VALUE"""),"Supply and install safety mesh")</f>
        <v>Supply and install safety mesh</v>
      </c>
      <c r="C35" s="1297"/>
      <c r="D35" s="1297"/>
      <c r="E35" s="1297"/>
      <c r="F35" s="1297"/>
      <c r="G35" s="1297"/>
      <c r="H35" s="1297"/>
      <c r="I35" s="1297"/>
      <c r="J35" s="1297"/>
      <c r="K35" s="1297"/>
      <c r="L35" s="1297"/>
      <c r="M35" s="1298"/>
      <c r="N35" s="1066"/>
    </row>
    <row r="36">
      <c r="A36" s="1276" t="str">
        <f>IFERROR(__xludf.DUMMYFUNCTION("""COMPUTED_VALUE"""),"B")</f>
        <v>B</v>
      </c>
      <c r="B36" s="1296" t="str">
        <f>IFERROR(__xludf.DUMMYFUNCTION("""COMPUTED_VALUE"""),"Flashing/Capping")</f>
        <v>Flashing/Capping</v>
      </c>
      <c r="C36" s="1297"/>
      <c r="D36" s="1297"/>
      <c r="E36" s="1297"/>
      <c r="F36" s="1297"/>
      <c r="G36" s="1297"/>
      <c r="H36" s="1297"/>
      <c r="I36" s="1297"/>
      <c r="J36" s="1297"/>
      <c r="K36" s="1297"/>
      <c r="L36" s="1297"/>
      <c r="M36" s="1298"/>
      <c r="N36" s="1066"/>
    </row>
    <row r="37">
      <c r="A37" s="1276"/>
      <c r="B37" s="1296" t="str">
        <f>IFERROR(__xludf.DUMMYFUNCTION("""COMPUTED_VALUE"""),"Supply and install 0.55mm BMT ridge cap flashing, as per detail D-040 (A13-09)")</f>
        <v>Supply and install 0.55mm BMT ridge cap flashing, as per detail D-040 (A13-09)</v>
      </c>
      <c r="C37" s="1297"/>
      <c r="D37" s="1297"/>
      <c r="E37" s="1297"/>
      <c r="F37" s="1297"/>
      <c r="G37" s="1297"/>
      <c r="H37" s="1297"/>
      <c r="I37" s="1297"/>
      <c r="J37" s="1297"/>
      <c r="K37" s="1297"/>
      <c r="L37" s="1297"/>
      <c r="M37" s="1298"/>
      <c r="N37" s="1066"/>
    </row>
    <row r="38">
      <c r="A38" s="1276"/>
      <c r="B38" s="1296" t="str">
        <f>IFERROR(__xludf.DUMMYFUNCTION("""COMPUTED_VALUE"""),"Supply and install 0.55mm BMT hip cap flashing (670/3B), as per detail D-032 (A13-09)")</f>
        <v>Supply and install 0.55mm BMT hip cap flashing (670/3B), as per detail D-032 (A13-09)</v>
      </c>
      <c r="C38" s="1297"/>
      <c r="D38" s="1297"/>
      <c r="E38" s="1297"/>
      <c r="F38" s="1297"/>
      <c r="G38" s="1297"/>
      <c r="H38" s="1297"/>
      <c r="I38" s="1297"/>
      <c r="J38" s="1297"/>
      <c r="K38" s="1297"/>
      <c r="L38" s="1297"/>
      <c r="M38" s="1298"/>
      <c r="N38" s="1066"/>
    </row>
    <row r="39">
      <c r="A39" s="1276"/>
      <c r="B39" s="1296" t="str">
        <f>IFERROR(__xludf.DUMMYFUNCTION("""COMPUTED_VALUE"""),"Supply and install 0.55mm BMT head apron flashing (390/3B), as per detail D-050 (A13-13)")</f>
        <v>Supply and install 0.55mm BMT head apron flashing (390/3B), as per detail D-050 (A13-13)</v>
      </c>
      <c r="C39" s="1297"/>
      <c r="D39" s="1297"/>
      <c r="E39" s="1297"/>
      <c r="F39" s="1297"/>
      <c r="G39" s="1297"/>
      <c r="H39" s="1297"/>
      <c r="I39" s="1297"/>
      <c r="J39" s="1297"/>
      <c r="K39" s="1297"/>
      <c r="L39" s="1297"/>
      <c r="M39" s="1298"/>
      <c r="N39" s="1066"/>
    </row>
    <row r="40">
      <c r="A40" s="1276"/>
      <c r="B40" s="1296" t="str">
        <f>IFERROR(__xludf.DUMMYFUNCTION("""COMPUTED_VALUE"""),"Supply and install 0.55mm BMT side apron flashing (370/3B), as per detail D-049 (A13-13)")</f>
        <v>Supply and install 0.55mm BMT side apron flashing (370/3B), as per detail D-049 (A13-13)</v>
      </c>
      <c r="C40" s="1297"/>
      <c r="D40" s="1297"/>
      <c r="E40" s="1297"/>
      <c r="F40" s="1297"/>
      <c r="G40" s="1297"/>
      <c r="H40" s="1297"/>
      <c r="I40" s="1297"/>
      <c r="J40" s="1297"/>
      <c r="K40" s="1297"/>
      <c r="L40" s="1297"/>
      <c r="M40" s="1298"/>
      <c r="N40" s="1066"/>
    </row>
    <row r="41">
      <c r="A41" s="1276"/>
      <c r="B41" s="1296" t="str">
        <f>IFERROR(__xludf.DUMMYFUNCTION("""COMPUTED_VALUE"""),"Supply and install 0.55mm BMT 2-piece side barge flashing &amp; bracket flashing, as per detail D-037 (A13-10)")</f>
        <v>Supply and install 0.55mm BMT 2-piece side barge flashing &amp; bracket flashing, as per detail D-037 (A13-10)</v>
      </c>
      <c r="C41" s="1297"/>
      <c r="D41" s="1297"/>
      <c r="E41" s="1297"/>
      <c r="F41" s="1297"/>
      <c r="G41" s="1297"/>
      <c r="H41" s="1297"/>
      <c r="I41" s="1297"/>
      <c r="J41" s="1297"/>
      <c r="K41" s="1297"/>
      <c r="L41" s="1297"/>
      <c r="M41" s="1298"/>
      <c r="N41" s="1066"/>
    </row>
    <row r="42">
      <c r="A42" s="1276"/>
      <c r="B42" s="1296" t="str">
        <f>IFERROR(__xludf.DUMMYFUNCTION("""COMPUTED_VALUE"""),"Supply and install 0.55mm BMT valley flashing, as per detail D-033 (A13-10)")</f>
        <v>Supply and install 0.55mm BMT valley flashing, as per detail D-033 (A13-10)</v>
      </c>
      <c r="C42" s="1297"/>
      <c r="D42" s="1297"/>
      <c r="E42" s="1297"/>
      <c r="F42" s="1297"/>
      <c r="G42" s="1297"/>
      <c r="H42" s="1297"/>
      <c r="I42" s="1297"/>
      <c r="J42" s="1297"/>
      <c r="K42" s="1297"/>
      <c r="L42" s="1297"/>
      <c r="M42" s="1298"/>
      <c r="N42" s="1066"/>
    </row>
    <row r="43">
      <c r="A43" s="1276"/>
      <c r="B43" s="1296" t="str">
        <f>IFERROR(__xludf.DUMMYFUNCTION("""COMPUTED_VALUE"""),"Supply and install 0.55mm BMT eaves flashing (210/1B), as per detail D-035 (A13-10)")</f>
        <v>Supply and install 0.55mm BMT eaves flashing (210/1B), as per detail D-035 (A13-10)</v>
      </c>
      <c r="C43" s="1297"/>
      <c r="D43" s="1297"/>
      <c r="E43" s="1297"/>
      <c r="F43" s="1297"/>
      <c r="G43" s="1297"/>
      <c r="H43" s="1297"/>
      <c r="I43" s="1297"/>
      <c r="J43" s="1297"/>
      <c r="K43" s="1297"/>
      <c r="L43" s="1297"/>
      <c r="M43" s="1298"/>
      <c r="N43" s="1066"/>
    </row>
    <row r="44">
      <c r="A44" s="1276"/>
      <c r="B44" s="1296" t="str">
        <f>IFERROR(__xludf.DUMMYFUNCTION("""COMPUTED_VALUE"""),"Supply and install 0.55mm BMT backtray flashing (1200/2B)")</f>
        <v>Supply and install 0.55mm BMT backtray flashing (1200/2B)</v>
      </c>
      <c r="C44" s="1297"/>
      <c r="D44" s="1297"/>
      <c r="E44" s="1297"/>
      <c r="F44" s="1297"/>
      <c r="G44" s="1297"/>
      <c r="H44" s="1297"/>
      <c r="I44" s="1297"/>
      <c r="J44" s="1297"/>
      <c r="K44" s="1297"/>
      <c r="L44" s="1297"/>
      <c r="M44" s="1298"/>
      <c r="N44" s="1066"/>
    </row>
    <row r="45">
      <c r="A45" s="1276"/>
      <c r="B45" s="1296" t="str">
        <f>IFERROR(__xludf.DUMMYFUNCTION("""COMPUTED_VALUE"""),"Supply and install 0.55mm BMT backtray flashing (700/2B)")</f>
        <v>Supply and install 0.55mm BMT backtray flashing (700/2B)</v>
      </c>
      <c r="C45" s="1297"/>
      <c r="D45" s="1297"/>
      <c r="E45" s="1297"/>
      <c r="F45" s="1297"/>
      <c r="G45" s="1297"/>
      <c r="H45" s="1297"/>
      <c r="I45" s="1297"/>
      <c r="J45" s="1297"/>
      <c r="K45" s="1297"/>
      <c r="L45" s="1297"/>
      <c r="M45" s="1298"/>
      <c r="N45" s="1066"/>
    </row>
    <row r="46">
      <c r="A46" s="1276"/>
      <c r="B46" s="1296" t="str">
        <f>IFERROR(__xludf.DUMMYFUNCTION("""COMPUTED_VALUE"""),"Supply and install 0.55mm BMT backtray flashing (930/2B)")</f>
        <v>Supply and install 0.55mm BMT backtray flashing (930/2B)</v>
      </c>
      <c r="C46" s="1297"/>
      <c r="D46" s="1297"/>
      <c r="E46" s="1297"/>
      <c r="F46" s="1297"/>
      <c r="G46" s="1297"/>
      <c r="H46" s="1297"/>
      <c r="I46" s="1297"/>
      <c r="J46" s="1297"/>
      <c r="K46" s="1297"/>
      <c r="L46" s="1297"/>
      <c r="M46" s="1298"/>
      <c r="N46" s="1066"/>
    </row>
    <row r="47">
      <c r="A47" s="1276"/>
      <c r="B47" s="1296" t="str">
        <f>IFERROR(__xludf.DUMMYFUNCTION("""COMPUTED_VALUE"""),"Supply and install 1.6mm BMT powder coated welded flashing (510/6B), as per detail D-034 (A13-11)")</f>
        <v>Supply and install 1.6mm BMT powder coated welded flashing (510/6B), as per detail D-034 (A13-11)</v>
      </c>
      <c r="C47" s="1297"/>
      <c r="D47" s="1297"/>
      <c r="E47" s="1297"/>
      <c r="F47" s="1297"/>
      <c r="G47" s="1297"/>
      <c r="H47" s="1297"/>
      <c r="I47" s="1297"/>
      <c r="J47" s="1297"/>
      <c r="K47" s="1297"/>
      <c r="L47" s="1297"/>
      <c r="M47" s="1298"/>
      <c r="N47" s="1066"/>
    </row>
    <row r="48">
      <c r="A48" s="1276"/>
      <c r="B48" s="1296" t="str">
        <f>IFERROR(__xludf.DUMMYFUNCTION("""COMPUTED_VALUE"""),"Supply and install 1.6mm BMT powder coated welded flashing (460/4B), as per detail D-046 (A13-11)")</f>
        <v>Supply and install 1.6mm BMT powder coated welded flashing (460/4B), as per detail D-046 (A13-11)</v>
      </c>
      <c r="C48" s="1297"/>
      <c r="D48" s="1297"/>
      <c r="E48" s="1297"/>
      <c r="F48" s="1297"/>
      <c r="G48" s="1297"/>
      <c r="H48" s="1297"/>
      <c r="I48" s="1297"/>
      <c r="J48" s="1297"/>
      <c r="K48" s="1297"/>
      <c r="L48" s="1297"/>
      <c r="M48" s="1298"/>
      <c r="N48" s="1066"/>
    </row>
    <row r="49">
      <c r="A49" s="1276" t="str">
        <f>IFERROR(__xludf.DUMMYFUNCTION("""COMPUTED_VALUE"""),"B")</f>
        <v>B</v>
      </c>
      <c r="B49" s="1296" t="str">
        <f>IFERROR(__xludf.DUMMYFUNCTION("""COMPUTED_VALUE"""),"Skylight")</f>
        <v>Skylight</v>
      </c>
      <c r="C49" s="1297"/>
      <c r="D49" s="1297"/>
      <c r="E49" s="1297"/>
      <c r="F49" s="1297"/>
      <c r="G49" s="1297"/>
      <c r="H49" s="1297"/>
      <c r="I49" s="1297"/>
      <c r="J49" s="1297"/>
      <c r="K49" s="1297"/>
      <c r="L49" s="1297"/>
      <c r="M49" s="1298"/>
      <c r="N49" s="1066"/>
    </row>
    <row r="50">
      <c r="A50" s="1276"/>
      <c r="B50" s="1296" t="str">
        <f>IFERROR(__xludf.DUMMYFUNCTION("""COMPUTED_VALUE"""),"Supply and install Adlux Harmony HFG22 750x1050OA Skylight, as per plan (A09-02)")</f>
        <v>Supply and install Adlux Harmony HFG22 750x1050OA Skylight, as per plan (A09-02)</v>
      </c>
      <c r="C50" s="1297"/>
      <c r="D50" s="1297"/>
      <c r="E50" s="1297"/>
      <c r="F50" s="1297"/>
      <c r="G50" s="1297"/>
      <c r="H50" s="1297"/>
      <c r="I50" s="1297"/>
      <c r="J50" s="1297"/>
      <c r="K50" s="1297"/>
      <c r="L50" s="1297"/>
      <c r="M50" s="1298"/>
      <c r="N50" s="1066"/>
    </row>
    <row r="51">
      <c r="A51" s="1276"/>
      <c r="B51" s="1296" t="str">
        <f>IFERROR(__xludf.DUMMYFUNCTION("""COMPUTED_VALUE"""),"Supply and install Adlux Harmony HFJ16 750x750OA Skylight, as per plan (A09-02)")</f>
        <v>Supply and install Adlux Harmony HFJ16 750x750OA Skylight, as per plan (A09-02)</v>
      </c>
      <c r="C51" s="1297"/>
      <c r="D51" s="1297"/>
      <c r="E51" s="1297"/>
      <c r="F51" s="1297"/>
      <c r="G51" s="1297"/>
      <c r="H51" s="1297"/>
      <c r="I51" s="1297"/>
      <c r="J51" s="1297"/>
      <c r="K51" s="1297"/>
      <c r="L51" s="1297"/>
      <c r="M51" s="1298"/>
      <c r="N51" s="1066"/>
    </row>
    <row r="52">
      <c r="A52" s="1276"/>
      <c r="B52" s="1296" t="str">
        <f>IFERROR(__xludf.DUMMYFUNCTION("""COMPUTED_VALUE"""),"Supply and install Adlux Harmony HFJ26 900x1250OA Skylight. Alternative: Velux Fixed skylight (pitched roofs) 1140 x 1180")</f>
        <v>Supply and install Adlux Harmony HFJ26 900x1250OA Skylight. Alternative: Velux Fixed skylight (pitched roofs) 1140 x 1180</v>
      </c>
      <c r="C52" s="1297"/>
      <c r="D52" s="1297"/>
      <c r="E52" s="1297"/>
      <c r="F52" s="1297"/>
      <c r="G52" s="1297"/>
      <c r="H52" s="1297"/>
      <c r="I52" s="1297"/>
      <c r="J52" s="1297"/>
      <c r="K52" s="1297"/>
      <c r="L52" s="1297"/>
      <c r="M52" s="1298"/>
      <c r="N52" s="1066"/>
    </row>
    <row r="53">
      <c r="A53" s="1276" t="str">
        <f>IFERROR(__xludf.DUMMYFUNCTION("""COMPUTED_VALUE"""),"B")</f>
        <v>B</v>
      </c>
      <c r="B53" s="1296" t="str">
        <f>IFERROR(__xludf.DUMMYFUNCTION("""COMPUTED_VALUE"""),"Dektite")</f>
        <v>Dektite</v>
      </c>
      <c r="C53" s="1297"/>
      <c r="D53" s="1297"/>
      <c r="E53" s="1297"/>
      <c r="F53" s="1297"/>
      <c r="G53" s="1297"/>
      <c r="H53" s="1297"/>
      <c r="I53" s="1297"/>
      <c r="J53" s="1297"/>
      <c r="K53" s="1297"/>
      <c r="L53" s="1297"/>
      <c r="M53" s="1298"/>
      <c r="N53" s="1066"/>
    </row>
    <row r="54">
      <c r="A54" s="1276"/>
      <c r="B54" s="1296" t="str">
        <f>IFERROR(__xludf.DUMMYFUNCTION("""COMPUTED_VALUE"""),"Supply and install dektite")</f>
        <v>Supply and install dektite</v>
      </c>
      <c r="C54" s="1297"/>
      <c r="D54" s="1297"/>
      <c r="E54" s="1297"/>
      <c r="F54" s="1297"/>
      <c r="G54" s="1297"/>
      <c r="H54" s="1297"/>
      <c r="I54" s="1297"/>
      <c r="J54" s="1297"/>
      <c r="K54" s="1297"/>
      <c r="L54" s="1297"/>
      <c r="M54" s="1298"/>
      <c r="N54" s="1066"/>
    </row>
    <row r="55">
      <c r="A55" s="1276" t="str">
        <f>IFERROR(__xludf.DUMMYFUNCTION("""COMPUTED_VALUE"""),"B")</f>
        <v>B</v>
      </c>
      <c r="B55" s="1296" t="str">
        <f>IFERROR(__xludf.DUMMYFUNCTION("""COMPUTED_VALUE"""),"Penos")</f>
        <v>Penos</v>
      </c>
      <c r="C55" s="1297"/>
      <c r="D55" s="1297"/>
      <c r="E55" s="1297"/>
      <c r="F55" s="1297"/>
      <c r="G55" s="1297"/>
      <c r="H55" s="1297"/>
      <c r="I55" s="1297"/>
      <c r="J55" s="1297"/>
      <c r="K55" s="1297"/>
      <c r="L55" s="1297"/>
      <c r="M55" s="1298"/>
      <c r="N55" s="1066"/>
    </row>
    <row r="56">
      <c r="A56" s="1276"/>
      <c r="B56" s="1296" t="str">
        <f>IFERROR(__xludf.DUMMYFUNCTION("""COMPUTED_VALUE"""),"Allowance for Skylight penetration")</f>
        <v>Allowance for Skylight penetration</v>
      </c>
      <c r="C56" s="1297"/>
      <c r="D56" s="1297"/>
      <c r="E56" s="1297"/>
      <c r="F56" s="1297"/>
      <c r="G56" s="1297"/>
      <c r="H56" s="1297"/>
      <c r="I56" s="1297"/>
      <c r="J56" s="1297"/>
      <c r="K56" s="1297"/>
      <c r="L56" s="1297"/>
      <c r="M56" s="1298"/>
      <c r="N56" s="1066"/>
    </row>
    <row r="57">
      <c r="A57" s="1276"/>
      <c r="B57" s="1296" t="str">
        <f>IFERROR(__xludf.DUMMYFUNCTION("""COMPUTED_VALUE"""),"Allowance for pipe/flume penetration")</f>
        <v>Allowance for pipe/flume penetration</v>
      </c>
      <c r="C57" s="1297"/>
      <c r="D57" s="1297"/>
      <c r="E57" s="1297"/>
      <c r="F57" s="1297"/>
      <c r="G57" s="1297"/>
      <c r="H57" s="1297"/>
      <c r="I57" s="1297"/>
      <c r="J57" s="1297"/>
      <c r="K57" s="1297"/>
      <c r="L57" s="1297"/>
      <c r="M57" s="1298"/>
      <c r="N57" s="1066"/>
    </row>
    <row r="58">
      <c r="A58" s="1276" t="str">
        <f>IFERROR(__xludf.DUMMYFUNCTION("""COMPUTED_VALUE"""),"B")</f>
        <v>B</v>
      </c>
      <c r="B58" s="1296" t="str">
        <f>IFERROR(__xludf.DUMMYFUNCTION("""COMPUTED_VALUE"""),"Gutter")</f>
        <v>Gutter</v>
      </c>
      <c r="C58" s="1297"/>
      <c r="D58" s="1297"/>
      <c r="E58" s="1297"/>
      <c r="F58" s="1297"/>
      <c r="G58" s="1297"/>
      <c r="H58" s="1297"/>
      <c r="I58" s="1297"/>
      <c r="J58" s="1297"/>
      <c r="K58" s="1297"/>
      <c r="L58" s="1297"/>
      <c r="M58" s="1298"/>
      <c r="N58" s="1066"/>
    </row>
    <row r="59">
      <c r="A59" s="1276"/>
      <c r="B59" s="1296" t="str">
        <f>IFERROR(__xludf.DUMMYFUNCTION("""COMPUTED_VALUE"""),"Supply and install Dimond Half Round Gutter (290/4B), as per detail D-035 (A13-10)")</f>
        <v>Supply and install Dimond Half Round Gutter (290/4B), as per detail D-035 (A13-10)</v>
      </c>
      <c r="C59" s="1297"/>
      <c r="D59" s="1297"/>
      <c r="E59" s="1297"/>
      <c r="F59" s="1297"/>
      <c r="G59" s="1297"/>
      <c r="H59" s="1297"/>
      <c r="I59" s="1297"/>
      <c r="J59" s="1297"/>
      <c r="K59" s="1297"/>
      <c r="L59" s="1297"/>
      <c r="M59" s="1298"/>
      <c r="N59" s="1066"/>
    </row>
    <row r="60">
      <c r="A60" s="1276" t="str">
        <f>IFERROR(__xludf.DUMMYFUNCTION("""COMPUTED_VALUE"""),"B")</f>
        <v>B</v>
      </c>
      <c r="B60" s="1296" t="str">
        <f>IFERROR(__xludf.DUMMYFUNCTION("""COMPUTED_VALUE"""),"Downpipe")</f>
        <v>Downpipe</v>
      </c>
      <c r="C60" s="1297"/>
      <c r="D60" s="1297"/>
      <c r="E60" s="1297"/>
      <c r="F60" s="1297"/>
      <c r="G60" s="1297"/>
      <c r="H60" s="1297"/>
      <c r="I60" s="1297"/>
      <c r="J60" s="1297"/>
      <c r="K60" s="1297"/>
      <c r="L60" s="1297"/>
      <c r="M60" s="1298"/>
      <c r="N60" s="1066"/>
    </row>
    <row r="61">
      <c r="A61" s="1276"/>
      <c r="B61" s="1296" t="str">
        <f>IFERROR(__xludf.DUMMYFUNCTION("""COMPUTED_VALUE"""),"Supply and install 80mmØ colorsteel maxam downpipe &amp; outlet pops, as per schedule")</f>
        <v>Supply and install 80mmØ colorsteel maxam downpipe &amp; outlet pops, as per schedule</v>
      </c>
      <c r="C61" s="1297"/>
      <c r="D61" s="1297"/>
      <c r="E61" s="1297"/>
      <c r="F61" s="1297"/>
      <c r="G61" s="1297"/>
      <c r="H61" s="1297"/>
      <c r="I61" s="1297"/>
      <c r="J61" s="1297"/>
      <c r="K61" s="1297"/>
      <c r="L61" s="1297"/>
      <c r="M61" s="1298"/>
      <c r="N61" s="1066"/>
    </row>
    <row r="62">
      <c r="A62" s="1300"/>
      <c r="B62" s="1301"/>
      <c r="C62" s="1297"/>
      <c r="D62" s="1297"/>
      <c r="E62" s="1297"/>
      <c r="F62" s="1297"/>
      <c r="G62" s="1297"/>
      <c r="H62" s="1297"/>
      <c r="I62" s="1297"/>
      <c r="J62" s="1297"/>
      <c r="K62" s="1297"/>
      <c r="L62" s="1297"/>
      <c r="M62" s="1298"/>
      <c r="N62" s="1066"/>
    </row>
    <row r="63">
      <c r="A63" s="1276"/>
      <c r="B63" s="1276"/>
      <c r="C63" s="1276"/>
      <c r="D63" s="1276"/>
      <c r="E63" s="1276"/>
      <c r="F63" s="1276"/>
      <c r="G63" s="1276"/>
      <c r="H63" s="1276"/>
      <c r="I63" s="1276"/>
      <c r="J63" s="1276"/>
      <c r="K63" s="1276"/>
      <c r="L63" s="1276"/>
      <c r="M63" s="1276"/>
      <c r="N63" s="1276"/>
    </row>
    <row r="64">
      <c r="A64" s="1302" t="s">
        <v>890</v>
      </c>
      <c r="B64" s="1280" t="s">
        <v>891</v>
      </c>
      <c r="C64" s="1067"/>
      <c r="D64" s="1066"/>
      <c r="E64" s="1066"/>
      <c r="F64" s="1066"/>
      <c r="G64" s="1066"/>
      <c r="H64" s="1066"/>
      <c r="I64" s="1066"/>
      <c r="J64" s="1066"/>
      <c r="K64" s="1066"/>
      <c r="L64" s="1066"/>
      <c r="M64" s="1066"/>
      <c r="N64" s="1303"/>
    </row>
    <row r="65" ht="17.25" customHeight="1">
      <c r="A65" s="1276"/>
      <c r="B65" s="1304" t="s">
        <v>892</v>
      </c>
      <c r="C65" s="1305"/>
      <c r="D65" s="1306"/>
      <c r="E65" s="1306"/>
      <c r="F65" s="1307" t="s">
        <v>893</v>
      </c>
      <c r="G65" s="1308">
        <f>Pricing!AG196</f>
        <v>114613.3703</v>
      </c>
      <c r="I65" s="1066"/>
      <c r="J65" s="1066"/>
      <c r="K65" s="1066"/>
      <c r="L65" s="1066"/>
      <c r="M65" s="1066"/>
      <c r="N65" s="1066"/>
    </row>
    <row r="66" ht="17.25" customHeight="1">
      <c r="A66" s="1276"/>
      <c r="B66" s="1309"/>
      <c r="C66" s="1067"/>
      <c r="D66" s="1066"/>
      <c r="E66" s="1066"/>
      <c r="F66" s="1066"/>
      <c r="G66" s="1066"/>
      <c r="I66" s="1066"/>
      <c r="J66" s="1066"/>
      <c r="K66" s="1066"/>
      <c r="L66" s="1066"/>
      <c r="M66" s="1066"/>
      <c r="N66" s="1066"/>
    </row>
    <row r="67">
      <c r="A67" s="1276"/>
      <c r="B67" s="1280"/>
      <c r="C67" s="1067"/>
      <c r="D67" s="1066"/>
      <c r="E67" s="1066"/>
      <c r="F67" s="1066"/>
      <c r="G67" s="1066"/>
      <c r="H67" s="1066"/>
      <c r="I67" s="1066"/>
      <c r="J67" s="1066"/>
      <c r="K67" s="1066"/>
      <c r="L67" s="1066"/>
      <c r="M67" s="1066"/>
      <c r="N67" s="1066"/>
    </row>
    <row r="68">
      <c r="A68" s="1276"/>
      <c r="B68" s="1280" t="s">
        <v>894</v>
      </c>
      <c r="C68" s="1067"/>
      <c r="D68" s="1066"/>
      <c r="E68" s="1066"/>
      <c r="F68" s="1066"/>
      <c r="G68" s="1066"/>
      <c r="H68" s="1066"/>
      <c r="I68" s="1066"/>
      <c r="J68" s="1066"/>
      <c r="K68" s="1066"/>
      <c r="L68" s="1066"/>
      <c r="M68" s="1066"/>
      <c r="N68" s="1066"/>
    </row>
    <row r="69">
      <c r="A69" s="1276"/>
      <c r="B69" s="1310"/>
      <c r="C69" s="1067"/>
      <c r="D69" s="1066"/>
      <c r="E69" s="1066"/>
      <c r="F69" s="1066"/>
      <c r="G69" s="1066"/>
      <c r="H69" s="1066"/>
      <c r="I69" s="1066"/>
      <c r="J69" s="1066"/>
      <c r="K69" s="1066"/>
      <c r="L69" s="1066"/>
      <c r="M69" s="1066"/>
      <c r="N69" s="1066"/>
    </row>
    <row r="70">
      <c r="A70" s="1276"/>
      <c r="B70" s="1311"/>
      <c r="C70" s="1312" t="s">
        <v>881</v>
      </c>
      <c r="D70" s="1287" t="s">
        <v>895</v>
      </c>
      <c r="E70" s="1066"/>
      <c r="F70" s="1066"/>
      <c r="G70" s="1066"/>
      <c r="H70" s="1066"/>
      <c r="I70" s="1066"/>
      <c r="J70" s="1066"/>
      <c r="K70" s="1066"/>
      <c r="L70" s="1066"/>
      <c r="M70" s="1066"/>
      <c r="N70" s="1066"/>
    </row>
    <row r="71">
      <c r="A71" s="1276"/>
      <c r="B71" s="1311"/>
      <c r="C71" s="1312" t="s">
        <v>881</v>
      </c>
      <c r="D71" s="1287" t="s">
        <v>896</v>
      </c>
      <c r="E71" s="1066"/>
      <c r="F71" s="1066"/>
      <c r="G71" s="1313"/>
      <c r="H71" s="1066"/>
      <c r="I71" s="1066"/>
      <c r="J71" s="1066"/>
      <c r="K71" s="1066"/>
      <c r="L71" s="1066"/>
      <c r="M71" s="1066"/>
      <c r="N71" s="1066"/>
    </row>
    <row r="72">
      <c r="A72" s="1276"/>
      <c r="B72" s="1311"/>
      <c r="C72" s="1312" t="s">
        <v>881</v>
      </c>
      <c r="D72" s="1287" t="s">
        <v>897</v>
      </c>
      <c r="E72" s="1066"/>
      <c r="F72" s="1066"/>
      <c r="G72" s="1313"/>
      <c r="H72" s="1066"/>
      <c r="I72" s="1066"/>
      <c r="J72" s="1066"/>
      <c r="K72" s="1066"/>
      <c r="L72" s="1066"/>
      <c r="M72" s="1066"/>
      <c r="N72" s="1066"/>
    </row>
    <row r="73">
      <c r="A73" s="1276"/>
      <c r="B73" s="1311"/>
      <c r="C73" s="1312" t="s">
        <v>881</v>
      </c>
      <c r="D73" s="1287" t="s">
        <v>898</v>
      </c>
      <c r="E73" s="1066"/>
      <c r="F73" s="1066"/>
      <c r="G73" s="1066"/>
      <c r="H73" s="1066"/>
      <c r="I73" s="1066"/>
      <c r="J73" s="1066"/>
      <c r="K73" s="1066"/>
      <c r="L73" s="1066"/>
      <c r="M73" s="1066"/>
      <c r="N73" s="1066"/>
    </row>
    <row r="74">
      <c r="A74" s="1276"/>
      <c r="B74" s="1311"/>
      <c r="C74" s="1312" t="s">
        <v>881</v>
      </c>
      <c r="D74" s="1287" t="s">
        <v>899</v>
      </c>
      <c r="E74" s="1066"/>
      <c r="F74" s="1066"/>
      <c r="G74" s="1066"/>
      <c r="H74" s="1066"/>
      <c r="I74" s="1066"/>
      <c r="J74" s="1066"/>
      <c r="K74" s="1066"/>
      <c r="L74" s="1066"/>
      <c r="M74" s="1066"/>
      <c r="N74" s="1066"/>
    </row>
    <row r="75">
      <c r="A75" s="1276"/>
      <c r="B75" s="1311"/>
      <c r="C75" s="1312" t="s">
        <v>881</v>
      </c>
      <c r="D75" s="1287" t="s">
        <v>900</v>
      </c>
      <c r="E75" s="1066"/>
      <c r="F75" s="1066"/>
      <c r="G75" s="1066"/>
      <c r="H75" s="1066"/>
      <c r="I75" s="1066"/>
      <c r="J75" s="1066"/>
      <c r="K75" s="1066"/>
      <c r="L75" s="1066"/>
      <c r="M75" s="1066"/>
      <c r="N75" s="1066"/>
    </row>
    <row r="76">
      <c r="A76" s="1276"/>
      <c r="B76" s="1311"/>
      <c r="C76" s="1312" t="s">
        <v>881</v>
      </c>
      <c r="D76" s="1287" t="s">
        <v>901</v>
      </c>
      <c r="E76" s="1066"/>
      <c r="F76" s="1066"/>
      <c r="G76" s="1066"/>
      <c r="H76" s="1066"/>
      <c r="I76" s="1066"/>
      <c r="J76" s="1066"/>
      <c r="K76" s="1066"/>
      <c r="L76" s="1066"/>
      <c r="M76" s="1066"/>
      <c r="N76" s="1066"/>
    </row>
    <row r="77">
      <c r="A77" s="1276"/>
      <c r="B77" s="1311"/>
      <c r="C77" s="1312" t="s">
        <v>881</v>
      </c>
      <c r="D77" s="1287" t="s">
        <v>902</v>
      </c>
      <c r="E77" s="1066"/>
      <c r="F77" s="1066"/>
      <c r="G77" s="1066"/>
      <c r="H77" s="1066"/>
      <c r="I77" s="1066"/>
      <c r="J77" s="1066"/>
      <c r="K77" s="1066"/>
      <c r="L77" s="1066"/>
      <c r="M77" s="1066"/>
      <c r="N77" s="1066"/>
    </row>
    <row r="78">
      <c r="A78" s="1276"/>
      <c r="B78" s="1311"/>
      <c r="C78" s="1312" t="s">
        <v>881</v>
      </c>
      <c r="D78" s="1287" t="s">
        <v>903</v>
      </c>
      <c r="E78" s="1066"/>
      <c r="F78" s="1066"/>
      <c r="G78" s="1066"/>
      <c r="H78" s="1066"/>
      <c r="I78" s="1066"/>
      <c r="J78" s="1066"/>
      <c r="K78" s="1066"/>
      <c r="L78" s="1066"/>
      <c r="M78" s="1066"/>
      <c r="N78" s="1066"/>
    </row>
    <row r="79">
      <c r="A79" s="1276"/>
      <c r="B79" s="1311"/>
      <c r="C79" s="1312" t="s">
        <v>881</v>
      </c>
      <c r="D79" s="1287" t="s">
        <v>904</v>
      </c>
      <c r="E79" s="1066"/>
      <c r="F79" s="1066"/>
      <c r="G79" s="1066"/>
      <c r="H79" s="1066"/>
      <c r="I79" s="1066"/>
      <c r="J79" s="1066"/>
      <c r="K79" s="1066"/>
      <c r="L79" s="1066"/>
      <c r="M79" s="1066"/>
      <c r="N79" s="1066"/>
    </row>
    <row r="80">
      <c r="A80" s="1276"/>
      <c r="B80" s="1311"/>
      <c r="C80" s="1312" t="s">
        <v>881</v>
      </c>
      <c r="D80" s="1287" t="s">
        <v>905</v>
      </c>
      <c r="E80" s="1066"/>
      <c r="F80" s="1066"/>
      <c r="G80" s="1066"/>
      <c r="H80" s="1066"/>
      <c r="I80" s="1066"/>
      <c r="J80" s="1066"/>
      <c r="K80" s="1066"/>
      <c r="L80" s="1066"/>
      <c r="M80" s="1066"/>
      <c r="N80" s="1066"/>
    </row>
    <row r="81">
      <c r="A81" s="1276"/>
      <c r="B81" s="1311"/>
      <c r="C81" s="1312" t="s">
        <v>881</v>
      </c>
      <c r="D81" s="1287" t="s">
        <v>906</v>
      </c>
      <c r="E81" s="1066"/>
      <c r="F81" s="1066"/>
      <c r="G81" s="1066"/>
      <c r="H81" s="1066"/>
      <c r="I81" s="1066"/>
      <c r="J81" s="1066"/>
      <c r="K81" s="1066"/>
      <c r="L81" s="1066"/>
      <c r="M81" s="1066"/>
      <c r="N81" s="1066"/>
    </row>
    <row r="82">
      <c r="A82" s="1276"/>
      <c r="B82" s="1311"/>
      <c r="C82" s="1312" t="s">
        <v>881</v>
      </c>
      <c r="D82" s="1314" t="s">
        <v>907</v>
      </c>
      <c r="N82" s="1066"/>
    </row>
    <row r="83">
      <c r="A83" s="1276"/>
      <c r="B83" s="1311"/>
      <c r="C83" s="1067"/>
      <c r="D83" s="1287" t="s">
        <v>908</v>
      </c>
      <c r="E83" s="1066"/>
      <c r="F83" s="1066"/>
      <c r="G83" s="1066"/>
      <c r="H83" s="1066"/>
      <c r="I83" s="1066"/>
      <c r="J83" s="1066"/>
      <c r="K83" s="1066"/>
      <c r="L83" s="1066"/>
      <c r="M83" s="1066"/>
      <c r="N83" s="1066"/>
    </row>
    <row r="84">
      <c r="A84" s="1276"/>
      <c r="B84" s="1311"/>
      <c r="C84" s="1067"/>
      <c r="D84" s="1287" t="s">
        <v>909</v>
      </c>
      <c r="E84" s="1066"/>
      <c r="F84" s="1066"/>
      <c r="G84" s="1066"/>
      <c r="H84" s="1066"/>
      <c r="I84" s="1066"/>
      <c r="J84" s="1066"/>
      <c r="K84" s="1066"/>
      <c r="L84" s="1066"/>
      <c r="M84" s="1066"/>
      <c r="N84" s="1066"/>
    </row>
    <row r="85">
      <c r="A85" s="1276"/>
      <c r="B85" s="1311"/>
      <c r="C85" s="1312" t="s">
        <v>881</v>
      </c>
      <c r="D85" s="1287" t="s">
        <v>910</v>
      </c>
      <c r="E85" s="1066"/>
      <c r="F85" s="1066"/>
      <c r="G85" s="1066"/>
      <c r="H85" s="1066"/>
      <c r="I85" s="1066"/>
      <c r="J85" s="1066"/>
      <c r="K85" s="1066"/>
      <c r="L85" s="1066"/>
      <c r="M85" s="1066"/>
      <c r="N85" s="1066"/>
    </row>
    <row r="86">
      <c r="A86" s="1276"/>
      <c r="B86" s="1311"/>
      <c r="C86" s="1312" t="s">
        <v>881</v>
      </c>
      <c r="D86" s="1287" t="s">
        <v>911</v>
      </c>
      <c r="E86" s="1066"/>
      <c r="F86" s="1066"/>
      <c r="G86" s="1066"/>
      <c r="H86" s="1066"/>
      <c r="I86" s="1066"/>
      <c r="J86" s="1066"/>
      <c r="K86" s="1066"/>
      <c r="L86" s="1066"/>
      <c r="M86" s="1066"/>
      <c r="N86" s="1066"/>
    </row>
    <row r="87">
      <c r="A87" s="1276"/>
      <c r="B87" s="1311"/>
      <c r="C87" s="1312" t="s">
        <v>881</v>
      </c>
      <c r="D87" s="1287" t="s">
        <v>912</v>
      </c>
      <c r="E87" s="1066"/>
      <c r="F87" s="1066"/>
      <c r="G87" s="1066"/>
      <c r="H87" s="1066"/>
      <c r="I87" s="1066"/>
      <c r="J87" s="1066"/>
      <c r="K87" s="1066"/>
      <c r="L87" s="1066"/>
      <c r="M87" s="1066"/>
      <c r="N87" s="1066"/>
    </row>
    <row r="88">
      <c r="A88" s="1276"/>
      <c r="B88" s="1311"/>
      <c r="C88" s="1312" t="s">
        <v>881</v>
      </c>
      <c r="D88" s="1314" t="s">
        <v>913</v>
      </c>
      <c r="N88" s="1066"/>
    </row>
    <row r="89">
      <c r="A89" s="1276"/>
      <c r="B89" s="1288"/>
      <c r="C89" s="1312"/>
      <c r="D89" s="1066"/>
      <c r="E89" s="1066"/>
      <c r="F89" s="1066"/>
      <c r="G89" s="1066"/>
      <c r="H89" s="1066"/>
      <c r="I89" s="1066"/>
      <c r="J89" s="1066"/>
      <c r="K89" s="1066"/>
      <c r="L89" s="1066"/>
      <c r="M89" s="1066"/>
      <c r="N89" s="1066"/>
    </row>
    <row r="90">
      <c r="A90" s="1276"/>
      <c r="B90" s="1280" t="s">
        <v>914</v>
      </c>
      <c r="C90" s="1312"/>
      <c r="D90" s="1066"/>
      <c r="E90" s="1066"/>
      <c r="F90" s="1066"/>
      <c r="G90" s="1066"/>
      <c r="H90" s="1066"/>
      <c r="I90" s="1066"/>
      <c r="J90" s="1066"/>
      <c r="K90" s="1066"/>
      <c r="L90" s="1066"/>
      <c r="M90" s="1066"/>
      <c r="N90" s="1066"/>
    </row>
    <row r="91">
      <c r="A91" s="1276"/>
      <c r="B91" s="1287" t="s">
        <v>915</v>
      </c>
      <c r="C91" s="1312"/>
      <c r="D91" s="1066"/>
      <c r="E91" s="1066"/>
      <c r="F91" s="1066"/>
      <c r="G91" s="1066"/>
      <c r="H91" s="1066"/>
      <c r="I91" s="1066"/>
      <c r="J91" s="1066"/>
      <c r="K91" s="1066"/>
      <c r="L91" s="1066"/>
      <c r="M91" s="1066"/>
      <c r="N91" s="1066"/>
    </row>
    <row r="92">
      <c r="A92" s="1276"/>
      <c r="B92" s="1288"/>
      <c r="C92" s="1312"/>
      <c r="D92" s="1066"/>
      <c r="E92" s="1066"/>
      <c r="F92" s="1066"/>
      <c r="G92" s="1066"/>
      <c r="H92" s="1066"/>
      <c r="I92" s="1066"/>
      <c r="J92" s="1066"/>
      <c r="K92" s="1066"/>
      <c r="L92" s="1066"/>
      <c r="M92" s="1066"/>
      <c r="N92" s="1066"/>
    </row>
    <row r="93">
      <c r="A93" s="1276"/>
      <c r="B93" s="1287" t="s">
        <v>916</v>
      </c>
      <c r="C93" s="1312"/>
      <c r="D93" s="1066"/>
      <c r="E93" s="1066"/>
      <c r="F93" s="1066"/>
      <c r="G93" s="1066"/>
      <c r="H93" s="1066"/>
      <c r="I93" s="1066"/>
      <c r="J93" s="1066"/>
      <c r="K93" s="1066"/>
      <c r="L93" s="1066"/>
      <c r="M93" s="1066"/>
      <c r="N93" s="1066"/>
    </row>
    <row r="94">
      <c r="A94" s="1276"/>
      <c r="B94" s="1288"/>
      <c r="C94" s="1312"/>
      <c r="D94" s="1066"/>
      <c r="E94" s="1066"/>
      <c r="F94" s="1066"/>
      <c r="G94" s="1066"/>
      <c r="H94" s="1066"/>
      <c r="I94" s="1066"/>
      <c r="J94" s="1066"/>
      <c r="K94" s="1066"/>
      <c r="L94" s="1066"/>
      <c r="M94" s="1066"/>
      <c r="N94" s="1066"/>
    </row>
    <row r="95">
      <c r="A95" s="1276"/>
      <c r="B95" s="1287" t="s">
        <v>917</v>
      </c>
      <c r="C95" s="1312"/>
      <c r="D95" s="1066"/>
      <c r="E95" s="1066"/>
      <c r="F95" s="1066"/>
      <c r="G95" s="1066"/>
      <c r="H95" s="1066"/>
      <c r="I95" s="1066"/>
      <c r="J95" s="1066"/>
      <c r="K95" s="1066"/>
      <c r="L95" s="1066"/>
      <c r="M95" s="1066"/>
      <c r="N95" s="1066"/>
    </row>
    <row r="96">
      <c r="A96" s="1276"/>
      <c r="B96" s="1288"/>
      <c r="C96" s="1067"/>
      <c r="D96" s="1066"/>
      <c r="E96" s="1066"/>
      <c r="F96" s="1066"/>
      <c r="G96" s="1066"/>
      <c r="H96" s="1066"/>
      <c r="I96" s="1066"/>
      <c r="J96" s="1066"/>
      <c r="K96" s="1066"/>
      <c r="L96" s="1066"/>
      <c r="M96" s="1066"/>
      <c r="N96" s="1066"/>
    </row>
    <row r="97">
      <c r="A97" s="1276"/>
      <c r="B97" s="1280" t="s">
        <v>918</v>
      </c>
      <c r="C97" s="1067"/>
      <c r="D97" s="1066"/>
      <c r="E97" s="1066"/>
      <c r="F97" s="1066"/>
      <c r="G97" s="1066"/>
      <c r="H97" s="1066"/>
      <c r="I97" s="1066"/>
      <c r="J97" s="1066"/>
      <c r="K97" s="1066"/>
      <c r="L97" s="1066"/>
      <c r="M97" s="1066"/>
      <c r="N97" s="1066"/>
    </row>
    <row r="98">
      <c r="A98" s="1276"/>
      <c r="B98" s="1287" t="s">
        <v>919</v>
      </c>
      <c r="C98" s="1067"/>
      <c r="D98" s="1066"/>
      <c r="E98" s="1066"/>
      <c r="F98" s="1066"/>
      <c r="G98" s="1066"/>
      <c r="H98" s="1066"/>
      <c r="I98" s="1066"/>
      <c r="J98" s="1066"/>
      <c r="K98" s="1066"/>
      <c r="L98" s="1066"/>
      <c r="M98" s="1066"/>
      <c r="N98" s="1066"/>
    </row>
    <row r="99">
      <c r="A99" s="1276"/>
      <c r="B99" s="1287" t="s">
        <v>920</v>
      </c>
      <c r="C99" s="1067"/>
      <c r="D99" s="1066"/>
      <c r="E99" s="1066"/>
      <c r="F99" s="1066"/>
      <c r="G99" s="1066"/>
      <c r="H99" s="1066"/>
      <c r="I99" s="1066"/>
      <c r="J99" s="1066"/>
      <c r="K99" s="1066"/>
      <c r="L99" s="1066"/>
      <c r="M99" s="1066"/>
      <c r="N99" s="1066"/>
    </row>
    <row r="100">
      <c r="A100" s="1276"/>
      <c r="B100" s="1288"/>
      <c r="C100" s="1067"/>
      <c r="D100" s="1066"/>
      <c r="E100" s="1066"/>
      <c r="F100" s="1066"/>
      <c r="G100" s="1066"/>
      <c r="H100" s="1066"/>
      <c r="I100" s="1066"/>
      <c r="J100" s="1066"/>
      <c r="K100" s="1066"/>
      <c r="L100" s="1066"/>
      <c r="M100" s="1066"/>
      <c r="N100" s="1066"/>
    </row>
    <row r="101">
      <c r="A101" s="1276"/>
      <c r="B101" s="1288"/>
      <c r="C101" s="1067"/>
      <c r="D101" s="1066"/>
      <c r="E101" s="1066"/>
      <c r="F101" s="1066"/>
      <c r="G101" s="1066"/>
      <c r="H101" s="1066"/>
      <c r="I101" s="1066"/>
      <c r="J101" s="1066"/>
      <c r="K101" s="1066"/>
      <c r="L101" s="1066"/>
      <c r="M101" s="1066"/>
      <c r="N101" s="1066"/>
    </row>
    <row r="102">
      <c r="A102" s="1276"/>
      <c r="B102" s="1277"/>
      <c r="C102" s="1277"/>
      <c r="D102" s="1277"/>
      <c r="E102" s="1277"/>
      <c r="F102" s="1277"/>
      <c r="G102" s="1277"/>
      <c r="H102" s="1277"/>
      <c r="I102" s="1277"/>
      <c r="J102" s="1277"/>
      <c r="K102" s="1277"/>
      <c r="L102" s="1277"/>
      <c r="M102" s="1277"/>
      <c r="N102" s="1066"/>
    </row>
    <row r="103">
      <c r="A103" s="1276"/>
      <c r="B103" s="1277"/>
      <c r="C103" s="1277"/>
      <c r="D103" s="1277"/>
      <c r="E103" s="1277"/>
      <c r="F103" s="1277"/>
      <c r="G103" s="1277"/>
      <c r="H103" s="1277"/>
      <c r="I103" s="1277"/>
      <c r="J103" s="1277"/>
      <c r="K103" s="1277"/>
      <c r="L103" s="1277"/>
      <c r="M103" s="1277"/>
      <c r="N103" s="1066"/>
    </row>
    <row r="104">
      <c r="A104" s="1276"/>
      <c r="B104" s="1277"/>
      <c r="C104" s="1277"/>
      <c r="D104" s="1277"/>
      <c r="E104" s="1277"/>
      <c r="F104" s="1277"/>
      <c r="G104" s="1277"/>
      <c r="H104" s="1277"/>
      <c r="I104" s="1277"/>
      <c r="J104" s="1277"/>
      <c r="K104" s="1277"/>
      <c r="L104" s="1277"/>
      <c r="M104" s="1277"/>
      <c r="N104" s="1066"/>
    </row>
    <row r="105">
      <c r="A105" s="1276"/>
      <c r="B105" s="1277"/>
      <c r="C105" s="1277"/>
      <c r="D105" s="1277"/>
      <c r="E105" s="1277"/>
      <c r="F105" s="1277"/>
      <c r="G105" s="1277"/>
      <c r="H105" s="1277"/>
      <c r="I105" s="1277"/>
      <c r="J105" s="1277"/>
      <c r="K105" s="1277"/>
      <c r="L105" s="1277"/>
      <c r="M105" s="1277"/>
      <c r="N105" s="1066"/>
    </row>
    <row r="106">
      <c r="A106" s="1276"/>
      <c r="B106" s="1277"/>
      <c r="C106" s="1277"/>
      <c r="D106" s="1277"/>
      <c r="E106" s="1277"/>
      <c r="F106" s="1277"/>
      <c r="G106" s="1277"/>
      <c r="H106" s="1277"/>
      <c r="I106" s="1277"/>
      <c r="J106" s="1277"/>
      <c r="K106" s="1277"/>
      <c r="L106" s="1277"/>
      <c r="M106" s="1277"/>
      <c r="N106" s="1066"/>
    </row>
    <row r="107">
      <c r="A107" s="1276"/>
      <c r="B107" s="1277"/>
      <c r="C107" s="1277"/>
      <c r="D107" s="1277"/>
      <c r="E107" s="1277"/>
      <c r="F107" s="1277"/>
      <c r="G107" s="1277"/>
      <c r="H107" s="1277"/>
      <c r="I107" s="1277"/>
      <c r="J107" s="1277"/>
      <c r="K107" s="1277"/>
      <c r="L107" s="1277"/>
      <c r="M107" s="1277"/>
      <c r="N107" s="1066"/>
    </row>
    <row r="108">
      <c r="A108" s="1276"/>
      <c r="B108" s="1277"/>
      <c r="C108" s="1277"/>
      <c r="D108" s="1277"/>
      <c r="E108" s="1277"/>
      <c r="F108" s="1277"/>
      <c r="G108" s="1277"/>
      <c r="H108" s="1277"/>
      <c r="I108" s="1277"/>
      <c r="J108" s="1277"/>
      <c r="K108" s="1277"/>
      <c r="L108" s="1277"/>
      <c r="M108" s="1277"/>
      <c r="N108" s="1066"/>
    </row>
    <row r="109">
      <c r="A109" s="1276"/>
      <c r="B109" s="1277"/>
      <c r="C109" s="1277"/>
      <c r="D109" s="1277"/>
      <c r="E109" s="1277"/>
      <c r="F109" s="1277"/>
      <c r="G109" s="1277"/>
      <c r="H109" s="1277"/>
      <c r="I109" s="1277"/>
      <c r="J109" s="1277"/>
      <c r="K109" s="1277"/>
      <c r="L109" s="1277"/>
      <c r="M109" s="1277"/>
      <c r="N109" s="1066"/>
    </row>
    <row r="110">
      <c r="A110" s="1276"/>
      <c r="B110" s="1277"/>
      <c r="C110" s="1277"/>
      <c r="D110" s="1277"/>
      <c r="E110" s="1277"/>
      <c r="F110" s="1277"/>
      <c r="G110" s="1277"/>
      <c r="H110" s="1277"/>
      <c r="I110" s="1277"/>
      <c r="J110" s="1277"/>
      <c r="K110" s="1277"/>
      <c r="L110" s="1277"/>
      <c r="M110" s="1277"/>
      <c r="N110" s="1066"/>
    </row>
    <row r="111">
      <c r="A111" s="1276"/>
      <c r="B111" s="1277"/>
      <c r="C111" s="1277"/>
      <c r="D111" s="1277"/>
      <c r="E111" s="1277"/>
      <c r="F111" s="1277"/>
      <c r="G111" s="1277"/>
      <c r="H111" s="1277"/>
      <c r="I111" s="1277"/>
      <c r="J111" s="1277"/>
      <c r="K111" s="1277"/>
      <c r="L111" s="1277"/>
      <c r="M111" s="1277"/>
      <c r="N111" s="1066"/>
    </row>
    <row r="112">
      <c r="A112" s="1276"/>
      <c r="B112" s="1277"/>
      <c r="C112" s="1277"/>
      <c r="D112" s="1277"/>
      <c r="E112" s="1277"/>
      <c r="F112" s="1277"/>
      <c r="G112" s="1277"/>
      <c r="H112" s="1277"/>
      <c r="I112" s="1277"/>
      <c r="J112" s="1277"/>
      <c r="K112" s="1277"/>
      <c r="L112" s="1277"/>
      <c r="M112" s="1277"/>
      <c r="N112" s="1066"/>
    </row>
    <row r="113">
      <c r="A113" s="1276"/>
      <c r="B113" s="1277"/>
      <c r="C113" s="1277"/>
      <c r="D113" s="1277"/>
      <c r="E113" s="1277"/>
      <c r="F113" s="1277"/>
      <c r="G113" s="1277"/>
      <c r="H113" s="1277"/>
      <c r="I113" s="1277"/>
      <c r="J113" s="1277"/>
      <c r="K113" s="1277"/>
      <c r="L113" s="1277"/>
      <c r="M113" s="1277"/>
      <c r="N113" s="1066"/>
    </row>
    <row r="114">
      <c r="A114" s="1276"/>
      <c r="B114" s="1277"/>
      <c r="C114" s="1277"/>
      <c r="D114" s="1277"/>
      <c r="E114" s="1277"/>
      <c r="F114" s="1277"/>
      <c r="G114" s="1277"/>
      <c r="H114" s="1277"/>
      <c r="I114" s="1277"/>
      <c r="J114" s="1277"/>
      <c r="K114" s="1277"/>
      <c r="L114" s="1277"/>
      <c r="M114" s="1277"/>
      <c r="N114" s="1066"/>
    </row>
    <row r="115">
      <c r="A115" s="1276"/>
      <c r="B115" s="1277"/>
      <c r="C115" s="1277"/>
      <c r="D115" s="1277"/>
      <c r="E115" s="1277"/>
      <c r="F115" s="1277"/>
      <c r="G115" s="1277"/>
      <c r="H115" s="1277"/>
      <c r="I115" s="1277"/>
      <c r="J115" s="1277"/>
      <c r="K115" s="1277"/>
      <c r="L115" s="1277"/>
      <c r="M115" s="1277"/>
      <c r="N115" s="1066"/>
    </row>
    <row r="116">
      <c r="A116" s="1276"/>
      <c r="B116" s="1277"/>
      <c r="C116" s="1277"/>
      <c r="D116" s="1277"/>
      <c r="E116" s="1277"/>
      <c r="F116" s="1277"/>
      <c r="G116" s="1277"/>
      <c r="H116" s="1277"/>
      <c r="I116" s="1277"/>
      <c r="J116" s="1277"/>
      <c r="K116" s="1277"/>
      <c r="L116" s="1277"/>
      <c r="M116" s="1277"/>
      <c r="N116" s="1066"/>
    </row>
    <row r="117">
      <c r="A117" s="1276"/>
      <c r="B117" s="1277"/>
      <c r="C117" s="1277"/>
      <c r="D117" s="1277"/>
      <c r="E117" s="1277"/>
      <c r="F117" s="1277"/>
      <c r="G117" s="1277"/>
      <c r="H117" s="1277"/>
      <c r="I117" s="1277"/>
      <c r="J117" s="1277"/>
      <c r="K117" s="1277"/>
      <c r="L117" s="1277"/>
      <c r="M117" s="1277"/>
      <c r="N117" s="1066"/>
    </row>
    <row r="118">
      <c r="A118" s="1276"/>
      <c r="B118" s="1277"/>
      <c r="C118" s="1277"/>
      <c r="D118" s="1277"/>
      <c r="E118" s="1277"/>
      <c r="F118" s="1277"/>
      <c r="G118" s="1277"/>
      <c r="H118" s="1277"/>
      <c r="I118" s="1277"/>
      <c r="J118" s="1277"/>
      <c r="K118" s="1277"/>
      <c r="L118" s="1277"/>
      <c r="M118" s="1277"/>
      <c r="N118" s="1066"/>
    </row>
    <row r="119">
      <c r="A119" s="1276"/>
      <c r="B119" s="1277"/>
      <c r="C119" s="1277"/>
      <c r="D119" s="1277"/>
      <c r="E119" s="1277"/>
      <c r="F119" s="1277"/>
      <c r="G119" s="1277"/>
      <c r="H119" s="1277"/>
      <c r="I119" s="1277"/>
      <c r="J119" s="1277"/>
      <c r="K119" s="1277"/>
      <c r="L119" s="1277"/>
      <c r="M119" s="1277"/>
      <c r="N119" s="1066"/>
    </row>
    <row r="120">
      <c r="A120" s="1276"/>
      <c r="B120" s="1277"/>
      <c r="C120" s="1277"/>
      <c r="D120" s="1277"/>
      <c r="E120" s="1277"/>
      <c r="F120" s="1277"/>
      <c r="G120" s="1277"/>
      <c r="H120" s="1277"/>
      <c r="I120" s="1277"/>
      <c r="J120" s="1277"/>
      <c r="K120" s="1277"/>
      <c r="L120" s="1277"/>
      <c r="M120" s="1277"/>
      <c r="N120" s="1066"/>
    </row>
    <row r="121">
      <c r="A121" s="1276"/>
      <c r="B121" s="1277"/>
      <c r="C121" s="1277"/>
      <c r="D121" s="1277"/>
      <c r="E121" s="1277"/>
      <c r="F121" s="1277"/>
      <c r="G121" s="1277"/>
      <c r="H121" s="1277"/>
      <c r="I121" s="1277"/>
      <c r="J121" s="1277"/>
      <c r="K121" s="1277"/>
      <c r="L121" s="1277"/>
      <c r="M121" s="1277"/>
      <c r="N121" s="1066"/>
    </row>
    <row r="122">
      <c r="A122" s="1276"/>
      <c r="B122" s="1277"/>
      <c r="C122" s="1277"/>
      <c r="D122" s="1277"/>
      <c r="E122" s="1277"/>
      <c r="F122" s="1277"/>
      <c r="G122" s="1277"/>
      <c r="H122" s="1277"/>
      <c r="I122" s="1277"/>
      <c r="J122" s="1277"/>
      <c r="K122" s="1277"/>
      <c r="L122" s="1277"/>
      <c r="M122" s="1277"/>
      <c r="N122" s="1066"/>
    </row>
    <row r="123">
      <c r="A123" s="1276"/>
      <c r="B123" s="1277"/>
      <c r="C123" s="1277"/>
      <c r="D123" s="1277"/>
      <c r="E123" s="1277"/>
      <c r="F123" s="1277"/>
      <c r="G123" s="1277"/>
      <c r="H123" s="1277"/>
      <c r="I123" s="1277"/>
      <c r="J123" s="1277"/>
      <c r="K123" s="1277"/>
      <c r="L123" s="1277"/>
      <c r="M123" s="1277"/>
      <c r="N123" s="1066"/>
    </row>
    <row r="124">
      <c r="A124" s="1276"/>
      <c r="B124" s="1277"/>
      <c r="C124" s="1277"/>
      <c r="D124" s="1277"/>
      <c r="E124" s="1277"/>
      <c r="F124" s="1277"/>
      <c r="G124" s="1277"/>
      <c r="H124" s="1277"/>
      <c r="I124" s="1277"/>
      <c r="J124" s="1277"/>
      <c r="K124" s="1277"/>
      <c r="L124" s="1277"/>
      <c r="M124" s="1277"/>
      <c r="N124" s="1066"/>
    </row>
    <row r="125">
      <c r="A125" s="1276"/>
      <c r="B125" s="1277"/>
      <c r="C125" s="1277"/>
      <c r="D125" s="1277"/>
      <c r="E125" s="1277"/>
      <c r="F125" s="1277"/>
      <c r="G125" s="1277"/>
      <c r="H125" s="1277"/>
      <c r="I125" s="1277"/>
      <c r="J125" s="1277"/>
      <c r="K125" s="1277"/>
      <c r="L125" s="1277"/>
      <c r="M125" s="1277"/>
      <c r="N125" s="1066"/>
    </row>
    <row r="126">
      <c r="A126" s="1276"/>
      <c r="B126" s="1277"/>
      <c r="C126" s="1277"/>
      <c r="D126" s="1277"/>
      <c r="E126" s="1277"/>
      <c r="F126" s="1277"/>
      <c r="G126" s="1315"/>
      <c r="H126" s="1277"/>
      <c r="I126" s="1277"/>
      <c r="J126" s="1277"/>
      <c r="K126" s="1277"/>
      <c r="L126" s="1277"/>
      <c r="M126" s="1277"/>
      <c r="N126" s="1066"/>
    </row>
    <row r="127">
      <c r="A127" s="1276"/>
      <c r="B127" s="1277"/>
      <c r="C127" s="1277"/>
      <c r="D127" s="1277"/>
      <c r="E127" s="1277"/>
      <c r="F127" s="1277"/>
      <c r="G127" s="1277"/>
      <c r="H127" s="1277"/>
      <c r="I127" s="1277"/>
      <c r="J127" s="1277"/>
      <c r="K127" s="1277"/>
      <c r="L127" s="1277"/>
      <c r="M127" s="1277"/>
      <c r="N127" s="1066"/>
    </row>
    <row r="128">
      <c r="A128" s="1276"/>
      <c r="B128" s="1277"/>
      <c r="C128" s="1277"/>
      <c r="D128" s="1277"/>
      <c r="E128" s="1277"/>
      <c r="F128" s="1277"/>
      <c r="G128" s="1277"/>
      <c r="H128" s="1277"/>
      <c r="I128" s="1277"/>
      <c r="J128" s="1277"/>
      <c r="K128" s="1277"/>
      <c r="L128" s="1277"/>
      <c r="M128" s="1277"/>
      <c r="N128" s="1066"/>
    </row>
    <row r="129">
      <c r="A129" s="1276"/>
      <c r="B129" s="1277"/>
      <c r="C129" s="1277"/>
      <c r="D129" s="1277"/>
      <c r="E129" s="1277"/>
      <c r="F129" s="1277"/>
      <c r="G129" s="1277"/>
      <c r="H129" s="1277"/>
      <c r="I129" s="1277"/>
      <c r="J129" s="1277"/>
      <c r="K129" s="1277"/>
      <c r="L129" s="1277"/>
      <c r="M129" s="1277"/>
      <c r="N129" s="1066"/>
    </row>
    <row r="130">
      <c r="A130" s="1276"/>
      <c r="B130" s="1277"/>
      <c r="C130" s="1277"/>
      <c r="D130" s="1277"/>
      <c r="E130" s="1277"/>
      <c r="F130" s="1277"/>
      <c r="G130" s="1315"/>
      <c r="H130" s="1277"/>
      <c r="I130" s="1277"/>
      <c r="J130" s="1277"/>
      <c r="K130" s="1277"/>
      <c r="L130" s="1277"/>
      <c r="M130" s="1277"/>
      <c r="N130" s="1066"/>
    </row>
    <row r="131">
      <c r="A131" s="1276"/>
      <c r="B131" s="1277"/>
      <c r="C131" s="1277"/>
      <c r="D131" s="1277"/>
      <c r="E131" s="1277"/>
      <c r="F131" s="1277"/>
      <c r="G131" s="1315"/>
      <c r="H131" s="1277"/>
      <c r="I131" s="1277"/>
      <c r="J131" s="1277"/>
      <c r="K131" s="1277"/>
      <c r="L131" s="1277"/>
      <c r="M131" s="1277"/>
      <c r="N131" s="1066"/>
    </row>
    <row r="132">
      <c r="A132" s="1276"/>
      <c r="B132" s="1277"/>
      <c r="C132" s="1277"/>
      <c r="D132" s="1277"/>
      <c r="E132" s="1277"/>
      <c r="F132" s="1277"/>
      <c r="G132" s="1315"/>
      <c r="H132" s="1277"/>
      <c r="I132" s="1277"/>
      <c r="J132" s="1277"/>
      <c r="K132" s="1277"/>
      <c r="L132" s="1277"/>
      <c r="M132" s="1277"/>
      <c r="N132" s="1066"/>
    </row>
    <row r="133">
      <c r="A133" s="1276"/>
      <c r="B133" s="1277"/>
      <c r="C133" s="1277"/>
      <c r="D133" s="1277"/>
      <c r="E133" s="1277"/>
      <c r="F133" s="1277"/>
      <c r="G133" s="1277"/>
      <c r="H133" s="1277"/>
      <c r="I133" s="1277"/>
      <c r="J133" s="1277"/>
      <c r="K133" s="1277"/>
      <c r="L133" s="1277"/>
      <c r="M133" s="1277"/>
      <c r="N133" s="1066"/>
    </row>
    <row r="134">
      <c r="A134" s="1276"/>
      <c r="B134" s="1277"/>
      <c r="C134" s="1277"/>
      <c r="D134" s="1277"/>
      <c r="E134" s="1277"/>
      <c r="F134" s="1277"/>
      <c r="G134" s="1277"/>
      <c r="H134" s="1277"/>
      <c r="I134" s="1277"/>
      <c r="J134" s="1277"/>
      <c r="K134" s="1277"/>
      <c r="L134" s="1277"/>
      <c r="M134" s="1277"/>
      <c r="N134" s="1066"/>
    </row>
    <row r="135">
      <c r="A135" s="1276"/>
      <c r="B135" s="1277"/>
      <c r="C135" s="1277"/>
      <c r="D135" s="1277"/>
      <c r="E135" s="1277"/>
      <c r="F135" s="1277"/>
      <c r="G135" s="1277"/>
      <c r="H135" s="1277"/>
      <c r="I135" s="1277"/>
      <c r="J135" s="1277"/>
      <c r="K135" s="1277"/>
      <c r="L135" s="1277"/>
      <c r="M135" s="1277"/>
      <c r="N135" s="1066"/>
    </row>
    <row r="136">
      <c r="A136" s="1276"/>
      <c r="B136" s="1277"/>
      <c r="C136" s="1277"/>
      <c r="D136" s="1277"/>
      <c r="E136" s="1277"/>
      <c r="F136" s="1277"/>
      <c r="G136" s="1277"/>
      <c r="H136" s="1277"/>
      <c r="I136" s="1277"/>
      <c r="J136" s="1277"/>
      <c r="K136" s="1277"/>
      <c r="L136" s="1277"/>
      <c r="M136" s="1277"/>
      <c r="N136" s="1066"/>
    </row>
    <row r="137">
      <c r="A137" s="1276"/>
      <c r="B137" s="1277"/>
      <c r="C137" s="1277"/>
      <c r="D137" s="1277"/>
      <c r="E137" s="1277"/>
      <c r="F137" s="1277"/>
      <c r="G137" s="1277"/>
      <c r="H137" s="1277"/>
      <c r="I137" s="1277"/>
      <c r="J137" s="1277"/>
      <c r="K137" s="1277"/>
      <c r="L137" s="1277"/>
      <c r="M137" s="1277"/>
      <c r="N137" s="1066"/>
    </row>
    <row r="138">
      <c r="A138" s="1276"/>
      <c r="B138" s="1277"/>
      <c r="C138" s="1277"/>
      <c r="D138" s="1277"/>
      <c r="E138" s="1277"/>
      <c r="F138" s="1277"/>
      <c r="G138" s="1277"/>
      <c r="H138" s="1277"/>
      <c r="I138" s="1277"/>
      <c r="J138" s="1277"/>
      <c r="K138" s="1277"/>
      <c r="L138" s="1277"/>
      <c r="M138" s="1277"/>
      <c r="N138" s="1066"/>
    </row>
    <row r="139">
      <c r="A139" s="1276"/>
      <c r="B139" s="1277"/>
      <c r="C139" s="1277"/>
      <c r="D139" s="1277"/>
      <c r="E139" s="1277"/>
      <c r="F139" s="1277"/>
      <c r="G139" s="1315"/>
      <c r="H139" s="1277"/>
      <c r="I139" s="1277"/>
      <c r="J139" s="1277"/>
      <c r="K139" s="1277"/>
      <c r="L139" s="1277"/>
      <c r="M139" s="1277"/>
      <c r="N139" s="1066"/>
    </row>
    <row r="140">
      <c r="A140" s="1276"/>
      <c r="B140" s="1277"/>
      <c r="C140" s="1277"/>
      <c r="D140" s="1277"/>
      <c r="E140" s="1277"/>
      <c r="F140" s="1277"/>
      <c r="G140" s="1277"/>
      <c r="H140" s="1277"/>
      <c r="I140" s="1277"/>
      <c r="J140" s="1277"/>
      <c r="K140" s="1277"/>
      <c r="L140" s="1277"/>
      <c r="M140" s="1277"/>
      <c r="N140" s="1066"/>
    </row>
    <row r="141">
      <c r="A141" s="1276"/>
      <c r="B141" s="1277"/>
      <c r="C141" s="1277"/>
      <c r="D141" s="1277"/>
      <c r="E141" s="1277"/>
      <c r="F141" s="1277"/>
      <c r="G141" s="1277"/>
      <c r="H141" s="1277"/>
      <c r="I141" s="1277"/>
      <c r="J141" s="1277"/>
      <c r="K141" s="1277"/>
      <c r="L141" s="1277"/>
      <c r="M141" s="1277"/>
      <c r="N141" s="1066"/>
    </row>
    <row r="142">
      <c r="A142" s="1276"/>
      <c r="B142" s="1277"/>
      <c r="C142" s="1277"/>
      <c r="D142" s="1277"/>
      <c r="E142" s="1277"/>
      <c r="F142" s="1277"/>
      <c r="G142" s="1277"/>
      <c r="H142" s="1277"/>
      <c r="I142" s="1277"/>
      <c r="J142" s="1277"/>
      <c r="K142" s="1277"/>
      <c r="L142" s="1277"/>
      <c r="M142" s="1277"/>
      <c r="N142" s="1066"/>
    </row>
    <row r="143">
      <c r="A143" s="1276"/>
      <c r="B143" s="1277"/>
      <c r="C143" s="1277"/>
      <c r="D143" s="1277"/>
      <c r="E143" s="1277"/>
      <c r="F143" s="1277"/>
      <c r="G143" s="1277"/>
      <c r="H143" s="1277"/>
      <c r="I143" s="1277"/>
      <c r="J143" s="1277"/>
      <c r="K143" s="1277"/>
      <c r="L143" s="1277"/>
      <c r="M143" s="1277"/>
      <c r="N143" s="1066"/>
    </row>
    <row r="144">
      <c r="A144" s="1276"/>
      <c r="B144" s="1277"/>
      <c r="C144" s="1277"/>
      <c r="D144" s="1277"/>
      <c r="E144" s="1277"/>
      <c r="F144" s="1277"/>
      <c r="G144" s="1277"/>
      <c r="H144" s="1277"/>
      <c r="I144" s="1277"/>
      <c r="J144" s="1277"/>
      <c r="K144" s="1277"/>
      <c r="L144" s="1277"/>
      <c r="M144" s="1277"/>
      <c r="N144" s="1066"/>
    </row>
    <row r="145">
      <c r="A145" s="1276"/>
      <c r="B145" s="1277"/>
      <c r="C145" s="1277"/>
      <c r="D145" s="1277"/>
      <c r="E145" s="1277"/>
      <c r="F145" s="1277"/>
      <c r="G145" s="1277"/>
      <c r="H145" s="1277"/>
      <c r="I145" s="1277"/>
      <c r="J145" s="1277"/>
      <c r="K145" s="1277"/>
      <c r="L145" s="1277"/>
      <c r="M145" s="1277"/>
      <c r="N145" s="1066"/>
    </row>
    <row r="146">
      <c r="A146" s="1276"/>
      <c r="B146" s="1277"/>
      <c r="C146" s="1277"/>
      <c r="D146" s="1277"/>
      <c r="E146" s="1277"/>
      <c r="F146" s="1277"/>
      <c r="G146" s="1277"/>
      <c r="H146" s="1277"/>
      <c r="I146" s="1277"/>
      <c r="J146" s="1277"/>
      <c r="K146" s="1277"/>
      <c r="L146" s="1277"/>
      <c r="M146" s="1277"/>
      <c r="N146" s="1066"/>
    </row>
    <row r="147">
      <c r="A147" s="1276"/>
      <c r="B147" s="1277"/>
      <c r="C147" s="1277"/>
      <c r="D147" s="1277"/>
      <c r="E147" s="1277"/>
      <c r="F147" s="1277"/>
      <c r="G147" s="1277"/>
      <c r="H147" s="1277"/>
      <c r="I147" s="1277"/>
      <c r="J147" s="1277"/>
      <c r="K147" s="1277"/>
      <c r="L147" s="1277"/>
      <c r="M147" s="1277"/>
      <c r="N147" s="1066"/>
    </row>
    <row r="148">
      <c r="A148" s="1276"/>
      <c r="B148" s="1277"/>
      <c r="C148" s="1277"/>
      <c r="D148" s="1277"/>
      <c r="E148" s="1277"/>
      <c r="F148" s="1277"/>
      <c r="G148" s="1277"/>
      <c r="H148" s="1277"/>
      <c r="I148" s="1277"/>
      <c r="J148" s="1277"/>
      <c r="K148" s="1277"/>
      <c r="L148" s="1277"/>
      <c r="M148" s="1277"/>
      <c r="N148" s="1066"/>
    </row>
    <row r="149">
      <c r="A149" s="1276"/>
      <c r="B149" s="1277"/>
      <c r="C149" s="1277"/>
      <c r="D149" s="1277"/>
      <c r="E149" s="1277"/>
      <c r="F149" s="1277"/>
      <c r="G149" s="1277"/>
      <c r="H149" s="1277"/>
      <c r="I149" s="1277"/>
      <c r="J149" s="1277"/>
      <c r="K149" s="1277"/>
      <c r="L149" s="1277"/>
      <c r="M149" s="1277"/>
      <c r="N149" s="1066"/>
    </row>
    <row r="150">
      <c r="A150" s="1276"/>
      <c r="B150" s="1277"/>
      <c r="C150" s="1277"/>
      <c r="D150" s="1277"/>
      <c r="E150" s="1277"/>
      <c r="F150" s="1277"/>
      <c r="G150" s="1277"/>
      <c r="H150" s="1277"/>
      <c r="I150" s="1277"/>
      <c r="J150" s="1277"/>
      <c r="K150" s="1277"/>
      <c r="L150" s="1277"/>
      <c r="M150" s="1277"/>
      <c r="N150" s="1066"/>
    </row>
    <row r="151">
      <c r="A151" s="1276"/>
      <c r="B151" s="1277"/>
      <c r="C151" s="1277"/>
      <c r="D151" s="1277"/>
      <c r="E151" s="1277"/>
      <c r="F151" s="1277"/>
      <c r="G151" s="1316" t="s">
        <v>921</v>
      </c>
      <c r="H151" s="1277"/>
      <c r="I151" s="1277"/>
      <c r="J151" s="1277"/>
      <c r="K151" s="1277"/>
      <c r="L151" s="1277"/>
      <c r="M151" s="1277"/>
      <c r="N151" s="1066"/>
    </row>
    <row r="152">
      <c r="A152" s="1276"/>
      <c r="B152" s="1277"/>
      <c r="C152" s="1277"/>
      <c r="D152" s="1277"/>
      <c r="E152" s="1277"/>
      <c r="F152" s="1277"/>
      <c r="G152" s="1277"/>
      <c r="H152" s="1277"/>
      <c r="I152" s="1277"/>
      <c r="J152" s="1277"/>
      <c r="K152" s="1277"/>
      <c r="L152" s="1277"/>
      <c r="M152" s="1277"/>
      <c r="N152" s="1066"/>
    </row>
    <row r="153">
      <c r="A153" s="1276"/>
      <c r="B153" s="1277"/>
      <c r="C153" s="1277"/>
      <c r="D153" s="1277"/>
      <c r="E153" s="1277"/>
      <c r="F153" s="1277"/>
      <c r="G153" s="1277"/>
      <c r="H153" s="1277"/>
      <c r="I153" s="1277"/>
      <c r="J153" s="1277"/>
      <c r="K153" s="1277"/>
      <c r="L153" s="1277"/>
      <c r="M153" s="1277"/>
      <c r="N153" s="1066"/>
    </row>
    <row r="154">
      <c r="A154" s="1276"/>
      <c r="B154" s="1277"/>
      <c r="C154" s="1277"/>
      <c r="D154" s="1277"/>
      <c r="E154" s="1277"/>
      <c r="F154" s="1277"/>
      <c r="G154" s="1277"/>
      <c r="H154" s="1277"/>
      <c r="I154" s="1277"/>
      <c r="J154" s="1277"/>
      <c r="K154" s="1277"/>
      <c r="L154" s="1277"/>
      <c r="M154" s="1277"/>
      <c r="N154" s="1066"/>
    </row>
    <row r="155">
      <c r="A155" s="1276"/>
      <c r="B155" s="1277"/>
      <c r="C155" s="1277"/>
      <c r="D155" s="1277"/>
      <c r="E155" s="1277"/>
      <c r="F155" s="1277"/>
      <c r="G155" s="1277"/>
      <c r="H155" s="1277"/>
      <c r="I155" s="1277"/>
      <c r="J155" s="1277"/>
      <c r="K155" s="1277"/>
      <c r="L155" s="1277"/>
      <c r="M155" s="1277"/>
      <c r="N155" s="1066"/>
    </row>
    <row r="156">
      <c r="A156" s="1276"/>
      <c r="B156" s="1277"/>
      <c r="C156" s="1277"/>
      <c r="D156" s="1277"/>
      <c r="E156" s="1277"/>
      <c r="F156" s="1277"/>
      <c r="G156" s="1277"/>
      <c r="H156" s="1277"/>
      <c r="I156" s="1277"/>
      <c r="J156" s="1277"/>
      <c r="K156" s="1277"/>
      <c r="L156" s="1277"/>
      <c r="M156" s="1277"/>
      <c r="N156" s="1066"/>
    </row>
    <row r="157">
      <c r="A157" s="1276"/>
      <c r="B157" s="1277"/>
      <c r="C157" s="1277"/>
      <c r="D157" s="1277"/>
      <c r="E157" s="1277"/>
      <c r="F157" s="1277"/>
      <c r="G157" s="1316"/>
      <c r="H157" s="1277"/>
      <c r="I157" s="1277"/>
      <c r="J157" s="1277"/>
      <c r="K157" s="1277"/>
      <c r="L157" s="1277"/>
      <c r="M157" s="1277"/>
      <c r="N157" s="1066"/>
    </row>
    <row r="158">
      <c r="A158" s="1276"/>
      <c r="B158" s="1277"/>
      <c r="C158" s="1277"/>
      <c r="D158" s="1277"/>
      <c r="E158" s="1277"/>
      <c r="F158" s="1277"/>
      <c r="G158" s="1277"/>
      <c r="H158" s="1277"/>
      <c r="I158" s="1277"/>
      <c r="J158" s="1277"/>
      <c r="K158" s="1277"/>
      <c r="L158" s="1277"/>
      <c r="M158" s="1277"/>
      <c r="N158" s="1066"/>
    </row>
    <row r="159">
      <c r="A159" s="1276"/>
      <c r="B159" s="1277"/>
      <c r="C159" s="1277"/>
      <c r="D159" s="1277"/>
      <c r="E159" s="1277"/>
      <c r="F159" s="1277"/>
      <c r="H159" s="1277"/>
      <c r="I159" s="1277"/>
      <c r="J159" s="1277"/>
      <c r="K159" s="1277"/>
      <c r="L159" s="1277"/>
      <c r="M159" s="1277"/>
      <c r="N159" s="1066"/>
    </row>
    <row r="160">
      <c r="A160" s="1276"/>
      <c r="B160" s="1277"/>
      <c r="C160" s="1277"/>
      <c r="D160" s="1277"/>
      <c r="E160" s="1277"/>
      <c r="F160" s="1277"/>
      <c r="G160" s="1277"/>
      <c r="H160" s="1277"/>
      <c r="I160" s="1277"/>
      <c r="J160" s="1277"/>
      <c r="K160" s="1277"/>
      <c r="L160" s="1277"/>
      <c r="M160" s="1277"/>
      <c r="N160" s="1066"/>
    </row>
    <row r="161">
      <c r="A161" s="1276"/>
      <c r="B161" s="1277"/>
      <c r="C161" s="1277"/>
      <c r="D161" s="1277"/>
      <c r="E161" s="1277"/>
      <c r="F161" s="1277"/>
      <c r="G161" s="1316"/>
      <c r="H161" s="1277"/>
      <c r="I161" s="1277"/>
      <c r="J161" s="1277"/>
      <c r="K161" s="1277"/>
      <c r="L161" s="1277"/>
      <c r="M161" s="1277"/>
      <c r="N161" s="1066"/>
    </row>
    <row r="162">
      <c r="A162" s="1276"/>
      <c r="B162" s="1277"/>
      <c r="C162" s="1277"/>
      <c r="D162" s="1277"/>
      <c r="E162" s="1277"/>
      <c r="F162" s="1277"/>
      <c r="G162" s="1316"/>
      <c r="H162" s="1277"/>
      <c r="I162" s="1277"/>
      <c r="J162" s="1277"/>
      <c r="K162" s="1277"/>
      <c r="L162" s="1277"/>
      <c r="M162" s="1277"/>
      <c r="N162" s="1066"/>
    </row>
    <row r="163">
      <c r="A163" s="1276"/>
      <c r="B163" s="1277"/>
      <c r="C163" s="1277"/>
      <c r="D163" s="1277"/>
      <c r="E163" s="1277"/>
      <c r="F163" s="1277"/>
      <c r="G163" s="1277"/>
      <c r="H163" s="1277"/>
      <c r="I163" s="1277"/>
      <c r="J163" s="1277"/>
      <c r="K163" s="1277"/>
      <c r="L163" s="1277"/>
      <c r="M163" s="1277"/>
      <c r="N163" s="1066"/>
    </row>
    <row r="164">
      <c r="A164" s="1276"/>
      <c r="B164" s="1277"/>
      <c r="C164" s="1277"/>
      <c r="D164" s="1277"/>
      <c r="E164" s="1277"/>
      <c r="F164" s="1277"/>
      <c r="H164" s="1277"/>
      <c r="I164" s="1277"/>
      <c r="J164" s="1277"/>
      <c r="K164" s="1277"/>
      <c r="L164" s="1277"/>
      <c r="M164" s="1277"/>
      <c r="N164" s="1066"/>
    </row>
    <row r="165">
      <c r="A165" s="1276"/>
      <c r="B165" s="1277"/>
      <c r="C165" s="1277"/>
      <c r="D165" s="1277"/>
      <c r="E165" s="1277"/>
      <c r="F165" s="1277"/>
      <c r="G165" s="1277"/>
      <c r="H165" s="1277"/>
      <c r="I165" s="1277"/>
      <c r="J165" s="1277"/>
      <c r="K165" s="1277"/>
      <c r="L165" s="1277"/>
      <c r="M165" s="1277"/>
      <c r="N165" s="1066"/>
    </row>
    <row r="166">
      <c r="A166" s="1276"/>
      <c r="B166" s="1277"/>
      <c r="C166" s="1277"/>
      <c r="D166" s="1277"/>
      <c r="E166" s="1277"/>
      <c r="F166" s="1277"/>
      <c r="G166" s="1277"/>
      <c r="H166" s="1277"/>
      <c r="I166" s="1277"/>
      <c r="J166" s="1277"/>
      <c r="K166" s="1277"/>
      <c r="L166" s="1277"/>
      <c r="M166" s="1277"/>
      <c r="N166" s="1066"/>
    </row>
    <row r="167">
      <c r="A167" s="1276"/>
      <c r="B167" s="1277"/>
      <c r="C167" s="1277"/>
      <c r="D167" s="1277"/>
      <c r="E167" s="1277"/>
      <c r="F167" s="1277"/>
      <c r="G167" s="1277"/>
      <c r="H167" s="1277"/>
      <c r="I167" s="1277"/>
      <c r="J167" s="1277"/>
      <c r="K167" s="1277"/>
      <c r="L167" s="1277"/>
      <c r="M167" s="1277"/>
      <c r="N167" s="1066"/>
    </row>
    <row r="168">
      <c r="A168" s="1276"/>
      <c r="B168" s="1277"/>
      <c r="C168" s="1277"/>
      <c r="D168" s="1277"/>
      <c r="E168" s="1277"/>
      <c r="F168" s="1277"/>
      <c r="G168" s="1277"/>
      <c r="H168" s="1277"/>
      <c r="I168" s="1277"/>
      <c r="J168" s="1277"/>
      <c r="K168" s="1277"/>
      <c r="L168" s="1277"/>
      <c r="M168" s="1277"/>
      <c r="N168" s="1066"/>
    </row>
    <row r="169">
      <c r="A169" s="1276"/>
      <c r="B169" s="1277"/>
      <c r="C169" s="1277"/>
      <c r="D169" s="1277"/>
      <c r="E169" s="1277"/>
      <c r="F169" s="1277"/>
      <c r="G169" s="1277"/>
      <c r="H169" s="1277"/>
      <c r="I169" s="1277"/>
      <c r="J169" s="1277"/>
      <c r="K169" s="1277"/>
      <c r="L169" s="1277"/>
      <c r="M169" s="1277"/>
      <c r="N169" s="1066"/>
    </row>
    <row r="170">
      <c r="A170" s="1276"/>
      <c r="B170" s="1277"/>
      <c r="C170" s="1277"/>
      <c r="D170" s="1277"/>
      <c r="E170" s="1277"/>
      <c r="F170" s="1277"/>
      <c r="H170" s="1277"/>
      <c r="I170" s="1277"/>
      <c r="J170" s="1277"/>
      <c r="K170" s="1277"/>
      <c r="L170" s="1277"/>
      <c r="M170" s="1277"/>
      <c r="N170" s="1066"/>
    </row>
    <row r="171">
      <c r="A171" s="1276"/>
      <c r="B171" s="1277"/>
      <c r="C171" s="1277"/>
      <c r="D171" s="1277"/>
      <c r="E171" s="1277"/>
      <c r="F171" s="1277"/>
      <c r="G171" s="1277"/>
      <c r="H171" s="1277"/>
      <c r="I171" s="1277"/>
      <c r="J171" s="1277"/>
      <c r="K171" s="1277"/>
      <c r="L171" s="1277"/>
      <c r="M171" s="1277"/>
      <c r="N171" s="1066"/>
    </row>
    <row r="172">
      <c r="A172" s="1276"/>
      <c r="B172" s="1277"/>
      <c r="C172" s="1277"/>
      <c r="D172" s="1277"/>
      <c r="E172" s="1277"/>
      <c r="F172" s="1277"/>
      <c r="G172" s="1277"/>
      <c r="H172" s="1277"/>
      <c r="I172" s="1277"/>
      <c r="J172" s="1277"/>
      <c r="K172" s="1277"/>
      <c r="L172" s="1277"/>
      <c r="M172" s="1277"/>
      <c r="N172" s="1066"/>
    </row>
    <row r="173">
      <c r="A173" s="1276"/>
      <c r="B173" s="1277"/>
      <c r="C173" s="1277"/>
      <c r="D173" s="1277"/>
      <c r="E173" s="1277"/>
      <c r="F173" s="1277"/>
      <c r="G173" s="1277"/>
      <c r="H173" s="1277"/>
      <c r="I173" s="1277"/>
      <c r="J173" s="1277"/>
      <c r="K173" s="1277"/>
      <c r="L173" s="1277"/>
      <c r="M173" s="1277"/>
      <c r="N173" s="1066"/>
    </row>
    <row r="174">
      <c r="A174" s="1276"/>
      <c r="B174" s="1277"/>
      <c r="C174" s="1277"/>
      <c r="D174" s="1277"/>
      <c r="E174" s="1277"/>
      <c r="F174" s="1277"/>
      <c r="G174" s="1277"/>
      <c r="H174" s="1277"/>
      <c r="I174" s="1277"/>
      <c r="J174" s="1277"/>
      <c r="K174" s="1277"/>
      <c r="L174" s="1277"/>
      <c r="M174" s="1277"/>
      <c r="N174" s="1066"/>
    </row>
    <row r="175">
      <c r="A175" s="1276"/>
      <c r="B175" s="1277"/>
      <c r="C175" s="1277"/>
      <c r="D175" s="1277"/>
      <c r="E175" s="1277"/>
      <c r="F175" s="1277"/>
      <c r="G175" s="1277"/>
      <c r="H175" s="1277"/>
      <c r="I175" s="1277"/>
      <c r="J175" s="1277"/>
      <c r="K175" s="1277"/>
      <c r="L175" s="1277"/>
      <c r="M175" s="1277"/>
      <c r="N175" s="1066"/>
    </row>
    <row r="176">
      <c r="A176" s="1276"/>
      <c r="B176" s="1277"/>
      <c r="C176" s="1277"/>
      <c r="D176" s="1277"/>
      <c r="E176" s="1277"/>
      <c r="F176" s="1277"/>
      <c r="G176" s="1277"/>
      <c r="H176" s="1277"/>
      <c r="I176" s="1277"/>
      <c r="J176" s="1277"/>
      <c r="K176" s="1277"/>
      <c r="L176" s="1277"/>
      <c r="M176" s="1277"/>
      <c r="N176" s="1066"/>
    </row>
    <row r="177">
      <c r="A177" s="1276"/>
      <c r="B177" s="1277"/>
      <c r="C177" s="1277"/>
      <c r="D177" s="1277"/>
      <c r="E177" s="1277"/>
      <c r="F177" s="1277"/>
      <c r="G177" s="1277"/>
      <c r="H177" s="1277"/>
      <c r="I177" s="1277"/>
      <c r="J177" s="1277"/>
      <c r="K177" s="1277"/>
      <c r="L177" s="1277"/>
      <c r="M177" s="1277"/>
      <c r="N177" s="1066"/>
    </row>
    <row r="178">
      <c r="A178" s="1276"/>
      <c r="B178" s="1277"/>
      <c r="C178" s="1277"/>
      <c r="D178" s="1277"/>
      <c r="E178" s="1277"/>
      <c r="F178" s="1277"/>
      <c r="G178" s="1277"/>
      <c r="H178" s="1277"/>
      <c r="I178" s="1277"/>
      <c r="J178" s="1277"/>
      <c r="K178" s="1277"/>
      <c r="L178" s="1277"/>
      <c r="M178" s="1277"/>
      <c r="N178" s="1066"/>
    </row>
    <row r="179">
      <c r="A179" s="1276"/>
      <c r="B179" s="1277"/>
      <c r="C179" s="1277"/>
      <c r="D179" s="1277"/>
      <c r="E179" s="1277"/>
      <c r="F179" s="1277"/>
      <c r="G179" s="1277"/>
      <c r="H179" s="1277"/>
      <c r="I179" s="1277"/>
      <c r="J179" s="1277"/>
      <c r="K179" s="1277"/>
      <c r="L179" s="1277"/>
      <c r="M179" s="1277"/>
      <c r="N179" s="1066"/>
    </row>
    <row r="180">
      <c r="A180" s="1276"/>
      <c r="B180" s="1277"/>
      <c r="C180" s="1277"/>
      <c r="D180" s="1277"/>
      <c r="E180" s="1277"/>
      <c r="F180" s="1277"/>
      <c r="G180" s="1316" t="s">
        <v>921</v>
      </c>
      <c r="H180" s="1277"/>
      <c r="I180" s="1277"/>
      <c r="J180" s="1277"/>
      <c r="K180" s="1277"/>
      <c r="L180" s="1277"/>
      <c r="M180" s="1277"/>
      <c r="N180" s="1066"/>
    </row>
    <row r="181">
      <c r="A181" s="1276"/>
      <c r="B181" s="1277"/>
      <c r="C181" s="1277"/>
      <c r="D181" s="1277"/>
      <c r="E181" s="1277"/>
      <c r="F181" s="1277"/>
      <c r="G181" s="1316"/>
      <c r="H181" s="1277"/>
      <c r="I181" s="1277"/>
      <c r="J181" s="1277"/>
      <c r="K181" s="1277"/>
      <c r="L181" s="1277"/>
      <c r="M181" s="1277"/>
      <c r="N181" s="1066"/>
    </row>
    <row r="182">
      <c r="A182" s="1276"/>
      <c r="B182" s="1277"/>
      <c r="C182" s="1277"/>
      <c r="D182" s="1277"/>
      <c r="E182" s="1277"/>
      <c r="F182" s="1277"/>
      <c r="G182" s="1277"/>
      <c r="H182" s="1277"/>
      <c r="I182" s="1277"/>
      <c r="J182" s="1277"/>
      <c r="K182" s="1277"/>
      <c r="L182" s="1277"/>
      <c r="M182" s="1277"/>
      <c r="N182" s="1066"/>
    </row>
    <row r="183">
      <c r="A183" s="1276"/>
      <c r="B183" s="1277"/>
      <c r="C183" s="1277"/>
      <c r="D183" s="1277"/>
      <c r="E183" s="1277"/>
      <c r="F183" s="1277"/>
      <c r="G183" s="1277"/>
      <c r="H183" s="1277"/>
      <c r="I183" s="1277"/>
      <c r="J183" s="1277"/>
      <c r="K183" s="1277"/>
      <c r="L183" s="1277"/>
      <c r="M183" s="1277"/>
      <c r="N183" s="1066"/>
    </row>
    <row r="184">
      <c r="A184" s="1276"/>
      <c r="B184" s="1277"/>
      <c r="C184" s="1277"/>
      <c r="D184" s="1277"/>
      <c r="E184" s="1277"/>
      <c r="F184" s="1277"/>
      <c r="G184" s="1277"/>
      <c r="H184" s="1277"/>
      <c r="I184" s="1277"/>
      <c r="J184" s="1277"/>
      <c r="K184" s="1277"/>
      <c r="L184" s="1277"/>
      <c r="M184" s="1277"/>
      <c r="N184" s="1066"/>
    </row>
    <row r="185">
      <c r="A185" s="1276"/>
      <c r="B185" s="1277"/>
      <c r="C185" s="1277"/>
      <c r="D185" s="1277"/>
      <c r="E185" s="1277"/>
      <c r="F185" s="1277"/>
      <c r="G185" s="1316"/>
      <c r="H185" s="1277"/>
      <c r="I185" s="1277"/>
      <c r="J185" s="1277"/>
      <c r="K185" s="1277"/>
      <c r="L185" s="1277"/>
      <c r="M185" s="1277"/>
      <c r="N185" s="1066"/>
    </row>
    <row r="186">
      <c r="A186" s="1276"/>
      <c r="B186" s="1277"/>
      <c r="C186" s="1277"/>
      <c r="D186" s="1277"/>
      <c r="E186" s="1277"/>
      <c r="F186" s="1277"/>
      <c r="G186" s="1316"/>
      <c r="H186" s="1277"/>
      <c r="I186" s="1277"/>
      <c r="J186" s="1277"/>
      <c r="K186" s="1277"/>
      <c r="L186" s="1277"/>
      <c r="M186" s="1277"/>
      <c r="N186" s="1066"/>
    </row>
    <row r="187">
      <c r="A187" s="1276"/>
      <c r="B187" s="1277"/>
      <c r="C187" s="1277"/>
      <c r="D187" s="1277"/>
      <c r="E187" s="1277"/>
      <c r="F187" s="1277"/>
      <c r="G187" s="1277"/>
      <c r="H187" s="1277"/>
      <c r="I187" s="1277"/>
      <c r="J187" s="1277"/>
      <c r="K187" s="1277"/>
      <c r="L187" s="1277"/>
      <c r="M187" s="1277"/>
      <c r="N187" s="1066"/>
    </row>
    <row r="188">
      <c r="A188" s="1276"/>
      <c r="B188" s="1277"/>
      <c r="C188" s="1277"/>
      <c r="D188" s="1277"/>
      <c r="E188" s="1277"/>
      <c r="F188" s="1277"/>
      <c r="G188" s="1316"/>
      <c r="H188" s="1277"/>
      <c r="I188" s="1277"/>
      <c r="J188" s="1277"/>
      <c r="K188" s="1277"/>
      <c r="L188" s="1277"/>
      <c r="M188" s="1277"/>
      <c r="N188" s="1066"/>
    </row>
    <row r="189">
      <c r="A189" s="1276"/>
      <c r="B189" s="1277"/>
      <c r="C189" s="1277"/>
      <c r="D189" s="1277"/>
      <c r="E189" s="1277"/>
      <c r="F189" s="1277"/>
      <c r="G189" s="1277"/>
      <c r="H189" s="1277"/>
      <c r="I189" s="1277"/>
      <c r="J189" s="1277"/>
      <c r="K189" s="1277"/>
      <c r="L189" s="1277"/>
      <c r="M189" s="1277"/>
      <c r="N189" s="1066"/>
    </row>
    <row r="190">
      <c r="A190" s="1276"/>
      <c r="B190" s="1277"/>
      <c r="C190" s="1277"/>
      <c r="D190" s="1277"/>
      <c r="E190" s="1277"/>
      <c r="F190" s="1277"/>
      <c r="G190" s="1277"/>
      <c r="H190" s="1277"/>
      <c r="I190" s="1277"/>
      <c r="J190" s="1277"/>
      <c r="K190" s="1277"/>
      <c r="L190" s="1277"/>
      <c r="M190" s="1277"/>
      <c r="N190" s="1066"/>
    </row>
    <row r="191">
      <c r="A191" s="1276"/>
      <c r="B191" s="1277"/>
      <c r="C191" s="1277"/>
      <c r="D191" s="1277"/>
      <c r="E191" s="1277"/>
      <c r="F191" s="1277"/>
      <c r="G191" s="1277"/>
      <c r="H191" s="1277"/>
      <c r="I191" s="1277"/>
      <c r="J191" s="1277"/>
      <c r="K191" s="1277"/>
      <c r="L191" s="1277"/>
      <c r="M191" s="1277"/>
      <c r="N191" s="1066"/>
    </row>
    <row r="192">
      <c r="A192" s="1276"/>
      <c r="B192" s="1277"/>
      <c r="C192" s="1277"/>
      <c r="D192" s="1277"/>
      <c r="E192" s="1277"/>
      <c r="F192" s="1277"/>
      <c r="G192" s="1277"/>
      <c r="H192" s="1277"/>
      <c r="I192" s="1277"/>
      <c r="J192" s="1277"/>
      <c r="K192" s="1277"/>
      <c r="L192" s="1277"/>
      <c r="M192" s="1277"/>
      <c r="N192" s="1066"/>
    </row>
    <row r="193">
      <c r="A193" s="1276"/>
      <c r="B193" s="1277"/>
      <c r="C193" s="1277"/>
      <c r="D193" s="1277"/>
      <c r="E193" s="1277"/>
      <c r="F193" s="1277"/>
      <c r="G193" s="1277"/>
      <c r="H193" s="1277"/>
      <c r="I193" s="1277"/>
      <c r="J193" s="1277"/>
      <c r="K193" s="1277"/>
      <c r="L193" s="1277"/>
      <c r="M193" s="1277"/>
      <c r="N193" s="1066"/>
    </row>
    <row r="194">
      <c r="A194" s="1276"/>
      <c r="B194" s="1277"/>
      <c r="C194" s="1277"/>
      <c r="D194" s="1277"/>
      <c r="E194" s="1277"/>
      <c r="F194" s="1277"/>
      <c r="G194" s="1277"/>
      <c r="H194" s="1277"/>
      <c r="I194" s="1277"/>
      <c r="J194" s="1277"/>
      <c r="K194" s="1277"/>
      <c r="L194" s="1277"/>
      <c r="M194" s="1277"/>
      <c r="N194" s="1066"/>
    </row>
    <row r="195">
      <c r="A195" s="1276"/>
      <c r="B195" s="1277"/>
      <c r="C195" s="1277"/>
      <c r="D195" s="1277"/>
      <c r="E195" s="1277"/>
      <c r="F195" s="1277"/>
      <c r="G195" s="1316"/>
      <c r="H195" s="1277"/>
      <c r="I195" s="1277"/>
      <c r="J195" s="1277"/>
      <c r="K195" s="1277"/>
      <c r="L195" s="1277"/>
      <c r="M195" s="1277"/>
      <c r="N195" s="1066"/>
    </row>
    <row r="196">
      <c r="A196" s="1276"/>
      <c r="B196" s="1277"/>
      <c r="C196" s="1277"/>
      <c r="D196" s="1277"/>
      <c r="E196" s="1277"/>
      <c r="F196" s="1277"/>
      <c r="G196" s="1277"/>
      <c r="H196" s="1277"/>
      <c r="I196" s="1277"/>
      <c r="J196" s="1277"/>
      <c r="K196" s="1277"/>
      <c r="L196" s="1277"/>
      <c r="M196" s="1277"/>
      <c r="N196" s="1066"/>
    </row>
    <row r="197">
      <c r="A197" s="1276"/>
      <c r="B197" s="1277"/>
      <c r="C197" s="1277"/>
      <c r="D197" s="1277"/>
      <c r="E197" s="1277"/>
      <c r="F197" s="1277"/>
      <c r="H197" s="1277"/>
      <c r="I197" s="1277"/>
      <c r="J197" s="1277"/>
      <c r="K197" s="1277"/>
      <c r="L197" s="1277"/>
      <c r="M197" s="1277"/>
      <c r="N197" s="1066"/>
    </row>
    <row r="198">
      <c r="A198" s="1276"/>
      <c r="B198" s="1277"/>
      <c r="C198" s="1277"/>
      <c r="D198" s="1277"/>
      <c r="E198" s="1277"/>
      <c r="F198" s="1277"/>
      <c r="G198" s="1277"/>
      <c r="H198" s="1277"/>
      <c r="I198" s="1277"/>
      <c r="J198" s="1277"/>
      <c r="K198" s="1277"/>
      <c r="L198" s="1277"/>
      <c r="M198" s="1277"/>
      <c r="N198" s="1066"/>
    </row>
    <row r="199">
      <c r="A199" s="1276"/>
      <c r="B199" s="1277"/>
      <c r="C199" s="1277"/>
      <c r="D199" s="1277"/>
      <c r="E199" s="1277"/>
      <c r="F199" s="1277"/>
      <c r="G199" s="1277"/>
      <c r="H199" s="1277"/>
      <c r="I199" s="1277"/>
      <c r="J199" s="1277"/>
      <c r="K199" s="1277"/>
      <c r="L199" s="1277"/>
      <c r="M199" s="1277"/>
      <c r="N199" s="1066"/>
    </row>
    <row r="200">
      <c r="A200" s="1276"/>
      <c r="B200" s="1277"/>
      <c r="C200" s="1277"/>
      <c r="D200" s="1277"/>
      <c r="E200" s="1277"/>
      <c r="F200" s="1277"/>
      <c r="G200" s="1277"/>
      <c r="H200" s="1277"/>
      <c r="I200" s="1277"/>
      <c r="J200" s="1277"/>
      <c r="K200" s="1277"/>
      <c r="L200" s="1277"/>
      <c r="M200" s="1277"/>
      <c r="N200" s="1066"/>
    </row>
    <row r="201">
      <c r="A201" s="1276"/>
      <c r="B201" s="1277"/>
      <c r="C201" s="1277"/>
      <c r="D201" s="1277"/>
      <c r="E201" s="1277"/>
      <c r="F201" s="1277"/>
      <c r="G201" s="1277"/>
      <c r="H201" s="1277"/>
      <c r="I201" s="1277"/>
      <c r="J201" s="1277"/>
      <c r="K201" s="1277"/>
      <c r="L201" s="1277"/>
      <c r="M201" s="1277"/>
      <c r="N201" s="1066"/>
    </row>
    <row r="202">
      <c r="A202" s="1276"/>
      <c r="B202" s="1277"/>
      <c r="C202" s="1277"/>
      <c r="D202" s="1277"/>
      <c r="E202" s="1277"/>
      <c r="F202" s="1277"/>
      <c r="G202" s="1277"/>
      <c r="H202" s="1277"/>
      <c r="I202" s="1277"/>
      <c r="J202" s="1277"/>
      <c r="K202" s="1277"/>
      <c r="L202" s="1277"/>
      <c r="M202" s="1277"/>
      <c r="N202" s="1066"/>
    </row>
    <row r="203">
      <c r="A203" s="1276"/>
      <c r="B203" s="1277"/>
      <c r="C203" s="1277"/>
      <c r="D203" s="1277"/>
      <c r="E203" s="1277"/>
      <c r="F203" s="1277"/>
      <c r="G203" s="1277"/>
      <c r="H203" s="1277"/>
      <c r="I203" s="1277"/>
      <c r="J203" s="1277"/>
      <c r="K203" s="1277"/>
      <c r="L203" s="1277"/>
      <c r="M203" s="1277"/>
      <c r="N203" s="1066"/>
    </row>
    <row r="204">
      <c r="A204" s="1276"/>
      <c r="B204" s="1277"/>
      <c r="C204" s="1277"/>
      <c r="D204" s="1277"/>
      <c r="E204" s="1277"/>
      <c r="F204" s="1277"/>
      <c r="G204" s="1277"/>
      <c r="H204" s="1277"/>
      <c r="I204" s="1277"/>
      <c r="J204" s="1277"/>
      <c r="K204" s="1277"/>
      <c r="L204" s="1277"/>
      <c r="M204" s="1277"/>
      <c r="N204" s="1066"/>
    </row>
    <row r="205">
      <c r="A205" s="1276"/>
      <c r="B205" s="1277"/>
      <c r="C205" s="1277"/>
      <c r="D205" s="1277"/>
      <c r="E205" s="1277"/>
      <c r="F205" s="1277"/>
      <c r="G205" s="1277"/>
      <c r="H205" s="1277"/>
      <c r="I205" s="1277"/>
      <c r="J205" s="1277"/>
      <c r="K205" s="1277"/>
      <c r="L205" s="1277"/>
      <c r="M205" s="1277"/>
      <c r="N205" s="1066"/>
    </row>
    <row r="206">
      <c r="A206" s="1276"/>
      <c r="B206" s="1277"/>
      <c r="C206" s="1277"/>
      <c r="D206" s="1277"/>
      <c r="E206" s="1277"/>
      <c r="F206" s="1277"/>
      <c r="G206" s="1277"/>
      <c r="H206" s="1277"/>
      <c r="I206" s="1277"/>
      <c r="J206" s="1277"/>
      <c r="K206" s="1277"/>
      <c r="L206" s="1277"/>
      <c r="M206" s="1277"/>
      <c r="N206" s="1066"/>
    </row>
    <row r="207">
      <c r="A207" s="1276"/>
      <c r="B207" s="1277"/>
      <c r="C207" s="1277"/>
      <c r="D207" s="1277"/>
      <c r="E207" s="1277"/>
      <c r="F207" s="1277"/>
      <c r="G207" s="1277"/>
      <c r="H207" s="1277"/>
      <c r="I207" s="1277"/>
      <c r="J207" s="1277"/>
      <c r="K207" s="1277"/>
      <c r="L207" s="1277"/>
      <c r="M207" s="1277"/>
      <c r="N207" s="1066"/>
    </row>
    <row r="208">
      <c r="A208" s="1276"/>
      <c r="B208" s="1277"/>
      <c r="C208" s="1277"/>
      <c r="D208" s="1277"/>
      <c r="E208" s="1277"/>
      <c r="F208" s="1277"/>
      <c r="G208" s="1277"/>
      <c r="H208" s="1277"/>
      <c r="I208" s="1277"/>
      <c r="J208" s="1277"/>
      <c r="K208" s="1277"/>
      <c r="L208" s="1277"/>
      <c r="M208" s="1277"/>
      <c r="N208" s="1066"/>
    </row>
    <row r="209">
      <c r="A209" s="1276"/>
      <c r="B209" s="1277"/>
      <c r="C209" s="1277"/>
      <c r="D209" s="1277"/>
      <c r="E209" s="1277"/>
      <c r="F209" s="1277"/>
      <c r="G209" s="1277"/>
      <c r="H209" s="1277"/>
      <c r="I209" s="1277"/>
      <c r="J209" s="1277"/>
      <c r="K209" s="1277"/>
      <c r="L209" s="1277"/>
      <c r="M209" s="1277"/>
      <c r="N209" s="1066"/>
    </row>
    <row r="210">
      <c r="A210" s="1276"/>
      <c r="B210" s="1277"/>
      <c r="C210" s="1277"/>
      <c r="D210" s="1277"/>
      <c r="E210" s="1277"/>
      <c r="F210" s="1277"/>
      <c r="G210" s="1277"/>
      <c r="H210" s="1277"/>
      <c r="I210" s="1277"/>
      <c r="J210" s="1277"/>
      <c r="K210" s="1277"/>
      <c r="L210" s="1277"/>
      <c r="M210" s="1277"/>
      <c r="N210" s="1066"/>
    </row>
    <row r="211">
      <c r="A211" s="1276"/>
      <c r="B211" s="1277"/>
      <c r="C211" s="1277"/>
      <c r="D211" s="1277"/>
      <c r="E211" s="1277"/>
      <c r="F211" s="1277"/>
      <c r="G211" s="1277"/>
      <c r="H211" s="1277"/>
      <c r="I211" s="1277"/>
      <c r="J211" s="1277"/>
      <c r="K211" s="1277"/>
      <c r="L211" s="1277"/>
      <c r="M211" s="1277"/>
      <c r="N211" s="1066"/>
    </row>
    <row r="212">
      <c r="A212" s="1276"/>
      <c r="B212" s="1277"/>
      <c r="C212" s="1277"/>
      <c r="D212" s="1277"/>
      <c r="E212" s="1277"/>
      <c r="F212" s="1277"/>
      <c r="G212" s="1277"/>
      <c r="H212" s="1277"/>
      <c r="I212" s="1277"/>
      <c r="J212" s="1277"/>
      <c r="K212" s="1277"/>
      <c r="L212" s="1277"/>
      <c r="M212" s="1277"/>
      <c r="N212" s="1066"/>
    </row>
    <row r="213">
      <c r="A213" s="1276"/>
      <c r="B213" s="1277"/>
      <c r="C213" s="1277"/>
      <c r="D213" s="1277"/>
      <c r="E213" s="1277"/>
      <c r="F213" s="1277"/>
      <c r="G213" s="1316"/>
      <c r="H213" s="1277"/>
      <c r="I213" s="1277"/>
      <c r="J213" s="1277"/>
      <c r="K213" s="1277"/>
      <c r="L213" s="1277"/>
      <c r="M213" s="1277"/>
      <c r="N213" s="1066"/>
    </row>
    <row r="214">
      <c r="A214" s="1276"/>
      <c r="B214" s="1277"/>
      <c r="C214" s="1277"/>
      <c r="D214" s="1277"/>
      <c r="E214" s="1277"/>
      <c r="F214" s="1277"/>
      <c r="G214" s="1277"/>
      <c r="H214" s="1277"/>
      <c r="I214" s="1277"/>
      <c r="J214" s="1277"/>
      <c r="K214" s="1277"/>
      <c r="L214" s="1277"/>
      <c r="M214" s="1277"/>
      <c r="N214" s="1066"/>
    </row>
    <row r="215">
      <c r="A215" s="1276"/>
      <c r="B215" s="1277"/>
      <c r="C215" s="1277"/>
      <c r="D215" s="1277"/>
      <c r="E215" s="1277"/>
      <c r="F215" s="1277"/>
      <c r="G215" s="1277"/>
      <c r="H215" s="1277"/>
      <c r="I215" s="1277"/>
      <c r="J215" s="1277"/>
      <c r="K215" s="1277"/>
      <c r="L215" s="1277"/>
      <c r="M215" s="1277"/>
      <c r="N215" s="1066"/>
    </row>
    <row r="216">
      <c r="A216" s="1276"/>
      <c r="B216" s="1277"/>
      <c r="C216" s="1277"/>
      <c r="D216" s="1277"/>
      <c r="E216" s="1277"/>
      <c r="F216" s="1277"/>
      <c r="G216" s="1277"/>
      <c r="H216" s="1277"/>
      <c r="I216" s="1277"/>
      <c r="J216" s="1277"/>
      <c r="K216" s="1277"/>
      <c r="L216" s="1277"/>
      <c r="M216" s="1277"/>
      <c r="N216" s="1066"/>
    </row>
    <row r="217">
      <c r="A217" s="1276"/>
      <c r="B217" s="1277"/>
      <c r="C217" s="1277"/>
      <c r="D217" s="1277"/>
      <c r="E217" s="1277"/>
      <c r="F217" s="1277"/>
      <c r="G217" s="1277"/>
      <c r="H217" s="1277"/>
      <c r="I217" s="1277"/>
      <c r="J217" s="1277"/>
      <c r="K217" s="1277"/>
      <c r="L217" s="1277"/>
      <c r="M217" s="1277"/>
      <c r="N217" s="1066"/>
    </row>
    <row r="218">
      <c r="A218" s="1276"/>
      <c r="B218" s="1277"/>
      <c r="C218" s="1277"/>
      <c r="D218" s="1277"/>
      <c r="E218" s="1277"/>
      <c r="F218" s="1277"/>
      <c r="G218" s="1316"/>
      <c r="H218" s="1277"/>
      <c r="I218" s="1277"/>
      <c r="J218" s="1277"/>
      <c r="K218" s="1277"/>
      <c r="L218" s="1277"/>
      <c r="M218" s="1277"/>
      <c r="N218" s="1066"/>
    </row>
    <row r="219">
      <c r="A219" s="1276"/>
      <c r="B219" s="1277"/>
      <c r="C219" s="1277"/>
      <c r="D219" s="1277"/>
      <c r="E219" s="1277"/>
      <c r="F219" s="1277"/>
      <c r="G219" s="1277"/>
      <c r="H219" s="1277"/>
      <c r="I219" s="1277"/>
      <c r="J219" s="1277"/>
      <c r="K219" s="1277"/>
      <c r="L219" s="1277"/>
      <c r="M219" s="1277"/>
      <c r="N219" s="1066"/>
    </row>
    <row r="220">
      <c r="A220" s="1276"/>
      <c r="B220" s="1277"/>
      <c r="C220" s="1277"/>
      <c r="D220" s="1277"/>
      <c r="E220" s="1277"/>
      <c r="F220" s="1277"/>
      <c r="G220" s="1277"/>
      <c r="H220" s="1277"/>
      <c r="I220" s="1277"/>
      <c r="J220" s="1277"/>
      <c r="K220" s="1277"/>
      <c r="L220" s="1277"/>
      <c r="M220" s="1277"/>
      <c r="N220" s="1066"/>
    </row>
    <row r="221">
      <c r="A221" s="1276"/>
      <c r="B221" s="1277"/>
      <c r="C221" s="1277"/>
      <c r="D221" s="1277"/>
      <c r="E221" s="1277"/>
      <c r="F221" s="1277"/>
      <c r="G221" s="1277"/>
      <c r="H221" s="1277"/>
      <c r="I221" s="1277"/>
      <c r="J221" s="1277"/>
      <c r="K221" s="1277"/>
      <c r="L221" s="1277"/>
      <c r="M221" s="1277"/>
      <c r="N221" s="1066"/>
    </row>
    <row r="222">
      <c r="A222" s="1276"/>
      <c r="B222" s="1277"/>
      <c r="C222" s="1277"/>
      <c r="D222" s="1277"/>
      <c r="E222" s="1277"/>
      <c r="F222" s="1277"/>
      <c r="G222" s="1277"/>
      <c r="H222" s="1277"/>
      <c r="I222" s="1277"/>
      <c r="J222" s="1277"/>
      <c r="K222" s="1277"/>
      <c r="L222" s="1277"/>
      <c r="M222" s="1277"/>
      <c r="N222" s="1066"/>
    </row>
    <row r="223">
      <c r="A223" s="1276"/>
      <c r="B223" s="1277"/>
      <c r="C223" s="1277"/>
      <c r="D223" s="1277"/>
      <c r="E223" s="1277"/>
      <c r="F223" s="1277"/>
      <c r="G223" s="1277"/>
      <c r="H223" s="1277"/>
      <c r="I223" s="1277"/>
      <c r="J223" s="1277"/>
      <c r="K223" s="1277"/>
      <c r="L223" s="1277"/>
      <c r="M223" s="1277"/>
      <c r="N223" s="1066"/>
    </row>
    <row r="224">
      <c r="A224" s="1276"/>
      <c r="B224" s="1277"/>
      <c r="C224" s="1277"/>
      <c r="D224" s="1277"/>
      <c r="E224" s="1277"/>
      <c r="F224" s="1277"/>
      <c r="G224" s="1277"/>
      <c r="H224" s="1277"/>
      <c r="I224" s="1277"/>
      <c r="J224" s="1277"/>
      <c r="K224" s="1277"/>
      <c r="L224" s="1277"/>
      <c r="M224" s="1277"/>
      <c r="N224" s="1066"/>
    </row>
    <row r="225">
      <c r="A225" s="1276"/>
      <c r="B225" s="1277"/>
      <c r="C225" s="1277"/>
      <c r="D225" s="1277"/>
      <c r="E225" s="1277"/>
      <c r="F225" s="1277"/>
      <c r="G225" s="1277"/>
      <c r="H225" s="1277"/>
      <c r="I225" s="1277"/>
      <c r="J225" s="1277"/>
      <c r="K225" s="1277"/>
      <c r="L225" s="1277"/>
      <c r="M225" s="1277"/>
      <c r="N225" s="1066"/>
    </row>
    <row r="226">
      <c r="A226" s="1276"/>
      <c r="B226" s="1277"/>
      <c r="C226" s="1277"/>
      <c r="D226" s="1277"/>
      <c r="E226" s="1277"/>
      <c r="F226" s="1277"/>
      <c r="G226" s="1277"/>
      <c r="H226" s="1277"/>
      <c r="I226" s="1277"/>
      <c r="J226" s="1277"/>
      <c r="K226" s="1277"/>
      <c r="L226" s="1277"/>
      <c r="M226" s="1277"/>
      <c r="N226" s="1066"/>
    </row>
    <row r="227">
      <c r="A227" s="1276"/>
      <c r="B227" s="1277"/>
      <c r="C227" s="1277"/>
      <c r="D227" s="1277"/>
      <c r="E227" s="1277"/>
      <c r="F227" s="1277"/>
      <c r="G227" s="1277"/>
      <c r="H227" s="1277"/>
      <c r="I227" s="1277"/>
      <c r="J227" s="1277"/>
      <c r="K227" s="1277"/>
      <c r="L227" s="1277"/>
      <c r="M227" s="1277"/>
      <c r="N227" s="1066"/>
    </row>
    <row r="228">
      <c r="A228" s="1276"/>
      <c r="B228" s="1277"/>
      <c r="C228" s="1277"/>
      <c r="D228" s="1277"/>
      <c r="E228" s="1277"/>
      <c r="F228" s="1277"/>
      <c r="G228" s="1277"/>
      <c r="H228" s="1277"/>
      <c r="I228" s="1277"/>
      <c r="J228" s="1277"/>
      <c r="K228" s="1277"/>
      <c r="L228" s="1277"/>
      <c r="M228" s="1277"/>
      <c r="N228" s="1066"/>
    </row>
    <row r="229">
      <c r="A229" s="1276"/>
      <c r="B229" s="1277"/>
      <c r="C229" s="1277"/>
      <c r="D229" s="1277"/>
      <c r="E229" s="1277"/>
      <c r="F229" s="1277"/>
      <c r="G229" s="1277"/>
      <c r="H229" s="1277"/>
      <c r="I229" s="1277"/>
      <c r="J229" s="1277"/>
      <c r="K229" s="1277"/>
      <c r="L229" s="1277"/>
      <c r="M229" s="1277"/>
      <c r="N229" s="1066"/>
    </row>
    <row r="230">
      <c r="A230" s="1276"/>
      <c r="B230" s="1277"/>
      <c r="C230" s="1277"/>
      <c r="D230" s="1277"/>
      <c r="E230" s="1277"/>
      <c r="F230" s="1277"/>
      <c r="G230" s="1277"/>
      <c r="H230" s="1277"/>
      <c r="I230" s="1277"/>
      <c r="J230" s="1277"/>
      <c r="K230" s="1277"/>
      <c r="L230" s="1277"/>
      <c r="M230" s="1277"/>
      <c r="N230" s="1066"/>
    </row>
    <row r="231">
      <c r="A231" s="1276"/>
      <c r="B231" s="1277"/>
      <c r="C231" s="1277"/>
      <c r="D231" s="1277"/>
      <c r="E231" s="1277"/>
      <c r="F231" s="1277"/>
      <c r="G231" s="1316"/>
      <c r="H231" s="1277"/>
      <c r="I231" s="1277"/>
      <c r="J231" s="1277"/>
      <c r="K231" s="1277"/>
      <c r="L231" s="1277"/>
      <c r="M231" s="1277"/>
      <c r="N231" s="1066"/>
    </row>
    <row r="232">
      <c r="A232" s="1276"/>
      <c r="B232" s="1277"/>
      <c r="C232" s="1277"/>
      <c r="D232" s="1277"/>
      <c r="E232" s="1277"/>
      <c r="F232" s="1277"/>
      <c r="G232" s="1277"/>
      <c r="H232" s="1277"/>
      <c r="I232" s="1277"/>
      <c r="J232" s="1277"/>
      <c r="K232" s="1277"/>
      <c r="L232" s="1277"/>
      <c r="M232" s="1277"/>
      <c r="N232" s="1066"/>
    </row>
    <row r="233">
      <c r="A233" s="1276"/>
      <c r="B233" s="1277"/>
      <c r="C233" s="1277"/>
      <c r="D233" s="1277"/>
      <c r="E233" s="1277"/>
      <c r="F233" s="1277"/>
      <c r="G233" s="1277"/>
      <c r="H233" s="1277"/>
      <c r="I233" s="1277"/>
      <c r="J233" s="1277"/>
      <c r="K233" s="1277"/>
      <c r="L233" s="1277"/>
      <c r="M233" s="1277"/>
      <c r="N233" s="1066"/>
    </row>
    <row r="234">
      <c r="A234" s="1276"/>
      <c r="B234" s="1277"/>
      <c r="C234" s="1277"/>
      <c r="D234" s="1277"/>
      <c r="E234" s="1277"/>
      <c r="F234" s="1277"/>
      <c r="G234" s="1277"/>
      <c r="H234" s="1277"/>
      <c r="I234" s="1277"/>
      <c r="J234" s="1277"/>
      <c r="K234" s="1277"/>
      <c r="L234" s="1277"/>
      <c r="M234" s="1277"/>
      <c r="N234" s="1066"/>
    </row>
    <row r="235">
      <c r="A235" s="1276"/>
      <c r="B235" s="1277"/>
      <c r="C235" s="1277"/>
      <c r="D235" s="1277"/>
      <c r="E235" s="1277"/>
      <c r="F235" s="1277"/>
      <c r="G235" s="1277"/>
      <c r="H235" s="1277"/>
      <c r="I235" s="1277"/>
      <c r="J235" s="1277"/>
      <c r="K235" s="1277"/>
      <c r="L235" s="1277"/>
      <c r="M235" s="1277"/>
      <c r="N235" s="1066"/>
    </row>
    <row r="236">
      <c r="A236" s="1276"/>
      <c r="B236" s="1277"/>
      <c r="C236" s="1277"/>
      <c r="D236" s="1277"/>
      <c r="E236" s="1277"/>
      <c r="F236" s="1277"/>
      <c r="G236" s="1277"/>
      <c r="H236" s="1277"/>
      <c r="I236" s="1277"/>
      <c r="J236" s="1277"/>
      <c r="K236" s="1277"/>
      <c r="L236" s="1277"/>
      <c r="M236" s="1277"/>
      <c r="N236" s="1066"/>
    </row>
    <row r="237">
      <c r="A237" s="1276"/>
      <c r="B237" s="1277"/>
      <c r="C237" s="1277"/>
      <c r="D237" s="1277"/>
      <c r="E237" s="1277"/>
      <c r="F237" s="1277"/>
      <c r="G237" s="1277"/>
      <c r="H237" s="1277"/>
      <c r="I237" s="1277"/>
      <c r="J237" s="1277"/>
      <c r="K237" s="1277"/>
      <c r="L237" s="1277"/>
      <c r="M237" s="1277"/>
      <c r="N237" s="1066"/>
    </row>
    <row r="238">
      <c r="A238" s="1276"/>
      <c r="B238" s="1277"/>
      <c r="C238" s="1277"/>
      <c r="D238" s="1277"/>
      <c r="E238" s="1277"/>
      <c r="F238" s="1277"/>
      <c r="G238" s="1277"/>
      <c r="H238" s="1277"/>
      <c r="I238" s="1277"/>
      <c r="J238" s="1277"/>
      <c r="K238" s="1277"/>
      <c r="L238" s="1277"/>
      <c r="M238" s="1277"/>
      <c r="N238" s="1066"/>
    </row>
    <row r="239">
      <c r="A239" s="1276"/>
      <c r="B239" s="1277"/>
      <c r="C239" s="1277"/>
      <c r="D239" s="1277"/>
      <c r="E239" s="1277"/>
      <c r="F239" s="1277"/>
      <c r="G239" s="1277"/>
      <c r="H239" s="1277"/>
      <c r="I239" s="1277"/>
      <c r="J239" s="1277"/>
      <c r="K239" s="1277"/>
      <c r="L239" s="1277"/>
      <c r="M239" s="1277"/>
      <c r="N239" s="1066"/>
    </row>
    <row r="240">
      <c r="A240" s="1276"/>
      <c r="B240" s="1277"/>
      <c r="C240" s="1277"/>
      <c r="D240" s="1277"/>
      <c r="E240" s="1277"/>
      <c r="F240" s="1277"/>
      <c r="G240" s="1277"/>
      <c r="H240" s="1277"/>
      <c r="I240" s="1277"/>
      <c r="J240" s="1277"/>
      <c r="K240" s="1277"/>
      <c r="L240" s="1277"/>
      <c r="M240" s="1277"/>
      <c r="N240" s="1066"/>
    </row>
    <row r="241">
      <c r="A241" s="1276"/>
      <c r="B241" s="1277"/>
      <c r="C241" s="1277"/>
      <c r="D241" s="1277"/>
      <c r="E241" s="1277"/>
      <c r="F241" s="1277"/>
      <c r="G241" s="1277"/>
      <c r="H241" s="1277"/>
      <c r="I241" s="1277"/>
      <c r="J241" s="1277"/>
      <c r="K241" s="1277"/>
      <c r="L241" s="1277"/>
      <c r="M241" s="1277"/>
      <c r="N241" s="1066"/>
    </row>
    <row r="242">
      <c r="A242" s="1276"/>
      <c r="B242" s="1277"/>
      <c r="C242" s="1277"/>
      <c r="D242" s="1277"/>
      <c r="E242" s="1277"/>
      <c r="F242" s="1277"/>
      <c r="G242" s="1277"/>
      <c r="H242" s="1277"/>
      <c r="I242" s="1277"/>
      <c r="J242" s="1277"/>
      <c r="K242" s="1277"/>
      <c r="L242" s="1277"/>
      <c r="M242" s="1277"/>
      <c r="N242" s="1066"/>
    </row>
    <row r="243">
      <c r="A243" s="1276"/>
      <c r="B243" s="1277"/>
      <c r="C243" s="1277"/>
      <c r="D243" s="1277"/>
      <c r="E243" s="1277"/>
      <c r="F243" s="1277"/>
      <c r="G243" s="1277"/>
      <c r="H243" s="1277"/>
      <c r="I243" s="1277"/>
      <c r="J243" s="1277"/>
      <c r="K243" s="1277"/>
      <c r="L243" s="1277"/>
      <c r="M243" s="1277"/>
      <c r="N243" s="1066"/>
    </row>
    <row r="244">
      <c r="A244" s="1276"/>
      <c r="B244" s="1277"/>
      <c r="C244" s="1277"/>
      <c r="D244" s="1277"/>
      <c r="E244" s="1277"/>
      <c r="F244" s="1277"/>
      <c r="G244" s="1277"/>
      <c r="H244" s="1277"/>
      <c r="I244" s="1277"/>
      <c r="J244" s="1277"/>
      <c r="K244" s="1277"/>
      <c r="L244" s="1277"/>
      <c r="M244" s="1277"/>
      <c r="N244" s="1066"/>
    </row>
    <row r="245">
      <c r="A245" s="1276"/>
      <c r="B245" s="1277"/>
      <c r="C245" s="1277"/>
      <c r="D245" s="1277"/>
      <c r="E245" s="1277"/>
      <c r="F245" s="1277"/>
      <c r="G245" s="1277"/>
      <c r="H245" s="1277"/>
      <c r="I245" s="1277"/>
      <c r="J245" s="1277"/>
      <c r="K245" s="1277"/>
      <c r="L245" s="1277"/>
      <c r="M245" s="1277"/>
      <c r="N245" s="1066"/>
    </row>
    <row r="246">
      <c r="A246" s="1276"/>
      <c r="B246" s="1277"/>
      <c r="C246" s="1277"/>
      <c r="D246" s="1277"/>
      <c r="E246" s="1277"/>
      <c r="F246" s="1277"/>
      <c r="G246" s="1316"/>
      <c r="H246" s="1277"/>
      <c r="I246" s="1277"/>
      <c r="J246" s="1277"/>
      <c r="K246" s="1277"/>
      <c r="L246" s="1277"/>
      <c r="M246" s="1277"/>
      <c r="N246" s="1066"/>
    </row>
    <row r="247">
      <c r="A247" s="1276"/>
      <c r="B247" s="1277"/>
      <c r="C247" s="1277"/>
      <c r="D247" s="1277"/>
      <c r="E247" s="1277"/>
      <c r="F247" s="1277"/>
      <c r="G247" s="1316"/>
      <c r="H247" s="1277"/>
      <c r="I247" s="1277"/>
      <c r="J247" s="1277"/>
      <c r="K247" s="1277"/>
      <c r="L247" s="1277"/>
      <c r="M247" s="1277"/>
      <c r="N247" s="1066"/>
    </row>
    <row r="248">
      <c r="A248" s="1276"/>
      <c r="B248" s="1277"/>
      <c r="C248" s="1277"/>
      <c r="D248" s="1277"/>
      <c r="E248" s="1277"/>
      <c r="F248" s="1277"/>
      <c r="G248" s="1277"/>
      <c r="H248" s="1277"/>
      <c r="I248" s="1277"/>
      <c r="J248" s="1277"/>
      <c r="K248" s="1277"/>
      <c r="L248" s="1277"/>
      <c r="M248" s="1277"/>
      <c r="N248" s="1066"/>
    </row>
    <row r="249">
      <c r="A249" s="1276"/>
      <c r="B249" s="1277"/>
      <c r="C249" s="1277"/>
      <c r="D249" s="1277"/>
      <c r="E249" s="1277"/>
      <c r="F249" s="1277"/>
      <c r="G249" s="1277"/>
      <c r="H249" s="1277"/>
      <c r="I249" s="1277"/>
      <c r="J249" s="1277"/>
      <c r="K249" s="1277"/>
      <c r="L249" s="1277"/>
      <c r="M249" s="1277"/>
      <c r="N249" s="1066"/>
    </row>
    <row r="250">
      <c r="A250" s="1276"/>
      <c r="B250" s="1277"/>
      <c r="C250" s="1277"/>
      <c r="D250" s="1277"/>
      <c r="E250" s="1277"/>
      <c r="F250" s="1277"/>
      <c r="G250" s="1316"/>
      <c r="H250" s="1277"/>
      <c r="I250" s="1277"/>
      <c r="J250" s="1277"/>
      <c r="K250" s="1277"/>
      <c r="L250" s="1277"/>
      <c r="M250" s="1277"/>
      <c r="N250" s="1066"/>
    </row>
    <row r="251">
      <c r="A251" s="1276"/>
      <c r="B251" s="1277"/>
      <c r="C251" s="1277"/>
      <c r="D251" s="1277"/>
      <c r="E251" s="1277"/>
      <c r="F251" s="1277"/>
      <c r="G251" s="1277"/>
      <c r="H251" s="1277"/>
      <c r="I251" s="1277"/>
      <c r="J251" s="1277"/>
      <c r="K251" s="1277"/>
      <c r="L251" s="1277"/>
      <c r="M251" s="1277"/>
      <c r="N251" s="1066"/>
    </row>
    <row r="252">
      <c r="A252" s="1276"/>
      <c r="B252" s="1277"/>
      <c r="C252" s="1277"/>
      <c r="D252" s="1277"/>
      <c r="E252" s="1277"/>
      <c r="F252" s="1277"/>
      <c r="G252" s="1277"/>
      <c r="H252" s="1277"/>
      <c r="I252" s="1277"/>
      <c r="J252" s="1277"/>
      <c r="K252" s="1277"/>
      <c r="L252" s="1277"/>
      <c r="M252" s="1277"/>
      <c r="N252" s="1066"/>
    </row>
    <row r="253">
      <c r="A253" s="1276"/>
      <c r="B253" s="1277"/>
      <c r="C253" s="1277"/>
      <c r="D253" s="1277"/>
      <c r="E253" s="1277"/>
      <c r="F253" s="1277"/>
      <c r="G253" s="1277"/>
      <c r="H253" s="1277"/>
      <c r="I253" s="1277"/>
      <c r="J253" s="1277"/>
      <c r="K253" s="1277"/>
      <c r="L253" s="1277"/>
      <c r="M253" s="1277"/>
      <c r="N253" s="1066"/>
    </row>
    <row r="254">
      <c r="A254" s="1276"/>
      <c r="B254" s="1277"/>
      <c r="C254" s="1277"/>
      <c r="D254" s="1277"/>
      <c r="E254" s="1277"/>
      <c r="F254" s="1277"/>
      <c r="G254" s="1277"/>
      <c r="H254" s="1277"/>
      <c r="I254" s="1277"/>
      <c r="J254" s="1277"/>
      <c r="K254" s="1277"/>
      <c r="L254" s="1277"/>
      <c r="M254" s="1277"/>
      <c r="N254" s="1066"/>
    </row>
    <row r="255">
      <c r="A255" s="1276"/>
      <c r="B255" s="1277"/>
      <c r="C255" s="1277"/>
      <c r="D255" s="1277"/>
      <c r="E255" s="1277"/>
      <c r="F255" s="1277"/>
      <c r="G255" s="1277"/>
      <c r="H255" s="1277"/>
      <c r="I255" s="1277"/>
      <c r="J255" s="1277"/>
      <c r="K255" s="1277"/>
      <c r="L255" s="1277"/>
      <c r="M255" s="1277"/>
      <c r="N255" s="1066"/>
    </row>
    <row r="256">
      <c r="A256" s="1276"/>
      <c r="B256" s="1277"/>
      <c r="C256" s="1277"/>
      <c r="D256" s="1277"/>
      <c r="E256" s="1277"/>
      <c r="F256" s="1277"/>
      <c r="G256" s="1277"/>
      <c r="H256" s="1277"/>
      <c r="I256" s="1277"/>
      <c r="J256" s="1277"/>
      <c r="K256" s="1277"/>
      <c r="L256" s="1277"/>
      <c r="M256" s="1277"/>
      <c r="N256" s="1066"/>
    </row>
    <row r="257">
      <c r="A257" s="1276"/>
      <c r="B257" s="1277"/>
      <c r="C257" s="1277"/>
      <c r="D257" s="1277"/>
      <c r="E257" s="1277"/>
      <c r="F257" s="1277"/>
      <c r="G257" s="1277"/>
      <c r="H257" s="1277"/>
      <c r="I257" s="1277"/>
      <c r="J257" s="1277"/>
      <c r="K257" s="1277"/>
      <c r="L257" s="1277"/>
      <c r="M257" s="1277"/>
      <c r="N257" s="1066"/>
    </row>
    <row r="258">
      <c r="A258" s="1276"/>
      <c r="B258" s="1277"/>
      <c r="C258" s="1277"/>
      <c r="D258" s="1277"/>
      <c r="E258" s="1277"/>
      <c r="F258" s="1277"/>
      <c r="G258" s="1277"/>
      <c r="H258" s="1277"/>
      <c r="I258" s="1277"/>
      <c r="J258" s="1277"/>
      <c r="K258" s="1277"/>
      <c r="L258" s="1277"/>
      <c r="M258" s="1277"/>
      <c r="N258" s="1066"/>
    </row>
    <row r="259">
      <c r="A259" s="1276"/>
      <c r="B259" s="1277"/>
      <c r="C259" s="1277"/>
      <c r="D259" s="1277"/>
      <c r="E259" s="1277"/>
      <c r="F259" s="1277"/>
      <c r="G259" s="1277"/>
      <c r="H259" s="1277"/>
      <c r="I259" s="1277"/>
      <c r="J259" s="1277"/>
      <c r="K259" s="1277"/>
      <c r="L259" s="1277"/>
      <c r="M259" s="1277"/>
      <c r="N259" s="1066"/>
    </row>
    <row r="260">
      <c r="A260" s="1276"/>
      <c r="B260" s="1277"/>
      <c r="C260" s="1277"/>
      <c r="D260" s="1277"/>
      <c r="E260" s="1277"/>
      <c r="F260" s="1277"/>
      <c r="G260" s="1277"/>
      <c r="H260" s="1277"/>
      <c r="I260" s="1277"/>
      <c r="J260" s="1277"/>
      <c r="K260" s="1277"/>
      <c r="L260" s="1277"/>
      <c r="M260" s="1277"/>
      <c r="N260" s="1066"/>
    </row>
    <row r="261">
      <c r="A261" s="1276"/>
      <c r="B261" s="1277"/>
      <c r="C261" s="1277"/>
      <c r="D261" s="1277"/>
      <c r="E261" s="1277"/>
      <c r="F261" s="1277"/>
      <c r="G261" s="1277"/>
      <c r="H261" s="1277"/>
      <c r="I261" s="1277"/>
      <c r="J261" s="1277"/>
      <c r="K261" s="1277"/>
      <c r="L261" s="1277"/>
      <c r="M261" s="1277"/>
      <c r="N261" s="1066"/>
    </row>
    <row r="262">
      <c r="A262" s="1276"/>
      <c r="B262" s="1277"/>
      <c r="C262" s="1277"/>
      <c r="D262" s="1277"/>
      <c r="E262" s="1277"/>
      <c r="F262" s="1277"/>
      <c r="G262" s="1277"/>
      <c r="H262" s="1277"/>
      <c r="I262" s="1277"/>
      <c r="J262" s="1277"/>
      <c r="K262" s="1277"/>
      <c r="L262" s="1277"/>
      <c r="M262" s="1277"/>
      <c r="N262" s="1066"/>
    </row>
    <row r="263">
      <c r="A263" s="1276"/>
      <c r="B263" s="1277"/>
      <c r="C263" s="1277"/>
      <c r="D263" s="1277"/>
      <c r="E263" s="1277"/>
      <c r="F263" s="1277"/>
      <c r="G263" s="1277"/>
      <c r="H263" s="1277"/>
      <c r="I263" s="1277"/>
      <c r="J263" s="1277"/>
      <c r="K263" s="1277"/>
      <c r="L263" s="1277"/>
      <c r="M263" s="1277"/>
      <c r="N263" s="1066"/>
    </row>
    <row r="264">
      <c r="A264" s="1276"/>
      <c r="B264" s="1277"/>
      <c r="C264" s="1277"/>
      <c r="D264" s="1277"/>
      <c r="E264" s="1277"/>
      <c r="F264" s="1277"/>
      <c r="G264" s="1277"/>
      <c r="H264" s="1277"/>
      <c r="I264" s="1277"/>
      <c r="J264" s="1277"/>
      <c r="K264" s="1277"/>
      <c r="L264" s="1277"/>
      <c r="M264" s="1277"/>
      <c r="N264" s="1066"/>
    </row>
    <row r="265">
      <c r="A265" s="1276"/>
      <c r="B265" s="1277"/>
      <c r="C265" s="1277"/>
      <c r="D265" s="1277"/>
      <c r="E265" s="1277"/>
      <c r="F265" s="1277"/>
      <c r="G265" s="1277"/>
      <c r="H265" s="1277"/>
      <c r="I265" s="1277"/>
      <c r="J265" s="1277"/>
      <c r="K265" s="1277"/>
      <c r="L265" s="1277"/>
      <c r="M265" s="1277"/>
      <c r="N265" s="1066"/>
    </row>
    <row r="266">
      <c r="A266" s="1276"/>
      <c r="B266" s="1277"/>
      <c r="C266" s="1277"/>
      <c r="D266" s="1277"/>
      <c r="E266" s="1277"/>
      <c r="F266" s="1277"/>
      <c r="G266" s="1277"/>
      <c r="H266" s="1277"/>
      <c r="I266" s="1277"/>
      <c r="J266" s="1277"/>
      <c r="K266" s="1277"/>
      <c r="L266" s="1277"/>
      <c r="M266" s="1277"/>
      <c r="N266" s="1066"/>
    </row>
    <row r="267">
      <c r="A267" s="1276"/>
      <c r="B267" s="1277"/>
      <c r="C267" s="1277"/>
      <c r="D267" s="1277"/>
      <c r="E267" s="1277"/>
      <c r="F267" s="1277"/>
      <c r="G267" s="1277"/>
      <c r="H267" s="1277"/>
      <c r="I267" s="1277"/>
      <c r="J267" s="1277"/>
      <c r="K267" s="1277"/>
      <c r="L267" s="1277"/>
      <c r="M267" s="1277"/>
      <c r="N267" s="1066"/>
    </row>
    <row r="268">
      <c r="A268" s="1276"/>
      <c r="B268" s="1277"/>
      <c r="C268" s="1277"/>
      <c r="D268" s="1277"/>
      <c r="E268" s="1277"/>
      <c r="F268" s="1277"/>
      <c r="G268" s="1277"/>
      <c r="H268" s="1277"/>
      <c r="I268" s="1277"/>
      <c r="J268" s="1277"/>
      <c r="K268" s="1277"/>
      <c r="L268" s="1277"/>
      <c r="M268" s="1277"/>
      <c r="N268" s="1066"/>
    </row>
    <row r="269">
      <c r="A269" s="1276"/>
      <c r="B269" s="1277"/>
      <c r="C269" s="1277"/>
      <c r="D269" s="1277"/>
      <c r="E269" s="1277"/>
      <c r="F269" s="1277"/>
      <c r="G269" s="1277"/>
      <c r="H269" s="1277"/>
      <c r="I269" s="1277"/>
      <c r="J269" s="1277"/>
      <c r="K269" s="1277"/>
      <c r="L269" s="1277"/>
      <c r="M269" s="1277"/>
      <c r="N269" s="1066"/>
    </row>
    <row r="270">
      <c r="A270" s="1276"/>
      <c r="B270" s="1277"/>
      <c r="C270" s="1277"/>
      <c r="D270" s="1277"/>
      <c r="E270" s="1277"/>
      <c r="F270" s="1277"/>
      <c r="G270" s="1277"/>
      <c r="H270" s="1277"/>
      <c r="I270" s="1277"/>
      <c r="J270" s="1277"/>
      <c r="K270" s="1277"/>
      <c r="L270" s="1277"/>
      <c r="M270" s="1277"/>
      <c r="N270" s="1066"/>
    </row>
    <row r="271">
      <c r="A271" s="1276"/>
      <c r="B271" s="1277"/>
      <c r="C271" s="1277"/>
      <c r="D271" s="1277"/>
      <c r="E271" s="1277"/>
      <c r="F271" s="1277"/>
      <c r="G271" s="1277"/>
      <c r="H271" s="1277"/>
      <c r="I271" s="1277"/>
      <c r="J271" s="1277"/>
      <c r="K271" s="1277"/>
      <c r="L271" s="1277"/>
      <c r="M271" s="1277"/>
      <c r="N271" s="1066"/>
    </row>
    <row r="272">
      <c r="A272" s="1276"/>
      <c r="B272" s="1277"/>
      <c r="C272" s="1277"/>
      <c r="D272" s="1277"/>
      <c r="E272" s="1277"/>
      <c r="F272" s="1277"/>
      <c r="G272" s="1277"/>
      <c r="H272" s="1277"/>
      <c r="I272" s="1277"/>
      <c r="J272" s="1277"/>
      <c r="K272" s="1277"/>
      <c r="L272" s="1277"/>
      <c r="M272" s="1277"/>
      <c r="N272" s="1066"/>
    </row>
    <row r="273">
      <c r="A273" s="1276"/>
      <c r="B273" s="1277"/>
      <c r="C273" s="1277"/>
      <c r="D273" s="1277"/>
      <c r="E273" s="1277"/>
      <c r="F273" s="1277"/>
      <c r="G273" s="1277"/>
      <c r="H273" s="1277"/>
      <c r="I273" s="1277"/>
      <c r="J273" s="1277"/>
      <c r="K273" s="1277"/>
      <c r="L273" s="1277"/>
      <c r="M273" s="1277"/>
      <c r="N273" s="1066"/>
    </row>
    <row r="274">
      <c r="A274" s="1276"/>
      <c r="B274" s="1277"/>
      <c r="C274" s="1277"/>
      <c r="D274" s="1277"/>
      <c r="E274" s="1277"/>
      <c r="F274" s="1277"/>
      <c r="G274" s="1277"/>
      <c r="H274" s="1277"/>
      <c r="I274" s="1277"/>
      <c r="J274" s="1277"/>
      <c r="K274" s="1277"/>
      <c r="L274" s="1277"/>
      <c r="M274" s="1277"/>
      <c r="N274" s="1066"/>
    </row>
    <row r="275">
      <c r="A275" s="1276"/>
      <c r="B275" s="1277"/>
      <c r="C275" s="1277"/>
      <c r="D275" s="1277"/>
      <c r="E275" s="1277"/>
      <c r="F275" s="1277"/>
      <c r="G275" s="1277"/>
      <c r="H275" s="1277"/>
      <c r="I275" s="1277"/>
      <c r="J275" s="1277"/>
      <c r="K275" s="1277"/>
      <c r="L275" s="1277"/>
      <c r="M275" s="1277"/>
      <c r="N275" s="1066"/>
    </row>
    <row r="276">
      <c r="A276" s="1276"/>
      <c r="B276" s="1277"/>
      <c r="C276" s="1277"/>
      <c r="D276" s="1277"/>
      <c r="E276" s="1277"/>
      <c r="F276" s="1277"/>
      <c r="G276" s="1277"/>
      <c r="H276" s="1277"/>
      <c r="I276" s="1277"/>
      <c r="J276" s="1277"/>
      <c r="K276" s="1277"/>
      <c r="L276" s="1277"/>
      <c r="M276" s="1277"/>
      <c r="N276" s="1066"/>
    </row>
    <row r="277">
      <c r="A277" s="1276"/>
      <c r="B277" s="1277"/>
      <c r="C277" s="1277"/>
      <c r="D277" s="1277"/>
      <c r="E277" s="1277"/>
      <c r="F277" s="1277"/>
      <c r="G277" s="1316"/>
      <c r="H277" s="1277"/>
      <c r="I277" s="1277"/>
      <c r="J277" s="1277"/>
      <c r="K277" s="1277"/>
      <c r="L277" s="1277"/>
      <c r="M277" s="1277"/>
      <c r="N277" s="1066"/>
    </row>
    <row r="278">
      <c r="A278" s="1276"/>
      <c r="B278" s="1277"/>
      <c r="C278" s="1277"/>
      <c r="D278" s="1277"/>
      <c r="E278" s="1277"/>
      <c r="F278" s="1277"/>
      <c r="G278" s="1277"/>
      <c r="H278" s="1277"/>
      <c r="I278" s="1277"/>
      <c r="J278" s="1277"/>
      <c r="K278" s="1277"/>
      <c r="L278" s="1277"/>
      <c r="M278" s="1277"/>
      <c r="N278" s="1066"/>
    </row>
    <row r="279">
      <c r="A279" s="1276"/>
      <c r="B279" s="1277"/>
      <c r="C279" s="1277"/>
      <c r="D279" s="1277"/>
      <c r="E279" s="1277"/>
      <c r="F279" s="1277"/>
      <c r="G279" s="1277"/>
      <c r="H279" s="1277"/>
      <c r="I279" s="1277"/>
      <c r="J279" s="1277"/>
      <c r="K279" s="1277"/>
      <c r="L279" s="1277"/>
      <c r="M279" s="1277"/>
      <c r="N279" s="1066"/>
    </row>
    <row r="280">
      <c r="A280" s="1276"/>
      <c r="B280" s="1277"/>
      <c r="C280" s="1277"/>
      <c r="D280" s="1277"/>
      <c r="E280" s="1277"/>
      <c r="F280" s="1277"/>
      <c r="G280" s="1277"/>
      <c r="H280" s="1277"/>
      <c r="I280" s="1277"/>
      <c r="J280" s="1277"/>
      <c r="K280" s="1277"/>
      <c r="L280" s="1277"/>
      <c r="M280" s="1277"/>
      <c r="N280" s="1066"/>
    </row>
    <row r="281">
      <c r="A281" s="1276"/>
      <c r="B281" s="1277"/>
      <c r="C281" s="1277"/>
      <c r="D281" s="1277"/>
      <c r="E281" s="1277"/>
      <c r="F281" s="1277"/>
      <c r="G281" s="1277"/>
      <c r="H281" s="1277"/>
      <c r="I281" s="1277"/>
      <c r="J281" s="1277"/>
      <c r="K281" s="1277"/>
      <c r="L281" s="1277"/>
      <c r="M281" s="1277"/>
      <c r="N281" s="1066"/>
    </row>
    <row r="282">
      <c r="A282" s="1276"/>
      <c r="B282" s="1277"/>
      <c r="C282" s="1277"/>
      <c r="D282" s="1277"/>
      <c r="E282" s="1277"/>
      <c r="F282" s="1277"/>
      <c r="G282" s="1277"/>
      <c r="H282" s="1277"/>
      <c r="I282" s="1277"/>
      <c r="J282" s="1277"/>
      <c r="K282" s="1277"/>
      <c r="L282" s="1277"/>
      <c r="M282" s="1277"/>
      <c r="N282" s="1066"/>
    </row>
    <row r="283">
      <c r="A283" s="1276"/>
      <c r="B283" s="1277"/>
      <c r="C283" s="1277"/>
      <c r="D283" s="1277"/>
      <c r="E283" s="1277"/>
      <c r="F283" s="1277"/>
      <c r="G283" s="1277"/>
      <c r="H283" s="1277"/>
      <c r="I283" s="1277"/>
      <c r="J283" s="1277"/>
      <c r="K283" s="1277"/>
      <c r="L283" s="1277"/>
      <c r="M283" s="1277"/>
      <c r="N283" s="1066"/>
    </row>
    <row r="284">
      <c r="A284" s="1276"/>
      <c r="B284" s="1277"/>
      <c r="C284" s="1277"/>
      <c r="D284" s="1277"/>
      <c r="E284" s="1277"/>
      <c r="F284" s="1277"/>
      <c r="G284" s="1277"/>
      <c r="H284" s="1277"/>
      <c r="I284" s="1277"/>
      <c r="J284" s="1277"/>
      <c r="K284" s="1277"/>
      <c r="L284" s="1277"/>
      <c r="M284" s="1277"/>
      <c r="N284" s="1066"/>
    </row>
    <row r="285">
      <c r="A285" s="1276"/>
      <c r="B285" s="1277"/>
      <c r="C285" s="1277"/>
      <c r="D285" s="1277"/>
      <c r="E285" s="1277"/>
      <c r="F285" s="1277"/>
      <c r="G285" s="1277"/>
      <c r="H285" s="1277"/>
      <c r="I285" s="1277"/>
      <c r="J285" s="1277"/>
      <c r="K285" s="1277"/>
      <c r="L285" s="1277"/>
      <c r="M285" s="1277"/>
      <c r="N285" s="1066"/>
    </row>
    <row r="286">
      <c r="A286" s="1276"/>
      <c r="B286" s="1277"/>
      <c r="C286" s="1277"/>
      <c r="D286" s="1277"/>
      <c r="E286" s="1277"/>
      <c r="F286" s="1277"/>
      <c r="G286" s="1277"/>
      <c r="H286" s="1277"/>
      <c r="I286" s="1277"/>
      <c r="J286" s="1277"/>
      <c r="K286" s="1277"/>
      <c r="L286" s="1277"/>
      <c r="M286" s="1277"/>
      <c r="N286" s="1066"/>
    </row>
    <row r="287">
      <c r="A287" s="1276"/>
      <c r="B287" s="1277"/>
      <c r="C287" s="1277"/>
      <c r="D287" s="1277"/>
      <c r="E287" s="1277"/>
      <c r="F287" s="1277"/>
      <c r="G287" s="1277"/>
      <c r="H287" s="1277"/>
      <c r="I287" s="1277"/>
      <c r="J287" s="1277"/>
      <c r="K287" s="1277"/>
      <c r="L287" s="1277"/>
      <c r="M287" s="1277"/>
      <c r="N287" s="1066"/>
    </row>
    <row r="288">
      <c r="A288" s="1276"/>
      <c r="B288" s="1277"/>
      <c r="C288" s="1277"/>
      <c r="D288" s="1277"/>
      <c r="E288" s="1277"/>
      <c r="F288" s="1277"/>
      <c r="G288" s="1277"/>
      <c r="H288" s="1277"/>
      <c r="I288" s="1277"/>
      <c r="J288" s="1277"/>
      <c r="K288" s="1277"/>
      <c r="L288" s="1277"/>
      <c r="M288" s="1277"/>
      <c r="N288" s="1066"/>
    </row>
    <row r="289">
      <c r="A289" s="1276"/>
      <c r="B289" s="1277"/>
      <c r="C289" s="1277"/>
      <c r="D289" s="1277"/>
      <c r="E289" s="1277"/>
      <c r="F289" s="1277"/>
      <c r="G289" s="1277"/>
      <c r="H289" s="1277"/>
      <c r="I289" s="1277"/>
      <c r="J289" s="1277"/>
      <c r="K289" s="1277"/>
      <c r="L289" s="1277"/>
      <c r="M289" s="1277"/>
      <c r="N289" s="1066"/>
    </row>
    <row r="290">
      <c r="A290" s="1276"/>
      <c r="B290" s="1277"/>
      <c r="C290" s="1277"/>
      <c r="D290" s="1277"/>
      <c r="E290" s="1277"/>
      <c r="F290" s="1277"/>
      <c r="G290" s="1277"/>
      <c r="H290" s="1277"/>
      <c r="I290" s="1277"/>
      <c r="J290" s="1277"/>
      <c r="K290" s="1277"/>
      <c r="L290" s="1277"/>
      <c r="M290" s="1277"/>
      <c r="N290" s="1066"/>
    </row>
    <row r="291">
      <c r="A291" s="1276"/>
      <c r="B291" s="1277"/>
      <c r="C291" s="1277"/>
      <c r="D291" s="1277"/>
      <c r="E291" s="1277"/>
      <c r="F291" s="1277"/>
      <c r="G291" s="1277"/>
      <c r="H291" s="1277"/>
      <c r="I291" s="1277"/>
      <c r="J291" s="1277"/>
      <c r="K291" s="1277"/>
      <c r="L291" s="1277"/>
      <c r="M291" s="1277"/>
      <c r="N291" s="1066"/>
    </row>
    <row r="292">
      <c r="A292" s="1276"/>
      <c r="B292" s="1277"/>
      <c r="C292" s="1277"/>
      <c r="D292" s="1277"/>
      <c r="E292" s="1277"/>
      <c r="F292" s="1277"/>
      <c r="G292" s="1277"/>
      <c r="H292" s="1277"/>
      <c r="I292" s="1277"/>
      <c r="J292" s="1277"/>
      <c r="K292" s="1277"/>
      <c r="L292" s="1277"/>
      <c r="M292" s="1277"/>
      <c r="N292" s="1066"/>
    </row>
    <row r="293">
      <c r="A293" s="1276"/>
      <c r="B293" s="1277"/>
      <c r="C293" s="1277"/>
      <c r="D293" s="1277"/>
      <c r="E293" s="1277"/>
      <c r="F293" s="1277"/>
      <c r="G293" s="1277"/>
      <c r="H293" s="1277"/>
      <c r="I293" s="1277"/>
      <c r="J293" s="1277"/>
      <c r="K293" s="1277"/>
      <c r="L293" s="1277"/>
      <c r="M293" s="1277"/>
      <c r="N293" s="1066"/>
    </row>
    <row r="294">
      <c r="A294" s="1276"/>
      <c r="B294" s="1277"/>
      <c r="C294" s="1277"/>
      <c r="D294" s="1277"/>
      <c r="E294" s="1277"/>
      <c r="F294" s="1277"/>
      <c r="G294" s="1277"/>
      <c r="H294" s="1277"/>
      <c r="I294" s="1277"/>
      <c r="J294" s="1277"/>
      <c r="K294" s="1277"/>
      <c r="L294" s="1277"/>
      <c r="M294" s="1277"/>
      <c r="N294" s="1066"/>
    </row>
    <row r="295">
      <c r="A295" s="1276"/>
      <c r="B295" s="1277"/>
      <c r="C295" s="1277"/>
      <c r="D295" s="1277"/>
      <c r="E295" s="1277"/>
      <c r="F295" s="1277"/>
      <c r="G295" s="1277"/>
      <c r="H295" s="1277"/>
      <c r="I295" s="1277"/>
      <c r="J295" s="1277"/>
      <c r="K295" s="1277"/>
      <c r="L295" s="1277"/>
      <c r="M295" s="1277"/>
      <c r="N295" s="1066"/>
    </row>
    <row r="296">
      <c r="A296" s="1276"/>
      <c r="B296" s="1277"/>
      <c r="C296" s="1277"/>
      <c r="D296" s="1277"/>
      <c r="E296" s="1277"/>
      <c r="F296" s="1277"/>
      <c r="G296" s="1277"/>
      <c r="H296" s="1277"/>
      <c r="I296" s="1277"/>
      <c r="J296" s="1277"/>
      <c r="K296" s="1277"/>
      <c r="L296" s="1277"/>
      <c r="M296" s="1277"/>
      <c r="N296" s="1066"/>
    </row>
    <row r="297">
      <c r="A297" s="1276"/>
      <c r="B297" s="1277"/>
      <c r="C297" s="1277"/>
      <c r="D297" s="1277"/>
      <c r="E297" s="1277"/>
      <c r="F297" s="1277"/>
      <c r="G297" s="1277"/>
      <c r="H297" s="1277"/>
      <c r="I297" s="1277"/>
      <c r="J297" s="1277"/>
      <c r="K297" s="1277"/>
      <c r="L297" s="1277"/>
      <c r="M297" s="1277"/>
      <c r="N297" s="1066"/>
    </row>
    <row r="298">
      <c r="A298" s="1276"/>
      <c r="B298" s="1277"/>
      <c r="C298" s="1277"/>
      <c r="D298" s="1277"/>
      <c r="E298" s="1277"/>
      <c r="F298" s="1277"/>
      <c r="G298" s="1277"/>
      <c r="H298" s="1277"/>
      <c r="I298" s="1277"/>
      <c r="J298" s="1277"/>
      <c r="K298" s="1277"/>
      <c r="L298" s="1277"/>
      <c r="M298" s="1277"/>
      <c r="N298" s="1066"/>
    </row>
    <row r="299">
      <c r="A299" s="1276"/>
      <c r="B299" s="1277"/>
      <c r="C299" s="1277"/>
      <c r="D299" s="1277"/>
      <c r="E299" s="1277"/>
      <c r="F299" s="1277"/>
      <c r="G299" s="1277"/>
      <c r="H299" s="1277"/>
      <c r="I299" s="1277"/>
      <c r="J299" s="1277"/>
      <c r="K299" s="1277"/>
      <c r="L299" s="1277"/>
      <c r="M299" s="1277"/>
      <c r="N299" s="1066"/>
    </row>
    <row r="300">
      <c r="A300" s="1276"/>
      <c r="B300" s="1277"/>
      <c r="C300" s="1277"/>
      <c r="D300" s="1277"/>
      <c r="E300" s="1277"/>
      <c r="F300" s="1277"/>
      <c r="G300" s="1277"/>
      <c r="H300" s="1277"/>
      <c r="I300" s="1277"/>
      <c r="J300" s="1277"/>
      <c r="K300" s="1277"/>
      <c r="L300" s="1277"/>
      <c r="M300" s="1277"/>
      <c r="N300" s="1066"/>
    </row>
    <row r="301">
      <c r="A301" s="1276"/>
      <c r="B301" s="1277"/>
      <c r="C301" s="1277"/>
      <c r="D301" s="1277"/>
      <c r="E301" s="1277"/>
      <c r="F301" s="1277"/>
      <c r="G301" s="1277"/>
      <c r="H301" s="1277"/>
      <c r="I301" s="1277"/>
      <c r="J301" s="1277"/>
      <c r="K301" s="1277"/>
      <c r="L301" s="1277"/>
      <c r="M301" s="1277"/>
      <c r="N301" s="1066"/>
    </row>
    <row r="302">
      <c r="A302" s="1276"/>
      <c r="B302" s="1277"/>
      <c r="C302" s="1277"/>
      <c r="D302" s="1277"/>
      <c r="E302" s="1277"/>
      <c r="F302" s="1277"/>
      <c r="G302" s="1277"/>
      <c r="H302" s="1277"/>
      <c r="I302" s="1277"/>
      <c r="J302" s="1277"/>
      <c r="K302" s="1277"/>
      <c r="L302" s="1277"/>
      <c r="M302" s="1277"/>
      <c r="N302" s="1066"/>
    </row>
    <row r="303">
      <c r="A303" s="1276"/>
      <c r="B303" s="1277"/>
      <c r="C303" s="1277"/>
      <c r="D303" s="1277"/>
      <c r="E303" s="1277"/>
      <c r="F303" s="1277"/>
      <c r="G303" s="1277"/>
      <c r="H303" s="1277"/>
      <c r="I303" s="1277"/>
      <c r="J303" s="1277"/>
      <c r="K303" s="1277"/>
      <c r="L303" s="1277"/>
      <c r="M303" s="1277"/>
      <c r="N303" s="1066"/>
    </row>
    <row r="304">
      <c r="A304" s="1276"/>
      <c r="B304" s="1277"/>
      <c r="C304" s="1277"/>
      <c r="D304" s="1277"/>
      <c r="E304" s="1277"/>
      <c r="F304" s="1277"/>
      <c r="G304" s="1277"/>
      <c r="H304" s="1277"/>
      <c r="I304" s="1277"/>
      <c r="J304" s="1277"/>
      <c r="K304" s="1277"/>
      <c r="L304" s="1277"/>
      <c r="M304" s="1277"/>
      <c r="N304" s="1066"/>
    </row>
    <row r="305">
      <c r="A305" s="1276"/>
      <c r="B305" s="1277"/>
      <c r="C305" s="1277"/>
      <c r="D305" s="1277"/>
      <c r="E305" s="1277"/>
      <c r="F305" s="1277"/>
      <c r="G305" s="1277"/>
      <c r="H305" s="1277"/>
      <c r="I305" s="1277"/>
      <c r="J305" s="1277"/>
      <c r="K305" s="1277"/>
      <c r="L305" s="1277"/>
      <c r="M305" s="1277"/>
      <c r="N305" s="1066"/>
    </row>
    <row r="306">
      <c r="A306" s="1276"/>
      <c r="B306" s="1277"/>
      <c r="C306" s="1277"/>
      <c r="D306" s="1277"/>
      <c r="E306" s="1277"/>
      <c r="F306" s="1277"/>
      <c r="G306" s="1316"/>
      <c r="H306" s="1277"/>
      <c r="I306" s="1277"/>
      <c r="J306" s="1277"/>
      <c r="K306" s="1277"/>
      <c r="L306" s="1277"/>
      <c r="M306" s="1277"/>
      <c r="N306" s="1066"/>
    </row>
    <row r="307">
      <c r="A307" s="1276"/>
      <c r="B307" s="1277"/>
      <c r="C307" s="1277"/>
      <c r="D307" s="1277"/>
      <c r="E307" s="1277"/>
      <c r="F307" s="1277"/>
      <c r="G307" s="1277"/>
      <c r="H307" s="1277"/>
      <c r="I307" s="1277"/>
      <c r="J307" s="1277"/>
      <c r="K307" s="1277"/>
      <c r="L307" s="1277"/>
      <c r="M307" s="1277"/>
      <c r="N307" s="1066"/>
    </row>
    <row r="308">
      <c r="A308" s="1276"/>
      <c r="B308" s="1277"/>
      <c r="C308" s="1277"/>
      <c r="D308" s="1277"/>
      <c r="E308" s="1277"/>
      <c r="F308" s="1277"/>
      <c r="G308" s="1277"/>
      <c r="H308" s="1277"/>
      <c r="I308" s="1277"/>
      <c r="J308" s="1277"/>
      <c r="K308" s="1277"/>
      <c r="L308" s="1277"/>
      <c r="M308" s="1277"/>
      <c r="N308" s="1066"/>
    </row>
    <row r="309">
      <c r="A309" s="1276"/>
      <c r="B309" s="1277"/>
      <c r="C309" s="1277"/>
      <c r="D309" s="1277"/>
      <c r="E309" s="1277"/>
      <c r="F309" s="1277"/>
      <c r="G309" s="1277"/>
      <c r="H309" s="1277"/>
      <c r="I309" s="1277"/>
      <c r="J309" s="1277"/>
      <c r="K309" s="1277"/>
      <c r="L309" s="1277"/>
      <c r="M309" s="1277"/>
      <c r="N309" s="1066"/>
    </row>
    <row r="310">
      <c r="A310" s="1276"/>
      <c r="B310" s="1277"/>
      <c r="C310" s="1277"/>
      <c r="D310" s="1277"/>
      <c r="E310" s="1277"/>
      <c r="F310" s="1277"/>
      <c r="G310" s="1277"/>
      <c r="H310" s="1277"/>
      <c r="I310" s="1277"/>
      <c r="J310" s="1277"/>
      <c r="K310" s="1277"/>
      <c r="L310" s="1277"/>
      <c r="M310" s="1277"/>
      <c r="N310" s="1066"/>
    </row>
    <row r="311">
      <c r="A311" s="1276"/>
      <c r="B311" s="1277"/>
      <c r="C311" s="1277"/>
      <c r="D311" s="1277"/>
      <c r="E311" s="1277"/>
      <c r="F311" s="1277"/>
      <c r="G311" s="1277"/>
      <c r="H311" s="1277"/>
      <c r="I311" s="1277"/>
      <c r="J311" s="1277"/>
      <c r="K311" s="1277"/>
      <c r="L311" s="1277"/>
      <c r="M311" s="1277"/>
      <c r="N311" s="1066"/>
    </row>
    <row r="312">
      <c r="A312" s="1276"/>
      <c r="B312" s="1277"/>
      <c r="C312" s="1277"/>
      <c r="D312" s="1277"/>
      <c r="E312" s="1277"/>
      <c r="F312" s="1277"/>
      <c r="G312" s="1277"/>
      <c r="H312" s="1277"/>
      <c r="I312" s="1277"/>
      <c r="J312" s="1277"/>
      <c r="K312" s="1277"/>
      <c r="L312" s="1277"/>
      <c r="M312" s="1277"/>
      <c r="N312" s="1066"/>
    </row>
    <row r="313">
      <c r="A313" s="1276"/>
      <c r="B313" s="1277"/>
      <c r="C313" s="1277"/>
      <c r="D313" s="1277"/>
      <c r="E313" s="1277"/>
      <c r="F313" s="1277"/>
      <c r="G313" s="1277"/>
      <c r="H313" s="1277"/>
      <c r="I313" s="1277"/>
      <c r="J313" s="1277"/>
      <c r="K313" s="1277"/>
      <c r="L313" s="1277"/>
      <c r="M313" s="1277"/>
      <c r="N313" s="1066"/>
    </row>
    <row r="314">
      <c r="A314" s="1276"/>
      <c r="B314" s="1277"/>
      <c r="C314" s="1277"/>
      <c r="D314" s="1277"/>
      <c r="E314" s="1277"/>
      <c r="F314" s="1277"/>
      <c r="G314" s="1277"/>
      <c r="H314" s="1277"/>
      <c r="I314" s="1277"/>
      <c r="J314" s="1277"/>
      <c r="K314" s="1277"/>
      <c r="L314" s="1277"/>
      <c r="M314" s="1277"/>
      <c r="N314" s="1066"/>
    </row>
    <row r="315">
      <c r="A315" s="1276"/>
      <c r="B315" s="1277"/>
      <c r="C315" s="1277"/>
      <c r="D315" s="1277"/>
      <c r="E315" s="1277"/>
      <c r="F315" s="1277"/>
      <c r="G315" s="1277"/>
      <c r="H315" s="1277"/>
      <c r="I315" s="1277"/>
      <c r="J315" s="1277"/>
      <c r="K315" s="1277"/>
      <c r="L315" s="1277"/>
      <c r="M315" s="1277"/>
      <c r="N315" s="1066"/>
    </row>
    <row r="316">
      <c r="A316" s="1276"/>
      <c r="B316" s="1277"/>
      <c r="C316" s="1277"/>
      <c r="D316" s="1277"/>
      <c r="E316" s="1277"/>
      <c r="F316" s="1277"/>
      <c r="G316" s="1277"/>
      <c r="H316" s="1277"/>
      <c r="I316" s="1277"/>
      <c r="J316" s="1277"/>
      <c r="K316" s="1277"/>
      <c r="L316" s="1277"/>
      <c r="M316" s="1277"/>
      <c r="N316" s="1066"/>
    </row>
    <row r="317">
      <c r="A317" s="1276"/>
      <c r="B317" s="1277"/>
      <c r="C317" s="1277"/>
      <c r="D317" s="1277"/>
      <c r="E317" s="1277"/>
      <c r="F317" s="1277"/>
      <c r="G317" s="1277"/>
      <c r="H317" s="1277"/>
      <c r="I317" s="1277"/>
      <c r="J317" s="1277"/>
      <c r="K317" s="1277"/>
      <c r="L317" s="1277"/>
      <c r="M317" s="1277"/>
      <c r="N317" s="1066"/>
    </row>
    <row r="318">
      <c r="A318" s="1276"/>
      <c r="B318" s="1277"/>
      <c r="C318" s="1277"/>
      <c r="D318" s="1277"/>
      <c r="E318" s="1277"/>
      <c r="F318" s="1277"/>
      <c r="G318" s="1277"/>
      <c r="H318" s="1277"/>
      <c r="I318" s="1277"/>
      <c r="J318" s="1277"/>
      <c r="K318" s="1277"/>
      <c r="L318" s="1277"/>
      <c r="M318" s="1277"/>
      <c r="N318" s="1066"/>
    </row>
    <row r="319">
      <c r="A319" s="1276"/>
      <c r="B319" s="1277"/>
      <c r="C319" s="1277"/>
      <c r="D319" s="1277"/>
      <c r="E319" s="1277"/>
      <c r="F319" s="1277"/>
      <c r="G319" s="1277"/>
      <c r="H319" s="1277"/>
      <c r="I319" s="1277"/>
      <c r="J319" s="1277"/>
      <c r="K319" s="1277"/>
      <c r="L319" s="1277"/>
      <c r="M319" s="1277"/>
      <c r="N319" s="1066"/>
    </row>
    <row r="320">
      <c r="A320" s="1276"/>
      <c r="B320" s="1277"/>
      <c r="C320" s="1277"/>
      <c r="D320" s="1277"/>
      <c r="E320" s="1277"/>
      <c r="F320" s="1277"/>
      <c r="G320" s="1277"/>
      <c r="H320" s="1277"/>
      <c r="I320" s="1277"/>
      <c r="J320" s="1277"/>
      <c r="K320" s="1277"/>
      <c r="L320" s="1277"/>
      <c r="M320" s="1277"/>
      <c r="N320" s="1066"/>
    </row>
    <row r="321">
      <c r="A321" s="1276"/>
      <c r="B321" s="1277"/>
      <c r="C321" s="1277"/>
      <c r="D321" s="1277"/>
      <c r="E321" s="1277"/>
      <c r="F321" s="1277"/>
      <c r="G321" s="1277"/>
      <c r="H321" s="1277"/>
      <c r="I321" s="1277"/>
      <c r="J321" s="1277"/>
      <c r="K321" s="1277"/>
      <c r="L321" s="1277"/>
      <c r="M321" s="1277"/>
      <c r="N321" s="1066"/>
    </row>
    <row r="322">
      <c r="A322" s="1276"/>
      <c r="B322" s="1277"/>
      <c r="C322" s="1277"/>
      <c r="D322" s="1277"/>
      <c r="E322" s="1277"/>
      <c r="F322" s="1277"/>
      <c r="G322" s="1277"/>
      <c r="H322" s="1277"/>
      <c r="I322" s="1277"/>
      <c r="J322" s="1277"/>
      <c r="K322" s="1277"/>
      <c r="L322" s="1277"/>
      <c r="M322" s="1277"/>
      <c r="N322" s="1066"/>
    </row>
    <row r="323">
      <c r="A323" s="1276"/>
      <c r="B323" s="1277"/>
      <c r="C323" s="1277"/>
      <c r="D323" s="1277"/>
      <c r="E323" s="1277"/>
      <c r="F323" s="1277"/>
      <c r="G323" s="1277"/>
      <c r="H323" s="1277"/>
      <c r="I323" s="1277"/>
      <c r="J323" s="1277"/>
      <c r="K323" s="1277"/>
      <c r="L323" s="1277"/>
      <c r="M323" s="1277"/>
      <c r="N323" s="1066"/>
    </row>
    <row r="324">
      <c r="A324" s="1276"/>
      <c r="B324" s="1277"/>
      <c r="C324" s="1277"/>
      <c r="D324" s="1277"/>
      <c r="E324" s="1277"/>
      <c r="F324" s="1277"/>
      <c r="G324" s="1277"/>
      <c r="H324" s="1277"/>
      <c r="I324" s="1277"/>
      <c r="J324" s="1277"/>
      <c r="K324" s="1277"/>
      <c r="L324" s="1277"/>
      <c r="M324" s="1277"/>
      <c r="N324" s="1066"/>
    </row>
    <row r="325">
      <c r="A325" s="1276"/>
      <c r="B325" s="1277"/>
      <c r="C325" s="1277"/>
      <c r="D325" s="1277"/>
      <c r="E325" s="1277"/>
      <c r="F325" s="1277"/>
      <c r="G325" s="1277"/>
      <c r="H325" s="1277"/>
      <c r="I325" s="1277"/>
      <c r="J325" s="1277"/>
      <c r="K325" s="1277"/>
      <c r="L325" s="1277"/>
      <c r="M325" s="1277"/>
      <c r="N325" s="1066"/>
    </row>
    <row r="326">
      <c r="A326" s="1276"/>
      <c r="B326" s="1277"/>
      <c r="C326" s="1277"/>
      <c r="D326" s="1277"/>
      <c r="E326" s="1277"/>
      <c r="F326" s="1277"/>
      <c r="G326" s="1277"/>
      <c r="H326" s="1277"/>
      <c r="I326" s="1277"/>
      <c r="J326" s="1277"/>
      <c r="K326" s="1277"/>
      <c r="L326" s="1277"/>
      <c r="M326" s="1277"/>
      <c r="N326" s="1066"/>
    </row>
    <row r="327">
      <c r="A327" s="1276"/>
      <c r="B327" s="1277"/>
      <c r="C327" s="1277"/>
      <c r="D327" s="1277"/>
      <c r="E327" s="1277"/>
      <c r="F327" s="1277"/>
      <c r="G327" s="1277"/>
      <c r="H327" s="1277"/>
      <c r="I327" s="1277"/>
      <c r="J327" s="1277"/>
      <c r="K327" s="1277"/>
      <c r="L327" s="1277"/>
      <c r="M327" s="1277"/>
      <c r="N327" s="1066"/>
    </row>
    <row r="328">
      <c r="A328" s="1276"/>
      <c r="B328" s="1277"/>
      <c r="C328" s="1277"/>
      <c r="D328" s="1277"/>
      <c r="E328" s="1277"/>
      <c r="F328" s="1277"/>
      <c r="G328" s="1277"/>
      <c r="H328" s="1277"/>
      <c r="I328" s="1277"/>
      <c r="J328" s="1277"/>
      <c r="K328" s="1277"/>
      <c r="L328" s="1277"/>
      <c r="M328" s="1277"/>
      <c r="N328" s="1066"/>
    </row>
    <row r="329">
      <c r="A329" s="1276"/>
      <c r="B329" s="1277"/>
      <c r="C329" s="1277"/>
      <c r="D329" s="1277"/>
      <c r="E329" s="1277"/>
      <c r="F329" s="1277"/>
      <c r="G329" s="1277"/>
      <c r="H329" s="1277"/>
      <c r="I329" s="1277"/>
      <c r="J329" s="1277"/>
      <c r="K329" s="1277"/>
      <c r="L329" s="1277"/>
      <c r="M329" s="1277"/>
      <c r="N329" s="1066"/>
    </row>
    <row r="330">
      <c r="A330" s="1276"/>
      <c r="B330" s="1277"/>
      <c r="C330" s="1277"/>
      <c r="D330" s="1277"/>
      <c r="E330" s="1277"/>
      <c r="F330" s="1277"/>
      <c r="G330" s="1277"/>
      <c r="H330" s="1277"/>
      <c r="I330" s="1277"/>
      <c r="J330" s="1277"/>
      <c r="K330" s="1277"/>
      <c r="L330" s="1277"/>
      <c r="M330" s="1277"/>
      <c r="N330" s="1066"/>
    </row>
    <row r="331">
      <c r="A331" s="1276"/>
      <c r="B331" s="1277"/>
      <c r="C331" s="1277"/>
      <c r="D331" s="1277"/>
      <c r="E331" s="1277"/>
      <c r="F331" s="1277"/>
      <c r="G331" s="1277"/>
      <c r="H331" s="1277"/>
      <c r="I331" s="1277"/>
      <c r="J331" s="1277"/>
      <c r="K331" s="1277"/>
      <c r="L331" s="1277"/>
      <c r="M331" s="1277"/>
      <c r="N331" s="1066"/>
    </row>
    <row r="332">
      <c r="A332" s="1276"/>
      <c r="B332" s="1277"/>
      <c r="C332" s="1277"/>
      <c r="D332" s="1277"/>
      <c r="E332" s="1277"/>
      <c r="F332" s="1277"/>
      <c r="G332" s="1277"/>
      <c r="H332" s="1277"/>
      <c r="I332" s="1277"/>
      <c r="J332" s="1277"/>
      <c r="K332" s="1277"/>
      <c r="L332" s="1277"/>
      <c r="M332" s="1277"/>
      <c r="N332" s="1066"/>
    </row>
    <row r="333">
      <c r="A333" s="1276"/>
      <c r="B333" s="1277"/>
      <c r="C333" s="1277"/>
      <c r="D333" s="1277"/>
      <c r="E333" s="1277"/>
      <c r="F333" s="1277"/>
      <c r="G333" s="1277"/>
      <c r="H333" s="1277"/>
      <c r="I333" s="1277"/>
      <c r="J333" s="1277"/>
      <c r="K333" s="1277"/>
      <c r="L333" s="1277"/>
      <c r="M333" s="1277"/>
      <c r="N333" s="1066"/>
    </row>
    <row r="334">
      <c r="A334" s="1276"/>
      <c r="B334" s="1277"/>
      <c r="C334" s="1277"/>
      <c r="D334" s="1277"/>
      <c r="E334" s="1277"/>
      <c r="F334" s="1277"/>
      <c r="G334" s="1316"/>
      <c r="H334" s="1277"/>
      <c r="I334" s="1277"/>
      <c r="J334" s="1277"/>
      <c r="K334" s="1277"/>
      <c r="L334" s="1277"/>
      <c r="M334" s="1277"/>
      <c r="N334" s="1066"/>
    </row>
    <row r="335">
      <c r="A335" s="1276"/>
      <c r="B335" s="1277"/>
      <c r="C335" s="1277"/>
      <c r="D335" s="1277"/>
      <c r="E335" s="1277"/>
      <c r="F335" s="1277"/>
      <c r="G335" s="1277"/>
      <c r="H335" s="1277"/>
      <c r="I335" s="1277"/>
      <c r="J335" s="1277"/>
      <c r="K335" s="1277"/>
      <c r="L335" s="1277"/>
      <c r="M335" s="1277"/>
      <c r="N335" s="1066"/>
    </row>
    <row r="336">
      <c r="A336" s="1276"/>
      <c r="B336" s="1277"/>
      <c r="C336" s="1277"/>
      <c r="D336" s="1277"/>
      <c r="E336" s="1277"/>
      <c r="F336" s="1277"/>
      <c r="G336" s="1277"/>
      <c r="H336" s="1277"/>
      <c r="I336" s="1277"/>
      <c r="J336" s="1277"/>
      <c r="K336" s="1277"/>
      <c r="L336" s="1277"/>
      <c r="M336" s="1277"/>
      <c r="N336" s="1066"/>
    </row>
    <row r="337">
      <c r="A337" s="1276"/>
      <c r="B337" s="1277"/>
      <c r="C337" s="1277"/>
      <c r="D337" s="1277"/>
      <c r="E337" s="1277"/>
      <c r="F337" s="1277"/>
      <c r="G337" s="1277"/>
      <c r="H337" s="1277"/>
      <c r="I337" s="1277"/>
      <c r="J337" s="1277"/>
      <c r="K337" s="1277"/>
      <c r="L337" s="1277"/>
      <c r="M337" s="1277"/>
      <c r="N337" s="1066"/>
    </row>
    <row r="338">
      <c r="A338" s="1276"/>
      <c r="B338" s="1277"/>
      <c r="C338" s="1277"/>
      <c r="D338" s="1277"/>
      <c r="E338" s="1277"/>
      <c r="F338" s="1277"/>
      <c r="G338" s="1277"/>
      <c r="H338" s="1277"/>
      <c r="I338" s="1277"/>
      <c r="J338" s="1277"/>
      <c r="K338" s="1277"/>
      <c r="L338" s="1277"/>
      <c r="M338" s="1277"/>
      <c r="N338" s="1066"/>
    </row>
    <row r="339">
      <c r="A339" s="1276"/>
      <c r="B339" s="1277"/>
      <c r="C339" s="1277"/>
      <c r="D339" s="1277"/>
      <c r="E339" s="1277"/>
      <c r="F339" s="1277"/>
      <c r="G339" s="1277"/>
      <c r="H339" s="1277"/>
      <c r="I339" s="1277"/>
      <c r="J339" s="1277"/>
      <c r="K339" s="1277"/>
      <c r="L339" s="1277"/>
      <c r="M339" s="1277"/>
      <c r="N339" s="1066"/>
    </row>
    <row r="340">
      <c r="A340" s="1276"/>
      <c r="B340" s="1277"/>
      <c r="C340" s="1277"/>
      <c r="D340" s="1277"/>
      <c r="E340" s="1277"/>
      <c r="F340" s="1277"/>
      <c r="G340" s="1277"/>
      <c r="H340" s="1277"/>
      <c r="I340" s="1277"/>
      <c r="J340" s="1277"/>
      <c r="K340" s="1277"/>
      <c r="L340" s="1277"/>
      <c r="M340" s="1277"/>
      <c r="N340" s="1066"/>
    </row>
    <row r="341">
      <c r="A341" s="1276"/>
      <c r="B341" s="1277"/>
      <c r="C341" s="1277"/>
      <c r="D341" s="1277"/>
      <c r="E341" s="1277"/>
      <c r="F341" s="1277"/>
      <c r="G341" s="1277"/>
      <c r="H341" s="1277"/>
      <c r="I341" s="1277"/>
      <c r="J341" s="1277"/>
      <c r="K341" s="1277"/>
      <c r="L341" s="1277"/>
      <c r="M341" s="1277"/>
      <c r="N341" s="1066"/>
    </row>
    <row r="342">
      <c r="A342" s="1276"/>
      <c r="B342" s="1277"/>
      <c r="C342" s="1277"/>
      <c r="D342" s="1277"/>
      <c r="E342" s="1277"/>
      <c r="F342" s="1277"/>
      <c r="G342" s="1277"/>
      <c r="H342" s="1277"/>
      <c r="I342" s="1277"/>
      <c r="J342" s="1277"/>
      <c r="K342" s="1277"/>
      <c r="L342" s="1277"/>
      <c r="M342" s="1277"/>
      <c r="N342" s="1066"/>
    </row>
    <row r="343">
      <c r="A343" s="1276"/>
      <c r="B343" s="1277"/>
      <c r="C343" s="1277"/>
      <c r="D343" s="1277"/>
      <c r="E343" s="1277"/>
      <c r="F343" s="1277"/>
      <c r="G343" s="1277"/>
      <c r="H343" s="1277"/>
      <c r="I343" s="1277"/>
      <c r="J343" s="1277"/>
      <c r="K343" s="1277"/>
      <c r="L343" s="1277"/>
      <c r="M343" s="1277"/>
      <c r="N343" s="1066"/>
    </row>
    <row r="344">
      <c r="A344" s="1276"/>
      <c r="B344" s="1277"/>
      <c r="C344" s="1277"/>
      <c r="D344" s="1277"/>
      <c r="E344" s="1277"/>
      <c r="F344" s="1277"/>
      <c r="G344" s="1277"/>
      <c r="H344" s="1277"/>
      <c r="I344" s="1277"/>
      <c r="J344" s="1277"/>
      <c r="K344" s="1277"/>
      <c r="L344" s="1277"/>
      <c r="M344" s="1277"/>
      <c r="N344" s="1066"/>
    </row>
    <row r="345">
      <c r="A345" s="1276"/>
      <c r="B345" s="1277"/>
      <c r="C345" s="1277"/>
      <c r="D345" s="1277"/>
      <c r="E345" s="1277"/>
      <c r="F345" s="1277"/>
      <c r="G345" s="1277"/>
      <c r="H345" s="1277"/>
      <c r="I345" s="1277"/>
      <c r="J345" s="1277"/>
      <c r="K345" s="1277"/>
      <c r="L345" s="1277"/>
      <c r="M345" s="1277"/>
      <c r="N345" s="1066"/>
    </row>
    <row r="346">
      <c r="A346" s="1276"/>
      <c r="B346" s="1277"/>
      <c r="C346" s="1277"/>
      <c r="D346" s="1277"/>
      <c r="E346" s="1277"/>
      <c r="F346" s="1277"/>
      <c r="G346" s="1277"/>
      <c r="H346" s="1277"/>
      <c r="I346" s="1277"/>
      <c r="J346" s="1277"/>
      <c r="K346" s="1277"/>
      <c r="L346" s="1277"/>
      <c r="M346" s="1277"/>
      <c r="N346" s="1066"/>
    </row>
    <row r="347">
      <c r="A347" s="1276"/>
      <c r="B347" s="1277"/>
      <c r="C347" s="1277"/>
      <c r="D347" s="1277"/>
      <c r="E347" s="1277"/>
      <c r="F347" s="1277"/>
      <c r="G347" s="1277"/>
      <c r="H347" s="1277"/>
      <c r="I347" s="1277"/>
      <c r="J347" s="1277"/>
      <c r="K347" s="1277"/>
      <c r="L347" s="1277"/>
      <c r="M347" s="1277"/>
      <c r="N347" s="1066"/>
    </row>
    <row r="348">
      <c r="A348" s="1276"/>
      <c r="B348" s="1277"/>
      <c r="C348" s="1277"/>
      <c r="D348" s="1277"/>
      <c r="E348" s="1277"/>
      <c r="F348" s="1277"/>
      <c r="G348" s="1277"/>
      <c r="H348" s="1277"/>
      <c r="I348" s="1277"/>
      <c r="J348" s="1277"/>
      <c r="K348" s="1277"/>
      <c r="L348" s="1277"/>
      <c r="M348" s="1277"/>
      <c r="N348" s="1066"/>
    </row>
    <row r="349">
      <c r="A349" s="1276"/>
      <c r="B349" s="1277"/>
      <c r="C349" s="1277"/>
      <c r="D349" s="1277"/>
      <c r="E349" s="1277"/>
      <c r="F349" s="1277"/>
      <c r="G349" s="1277"/>
      <c r="H349" s="1277"/>
      <c r="I349" s="1277"/>
      <c r="J349" s="1277"/>
      <c r="K349" s="1277"/>
      <c r="L349" s="1277"/>
      <c r="M349" s="1277"/>
      <c r="N349" s="1066"/>
    </row>
    <row r="350">
      <c r="A350" s="1276"/>
      <c r="B350" s="1277"/>
      <c r="C350" s="1277"/>
      <c r="D350" s="1277"/>
      <c r="E350" s="1277"/>
      <c r="F350" s="1277"/>
      <c r="G350" s="1277"/>
      <c r="H350" s="1277"/>
      <c r="I350" s="1277"/>
      <c r="J350" s="1277"/>
      <c r="K350" s="1277"/>
      <c r="L350" s="1277"/>
      <c r="M350" s="1277"/>
      <c r="N350" s="1066"/>
    </row>
    <row r="351">
      <c r="A351" s="1276"/>
      <c r="B351" s="1277"/>
      <c r="C351" s="1277"/>
      <c r="D351" s="1277"/>
      <c r="E351" s="1277"/>
      <c r="F351" s="1277"/>
      <c r="G351" s="1277"/>
      <c r="H351" s="1277"/>
      <c r="I351" s="1277"/>
      <c r="J351" s="1277"/>
      <c r="K351" s="1277"/>
      <c r="L351" s="1277"/>
      <c r="M351" s="1277"/>
      <c r="N351" s="1066"/>
    </row>
    <row r="352">
      <c r="A352" s="1276"/>
      <c r="B352" s="1277"/>
      <c r="C352" s="1277"/>
      <c r="D352" s="1277"/>
      <c r="E352" s="1277"/>
      <c r="F352" s="1277"/>
      <c r="G352" s="1277"/>
      <c r="H352" s="1277"/>
      <c r="I352" s="1277"/>
      <c r="J352" s="1277"/>
      <c r="K352" s="1277"/>
      <c r="L352" s="1277"/>
      <c r="M352" s="1277"/>
      <c r="N352" s="1066"/>
    </row>
    <row r="353">
      <c r="A353" s="1276"/>
      <c r="B353" s="1277"/>
      <c r="C353" s="1277"/>
      <c r="D353" s="1277"/>
      <c r="E353" s="1277"/>
      <c r="F353" s="1277"/>
      <c r="G353" s="1277"/>
      <c r="H353" s="1277"/>
      <c r="I353" s="1277"/>
      <c r="J353" s="1277"/>
      <c r="K353" s="1277"/>
      <c r="L353" s="1277"/>
      <c r="M353" s="1277"/>
      <c r="N353" s="1066"/>
    </row>
    <row r="354">
      <c r="A354" s="1276"/>
      <c r="B354" s="1277"/>
      <c r="C354" s="1277"/>
      <c r="D354" s="1277"/>
      <c r="E354" s="1277"/>
      <c r="F354" s="1277"/>
      <c r="G354" s="1277"/>
      <c r="H354" s="1277"/>
      <c r="I354" s="1277"/>
      <c r="J354" s="1277"/>
      <c r="K354" s="1277"/>
      <c r="L354" s="1277"/>
      <c r="M354" s="1277"/>
      <c r="N354" s="1066"/>
    </row>
    <row r="355">
      <c r="A355" s="1276"/>
      <c r="B355" s="1277"/>
      <c r="C355" s="1277"/>
      <c r="D355" s="1277"/>
      <c r="E355" s="1277"/>
      <c r="F355" s="1277"/>
      <c r="G355" s="1277"/>
      <c r="H355" s="1277"/>
      <c r="I355" s="1277"/>
      <c r="J355" s="1277"/>
      <c r="K355" s="1277"/>
      <c r="L355" s="1277"/>
      <c r="M355" s="1277"/>
      <c r="N355" s="1066"/>
    </row>
    <row r="356">
      <c r="A356" s="1276"/>
      <c r="B356" s="1277"/>
      <c r="C356" s="1277"/>
      <c r="D356" s="1277"/>
      <c r="E356" s="1277"/>
      <c r="F356" s="1277"/>
      <c r="G356" s="1277"/>
      <c r="H356" s="1277"/>
      <c r="I356" s="1277"/>
      <c r="J356" s="1277"/>
      <c r="K356" s="1277"/>
      <c r="L356" s="1277"/>
      <c r="M356" s="1277"/>
      <c r="N356" s="1066"/>
    </row>
    <row r="357">
      <c r="A357" s="1276"/>
      <c r="B357" s="1277"/>
      <c r="C357" s="1277"/>
      <c r="D357" s="1277"/>
      <c r="E357" s="1277"/>
      <c r="F357" s="1277"/>
      <c r="G357" s="1277"/>
      <c r="H357" s="1277"/>
      <c r="I357" s="1277"/>
      <c r="J357" s="1277"/>
      <c r="K357" s="1277"/>
      <c r="L357" s="1277"/>
      <c r="M357" s="1277"/>
      <c r="N357" s="1066"/>
    </row>
    <row r="358">
      <c r="A358" s="1276"/>
      <c r="B358" s="1277"/>
      <c r="C358" s="1277"/>
      <c r="D358" s="1277"/>
      <c r="E358" s="1277"/>
      <c r="F358" s="1277"/>
      <c r="G358" s="1277"/>
      <c r="H358" s="1277"/>
      <c r="I358" s="1277"/>
      <c r="J358" s="1277"/>
      <c r="K358" s="1277"/>
      <c r="L358" s="1277"/>
      <c r="M358" s="1277"/>
      <c r="N358" s="1066"/>
    </row>
    <row r="359">
      <c r="A359" s="1276"/>
      <c r="B359" s="1277"/>
      <c r="C359" s="1277"/>
      <c r="D359" s="1277"/>
      <c r="E359" s="1277"/>
      <c r="F359" s="1277"/>
      <c r="G359" s="1277"/>
      <c r="H359" s="1277"/>
      <c r="I359" s="1277"/>
      <c r="J359" s="1277"/>
      <c r="K359" s="1277"/>
      <c r="L359" s="1277"/>
      <c r="M359" s="1277"/>
      <c r="N359" s="1066"/>
    </row>
    <row r="360">
      <c r="A360" s="1276"/>
      <c r="B360" s="1277"/>
      <c r="C360" s="1277"/>
      <c r="D360" s="1277"/>
      <c r="E360" s="1277"/>
      <c r="F360" s="1277"/>
      <c r="G360" s="1277"/>
      <c r="H360" s="1277"/>
      <c r="I360" s="1277"/>
      <c r="J360" s="1277"/>
      <c r="K360" s="1277"/>
      <c r="L360" s="1277"/>
      <c r="M360" s="1277"/>
      <c r="N360" s="1066"/>
    </row>
    <row r="361">
      <c r="A361" s="1276"/>
      <c r="B361" s="1277"/>
      <c r="C361" s="1277"/>
      <c r="D361" s="1277"/>
      <c r="E361" s="1277"/>
      <c r="F361" s="1277"/>
      <c r="G361" s="1316"/>
      <c r="H361" s="1277"/>
      <c r="I361" s="1277"/>
      <c r="J361" s="1277"/>
      <c r="K361" s="1277"/>
      <c r="L361" s="1277"/>
      <c r="M361" s="1277"/>
      <c r="N361" s="1066"/>
    </row>
    <row r="362">
      <c r="A362" s="1276"/>
      <c r="B362" s="1277"/>
      <c r="C362" s="1277"/>
      <c r="D362" s="1277"/>
      <c r="E362" s="1277"/>
      <c r="F362" s="1277"/>
      <c r="G362" s="1277"/>
      <c r="H362" s="1277"/>
      <c r="I362" s="1277"/>
      <c r="J362" s="1277"/>
      <c r="K362" s="1277"/>
      <c r="L362" s="1277"/>
      <c r="M362" s="1277"/>
      <c r="N362" s="1066"/>
    </row>
    <row r="363">
      <c r="A363" s="1276"/>
      <c r="B363" s="1277"/>
      <c r="C363" s="1277"/>
      <c r="D363" s="1277"/>
      <c r="E363" s="1277"/>
      <c r="F363" s="1277"/>
      <c r="G363" s="1277"/>
      <c r="H363" s="1277"/>
      <c r="I363" s="1277"/>
      <c r="J363" s="1277"/>
      <c r="K363" s="1277"/>
      <c r="L363" s="1277"/>
      <c r="M363" s="1277"/>
      <c r="N363" s="1066"/>
    </row>
    <row r="364">
      <c r="A364" s="1276"/>
      <c r="B364" s="1277"/>
      <c r="C364" s="1277"/>
      <c r="D364" s="1277"/>
      <c r="E364" s="1277"/>
      <c r="F364" s="1277"/>
      <c r="G364" s="1277"/>
      <c r="H364" s="1277"/>
      <c r="I364" s="1277"/>
      <c r="J364" s="1277"/>
      <c r="K364" s="1277"/>
      <c r="L364" s="1277"/>
      <c r="M364" s="1277"/>
      <c r="N364" s="1066"/>
    </row>
    <row r="365">
      <c r="A365" s="1276"/>
      <c r="B365" s="1277"/>
      <c r="C365" s="1277"/>
      <c r="D365" s="1277"/>
      <c r="E365" s="1277"/>
      <c r="F365" s="1277"/>
      <c r="G365" s="1277"/>
      <c r="H365" s="1277"/>
      <c r="I365" s="1277"/>
      <c r="J365" s="1277"/>
      <c r="K365" s="1277"/>
      <c r="L365" s="1277"/>
      <c r="M365" s="1277"/>
      <c r="N365" s="1066"/>
    </row>
    <row r="366">
      <c r="A366" s="1276"/>
      <c r="B366" s="1277"/>
      <c r="C366" s="1277"/>
      <c r="D366" s="1277"/>
      <c r="E366" s="1277"/>
      <c r="F366" s="1277"/>
      <c r="G366" s="1277"/>
      <c r="H366" s="1277"/>
      <c r="I366" s="1277"/>
      <c r="J366" s="1277"/>
      <c r="K366" s="1277"/>
      <c r="L366" s="1277"/>
      <c r="M366" s="1277"/>
      <c r="N366" s="1066"/>
    </row>
    <row r="367">
      <c r="A367" s="1276"/>
      <c r="B367" s="1277"/>
      <c r="C367" s="1277"/>
      <c r="D367" s="1277"/>
      <c r="E367" s="1277"/>
      <c r="F367" s="1277"/>
      <c r="G367" s="1277"/>
      <c r="H367" s="1277"/>
      <c r="I367" s="1277"/>
      <c r="J367" s="1277"/>
      <c r="K367" s="1277"/>
      <c r="L367" s="1277"/>
      <c r="M367" s="1277"/>
      <c r="N367" s="1066"/>
    </row>
    <row r="368">
      <c r="A368" s="1276"/>
      <c r="B368" s="1277"/>
      <c r="C368" s="1277"/>
      <c r="D368" s="1277"/>
      <c r="E368" s="1277"/>
      <c r="F368" s="1277"/>
      <c r="G368" s="1277"/>
      <c r="H368" s="1277"/>
      <c r="I368" s="1277"/>
      <c r="J368" s="1277"/>
      <c r="K368" s="1277"/>
      <c r="L368" s="1277"/>
      <c r="M368" s="1277"/>
      <c r="N368" s="1066"/>
    </row>
    <row r="369">
      <c r="A369" s="1276"/>
      <c r="B369" s="1277"/>
      <c r="C369" s="1277"/>
      <c r="D369" s="1277"/>
      <c r="E369" s="1277"/>
      <c r="F369" s="1277"/>
      <c r="G369" s="1277"/>
      <c r="H369" s="1277"/>
      <c r="I369" s="1277"/>
      <c r="J369" s="1277"/>
      <c r="K369" s="1277"/>
      <c r="L369" s="1277"/>
      <c r="M369" s="1277"/>
      <c r="N369" s="1066"/>
    </row>
    <row r="370">
      <c r="A370" s="1276"/>
      <c r="B370" s="1277"/>
      <c r="C370" s="1277"/>
      <c r="D370" s="1277"/>
      <c r="E370" s="1277"/>
      <c r="F370" s="1277"/>
      <c r="G370" s="1277"/>
      <c r="H370" s="1277"/>
      <c r="I370" s="1277"/>
      <c r="J370" s="1277"/>
      <c r="K370" s="1277"/>
      <c r="L370" s="1277"/>
      <c r="M370" s="1277"/>
      <c r="N370" s="1066"/>
    </row>
    <row r="371">
      <c r="A371" s="1276"/>
      <c r="B371" s="1277"/>
      <c r="C371" s="1277"/>
      <c r="D371" s="1277"/>
      <c r="E371" s="1277"/>
      <c r="F371" s="1277"/>
      <c r="G371" s="1277"/>
      <c r="H371" s="1277"/>
      <c r="I371" s="1277"/>
      <c r="J371" s="1277"/>
      <c r="K371" s="1277"/>
      <c r="L371" s="1277"/>
      <c r="M371" s="1277"/>
      <c r="N371" s="1066"/>
    </row>
    <row r="372">
      <c r="A372" s="1276"/>
      <c r="B372" s="1277"/>
      <c r="C372" s="1277"/>
      <c r="D372" s="1277"/>
      <c r="E372" s="1277"/>
      <c r="F372" s="1277"/>
      <c r="G372" s="1277"/>
      <c r="H372" s="1277"/>
      <c r="I372" s="1277"/>
      <c r="J372" s="1277"/>
      <c r="K372" s="1277"/>
      <c r="L372" s="1277"/>
      <c r="M372" s="1277"/>
      <c r="N372" s="1066"/>
    </row>
    <row r="373">
      <c r="A373" s="1276"/>
      <c r="B373" s="1277"/>
      <c r="C373" s="1277"/>
      <c r="D373" s="1277"/>
      <c r="E373" s="1277"/>
      <c r="F373" s="1277"/>
      <c r="G373" s="1277"/>
      <c r="H373" s="1277"/>
      <c r="I373" s="1277"/>
      <c r="J373" s="1277"/>
      <c r="K373" s="1277"/>
      <c r="L373" s="1277"/>
      <c r="M373" s="1277"/>
      <c r="N373" s="1066"/>
    </row>
    <row r="374">
      <c r="A374" s="1276"/>
      <c r="B374" s="1277"/>
      <c r="C374" s="1277"/>
      <c r="D374" s="1277"/>
      <c r="E374" s="1277"/>
      <c r="F374" s="1277"/>
      <c r="G374" s="1277"/>
      <c r="H374" s="1277"/>
      <c r="I374" s="1277"/>
      <c r="J374" s="1277"/>
      <c r="K374" s="1277"/>
      <c r="L374" s="1277"/>
      <c r="M374" s="1277"/>
      <c r="N374" s="1066"/>
    </row>
    <row r="375">
      <c r="A375" s="1276"/>
      <c r="B375" s="1277"/>
      <c r="C375" s="1277"/>
      <c r="D375" s="1277"/>
      <c r="E375" s="1277"/>
      <c r="F375" s="1277"/>
      <c r="G375" s="1277"/>
      <c r="H375" s="1277"/>
      <c r="I375" s="1277"/>
      <c r="J375" s="1277"/>
      <c r="K375" s="1277"/>
      <c r="L375" s="1277"/>
      <c r="M375" s="1277"/>
      <c r="N375" s="1066"/>
    </row>
    <row r="376">
      <c r="A376" s="1276"/>
      <c r="B376" s="1277"/>
      <c r="C376" s="1277"/>
      <c r="D376" s="1277"/>
      <c r="E376" s="1277"/>
      <c r="F376" s="1277"/>
      <c r="G376" s="1277"/>
      <c r="H376" s="1277"/>
      <c r="I376" s="1277"/>
      <c r="J376" s="1277"/>
      <c r="K376" s="1277"/>
      <c r="L376" s="1277"/>
      <c r="M376" s="1277"/>
      <c r="N376" s="1066"/>
    </row>
    <row r="377">
      <c r="A377" s="1276"/>
      <c r="B377" s="1277"/>
      <c r="C377" s="1277"/>
      <c r="D377" s="1277"/>
      <c r="E377" s="1277"/>
      <c r="F377" s="1277"/>
      <c r="G377" s="1277"/>
      <c r="H377" s="1277"/>
      <c r="I377" s="1277"/>
      <c r="J377" s="1277"/>
      <c r="K377" s="1277"/>
      <c r="L377" s="1277"/>
      <c r="M377" s="1277"/>
      <c r="N377" s="1066"/>
    </row>
    <row r="378">
      <c r="A378" s="1276"/>
      <c r="B378" s="1277"/>
      <c r="C378" s="1277"/>
      <c r="D378" s="1277"/>
      <c r="E378" s="1277"/>
      <c r="F378" s="1277"/>
      <c r="G378" s="1277"/>
      <c r="H378" s="1277"/>
      <c r="I378" s="1277"/>
      <c r="J378" s="1277"/>
      <c r="K378" s="1277"/>
      <c r="L378" s="1277"/>
      <c r="M378" s="1277"/>
      <c r="N378" s="1066"/>
    </row>
    <row r="379">
      <c r="A379" s="1276"/>
      <c r="B379" s="1277"/>
      <c r="C379" s="1277"/>
      <c r="D379" s="1277"/>
      <c r="E379" s="1277"/>
      <c r="F379" s="1277"/>
      <c r="G379" s="1277"/>
      <c r="H379" s="1277"/>
      <c r="I379" s="1277"/>
      <c r="J379" s="1277"/>
      <c r="K379" s="1277"/>
      <c r="L379" s="1277"/>
      <c r="M379" s="1277"/>
      <c r="N379" s="1066"/>
    </row>
    <row r="380">
      <c r="A380" s="1276"/>
      <c r="B380" s="1277"/>
      <c r="C380" s="1277"/>
      <c r="D380" s="1277"/>
      <c r="E380" s="1277"/>
      <c r="F380" s="1277"/>
      <c r="G380" s="1277"/>
      <c r="H380" s="1277"/>
      <c r="I380" s="1277"/>
      <c r="J380" s="1277"/>
      <c r="K380" s="1277"/>
      <c r="L380" s="1277"/>
      <c r="M380" s="1277"/>
      <c r="N380" s="1066"/>
    </row>
    <row r="381">
      <c r="A381" s="1276"/>
      <c r="B381" s="1277"/>
      <c r="C381" s="1277"/>
      <c r="D381" s="1277"/>
      <c r="E381" s="1277"/>
      <c r="F381" s="1277"/>
      <c r="G381" s="1277"/>
      <c r="H381" s="1277"/>
      <c r="I381" s="1277"/>
      <c r="J381" s="1277"/>
      <c r="K381" s="1277"/>
      <c r="L381" s="1277"/>
      <c r="M381" s="1277"/>
      <c r="N381" s="1066"/>
    </row>
    <row r="382">
      <c r="A382" s="1276"/>
      <c r="B382" s="1277"/>
      <c r="C382" s="1277"/>
      <c r="D382" s="1277"/>
      <c r="E382" s="1277"/>
      <c r="F382" s="1277"/>
      <c r="G382" s="1277"/>
      <c r="H382" s="1277"/>
      <c r="I382" s="1277"/>
      <c r="J382" s="1277"/>
      <c r="K382" s="1277"/>
      <c r="L382" s="1277"/>
      <c r="M382" s="1277"/>
      <c r="N382" s="1066"/>
    </row>
    <row r="383">
      <c r="A383" s="1276"/>
      <c r="B383" s="1277"/>
      <c r="C383" s="1277"/>
      <c r="D383" s="1277"/>
      <c r="E383" s="1277"/>
      <c r="F383" s="1277"/>
      <c r="G383" s="1277"/>
      <c r="H383" s="1277"/>
      <c r="I383" s="1277"/>
      <c r="J383" s="1277"/>
      <c r="K383" s="1277"/>
      <c r="L383" s="1277"/>
      <c r="M383" s="1277"/>
      <c r="N383" s="1066"/>
    </row>
    <row r="384">
      <c r="A384" s="1276"/>
      <c r="B384" s="1277"/>
      <c r="C384" s="1277"/>
      <c r="D384" s="1277"/>
      <c r="E384" s="1277"/>
      <c r="F384" s="1277"/>
      <c r="G384" s="1277"/>
      <c r="H384" s="1277"/>
      <c r="I384" s="1277"/>
      <c r="J384" s="1277"/>
      <c r="K384" s="1277"/>
      <c r="L384" s="1277"/>
      <c r="M384" s="1277"/>
      <c r="N384" s="1066"/>
    </row>
    <row r="385">
      <c r="A385" s="1276"/>
      <c r="B385" s="1277"/>
      <c r="C385" s="1277"/>
      <c r="D385" s="1277"/>
      <c r="E385" s="1277"/>
      <c r="F385" s="1277"/>
      <c r="G385" s="1277"/>
      <c r="H385" s="1277"/>
      <c r="I385" s="1277"/>
      <c r="J385" s="1277"/>
      <c r="K385" s="1277"/>
      <c r="L385" s="1277"/>
      <c r="M385" s="1277"/>
      <c r="N385" s="1066"/>
    </row>
    <row r="386">
      <c r="A386" s="1276"/>
      <c r="B386" s="1277"/>
      <c r="C386" s="1277"/>
      <c r="D386" s="1277"/>
      <c r="E386" s="1277"/>
      <c r="F386" s="1277"/>
      <c r="G386" s="1277"/>
      <c r="H386" s="1277"/>
      <c r="I386" s="1277"/>
      <c r="J386" s="1277"/>
      <c r="K386" s="1277"/>
      <c r="L386" s="1277"/>
      <c r="M386" s="1277"/>
      <c r="N386" s="1066"/>
    </row>
    <row r="387">
      <c r="A387" s="1276"/>
      <c r="B387" s="1277"/>
      <c r="C387" s="1277"/>
      <c r="D387" s="1277"/>
      <c r="E387" s="1277"/>
      <c r="F387" s="1277"/>
      <c r="G387" s="1277"/>
      <c r="H387" s="1277"/>
      <c r="I387" s="1277"/>
      <c r="J387" s="1277"/>
      <c r="K387" s="1277"/>
      <c r="L387" s="1277"/>
      <c r="M387" s="1277"/>
      <c r="N387" s="1066"/>
    </row>
    <row r="388">
      <c r="A388" s="1276"/>
      <c r="B388" s="1277"/>
      <c r="C388" s="1277"/>
      <c r="D388" s="1277"/>
      <c r="E388" s="1277"/>
      <c r="F388" s="1277"/>
      <c r="G388" s="1277"/>
      <c r="H388" s="1277"/>
      <c r="I388" s="1277"/>
      <c r="J388" s="1277"/>
      <c r="K388" s="1277"/>
      <c r="L388" s="1277"/>
      <c r="M388" s="1277"/>
      <c r="N388" s="1066"/>
    </row>
    <row r="389">
      <c r="A389" s="1276"/>
      <c r="B389" s="1277"/>
      <c r="C389" s="1277"/>
      <c r="D389" s="1277"/>
      <c r="E389" s="1277"/>
      <c r="F389" s="1277"/>
      <c r="G389" s="1277"/>
      <c r="H389" s="1277"/>
      <c r="I389" s="1277"/>
      <c r="J389" s="1277"/>
      <c r="K389" s="1277"/>
      <c r="L389" s="1277"/>
      <c r="M389" s="1277"/>
      <c r="N389" s="1066"/>
    </row>
    <row r="390">
      <c r="A390" s="1276"/>
      <c r="B390" s="1277"/>
      <c r="C390" s="1277"/>
      <c r="D390" s="1277"/>
      <c r="E390" s="1277"/>
      <c r="F390" s="1277"/>
      <c r="G390" s="1277"/>
      <c r="H390" s="1277"/>
      <c r="I390" s="1277"/>
      <c r="J390" s="1277"/>
      <c r="K390" s="1277"/>
      <c r="L390" s="1277"/>
      <c r="M390" s="1277"/>
      <c r="N390" s="1066"/>
    </row>
    <row r="391">
      <c r="A391" s="1276"/>
      <c r="B391" s="1277"/>
      <c r="C391" s="1277"/>
      <c r="D391" s="1277"/>
      <c r="E391" s="1277"/>
      <c r="F391" s="1277"/>
      <c r="G391" s="1277"/>
      <c r="H391" s="1277"/>
      <c r="I391" s="1277"/>
      <c r="J391" s="1277"/>
      <c r="K391" s="1277"/>
      <c r="L391" s="1277"/>
      <c r="M391" s="1277"/>
      <c r="N391" s="1066"/>
    </row>
    <row r="392">
      <c r="A392" s="1276"/>
      <c r="B392" s="1277"/>
      <c r="C392" s="1277"/>
      <c r="D392" s="1277"/>
      <c r="E392" s="1277"/>
      <c r="F392" s="1277"/>
      <c r="G392" s="1277"/>
      <c r="H392" s="1277"/>
      <c r="I392" s="1277"/>
      <c r="J392" s="1277"/>
      <c r="K392" s="1277"/>
      <c r="L392" s="1277"/>
      <c r="M392" s="1277"/>
      <c r="N392" s="1066"/>
    </row>
    <row r="393">
      <c r="A393" s="1276"/>
      <c r="B393" s="1277"/>
      <c r="C393" s="1277"/>
      <c r="D393" s="1277"/>
      <c r="E393" s="1277"/>
      <c r="F393" s="1277"/>
      <c r="G393" s="1277"/>
      <c r="H393" s="1277"/>
      <c r="I393" s="1277"/>
      <c r="J393" s="1277"/>
      <c r="K393" s="1277"/>
      <c r="L393" s="1277"/>
      <c r="M393" s="1277"/>
      <c r="N393" s="1066"/>
    </row>
    <row r="394">
      <c r="A394" s="1276"/>
      <c r="B394" s="1277"/>
      <c r="C394" s="1277"/>
      <c r="D394" s="1277"/>
      <c r="E394" s="1277"/>
      <c r="F394" s="1277"/>
      <c r="G394" s="1277"/>
      <c r="H394" s="1277"/>
      <c r="I394" s="1277"/>
      <c r="J394" s="1277"/>
      <c r="K394" s="1277"/>
      <c r="L394" s="1277"/>
      <c r="M394" s="1277"/>
      <c r="N394" s="1066"/>
    </row>
    <row r="395">
      <c r="A395" s="1276"/>
      <c r="B395" s="1277"/>
      <c r="C395" s="1277"/>
      <c r="D395" s="1277"/>
      <c r="E395" s="1277"/>
      <c r="F395" s="1277"/>
      <c r="G395" s="1277"/>
      <c r="H395" s="1277"/>
      <c r="I395" s="1277"/>
      <c r="J395" s="1277"/>
      <c r="K395" s="1277"/>
      <c r="L395" s="1277"/>
      <c r="M395" s="1277"/>
      <c r="N395" s="1066"/>
    </row>
    <row r="396">
      <c r="A396" s="1276"/>
      <c r="B396" s="1277"/>
      <c r="C396" s="1277"/>
      <c r="D396" s="1277"/>
      <c r="E396" s="1277"/>
      <c r="F396" s="1277"/>
      <c r="G396" s="1277"/>
      <c r="H396" s="1277"/>
      <c r="I396" s="1277"/>
      <c r="J396" s="1277"/>
      <c r="K396" s="1277"/>
      <c r="L396" s="1277"/>
      <c r="M396" s="1277"/>
      <c r="N396" s="1066"/>
    </row>
    <row r="397">
      <c r="A397" s="1276"/>
      <c r="B397" s="1277"/>
      <c r="C397" s="1277"/>
      <c r="D397" s="1277"/>
      <c r="E397" s="1277"/>
      <c r="F397" s="1277"/>
      <c r="G397" s="1277"/>
      <c r="H397" s="1277"/>
      <c r="I397" s="1277"/>
      <c r="J397" s="1277"/>
      <c r="K397" s="1277"/>
      <c r="L397" s="1277"/>
      <c r="M397" s="1277"/>
      <c r="N397" s="1066"/>
    </row>
    <row r="398">
      <c r="A398" s="1276"/>
      <c r="B398" s="1277"/>
      <c r="C398" s="1277"/>
      <c r="D398" s="1277"/>
      <c r="E398" s="1277"/>
      <c r="F398" s="1277"/>
      <c r="G398" s="1277"/>
      <c r="H398" s="1277"/>
      <c r="I398" s="1277"/>
      <c r="J398" s="1277"/>
      <c r="K398" s="1277"/>
      <c r="L398" s="1277"/>
      <c r="M398" s="1277"/>
      <c r="N398" s="1066"/>
    </row>
    <row r="399">
      <c r="A399" s="1276"/>
      <c r="B399" s="1277"/>
      <c r="C399" s="1277"/>
      <c r="D399" s="1277"/>
      <c r="E399" s="1277"/>
      <c r="F399" s="1277"/>
      <c r="G399" s="1277"/>
      <c r="H399" s="1277"/>
      <c r="I399" s="1277"/>
      <c r="J399" s="1277"/>
      <c r="K399" s="1277"/>
      <c r="L399" s="1277"/>
      <c r="M399" s="1277"/>
      <c r="N399" s="1066"/>
    </row>
    <row r="400">
      <c r="A400" s="1276"/>
      <c r="B400" s="1277"/>
      <c r="C400" s="1277"/>
      <c r="D400" s="1277"/>
      <c r="E400" s="1277"/>
      <c r="F400" s="1277"/>
      <c r="G400" s="1277"/>
      <c r="H400" s="1277"/>
      <c r="I400" s="1277"/>
      <c r="J400" s="1277"/>
      <c r="K400" s="1277"/>
      <c r="L400" s="1277"/>
      <c r="M400" s="1277"/>
      <c r="N400" s="1066"/>
    </row>
    <row r="401">
      <c r="A401" s="1276"/>
      <c r="B401" s="1277"/>
      <c r="C401" s="1277"/>
      <c r="D401" s="1277"/>
      <c r="E401" s="1277"/>
      <c r="F401" s="1277"/>
      <c r="G401" s="1277"/>
      <c r="H401" s="1277"/>
      <c r="I401" s="1277"/>
      <c r="J401" s="1277"/>
      <c r="K401" s="1277"/>
      <c r="L401" s="1277"/>
      <c r="M401" s="1277"/>
      <c r="N401" s="1066"/>
    </row>
    <row r="402">
      <c r="A402" s="1276"/>
      <c r="B402" s="1277"/>
      <c r="C402" s="1277"/>
      <c r="D402" s="1277"/>
      <c r="E402" s="1277"/>
      <c r="F402" s="1277"/>
      <c r="G402" s="1277"/>
      <c r="H402" s="1277"/>
      <c r="I402" s="1277"/>
      <c r="J402" s="1277"/>
      <c r="K402" s="1277"/>
      <c r="L402" s="1277"/>
      <c r="M402" s="1277"/>
      <c r="N402" s="1066"/>
    </row>
    <row r="403">
      <c r="A403" s="1276"/>
      <c r="B403" s="1277"/>
      <c r="C403" s="1277"/>
      <c r="D403" s="1277"/>
      <c r="E403" s="1277"/>
      <c r="F403" s="1277"/>
      <c r="G403" s="1277"/>
      <c r="H403" s="1277"/>
      <c r="I403" s="1277"/>
      <c r="J403" s="1277"/>
      <c r="K403" s="1277"/>
      <c r="L403" s="1277"/>
      <c r="M403" s="1277"/>
      <c r="N403" s="1066"/>
    </row>
    <row r="404">
      <c r="A404" s="1276"/>
      <c r="B404" s="1277"/>
      <c r="C404" s="1277"/>
      <c r="D404" s="1277"/>
      <c r="E404" s="1277"/>
      <c r="F404" s="1277"/>
      <c r="G404" s="1277"/>
      <c r="H404" s="1277"/>
      <c r="I404" s="1277"/>
      <c r="J404" s="1277"/>
      <c r="K404" s="1277"/>
      <c r="L404" s="1277"/>
      <c r="M404" s="1277"/>
      <c r="N404" s="1066"/>
    </row>
    <row r="405">
      <c r="A405" s="1276"/>
      <c r="B405" s="1277"/>
      <c r="C405" s="1277"/>
      <c r="D405" s="1277"/>
      <c r="E405" s="1277"/>
      <c r="F405" s="1277"/>
      <c r="G405" s="1277"/>
      <c r="H405" s="1277"/>
      <c r="I405" s="1277"/>
      <c r="J405" s="1277"/>
      <c r="K405" s="1277"/>
      <c r="L405" s="1277"/>
      <c r="M405" s="1277"/>
      <c r="N405" s="1066"/>
    </row>
    <row r="406">
      <c r="A406" s="1276"/>
      <c r="B406" s="1277"/>
      <c r="C406" s="1277"/>
      <c r="D406" s="1277"/>
      <c r="E406" s="1277"/>
      <c r="F406" s="1277"/>
      <c r="G406" s="1277"/>
      <c r="H406" s="1277"/>
      <c r="I406" s="1277"/>
      <c r="J406" s="1277"/>
      <c r="K406" s="1277"/>
      <c r="L406" s="1277"/>
      <c r="M406" s="1277"/>
      <c r="N406" s="1066"/>
    </row>
    <row r="407">
      <c r="A407" s="1276"/>
      <c r="B407" s="1277"/>
      <c r="C407" s="1277"/>
      <c r="D407" s="1277"/>
      <c r="E407" s="1277"/>
      <c r="F407" s="1277"/>
      <c r="G407" s="1277"/>
      <c r="H407" s="1277"/>
      <c r="I407" s="1277"/>
      <c r="J407" s="1277"/>
      <c r="K407" s="1277"/>
      <c r="L407" s="1277"/>
      <c r="M407" s="1277"/>
      <c r="N407" s="1066"/>
    </row>
    <row r="408">
      <c r="A408" s="1276"/>
      <c r="B408" s="1277"/>
      <c r="C408" s="1277"/>
      <c r="D408" s="1277"/>
      <c r="E408" s="1277"/>
      <c r="F408" s="1277"/>
      <c r="G408" s="1277"/>
      <c r="H408" s="1277"/>
      <c r="I408" s="1277"/>
      <c r="J408" s="1277"/>
      <c r="K408" s="1277"/>
      <c r="L408" s="1277"/>
      <c r="M408" s="1277"/>
      <c r="N408" s="1066"/>
    </row>
    <row r="409">
      <c r="A409" s="1276"/>
      <c r="B409" s="1277"/>
      <c r="C409" s="1277"/>
      <c r="D409" s="1277"/>
      <c r="E409" s="1277"/>
      <c r="F409" s="1277"/>
      <c r="G409" s="1277"/>
      <c r="H409" s="1277"/>
      <c r="I409" s="1277"/>
      <c r="J409" s="1277"/>
      <c r="K409" s="1277"/>
      <c r="L409" s="1277"/>
      <c r="M409" s="1277"/>
      <c r="N409" s="1066"/>
    </row>
    <row r="410">
      <c r="A410" s="1276"/>
      <c r="B410" s="1277"/>
      <c r="C410" s="1277"/>
      <c r="D410" s="1277"/>
      <c r="E410" s="1277"/>
      <c r="F410" s="1277"/>
      <c r="G410" s="1277"/>
      <c r="H410" s="1277"/>
      <c r="I410" s="1277"/>
      <c r="J410" s="1277"/>
      <c r="K410" s="1277"/>
      <c r="L410" s="1277"/>
      <c r="M410" s="1277"/>
      <c r="N410" s="1066"/>
    </row>
    <row r="411">
      <c r="A411" s="1276"/>
      <c r="B411" s="1277"/>
      <c r="C411" s="1277"/>
      <c r="D411" s="1277"/>
      <c r="E411" s="1277"/>
      <c r="F411" s="1277"/>
      <c r="G411" s="1277"/>
      <c r="H411" s="1277"/>
      <c r="I411" s="1277"/>
      <c r="J411" s="1277"/>
      <c r="K411" s="1277"/>
      <c r="L411" s="1277"/>
      <c r="M411" s="1277"/>
      <c r="N411" s="1066"/>
    </row>
    <row r="412">
      <c r="A412" s="1276"/>
      <c r="B412" s="1277"/>
      <c r="C412" s="1277"/>
      <c r="D412" s="1277"/>
      <c r="E412" s="1277"/>
      <c r="F412" s="1277"/>
      <c r="G412" s="1277"/>
      <c r="H412" s="1277"/>
      <c r="I412" s="1277"/>
      <c r="J412" s="1277"/>
      <c r="K412" s="1277"/>
      <c r="L412" s="1277"/>
      <c r="M412" s="1277"/>
      <c r="N412" s="1066"/>
    </row>
    <row r="413">
      <c r="A413" s="1276"/>
      <c r="B413" s="1277"/>
      <c r="C413" s="1277"/>
      <c r="D413" s="1277"/>
      <c r="E413" s="1277"/>
      <c r="F413" s="1277"/>
      <c r="G413" s="1277"/>
      <c r="H413" s="1277"/>
      <c r="I413" s="1277"/>
      <c r="J413" s="1277"/>
      <c r="K413" s="1277"/>
      <c r="L413" s="1277"/>
      <c r="M413" s="1277"/>
      <c r="N413" s="1066"/>
    </row>
    <row r="414">
      <c r="A414" s="1276"/>
      <c r="B414" s="1277"/>
      <c r="C414" s="1277"/>
      <c r="D414" s="1277"/>
      <c r="E414" s="1277"/>
      <c r="F414" s="1277"/>
      <c r="G414" s="1277"/>
      <c r="H414" s="1277"/>
      <c r="I414" s="1277"/>
      <c r="J414" s="1277"/>
      <c r="K414" s="1277"/>
      <c r="L414" s="1277"/>
      <c r="M414" s="1277"/>
      <c r="N414" s="1066"/>
    </row>
    <row r="415">
      <c r="A415" s="1276"/>
      <c r="B415" s="1277"/>
      <c r="C415" s="1277"/>
      <c r="D415" s="1277"/>
      <c r="E415" s="1277"/>
      <c r="F415" s="1277"/>
      <c r="G415" s="1277"/>
      <c r="H415" s="1277"/>
      <c r="I415" s="1277"/>
      <c r="J415" s="1277"/>
      <c r="K415" s="1277"/>
      <c r="L415" s="1277"/>
      <c r="M415" s="1277"/>
      <c r="N415" s="1066"/>
    </row>
    <row r="416">
      <c r="A416" s="1276"/>
      <c r="B416" s="1277"/>
      <c r="C416" s="1277"/>
      <c r="D416" s="1277"/>
      <c r="E416" s="1277"/>
      <c r="F416" s="1277"/>
      <c r="G416" s="1277"/>
      <c r="H416" s="1277"/>
      <c r="I416" s="1277"/>
      <c r="J416" s="1277"/>
      <c r="K416" s="1277"/>
      <c r="L416" s="1277"/>
      <c r="M416" s="1277"/>
      <c r="N416" s="1066"/>
    </row>
  </sheetData>
  <mergeCells count="39">
    <mergeCell ref="B6:M6"/>
    <mergeCell ref="B7:M7"/>
    <mergeCell ref="B10:D10"/>
    <mergeCell ref="B29:M29"/>
    <mergeCell ref="B30:M30"/>
    <mergeCell ref="B31:M31"/>
    <mergeCell ref="B32:M32"/>
    <mergeCell ref="B33:M33"/>
    <mergeCell ref="B34:M34"/>
    <mergeCell ref="B35:M35"/>
    <mergeCell ref="B36:M36"/>
    <mergeCell ref="B37:M37"/>
    <mergeCell ref="B38:M38"/>
    <mergeCell ref="B39:M39"/>
    <mergeCell ref="B40:M40"/>
    <mergeCell ref="B41:M41"/>
    <mergeCell ref="B42:M42"/>
    <mergeCell ref="B43:M43"/>
    <mergeCell ref="B44:M44"/>
    <mergeCell ref="B45:M45"/>
    <mergeCell ref="B46:M46"/>
    <mergeCell ref="B47:M47"/>
    <mergeCell ref="B48:M48"/>
    <mergeCell ref="B49:M49"/>
    <mergeCell ref="B50:M50"/>
    <mergeCell ref="B51:M51"/>
    <mergeCell ref="B52:M52"/>
    <mergeCell ref="B53:M53"/>
    <mergeCell ref="B61:M61"/>
    <mergeCell ref="B62:M62"/>
    <mergeCell ref="D82:M82"/>
    <mergeCell ref="D88:M88"/>
    <mergeCell ref="B54:M54"/>
    <mergeCell ref="B55:M55"/>
    <mergeCell ref="B56:M56"/>
    <mergeCell ref="B57:M57"/>
    <mergeCell ref="B58:M58"/>
    <mergeCell ref="B59:M59"/>
    <mergeCell ref="B60:M60"/>
  </mergeCells>
  <conditionalFormatting sqref="B29:C62">
    <cfRule type="expression" dxfId="7" priority="1">
      <formula>$A29="B"</formula>
    </cfRule>
  </conditionalFormatting>
  <conditionalFormatting sqref="B29:C62">
    <cfRule type="expression" dxfId="8" priority="2">
      <formula>$A29="TB"</formula>
    </cfRule>
  </conditionalFormatting>
  <hyperlinks>
    <hyperlink r:id="rId1" ref="B7"/>
  </hyperlinks>
  <printOptions gridLines="1" horizontalCentered="1"/>
  <pageMargins bottom="0.5" footer="0.0" header="0.0" left="0.1" right="0.0" top="0.5"/>
  <pageSetup fitToHeight="0" paperSize="9" cellComments="atEnd" orientation="portrait" pageOrder="overThenDown"/>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Col="1"/>
  <cols>
    <col customWidth="1" min="1" max="1" width="3.43"/>
    <col customWidth="1" min="2" max="2" width="14.57" outlineLevel="1"/>
    <col customWidth="1" min="3" max="3" width="17.0" outlineLevel="1"/>
    <col customWidth="1" min="4" max="4" width="10.0" outlineLevel="1"/>
    <col customWidth="1" min="5" max="5" width="6.43" outlineLevel="1"/>
    <col collapsed="1" customWidth="1" min="6" max="6" width="2.0"/>
    <col customWidth="1" hidden="1" min="7" max="7" width="13.14" outlineLevel="1"/>
    <col customWidth="1" hidden="1" min="8" max="8" width="11.71" outlineLevel="1"/>
    <col customWidth="1" hidden="1" min="9" max="9" width="11.14" outlineLevel="1"/>
    <col customWidth="1" hidden="1" min="10" max="10" width="17.0" outlineLevel="1"/>
    <col customWidth="1" hidden="1" min="11" max="11" width="14.14" outlineLevel="1"/>
    <col customWidth="1" min="12" max="12" width="61.57"/>
    <col customWidth="1" min="13" max="13" width="35.0"/>
    <col customWidth="1" min="14" max="14" width="36.71"/>
    <col customWidth="1" min="15" max="15" width="39.43"/>
    <col customWidth="1" min="16" max="16" width="13.14"/>
  </cols>
  <sheetData>
    <row r="1">
      <c r="A1" s="1254"/>
      <c r="B1" s="1263"/>
      <c r="C1" s="1317"/>
      <c r="D1" s="1263"/>
      <c r="E1" s="1318"/>
      <c r="F1" s="1254"/>
      <c r="G1" s="1319"/>
      <c r="H1" s="1254"/>
      <c r="I1" s="1254"/>
      <c r="J1" s="1254"/>
      <c r="K1" s="1320"/>
      <c r="L1" s="1254"/>
      <c r="M1" s="1254"/>
      <c r="N1" s="1254"/>
      <c r="O1" s="1254"/>
      <c r="P1" s="1254"/>
      <c r="Q1" s="1254"/>
      <c r="R1" s="1254"/>
      <c r="S1" s="1254"/>
      <c r="T1" s="1254"/>
      <c r="U1" s="1254"/>
      <c r="V1" s="1254"/>
      <c r="W1" s="1254"/>
      <c r="X1" s="1254"/>
      <c r="Y1" s="1254"/>
      <c r="Z1" s="1254"/>
    </row>
    <row r="2">
      <c r="A2" s="1254"/>
      <c r="B2" s="1321" t="s">
        <v>210</v>
      </c>
      <c r="C2" s="1317"/>
      <c r="D2" s="1321"/>
      <c r="E2" s="1318"/>
      <c r="F2" s="1254"/>
      <c r="G2" s="1319"/>
      <c r="H2" s="1254"/>
      <c r="I2" s="1254"/>
      <c r="J2" s="1254"/>
      <c r="K2" s="1320"/>
      <c r="L2" s="1254"/>
      <c r="M2" s="1254"/>
      <c r="N2" s="1254"/>
      <c r="O2" s="1254"/>
      <c r="P2" s="1254"/>
      <c r="Q2" s="1254"/>
      <c r="R2" s="1254"/>
      <c r="S2" s="1254"/>
      <c r="T2" s="1254"/>
      <c r="U2" s="1254"/>
      <c r="V2" s="1254"/>
      <c r="W2" s="1254"/>
      <c r="X2" s="1254"/>
      <c r="Y2" s="1254"/>
      <c r="Z2" s="1254"/>
    </row>
    <row r="3">
      <c r="A3" s="1254"/>
      <c r="B3" s="1322" t="s">
        <v>922</v>
      </c>
      <c r="C3" s="1323"/>
      <c r="D3" s="1323"/>
      <c r="E3" s="1324"/>
      <c r="F3" s="1254"/>
      <c r="G3" s="1325" t="s">
        <v>923</v>
      </c>
      <c r="H3" s="1323"/>
      <c r="I3" s="1323"/>
      <c r="J3" s="1323"/>
      <c r="K3" s="1324"/>
      <c r="L3" s="1326" t="s">
        <v>922</v>
      </c>
      <c r="M3" s="1327" t="s">
        <v>923</v>
      </c>
      <c r="N3" s="1323"/>
      <c r="O3" s="1328" t="s">
        <v>922</v>
      </c>
      <c r="P3" s="1324"/>
      <c r="Q3" s="1254"/>
      <c r="R3" s="1254"/>
      <c r="S3" s="1254"/>
      <c r="T3" s="1254"/>
      <c r="U3" s="1254"/>
      <c r="V3" s="1254"/>
      <c r="W3" s="1254"/>
      <c r="X3" s="1254"/>
      <c r="Y3" s="1254"/>
      <c r="Z3" s="1254"/>
    </row>
    <row r="4">
      <c r="A4" s="1254"/>
      <c r="B4" s="1329" t="s">
        <v>924</v>
      </c>
      <c r="C4" s="1330" t="s">
        <v>925</v>
      </c>
      <c r="D4" s="1329" t="s">
        <v>926</v>
      </c>
      <c r="E4" s="1331" t="s">
        <v>244</v>
      </c>
      <c r="F4" s="464"/>
      <c r="G4" s="1329" t="s">
        <v>927</v>
      </c>
      <c r="H4" s="1329" t="s">
        <v>928</v>
      </c>
      <c r="I4" s="1332" t="s">
        <v>929</v>
      </c>
      <c r="J4" s="1332" t="s">
        <v>236</v>
      </c>
      <c r="K4" s="1332" t="s">
        <v>930</v>
      </c>
      <c r="L4" s="1333" t="s">
        <v>7</v>
      </c>
      <c r="M4" s="1333" t="s">
        <v>931</v>
      </c>
      <c r="N4" s="1333" t="s">
        <v>30</v>
      </c>
      <c r="O4" s="1333" t="s">
        <v>11</v>
      </c>
      <c r="P4" s="1333" t="s">
        <v>932</v>
      </c>
      <c r="Q4" s="1254"/>
      <c r="R4" s="1254"/>
      <c r="S4" s="1254"/>
      <c r="T4" s="1254"/>
      <c r="U4" s="1254"/>
      <c r="V4" s="1254"/>
      <c r="W4" s="1254"/>
      <c r="X4" s="1254"/>
      <c r="Y4" s="1254"/>
      <c r="Z4" s="1254"/>
    </row>
    <row r="5">
      <c r="A5" s="1254"/>
      <c r="B5" s="1334"/>
      <c r="C5" s="1335">
        <v>3.74</v>
      </c>
      <c r="D5" s="1334"/>
      <c r="E5" s="1336">
        <v>7.0</v>
      </c>
      <c r="F5" s="1337"/>
      <c r="G5" s="1338" t="str">
        <f t="shared" ref="G5:G11" si="1">if(D5="","",(C5+D5)/2)</f>
        <v/>
      </c>
      <c r="H5" s="1338">
        <f>IFERROR(__xludf.DUMMYFUNCTION("(1 / COS(RADIANS(REGEXEXTRACT(K5,""(\d+)""))))*G5"),0.0)</f>
        <v>0</v>
      </c>
      <c r="I5" s="1338">
        <f>IFERROR(__xludf.DUMMYFUNCTION("(1 / COS(RADIANS(REGEXEXTRACT(K5,""(\d+)""))))*C5"),4.363208905585336)</f>
        <v>4.363208906</v>
      </c>
      <c r="J5" s="1339">
        <f>IFERROR(__xludf.DUMMYFUNCTION("(1 / COS(RADIANS(REGEXEXTRACT(K5,""(\d+)""))))*C5"),4.363208905585336)</f>
        <v>4.363208906</v>
      </c>
      <c r="K5" s="1340" t="str">
        <f>IFERROR(__xludf.DUMMYFUNCTION("IFERROR(REGEXEXTRACT(L5,""@\s*(\d+(?:\.\d+)?)\s*deg"")&amp;""°"",""0°"")"),"31°")</f>
        <v>31°</v>
      </c>
      <c r="L5" s="1334" t="s">
        <v>933</v>
      </c>
      <c r="M5" s="1341" t="str">
        <f>IFERROR(__xludf.DUMMYFUNCTION("IF(
  AND(B5="""",C5="""",D5="""",E5=""""),
  """",
  IF(
    AND(B5&lt;&gt;"""",D5=""""),
    ""Please input peak length"",
    IF(
      AND(D5&lt;&gt;"""",B5=""""),
      ""Please input increment"",
      IF(
        E5&gt;1,
        IF(
          G5="""",
          "&amp;"JOIN("" lengths @ "",E5,J5),
          JOIN("" variable lengths @ average span of "",E5,H5)
        ),
        IF(
          G5="""",
          JOIN("" length @ "",E5,J5),
          JOIN("" variable length @ average span of "",E5,H5)
        )
      )
   "&amp;" )
  )
)"),"7 lengths @ 4.36 m span")</f>
        <v>7 lengths @ 4.36 m span</v>
      </c>
      <c r="N5" s="1341" t="str">
        <f t="shared" ref="N5:N14" si="2">IF(
  AND(B5="",D5=""),
  "",
  IF(
    B5="",
    "Please input increment",
    IF(
      D5="",
      "Please input peak length",
      "Sheet lengths start at "&amp;TEXT(I5,"0.00")&amp;"m, increasing by "&amp;B5&amp;"mm per sheet"
    )
  )
)</f>
        <v/>
      </c>
      <c r="O5" s="1334" t="s">
        <v>934</v>
      </c>
      <c r="P5" s="1334" t="s">
        <v>935</v>
      </c>
      <c r="Q5" s="1254"/>
      <c r="R5" s="1254"/>
      <c r="S5" s="1254"/>
      <c r="T5" s="1254"/>
      <c r="U5" s="1254"/>
      <c r="V5" s="1254"/>
      <c r="W5" s="1254"/>
      <c r="X5" s="1254"/>
      <c r="Y5" s="1254"/>
      <c r="Z5" s="1254"/>
    </row>
    <row r="6">
      <c r="A6" s="1254"/>
      <c r="B6" s="1334"/>
      <c r="C6" s="1335">
        <v>2.61</v>
      </c>
      <c r="D6" s="1334"/>
      <c r="E6" s="1336">
        <v>7.0</v>
      </c>
      <c r="F6" s="1337"/>
      <c r="G6" s="1338" t="str">
        <f t="shared" si="1"/>
        <v/>
      </c>
      <c r="H6" s="1338">
        <f>IFERROR(__xludf.DUMMYFUNCTION("(1 / COS(RADIANS(REGEXEXTRACT(K6,""(\d+)""))))*G6"),0.0)</f>
        <v>0</v>
      </c>
      <c r="I6" s="1338">
        <f>IFERROR(__xludf.DUMMYFUNCTION("(1 / COS(RADIANS(REGEXEXTRACT(K6,""(\d+)""))))*C6"),2.7775039861621305)</f>
        <v>2.777503986</v>
      </c>
      <c r="J6" s="1339">
        <f>IFERROR(__xludf.DUMMYFUNCTION("(1 / COS(RADIANS(REGEXEXTRACT(K6,""(\d+)""))))*C6"),2.7775039861621305)</f>
        <v>2.777503986</v>
      </c>
      <c r="K6" s="1340" t="str">
        <f>IFERROR(__xludf.DUMMYFUNCTION("IFERROR(REGEXEXTRACT(L6,""@\s*(\d+(?:\.\d+)?)\s*deg"")&amp;""°"",""0°"")"),"20°")</f>
        <v>20°</v>
      </c>
      <c r="L6" s="1334" t="s">
        <v>936</v>
      </c>
      <c r="M6" s="1341" t="str">
        <f>IFERROR(__xludf.DUMMYFUNCTION("IF(
  AND(B6="""",C6="""",D6="""",E6=""""),
  """",
  IF(
    AND(B6&lt;&gt;"""",D6=""""),
    ""Please input peak length"",
    IF(
      AND(D6&lt;&gt;"""",B6=""""),
      ""Please input increment"",
      IF(
        E6&gt;1,
        IF(
          G6="""",
          "&amp;"JOIN("" lengths @ "",E6,J6),
          JOIN("" variable lengths @ average span of "",E6,H6)
        ),
        IF(
          G6="""",
          JOIN("" length @ "",E6,J6),
          JOIN("" variable length @ average span of "",E6,H6)
        )
      )
   "&amp;" )
  )
)"),"7 lengths @ 2.78 m span")</f>
        <v>7 lengths @ 2.78 m span</v>
      </c>
      <c r="N6" s="1341" t="str">
        <f t="shared" si="2"/>
        <v/>
      </c>
      <c r="O6" s="1334" t="s">
        <v>934</v>
      </c>
      <c r="P6" s="1334" t="s">
        <v>935</v>
      </c>
      <c r="Q6" s="1254"/>
      <c r="R6" s="1254"/>
      <c r="S6" s="1254"/>
      <c r="T6" s="1254"/>
      <c r="U6" s="1254"/>
      <c r="V6" s="1254"/>
      <c r="W6" s="1254"/>
      <c r="X6" s="1254"/>
      <c r="Y6" s="1254"/>
      <c r="Z6" s="1254"/>
    </row>
    <row r="7">
      <c r="A7" s="1254"/>
      <c r="B7" s="1334"/>
      <c r="C7" s="1335">
        <v>6.36</v>
      </c>
      <c r="D7" s="1334"/>
      <c r="E7" s="1336">
        <v>23.0</v>
      </c>
      <c r="F7" s="1337"/>
      <c r="G7" s="1338" t="str">
        <f t="shared" si="1"/>
        <v/>
      </c>
      <c r="H7" s="1338">
        <f>IFERROR(__xludf.DUMMYFUNCTION("(1 / COS(RADIANS(REGEXEXTRACT(K7,""(\d+)""))))*G7"),0.0)</f>
        <v>0</v>
      </c>
      <c r="I7" s="1338">
        <f>IFERROR(__xludf.DUMMYFUNCTION("(1 / COS(RADIANS(REGEXEXTRACT(K7,""(\d+)""))))*C7"),7.419788406289502)</f>
        <v>7.419788406</v>
      </c>
      <c r="J7" s="1339">
        <f>IFERROR(__xludf.DUMMYFUNCTION("(1 / COS(RADIANS(REGEXEXTRACT(K7,""(\d+)""))))*C7"),7.419788406289502)</f>
        <v>7.419788406</v>
      </c>
      <c r="K7" s="1340" t="str">
        <f>IFERROR(__xludf.DUMMYFUNCTION("IFERROR(REGEXEXTRACT(L7,""@\s*(\d+(?:\.\d+)?)\s*deg"")&amp;""°"",""0°"")"),"31°")</f>
        <v>31°</v>
      </c>
      <c r="L7" s="1334" t="s">
        <v>933</v>
      </c>
      <c r="M7" s="1341" t="str">
        <f>IFERROR(__xludf.DUMMYFUNCTION("IF(
  AND(B7="""",C7="""",D7="""",E7=""""),
  """",
  IF(
    AND(B7&lt;&gt;"""",D7=""""),
    ""Please input peak length"",
    IF(
      AND(D7&lt;&gt;"""",B7=""""),
      ""Please input increment"",
      IF(
        E7&gt;1,
        IF(
          G7="""",
          "&amp;"JOIN("" lengths @ "",E7,J7),
          JOIN("" variable lengths @ average span of "",E7,H7)
        ),
        IF(
          G7="""",
          JOIN("" length @ "",E7,J7),
          JOIN("" variable length @ average span of "",E7,H7)
        )
      )
   "&amp;" )
  )
)"),"23 lengths @ 7.42 m span")</f>
        <v>23 lengths @ 7.42 m span</v>
      </c>
      <c r="N7" s="1341" t="str">
        <f t="shared" si="2"/>
        <v/>
      </c>
      <c r="O7" s="1334" t="s">
        <v>934</v>
      </c>
      <c r="P7" s="1334" t="s">
        <v>935</v>
      </c>
      <c r="Q7" s="1254"/>
      <c r="R7" s="1254"/>
      <c r="S7" s="1254"/>
      <c r="T7" s="1254"/>
      <c r="U7" s="1254"/>
      <c r="V7" s="1254"/>
      <c r="W7" s="1254"/>
      <c r="X7" s="1254"/>
      <c r="Y7" s="1254"/>
      <c r="Z7" s="1254"/>
    </row>
    <row r="8">
      <c r="A8" s="1254"/>
      <c r="B8" s="1334"/>
      <c r="C8" s="1335">
        <v>4.51</v>
      </c>
      <c r="D8" s="1334"/>
      <c r="E8" s="1336">
        <v>1.0</v>
      </c>
      <c r="F8" s="1337"/>
      <c r="G8" s="1338" t="str">
        <f t="shared" si="1"/>
        <v/>
      </c>
      <c r="H8" s="1338">
        <f>IFERROR(__xludf.DUMMYFUNCTION("(1 / COS(RADIANS(REGEXEXTRACT(K8,""(\d+)""))))*G8"),0.0)</f>
        <v>0</v>
      </c>
      <c r="I8" s="1338">
        <f>IFERROR(__xludf.DUMMYFUNCTION("(1 / COS(RADIANS(REGEXEXTRACT(K8,""(\d+)""))))*C8"),5.26151662144114)</f>
        <v>5.261516621</v>
      </c>
      <c r="J8" s="1339">
        <f>IFERROR(__xludf.DUMMYFUNCTION("(1 / COS(RADIANS(REGEXEXTRACT(K8,""(\d+)""))))*C8"),5.26151662144114)</f>
        <v>5.261516621</v>
      </c>
      <c r="K8" s="1340" t="str">
        <f>IFERROR(__xludf.DUMMYFUNCTION("IFERROR(REGEXEXTRACT(L8,""@\s*(\d+(?:\.\d+)?)\s*deg"")&amp;""°"",""0°"")"),"31°")</f>
        <v>31°</v>
      </c>
      <c r="L8" s="1334" t="s">
        <v>933</v>
      </c>
      <c r="M8" s="1341" t="str">
        <f>IFERROR(__xludf.DUMMYFUNCTION("IF(
  AND(B8="""",C8="""",D8="""",E8=""""),
  """",
  IF(
    AND(B8&lt;&gt;"""",D8=""""),
    ""Please input peak length"",
    IF(
      AND(D8&lt;&gt;"""",B8=""""),
      ""Please input increment"",
      IF(
        E8&gt;1,
        IF(
          G8="""",
          "&amp;"JOIN("" lengths @ "",E8,J8),
          JOIN("" variable lengths @ average span of "",E8,H8)
        ),
        IF(
          G8="""",
          JOIN("" length @ "",E8,J8),
          JOIN("" variable length @ average span of "",E8,H8)
        )
      )
   "&amp;" )
  )
)"),"1 length @ 5.26 m span")</f>
        <v>1 length @ 5.26 m span</v>
      </c>
      <c r="N8" s="1341" t="str">
        <f t="shared" si="2"/>
        <v/>
      </c>
      <c r="O8" s="1334" t="s">
        <v>934</v>
      </c>
      <c r="P8" s="1334" t="s">
        <v>935</v>
      </c>
      <c r="Q8" s="1254"/>
      <c r="R8" s="1254"/>
      <c r="S8" s="1254"/>
      <c r="T8" s="1254"/>
      <c r="U8" s="1254"/>
      <c r="V8" s="1254"/>
      <c r="W8" s="1254"/>
      <c r="X8" s="1254"/>
      <c r="Y8" s="1254"/>
      <c r="Z8" s="1254"/>
    </row>
    <row r="9">
      <c r="A9" s="1254"/>
      <c r="B9" s="1334"/>
      <c r="C9" s="1335">
        <v>4.43</v>
      </c>
      <c r="D9" s="1334"/>
      <c r="E9" s="1336">
        <v>24.0</v>
      </c>
      <c r="F9" s="1337"/>
      <c r="G9" s="1338" t="str">
        <f t="shared" si="1"/>
        <v/>
      </c>
      <c r="H9" s="1338">
        <f>IFERROR(__xludf.DUMMYFUNCTION("(1 / COS(RADIANS(REGEXEXTRACT(K9,""(\d+)""))))*G9"),0.0)</f>
        <v>0</v>
      </c>
      <c r="I9" s="1338">
        <f>IFERROR(__xludf.DUMMYFUNCTION("(1 / COS(RADIANS(REGEXEXTRACT(K9,""(\d+)""))))*C9"),4.71430753206829)</f>
        <v>4.714307532</v>
      </c>
      <c r="J9" s="1339">
        <f>IFERROR(__xludf.DUMMYFUNCTION("(1 / COS(RADIANS(REGEXEXTRACT(K9,""(\d+)""))))*C9"),4.71430753206829)</f>
        <v>4.714307532</v>
      </c>
      <c r="K9" s="1340" t="str">
        <f>IFERROR(__xludf.DUMMYFUNCTION("IFERROR(REGEXEXTRACT(L9,""@\s*(\d+(?:\.\d+)?)\s*deg"")&amp;""°"",""0°"")"),"20°")</f>
        <v>20°</v>
      </c>
      <c r="L9" s="1334" t="s">
        <v>936</v>
      </c>
      <c r="M9" s="1341" t="str">
        <f>IFERROR(__xludf.DUMMYFUNCTION("IF(
  AND(B9="""",C9="""",D9="""",E9=""""),
  """",
  IF(
    AND(B9&lt;&gt;"""",D9=""""),
    ""Please input peak length"",
    IF(
      AND(D9&lt;&gt;"""",B9=""""),
      ""Please input increment"",
      IF(
        E9&gt;1,
        IF(
          G9="""",
          "&amp;"JOIN("" lengths @ "",E9,J9),
          JOIN("" variable lengths @ average span of "",E9,H9)
        ),
        IF(
          G9="""",
          JOIN("" length @ "",E9,J9),
          JOIN("" variable length @ average span of "",E9,H9)
        )
      )
   "&amp;" )
  )
)"),"24 lengths @ 4.71 m span")</f>
        <v>24 lengths @ 4.71 m span</v>
      </c>
      <c r="N9" s="1341" t="str">
        <f t="shared" si="2"/>
        <v/>
      </c>
      <c r="O9" s="1334" t="s">
        <v>934</v>
      </c>
      <c r="P9" s="1334" t="s">
        <v>935</v>
      </c>
      <c r="Q9" s="1254"/>
      <c r="R9" s="1254"/>
      <c r="S9" s="1254"/>
      <c r="T9" s="1254"/>
      <c r="U9" s="1254"/>
      <c r="V9" s="1254"/>
      <c r="W9" s="1254"/>
      <c r="X9" s="1254"/>
      <c r="Y9" s="1254"/>
      <c r="Z9" s="1254"/>
    </row>
    <row r="10">
      <c r="A10" s="1254"/>
      <c r="B10" s="1334"/>
      <c r="C10" s="1335">
        <v>13.58</v>
      </c>
      <c r="D10" s="1334"/>
      <c r="E10" s="1336">
        <v>29.0</v>
      </c>
      <c r="F10" s="1337"/>
      <c r="G10" s="1338" t="str">
        <f t="shared" si="1"/>
        <v/>
      </c>
      <c r="H10" s="1338">
        <f>IFERROR(__xludf.DUMMYFUNCTION("(1 / COS(RADIANS(REGEXEXTRACT(K10,""(\d+)""))))*G10"),0.0)</f>
        <v>0</v>
      </c>
      <c r="I10" s="1338">
        <f>IFERROR(__xludf.DUMMYFUNCTION("(1 / COS(RADIANS(REGEXEXTRACT(K10,""(\d+)""))))*C10"),13.598636458651766)</f>
        <v>13.59863646</v>
      </c>
      <c r="J10" s="1339">
        <f>IFERROR(__xludf.DUMMYFUNCTION("(1 / COS(RADIANS(REGEXEXTRACT(K10,""(\d+)""))))*C10"),13.598636458651766)</f>
        <v>13.59863646</v>
      </c>
      <c r="K10" s="1340" t="str">
        <f>IFERROR(__xludf.DUMMYFUNCTION("IFERROR(REGEXEXTRACT(L10,""@\s*(\d+(?:\.\d+)?)\s*deg"")&amp;""°"",""0°"")"),"3.20°")</f>
        <v>3.20°</v>
      </c>
      <c r="L10" s="1334" t="s">
        <v>937</v>
      </c>
      <c r="M10" s="1341" t="str">
        <f>IFERROR(__xludf.DUMMYFUNCTION("IF(
  AND(B10="""",C10="""",D10="""",E10=""""),
  """",
  IF(
    AND(B10&lt;&gt;"""",D10=""""),
    ""Please input peak length"",
    IF(
      AND(D10&lt;&gt;"""",B10=""""),
      ""Please input increment"",
      IF(
        E10&gt;1,
        IF(
          G10="""",
"&amp;"          JOIN("" lengths @ "",E10,J10),
          JOIN("" variable lengths @ average span of "",E10,H10)
        ),
        IF(
          G10="""",
          JOIN("" length @ "",E10,J10),
          JOIN("" variable length @ average span of "",E10,H10)
  "&amp;"      )
      )
    )
  )
)"),"29 lengths @ 13.60 m span")</f>
        <v>29 lengths @ 13.60 m span</v>
      </c>
      <c r="N10" s="1341" t="str">
        <f t="shared" si="2"/>
        <v/>
      </c>
      <c r="O10" s="1334" t="s">
        <v>938</v>
      </c>
      <c r="P10" s="1334" t="s">
        <v>935</v>
      </c>
      <c r="Q10" s="1254"/>
      <c r="R10" s="1254"/>
      <c r="S10" s="1254"/>
      <c r="T10" s="1254"/>
      <c r="U10" s="1254"/>
      <c r="V10" s="1254"/>
      <c r="W10" s="1254"/>
      <c r="X10" s="1254"/>
      <c r="Y10" s="1254"/>
      <c r="Z10" s="1254"/>
    </row>
    <row r="11">
      <c r="A11" s="1254"/>
      <c r="B11" s="1334"/>
      <c r="C11" s="1335">
        <v>13.58</v>
      </c>
      <c r="D11" s="1334"/>
      <c r="E11" s="1336">
        <v>4.0</v>
      </c>
      <c r="F11" s="1337"/>
      <c r="G11" s="1338" t="str">
        <f t="shared" si="1"/>
        <v/>
      </c>
      <c r="H11" s="1338">
        <f>IFERROR(__xludf.DUMMYFUNCTION("(1 / COS(RADIANS(REGEXEXTRACT(K11,""(\d+)""))))*G11"),0.0)</f>
        <v>0</v>
      </c>
      <c r="I11" s="1338">
        <f>IFERROR(__xludf.DUMMYFUNCTION("(1 / COS(RADIANS(REGEXEXTRACT(K11,""(\d+)""))))*C11"),13.598636458651766)</f>
        <v>13.59863646</v>
      </c>
      <c r="J11" s="1339">
        <f>IFERROR(__xludf.DUMMYFUNCTION("(1 / COS(RADIANS(REGEXEXTRACT(K11,""(\d+)""))))*C11"),13.598636458651766)</f>
        <v>13.59863646</v>
      </c>
      <c r="K11" s="1340" t="str">
        <f>IFERROR(__xludf.DUMMYFUNCTION("IFERROR(REGEXEXTRACT(L11,""@\s*(\d+(?:\.\d+)?)\s*deg"")&amp;""°"",""0°"")"),"3.20°")</f>
        <v>3.20°</v>
      </c>
      <c r="L11" s="1334" t="s">
        <v>939</v>
      </c>
      <c r="M11" s="1341" t="str">
        <f>IFERROR(__xludf.DUMMYFUNCTION("IF(
  AND(B11="""",C11="""",D11="""",E11=""""),
  """",
  IF(
    AND(B11&lt;&gt;"""",D11=""""),
    ""Please input peak length"",
    IF(
      AND(D11&lt;&gt;"""",B11=""""),
      ""Please input increment"",
      IF(
        E11&gt;1,
        IF(
          G11="""",
"&amp;"          JOIN("" lengths @ "",E11,J11),
          JOIN("" variable lengths @ average span of "",E11,H11)
        ),
        IF(
          G11="""",
          JOIN("" length @ "",E11,J11),
          JOIN("" variable length @ average span of "",E11,H11)
  "&amp;"      )
      )
    )
  )
)"),"4 lengths @ 13.60 m span")</f>
        <v>4 lengths @ 13.60 m span</v>
      </c>
      <c r="N11" s="1341" t="str">
        <f t="shared" si="2"/>
        <v/>
      </c>
      <c r="O11" s="1334" t="s">
        <v>938</v>
      </c>
      <c r="P11" s="1334" t="s">
        <v>935</v>
      </c>
      <c r="Q11" s="1254"/>
      <c r="R11" s="1254"/>
      <c r="S11" s="1254"/>
      <c r="T11" s="1254"/>
      <c r="U11" s="1254"/>
      <c r="V11" s="1254"/>
      <c r="W11" s="1254"/>
      <c r="X11" s="1254"/>
      <c r="Y11" s="1254"/>
      <c r="Z11" s="1254"/>
    </row>
    <row r="12">
      <c r="A12" s="1254"/>
      <c r="B12" s="1334"/>
      <c r="C12" s="1335"/>
      <c r="D12" s="1334"/>
      <c r="E12" s="1336"/>
      <c r="F12" s="1337"/>
      <c r="G12" s="1338"/>
      <c r="H12" s="1338"/>
      <c r="I12" s="1338"/>
      <c r="J12" s="1339"/>
      <c r="K12" s="1340"/>
      <c r="L12" s="1334"/>
      <c r="M12" s="1341" t="str">
        <f>IFERROR(__xludf.DUMMYFUNCTION("IF(
  AND(B12="""",C12="""",D12="""",E12=""""),
  """",
  IF(
    AND(B12&lt;&gt;"""",D12=""""),
    ""Please input peak length"",
    IF(
      AND(D12&lt;&gt;"""",B12=""""),
      ""Please input increment"",
      IF(
        E12&gt;1,
        IF(
          G12="""",
"&amp;"          JOIN("" lengths @ "",E12,J12),
          JOIN("" variable lengths @ average span of "",E12,H12)
        ),
        IF(
          G12="""",
          JOIN("" length @ "",E12,J12),
          JOIN("" variable length @ average span of "",E12,H12)
  "&amp;"      )
      )
    )
  )
)"),"")</f>
        <v/>
      </c>
      <c r="N12" s="1341" t="str">
        <f t="shared" si="2"/>
        <v/>
      </c>
      <c r="O12" s="1334"/>
      <c r="P12" s="1334"/>
      <c r="Q12" s="1254"/>
      <c r="R12" s="1254"/>
      <c r="S12" s="1254"/>
      <c r="T12" s="1254"/>
      <c r="U12" s="1254"/>
      <c r="V12" s="1254"/>
      <c r="W12" s="1254"/>
      <c r="X12" s="1254"/>
      <c r="Y12" s="1254"/>
      <c r="Z12" s="1254"/>
    </row>
    <row r="13">
      <c r="A13" s="1254"/>
      <c r="B13" s="1334"/>
      <c r="C13" s="1335"/>
      <c r="D13" s="1334"/>
      <c r="E13" s="1336"/>
      <c r="F13" s="1337"/>
      <c r="G13" s="1338"/>
      <c r="H13" s="1338"/>
      <c r="I13" s="1338"/>
      <c r="J13" s="1339"/>
      <c r="K13" s="1340"/>
      <c r="L13" s="1334"/>
      <c r="M13" s="1341" t="str">
        <f>IFERROR(__xludf.DUMMYFUNCTION("IF(
  AND(B13="""",C13="""",D13="""",E13=""""),
  """",
  IF(
    AND(B13&lt;&gt;"""",D13=""""),
    ""Please input peak length"",
    IF(
      AND(D13&lt;&gt;"""",B13=""""),
      ""Please input increment"",
      IF(
        E13&gt;1,
        IF(
          G13="""",
"&amp;"          JOIN("" lengths @ "",E13,J13),
          JOIN("" variable lengths @ average span of "",E13,H13)
        ),
        IF(
          G13="""",
          JOIN("" length @ "",E13,J13),
          JOIN("" variable length @ average span of "",E13,H13)
  "&amp;"      )
      )
    )
  )
)"),"")</f>
        <v/>
      </c>
      <c r="N13" s="1341" t="str">
        <f t="shared" si="2"/>
        <v/>
      </c>
      <c r="O13" s="1334"/>
      <c r="P13" s="1334"/>
      <c r="Q13" s="1254"/>
      <c r="R13" s="1254"/>
      <c r="S13" s="1254"/>
      <c r="T13" s="1254"/>
      <c r="U13" s="1254"/>
      <c r="V13" s="1254"/>
      <c r="W13" s="1254"/>
      <c r="X13" s="1254"/>
      <c r="Y13" s="1254"/>
      <c r="Z13" s="1254"/>
    </row>
    <row r="14">
      <c r="A14" s="1254"/>
      <c r="B14" s="1334"/>
      <c r="C14" s="1335"/>
      <c r="D14" s="1334"/>
      <c r="E14" s="1336"/>
      <c r="F14" s="1337"/>
      <c r="G14" s="1338" t="str">
        <f>if(D14="","",(C14+D14)/2)</f>
        <v/>
      </c>
      <c r="H14" s="1338"/>
      <c r="I14" s="1338"/>
      <c r="J14" s="1339"/>
      <c r="K14" s="1340"/>
      <c r="L14" s="1334"/>
      <c r="M14" s="1341" t="str">
        <f>IFERROR(__xludf.DUMMYFUNCTION("IF(
  AND(B14="""",C14="""",D14="""",E14=""""),
  """",
  IF(
    AND(B14&lt;&gt;"""",D14=""""),
    ""Please input peak length"",
    IF(
      AND(D14&lt;&gt;"""",B14=""""),
      ""Please input increment"",
      IF(
        E14&gt;1,
        IF(
          G14="""",
"&amp;"          JOIN("" lengths @ "",E14,J14),
          JOIN("" variable lengths @ average span of "",E14,H14)
        ),
        IF(
          G14="""",
          JOIN("" length @ "",E14,J14),
          JOIN("" variable length @ average span of "",E14,H14)
  "&amp;"      )
      )
    )
  )
)"),"")</f>
        <v/>
      </c>
      <c r="N14" s="1341" t="str">
        <f t="shared" si="2"/>
        <v/>
      </c>
      <c r="O14" s="1342"/>
      <c r="P14" s="1343"/>
      <c r="Q14" s="1254"/>
      <c r="R14" s="1254"/>
      <c r="S14" s="1254"/>
      <c r="T14" s="1254"/>
      <c r="U14" s="1254"/>
      <c r="V14" s="1254"/>
      <c r="W14" s="1254"/>
      <c r="X14" s="1254"/>
      <c r="Y14" s="1254"/>
      <c r="Z14" s="1254"/>
    </row>
    <row r="15">
      <c r="A15" s="1254"/>
      <c r="B15" s="1263"/>
      <c r="C15" s="1317"/>
      <c r="D15" s="1263"/>
      <c r="E15" s="1318"/>
      <c r="F15" s="1254"/>
      <c r="G15" s="1319"/>
      <c r="H15" s="1254"/>
      <c r="I15" s="1254"/>
      <c r="J15" s="1254"/>
      <c r="K15" s="1320"/>
      <c r="L15" s="1254"/>
      <c r="M15" s="1254"/>
      <c r="N15" s="1254"/>
      <c r="O15" s="1254"/>
      <c r="P15" s="1254"/>
      <c r="Q15" s="1254"/>
      <c r="R15" s="1254"/>
      <c r="S15" s="1254"/>
      <c r="T15" s="1254"/>
      <c r="U15" s="1254"/>
      <c r="V15" s="1254"/>
      <c r="W15" s="1254"/>
      <c r="X15" s="1254"/>
      <c r="Y15" s="1254"/>
      <c r="Z15" s="1254"/>
    </row>
    <row r="16">
      <c r="A16" s="1254"/>
      <c r="B16" s="1321" t="s">
        <v>233</v>
      </c>
      <c r="C16" s="1317"/>
      <c r="D16" s="1321"/>
      <c r="E16" s="1318"/>
      <c r="F16" s="1254"/>
      <c r="G16" s="1319"/>
      <c r="H16" s="1254"/>
      <c r="I16" s="1254"/>
      <c r="J16" s="1254"/>
      <c r="K16" s="1320"/>
      <c r="L16" s="1254"/>
      <c r="M16" s="1254"/>
      <c r="N16" s="1254"/>
      <c r="O16" s="1254"/>
      <c r="P16" s="1254"/>
      <c r="Q16" s="1254"/>
      <c r="R16" s="1254"/>
      <c r="S16" s="1254"/>
      <c r="T16" s="1254"/>
      <c r="U16" s="1254"/>
      <c r="V16" s="1254"/>
      <c r="W16" s="1254"/>
      <c r="X16" s="1254"/>
      <c r="Y16" s="1254"/>
      <c r="Z16" s="1254"/>
    </row>
    <row r="17">
      <c r="A17" s="1254"/>
      <c r="B17" s="1322" t="s">
        <v>922</v>
      </c>
      <c r="C17" s="1323"/>
      <c r="D17" s="1323"/>
      <c r="E17" s="1324"/>
      <c r="F17" s="1254"/>
      <c r="G17" s="1325" t="s">
        <v>923</v>
      </c>
      <c r="H17" s="1323"/>
      <c r="I17" s="1323"/>
      <c r="J17" s="1323"/>
      <c r="K17" s="1324"/>
      <c r="L17" s="1326" t="s">
        <v>922</v>
      </c>
      <c r="M17" s="1327" t="s">
        <v>923</v>
      </c>
      <c r="N17" s="1323"/>
      <c r="O17" s="1328" t="s">
        <v>922</v>
      </c>
      <c r="P17" s="1324"/>
      <c r="Q17" s="1254"/>
      <c r="R17" s="1254"/>
      <c r="S17" s="1254"/>
      <c r="T17" s="1254"/>
      <c r="U17" s="1254"/>
      <c r="V17" s="1254"/>
      <c r="W17" s="1254"/>
      <c r="X17" s="1254"/>
      <c r="Y17" s="1254"/>
      <c r="Z17" s="1254"/>
    </row>
    <row r="18">
      <c r="A18" s="464"/>
      <c r="B18" s="1329" t="s">
        <v>924</v>
      </c>
      <c r="C18" s="1330" t="s">
        <v>925</v>
      </c>
      <c r="D18" s="1329" t="s">
        <v>926</v>
      </c>
      <c r="E18" s="1331" t="s">
        <v>244</v>
      </c>
      <c r="F18" s="464"/>
      <c r="G18" s="1329" t="s">
        <v>927</v>
      </c>
      <c r="H18" s="1329" t="s">
        <v>928</v>
      </c>
      <c r="I18" s="1332" t="s">
        <v>929</v>
      </c>
      <c r="J18" s="1330" t="s">
        <v>237</v>
      </c>
      <c r="K18" s="1332" t="s">
        <v>930</v>
      </c>
      <c r="L18" s="1332" t="s">
        <v>7</v>
      </c>
      <c r="M18" s="1333" t="s">
        <v>940</v>
      </c>
      <c r="N18" s="1333" t="s">
        <v>30</v>
      </c>
      <c r="O18" s="1333" t="s">
        <v>11</v>
      </c>
      <c r="P18" s="1333" t="s">
        <v>932</v>
      </c>
      <c r="Q18" s="464"/>
      <c r="R18" s="464"/>
      <c r="S18" s="464"/>
      <c r="T18" s="464"/>
      <c r="U18" s="464"/>
      <c r="V18" s="464"/>
      <c r="W18" s="464"/>
      <c r="X18" s="464"/>
      <c r="Y18" s="464"/>
      <c r="Z18" s="464"/>
    </row>
    <row r="19">
      <c r="A19" s="464"/>
      <c r="B19" s="1334"/>
      <c r="C19" s="1335">
        <v>5.8</v>
      </c>
      <c r="D19" s="1334"/>
      <c r="E19" s="1336">
        <v>2.0</v>
      </c>
      <c r="F19" s="464"/>
      <c r="G19" s="1338" t="str">
        <f t="shared" ref="G19:G25" si="3">if(D19="","",(C19+D19)/2)</f>
        <v/>
      </c>
      <c r="H19" s="1338">
        <f>IFERROR(__xludf.DUMMYFUNCTION("(1 / COS(RADIANS(REGEXEXTRACT(K19,""(\d+)""))))*G19"),0.0)</f>
        <v>0</v>
      </c>
      <c r="I19" s="1338">
        <f>IFERROR(__xludf.DUMMYFUNCTION("(1 / COS(RADIANS(REGEXEXTRACT(K19,""(\d+)""))))*C19"),5.8)</f>
        <v>5.8</v>
      </c>
      <c r="J19" s="1339">
        <f>IFERROR(__xludf.DUMMYFUNCTION("(1 / COS(RADIANS(REGEXEXTRACT(K19,""(\d+)""))))*C19"),5.8)</f>
        <v>5.8</v>
      </c>
      <c r="K19" s="1340" t="str">
        <f>IFERROR(__xludf.DUMMYFUNCTION("IFERROR(REGEXEXTRACT(L19,""@\s*(\d+(?:\.\d+)?)\s*deg"")&amp;""°"",""0°"")"),"0°")</f>
        <v>0°</v>
      </c>
      <c r="L19" s="1334" t="s">
        <v>941</v>
      </c>
      <c r="M19" s="1341" t="str">
        <f>IFERROR(__xludf.DUMMYFUNCTION("IF(
  AND(B19="""",C19="""",D19="""",E19=""""),
  """",
  IF(
    AND(B19&lt;&gt;"""",D19=""""),
    ""Please input peak length"",
    IF(
      AND(D19&lt;&gt;"""",B19=""""),
      ""Please input increment"",
      IF(
        E19&gt;1,
        IF(
          G19="""",
"&amp;"          JOIN("" lengths @ "",E19,J19),
          JOIN("" variable lengths @ average span of "",E19,H19)
        ),
        IF(
          G19="""",
          JOIN("" length @ "",E19,J19),
          JOIN("" variable length @ average span of "",E19,H19)
  "&amp;"      )
      )
    )
  )
)"),"2 lengths @ 5.80 m span")</f>
        <v>2 lengths @ 5.80 m span</v>
      </c>
      <c r="N19" s="1341" t="str">
        <f t="shared" ref="N19:N27" si="4">IF(
  AND(B19="",D19=""),
  "",
  IF(
    B19="",
    "Please input increment",
    IF(
      D19="",
      "Please input peak length",
      "Sheet lengths start at "&amp;TEXT(I19,"0.00")&amp;"m, increasing by "&amp;B19&amp;"mm per sheet"
    )
  )
)</f>
        <v/>
      </c>
      <c r="O19" s="1334" t="s">
        <v>942</v>
      </c>
      <c r="P19" s="1334" t="s">
        <v>935</v>
      </c>
      <c r="Q19" s="464"/>
      <c r="R19" s="464"/>
      <c r="S19" s="464"/>
      <c r="T19" s="464"/>
      <c r="U19" s="464"/>
      <c r="V19" s="464"/>
      <c r="W19" s="464"/>
      <c r="X19" s="464"/>
      <c r="Y19" s="464"/>
      <c r="Z19" s="464"/>
    </row>
    <row r="20">
      <c r="A20" s="464"/>
      <c r="B20" s="1334">
        <v>50.0</v>
      </c>
      <c r="C20" s="1335">
        <v>2.14</v>
      </c>
      <c r="D20" s="1334">
        <v>2.44</v>
      </c>
      <c r="E20" s="1336">
        <v>8.0</v>
      </c>
      <c r="F20" s="464"/>
      <c r="G20" s="1338">
        <f t="shared" si="3"/>
        <v>2.29</v>
      </c>
      <c r="H20" s="1338">
        <f>IFERROR(__xludf.DUMMYFUNCTION("(1 / COS(RADIANS(REGEXEXTRACT(K20,""(\d+)""))))*G20"),3.2385490578343874)</f>
        <v>3.238549058</v>
      </c>
      <c r="I20" s="1338">
        <f>IFERROR(__xludf.DUMMYFUNCTION("(1 / COS(RADIANS(REGEXEXTRACT(K20,""(\d+)""))))*C20"),3.026417023478423)</f>
        <v>3.026417023</v>
      </c>
      <c r="J20" s="1339">
        <f>IFERROR(__xludf.DUMMYFUNCTION("(1 / COS(RADIANS(REGEXEXTRACT(K20,""(\d+)""))))*C20"),3.026417023478423)</f>
        <v>3.026417023</v>
      </c>
      <c r="K20" s="1340" t="str">
        <f>IFERROR(__xludf.DUMMYFUNCTION("IFERROR(REGEXEXTRACT(L20,""@\s*(\d+(?:\.\d+)?)\s*deg"")&amp;""°"",""0°"")"),"45°")</f>
        <v>45°</v>
      </c>
      <c r="L20" s="1334" t="s">
        <v>943</v>
      </c>
      <c r="M20" s="1341" t="str">
        <f>IFERROR(__xludf.DUMMYFUNCTION("IF(
  AND(B20="""",C20="""",D20="""",E20=""""),
  """",
  IF(
    AND(B20&lt;&gt;"""",D20=""""),
    ""Please input peak length"",
    IF(
      AND(D20&lt;&gt;"""",B20=""""),
      ""Please input increment"",
      IF(
        E20&gt;1,
        IF(
          G20="""",
"&amp;"          JOIN("" lengths @ "",E20,J20),
          JOIN("" variable lengths @ average span of "",E20,H20)
        ),
        IF(
          G20="""",
          JOIN("" length @ "",E20,J20),
          JOIN("" variable length @ average span of "",E20,H20)
  "&amp;"      )
      )
    )
  )
)"),"8 variable lengths @ average span of 3.24 m")</f>
        <v>8 variable lengths @ average span of 3.24 m</v>
      </c>
      <c r="N20" s="1341" t="str">
        <f t="shared" si="4"/>
        <v>Sheet lengths start at 3.03m, increasing by 50mm per sheet</v>
      </c>
      <c r="O20" s="1334" t="s">
        <v>942</v>
      </c>
      <c r="P20" s="1334" t="s">
        <v>935</v>
      </c>
      <c r="Q20" s="464"/>
      <c r="R20" s="464"/>
      <c r="S20" s="464"/>
      <c r="T20" s="464"/>
      <c r="U20" s="464"/>
      <c r="V20" s="464"/>
      <c r="W20" s="464"/>
      <c r="X20" s="464"/>
      <c r="Y20" s="464"/>
      <c r="Z20" s="464"/>
    </row>
    <row r="21">
      <c r="A21" s="464"/>
      <c r="B21" s="1334">
        <v>50.0</v>
      </c>
      <c r="C21" s="1335">
        <v>6.15</v>
      </c>
      <c r="D21" s="1334">
        <v>6.45</v>
      </c>
      <c r="E21" s="1336">
        <v>8.0</v>
      </c>
      <c r="F21" s="464"/>
      <c r="G21" s="1338">
        <f t="shared" si="3"/>
        <v>6.3</v>
      </c>
      <c r="H21" s="1338">
        <f>IFERROR(__xludf.DUMMYFUNCTION("(1 / COS(RADIANS(REGEXEXTRACT(K21,""(\d+)""))))*G21"),6.300000000000001)</f>
        <v>6.3</v>
      </c>
      <c r="I21" s="1338">
        <f>IFERROR(__xludf.DUMMYFUNCTION("(1 / COS(RADIANS(REGEXEXTRACT(K21,""(\d+)""))))*C21"),6.15)</f>
        <v>6.15</v>
      </c>
      <c r="J21" s="1339">
        <f>IFERROR(__xludf.DUMMYFUNCTION("(1 / COS(RADIANS(REGEXEXTRACT(K21,""(\d+)""))))*C21"),6.15)</f>
        <v>6.15</v>
      </c>
      <c r="K21" s="1340" t="str">
        <f>IFERROR(__xludf.DUMMYFUNCTION("IFERROR(REGEXEXTRACT(L21,""@\s*(\d+(?:\.\d+)?)\s*deg"")&amp;""°"",""0°"")"),"0°")</f>
        <v>0°</v>
      </c>
      <c r="L21" s="1334" t="s">
        <v>941</v>
      </c>
      <c r="M21" s="1341" t="str">
        <f>IFERROR(__xludf.DUMMYFUNCTION("IF(
  AND(B21="""",C21="""",D21="""",E21=""""),
  """",
  IF(
    AND(B21&lt;&gt;"""",D21=""""),
    ""Please input peak length"",
    IF(
      AND(D21&lt;&gt;"""",B21=""""),
      ""Please input increment"",
      IF(
        E21&gt;1,
        IF(
          G21="""",
"&amp;"          JOIN("" lengths @ "",E21,J21),
          JOIN("" variable lengths @ average span of "",E21,H21)
        ),
        IF(
          G21="""",
          JOIN("" length @ "",E21,J21),
          JOIN("" variable length @ average span of "",E21,H21)
  "&amp;"      )
      )
    )
  )
)"),"8 variable lengths @ average span of 6.30 m")</f>
        <v>8 variable lengths @ average span of 6.30 m</v>
      </c>
      <c r="N21" s="1341" t="str">
        <f t="shared" si="4"/>
        <v>Sheet lengths start at 6.15m, increasing by 50mm per sheet</v>
      </c>
      <c r="O21" s="1334" t="s">
        <v>942</v>
      </c>
      <c r="P21" s="1334" t="s">
        <v>935</v>
      </c>
      <c r="Q21" s="464"/>
      <c r="R21" s="464"/>
      <c r="S21" s="464"/>
      <c r="T21" s="464"/>
      <c r="U21" s="464"/>
      <c r="V21" s="464"/>
      <c r="W21" s="464"/>
      <c r="X21" s="464"/>
      <c r="Y21" s="464"/>
      <c r="Z21" s="464"/>
    </row>
    <row r="22">
      <c r="A22" s="464"/>
      <c r="B22" s="1334">
        <v>50.0</v>
      </c>
      <c r="C22" s="1335">
        <v>5.72</v>
      </c>
      <c r="D22" s="1334">
        <v>6.45</v>
      </c>
      <c r="E22" s="1336">
        <v>18.0</v>
      </c>
      <c r="F22" s="464"/>
      <c r="G22" s="1338">
        <f t="shared" si="3"/>
        <v>6.085</v>
      </c>
      <c r="H22" s="1338">
        <f>IFERROR(__xludf.DUMMYFUNCTION("(1 / COS(RADIANS(REGEXEXTRACT(K22,""(\d+)""))))*G22"),6.085)</f>
        <v>6.085</v>
      </c>
      <c r="I22" s="1338">
        <f>IFERROR(__xludf.DUMMYFUNCTION("(1 / COS(RADIANS(REGEXEXTRACT(K22,""(\d+)""))))*C22"),5.72)</f>
        <v>5.72</v>
      </c>
      <c r="J22" s="1339">
        <f>IFERROR(__xludf.DUMMYFUNCTION("(1 / COS(RADIANS(REGEXEXTRACT(K22,""(\d+)""))))*C22"),5.72)</f>
        <v>5.72</v>
      </c>
      <c r="K22" s="1340" t="str">
        <f>IFERROR(__xludf.DUMMYFUNCTION("IFERROR(REGEXEXTRACT(L22,""@\s*(\d+(?:\.\d+)?)\s*deg"")&amp;""°"",""0°"")"),"0°")</f>
        <v>0°</v>
      </c>
      <c r="L22" s="1334" t="s">
        <v>941</v>
      </c>
      <c r="M22" s="1341" t="str">
        <f>IFERROR(__xludf.DUMMYFUNCTION("IF(
  AND(B22="""",C22="""",D22="""",E22=""""),
  """",
  IF(
    AND(B22&lt;&gt;"""",D22=""""),
    ""Please input peak length"",
    IF(
      AND(D22&lt;&gt;"""",B22=""""),
      ""Please input increment"",
      IF(
        E22&gt;1,
        IF(
          G22="""",
"&amp;"          JOIN("" lengths @ "",E22,J22),
          JOIN("" variable lengths @ average span of "",E22,H22)
        ),
        IF(
          G22="""",
          JOIN("" length @ "",E22,J22),
          JOIN("" variable length @ average span of "",E22,H22)
  "&amp;"      )
      )
    )
  )
)"),"18 variable lengths @ average span of 6.09 m")</f>
        <v>18 variable lengths @ average span of 6.09 m</v>
      </c>
      <c r="N22" s="1341" t="str">
        <f t="shared" si="4"/>
        <v>Sheet lengths start at 5.72m, increasing by 50mm per sheet</v>
      </c>
      <c r="O22" s="1334" t="s">
        <v>944</v>
      </c>
      <c r="P22" s="1334" t="s">
        <v>935</v>
      </c>
      <c r="Q22" s="464"/>
      <c r="R22" s="464"/>
      <c r="S22" s="464"/>
      <c r="T22" s="464"/>
      <c r="U22" s="464"/>
      <c r="V22" s="464"/>
      <c r="W22" s="464"/>
      <c r="X22" s="464"/>
      <c r="Y22" s="464"/>
      <c r="Z22" s="464"/>
    </row>
    <row r="23">
      <c r="A23" s="464"/>
      <c r="B23" s="1334"/>
      <c r="C23" s="1335">
        <v>6.45</v>
      </c>
      <c r="D23" s="1334"/>
      <c r="E23" s="1336">
        <v>34.0</v>
      </c>
      <c r="F23" s="464"/>
      <c r="G23" s="1338" t="str">
        <f t="shared" si="3"/>
        <v/>
      </c>
      <c r="H23" s="1338">
        <f>IFERROR(__xludf.DUMMYFUNCTION("(1 / COS(RADIANS(REGEXEXTRACT(K23,""(\d+)""))))*G23"),0.0)</f>
        <v>0</v>
      </c>
      <c r="I23" s="1338">
        <f>IFERROR(__xludf.DUMMYFUNCTION("(1 / COS(RADIANS(REGEXEXTRACT(K23,""(\d+)""))))*C23"),6.45)</f>
        <v>6.45</v>
      </c>
      <c r="J23" s="1339">
        <f>IFERROR(__xludf.DUMMYFUNCTION("(1 / COS(RADIANS(REGEXEXTRACT(K23,""(\d+)""))))*C23"),6.45)</f>
        <v>6.45</v>
      </c>
      <c r="K23" s="1340" t="str">
        <f>IFERROR(__xludf.DUMMYFUNCTION("IFERROR(REGEXEXTRACT(L23,""@\s*(\d+(?:\.\d+)?)\s*deg"")&amp;""°"",""0°"")"),"0°")</f>
        <v>0°</v>
      </c>
      <c r="L23" s="1334" t="s">
        <v>941</v>
      </c>
      <c r="M23" s="1341" t="str">
        <f>IFERROR(__xludf.DUMMYFUNCTION("IF(
  AND(B23="""",C23="""",D23="""",E23=""""),
  """",
  IF(
    AND(B23&lt;&gt;"""",D23=""""),
    ""Please input peak length"",
    IF(
      AND(D23&lt;&gt;"""",B23=""""),
      ""Please input increment"",
      IF(
        E23&gt;1,
        IF(
          G23="""",
"&amp;"          JOIN("" lengths @ "",E23,J23),
          JOIN("" variable lengths @ average span of "",E23,H23)
        ),
        IF(
          G23="""",
          JOIN("" length @ "",E23,J23),
          JOIN("" variable length @ average span of "",E23,H23)
  "&amp;"      )
      )
    )
  )
)"),"34 lengths @ 6.45 m span")</f>
        <v>34 lengths @ 6.45 m span</v>
      </c>
      <c r="N23" s="1341" t="str">
        <f t="shared" si="4"/>
        <v/>
      </c>
      <c r="O23" s="1334" t="s">
        <v>945</v>
      </c>
      <c r="P23" s="1334" t="s">
        <v>935</v>
      </c>
      <c r="Q23" s="464"/>
      <c r="R23" s="464"/>
      <c r="S23" s="464"/>
      <c r="T23" s="464"/>
      <c r="U23" s="464"/>
      <c r="V23" s="464"/>
      <c r="W23" s="464"/>
      <c r="X23" s="464"/>
      <c r="Y23" s="464"/>
      <c r="Z23" s="464"/>
    </row>
    <row r="24">
      <c r="A24" s="464"/>
      <c r="B24" s="1334"/>
      <c r="C24" s="1335">
        <v>5.68</v>
      </c>
      <c r="D24" s="1334"/>
      <c r="E24" s="1336">
        <v>34.0</v>
      </c>
      <c r="F24" s="464"/>
      <c r="G24" s="1338" t="str">
        <f t="shared" si="3"/>
        <v/>
      </c>
      <c r="H24" s="1338">
        <f>IFERROR(__xludf.DUMMYFUNCTION("(1 / COS(RADIANS(REGEXEXTRACT(K24,""(\d+)""))))*G24"),0.0)</f>
        <v>0</v>
      </c>
      <c r="I24" s="1338">
        <f>IFERROR(__xludf.DUMMYFUNCTION("(1 / COS(RADIANS(REGEXEXTRACT(K24,""(\d+)""))))*C24"),5.68)</f>
        <v>5.68</v>
      </c>
      <c r="J24" s="1339">
        <f>IFERROR(__xludf.DUMMYFUNCTION("(1 / COS(RADIANS(REGEXEXTRACT(K24,""(\d+)""))))*C24"),5.68)</f>
        <v>5.68</v>
      </c>
      <c r="K24" s="1340" t="str">
        <f>IFERROR(__xludf.DUMMYFUNCTION("IFERROR(REGEXEXTRACT(L24,""@\s*(\d+(?:\.\d+)?)\s*deg"")&amp;""°"",""0°"")"),"0°")</f>
        <v>0°</v>
      </c>
      <c r="L24" s="1334" t="s">
        <v>941</v>
      </c>
      <c r="M24" s="1341" t="str">
        <f>IFERROR(__xludf.DUMMYFUNCTION("IF(
  AND(B24="""",C24="""",D24="""",E24=""""),
  """",
  IF(
    AND(B24&lt;&gt;"""",D24=""""),
    ""Please input peak length"",
    IF(
      AND(D24&lt;&gt;"""",B24=""""),
      ""Please input increment"",
      IF(
        E24&gt;1,
        IF(
          G24="""",
"&amp;"          JOIN("" lengths @ "",E24,J24),
          JOIN("" variable lengths @ average span of "",E24,H24)
        ),
        IF(
          G24="""",
          JOIN("" length @ "",E24,J24),
          JOIN("" variable length @ average span of "",E24,H24)
  "&amp;"      )
      )
    )
  )
)"),"34 lengths @ 5.68 m span")</f>
        <v>34 lengths @ 5.68 m span</v>
      </c>
      <c r="N24" s="1341" t="str">
        <f t="shared" si="4"/>
        <v/>
      </c>
      <c r="O24" s="1334" t="s">
        <v>946</v>
      </c>
      <c r="P24" s="1334" t="s">
        <v>935</v>
      </c>
      <c r="Q24" s="464"/>
      <c r="R24" s="464"/>
      <c r="S24" s="464"/>
      <c r="T24" s="464"/>
      <c r="U24" s="464"/>
      <c r="V24" s="464"/>
      <c r="W24" s="464"/>
      <c r="X24" s="464"/>
      <c r="Y24" s="464"/>
      <c r="Z24" s="464"/>
    </row>
    <row r="25">
      <c r="A25" s="464"/>
      <c r="B25" s="1334"/>
      <c r="C25" s="1344"/>
      <c r="D25" s="1334"/>
      <c r="E25" s="1345"/>
      <c r="F25" s="464"/>
      <c r="G25" s="1338" t="str">
        <f t="shared" si="3"/>
        <v/>
      </c>
      <c r="H25" s="1338">
        <f>IFERROR(__xludf.DUMMYFUNCTION("(1 / COS(RADIANS(REGEXEXTRACT(K25,""(\d+)""))))*G25"),0.0)</f>
        <v>0</v>
      </c>
      <c r="I25" s="1338">
        <f>IFERROR(__xludf.DUMMYFUNCTION("(1 / COS(RADIANS(REGEXEXTRACT(K25,""(\d+)""))))*C25"),0.0)</f>
        <v>0</v>
      </c>
      <c r="J25" s="1339">
        <f>IFERROR(__xludf.DUMMYFUNCTION("(1 / COS(RADIANS(REGEXEXTRACT(K25,""(\d+)""))))*C25"),0.0)</f>
        <v>0</v>
      </c>
      <c r="K25" s="1340" t="str">
        <f>IFERROR(__xludf.DUMMYFUNCTION("IFERROR(REGEXEXTRACT(L25,""@\s*(\d+(?:\.\d+)?)\s*deg"")&amp;""°"",""0°"")"),"0°")</f>
        <v>0°</v>
      </c>
      <c r="L25" s="1334"/>
      <c r="M25" s="1341" t="str">
        <f>IFERROR(__xludf.DUMMYFUNCTION("IF(
  AND(B25="""",C25="""",D25="""",E25=""""),
  """",
  IF(
    AND(B25&lt;&gt;"""",D25=""""),
    ""Please input peak length"",
    IF(
      AND(D25&lt;&gt;"""",B25=""""),
      ""Please input increment"",
      IF(
        E25&gt;1,
        IF(
          G25="""",
"&amp;"          JOIN("" lengths @ "",E25,J25),
          JOIN("" variable lengths @ average span of "",E25,H25)
        ),
        IF(
          G25="""",
          JOIN("" length @ "",E25,J25),
          JOIN("" variable length @ average span of "",E25,H25)
  "&amp;"      )
      )
    )
  )
)"),"")</f>
        <v/>
      </c>
      <c r="N25" s="1341" t="str">
        <f t="shared" si="4"/>
        <v/>
      </c>
      <c r="O25" s="1342"/>
      <c r="P25" s="1343"/>
      <c r="Q25" s="464"/>
      <c r="R25" s="464"/>
      <c r="S25" s="464"/>
      <c r="T25" s="464"/>
      <c r="U25" s="464"/>
      <c r="V25" s="464"/>
      <c r="W25" s="464"/>
      <c r="X25" s="464"/>
      <c r="Y25" s="464"/>
      <c r="Z25" s="464"/>
    </row>
    <row r="26">
      <c r="A26" s="464"/>
      <c r="B26" s="1334"/>
      <c r="C26" s="1335"/>
      <c r="D26" s="1334"/>
      <c r="E26" s="1336"/>
      <c r="F26" s="464"/>
      <c r="G26" s="1338"/>
      <c r="H26" s="1338"/>
      <c r="I26" s="1338"/>
      <c r="J26" s="1339"/>
      <c r="K26" s="1340"/>
      <c r="L26" s="1334"/>
      <c r="M26" s="1341" t="str">
        <f>IFERROR(__xludf.DUMMYFUNCTION("IF(
  AND(B26="""",C26="""",D26="""",E26=""""),
  """",
  IF(
    AND(B26&lt;&gt;"""",D26=""""),
    ""Please input peak length"",
    IF(
      AND(D26&lt;&gt;"""",B26=""""),
      ""Please input increment"",
      IF(
        E26&gt;1,
        IF(
          G26="""",
"&amp;"          JOIN("" lengths @ "",E26,J26),
          JOIN("" variable lengths @ average span of "",E26,H26)
        ),
        IF(
          G26="""",
          JOIN("" length @ "",E26,J26),
          JOIN("" variable length @ average span of "",E26,H26)
  "&amp;"      )
      )
    )
  )
)"),"")</f>
        <v/>
      </c>
      <c r="N26" s="1341" t="str">
        <f t="shared" si="4"/>
        <v/>
      </c>
      <c r="O26" s="1342"/>
      <c r="P26" s="1343"/>
      <c r="Q26" s="464"/>
      <c r="R26" s="464"/>
      <c r="S26" s="464"/>
      <c r="T26" s="464"/>
      <c r="U26" s="464"/>
      <c r="V26" s="464"/>
      <c r="W26" s="464"/>
      <c r="X26" s="464"/>
      <c r="Y26" s="464"/>
      <c r="Z26" s="464"/>
    </row>
    <row r="27">
      <c r="A27" s="464"/>
      <c r="B27" s="1334"/>
      <c r="C27" s="1344"/>
      <c r="D27" s="1334"/>
      <c r="E27" s="1345"/>
      <c r="F27" s="464"/>
      <c r="G27" s="1338" t="str">
        <f>if(D27="","",(C27+D27)/2)</f>
        <v/>
      </c>
      <c r="H27" s="1338"/>
      <c r="I27" s="1338"/>
      <c r="J27" s="1339"/>
      <c r="K27" s="1340"/>
      <c r="L27" s="1334"/>
      <c r="M27" s="1341" t="str">
        <f>IFERROR(__xludf.DUMMYFUNCTION("IF(
  AND(B27="""",C27="""",D27="""",E27=""""),
  """",
  IF(
    AND(B27&lt;&gt;"""",D27=""""),
    ""Please input peak length"",
    IF(
      AND(D27&lt;&gt;"""",B27=""""),
      ""Please input increment"",
      IF(
        E27&gt;1,
        IF(
          G27="""",
"&amp;"          JOIN("" lengths @ "",E27,J27),
          JOIN("" variable lengths @ average span of "",E27,H27)
        ),
        IF(
          G27="""",
          JOIN("" length @ "",E27,J27),
          JOIN("" variable length @ average span of "",E27,H27)
  "&amp;"      )
      )
    )
  )
)"),"")</f>
        <v/>
      </c>
      <c r="N27" s="1341" t="str">
        <f t="shared" si="4"/>
        <v/>
      </c>
      <c r="O27" s="1342"/>
      <c r="P27" s="1343"/>
      <c r="Q27" s="464"/>
      <c r="R27" s="464"/>
      <c r="S27" s="464"/>
      <c r="T27" s="464"/>
      <c r="U27" s="464"/>
      <c r="V27" s="464"/>
      <c r="W27" s="464"/>
      <c r="X27" s="464"/>
      <c r="Y27" s="464"/>
      <c r="Z27" s="464"/>
    </row>
    <row r="28">
      <c r="A28" s="1254"/>
      <c r="B28" s="1263"/>
      <c r="C28" s="1317"/>
      <c r="D28" s="1263"/>
      <c r="E28" s="1318"/>
      <c r="F28" s="1254"/>
      <c r="G28" s="1319"/>
      <c r="H28" s="1254"/>
      <c r="I28" s="1254"/>
      <c r="J28" s="1254"/>
      <c r="K28" s="1320"/>
      <c r="L28" s="1254"/>
      <c r="M28" s="1254"/>
      <c r="N28" s="1254"/>
      <c r="O28" s="1254"/>
      <c r="P28" s="1254"/>
      <c r="Q28" s="1254"/>
      <c r="R28" s="1254"/>
      <c r="S28" s="1254"/>
      <c r="T28" s="1254"/>
      <c r="U28" s="1254"/>
      <c r="V28" s="1254"/>
      <c r="W28" s="1254"/>
      <c r="X28" s="1254"/>
      <c r="Y28" s="1254"/>
      <c r="Z28" s="1254"/>
    </row>
    <row r="29">
      <c r="A29" s="1230"/>
      <c r="B29" s="1230"/>
      <c r="C29" s="1317"/>
      <c r="D29" s="1230"/>
      <c r="E29" s="1318"/>
      <c r="F29" s="1254"/>
      <c r="G29" s="1234"/>
      <c r="H29" s="1254"/>
      <c r="I29" s="1254"/>
      <c r="J29" s="1254"/>
      <c r="K29" s="1320"/>
      <c r="L29" s="1321" t="s">
        <v>206</v>
      </c>
      <c r="M29" s="1263"/>
      <c r="N29" s="1263"/>
      <c r="O29" s="1254"/>
      <c r="P29" s="1254"/>
      <c r="Q29" s="1254"/>
      <c r="R29" s="1254"/>
      <c r="S29" s="1254"/>
      <c r="T29" s="1254"/>
      <c r="U29" s="1254"/>
      <c r="V29" s="1254"/>
      <c r="W29" s="1254"/>
      <c r="X29" s="1254"/>
      <c r="Y29" s="1254"/>
      <c r="Z29" s="1254"/>
    </row>
    <row r="30">
      <c r="A30" s="1230"/>
      <c r="B30" s="1230"/>
      <c r="C30" s="1317"/>
      <c r="D30" s="1230"/>
      <c r="E30" s="1318"/>
      <c r="F30" s="1254"/>
      <c r="G30" s="1234"/>
      <c r="H30" s="1254"/>
      <c r="I30" s="1254"/>
      <c r="J30" s="1254"/>
      <c r="K30" s="1346" t="s">
        <v>856</v>
      </c>
      <c r="L30" s="1347" t="s">
        <v>7</v>
      </c>
      <c r="M30" s="1329" t="s">
        <v>18</v>
      </c>
      <c r="N30" s="1329" t="s">
        <v>15</v>
      </c>
      <c r="O30" s="1254"/>
      <c r="P30" s="1254"/>
      <c r="Q30" s="1254"/>
      <c r="R30" s="1254"/>
      <c r="S30" s="1254"/>
      <c r="T30" s="1254"/>
      <c r="U30" s="1254"/>
      <c r="V30" s="1254"/>
      <c r="W30" s="1254"/>
      <c r="X30" s="1254"/>
      <c r="Y30" s="1254"/>
      <c r="Z30" s="1254"/>
    </row>
    <row r="31">
      <c r="A31" s="1230"/>
      <c r="B31" s="1230"/>
      <c r="C31" s="1317"/>
      <c r="D31" s="1230"/>
      <c r="E31" s="1318"/>
      <c r="F31" s="1254"/>
      <c r="G31" s="1234"/>
      <c r="H31" s="1254"/>
      <c r="I31" s="1254"/>
      <c r="J31" s="1254"/>
      <c r="K31" s="1348" t="str">
        <f>IFERROR(__xludf.DUMMYFUNCTION("UNIQUE(
  FILTER(
    {Pricing!B13:B182, Pricing!C13:C182},
    Pricing!A13:A182=""Ma""
  )
)"),"")</f>
        <v/>
      </c>
      <c r="L31" s="1334" t="str">
        <f>IFERROR(__xludf.DUMMYFUNCTION("""COMPUTED_VALUE"""),"Thermakraft 'Covertek 405'")</f>
        <v>Thermakraft 'Covertek 405'</v>
      </c>
      <c r="M31" s="1349" t="str">
        <f t="array" ref="M31:M38">IF(
    K31:K38="",
    "",
    IF(
      SUMIF(
        Pricing!$B$15:$B$182&amp;"♦"&amp;Pricing!$C$15:$C$182,
        K31:K38&amp;"♦"&amp;L31:L38,
        Pricing!$Q$15:$Q$182
      )=0,
      "",
      ROUND(
        SUMIF(
          Pricing!$B$15:$B$182&amp;"♦"&amp;Pricing!$C$15:$C$182,
          K31:K38&amp;"♦"&amp;L31:L38,
          Pricing!$Q$15:$Q$182
        ),
        2
      )
    )
  )</f>
        <v/>
      </c>
      <c r="N31" s="1350" t="str">
        <f t="array" ref="N31:N38">IF(K31:K38="",
     ,
     IFERROR(
       VLOOKUP(K31:K38, Pricing!$B$15:$M$182, 10, 0)
     ,"")
  )</f>
        <v/>
      </c>
      <c r="O31" s="1254"/>
      <c r="P31" s="1254"/>
      <c r="Q31" s="1254"/>
      <c r="R31" s="1254"/>
      <c r="S31" s="1254"/>
      <c r="T31" s="1254"/>
      <c r="U31" s="1254"/>
      <c r="V31" s="1254"/>
      <c r="W31" s="1254"/>
      <c r="X31" s="1254"/>
      <c r="Y31" s="1254"/>
      <c r="Z31" s="1254"/>
    </row>
    <row r="32">
      <c r="A32" s="1230"/>
      <c r="B32" s="1230"/>
      <c r="C32" s="1317"/>
      <c r="D32" s="1230"/>
      <c r="E32" s="1318"/>
      <c r="F32" s="1254"/>
      <c r="G32" s="1234"/>
      <c r="H32" s="1254"/>
      <c r="I32" s="1254"/>
      <c r="J32" s="1254"/>
      <c r="K32" s="1348"/>
      <c r="L32" s="1334" t="str">
        <f>IFERROR(__xludf.DUMMYFUNCTION("""COMPUTED_VALUE"""),"White General Purpose Tape (60 mm × 66 m)")</f>
        <v>White General Purpose Tape (60 mm × 66 m)</v>
      </c>
      <c r="M32" s="1349" t="s">
        <v>42</v>
      </c>
      <c r="N32" s="1350"/>
      <c r="O32" s="1254"/>
      <c r="P32" s="1254"/>
      <c r="Q32" s="1254"/>
      <c r="R32" s="1254"/>
      <c r="S32" s="1254"/>
      <c r="T32" s="1254"/>
      <c r="U32" s="1254"/>
      <c r="V32" s="1254"/>
      <c r="W32" s="1254"/>
      <c r="X32" s="1254"/>
      <c r="Y32" s="1254"/>
      <c r="Z32" s="1254"/>
    </row>
    <row r="33">
      <c r="A33" s="1230"/>
      <c r="B33" s="1230"/>
      <c r="C33" s="1317"/>
      <c r="D33" s="1230"/>
      <c r="E33" s="1318"/>
      <c r="F33" s="1254"/>
      <c r="G33" s="1234"/>
      <c r="H33" s="1254"/>
      <c r="I33" s="1254"/>
      <c r="J33" s="1254"/>
      <c r="K33" s="1348"/>
      <c r="L33" s="1334" t="str">
        <f>IFERROR(__xludf.DUMMYFUNCTION("""COMPUTED_VALUE"""),"Safety Mesh")</f>
        <v>Safety Mesh</v>
      </c>
      <c r="M33" s="1349" t="s">
        <v>42</v>
      </c>
      <c r="N33" s="1350"/>
      <c r="O33" s="1254"/>
      <c r="P33" s="1254"/>
      <c r="Q33" s="1254"/>
      <c r="R33" s="1254"/>
      <c r="S33" s="1254"/>
      <c r="T33" s="1254"/>
      <c r="U33" s="1254"/>
      <c r="V33" s="1254"/>
      <c r="W33" s="1254"/>
      <c r="X33" s="1254"/>
      <c r="Y33" s="1254"/>
      <c r="Z33" s="1254"/>
    </row>
    <row r="34">
      <c r="A34" s="1230"/>
      <c r="B34" s="1230"/>
      <c r="C34" s="1317"/>
      <c r="D34" s="1230"/>
      <c r="E34" s="1318"/>
      <c r="F34" s="1254"/>
      <c r="G34" s="1234"/>
      <c r="H34" s="1254"/>
      <c r="I34" s="1254"/>
      <c r="J34" s="1254"/>
      <c r="K34" s="1348"/>
      <c r="L34" s="1334"/>
      <c r="M34" s="1349" t="s">
        <v>42</v>
      </c>
      <c r="N34" s="1350"/>
      <c r="O34" s="1254"/>
      <c r="P34" s="1254"/>
      <c r="Q34" s="1254"/>
      <c r="R34" s="1254"/>
      <c r="S34" s="1254"/>
      <c r="T34" s="1254"/>
      <c r="U34" s="1254"/>
      <c r="V34" s="1254"/>
      <c r="W34" s="1254"/>
      <c r="X34" s="1254"/>
      <c r="Y34" s="1254"/>
      <c r="Z34" s="1254"/>
    </row>
    <row r="35">
      <c r="A35" s="1230"/>
      <c r="B35" s="1230"/>
      <c r="C35" s="1317"/>
      <c r="D35" s="1230"/>
      <c r="E35" s="1318"/>
      <c r="F35" s="1254"/>
      <c r="G35" s="1234"/>
      <c r="H35" s="1254"/>
      <c r="I35" s="1254"/>
      <c r="J35" s="1254"/>
      <c r="K35" s="1348"/>
      <c r="L35" s="1334"/>
      <c r="M35" s="1349" t="s">
        <v>42</v>
      </c>
      <c r="N35" s="1350"/>
      <c r="O35" s="1254"/>
      <c r="P35" s="1254"/>
      <c r="Q35" s="1254"/>
      <c r="R35" s="1254"/>
      <c r="S35" s="1254"/>
      <c r="T35" s="1254"/>
      <c r="U35" s="1254"/>
      <c r="V35" s="1254"/>
      <c r="W35" s="1254"/>
      <c r="X35" s="1254"/>
      <c r="Y35" s="1254"/>
      <c r="Z35" s="1254"/>
    </row>
    <row r="36">
      <c r="A36" s="1230"/>
      <c r="B36" s="1230"/>
      <c r="C36" s="1317"/>
      <c r="D36" s="1230"/>
      <c r="E36" s="1318"/>
      <c r="F36" s="1254"/>
      <c r="G36" s="1234"/>
      <c r="H36" s="1254"/>
      <c r="I36" s="1254"/>
      <c r="J36" s="1254"/>
      <c r="K36" s="1348"/>
      <c r="L36" s="1334"/>
      <c r="M36" s="1349" t="s">
        <v>42</v>
      </c>
      <c r="N36" s="1350"/>
      <c r="O36" s="1254"/>
      <c r="P36" s="1254"/>
      <c r="Q36" s="1254"/>
      <c r="R36" s="1254"/>
      <c r="S36" s="1254"/>
      <c r="T36" s="1254"/>
      <c r="U36" s="1254"/>
      <c r="V36" s="1254"/>
      <c r="W36" s="1254"/>
      <c r="X36" s="1254"/>
      <c r="Y36" s="1254"/>
      <c r="Z36" s="1254"/>
    </row>
    <row r="37">
      <c r="A37" s="1230"/>
      <c r="B37" s="1230"/>
      <c r="C37" s="1317"/>
      <c r="D37" s="1230"/>
      <c r="E37" s="1318"/>
      <c r="F37" s="1254"/>
      <c r="G37" s="1234"/>
      <c r="H37" s="1254"/>
      <c r="I37" s="1254"/>
      <c r="J37" s="1254"/>
      <c r="K37" s="1348"/>
      <c r="L37" s="1334"/>
      <c r="M37" s="1349" t="s">
        <v>42</v>
      </c>
      <c r="N37" s="1350"/>
      <c r="O37" s="1254"/>
      <c r="P37" s="1254"/>
      <c r="Q37" s="1254"/>
      <c r="R37" s="1254"/>
      <c r="S37" s="1254"/>
      <c r="T37" s="1254"/>
      <c r="U37" s="1254"/>
      <c r="V37" s="1254"/>
      <c r="W37" s="1254"/>
      <c r="X37" s="1254"/>
      <c r="Y37" s="1254"/>
      <c r="Z37" s="1254"/>
    </row>
    <row r="38">
      <c r="A38" s="1230"/>
      <c r="B38" s="1230"/>
      <c r="C38" s="1317"/>
      <c r="D38" s="1230"/>
      <c r="E38" s="1318"/>
      <c r="F38" s="1254"/>
      <c r="G38" s="1234"/>
      <c r="H38" s="1254"/>
      <c r="I38" s="1254"/>
      <c r="J38" s="1254"/>
      <c r="K38" s="1348"/>
      <c r="L38" s="1334"/>
      <c r="M38" s="1349" t="s">
        <v>42</v>
      </c>
      <c r="N38" s="1350"/>
      <c r="O38" s="1254"/>
      <c r="P38" s="1254"/>
      <c r="Q38" s="1254"/>
      <c r="R38" s="1254"/>
      <c r="S38" s="1254"/>
      <c r="T38" s="1254"/>
      <c r="U38" s="1254"/>
      <c r="V38" s="1254"/>
      <c r="W38" s="1254"/>
      <c r="X38" s="1254"/>
      <c r="Y38" s="1254"/>
      <c r="Z38" s="1254"/>
    </row>
    <row r="39">
      <c r="A39" s="1230"/>
      <c r="B39" s="1230"/>
      <c r="C39" s="1317"/>
      <c r="D39" s="1230"/>
      <c r="E39" s="1318"/>
      <c r="F39" s="464"/>
      <c r="G39" s="1234"/>
      <c r="H39" s="464"/>
      <c r="I39" s="464"/>
      <c r="J39" s="464"/>
      <c r="K39" s="1351"/>
      <c r="L39" s="1321" t="s">
        <v>947</v>
      </c>
      <c r="M39" s="1263"/>
      <c r="N39" s="1263"/>
      <c r="O39" s="464"/>
      <c r="P39" s="464"/>
      <c r="Q39" s="464"/>
      <c r="R39" s="464"/>
      <c r="S39" s="464"/>
      <c r="T39" s="464"/>
      <c r="U39" s="464"/>
      <c r="V39" s="464"/>
      <c r="W39" s="464"/>
      <c r="X39" s="464"/>
      <c r="Y39" s="464"/>
      <c r="Z39" s="464"/>
    </row>
    <row r="40">
      <c r="A40" s="1230"/>
      <c r="B40" s="1230"/>
      <c r="C40" s="1317"/>
      <c r="D40" s="1230"/>
      <c r="E40" s="1318"/>
      <c r="F40" s="464"/>
      <c r="G40" s="1234"/>
      <c r="H40" s="464"/>
      <c r="I40" s="464"/>
      <c r="J40" s="464"/>
      <c r="K40" s="1346" t="s">
        <v>856</v>
      </c>
      <c r="L40" s="1347" t="s">
        <v>7</v>
      </c>
      <c r="M40" s="1329" t="s">
        <v>18</v>
      </c>
      <c r="N40" s="1329" t="s">
        <v>15</v>
      </c>
      <c r="O40" s="464"/>
      <c r="P40" s="464"/>
      <c r="Q40" s="464"/>
      <c r="R40" s="464"/>
      <c r="S40" s="464"/>
      <c r="T40" s="464"/>
      <c r="U40" s="464"/>
      <c r="V40" s="464"/>
      <c r="W40" s="464"/>
      <c r="X40" s="464"/>
      <c r="Y40" s="464"/>
      <c r="Z40" s="464"/>
    </row>
    <row r="41">
      <c r="A41" s="1230"/>
      <c r="B41" s="1230"/>
      <c r="C41" s="1317"/>
      <c r="D41" s="1230"/>
      <c r="E41" s="1318"/>
      <c r="F41" s="1254"/>
      <c r="G41" s="1234"/>
      <c r="H41" s="1254"/>
      <c r="I41" s="1254"/>
      <c r="J41" s="1254"/>
      <c r="K41" s="1348" t="str">
        <f>IFERROR(__xludf.DUMMYFUNCTION("UNIQUE(
  FILTER(
    {Pricing!B13:B182, Pricing!C13:C182},
    Pricing!A13:A182=""Fl""
  )
)"),"")</f>
        <v/>
      </c>
      <c r="L41" s="1334" t="str">
        <f>IFERROR(__xludf.DUMMYFUNCTION("""COMPUTED_VALUE"""),"0.55mm BMT ridge cap flashing (670/3B)")</f>
        <v>0.55mm BMT ridge cap flashing (670/3B)</v>
      </c>
      <c r="M41" s="1349" t="str">
        <f t="array" ref="M41:M55">IF(
    K41:K55="",
    "",
    IF(
      SUMIF(
        Pricing!$B$15:$B$182&amp;"♦"&amp;Pricing!$C$15:$C$182,
        K41:K55&amp;"♦"&amp;L41:L55,
        Pricing!$Q$15:$Q$182
      )=0,
      "",
      ROUND(
        SUMIF(
          Pricing!$B$15:$B$182&amp;"♦"&amp;Pricing!$C$15:$C$182,
          K41:K55&amp;"♦"&amp;L41:L55,
          Pricing!$Q$15:$Q$182
        ),
        2
      )
    )
  )</f>
        <v/>
      </c>
      <c r="N41" s="1350" t="str">
        <f t="array" ref="N41:N56">IF(K41:K56="",
     ,
     IFERROR(
       VLOOKUP(K41:K56, Pricing!$B$15:$M$182, 10, 0)
     ,"")
  )</f>
        <v/>
      </c>
      <c r="O41" s="1254"/>
      <c r="P41" s="1254"/>
      <c r="Q41" s="1254"/>
      <c r="R41" s="1254"/>
      <c r="S41" s="1254"/>
      <c r="T41" s="1254"/>
      <c r="U41" s="1254"/>
      <c r="V41" s="1254"/>
      <c r="W41" s="1254"/>
      <c r="X41" s="1254"/>
      <c r="Y41" s="1254"/>
      <c r="Z41" s="1254"/>
    </row>
    <row r="42">
      <c r="A42" s="1230"/>
      <c r="B42" s="1230"/>
      <c r="C42" s="1317"/>
      <c r="D42" s="1230"/>
      <c r="E42" s="1318"/>
      <c r="F42" s="1254"/>
      <c r="G42" s="1234"/>
      <c r="H42" s="1254"/>
      <c r="I42" s="1254"/>
      <c r="J42" s="1254"/>
      <c r="K42" s="1348"/>
      <c r="L42" s="1334" t="str">
        <f>IFERROR(__xludf.DUMMYFUNCTION("""COMPUTED_VALUE"""),"0.55mm BMT hip cap flashing (670/3B)")</f>
        <v>0.55mm BMT hip cap flashing (670/3B)</v>
      </c>
      <c r="M42" s="1349" t="s">
        <v>42</v>
      </c>
      <c r="N42" s="1350"/>
      <c r="O42" s="1254"/>
      <c r="P42" s="1254"/>
      <c r="Q42" s="1254"/>
      <c r="R42" s="1254"/>
      <c r="S42" s="1254"/>
      <c r="T42" s="1254"/>
      <c r="U42" s="1254"/>
      <c r="V42" s="1254"/>
      <c r="W42" s="1254"/>
      <c r="X42" s="1254"/>
      <c r="Y42" s="1254"/>
      <c r="Z42" s="1254"/>
    </row>
    <row r="43">
      <c r="A43" s="1230"/>
      <c r="B43" s="1230"/>
      <c r="C43" s="1317"/>
      <c r="D43" s="1230"/>
      <c r="E43" s="1318"/>
      <c r="F43" s="1254"/>
      <c r="G43" s="1234"/>
      <c r="H43" s="1254"/>
      <c r="I43" s="1254"/>
      <c r="J43" s="1254"/>
      <c r="K43" s="1348"/>
      <c r="L43" s="1334" t="str">
        <f>IFERROR(__xludf.DUMMYFUNCTION("""COMPUTED_VALUE"""),"0.55mm BMT head apron flashing (390/3B)")</f>
        <v>0.55mm BMT head apron flashing (390/3B)</v>
      </c>
      <c r="M43" s="1349" t="s">
        <v>42</v>
      </c>
      <c r="N43" s="1350"/>
      <c r="O43" s="1254"/>
      <c r="P43" s="1254"/>
      <c r="Q43" s="1254"/>
      <c r="R43" s="1254"/>
      <c r="S43" s="1254"/>
      <c r="T43" s="1254"/>
      <c r="U43" s="1254"/>
      <c r="V43" s="1254"/>
      <c r="W43" s="1254"/>
      <c r="X43" s="1254"/>
      <c r="Y43" s="1254"/>
      <c r="Z43" s="1254"/>
    </row>
    <row r="44">
      <c r="A44" s="1230"/>
      <c r="B44" s="1230"/>
      <c r="C44" s="1317"/>
      <c r="D44" s="1230"/>
      <c r="E44" s="1318"/>
      <c r="F44" s="1254"/>
      <c r="G44" s="1234"/>
      <c r="H44" s="1254"/>
      <c r="I44" s="1254"/>
      <c r="J44" s="1254"/>
      <c r="K44" s="1348"/>
      <c r="L44" s="1334" t="str">
        <f>IFERROR(__xludf.DUMMYFUNCTION("""COMPUTED_VALUE"""),"0.55mm BMT side apron flashing (370/3B)")</f>
        <v>0.55mm BMT side apron flashing (370/3B)</v>
      </c>
      <c r="M44" s="1349" t="s">
        <v>42</v>
      </c>
      <c r="N44" s="1350"/>
      <c r="O44" s="1254"/>
      <c r="P44" s="1254"/>
      <c r="Q44" s="1254"/>
      <c r="R44" s="1254"/>
      <c r="S44" s="1254"/>
      <c r="T44" s="1254"/>
      <c r="U44" s="1254"/>
      <c r="V44" s="1254"/>
      <c r="W44" s="1254"/>
      <c r="X44" s="1254"/>
      <c r="Y44" s="1254"/>
      <c r="Z44" s="1254"/>
    </row>
    <row r="45">
      <c r="A45" s="1230"/>
      <c r="B45" s="1230"/>
      <c r="C45" s="1317"/>
      <c r="D45" s="1230"/>
      <c r="E45" s="1318"/>
      <c r="F45" s="1254"/>
      <c r="G45" s="1234"/>
      <c r="H45" s="1254"/>
      <c r="I45" s="1254"/>
      <c r="J45" s="1254"/>
      <c r="K45" s="1348"/>
      <c r="L45" s="1334" t="str">
        <f>IFERROR(__xludf.DUMMYFUNCTION("""COMPUTED_VALUE"""),"0.55mm BMT side barge flashing (500/3B)")</f>
        <v>0.55mm BMT side barge flashing (500/3B)</v>
      </c>
      <c r="M45" s="1349" t="s">
        <v>42</v>
      </c>
      <c r="N45" s="1350"/>
      <c r="O45" s="1254"/>
      <c r="P45" s="1254"/>
      <c r="Q45" s="1254"/>
      <c r="R45" s="1254"/>
      <c r="S45" s="1254"/>
      <c r="T45" s="1254"/>
      <c r="U45" s="1254"/>
      <c r="V45" s="1254"/>
      <c r="W45" s="1254"/>
      <c r="X45" s="1254"/>
      <c r="Y45" s="1254"/>
      <c r="Z45" s="1254"/>
    </row>
    <row r="46">
      <c r="A46" s="1230"/>
      <c r="B46" s="1230"/>
      <c r="C46" s="1317"/>
      <c r="D46" s="1230"/>
      <c r="E46" s="1318"/>
      <c r="F46" s="1254"/>
      <c r="G46" s="1234"/>
      <c r="H46" s="1254"/>
      <c r="I46" s="1254"/>
      <c r="J46" s="1254"/>
      <c r="K46" s="1348"/>
      <c r="L46" s="1334" t="str">
        <f>IFERROR(__xludf.DUMMYFUNCTION("""COMPUTED_VALUE"""),"0.55mm BMT bracket flashing (500/3B)")</f>
        <v>0.55mm BMT bracket flashing (500/3B)</v>
      </c>
      <c r="M46" s="1349" t="s">
        <v>42</v>
      </c>
      <c r="N46" s="1350"/>
      <c r="O46" s="1254"/>
      <c r="P46" s="1254"/>
      <c r="Q46" s="1254"/>
      <c r="R46" s="1254"/>
      <c r="S46" s="1254"/>
      <c r="T46" s="1254"/>
      <c r="U46" s="1254"/>
      <c r="V46" s="1254"/>
      <c r="W46" s="1254"/>
      <c r="X46" s="1254"/>
      <c r="Y46" s="1254"/>
      <c r="Z46" s="1254"/>
    </row>
    <row r="47">
      <c r="A47" s="1230"/>
      <c r="B47" s="1230"/>
      <c r="C47" s="1317"/>
      <c r="D47" s="1230"/>
      <c r="E47" s="1318"/>
      <c r="F47" s="1254"/>
      <c r="G47" s="1234"/>
      <c r="H47" s="1254"/>
      <c r="I47" s="1254"/>
      <c r="J47" s="1254"/>
      <c r="K47" s="1348"/>
      <c r="L47" s="1334" t="str">
        <f>IFERROR(__xludf.DUMMYFUNCTION("""COMPUTED_VALUE"""),"0.55mm BMT valley flashing (380/5B)")</f>
        <v>0.55mm BMT valley flashing (380/5B)</v>
      </c>
      <c r="M47" s="1349" t="s">
        <v>42</v>
      </c>
      <c r="N47" s="1350"/>
      <c r="O47" s="1254"/>
      <c r="P47" s="1254"/>
      <c r="Q47" s="1254"/>
      <c r="R47" s="1254"/>
      <c r="S47" s="1254"/>
      <c r="T47" s="1254"/>
      <c r="U47" s="1254"/>
      <c r="V47" s="1254"/>
      <c r="W47" s="1254"/>
      <c r="X47" s="1254"/>
      <c r="Y47" s="1254"/>
      <c r="Z47" s="1254"/>
    </row>
    <row r="48">
      <c r="A48" s="1230"/>
      <c r="B48" s="1230"/>
      <c r="C48" s="1317"/>
      <c r="D48" s="1230"/>
      <c r="E48" s="1318"/>
      <c r="F48" s="1254"/>
      <c r="G48" s="1234"/>
      <c r="H48" s="1254"/>
      <c r="I48" s="1254"/>
      <c r="J48" s="1254"/>
      <c r="K48" s="1348"/>
      <c r="L48" s="1334" t="str">
        <f>IFERROR(__xludf.DUMMYFUNCTION("""COMPUTED_VALUE"""),"0.55mm BMT eaves flashing (210/1B)")</f>
        <v>0.55mm BMT eaves flashing (210/1B)</v>
      </c>
      <c r="M48" s="1349" t="s">
        <v>42</v>
      </c>
      <c r="N48" s="1350"/>
      <c r="O48" s="1254"/>
      <c r="P48" s="1254"/>
      <c r="Q48" s="1254"/>
      <c r="R48" s="1254"/>
      <c r="S48" s="1254"/>
      <c r="T48" s="1254"/>
      <c r="U48" s="1254"/>
      <c r="V48" s="1254"/>
      <c r="W48" s="1254"/>
      <c r="X48" s="1254"/>
      <c r="Y48" s="1254"/>
      <c r="Z48" s="1254"/>
    </row>
    <row r="49">
      <c r="A49" s="1230"/>
      <c r="B49" s="1230"/>
      <c r="C49" s="1317"/>
      <c r="D49" s="1230"/>
      <c r="E49" s="1318"/>
      <c r="F49" s="1254"/>
      <c r="G49" s="1234"/>
      <c r="H49" s="1254"/>
      <c r="I49" s="1254"/>
      <c r="J49" s="1254"/>
      <c r="K49" s="1348"/>
      <c r="L49" s="1334" t="str">
        <f>IFERROR(__xludf.DUMMYFUNCTION("""COMPUTED_VALUE"""),"0.55mm BMT backtray flashing (1200/2B)")</f>
        <v>0.55mm BMT backtray flashing (1200/2B)</v>
      </c>
      <c r="M49" s="1349" t="s">
        <v>42</v>
      </c>
      <c r="N49" s="1350"/>
      <c r="O49" s="1254"/>
      <c r="P49" s="1254"/>
      <c r="Q49" s="1254"/>
      <c r="R49" s="1254"/>
      <c r="S49" s="1254"/>
      <c r="T49" s="1254"/>
      <c r="U49" s="1254"/>
      <c r="V49" s="1254"/>
      <c r="W49" s="1254"/>
      <c r="X49" s="1254"/>
      <c r="Y49" s="1254"/>
      <c r="Z49" s="1254"/>
    </row>
    <row r="50">
      <c r="A50" s="1230"/>
      <c r="B50" s="1230"/>
      <c r="C50" s="1317"/>
      <c r="D50" s="1230"/>
      <c r="E50" s="1318"/>
      <c r="F50" s="1254"/>
      <c r="G50" s="1234"/>
      <c r="H50" s="1254"/>
      <c r="I50" s="1254"/>
      <c r="J50" s="1254"/>
      <c r="K50" s="1348"/>
      <c r="L50" s="1334" t="str">
        <f>IFERROR(__xludf.DUMMYFUNCTION("""COMPUTED_VALUE"""),"0.55mm BMT backtray flashing (700/2B)")</f>
        <v>0.55mm BMT backtray flashing (700/2B)</v>
      </c>
      <c r="M50" s="1349" t="s">
        <v>42</v>
      </c>
      <c r="N50" s="1350"/>
      <c r="O50" s="1254"/>
      <c r="P50" s="1254"/>
      <c r="Q50" s="1254"/>
      <c r="R50" s="1254"/>
      <c r="S50" s="1254"/>
      <c r="T50" s="1254"/>
      <c r="U50" s="1254"/>
      <c r="V50" s="1254"/>
      <c r="W50" s="1254"/>
      <c r="X50" s="1254"/>
      <c r="Y50" s="1254"/>
      <c r="Z50" s="1254"/>
    </row>
    <row r="51">
      <c r="A51" s="1230"/>
      <c r="B51" s="1230"/>
      <c r="C51" s="1317"/>
      <c r="D51" s="1230"/>
      <c r="E51" s="1318"/>
      <c r="F51" s="1254"/>
      <c r="G51" s="1234"/>
      <c r="H51" s="1254"/>
      <c r="I51" s="1254"/>
      <c r="J51" s="1254"/>
      <c r="K51" s="1348"/>
      <c r="L51" s="1334" t="str">
        <f>IFERROR(__xludf.DUMMYFUNCTION("""COMPUTED_VALUE"""),"0.55mm BMT backtray flashing (930/2B)")</f>
        <v>0.55mm BMT backtray flashing (930/2B)</v>
      </c>
      <c r="M51" s="1349" t="s">
        <v>42</v>
      </c>
      <c r="N51" s="1350"/>
      <c r="O51" s="1254"/>
      <c r="P51" s="1254"/>
      <c r="Q51" s="1254"/>
      <c r="R51" s="1254"/>
      <c r="S51" s="1254"/>
      <c r="T51" s="1254"/>
      <c r="U51" s="1254"/>
      <c r="V51" s="1254"/>
      <c r="W51" s="1254"/>
      <c r="X51" s="1254"/>
      <c r="Y51" s="1254"/>
      <c r="Z51" s="1254"/>
    </row>
    <row r="52">
      <c r="A52" s="1230"/>
      <c r="B52" s="1230"/>
      <c r="C52" s="1317"/>
      <c r="D52" s="1230"/>
      <c r="E52" s="1318"/>
      <c r="F52" s="1254"/>
      <c r="G52" s="1234"/>
      <c r="H52" s="1254"/>
      <c r="I52" s="1254"/>
      <c r="J52" s="1254"/>
      <c r="K52" s="1348"/>
      <c r="L52" s="1334" t="str">
        <f>IFERROR(__xludf.DUMMYFUNCTION("""COMPUTED_VALUE"""),"1.6mm BMT powder coated welded flashing (510/6B)")</f>
        <v>1.6mm BMT powder coated welded flashing (510/6B)</v>
      </c>
      <c r="M52" s="1349" t="s">
        <v>42</v>
      </c>
      <c r="N52" s="1350"/>
      <c r="O52" s="1254"/>
      <c r="P52" s="1254"/>
      <c r="Q52" s="1254"/>
      <c r="R52" s="1254"/>
      <c r="S52" s="1254"/>
      <c r="T52" s="1254"/>
      <c r="U52" s="1254"/>
      <c r="V52" s="1254"/>
      <c r="W52" s="1254"/>
      <c r="X52" s="1254"/>
      <c r="Y52" s="1254"/>
      <c r="Z52" s="1254"/>
    </row>
    <row r="53">
      <c r="A53" s="1230"/>
      <c r="B53" s="1230"/>
      <c r="C53" s="1317"/>
      <c r="D53" s="1230"/>
      <c r="E53" s="1318"/>
      <c r="F53" s="1254"/>
      <c r="G53" s="1234"/>
      <c r="H53" s="1254"/>
      <c r="I53" s="1254"/>
      <c r="J53" s="1254"/>
      <c r="K53" s="1348"/>
      <c r="L53" s="1334" t="str">
        <f>IFERROR(__xludf.DUMMYFUNCTION("""COMPUTED_VALUE"""),"Powder Coating")</f>
        <v>Powder Coating</v>
      </c>
      <c r="M53" s="1349" t="s">
        <v>42</v>
      </c>
      <c r="N53" s="1350"/>
      <c r="O53" s="1254"/>
      <c r="P53" s="1254"/>
      <c r="Q53" s="1254"/>
      <c r="R53" s="1254"/>
      <c r="S53" s="1254"/>
      <c r="T53" s="1254"/>
      <c r="U53" s="1254"/>
      <c r="V53" s="1254"/>
      <c r="W53" s="1254"/>
      <c r="X53" s="1254"/>
      <c r="Y53" s="1254"/>
      <c r="Z53" s="1254"/>
    </row>
    <row r="54">
      <c r="A54" s="1230"/>
      <c r="B54" s="1230"/>
      <c r="C54" s="1317"/>
      <c r="D54" s="1230"/>
      <c r="E54" s="1318"/>
      <c r="F54" s="1254"/>
      <c r="G54" s="1234"/>
      <c r="H54" s="1254"/>
      <c r="I54" s="1254"/>
      <c r="J54" s="1254"/>
      <c r="K54" s="1348"/>
      <c r="L54" s="1334" t="str">
        <f>IFERROR(__xludf.DUMMYFUNCTION("""COMPUTED_VALUE"""),"1.6mm BMT powder coated welded flashing (460/4B)")</f>
        <v>1.6mm BMT powder coated welded flashing (460/4B)</v>
      </c>
      <c r="M54" s="1349" t="s">
        <v>42</v>
      </c>
      <c r="N54" s="1350"/>
      <c r="O54" s="1254"/>
      <c r="P54" s="1254"/>
      <c r="Q54" s="1254"/>
      <c r="R54" s="1254"/>
      <c r="S54" s="1254"/>
      <c r="T54" s="1254"/>
      <c r="U54" s="1254"/>
      <c r="V54" s="1254"/>
      <c r="W54" s="1254"/>
      <c r="X54" s="1254"/>
      <c r="Y54" s="1254"/>
      <c r="Z54" s="1254"/>
    </row>
    <row r="55">
      <c r="A55" s="1230"/>
      <c r="B55" s="1230"/>
      <c r="C55" s="1317"/>
      <c r="D55" s="1230"/>
      <c r="E55" s="1318"/>
      <c r="F55" s="1254"/>
      <c r="G55" s="1234"/>
      <c r="H55" s="1254"/>
      <c r="I55" s="1254"/>
      <c r="J55" s="1254"/>
      <c r="K55" s="1348"/>
      <c r="L55" s="1334"/>
      <c r="M55" s="1349" t="s">
        <v>42</v>
      </c>
      <c r="N55" s="1350"/>
      <c r="O55" s="1254"/>
      <c r="P55" s="1254"/>
      <c r="Q55" s="1254"/>
      <c r="R55" s="1254"/>
      <c r="S55" s="1254"/>
      <c r="T55" s="1254"/>
      <c r="U55" s="1254"/>
      <c r="V55" s="1254"/>
      <c r="W55" s="1254"/>
      <c r="X55" s="1254"/>
      <c r="Y55" s="1254"/>
      <c r="Z55" s="1254"/>
    </row>
    <row r="56">
      <c r="A56" s="1230"/>
      <c r="B56" s="1230"/>
      <c r="C56" s="1317"/>
      <c r="D56" s="1230"/>
      <c r="E56" s="1318"/>
      <c r="F56" s="1254"/>
      <c r="G56" s="1234"/>
      <c r="H56" s="1254"/>
      <c r="I56" s="1254"/>
      <c r="J56" s="1254"/>
      <c r="K56" s="1348"/>
      <c r="L56" s="1334"/>
      <c r="M56" s="1349"/>
      <c r="N56" s="1350"/>
      <c r="O56" s="1254"/>
      <c r="P56" s="1254"/>
      <c r="Q56" s="1254"/>
      <c r="R56" s="1254"/>
      <c r="S56" s="1254"/>
      <c r="T56" s="1254"/>
      <c r="U56" s="1254"/>
      <c r="V56" s="1254"/>
      <c r="W56" s="1254"/>
      <c r="X56" s="1254"/>
      <c r="Y56" s="1254"/>
      <c r="Z56" s="1254"/>
    </row>
    <row r="57">
      <c r="A57" s="1230"/>
      <c r="B57" s="1230"/>
      <c r="C57" s="1317"/>
      <c r="D57" s="1230"/>
      <c r="E57" s="1318"/>
      <c r="F57" s="1254"/>
      <c r="G57" s="1234"/>
      <c r="H57" s="1254"/>
      <c r="I57" s="1254"/>
      <c r="J57" s="1254"/>
      <c r="K57" s="1320"/>
      <c r="L57" s="1254"/>
      <c r="M57" s="1263"/>
      <c r="N57" s="1263"/>
      <c r="O57" s="1254"/>
      <c r="P57" s="1254"/>
      <c r="Q57" s="1254"/>
      <c r="R57" s="1254"/>
      <c r="S57" s="1254"/>
      <c r="T57" s="1254"/>
      <c r="U57" s="1254"/>
      <c r="V57" s="1254"/>
      <c r="W57" s="1254"/>
      <c r="X57" s="1254"/>
      <c r="Y57" s="1254"/>
      <c r="Z57" s="1254"/>
    </row>
    <row r="58">
      <c r="A58" s="1230"/>
      <c r="B58" s="1230"/>
      <c r="C58" s="1317"/>
      <c r="D58" s="1230"/>
      <c r="E58" s="1318"/>
      <c r="F58" s="1254"/>
      <c r="G58" s="1234"/>
      <c r="H58" s="1254"/>
      <c r="I58" s="1254"/>
      <c r="J58" s="1254"/>
      <c r="K58" s="1320"/>
      <c r="L58" s="1321" t="s">
        <v>477</v>
      </c>
      <c r="M58" s="1263"/>
      <c r="N58" s="1263"/>
      <c r="O58" s="1254"/>
      <c r="P58" s="1254"/>
      <c r="Q58" s="1254"/>
      <c r="R58" s="1254"/>
      <c r="S58" s="1254"/>
      <c r="T58" s="1254"/>
      <c r="U58" s="1254"/>
      <c r="V58" s="1254"/>
      <c r="W58" s="1254"/>
      <c r="X58" s="1254"/>
      <c r="Y58" s="1254"/>
      <c r="Z58" s="1254"/>
    </row>
    <row r="59">
      <c r="A59" s="1230"/>
      <c r="B59" s="1230"/>
      <c r="C59" s="1317"/>
      <c r="D59" s="1230"/>
      <c r="E59" s="1318"/>
      <c r="F59" s="1254"/>
      <c r="G59" s="1234"/>
      <c r="H59" s="1254"/>
      <c r="I59" s="1254"/>
      <c r="J59" s="1254"/>
      <c r="K59" s="1346" t="s">
        <v>856</v>
      </c>
      <c r="L59" s="1347" t="s">
        <v>7</v>
      </c>
      <c r="M59" s="1329" t="s">
        <v>18</v>
      </c>
      <c r="N59" s="1329" t="s">
        <v>15</v>
      </c>
      <c r="O59" s="1254"/>
      <c r="P59" s="1254"/>
      <c r="Q59" s="1254"/>
      <c r="R59" s="1254"/>
      <c r="S59" s="1254"/>
      <c r="T59" s="1254"/>
      <c r="U59" s="1254"/>
      <c r="V59" s="1254"/>
      <c r="W59" s="1254"/>
      <c r="X59" s="1254"/>
      <c r="Y59" s="1254"/>
      <c r="Z59" s="1254"/>
    </row>
    <row r="60">
      <c r="A60" s="1230"/>
      <c r="B60" s="1230"/>
      <c r="C60" s="1317"/>
      <c r="D60" s="1230"/>
      <c r="E60" s="1318"/>
      <c r="F60" s="1254"/>
      <c r="G60" s="1234"/>
      <c r="H60" s="1254"/>
      <c r="I60" s="1254"/>
      <c r="J60" s="1254"/>
      <c r="K60" s="1348" t="str">
        <f>IFERROR(__xludf.DUMMYFUNCTION("UNIQUE(
  FILTER(
    {Pricing!B13:B182, Pricing!C13:C182},
    Pricing!A13:A182=""Gu""
  )
)"),"Alternative")</f>
        <v>Alternative</v>
      </c>
      <c r="L60" s="1334" t="str">
        <f>IFERROR(__xludf.DUMMYFUNCTION("""COMPUTED_VALUE"""),"Velux Fixed skylight (pitched roofs) 780 x 1180")</f>
        <v>Velux Fixed skylight (pitched roofs) 780 x 1180</v>
      </c>
      <c r="M60" s="1349">
        <f t="array" ref="M60:M68">IF(
    K60:K68="",
    "",
    IF(
      SUMIF(
        Pricing!$B$15:$B$182&amp;"♦"&amp;Pricing!$C$15:$C$182,
        K60:K68&amp;"♦"&amp;L60:L68,
        Pricing!$Q$15:$Q$182
      )=0,
      "",
      ROUND(
        SUMIF(
          Pricing!$B$15:$B$182&amp;"♦"&amp;Pricing!$C$15:$C$182,
          K60:K68&amp;"♦"&amp;L60:L68,
          Pricing!$Q$15:$Q$182
        ),
        2
      )
    )
  )</f>
        <v>2</v>
      </c>
      <c r="N60" s="1350" t="str">
        <f t="array" ref="N60:N68">IF(K60:K68="",
     ,
     IFERROR(
       VLOOKUP(K60:K68, Pricing!$B$15:$M$182, 10, 0)
     ,"")
  )</f>
        <v>ea</v>
      </c>
      <c r="O60" s="1254"/>
      <c r="P60" s="1254"/>
      <c r="Q60" s="1254"/>
      <c r="R60" s="1254"/>
      <c r="S60" s="1254"/>
      <c r="T60" s="1254"/>
      <c r="U60" s="1254"/>
      <c r="V60" s="1254"/>
      <c r="W60" s="1254"/>
      <c r="X60" s="1254"/>
      <c r="Y60" s="1254"/>
      <c r="Z60" s="1254"/>
    </row>
    <row r="61">
      <c r="A61" s="1230"/>
      <c r="B61" s="1230"/>
      <c r="C61" s="1317"/>
      <c r="D61" s="1230"/>
      <c r="E61" s="1318"/>
      <c r="F61" s="1254"/>
      <c r="G61" s="1234"/>
      <c r="H61" s="1254"/>
      <c r="I61" s="1254"/>
      <c r="J61" s="1254"/>
      <c r="K61" s="1348" t="str">
        <f>IFERROR(__xludf.DUMMYFUNCTION("""COMPUTED_VALUE"""),"Alternative")</f>
        <v>Alternative</v>
      </c>
      <c r="L61" s="1334" t="str">
        <f>IFERROR(__xludf.DUMMYFUNCTION("""COMPUTED_VALUE"""),"Velux Fixed skylight (pitched roofs) 780 x 780")</f>
        <v>Velux Fixed skylight (pitched roofs) 780 x 780</v>
      </c>
      <c r="M61" s="1349">
        <v>2.0</v>
      </c>
      <c r="N61" s="1350" t="s">
        <v>52</v>
      </c>
      <c r="O61" s="1254"/>
      <c r="P61" s="1254"/>
      <c r="Q61" s="1254"/>
      <c r="R61" s="1254"/>
      <c r="S61" s="1254"/>
      <c r="T61" s="1254"/>
      <c r="U61" s="1254"/>
      <c r="V61" s="1254"/>
      <c r="W61" s="1254"/>
      <c r="X61" s="1254"/>
      <c r="Y61" s="1254"/>
      <c r="Z61" s="1254"/>
    </row>
    <row r="62">
      <c r="A62" s="1230"/>
      <c r="B62" s="1230"/>
      <c r="C62" s="1317"/>
      <c r="D62" s="1230"/>
      <c r="E62" s="1318"/>
      <c r="F62" s="1254"/>
      <c r="G62" s="1234"/>
      <c r="H62" s="1254"/>
      <c r="I62" s="1254"/>
      <c r="J62" s="1254"/>
      <c r="K62" s="1348" t="str">
        <f>IFERROR(__xludf.DUMMYFUNCTION("""COMPUTED_VALUE"""),"Alternative")</f>
        <v>Alternative</v>
      </c>
      <c r="L62" s="1334" t="str">
        <f>IFERROR(__xludf.DUMMYFUNCTION("""COMPUTED_VALUE"""),"Velux Fixed skylight (pitched roofs) 1140 x 1180")</f>
        <v>Velux Fixed skylight (pitched roofs) 1140 x 1180</v>
      </c>
      <c r="M62" s="1349">
        <v>2.0</v>
      </c>
      <c r="N62" s="1350" t="s">
        <v>52</v>
      </c>
      <c r="O62" s="1254"/>
      <c r="P62" s="1254"/>
      <c r="Q62" s="1254"/>
      <c r="R62" s="1254"/>
      <c r="S62" s="1254"/>
      <c r="T62" s="1254"/>
      <c r="U62" s="1254"/>
      <c r="V62" s="1254"/>
      <c r="W62" s="1254"/>
      <c r="X62" s="1254"/>
      <c r="Y62" s="1254"/>
      <c r="Z62" s="1254"/>
    </row>
    <row r="63">
      <c r="A63" s="1230"/>
      <c r="B63" s="1230"/>
      <c r="C63" s="1317"/>
      <c r="D63" s="1230"/>
      <c r="E63" s="1318"/>
      <c r="F63" s="1254"/>
      <c r="G63" s="1234"/>
      <c r="H63" s="1254"/>
      <c r="I63" s="1254"/>
      <c r="J63" s="1254"/>
      <c r="K63" s="1348"/>
      <c r="L63" s="1334" t="str">
        <f>IFERROR(__xludf.DUMMYFUNCTION("""COMPUTED_VALUE"""),"Dektite")</f>
        <v>Dektite</v>
      </c>
      <c r="M63" s="1349" t="s">
        <v>42</v>
      </c>
      <c r="N63" s="1350"/>
      <c r="O63" s="1254"/>
      <c r="P63" s="1254"/>
      <c r="Q63" s="1254"/>
      <c r="R63" s="1254"/>
      <c r="S63" s="1254"/>
      <c r="T63" s="1254"/>
      <c r="U63" s="1254"/>
      <c r="V63" s="1254"/>
      <c r="W63" s="1254"/>
      <c r="X63" s="1254"/>
      <c r="Y63" s="1254"/>
      <c r="Z63" s="1254"/>
    </row>
    <row r="64">
      <c r="A64" s="1230"/>
      <c r="B64" s="1230"/>
      <c r="C64" s="1317"/>
      <c r="D64" s="1230"/>
      <c r="E64" s="1318"/>
      <c r="F64" s="1254"/>
      <c r="G64" s="1234"/>
      <c r="H64" s="1254"/>
      <c r="I64" s="1254"/>
      <c r="J64" s="1254"/>
      <c r="K64" s="1348"/>
      <c r="L64" s="1334" t="str">
        <f>IFERROR(__xludf.DUMMYFUNCTION("""COMPUTED_VALUE"""),"Penetration (Big)")</f>
        <v>Penetration (Big)</v>
      </c>
      <c r="M64" s="1349" t="s">
        <v>42</v>
      </c>
      <c r="N64" s="1350"/>
      <c r="O64" s="1254"/>
      <c r="P64" s="1254"/>
      <c r="Q64" s="1254"/>
      <c r="R64" s="1254"/>
      <c r="S64" s="1254"/>
      <c r="T64" s="1254"/>
      <c r="U64" s="1254"/>
      <c r="V64" s="1254"/>
      <c r="W64" s="1254"/>
      <c r="X64" s="1254"/>
      <c r="Y64" s="1254"/>
      <c r="Z64" s="1254"/>
    </row>
    <row r="65">
      <c r="A65" s="1230"/>
      <c r="B65" s="1230"/>
      <c r="C65" s="1317"/>
      <c r="D65" s="1230"/>
      <c r="E65" s="1318"/>
      <c r="F65" s="1254"/>
      <c r="G65" s="1234"/>
      <c r="H65" s="1254"/>
      <c r="I65" s="1254"/>
      <c r="J65" s="1254"/>
      <c r="K65" s="1348"/>
      <c r="L65" s="1334" t="str">
        <f>IFERROR(__xludf.DUMMYFUNCTION("""COMPUTED_VALUE"""),"Penetration (Small)")</f>
        <v>Penetration (Small)</v>
      </c>
      <c r="M65" s="1349" t="s">
        <v>42</v>
      </c>
      <c r="N65" s="1350"/>
      <c r="O65" s="1254"/>
      <c r="P65" s="1254"/>
      <c r="Q65" s="1254"/>
      <c r="R65" s="1254"/>
      <c r="S65" s="1254"/>
      <c r="T65" s="1254"/>
      <c r="U65" s="1254"/>
      <c r="V65" s="1254"/>
      <c r="W65" s="1254"/>
      <c r="X65" s="1254"/>
      <c r="Y65" s="1254"/>
      <c r="Z65" s="1254"/>
    </row>
    <row r="66">
      <c r="A66" s="1230"/>
      <c r="B66" s="1230"/>
      <c r="C66" s="1317"/>
      <c r="D66" s="1230"/>
      <c r="E66" s="1318"/>
      <c r="F66" s="1254"/>
      <c r="G66" s="1234"/>
      <c r="H66" s="1254"/>
      <c r="I66" s="1254"/>
      <c r="J66" s="1254"/>
      <c r="K66" s="1348"/>
      <c r="L66" s="1334" t="str">
        <f>IFERROR(__xludf.DUMMYFUNCTION("""COMPUTED_VALUE"""),"Dimond Half Round 150 Maxam NI")</f>
        <v>Dimond Half Round 150 Maxam NI</v>
      </c>
      <c r="M66" s="1349" t="s">
        <v>42</v>
      </c>
      <c r="N66" s="1350"/>
      <c r="O66" s="1254"/>
      <c r="P66" s="1254"/>
      <c r="Q66" s="1254"/>
      <c r="R66" s="1254"/>
      <c r="S66" s="1254"/>
      <c r="T66" s="1254"/>
      <c r="U66" s="1254"/>
      <c r="V66" s="1254"/>
      <c r="W66" s="1254"/>
      <c r="X66" s="1254"/>
      <c r="Y66" s="1254"/>
      <c r="Z66" s="1254"/>
    </row>
    <row r="67">
      <c r="A67" s="1230"/>
      <c r="B67" s="1230"/>
      <c r="C67" s="1317"/>
      <c r="D67" s="1230"/>
      <c r="E67" s="1318"/>
      <c r="F67" s="1254"/>
      <c r="G67" s="1234"/>
      <c r="H67" s="1254"/>
      <c r="I67" s="1254"/>
      <c r="J67" s="1254"/>
      <c r="K67" s="1348"/>
      <c r="L67" s="1334" t="str">
        <f>IFERROR(__xludf.DUMMYFUNCTION("""COMPUTED_VALUE"""),"150MM HR BKT COLOUR")</f>
        <v>150MM HR BKT COLOUR</v>
      </c>
      <c r="M67" s="1349" t="s">
        <v>42</v>
      </c>
      <c r="N67" s="1350"/>
      <c r="O67" s="1254"/>
      <c r="P67" s="1254"/>
      <c r="Q67" s="1254"/>
      <c r="R67" s="1254"/>
      <c r="S67" s="1254"/>
      <c r="T67" s="1254"/>
      <c r="U67" s="1254"/>
      <c r="V67" s="1254"/>
      <c r="W67" s="1254"/>
      <c r="X67" s="1254"/>
      <c r="Y67" s="1254"/>
      <c r="Z67" s="1254"/>
    </row>
    <row r="68">
      <c r="A68" s="1230"/>
      <c r="B68" s="1230"/>
      <c r="C68" s="1317"/>
      <c r="D68" s="1230"/>
      <c r="E68" s="1318"/>
      <c r="F68" s="1254"/>
      <c r="G68" s="1234"/>
      <c r="H68" s="1254"/>
      <c r="I68" s="1254"/>
      <c r="J68" s="1254"/>
      <c r="K68" s="1348"/>
      <c r="L68" s="1334"/>
      <c r="M68" s="1349" t="s">
        <v>42</v>
      </c>
      <c r="N68" s="1350"/>
      <c r="O68" s="1254"/>
      <c r="P68" s="1254"/>
      <c r="Q68" s="1254"/>
      <c r="R68" s="1254"/>
      <c r="S68" s="1254"/>
      <c r="T68" s="1254"/>
      <c r="U68" s="1254"/>
      <c r="V68" s="1254"/>
      <c r="W68" s="1254"/>
      <c r="X68" s="1254"/>
      <c r="Y68" s="1254"/>
      <c r="Z68" s="1254"/>
    </row>
    <row r="69">
      <c r="A69" s="1230"/>
      <c r="B69" s="1230"/>
      <c r="C69" s="1317"/>
      <c r="D69" s="1230"/>
      <c r="E69" s="1318"/>
      <c r="F69" s="1254"/>
      <c r="G69" s="1234"/>
      <c r="H69" s="1254"/>
      <c r="I69" s="1254"/>
      <c r="J69" s="1254"/>
      <c r="K69" s="1320"/>
      <c r="L69" s="1254"/>
      <c r="M69" s="1263"/>
      <c r="N69" s="1263"/>
      <c r="O69" s="1254"/>
      <c r="P69" s="1254"/>
      <c r="Q69" s="1254"/>
      <c r="R69" s="1254"/>
      <c r="S69" s="1254"/>
      <c r="T69" s="1254"/>
      <c r="U69" s="1254"/>
      <c r="V69" s="1254"/>
      <c r="W69" s="1254"/>
      <c r="X69" s="1254"/>
      <c r="Y69" s="1254"/>
      <c r="Z69" s="1254"/>
    </row>
    <row r="70">
      <c r="A70" s="1230"/>
      <c r="B70" s="1230"/>
      <c r="C70" s="1317"/>
      <c r="D70" s="1230"/>
      <c r="E70" s="1318"/>
      <c r="F70" s="1254"/>
      <c r="G70" s="1234"/>
      <c r="H70" s="1254"/>
      <c r="I70" s="1254"/>
      <c r="J70" s="1254"/>
      <c r="K70" s="1320"/>
      <c r="L70" s="1352" t="s">
        <v>136</v>
      </c>
      <c r="M70" s="1353"/>
      <c r="N70" s="1353"/>
      <c r="O70" s="1254"/>
      <c r="P70" s="1254"/>
      <c r="Q70" s="1254"/>
      <c r="R70" s="1254"/>
      <c r="S70" s="1254"/>
      <c r="T70" s="1254"/>
      <c r="U70" s="1254"/>
      <c r="V70" s="1254"/>
      <c r="W70" s="1254"/>
      <c r="X70" s="1254"/>
      <c r="Y70" s="1254"/>
      <c r="Z70" s="1254"/>
    </row>
    <row r="71">
      <c r="A71" s="1230"/>
      <c r="B71" s="1230"/>
      <c r="C71" s="1317"/>
      <c r="D71" s="1230"/>
      <c r="E71" s="1318"/>
      <c r="F71" s="1254"/>
      <c r="G71" s="1234"/>
      <c r="H71" s="1254"/>
      <c r="I71" s="1254"/>
      <c r="J71" s="1254"/>
      <c r="K71" s="1346" t="s">
        <v>856</v>
      </c>
      <c r="L71" s="1347" t="s">
        <v>7</v>
      </c>
      <c r="M71" s="1329" t="s">
        <v>18</v>
      </c>
      <c r="N71" s="1329" t="s">
        <v>15</v>
      </c>
      <c r="O71" s="1254"/>
      <c r="P71" s="1254"/>
      <c r="Q71" s="1254"/>
      <c r="R71" s="1254"/>
      <c r="S71" s="1254"/>
      <c r="T71" s="1254"/>
      <c r="U71" s="1254"/>
      <c r="V71" s="1254"/>
      <c r="W71" s="1254"/>
      <c r="X71" s="1254"/>
      <c r="Y71" s="1254"/>
      <c r="Z71" s="1254"/>
    </row>
    <row r="72">
      <c r="A72" s="1230"/>
      <c r="B72" s="1230"/>
      <c r="C72" s="1317"/>
      <c r="D72" s="1230"/>
      <c r="E72" s="1318"/>
      <c r="F72" s="1254"/>
      <c r="G72" s="1234"/>
      <c r="H72" s="1254"/>
      <c r="I72" s="1254"/>
      <c r="J72" s="1254"/>
      <c r="K72" s="1348" t="str">
        <f>IFERROR(__xludf.DUMMYFUNCTION("UNIQUE(
  FILTER(
    {Pricing!B13:B182, Pricing!C13:C182},
    Pricing!A13:A182=""Dp""
  )
)"),"")</f>
        <v/>
      </c>
      <c r="L72" s="1334" t="str">
        <f>IFERROR(__xludf.DUMMYFUNCTION("""COMPUTED_VALUE"""),"DP80 round")</f>
        <v>DP80 round</v>
      </c>
      <c r="M72" s="1349" t="str">
        <f t="array" ref="M72:M77">IF(
    K72:K77="",
    "",
    IF(
      SUMIF(
        Pricing!$B$15:$B$182&amp;"♦"&amp;Pricing!$C$15:$C$182,
        K72:K77&amp;"♦"&amp;L72:L77,
        Pricing!$Q$15:$Q$182
      )=0,
      "",
      ROUND(
        SUMIF(
          Pricing!$B$15:$B$182&amp;"♦"&amp;Pricing!$C$15:$C$182,
          K72:K77&amp;"♦"&amp;L72:L77,
          Pricing!$Q$15:$Q$182
        ),
        2
      )
    )
  )</f>
        <v/>
      </c>
      <c r="N72" s="1350" t="str">
        <f t="array" ref="N72:N78">IF(K72:K78="",
     ,
     IFERROR(
       VLOOKUP(K72:K78, Pricing!$B$15:$M$182, 10, 0)
     ,"")
  )</f>
        <v/>
      </c>
      <c r="O72" s="1254"/>
      <c r="P72" s="1254"/>
      <c r="Q72" s="1254"/>
      <c r="R72" s="1254"/>
      <c r="S72" s="1254"/>
      <c r="T72" s="1254"/>
      <c r="U72" s="1254"/>
      <c r="V72" s="1254"/>
      <c r="W72" s="1254"/>
      <c r="X72" s="1254"/>
      <c r="Y72" s="1254"/>
      <c r="Z72" s="1254"/>
    </row>
    <row r="73">
      <c r="A73" s="1230"/>
      <c r="B73" s="1230"/>
      <c r="C73" s="1317"/>
      <c r="D73" s="1230"/>
      <c r="E73" s="1318"/>
      <c r="F73" s="1254"/>
      <c r="G73" s="1234"/>
      <c r="H73" s="1254"/>
      <c r="I73" s="1254"/>
      <c r="J73" s="1254"/>
      <c r="K73" s="1348"/>
      <c r="L73" s="1334" t="str">
        <f>IFERROR(__xludf.DUMMYFUNCTION("""COMPUTED_VALUE"""),"DP80 bracket")</f>
        <v>DP80 bracket</v>
      </c>
      <c r="M73" s="1349" t="s">
        <v>42</v>
      </c>
      <c r="N73" s="1350"/>
      <c r="O73" s="1254"/>
      <c r="P73" s="1254"/>
      <c r="Q73" s="1254"/>
      <c r="R73" s="1254"/>
      <c r="S73" s="1254"/>
      <c r="T73" s="1254"/>
      <c r="U73" s="1254"/>
      <c r="V73" s="1254"/>
      <c r="W73" s="1254"/>
      <c r="X73" s="1254"/>
      <c r="Y73" s="1254"/>
      <c r="Z73" s="1254"/>
    </row>
    <row r="74">
      <c r="A74" s="1230"/>
      <c r="B74" s="1230"/>
      <c r="C74" s="1317"/>
      <c r="D74" s="1230"/>
      <c r="E74" s="1318"/>
      <c r="F74" s="1254"/>
      <c r="G74" s="1234"/>
      <c r="H74" s="1254"/>
      <c r="I74" s="1254"/>
      <c r="J74" s="1254"/>
      <c r="K74" s="1348"/>
      <c r="L74" s="1334" t="str">
        <f>IFERROR(__xludf.DUMMYFUNCTION("""COMPUTED_VALUE"""),"DP80 pop")</f>
        <v>DP80 pop</v>
      </c>
      <c r="M74" s="1349" t="s">
        <v>42</v>
      </c>
      <c r="N74" s="1350"/>
      <c r="O74" s="1254"/>
      <c r="P74" s="1254"/>
      <c r="Q74" s="1254"/>
      <c r="R74" s="1254"/>
      <c r="S74" s="1254"/>
      <c r="T74" s="1254"/>
      <c r="U74" s="1254"/>
      <c r="V74" s="1254"/>
      <c r="W74" s="1254"/>
      <c r="X74" s="1254"/>
      <c r="Y74" s="1254"/>
      <c r="Z74" s="1254"/>
    </row>
    <row r="75">
      <c r="A75" s="1230"/>
      <c r="B75" s="1230"/>
      <c r="C75" s="1317"/>
      <c r="D75" s="1230"/>
      <c r="E75" s="1318"/>
      <c r="F75" s="1254"/>
      <c r="G75" s="1234"/>
      <c r="H75" s="1254"/>
      <c r="I75" s="1254"/>
      <c r="J75" s="1254"/>
      <c r="K75" s="1348"/>
      <c r="L75" s="1334"/>
      <c r="M75" s="1349" t="s">
        <v>42</v>
      </c>
      <c r="N75" s="1350"/>
      <c r="O75" s="1254"/>
      <c r="P75" s="1254"/>
      <c r="Q75" s="1254"/>
      <c r="R75" s="1254"/>
      <c r="S75" s="1254"/>
      <c r="T75" s="1254"/>
      <c r="U75" s="1254"/>
      <c r="V75" s="1254"/>
      <c r="W75" s="1254"/>
      <c r="X75" s="1254"/>
      <c r="Y75" s="1254"/>
      <c r="Z75" s="1254"/>
    </row>
    <row r="76">
      <c r="A76" s="1230"/>
      <c r="B76" s="1230"/>
      <c r="C76" s="1317"/>
      <c r="D76" s="1230"/>
      <c r="E76" s="1318"/>
      <c r="F76" s="1254"/>
      <c r="G76" s="1234"/>
      <c r="H76" s="1254"/>
      <c r="I76" s="1254"/>
      <c r="J76" s="1254"/>
      <c r="K76" s="1348"/>
      <c r="L76" s="1334"/>
      <c r="M76" s="1349" t="s">
        <v>42</v>
      </c>
      <c r="N76" s="1350"/>
      <c r="O76" s="1254"/>
      <c r="P76" s="1254"/>
      <c r="Q76" s="1254"/>
      <c r="R76" s="1254"/>
      <c r="S76" s="1254"/>
      <c r="T76" s="1254"/>
      <c r="U76" s="1254"/>
      <c r="V76" s="1254"/>
      <c r="W76" s="1254"/>
      <c r="X76" s="1254"/>
      <c r="Y76" s="1254"/>
      <c r="Z76" s="1254"/>
    </row>
    <row r="77">
      <c r="A77" s="1230"/>
      <c r="B77" s="1230"/>
      <c r="C77" s="1317"/>
      <c r="D77" s="1230"/>
      <c r="E77" s="1318"/>
      <c r="F77" s="1254"/>
      <c r="G77" s="1234"/>
      <c r="H77" s="1254"/>
      <c r="I77" s="1254"/>
      <c r="J77" s="1254"/>
      <c r="K77" s="1348"/>
      <c r="L77" s="1334"/>
      <c r="M77" s="1349" t="s">
        <v>42</v>
      </c>
      <c r="N77" s="1350"/>
      <c r="O77" s="1254"/>
      <c r="P77" s="1254"/>
      <c r="Q77" s="1254"/>
      <c r="R77" s="1254"/>
      <c r="S77" s="1254"/>
      <c r="T77" s="1254"/>
      <c r="U77" s="1254"/>
      <c r="V77" s="1254"/>
      <c r="W77" s="1254"/>
      <c r="X77" s="1254"/>
      <c r="Y77" s="1254"/>
      <c r="Z77" s="1254"/>
    </row>
    <row r="78">
      <c r="A78" s="1230"/>
      <c r="B78" s="1230"/>
      <c r="C78" s="1317"/>
      <c r="D78" s="1230"/>
      <c r="E78" s="1318"/>
      <c r="F78" s="1254"/>
      <c r="G78" s="1234"/>
      <c r="H78" s="1254"/>
      <c r="I78" s="1254"/>
      <c r="J78" s="1254"/>
      <c r="K78" s="1348"/>
      <c r="L78" s="1334"/>
      <c r="M78" s="1349"/>
      <c r="N78" s="1350"/>
      <c r="O78" s="1254"/>
      <c r="P78" s="1254"/>
      <c r="Q78" s="1254"/>
      <c r="R78" s="1254"/>
      <c r="S78" s="1254"/>
      <c r="T78" s="1254"/>
      <c r="U78" s="1254"/>
      <c r="V78" s="1254"/>
      <c r="W78" s="1254"/>
      <c r="X78" s="1254"/>
      <c r="Y78" s="1254"/>
      <c r="Z78" s="1254"/>
    </row>
    <row r="79">
      <c r="A79" s="1254"/>
      <c r="B79" s="1263"/>
      <c r="C79" s="1317"/>
      <c r="D79" s="1263"/>
      <c r="E79" s="1318"/>
      <c r="F79" s="1254"/>
      <c r="G79" s="1319"/>
      <c r="H79" s="1254"/>
      <c r="I79" s="1254"/>
      <c r="J79" s="1254"/>
      <c r="K79" s="1320"/>
      <c r="L79" s="1254"/>
      <c r="M79" s="1254"/>
      <c r="N79" s="1254"/>
      <c r="O79" s="1254"/>
      <c r="P79" s="1254"/>
      <c r="Q79" s="1254"/>
      <c r="R79" s="1254"/>
      <c r="S79" s="1254"/>
      <c r="T79" s="1254"/>
      <c r="U79" s="1254"/>
      <c r="V79" s="1254"/>
      <c r="W79" s="1254"/>
      <c r="X79" s="1254"/>
      <c r="Y79" s="1254"/>
      <c r="Z79" s="1254"/>
    </row>
    <row r="80">
      <c r="A80" s="1254"/>
      <c r="B80" s="1263"/>
      <c r="C80" s="1317"/>
      <c r="D80" s="1263"/>
      <c r="E80" s="1318"/>
      <c r="F80" s="1254"/>
      <c r="G80" s="1319"/>
      <c r="H80" s="1254"/>
      <c r="I80" s="1254"/>
      <c r="J80" s="1254"/>
      <c r="K80" s="1320"/>
      <c r="L80" s="1254"/>
      <c r="M80" s="1254"/>
      <c r="N80" s="1254"/>
      <c r="O80" s="1254"/>
      <c r="P80" s="1254"/>
      <c r="Q80" s="1254"/>
      <c r="R80" s="1254"/>
      <c r="S80" s="1254"/>
      <c r="T80" s="1254"/>
      <c r="U80" s="1254"/>
      <c r="V80" s="1254"/>
      <c r="W80" s="1254"/>
      <c r="X80" s="1254"/>
      <c r="Y80" s="1254"/>
      <c r="Z80" s="1254"/>
    </row>
    <row r="81">
      <c r="A81" s="1254"/>
      <c r="B81" s="1263"/>
      <c r="C81" s="1317"/>
      <c r="D81" s="1263"/>
      <c r="E81" s="1318"/>
      <c r="F81" s="1254"/>
      <c r="G81" s="1319"/>
      <c r="H81" s="1254"/>
      <c r="I81" s="1254"/>
      <c r="J81" s="1254"/>
      <c r="K81" s="1320"/>
      <c r="L81" s="1254"/>
      <c r="M81" s="1254"/>
      <c r="N81" s="1254"/>
      <c r="O81" s="1254"/>
      <c r="P81" s="1254"/>
      <c r="Q81" s="1254"/>
      <c r="R81" s="1254"/>
      <c r="S81" s="1254"/>
      <c r="T81" s="1254"/>
      <c r="U81" s="1254"/>
      <c r="V81" s="1254"/>
      <c r="W81" s="1254"/>
      <c r="X81" s="1254"/>
      <c r="Y81" s="1254"/>
      <c r="Z81" s="1254"/>
    </row>
    <row r="82">
      <c r="A82" s="1254"/>
      <c r="B82" s="1263"/>
      <c r="C82" s="1317"/>
      <c r="D82" s="1263"/>
      <c r="E82" s="1318"/>
      <c r="F82" s="1254"/>
      <c r="G82" s="1319"/>
      <c r="H82" s="1254"/>
      <c r="I82" s="1254"/>
      <c r="J82" s="1254"/>
      <c r="K82" s="1320"/>
      <c r="L82" s="1254"/>
      <c r="M82" s="1254"/>
      <c r="N82" s="1254"/>
      <c r="O82" s="1254"/>
      <c r="P82" s="1254"/>
      <c r="Q82" s="1254"/>
      <c r="R82" s="1254"/>
      <c r="S82" s="1254"/>
      <c r="T82" s="1254"/>
      <c r="U82" s="1254"/>
      <c r="V82" s="1254"/>
      <c r="W82" s="1254"/>
      <c r="X82" s="1254"/>
      <c r="Y82" s="1254"/>
      <c r="Z82" s="1254"/>
    </row>
    <row r="83">
      <c r="A83" s="1254"/>
      <c r="B83" s="1263"/>
      <c r="C83" s="1317"/>
      <c r="D83" s="1263"/>
      <c r="E83" s="1318"/>
      <c r="F83" s="1254"/>
      <c r="G83" s="1319"/>
      <c r="H83" s="1254"/>
      <c r="I83" s="1254"/>
      <c r="J83" s="1254"/>
      <c r="K83" s="1320"/>
      <c r="L83" s="1254"/>
      <c r="M83" s="1254"/>
      <c r="N83" s="1254"/>
      <c r="O83" s="1254"/>
      <c r="P83" s="1254"/>
      <c r="Q83" s="1254"/>
      <c r="R83" s="1254"/>
      <c r="S83" s="1254"/>
      <c r="T83" s="1254"/>
      <c r="U83" s="1254"/>
      <c r="V83" s="1254"/>
      <c r="W83" s="1254"/>
      <c r="X83" s="1254"/>
      <c r="Y83" s="1254"/>
      <c r="Z83" s="1254"/>
    </row>
    <row r="84">
      <c r="A84" s="1254"/>
      <c r="B84" s="1263"/>
      <c r="C84" s="1317"/>
      <c r="D84" s="1263"/>
      <c r="E84" s="1318"/>
      <c r="F84" s="1254"/>
      <c r="G84" s="1319"/>
      <c r="H84" s="1254"/>
      <c r="I84" s="1254"/>
      <c r="J84" s="1254"/>
      <c r="K84" s="1320"/>
      <c r="L84" s="1254"/>
      <c r="M84" s="1254"/>
      <c r="N84" s="1254"/>
      <c r="O84" s="1254"/>
      <c r="P84" s="1254"/>
      <c r="Q84" s="1254"/>
      <c r="R84" s="1254"/>
      <c r="S84" s="1254"/>
      <c r="T84" s="1254"/>
      <c r="U84" s="1254"/>
      <c r="V84" s="1254"/>
      <c r="W84" s="1254"/>
      <c r="X84" s="1254"/>
      <c r="Y84" s="1254"/>
      <c r="Z84" s="1254"/>
    </row>
    <row r="85">
      <c r="A85" s="1254"/>
      <c r="B85" s="1263"/>
      <c r="C85" s="1317"/>
      <c r="D85" s="1263"/>
      <c r="E85" s="1318"/>
      <c r="F85" s="1254"/>
      <c r="G85" s="1319"/>
      <c r="H85" s="1254"/>
      <c r="I85" s="1254"/>
      <c r="J85" s="1254"/>
      <c r="K85" s="1320"/>
      <c r="L85" s="1254"/>
      <c r="M85" s="1254"/>
      <c r="N85" s="1254"/>
      <c r="O85" s="1254"/>
      <c r="P85" s="1254"/>
      <c r="Q85" s="1254"/>
      <c r="R85" s="1254"/>
      <c r="S85" s="1254"/>
      <c r="T85" s="1254"/>
      <c r="U85" s="1254"/>
      <c r="V85" s="1254"/>
      <c r="W85" s="1254"/>
      <c r="X85" s="1254"/>
      <c r="Y85" s="1254"/>
      <c r="Z85" s="1254"/>
    </row>
    <row r="86">
      <c r="A86" s="1254"/>
      <c r="B86" s="1263"/>
      <c r="C86" s="1317"/>
      <c r="D86" s="1263"/>
      <c r="E86" s="1318"/>
      <c r="F86" s="1254"/>
      <c r="G86" s="1319"/>
      <c r="H86" s="1254"/>
      <c r="I86" s="1254"/>
      <c r="J86" s="1254"/>
      <c r="K86" s="1320"/>
      <c r="L86" s="1254"/>
      <c r="M86" s="1254"/>
      <c r="N86" s="1254"/>
      <c r="O86" s="1254"/>
      <c r="P86" s="1254"/>
      <c r="Q86" s="1254"/>
      <c r="R86" s="1254"/>
      <c r="S86" s="1254"/>
      <c r="T86" s="1254"/>
      <c r="U86" s="1254"/>
      <c r="V86" s="1254"/>
      <c r="W86" s="1254"/>
      <c r="X86" s="1254"/>
      <c r="Y86" s="1254"/>
      <c r="Z86" s="1254"/>
    </row>
    <row r="87">
      <c r="A87" s="1254"/>
      <c r="B87" s="1263"/>
      <c r="C87" s="1317"/>
      <c r="D87" s="1263"/>
      <c r="E87" s="1318"/>
      <c r="F87" s="1254"/>
      <c r="G87" s="1319"/>
      <c r="H87" s="1254"/>
      <c r="I87" s="1254"/>
      <c r="J87" s="1254"/>
      <c r="K87" s="1320"/>
      <c r="L87" s="1254"/>
      <c r="M87" s="1254"/>
      <c r="N87" s="1254"/>
      <c r="O87" s="1254"/>
      <c r="P87" s="1254"/>
      <c r="Q87" s="1254"/>
      <c r="R87" s="1254"/>
      <c r="S87" s="1254"/>
      <c r="T87" s="1254"/>
      <c r="U87" s="1254"/>
      <c r="V87" s="1254"/>
      <c r="W87" s="1254"/>
      <c r="X87" s="1254"/>
      <c r="Y87" s="1254"/>
      <c r="Z87" s="1254"/>
    </row>
    <row r="88">
      <c r="A88" s="1254"/>
      <c r="B88" s="1263"/>
      <c r="C88" s="1317"/>
      <c r="D88" s="1263"/>
      <c r="E88" s="1318"/>
      <c r="F88" s="1254"/>
      <c r="G88" s="1319"/>
      <c r="H88" s="1254"/>
      <c r="I88" s="1254"/>
      <c r="J88" s="1254"/>
      <c r="K88" s="1320"/>
      <c r="L88" s="1254"/>
      <c r="M88" s="1254"/>
      <c r="N88" s="1254"/>
      <c r="O88" s="1254"/>
      <c r="P88" s="1254"/>
      <c r="Q88" s="1254"/>
      <c r="R88" s="1254"/>
      <c r="S88" s="1254"/>
      <c r="T88" s="1254"/>
      <c r="U88" s="1254"/>
      <c r="V88" s="1254"/>
      <c r="W88" s="1254"/>
      <c r="X88" s="1254"/>
      <c r="Y88" s="1254"/>
      <c r="Z88" s="1254"/>
    </row>
    <row r="89">
      <c r="A89" s="1254"/>
      <c r="B89" s="1263"/>
      <c r="C89" s="1317"/>
      <c r="D89" s="1263"/>
      <c r="E89" s="1318"/>
      <c r="F89" s="1254"/>
      <c r="G89" s="1319"/>
      <c r="H89" s="1254"/>
      <c r="I89" s="1254"/>
      <c r="J89" s="1254"/>
      <c r="K89" s="1320"/>
      <c r="L89" s="1254"/>
      <c r="M89" s="1254"/>
      <c r="N89" s="1254"/>
      <c r="O89" s="1254"/>
      <c r="P89" s="1254"/>
      <c r="Q89" s="1254"/>
      <c r="R89" s="1254"/>
      <c r="S89" s="1254"/>
      <c r="T89" s="1254"/>
      <c r="U89" s="1254"/>
      <c r="V89" s="1254"/>
      <c r="W89" s="1254"/>
      <c r="X89" s="1254"/>
      <c r="Y89" s="1254"/>
      <c r="Z89" s="1254"/>
    </row>
    <row r="90">
      <c r="A90" s="1254"/>
      <c r="B90" s="1263"/>
      <c r="C90" s="1317"/>
      <c r="D90" s="1263"/>
      <c r="E90" s="1318"/>
      <c r="F90" s="1254"/>
      <c r="G90" s="1319"/>
      <c r="H90" s="1254"/>
      <c r="I90" s="1254"/>
      <c r="J90" s="1254"/>
      <c r="K90" s="1320"/>
      <c r="L90" s="1254"/>
      <c r="M90" s="1254"/>
      <c r="N90" s="1254"/>
      <c r="O90" s="1254"/>
      <c r="P90" s="1254"/>
      <c r="Q90" s="1254"/>
      <c r="R90" s="1254"/>
      <c r="S90" s="1254"/>
      <c r="T90" s="1254"/>
      <c r="U90" s="1254"/>
      <c r="V90" s="1254"/>
      <c r="W90" s="1254"/>
      <c r="X90" s="1254"/>
      <c r="Y90" s="1254"/>
      <c r="Z90" s="1254"/>
    </row>
    <row r="91">
      <c r="A91" s="1254"/>
      <c r="B91" s="1263"/>
      <c r="C91" s="1317"/>
      <c r="D91" s="1263"/>
      <c r="E91" s="1318"/>
      <c r="F91" s="1254"/>
      <c r="G91" s="1319"/>
      <c r="H91" s="1254"/>
      <c r="I91" s="1254"/>
      <c r="J91" s="1254"/>
      <c r="K91" s="1320"/>
      <c r="L91" s="1254"/>
      <c r="M91" s="1254"/>
      <c r="N91" s="1254"/>
      <c r="O91" s="1254"/>
      <c r="P91" s="1254"/>
      <c r="Q91" s="1254"/>
      <c r="R91" s="1254"/>
      <c r="S91" s="1254"/>
      <c r="T91" s="1254"/>
      <c r="U91" s="1254"/>
      <c r="V91" s="1254"/>
      <c r="W91" s="1254"/>
      <c r="X91" s="1254"/>
      <c r="Y91" s="1254"/>
      <c r="Z91" s="1254"/>
    </row>
    <row r="92">
      <c r="A92" s="1254"/>
      <c r="B92" s="1263"/>
      <c r="C92" s="1317"/>
      <c r="D92" s="1263"/>
      <c r="E92" s="1318"/>
      <c r="F92" s="1254"/>
      <c r="G92" s="1319"/>
      <c r="H92" s="1254"/>
      <c r="I92" s="1254"/>
      <c r="J92" s="1254"/>
      <c r="K92" s="1320"/>
      <c r="L92" s="1254"/>
      <c r="M92" s="1254"/>
      <c r="N92" s="1254"/>
      <c r="O92" s="1254"/>
      <c r="P92" s="1254"/>
      <c r="Q92" s="1254"/>
      <c r="R92" s="1254"/>
      <c r="S92" s="1254"/>
      <c r="T92" s="1254"/>
      <c r="U92" s="1254"/>
      <c r="V92" s="1254"/>
      <c r="W92" s="1254"/>
      <c r="X92" s="1254"/>
      <c r="Y92" s="1254"/>
      <c r="Z92" s="1254"/>
    </row>
    <row r="93">
      <c r="A93" s="1254"/>
      <c r="B93" s="1263"/>
      <c r="C93" s="1317"/>
      <c r="D93" s="1263"/>
      <c r="E93" s="1318"/>
      <c r="F93" s="1254"/>
      <c r="G93" s="1319"/>
      <c r="H93" s="1254"/>
      <c r="I93" s="1254"/>
      <c r="J93" s="1254"/>
      <c r="K93" s="1320"/>
      <c r="L93" s="1254"/>
      <c r="M93" s="1254"/>
      <c r="N93" s="1254"/>
      <c r="O93" s="1254"/>
      <c r="P93" s="1254"/>
      <c r="Q93" s="1254"/>
      <c r="R93" s="1254"/>
      <c r="S93" s="1254"/>
      <c r="T93" s="1254"/>
      <c r="U93" s="1254"/>
      <c r="V93" s="1254"/>
      <c r="W93" s="1254"/>
      <c r="X93" s="1254"/>
      <c r="Y93" s="1254"/>
      <c r="Z93" s="1254"/>
    </row>
    <row r="94">
      <c r="A94" s="1254"/>
      <c r="B94" s="1263"/>
      <c r="C94" s="1317"/>
      <c r="D94" s="1263"/>
      <c r="E94" s="1318"/>
      <c r="F94" s="1254"/>
      <c r="G94" s="1319"/>
      <c r="H94" s="1254"/>
      <c r="I94" s="1254"/>
      <c r="J94" s="1254"/>
      <c r="K94" s="1320"/>
      <c r="L94" s="1254"/>
      <c r="M94" s="1254"/>
      <c r="N94" s="1254"/>
      <c r="O94" s="1254"/>
      <c r="P94" s="1254"/>
      <c r="Q94" s="1254"/>
      <c r="R94" s="1254"/>
      <c r="S94" s="1254"/>
      <c r="T94" s="1254"/>
      <c r="U94" s="1254"/>
      <c r="V94" s="1254"/>
      <c r="W94" s="1254"/>
      <c r="X94" s="1254"/>
      <c r="Y94" s="1254"/>
      <c r="Z94" s="1254"/>
    </row>
    <row r="95">
      <c r="A95" s="1254"/>
      <c r="B95" s="1263"/>
      <c r="C95" s="1317"/>
      <c r="D95" s="1263"/>
      <c r="E95" s="1318"/>
      <c r="F95" s="1254"/>
      <c r="G95" s="1319"/>
      <c r="H95" s="1254"/>
      <c r="I95" s="1254"/>
      <c r="J95" s="1254"/>
      <c r="K95" s="1320"/>
      <c r="L95" s="1254"/>
      <c r="M95" s="1254"/>
      <c r="N95" s="1254"/>
      <c r="O95" s="1254"/>
      <c r="P95" s="1254"/>
      <c r="Q95" s="1254"/>
      <c r="R95" s="1254"/>
      <c r="S95" s="1254"/>
      <c r="T95" s="1254"/>
      <c r="U95" s="1254"/>
      <c r="V95" s="1254"/>
      <c r="W95" s="1254"/>
      <c r="X95" s="1254"/>
      <c r="Y95" s="1254"/>
      <c r="Z95" s="1254"/>
    </row>
    <row r="96">
      <c r="A96" s="1254"/>
      <c r="B96" s="1263"/>
      <c r="C96" s="1317"/>
      <c r="D96" s="1263"/>
      <c r="E96" s="1318"/>
      <c r="F96" s="1254"/>
      <c r="G96" s="1319"/>
      <c r="H96" s="1254"/>
      <c r="I96" s="1254"/>
      <c r="J96" s="1254"/>
      <c r="K96" s="1320"/>
      <c r="L96" s="1254"/>
      <c r="M96" s="1254"/>
      <c r="N96" s="1254"/>
      <c r="O96" s="1254"/>
      <c r="P96" s="1254"/>
      <c r="Q96" s="1254"/>
      <c r="R96" s="1254"/>
      <c r="S96" s="1254"/>
      <c r="T96" s="1254"/>
      <c r="U96" s="1254"/>
      <c r="V96" s="1254"/>
      <c r="W96" s="1254"/>
      <c r="X96" s="1254"/>
      <c r="Y96" s="1254"/>
      <c r="Z96" s="1254"/>
    </row>
    <row r="97">
      <c r="A97" s="1254"/>
      <c r="B97" s="1263"/>
      <c r="C97" s="1317"/>
      <c r="D97" s="1263"/>
      <c r="E97" s="1318"/>
      <c r="F97" s="1254"/>
      <c r="G97" s="1319"/>
      <c r="H97" s="1254"/>
      <c r="I97" s="1254"/>
      <c r="J97" s="1254"/>
      <c r="K97" s="1320"/>
      <c r="L97" s="1254"/>
      <c r="M97" s="1254"/>
      <c r="N97" s="1254"/>
      <c r="O97" s="1254"/>
      <c r="P97" s="1254"/>
      <c r="Q97" s="1254"/>
      <c r="R97" s="1254"/>
      <c r="S97" s="1254"/>
      <c r="T97" s="1254"/>
      <c r="U97" s="1254"/>
      <c r="V97" s="1254"/>
      <c r="W97" s="1254"/>
      <c r="X97" s="1254"/>
      <c r="Y97" s="1254"/>
      <c r="Z97" s="1254"/>
    </row>
    <row r="98">
      <c r="A98" s="1254"/>
      <c r="B98" s="1263"/>
      <c r="C98" s="1317"/>
      <c r="D98" s="1263"/>
      <c r="E98" s="1318"/>
      <c r="F98" s="1254"/>
      <c r="G98" s="1319"/>
      <c r="H98" s="1254"/>
      <c r="I98" s="1254"/>
      <c r="J98" s="1254"/>
      <c r="K98" s="1320"/>
      <c r="L98" s="1254"/>
      <c r="M98" s="1254"/>
      <c r="N98" s="1254"/>
      <c r="O98" s="1254"/>
      <c r="P98" s="1254"/>
      <c r="Q98" s="1254"/>
      <c r="R98" s="1254"/>
      <c r="S98" s="1254"/>
      <c r="T98" s="1254"/>
      <c r="U98" s="1254"/>
      <c r="V98" s="1254"/>
      <c r="W98" s="1254"/>
      <c r="X98" s="1254"/>
      <c r="Y98" s="1254"/>
      <c r="Z98" s="1254"/>
    </row>
    <row r="99">
      <c r="A99" s="1254"/>
      <c r="B99" s="1263"/>
      <c r="C99" s="1317"/>
      <c r="D99" s="1263"/>
      <c r="E99" s="1318"/>
      <c r="F99" s="1254"/>
      <c r="G99" s="1319"/>
      <c r="H99" s="1254"/>
      <c r="I99" s="1254"/>
      <c r="J99" s="1254"/>
      <c r="K99" s="1320"/>
      <c r="L99" s="1254"/>
      <c r="M99" s="1254"/>
      <c r="N99" s="1254"/>
      <c r="O99" s="1254"/>
      <c r="P99" s="1254"/>
      <c r="Q99" s="1254"/>
      <c r="R99" s="1254"/>
      <c r="S99" s="1254"/>
      <c r="T99" s="1254"/>
      <c r="U99" s="1254"/>
      <c r="V99" s="1254"/>
      <c r="W99" s="1254"/>
      <c r="X99" s="1254"/>
      <c r="Y99" s="1254"/>
      <c r="Z99" s="1254"/>
    </row>
    <row r="100">
      <c r="A100" s="1254"/>
      <c r="B100" s="1263"/>
      <c r="C100" s="1317"/>
      <c r="D100" s="1263"/>
      <c r="E100" s="1318"/>
      <c r="F100" s="1254"/>
      <c r="G100" s="1319"/>
      <c r="H100" s="1254"/>
      <c r="I100" s="1254"/>
      <c r="J100" s="1254"/>
      <c r="K100" s="1320"/>
      <c r="L100" s="1254"/>
      <c r="M100" s="1254"/>
      <c r="N100" s="1254"/>
      <c r="O100" s="1254"/>
      <c r="P100" s="1254"/>
      <c r="Q100" s="1254"/>
      <c r="R100" s="1254"/>
      <c r="S100" s="1254"/>
      <c r="T100" s="1254"/>
      <c r="U100" s="1254"/>
      <c r="V100" s="1254"/>
      <c r="W100" s="1254"/>
      <c r="X100" s="1254"/>
      <c r="Y100" s="1254"/>
      <c r="Z100" s="1254"/>
    </row>
    <row r="101">
      <c r="A101" s="1254"/>
      <c r="B101" s="1263"/>
      <c r="C101" s="1317"/>
      <c r="D101" s="1263"/>
      <c r="E101" s="1318"/>
      <c r="F101" s="1254"/>
      <c r="G101" s="1319"/>
      <c r="H101" s="1254"/>
      <c r="I101" s="1254"/>
      <c r="J101" s="1254"/>
      <c r="K101" s="1320"/>
      <c r="L101" s="1254"/>
      <c r="M101" s="1254"/>
      <c r="N101" s="1254"/>
      <c r="O101" s="1254"/>
      <c r="P101" s="1254"/>
      <c r="Q101" s="1254"/>
      <c r="R101" s="1254"/>
      <c r="S101" s="1254"/>
      <c r="T101" s="1254"/>
      <c r="U101" s="1254"/>
      <c r="V101" s="1254"/>
      <c r="W101" s="1254"/>
      <c r="X101" s="1254"/>
      <c r="Y101" s="1254"/>
      <c r="Z101" s="1254"/>
    </row>
    <row r="102">
      <c r="A102" s="1254"/>
      <c r="B102" s="1263"/>
      <c r="C102" s="1317"/>
      <c r="D102" s="1263"/>
      <c r="E102" s="1318"/>
      <c r="F102" s="1254"/>
      <c r="G102" s="1319"/>
      <c r="H102" s="1254"/>
      <c r="I102" s="1254"/>
      <c r="J102" s="1254"/>
      <c r="K102" s="1320"/>
      <c r="L102" s="1254"/>
      <c r="M102" s="1254"/>
      <c r="N102" s="1254"/>
      <c r="O102" s="1254"/>
      <c r="P102" s="1254"/>
      <c r="Q102" s="1254"/>
      <c r="R102" s="1254"/>
      <c r="S102" s="1254"/>
      <c r="T102" s="1254"/>
      <c r="U102" s="1254"/>
      <c r="V102" s="1254"/>
      <c r="W102" s="1254"/>
      <c r="X102" s="1254"/>
      <c r="Y102" s="1254"/>
      <c r="Z102" s="1254"/>
    </row>
    <row r="103">
      <c r="A103" s="1254"/>
      <c r="B103" s="1263"/>
      <c r="C103" s="1317"/>
      <c r="D103" s="1263"/>
      <c r="E103" s="1318"/>
      <c r="F103" s="1254"/>
      <c r="G103" s="1319"/>
      <c r="H103" s="1254"/>
      <c r="I103" s="1254"/>
      <c r="J103" s="1254"/>
      <c r="K103" s="1320"/>
      <c r="L103" s="1254"/>
      <c r="M103" s="1254"/>
      <c r="N103" s="1254"/>
      <c r="O103" s="1254"/>
      <c r="P103" s="1254"/>
      <c r="Q103" s="1254"/>
      <c r="R103" s="1254"/>
      <c r="S103" s="1254"/>
      <c r="T103" s="1254"/>
      <c r="U103" s="1254"/>
      <c r="V103" s="1254"/>
      <c r="W103" s="1254"/>
      <c r="X103" s="1254"/>
      <c r="Y103" s="1254"/>
      <c r="Z103" s="1254"/>
    </row>
    <row r="104">
      <c r="A104" s="1254"/>
      <c r="B104" s="1263"/>
      <c r="C104" s="1317"/>
      <c r="D104" s="1263"/>
      <c r="E104" s="1318"/>
      <c r="F104" s="1254"/>
      <c r="G104" s="1319"/>
      <c r="H104" s="1254"/>
      <c r="I104" s="1254"/>
      <c r="J104" s="1254"/>
      <c r="K104" s="1320"/>
      <c r="L104" s="1254"/>
      <c r="M104" s="1254"/>
      <c r="N104" s="1254"/>
      <c r="O104" s="1254"/>
      <c r="P104" s="1254"/>
      <c r="Q104" s="1254"/>
      <c r="R104" s="1254"/>
      <c r="S104" s="1254"/>
      <c r="T104" s="1254"/>
      <c r="U104" s="1254"/>
      <c r="V104" s="1254"/>
      <c r="W104" s="1254"/>
      <c r="X104" s="1254"/>
      <c r="Y104" s="1254"/>
      <c r="Z104" s="1254"/>
    </row>
    <row r="105">
      <c r="A105" s="1254"/>
      <c r="B105" s="1263"/>
      <c r="C105" s="1317"/>
      <c r="D105" s="1263"/>
      <c r="E105" s="1318"/>
      <c r="F105" s="1254"/>
      <c r="G105" s="1319"/>
      <c r="H105" s="1254"/>
      <c r="I105" s="1254"/>
      <c r="J105" s="1254"/>
      <c r="K105" s="1320"/>
      <c r="L105" s="1254"/>
      <c r="M105" s="1254"/>
      <c r="N105" s="1254"/>
      <c r="O105" s="1254"/>
      <c r="P105" s="1254"/>
      <c r="Q105" s="1254"/>
      <c r="R105" s="1254"/>
      <c r="S105" s="1254"/>
      <c r="T105" s="1254"/>
      <c r="U105" s="1254"/>
      <c r="V105" s="1254"/>
      <c r="W105" s="1254"/>
      <c r="X105" s="1254"/>
      <c r="Y105" s="1254"/>
      <c r="Z105" s="1254"/>
    </row>
    <row r="106">
      <c r="A106" s="1254"/>
      <c r="B106" s="1263"/>
      <c r="C106" s="1317"/>
      <c r="D106" s="1263"/>
      <c r="E106" s="1318"/>
      <c r="F106" s="1254"/>
      <c r="G106" s="1319"/>
      <c r="H106" s="1254"/>
      <c r="I106" s="1254"/>
      <c r="J106" s="1254"/>
      <c r="K106" s="1320"/>
      <c r="L106" s="1254"/>
      <c r="M106" s="1254"/>
      <c r="N106" s="1254"/>
      <c r="O106" s="1254"/>
      <c r="P106" s="1254"/>
      <c r="Q106" s="1254"/>
      <c r="R106" s="1254"/>
      <c r="S106" s="1254"/>
      <c r="T106" s="1254"/>
      <c r="U106" s="1254"/>
      <c r="V106" s="1254"/>
      <c r="W106" s="1254"/>
      <c r="X106" s="1254"/>
      <c r="Y106" s="1254"/>
      <c r="Z106" s="1254"/>
    </row>
    <row r="107">
      <c r="A107" s="1254"/>
      <c r="B107" s="1263"/>
      <c r="C107" s="1317"/>
      <c r="D107" s="1263"/>
      <c r="E107" s="1318"/>
      <c r="F107" s="1254"/>
      <c r="G107" s="1319"/>
      <c r="H107" s="1254"/>
      <c r="I107" s="1254"/>
      <c r="J107" s="1254"/>
      <c r="K107" s="1320"/>
      <c r="L107" s="1254"/>
      <c r="M107" s="1254"/>
      <c r="N107" s="1254"/>
      <c r="O107" s="1254"/>
      <c r="P107" s="1254"/>
      <c r="Q107" s="1254"/>
      <c r="R107" s="1254"/>
      <c r="S107" s="1254"/>
      <c r="T107" s="1254"/>
      <c r="U107" s="1254"/>
      <c r="V107" s="1254"/>
      <c r="W107" s="1254"/>
      <c r="X107" s="1254"/>
      <c r="Y107" s="1254"/>
      <c r="Z107" s="1254"/>
    </row>
    <row r="108">
      <c r="A108" s="1254"/>
      <c r="B108" s="1263"/>
      <c r="C108" s="1317"/>
      <c r="D108" s="1263"/>
      <c r="E108" s="1318"/>
      <c r="F108" s="1254"/>
      <c r="G108" s="1319"/>
      <c r="H108" s="1254"/>
      <c r="I108" s="1254"/>
      <c r="J108" s="1254"/>
      <c r="K108" s="1320"/>
      <c r="L108" s="1254"/>
      <c r="M108" s="1254"/>
      <c r="N108" s="1254"/>
      <c r="O108" s="1254"/>
      <c r="P108" s="1254"/>
      <c r="Q108" s="1254"/>
      <c r="R108" s="1254"/>
      <c r="S108" s="1254"/>
      <c r="T108" s="1254"/>
      <c r="U108" s="1254"/>
      <c r="V108" s="1254"/>
      <c r="W108" s="1254"/>
      <c r="X108" s="1254"/>
      <c r="Y108" s="1254"/>
      <c r="Z108" s="1254"/>
    </row>
    <row r="109">
      <c r="A109" s="1254"/>
      <c r="B109" s="1263"/>
      <c r="C109" s="1317"/>
      <c r="D109" s="1263"/>
      <c r="E109" s="1318"/>
      <c r="F109" s="1254"/>
      <c r="G109" s="1319"/>
      <c r="H109" s="1254"/>
      <c r="I109" s="1254"/>
      <c r="J109" s="1254"/>
      <c r="K109" s="1320"/>
      <c r="L109" s="1254"/>
      <c r="M109" s="1254"/>
      <c r="N109" s="1254"/>
      <c r="O109" s="1254"/>
      <c r="P109" s="1254"/>
      <c r="Q109" s="1254"/>
      <c r="R109" s="1254"/>
      <c r="S109" s="1254"/>
      <c r="T109" s="1254"/>
      <c r="U109" s="1254"/>
      <c r="V109" s="1254"/>
      <c r="W109" s="1254"/>
      <c r="X109" s="1254"/>
      <c r="Y109" s="1254"/>
      <c r="Z109" s="1254"/>
    </row>
    <row r="110">
      <c r="A110" s="1254"/>
      <c r="B110" s="1263"/>
      <c r="C110" s="1317"/>
      <c r="D110" s="1263"/>
      <c r="E110" s="1318"/>
      <c r="F110" s="1254"/>
      <c r="G110" s="1319"/>
      <c r="H110" s="1254"/>
      <c r="I110" s="1254"/>
      <c r="J110" s="1254"/>
      <c r="K110" s="1320"/>
      <c r="L110" s="1254"/>
      <c r="M110" s="1254"/>
      <c r="N110" s="1254"/>
      <c r="O110" s="1254"/>
      <c r="P110" s="1254"/>
      <c r="Q110" s="1254"/>
      <c r="R110" s="1254"/>
      <c r="S110" s="1254"/>
      <c r="T110" s="1254"/>
      <c r="U110" s="1254"/>
      <c r="V110" s="1254"/>
      <c r="W110" s="1254"/>
      <c r="X110" s="1254"/>
      <c r="Y110" s="1254"/>
      <c r="Z110" s="1254"/>
    </row>
    <row r="111">
      <c r="A111" s="1254"/>
      <c r="B111" s="1263"/>
      <c r="C111" s="1317"/>
      <c r="D111" s="1263"/>
      <c r="E111" s="1318"/>
      <c r="F111" s="1254"/>
      <c r="G111" s="1319"/>
      <c r="H111" s="1254"/>
      <c r="I111" s="1254"/>
      <c r="J111" s="1254"/>
      <c r="K111" s="1320"/>
      <c r="L111" s="1254"/>
      <c r="M111" s="1254"/>
      <c r="N111" s="1254"/>
      <c r="O111" s="1254"/>
      <c r="P111" s="1254"/>
      <c r="Q111" s="1254"/>
      <c r="R111" s="1254"/>
      <c r="S111" s="1254"/>
      <c r="T111" s="1254"/>
      <c r="U111" s="1254"/>
      <c r="V111" s="1254"/>
      <c r="W111" s="1254"/>
      <c r="X111" s="1254"/>
      <c r="Y111" s="1254"/>
      <c r="Z111" s="1254"/>
    </row>
    <row r="112">
      <c r="A112" s="1254"/>
      <c r="B112" s="1263"/>
      <c r="C112" s="1317"/>
      <c r="D112" s="1263"/>
      <c r="E112" s="1318"/>
      <c r="F112" s="1254"/>
      <c r="G112" s="1319"/>
      <c r="H112" s="1254"/>
      <c r="I112" s="1254"/>
      <c r="J112" s="1254"/>
      <c r="K112" s="1320"/>
      <c r="L112" s="1254"/>
      <c r="M112" s="1254"/>
      <c r="N112" s="1254"/>
      <c r="O112" s="1254"/>
      <c r="P112" s="1254"/>
      <c r="Q112" s="1254"/>
      <c r="R112" s="1254"/>
      <c r="S112" s="1254"/>
      <c r="T112" s="1254"/>
      <c r="U112" s="1254"/>
      <c r="V112" s="1254"/>
      <c r="W112" s="1254"/>
      <c r="X112" s="1254"/>
      <c r="Y112" s="1254"/>
      <c r="Z112" s="1254"/>
    </row>
    <row r="113">
      <c r="A113" s="1254"/>
      <c r="B113" s="1263"/>
      <c r="C113" s="1317"/>
      <c r="D113" s="1263"/>
      <c r="E113" s="1318"/>
      <c r="F113" s="1254"/>
      <c r="G113" s="1319"/>
      <c r="H113" s="1254"/>
      <c r="I113" s="1254"/>
      <c r="J113" s="1254"/>
      <c r="K113" s="1320"/>
      <c r="L113" s="1254"/>
      <c r="M113" s="1254"/>
      <c r="N113" s="1254"/>
      <c r="O113" s="1254"/>
      <c r="P113" s="1254"/>
      <c r="Q113" s="1254"/>
      <c r="R113" s="1254"/>
      <c r="S113" s="1254"/>
      <c r="T113" s="1254"/>
      <c r="U113" s="1254"/>
      <c r="V113" s="1254"/>
      <c r="W113" s="1254"/>
      <c r="X113" s="1254"/>
      <c r="Y113" s="1254"/>
      <c r="Z113" s="1254"/>
    </row>
    <row r="114">
      <c r="A114" s="1254"/>
      <c r="B114" s="1263"/>
      <c r="C114" s="1317"/>
      <c r="D114" s="1263"/>
      <c r="E114" s="1318"/>
      <c r="F114" s="1254"/>
      <c r="G114" s="1319"/>
      <c r="H114" s="1254"/>
      <c r="I114" s="1254"/>
      <c r="J114" s="1254"/>
      <c r="K114" s="1320"/>
      <c r="L114" s="1254"/>
      <c r="M114" s="1254"/>
      <c r="N114" s="1254"/>
      <c r="O114" s="1254"/>
      <c r="P114" s="1254"/>
      <c r="Q114" s="1254"/>
      <c r="R114" s="1254"/>
      <c r="S114" s="1254"/>
      <c r="T114" s="1254"/>
      <c r="U114" s="1254"/>
      <c r="V114" s="1254"/>
      <c r="W114" s="1254"/>
      <c r="X114" s="1254"/>
      <c r="Y114" s="1254"/>
      <c r="Z114" s="1254"/>
    </row>
    <row r="115">
      <c r="A115" s="1254"/>
      <c r="B115" s="1263"/>
      <c r="C115" s="1317"/>
      <c r="D115" s="1263"/>
      <c r="E115" s="1318"/>
      <c r="F115" s="1254"/>
      <c r="G115" s="1319"/>
      <c r="H115" s="1254"/>
      <c r="I115" s="1254"/>
      <c r="J115" s="1254"/>
      <c r="K115" s="1320"/>
      <c r="L115" s="1254"/>
      <c r="M115" s="1254"/>
      <c r="N115" s="1254"/>
      <c r="O115" s="1254"/>
      <c r="P115" s="1254"/>
      <c r="Q115" s="1254"/>
      <c r="R115" s="1254"/>
      <c r="S115" s="1254"/>
      <c r="T115" s="1254"/>
      <c r="U115" s="1254"/>
      <c r="V115" s="1254"/>
      <c r="W115" s="1254"/>
      <c r="X115" s="1254"/>
      <c r="Y115" s="1254"/>
      <c r="Z115" s="1254"/>
    </row>
    <row r="116">
      <c r="A116" s="1254"/>
      <c r="B116" s="1263"/>
      <c r="C116" s="1317"/>
      <c r="D116" s="1263"/>
      <c r="E116" s="1318"/>
      <c r="F116" s="1254"/>
      <c r="G116" s="1319"/>
      <c r="H116" s="1254"/>
      <c r="I116" s="1254"/>
      <c r="J116" s="1254"/>
      <c r="K116" s="1320"/>
      <c r="L116" s="1254"/>
      <c r="M116" s="1254"/>
      <c r="N116" s="1254"/>
      <c r="O116" s="1254"/>
      <c r="P116" s="1254"/>
      <c r="Q116" s="1254"/>
      <c r="R116" s="1254"/>
      <c r="S116" s="1254"/>
      <c r="T116" s="1254"/>
      <c r="U116" s="1254"/>
      <c r="V116" s="1254"/>
      <c r="W116" s="1254"/>
      <c r="X116" s="1254"/>
      <c r="Y116" s="1254"/>
      <c r="Z116" s="1254"/>
    </row>
    <row r="117">
      <c r="A117" s="1254"/>
      <c r="B117" s="1263"/>
      <c r="C117" s="1317"/>
      <c r="D117" s="1263"/>
      <c r="E117" s="1318"/>
      <c r="F117" s="1254"/>
      <c r="G117" s="1319"/>
      <c r="H117" s="1254"/>
      <c r="I117" s="1254"/>
      <c r="J117" s="1254"/>
      <c r="K117" s="1320"/>
      <c r="L117" s="1254"/>
      <c r="M117" s="1254"/>
      <c r="N117" s="1254"/>
      <c r="O117" s="1254"/>
      <c r="P117" s="1254"/>
      <c r="Q117" s="1254"/>
      <c r="R117" s="1254"/>
      <c r="S117" s="1254"/>
      <c r="T117" s="1254"/>
      <c r="U117" s="1254"/>
      <c r="V117" s="1254"/>
      <c r="W117" s="1254"/>
      <c r="X117" s="1254"/>
      <c r="Y117" s="1254"/>
      <c r="Z117" s="1254"/>
    </row>
    <row r="118">
      <c r="A118" s="1254"/>
      <c r="B118" s="1263"/>
      <c r="C118" s="1317"/>
      <c r="D118" s="1263"/>
      <c r="E118" s="1318"/>
      <c r="F118" s="1254"/>
      <c r="G118" s="1319"/>
      <c r="H118" s="1254"/>
      <c r="I118" s="1254"/>
      <c r="J118" s="1254"/>
      <c r="K118" s="1320"/>
      <c r="L118" s="1254"/>
      <c r="M118" s="1254"/>
      <c r="N118" s="1254"/>
      <c r="O118" s="1254"/>
      <c r="P118" s="1254"/>
      <c r="Q118" s="1254"/>
      <c r="R118" s="1254"/>
      <c r="S118" s="1254"/>
      <c r="T118" s="1254"/>
      <c r="U118" s="1254"/>
      <c r="V118" s="1254"/>
      <c r="W118" s="1254"/>
      <c r="X118" s="1254"/>
      <c r="Y118" s="1254"/>
      <c r="Z118" s="1254"/>
    </row>
    <row r="119">
      <c r="A119" s="1254"/>
      <c r="B119" s="1263"/>
      <c r="C119" s="1317"/>
      <c r="D119" s="1263"/>
      <c r="E119" s="1318"/>
      <c r="F119" s="1254"/>
      <c r="G119" s="1319"/>
      <c r="H119" s="1254"/>
      <c r="I119" s="1254"/>
      <c r="J119" s="1254"/>
      <c r="K119" s="1320"/>
      <c r="L119" s="1254"/>
      <c r="M119" s="1254"/>
      <c r="N119" s="1254"/>
      <c r="O119" s="1254"/>
      <c r="P119" s="1254"/>
      <c r="Q119" s="1254"/>
      <c r="R119" s="1254"/>
      <c r="S119" s="1254"/>
      <c r="T119" s="1254"/>
      <c r="U119" s="1254"/>
      <c r="V119" s="1254"/>
      <c r="W119" s="1254"/>
      <c r="X119" s="1254"/>
      <c r="Y119" s="1254"/>
      <c r="Z119" s="1254"/>
    </row>
    <row r="120">
      <c r="A120" s="1254"/>
      <c r="B120" s="1263"/>
      <c r="C120" s="1317"/>
      <c r="D120" s="1263"/>
      <c r="E120" s="1318"/>
      <c r="F120" s="1254"/>
      <c r="G120" s="1319"/>
      <c r="H120" s="1254"/>
      <c r="I120" s="1254"/>
      <c r="J120" s="1254"/>
      <c r="K120" s="1320"/>
      <c r="L120" s="1254"/>
      <c r="M120" s="1254"/>
      <c r="N120" s="1254"/>
      <c r="O120" s="1254"/>
      <c r="P120" s="1254"/>
      <c r="Q120" s="1254"/>
      <c r="R120" s="1254"/>
      <c r="S120" s="1254"/>
      <c r="T120" s="1254"/>
      <c r="U120" s="1254"/>
      <c r="V120" s="1254"/>
      <c r="W120" s="1254"/>
      <c r="X120" s="1254"/>
      <c r="Y120" s="1254"/>
      <c r="Z120" s="1254"/>
    </row>
    <row r="121">
      <c r="A121" s="1254"/>
      <c r="B121" s="1263"/>
      <c r="C121" s="1317"/>
      <c r="D121" s="1263"/>
      <c r="E121" s="1318"/>
      <c r="F121" s="1254"/>
      <c r="G121" s="1319"/>
      <c r="H121" s="1254"/>
      <c r="I121" s="1254"/>
      <c r="J121" s="1254"/>
      <c r="K121" s="1320"/>
      <c r="L121" s="1254"/>
      <c r="M121" s="1254"/>
      <c r="N121" s="1254"/>
      <c r="O121" s="1254"/>
      <c r="P121" s="1254"/>
      <c r="Q121" s="1254"/>
      <c r="R121" s="1254"/>
      <c r="S121" s="1254"/>
      <c r="T121" s="1254"/>
      <c r="U121" s="1254"/>
      <c r="V121" s="1254"/>
      <c r="W121" s="1254"/>
      <c r="X121" s="1254"/>
      <c r="Y121" s="1254"/>
      <c r="Z121" s="1254"/>
    </row>
    <row r="122">
      <c r="A122" s="1254"/>
      <c r="B122" s="1263"/>
      <c r="C122" s="1317"/>
      <c r="D122" s="1263"/>
      <c r="E122" s="1318"/>
      <c r="F122" s="1254"/>
      <c r="G122" s="1319"/>
      <c r="H122" s="1254"/>
      <c r="I122" s="1254"/>
      <c r="J122" s="1254"/>
      <c r="K122" s="1320"/>
      <c r="L122" s="1254"/>
      <c r="M122" s="1254"/>
      <c r="N122" s="1254"/>
      <c r="O122" s="1254"/>
      <c r="P122" s="1254"/>
      <c r="Q122" s="1254"/>
      <c r="R122" s="1254"/>
      <c r="S122" s="1254"/>
      <c r="T122" s="1254"/>
      <c r="U122" s="1254"/>
      <c r="V122" s="1254"/>
      <c r="W122" s="1254"/>
      <c r="X122" s="1254"/>
      <c r="Y122" s="1254"/>
      <c r="Z122" s="1254"/>
    </row>
    <row r="123">
      <c r="A123" s="1254"/>
      <c r="B123" s="1263"/>
      <c r="C123" s="1317"/>
      <c r="D123" s="1263"/>
      <c r="E123" s="1318"/>
      <c r="F123" s="1254"/>
      <c r="G123" s="1319"/>
      <c r="H123" s="1254"/>
      <c r="I123" s="1254"/>
      <c r="J123" s="1254"/>
      <c r="K123" s="1320"/>
      <c r="L123" s="1254"/>
      <c r="M123" s="1254"/>
      <c r="N123" s="1254"/>
      <c r="O123" s="1254"/>
      <c r="P123" s="1254"/>
      <c r="Q123" s="1254"/>
      <c r="R123" s="1254"/>
      <c r="S123" s="1254"/>
      <c r="T123" s="1254"/>
      <c r="U123" s="1254"/>
      <c r="V123" s="1254"/>
      <c r="W123" s="1254"/>
      <c r="X123" s="1254"/>
      <c r="Y123" s="1254"/>
      <c r="Z123" s="1254"/>
    </row>
    <row r="124">
      <c r="A124" s="1254"/>
      <c r="B124" s="1263"/>
      <c r="C124" s="1317"/>
      <c r="D124" s="1263"/>
      <c r="E124" s="1318"/>
      <c r="F124" s="1254"/>
      <c r="G124" s="1319"/>
      <c r="H124" s="1254"/>
      <c r="I124" s="1254"/>
      <c r="J124" s="1254"/>
      <c r="K124" s="1320"/>
      <c r="L124" s="1254"/>
      <c r="M124" s="1254"/>
      <c r="N124" s="1254"/>
      <c r="O124" s="1254"/>
      <c r="P124" s="1254"/>
      <c r="Q124" s="1254"/>
      <c r="R124" s="1254"/>
      <c r="S124" s="1254"/>
      <c r="T124" s="1254"/>
      <c r="U124" s="1254"/>
      <c r="V124" s="1254"/>
      <c r="W124" s="1254"/>
      <c r="X124" s="1254"/>
      <c r="Y124" s="1254"/>
      <c r="Z124" s="1254"/>
    </row>
    <row r="125">
      <c r="A125" s="1254"/>
      <c r="B125" s="1263"/>
      <c r="C125" s="1317"/>
      <c r="D125" s="1263"/>
      <c r="E125" s="1318"/>
      <c r="F125" s="1254"/>
      <c r="G125" s="1319"/>
      <c r="H125" s="1254"/>
      <c r="I125" s="1254"/>
      <c r="J125" s="1254"/>
      <c r="K125" s="1320"/>
      <c r="L125" s="1254"/>
      <c r="M125" s="1254"/>
      <c r="N125" s="1254"/>
      <c r="O125" s="1254"/>
      <c r="P125" s="1254"/>
      <c r="Q125" s="1254"/>
      <c r="R125" s="1254"/>
      <c r="S125" s="1254"/>
      <c r="T125" s="1254"/>
      <c r="U125" s="1254"/>
      <c r="V125" s="1254"/>
      <c r="W125" s="1254"/>
      <c r="X125" s="1254"/>
      <c r="Y125" s="1254"/>
      <c r="Z125" s="1254"/>
    </row>
    <row r="126">
      <c r="A126" s="1254"/>
      <c r="B126" s="1263"/>
      <c r="C126" s="1317"/>
      <c r="D126" s="1263"/>
      <c r="E126" s="1318"/>
      <c r="F126" s="1254"/>
      <c r="G126" s="1319"/>
      <c r="H126" s="1254"/>
      <c r="I126" s="1254"/>
      <c r="J126" s="1254"/>
      <c r="K126" s="1320"/>
      <c r="L126" s="1254"/>
      <c r="M126" s="1254"/>
      <c r="N126" s="1254"/>
      <c r="O126" s="1254"/>
      <c r="P126" s="1254"/>
      <c r="Q126" s="1254"/>
      <c r="R126" s="1254"/>
      <c r="S126" s="1254"/>
      <c r="T126" s="1254"/>
      <c r="U126" s="1254"/>
      <c r="V126" s="1254"/>
      <c r="W126" s="1254"/>
      <c r="X126" s="1254"/>
      <c r="Y126" s="1254"/>
      <c r="Z126" s="1254"/>
    </row>
    <row r="127">
      <c r="A127" s="1254"/>
      <c r="B127" s="1263"/>
      <c r="C127" s="1317"/>
      <c r="D127" s="1263"/>
      <c r="E127" s="1318"/>
      <c r="F127" s="1254"/>
      <c r="G127" s="1319"/>
      <c r="H127" s="1254"/>
      <c r="I127" s="1254"/>
      <c r="J127" s="1254"/>
      <c r="K127" s="1320"/>
      <c r="L127" s="1254"/>
      <c r="M127" s="1254"/>
      <c r="N127" s="1254"/>
      <c r="O127" s="1254"/>
      <c r="P127" s="1254"/>
      <c r="Q127" s="1254"/>
      <c r="R127" s="1254"/>
      <c r="S127" s="1254"/>
      <c r="T127" s="1254"/>
      <c r="U127" s="1254"/>
      <c r="V127" s="1254"/>
      <c r="W127" s="1254"/>
      <c r="X127" s="1254"/>
      <c r="Y127" s="1254"/>
      <c r="Z127" s="1254"/>
    </row>
    <row r="128">
      <c r="A128" s="1254"/>
      <c r="B128" s="1263"/>
      <c r="C128" s="1317"/>
      <c r="D128" s="1263"/>
      <c r="E128" s="1318"/>
      <c r="F128" s="1254"/>
      <c r="G128" s="1319"/>
      <c r="H128" s="1254"/>
      <c r="I128" s="1254"/>
      <c r="J128" s="1254"/>
      <c r="K128" s="1320"/>
      <c r="L128" s="1254"/>
      <c r="M128" s="1254"/>
      <c r="N128" s="1254"/>
      <c r="O128" s="1254"/>
      <c r="P128" s="1254"/>
      <c r="Q128" s="1254"/>
      <c r="R128" s="1254"/>
      <c r="S128" s="1254"/>
      <c r="T128" s="1254"/>
      <c r="U128" s="1254"/>
      <c r="V128" s="1254"/>
      <c r="W128" s="1254"/>
      <c r="X128" s="1254"/>
      <c r="Y128" s="1254"/>
      <c r="Z128" s="1254"/>
    </row>
    <row r="129">
      <c r="A129" s="1254"/>
      <c r="B129" s="1263"/>
      <c r="C129" s="1317"/>
      <c r="D129" s="1263"/>
      <c r="E129" s="1318"/>
      <c r="F129" s="1254"/>
      <c r="G129" s="1319"/>
      <c r="H129" s="1254"/>
      <c r="I129" s="1254"/>
      <c r="J129" s="1254"/>
      <c r="K129" s="1320"/>
      <c r="L129" s="1254"/>
      <c r="M129" s="1254"/>
      <c r="N129" s="1254"/>
      <c r="O129" s="1254"/>
      <c r="P129" s="1254"/>
      <c r="Q129" s="1254"/>
      <c r="R129" s="1254"/>
      <c r="S129" s="1254"/>
      <c r="T129" s="1254"/>
      <c r="U129" s="1254"/>
      <c r="V129" s="1254"/>
      <c r="W129" s="1254"/>
      <c r="X129" s="1254"/>
      <c r="Y129" s="1254"/>
      <c r="Z129" s="1254"/>
    </row>
    <row r="130">
      <c r="A130" s="1254"/>
      <c r="B130" s="1263"/>
      <c r="C130" s="1317"/>
      <c r="D130" s="1263"/>
      <c r="E130" s="1318"/>
      <c r="F130" s="1254"/>
      <c r="G130" s="1319"/>
      <c r="H130" s="1254"/>
      <c r="I130" s="1254"/>
      <c r="J130" s="1254"/>
      <c r="K130" s="1320"/>
      <c r="L130" s="1254"/>
      <c r="M130" s="1254"/>
      <c r="N130" s="1254"/>
      <c r="O130" s="1254"/>
      <c r="P130" s="1254"/>
      <c r="Q130" s="1254"/>
      <c r="R130" s="1254"/>
      <c r="S130" s="1254"/>
      <c r="T130" s="1254"/>
      <c r="U130" s="1254"/>
      <c r="V130" s="1254"/>
      <c r="W130" s="1254"/>
      <c r="X130" s="1254"/>
      <c r="Y130" s="1254"/>
      <c r="Z130" s="1254"/>
    </row>
    <row r="131">
      <c r="A131" s="1254"/>
      <c r="B131" s="1263"/>
      <c r="C131" s="1317"/>
      <c r="D131" s="1263"/>
      <c r="E131" s="1318"/>
      <c r="F131" s="1254"/>
      <c r="G131" s="1319"/>
      <c r="H131" s="1254"/>
      <c r="I131" s="1254"/>
      <c r="J131" s="1254"/>
      <c r="K131" s="1320"/>
      <c r="L131" s="1254"/>
      <c r="M131" s="1254"/>
      <c r="N131" s="1254"/>
      <c r="O131" s="1254"/>
      <c r="P131" s="1254"/>
      <c r="Q131" s="1254"/>
      <c r="R131" s="1254"/>
      <c r="S131" s="1254"/>
      <c r="T131" s="1254"/>
      <c r="U131" s="1254"/>
      <c r="V131" s="1254"/>
      <c r="W131" s="1254"/>
      <c r="X131" s="1254"/>
      <c r="Y131" s="1254"/>
      <c r="Z131" s="1254"/>
    </row>
    <row r="132">
      <c r="A132" s="1254"/>
      <c r="B132" s="1263"/>
      <c r="C132" s="1317"/>
      <c r="D132" s="1263"/>
      <c r="E132" s="1318"/>
      <c r="F132" s="1254"/>
      <c r="G132" s="1319"/>
      <c r="H132" s="1254"/>
      <c r="I132" s="1254"/>
      <c r="J132" s="1254"/>
      <c r="K132" s="1320"/>
      <c r="L132" s="1254"/>
      <c r="M132" s="1254"/>
      <c r="N132" s="1254"/>
      <c r="O132" s="1254"/>
      <c r="P132" s="1254"/>
      <c r="Q132" s="1254"/>
      <c r="R132" s="1254"/>
      <c r="S132" s="1254"/>
      <c r="T132" s="1254"/>
      <c r="U132" s="1254"/>
      <c r="V132" s="1254"/>
      <c r="W132" s="1254"/>
      <c r="X132" s="1254"/>
      <c r="Y132" s="1254"/>
      <c r="Z132" s="1254"/>
    </row>
    <row r="133">
      <c r="A133" s="1254"/>
      <c r="B133" s="1263"/>
      <c r="C133" s="1317"/>
      <c r="D133" s="1263"/>
      <c r="E133" s="1318"/>
      <c r="F133" s="1254"/>
      <c r="G133" s="1319"/>
      <c r="H133" s="1254"/>
      <c r="I133" s="1254"/>
      <c r="J133" s="1254"/>
      <c r="K133" s="1320"/>
      <c r="L133" s="1254"/>
      <c r="M133" s="1254"/>
      <c r="N133" s="1254"/>
      <c r="O133" s="1254"/>
      <c r="P133" s="1254"/>
      <c r="Q133" s="1254"/>
      <c r="R133" s="1254"/>
      <c r="S133" s="1254"/>
      <c r="T133" s="1254"/>
      <c r="U133" s="1254"/>
      <c r="V133" s="1254"/>
      <c r="W133" s="1254"/>
      <c r="X133" s="1254"/>
      <c r="Y133" s="1254"/>
      <c r="Z133" s="1254"/>
    </row>
    <row r="134">
      <c r="A134" s="1254"/>
      <c r="B134" s="1263"/>
      <c r="C134" s="1317"/>
      <c r="D134" s="1263"/>
      <c r="E134" s="1318"/>
      <c r="F134" s="1254"/>
      <c r="G134" s="1319"/>
      <c r="H134" s="1254"/>
      <c r="I134" s="1254"/>
      <c r="J134" s="1254"/>
      <c r="K134" s="1320"/>
      <c r="L134" s="1254"/>
      <c r="M134" s="1254"/>
      <c r="N134" s="1254"/>
      <c r="O134" s="1254"/>
      <c r="P134" s="1254"/>
      <c r="Q134" s="1254"/>
      <c r="R134" s="1254"/>
      <c r="S134" s="1254"/>
      <c r="T134" s="1254"/>
      <c r="U134" s="1254"/>
      <c r="V134" s="1254"/>
      <c r="W134" s="1254"/>
      <c r="X134" s="1254"/>
      <c r="Y134" s="1254"/>
      <c r="Z134" s="1254"/>
    </row>
    <row r="135">
      <c r="A135" s="1254"/>
      <c r="B135" s="1263"/>
      <c r="C135" s="1317"/>
      <c r="D135" s="1263"/>
      <c r="E135" s="1318"/>
      <c r="F135" s="1254"/>
      <c r="G135" s="1319"/>
      <c r="H135" s="1254"/>
      <c r="I135" s="1254"/>
      <c r="J135" s="1254"/>
      <c r="K135" s="1320"/>
      <c r="L135" s="1254"/>
      <c r="M135" s="1254"/>
      <c r="N135" s="1254"/>
      <c r="O135" s="1254"/>
      <c r="P135" s="1254"/>
      <c r="Q135" s="1254"/>
      <c r="R135" s="1254"/>
      <c r="S135" s="1254"/>
      <c r="T135" s="1254"/>
      <c r="U135" s="1254"/>
      <c r="V135" s="1254"/>
      <c r="W135" s="1254"/>
      <c r="X135" s="1254"/>
      <c r="Y135" s="1254"/>
      <c r="Z135" s="1254"/>
    </row>
    <row r="136">
      <c r="A136" s="1254"/>
      <c r="B136" s="1263"/>
      <c r="C136" s="1317"/>
      <c r="D136" s="1263"/>
      <c r="E136" s="1318"/>
      <c r="F136" s="1254"/>
      <c r="G136" s="1319"/>
      <c r="H136" s="1254"/>
      <c r="I136" s="1254"/>
      <c r="J136" s="1254"/>
      <c r="K136" s="1320"/>
      <c r="L136" s="1254"/>
      <c r="M136" s="1254"/>
      <c r="N136" s="1254"/>
      <c r="O136" s="1254"/>
      <c r="P136" s="1254"/>
      <c r="Q136" s="1254"/>
      <c r="R136" s="1254"/>
      <c r="S136" s="1254"/>
      <c r="T136" s="1254"/>
      <c r="U136" s="1254"/>
      <c r="V136" s="1254"/>
      <c r="W136" s="1254"/>
      <c r="X136" s="1254"/>
      <c r="Y136" s="1254"/>
      <c r="Z136" s="1254"/>
    </row>
    <row r="137">
      <c r="A137" s="1254"/>
      <c r="B137" s="1263"/>
      <c r="C137" s="1317"/>
      <c r="D137" s="1263"/>
      <c r="E137" s="1318"/>
      <c r="F137" s="1254"/>
      <c r="G137" s="1319"/>
      <c r="H137" s="1254"/>
      <c r="I137" s="1254"/>
      <c r="J137" s="1254"/>
      <c r="K137" s="1320"/>
      <c r="L137" s="1254"/>
      <c r="M137" s="1254"/>
      <c r="N137" s="1254"/>
      <c r="O137" s="1254"/>
      <c r="P137" s="1254"/>
      <c r="Q137" s="1254"/>
      <c r="R137" s="1254"/>
      <c r="S137" s="1254"/>
      <c r="T137" s="1254"/>
      <c r="U137" s="1254"/>
      <c r="V137" s="1254"/>
      <c r="W137" s="1254"/>
      <c r="X137" s="1254"/>
      <c r="Y137" s="1254"/>
      <c r="Z137" s="1254"/>
    </row>
    <row r="138">
      <c r="A138" s="1254"/>
      <c r="B138" s="1263"/>
      <c r="C138" s="1317"/>
      <c r="D138" s="1263"/>
      <c r="E138" s="1318"/>
      <c r="F138" s="1254"/>
      <c r="G138" s="1319"/>
      <c r="H138" s="1254"/>
      <c r="I138" s="1254"/>
      <c r="J138" s="1254"/>
      <c r="K138" s="1320"/>
      <c r="L138" s="1254"/>
      <c r="M138" s="1254"/>
      <c r="N138" s="1254"/>
      <c r="O138" s="1254"/>
      <c r="P138" s="1254"/>
      <c r="Q138" s="1254"/>
      <c r="R138" s="1254"/>
      <c r="S138" s="1254"/>
      <c r="T138" s="1254"/>
      <c r="U138" s="1254"/>
      <c r="V138" s="1254"/>
      <c r="W138" s="1254"/>
      <c r="X138" s="1254"/>
      <c r="Y138" s="1254"/>
      <c r="Z138" s="1254"/>
    </row>
    <row r="139">
      <c r="A139" s="1254"/>
      <c r="B139" s="1263"/>
      <c r="C139" s="1317"/>
      <c r="D139" s="1263"/>
      <c r="E139" s="1318"/>
      <c r="F139" s="1254"/>
      <c r="G139" s="1319"/>
      <c r="H139" s="1254"/>
      <c r="I139" s="1254"/>
      <c r="J139" s="1254"/>
      <c r="K139" s="1320"/>
      <c r="L139" s="1254"/>
      <c r="M139" s="1254"/>
      <c r="N139" s="1254"/>
      <c r="O139" s="1254"/>
      <c r="P139" s="1254"/>
      <c r="Q139" s="1254"/>
      <c r="R139" s="1254"/>
      <c r="S139" s="1254"/>
      <c r="T139" s="1254"/>
      <c r="U139" s="1254"/>
      <c r="V139" s="1254"/>
      <c r="W139" s="1254"/>
      <c r="X139" s="1254"/>
      <c r="Y139" s="1254"/>
      <c r="Z139" s="1254"/>
    </row>
    <row r="140">
      <c r="A140" s="1254"/>
      <c r="B140" s="1263"/>
      <c r="C140" s="1317"/>
      <c r="D140" s="1263"/>
      <c r="E140" s="1318"/>
      <c r="F140" s="1254"/>
      <c r="G140" s="1319"/>
      <c r="H140" s="1254"/>
      <c r="I140" s="1254"/>
      <c r="J140" s="1254"/>
      <c r="K140" s="1320"/>
      <c r="L140" s="1254"/>
      <c r="M140" s="1254"/>
      <c r="N140" s="1254"/>
      <c r="O140" s="1254"/>
      <c r="P140" s="1254"/>
      <c r="Q140" s="1254"/>
      <c r="R140" s="1254"/>
      <c r="S140" s="1254"/>
      <c r="T140" s="1254"/>
      <c r="U140" s="1254"/>
      <c r="V140" s="1254"/>
      <c r="W140" s="1254"/>
      <c r="X140" s="1254"/>
      <c r="Y140" s="1254"/>
      <c r="Z140" s="1254"/>
    </row>
    <row r="141">
      <c r="A141" s="1254"/>
      <c r="B141" s="1263"/>
      <c r="C141" s="1317"/>
      <c r="D141" s="1263"/>
      <c r="E141" s="1318"/>
      <c r="F141" s="1254"/>
      <c r="G141" s="1319"/>
      <c r="H141" s="1254"/>
      <c r="I141" s="1254"/>
      <c r="J141" s="1254"/>
      <c r="K141" s="1320"/>
      <c r="L141" s="1254"/>
      <c r="M141" s="1254"/>
      <c r="N141" s="1254"/>
      <c r="O141" s="1254"/>
      <c r="P141" s="1254"/>
      <c r="Q141" s="1254"/>
      <c r="R141" s="1254"/>
      <c r="S141" s="1254"/>
      <c r="T141" s="1254"/>
      <c r="U141" s="1254"/>
      <c r="V141" s="1254"/>
      <c r="W141" s="1254"/>
      <c r="X141" s="1254"/>
      <c r="Y141" s="1254"/>
      <c r="Z141" s="1254"/>
    </row>
    <row r="142">
      <c r="A142" s="1254"/>
      <c r="B142" s="1263"/>
      <c r="C142" s="1317"/>
      <c r="D142" s="1263"/>
      <c r="E142" s="1318"/>
      <c r="F142" s="1254"/>
      <c r="G142" s="1319"/>
      <c r="H142" s="1254"/>
      <c r="I142" s="1254"/>
      <c r="J142" s="1254"/>
      <c r="K142" s="1320"/>
      <c r="L142" s="1254"/>
      <c r="M142" s="1254"/>
      <c r="N142" s="1254"/>
      <c r="O142" s="1254"/>
      <c r="P142" s="1254"/>
      <c r="Q142" s="1254"/>
      <c r="R142" s="1254"/>
      <c r="S142" s="1254"/>
      <c r="T142" s="1254"/>
      <c r="U142" s="1254"/>
      <c r="V142" s="1254"/>
      <c r="W142" s="1254"/>
      <c r="X142" s="1254"/>
      <c r="Y142" s="1254"/>
      <c r="Z142" s="1254"/>
    </row>
    <row r="143">
      <c r="A143" s="1254"/>
      <c r="B143" s="1263"/>
      <c r="C143" s="1317"/>
      <c r="D143" s="1263"/>
      <c r="E143" s="1318"/>
      <c r="F143" s="1254"/>
      <c r="G143" s="1319"/>
      <c r="H143" s="1254"/>
      <c r="I143" s="1254"/>
      <c r="J143" s="1254"/>
      <c r="K143" s="1320"/>
      <c r="L143" s="1254"/>
      <c r="M143" s="1254"/>
      <c r="N143" s="1254"/>
      <c r="O143" s="1254"/>
      <c r="P143" s="1254"/>
      <c r="Q143" s="1254"/>
      <c r="R143" s="1254"/>
      <c r="S143" s="1254"/>
      <c r="T143" s="1254"/>
      <c r="U143" s="1254"/>
      <c r="V143" s="1254"/>
      <c r="W143" s="1254"/>
      <c r="X143" s="1254"/>
      <c r="Y143" s="1254"/>
      <c r="Z143" s="1254"/>
    </row>
    <row r="144">
      <c r="A144" s="1254"/>
      <c r="B144" s="1263"/>
      <c r="C144" s="1317"/>
      <c r="D144" s="1263"/>
      <c r="E144" s="1318"/>
      <c r="F144" s="1254"/>
      <c r="G144" s="1319"/>
      <c r="H144" s="1254"/>
      <c r="I144" s="1254"/>
      <c r="J144" s="1254"/>
      <c r="K144" s="1320"/>
      <c r="L144" s="1254"/>
      <c r="M144" s="1254"/>
      <c r="N144" s="1254"/>
      <c r="O144" s="1254"/>
      <c r="P144" s="1254"/>
      <c r="Q144" s="1254"/>
      <c r="R144" s="1254"/>
      <c r="S144" s="1254"/>
      <c r="T144" s="1254"/>
      <c r="U144" s="1254"/>
      <c r="V144" s="1254"/>
      <c r="W144" s="1254"/>
      <c r="X144" s="1254"/>
      <c r="Y144" s="1254"/>
      <c r="Z144" s="1254"/>
    </row>
    <row r="145">
      <c r="A145" s="1254"/>
      <c r="B145" s="1263"/>
      <c r="C145" s="1317"/>
      <c r="D145" s="1263"/>
      <c r="E145" s="1318"/>
      <c r="F145" s="1254"/>
      <c r="G145" s="1319"/>
      <c r="H145" s="1254"/>
      <c r="I145" s="1254"/>
      <c r="J145" s="1254"/>
      <c r="K145" s="1320"/>
      <c r="L145" s="1254"/>
      <c r="M145" s="1254"/>
      <c r="N145" s="1254"/>
      <c r="O145" s="1254"/>
      <c r="P145" s="1254"/>
      <c r="Q145" s="1254"/>
      <c r="R145" s="1254"/>
      <c r="S145" s="1254"/>
      <c r="T145" s="1254"/>
      <c r="U145" s="1254"/>
      <c r="V145" s="1254"/>
      <c r="W145" s="1254"/>
      <c r="X145" s="1254"/>
      <c r="Y145" s="1254"/>
      <c r="Z145" s="1254"/>
    </row>
    <row r="146">
      <c r="A146" s="1254"/>
      <c r="B146" s="1263"/>
      <c r="C146" s="1317"/>
      <c r="D146" s="1263"/>
      <c r="E146" s="1318"/>
      <c r="F146" s="1254"/>
      <c r="G146" s="1319"/>
      <c r="H146" s="1254"/>
      <c r="I146" s="1254"/>
      <c r="J146" s="1254"/>
      <c r="K146" s="1320"/>
      <c r="L146" s="1254"/>
      <c r="M146" s="1254"/>
      <c r="N146" s="1254"/>
      <c r="O146" s="1254"/>
      <c r="P146" s="1254"/>
      <c r="Q146" s="1254"/>
      <c r="R146" s="1254"/>
      <c r="S146" s="1254"/>
      <c r="T146" s="1254"/>
      <c r="U146" s="1254"/>
      <c r="V146" s="1254"/>
      <c r="W146" s="1254"/>
      <c r="X146" s="1254"/>
      <c r="Y146" s="1254"/>
      <c r="Z146" s="1254"/>
    </row>
    <row r="147">
      <c r="A147" s="1254"/>
      <c r="B147" s="1263"/>
      <c r="C147" s="1317"/>
      <c r="D147" s="1263"/>
      <c r="E147" s="1318"/>
      <c r="F147" s="1254"/>
      <c r="G147" s="1319"/>
      <c r="H147" s="1254"/>
      <c r="I147" s="1254"/>
      <c r="J147" s="1254"/>
      <c r="K147" s="1320"/>
      <c r="L147" s="1254"/>
      <c r="M147" s="1254"/>
      <c r="N147" s="1254"/>
      <c r="O147" s="1254"/>
      <c r="P147" s="1254"/>
      <c r="Q147" s="1254"/>
      <c r="R147" s="1254"/>
      <c r="S147" s="1254"/>
      <c r="T147" s="1254"/>
      <c r="U147" s="1254"/>
      <c r="V147" s="1254"/>
      <c r="W147" s="1254"/>
      <c r="X147" s="1254"/>
      <c r="Y147" s="1254"/>
      <c r="Z147" s="1254"/>
    </row>
    <row r="148">
      <c r="A148" s="1254"/>
      <c r="B148" s="1263"/>
      <c r="C148" s="1317"/>
      <c r="D148" s="1263"/>
      <c r="E148" s="1318"/>
      <c r="F148" s="1254"/>
      <c r="G148" s="1319"/>
      <c r="H148" s="1254"/>
      <c r="I148" s="1254"/>
      <c r="J148" s="1254"/>
      <c r="K148" s="1320"/>
      <c r="L148" s="1254"/>
      <c r="M148" s="1254"/>
      <c r="N148" s="1254"/>
      <c r="O148" s="1254"/>
      <c r="P148" s="1254"/>
      <c r="Q148" s="1254"/>
      <c r="R148" s="1254"/>
      <c r="S148" s="1254"/>
      <c r="T148" s="1254"/>
      <c r="U148" s="1254"/>
      <c r="V148" s="1254"/>
      <c r="W148" s="1254"/>
      <c r="X148" s="1254"/>
      <c r="Y148" s="1254"/>
      <c r="Z148" s="1254"/>
    </row>
    <row r="149">
      <c r="A149" s="1254"/>
      <c r="B149" s="1263"/>
      <c r="C149" s="1317"/>
      <c r="D149" s="1263"/>
      <c r="E149" s="1318"/>
      <c r="F149" s="1254"/>
      <c r="G149" s="1319"/>
      <c r="H149" s="1254"/>
      <c r="I149" s="1254"/>
      <c r="J149" s="1254"/>
      <c r="K149" s="1320"/>
      <c r="L149" s="1254"/>
      <c r="M149" s="1254"/>
      <c r="N149" s="1254"/>
      <c r="O149" s="1254"/>
      <c r="P149" s="1254"/>
      <c r="Q149" s="1254"/>
      <c r="R149" s="1254"/>
      <c r="S149" s="1254"/>
      <c r="T149" s="1254"/>
      <c r="U149" s="1254"/>
      <c r="V149" s="1254"/>
      <c r="W149" s="1254"/>
      <c r="X149" s="1254"/>
      <c r="Y149" s="1254"/>
      <c r="Z149" s="1254"/>
    </row>
    <row r="150">
      <c r="A150" s="1254"/>
      <c r="B150" s="1263"/>
      <c r="C150" s="1317"/>
      <c r="D150" s="1263"/>
      <c r="E150" s="1318"/>
      <c r="F150" s="1254"/>
      <c r="G150" s="1319"/>
      <c r="H150" s="1254"/>
      <c r="I150" s="1254"/>
      <c r="J150" s="1254"/>
      <c r="K150" s="1320"/>
      <c r="L150" s="1254"/>
      <c r="M150" s="1254"/>
      <c r="N150" s="1254"/>
      <c r="O150" s="1254"/>
      <c r="P150" s="1254"/>
      <c r="Q150" s="1254"/>
      <c r="R150" s="1254"/>
      <c r="S150" s="1254"/>
      <c r="T150" s="1254"/>
      <c r="U150" s="1254"/>
      <c r="V150" s="1254"/>
      <c r="W150" s="1254"/>
      <c r="X150" s="1254"/>
      <c r="Y150" s="1254"/>
      <c r="Z150" s="1254"/>
    </row>
    <row r="151">
      <c r="A151" s="1254"/>
      <c r="B151" s="1263"/>
      <c r="C151" s="1317"/>
      <c r="D151" s="1263"/>
      <c r="E151" s="1318"/>
      <c r="F151" s="1254"/>
      <c r="G151" s="1319"/>
      <c r="H151" s="1254"/>
      <c r="I151" s="1254"/>
      <c r="J151" s="1254"/>
      <c r="K151" s="1320"/>
      <c r="L151" s="1254"/>
      <c r="M151" s="1254"/>
      <c r="N151" s="1254"/>
      <c r="O151" s="1254"/>
      <c r="P151" s="1254"/>
      <c r="Q151" s="1254"/>
      <c r="R151" s="1254"/>
      <c r="S151" s="1254"/>
      <c r="T151" s="1254"/>
      <c r="U151" s="1254"/>
      <c r="V151" s="1254"/>
      <c r="W151" s="1254"/>
      <c r="X151" s="1254"/>
      <c r="Y151" s="1254"/>
      <c r="Z151" s="1254"/>
    </row>
    <row r="152">
      <c r="A152" s="1254"/>
      <c r="B152" s="1263"/>
      <c r="C152" s="1317"/>
      <c r="D152" s="1263"/>
      <c r="E152" s="1318"/>
      <c r="F152" s="1254"/>
      <c r="G152" s="1319"/>
      <c r="H152" s="1254"/>
      <c r="I152" s="1254"/>
      <c r="J152" s="1254"/>
      <c r="K152" s="1320"/>
      <c r="L152" s="1254"/>
      <c r="M152" s="1254"/>
      <c r="N152" s="1254"/>
      <c r="O152" s="1254"/>
      <c r="P152" s="1254"/>
      <c r="Q152" s="1254"/>
      <c r="R152" s="1254"/>
      <c r="S152" s="1254"/>
      <c r="T152" s="1254"/>
      <c r="U152" s="1254"/>
      <c r="V152" s="1254"/>
      <c r="W152" s="1254"/>
      <c r="X152" s="1254"/>
      <c r="Y152" s="1254"/>
      <c r="Z152" s="1254"/>
    </row>
    <row r="153">
      <c r="A153" s="1254"/>
      <c r="B153" s="1263"/>
      <c r="C153" s="1317"/>
      <c r="D153" s="1263"/>
      <c r="E153" s="1318"/>
      <c r="F153" s="1254"/>
      <c r="G153" s="1319"/>
      <c r="H153" s="1254"/>
      <c r="I153" s="1254"/>
      <c r="J153" s="1254"/>
      <c r="K153" s="1320"/>
      <c r="L153" s="1254"/>
      <c r="M153" s="1254"/>
      <c r="N153" s="1254"/>
      <c r="O153" s="1254"/>
      <c r="P153" s="1254"/>
      <c r="Q153" s="1254"/>
      <c r="R153" s="1254"/>
      <c r="S153" s="1254"/>
      <c r="T153" s="1254"/>
      <c r="U153" s="1254"/>
      <c r="V153" s="1254"/>
      <c r="W153" s="1254"/>
      <c r="X153" s="1254"/>
      <c r="Y153" s="1254"/>
      <c r="Z153" s="1254"/>
    </row>
    <row r="154">
      <c r="A154" s="1254"/>
      <c r="B154" s="1263"/>
      <c r="C154" s="1317"/>
      <c r="D154" s="1263"/>
      <c r="E154" s="1318"/>
      <c r="F154" s="1254"/>
      <c r="G154" s="1319"/>
      <c r="H154" s="1254"/>
      <c r="I154" s="1254"/>
      <c r="J154" s="1254"/>
      <c r="K154" s="1320"/>
      <c r="L154" s="1254"/>
      <c r="M154" s="1254"/>
      <c r="N154" s="1254"/>
      <c r="O154" s="1254"/>
      <c r="P154" s="1254"/>
      <c r="Q154" s="1254"/>
      <c r="R154" s="1254"/>
      <c r="S154" s="1254"/>
      <c r="T154" s="1254"/>
      <c r="U154" s="1254"/>
      <c r="V154" s="1254"/>
      <c r="W154" s="1254"/>
      <c r="X154" s="1254"/>
      <c r="Y154" s="1254"/>
      <c r="Z154" s="1254"/>
    </row>
    <row r="155">
      <c r="A155" s="1254"/>
      <c r="B155" s="1263"/>
      <c r="C155" s="1317"/>
      <c r="D155" s="1263"/>
      <c r="E155" s="1318"/>
      <c r="F155" s="1254"/>
      <c r="G155" s="1319"/>
      <c r="H155" s="1254"/>
      <c r="I155" s="1254"/>
      <c r="J155" s="1254"/>
      <c r="K155" s="1320"/>
      <c r="L155" s="1254"/>
      <c r="M155" s="1254"/>
      <c r="N155" s="1254"/>
      <c r="O155" s="1254"/>
      <c r="P155" s="1254"/>
      <c r="Q155" s="1254"/>
      <c r="R155" s="1254"/>
      <c r="S155" s="1254"/>
      <c r="T155" s="1254"/>
      <c r="U155" s="1254"/>
      <c r="V155" s="1254"/>
      <c r="W155" s="1254"/>
      <c r="X155" s="1254"/>
      <c r="Y155" s="1254"/>
      <c r="Z155" s="1254"/>
    </row>
    <row r="156">
      <c r="A156" s="1254"/>
      <c r="B156" s="1263"/>
      <c r="C156" s="1317"/>
      <c r="D156" s="1263"/>
      <c r="E156" s="1318"/>
      <c r="F156" s="1254"/>
      <c r="G156" s="1319"/>
      <c r="H156" s="1254"/>
      <c r="I156" s="1254"/>
      <c r="J156" s="1254"/>
      <c r="K156" s="1320"/>
      <c r="L156" s="1254"/>
      <c r="M156" s="1254"/>
      <c r="N156" s="1254"/>
      <c r="O156" s="1254"/>
      <c r="P156" s="1254"/>
      <c r="Q156" s="1254"/>
      <c r="R156" s="1254"/>
      <c r="S156" s="1254"/>
      <c r="T156" s="1254"/>
      <c r="U156" s="1254"/>
      <c r="V156" s="1254"/>
      <c r="W156" s="1254"/>
      <c r="X156" s="1254"/>
      <c r="Y156" s="1254"/>
      <c r="Z156" s="1254"/>
    </row>
    <row r="157">
      <c r="A157" s="1254"/>
      <c r="B157" s="1263"/>
      <c r="C157" s="1317"/>
      <c r="D157" s="1263"/>
      <c r="E157" s="1318"/>
      <c r="F157" s="1254"/>
      <c r="G157" s="1319"/>
      <c r="H157" s="1254"/>
      <c r="I157" s="1254"/>
      <c r="J157" s="1254"/>
      <c r="K157" s="1320"/>
      <c r="L157" s="1254"/>
      <c r="M157" s="1254"/>
      <c r="N157" s="1254"/>
      <c r="O157" s="1254"/>
      <c r="P157" s="1254"/>
      <c r="Q157" s="1254"/>
      <c r="R157" s="1254"/>
      <c r="S157" s="1254"/>
      <c r="T157" s="1254"/>
      <c r="U157" s="1254"/>
      <c r="V157" s="1254"/>
      <c r="W157" s="1254"/>
      <c r="X157" s="1254"/>
      <c r="Y157" s="1254"/>
      <c r="Z157" s="1254"/>
    </row>
    <row r="158">
      <c r="A158" s="1254"/>
      <c r="B158" s="1263"/>
      <c r="C158" s="1317"/>
      <c r="D158" s="1263"/>
      <c r="E158" s="1318"/>
      <c r="F158" s="1254"/>
      <c r="G158" s="1319"/>
      <c r="H158" s="1254"/>
      <c r="I158" s="1254"/>
      <c r="J158" s="1254"/>
      <c r="K158" s="1320"/>
      <c r="L158" s="1254"/>
      <c r="M158" s="1254"/>
      <c r="N158" s="1254"/>
      <c r="O158" s="1254"/>
      <c r="P158" s="1254"/>
      <c r="Q158" s="1254"/>
      <c r="R158" s="1254"/>
      <c r="S158" s="1254"/>
      <c r="T158" s="1254"/>
      <c r="U158" s="1254"/>
      <c r="V158" s="1254"/>
      <c r="W158" s="1254"/>
      <c r="X158" s="1254"/>
      <c r="Y158" s="1254"/>
      <c r="Z158" s="1254"/>
    </row>
    <row r="159">
      <c r="A159" s="1254"/>
      <c r="B159" s="1263"/>
      <c r="C159" s="1317"/>
      <c r="D159" s="1263"/>
      <c r="E159" s="1318"/>
      <c r="F159" s="1254"/>
      <c r="G159" s="1319"/>
      <c r="H159" s="1254"/>
      <c r="I159" s="1254"/>
      <c r="J159" s="1254"/>
      <c r="K159" s="1320"/>
      <c r="L159" s="1254"/>
      <c r="M159" s="1254"/>
      <c r="N159" s="1254"/>
      <c r="O159" s="1254"/>
      <c r="P159" s="1254"/>
      <c r="Q159" s="1254"/>
      <c r="R159" s="1254"/>
      <c r="S159" s="1254"/>
      <c r="T159" s="1254"/>
      <c r="U159" s="1254"/>
      <c r="V159" s="1254"/>
      <c r="W159" s="1254"/>
      <c r="X159" s="1254"/>
      <c r="Y159" s="1254"/>
      <c r="Z159" s="1254"/>
    </row>
    <row r="160">
      <c r="A160" s="1254"/>
      <c r="B160" s="1263"/>
      <c r="C160" s="1317"/>
      <c r="D160" s="1263"/>
      <c r="E160" s="1318"/>
      <c r="F160" s="1254"/>
      <c r="G160" s="1319"/>
      <c r="H160" s="1254"/>
      <c r="I160" s="1254"/>
      <c r="J160" s="1254"/>
      <c r="K160" s="1320"/>
      <c r="L160" s="1254"/>
      <c r="M160" s="1254"/>
      <c r="N160" s="1254"/>
      <c r="O160" s="1254"/>
      <c r="P160" s="1254"/>
      <c r="Q160" s="1254"/>
      <c r="R160" s="1254"/>
      <c r="S160" s="1254"/>
      <c r="T160" s="1254"/>
      <c r="U160" s="1254"/>
      <c r="V160" s="1254"/>
      <c r="W160" s="1254"/>
      <c r="X160" s="1254"/>
      <c r="Y160" s="1254"/>
      <c r="Z160" s="1254"/>
    </row>
    <row r="161">
      <c r="A161" s="1254"/>
      <c r="B161" s="1263"/>
      <c r="C161" s="1317"/>
      <c r="D161" s="1263"/>
      <c r="E161" s="1318"/>
      <c r="F161" s="1254"/>
      <c r="G161" s="1319"/>
      <c r="H161" s="1254"/>
      <c r="I161" s="1254"/>
      <c r="J161" s="1254"/>
      <c r="K161" s="1320"/>
      <c r="L161" s="1254"/>
      <c r="M161" s="1254"/>
      <c r="N161" s="1254"/>
      <c r="O161" s="1254"/>
      <c r="P161" s="1254"/>
      <c r="Q161" s="1254"/>
      <c r="R161" s="1254"/>
      <c r="S161" s="1254"/>
      <c r="T161" s="1254"/>
      <c r="U161" s="1254"/>
      <c r="V161" s="1254"/>
      <c r="W161" s="1254"/>
      <c r="X161" s="1254"/>
      <c r="Y161" s="1254"/>
      <c r="Z161" s="1254"/>
    </row>
    <row r="162">
      <c r="A162" s="1254"/>
      <c r="B162" s="1263"/>
      <c r="C162" s="1317"/>
      <c r="D162" s="1263"/>
      <c r="E162" s="1318"/>
      <c r="F162" s="1254"/>
      <c r="G162" s="1319"/>
      <c r="H162" s="1254"/>
      <c r="I162" s="1254"/>
      <c r="J162" s="1254"/>
      <c r="K162" s="1320"/>
      <c r="L162" s="1254"/>
      <c r="M162" s="1254"/>
      <c r="N162" s="1254"/>
      <c r="O162" s="1254"/>
      <c r="P162" s="1254"/>
      <c r="Q162" s="1254"/>
      <c r="R162" s="1254"/>
      <c r="S162" s="1254"/>
      <c r="T162" s="1254"/>
      <c r="U162" s="1254"/>
      <c r="V162" s="1254"/>
      <c r="W162" s="1254"/>
      <c r="X162" s="1254"/>
      <c r="Y162" s="1254"/>
      <c r="Z162" s="1254"/>
    </row>
    <row r="163">
      <c r="A163" s="1254"/>
      <c r="B163" s="1263"/>
      <c r="C163" s="1317"/>
      <c r="D163" s="1263"/>
      <c r="E163" s="1318"/>
      <c r="F163" s="1254"/>
      <c r="G163" s="1319"/>
      <c r="H163" s="1254"/>
      <c r="I163" s="1254"/>
      <c r="J163" s="1254"/>
      <c r="K163" s="1320"/>
      <c r="L163" s="1254"/>
      <c r="M163" s="1254"/>
      <c r="N163" s="1254"/>
      <c r="O163" s="1254"/>
      <c r="P163" s="1254"/>
      <c r="Q163" s="1254"/>
      <c r="R163" s="1254"/>
      <c r="S163" s="1254"/>
      <c r="T163" s="1254"/>
      <c r="U163" s="1254"/>
      <c r="V163" s="1254"/>
      <c r="W163" s="1254"/>
      <c r="X163" s="1254"/>
      <c r="Y163" s="1254"/>
      <c r="Z163" s="1254"/>
    </row>
    <row r="164">
      <c r="A164" s="1254"/>
      <c r="B164" s="1263"/>
      <c r="C164" s="1317"/>
      <c r="D164" s="1263"/>
      <c r="E164" s="1318"/>
      <c r="F164" s="1254"/>
      <c r="G164" s="1319"/>
      <c r="H164" s="1254"/>
      <c r="I164" s="1254"/>
      <c r="J164" s="1254"/>
      <c r="K164" s="1320"/>
      <c r="L164" s="1254"/>
      <c r="M164" s="1254"/>
      <c r="N164" s="1254"/>
      <c r="O164" s="1254"/>
      <c r="P164" s="1254"/>
      <c r="Q164" s="1254"/>
      <c r="R164" s="1254"/>
      <c r="S164" s="1254"/>
      <c r="T164" s="1254"/>
      <c r="U164" s="1254"/>
      <c r="V164" s="1254"/>
      <c r="W164" s="1254"/>
      <c r="X164" s="1254"/>
      <c r="Y164" s="1254"/>
      <c r="Z164" s="1254"/>
    </row>
    <row r="165">
      <c r="A165" s="1254"/>
      <c r="B165" s="1263"/>
      <c r="C165" s="1317"/>
      <c r="D165" s="1263"/>
      <c r="E165" s="1318"/>
      <c r="F165" s="1254"/>
      <c r="G165" s="1319"/>
      <c r="H165" s="1254"/>
      <c r="I165" s="1254"/>
      <c r="J165" s="1254"/>
      <c r="K165" s="1320"/>
      <c r="L165" s="1254"/>
      <c r="M165" s="1254"/>
      <c r="N165" s="1254"/>
      <c r="O165" s="1254"/>
      <c r="P165" s="1254"/>
      <c r="Q165" s="1254"/>
      <c r="R165" s="1254"/>
      <c r="S165" s="1254"/>
      <c r="T165" s="1254"/>
      <c r="U165" s="1254"/>
      <c r="V165" s="1254"/>
      <c r="W165" s="1254"/>
      <c r="X165" s="1254"/>
      <c r="Y165" s="1254"/>
      <c r="Z165" s="1254"/>
    </row>
    <row r="166">
      <c r="A166" s="1254"/>
      <c r="B166" s="1263"/>
      <c r="C166" s="1317"/>
      <c r="D166" s="1263"/>
      <c r="E166" s="1318"/>
      <c r="F166" s="1254"/>
      <c r="G166" s="1319"/>
      <c r="H166" s="1254"/>
      <c r="I166" s="1254"/>
      <c r="J166" s="1254"/>
      <c r="K166" s="1320"/>
      <c r="L166" s="1254"/>
      <c r="M166" s="1254"/>
      <c r="N166" s="1254"/>
      <c r="O166" s="1254"/>
      <c r="P166" s="1254"/>
      <c r="Q166" s="1254"/>
      <c r="R166" s="1254"/>
      <c r="S166" s="1254"/>
      <c r="T166" s="1254"/>
      <c r="U166" s="1254"/>
      <c r="V166" s="1254"/>
      <c r="W166" s="1254"/>
      <c r="X166" s="1254"/>
      <c r="Y166" s="1254"/>
      <c r="Z166" s="1254"/>
    </row>
    <row r="167">
      <c r="A167" s="1254"/>
      <c r="B167" s="1263"/>
      <c r="C167" s="1317"/>
      <c r="D167" s="1263"/>
      <c r="E167" s="1318"/>
      <c r="F167" s="1254"/>
      <c r="G167" s="1319"/>
      <c r="H167" s="1254"/>
      <c r="I167" s="1254"/>
      <c r="J167" s="1254"/>
      <c r="K167" s="1320"/>
      <c r="L167" s="1254"/>
      <c r="M167" s="1254"/>
      <c r="N167" s="1254"/>
      <c r="O167" s="1254"/>
      <c r="P167" s="1254"/>
      <c r="Q167" s="1254"/>
      <c r="R167" s="1254"/>
      <c r="S167" s="1254"/>
      <c r="T167" s="1254"/>
      <c r="U167" s="1254"/>
      <c r="V167" s="1254"/>
      <c r="W167" s="1254"/>
      <c r="X167" s="1254"/>
      <c r="Y167" s="1254"/>
      <c r="Z167" s="1254"/>
    </row>
    <row r="168">
      <c r="A168" s="1254"/>
      <c r="B168" s="1263"/>
      <c r="C168" s="1317"/>
      <c r="D168" s="1263"/>
      <c r="E168" s="1318"/>
      <c r="F168" s="1254"/>
      <c r="G168" s="1319"/>
      <c r="H168" s="1254"/>
      <c r="I168" s="1254"/>
      <c r="J168" s="1254"/>
      <c r="K168" s="1320"/>
      <c r="L168" s="1254"/>
      <c r="M168" s="1254"/>
      <c r="N168" s="1254"/>
      <c r="O168" s="1254"/>
      <c r="P168" s="1254"/>
      <c r="Q168" s="1254"/>
      <c r="R168" s="1254"/>
      <c r="S168" s="1254"/>
      <c r="T168" s="1254"/>
      <c r="U168" s="1254"/>
      <c r="V168" s="1254"/>
      <c r="W168" s="1254"/>
      <c r="X168" s="1254"/>
      <c r="Y168" s="1254"/>
      <c r="Z168" s="1254"/>
    </row>
    <row r="169">
      <c r="A169" s="1254"/>
      <c r="B169" s="1263"/>
      <c r="C169" s="1317"/>
      <c r="D169" s="1263"/>
      <c r="E169" s="1318"/>
      <c r="F169" s="1254"/>
      <c r="G169" s="1319"/>
      <c r="H169" s="1254"/>
      <c r="I169" s="1254"/>
      <c r="J169" s="1254"/>
      <c r="K169" s="1320"/>
      <c r="L169" s="1254"/>
      <c r="M169" s="1254"/>
      <c r="N169" s="1254"/>
      <c r="O169" s="1254"/>
      <c r="P169" s="1254"/>
      <c r="Q169" s="1254"/>
      <c r="R169" s="1254"/>
      <c r="S169" s="1254"/>
      <c r="T169" s="1254"/>
      <c r="U169" s="1254"/>
      <c r="V169" s="1254"/>
      <c r="W169" s="1254"/>
      <c r="X169" s="1254"/>
      <c r="Y169" s="1254"/>
      <c r="Z169" s="1254"/>
    </row>
    <row r="170">
      <c r="A170" s="1254"/>
      <c r="B170" s="1263"/>
      <c r="C170" s="1317"/>
      <c r="D170" s="1263"/>
      <c r="E170" s="1318"/>
      <c r="F170" s="1254"/>
      <c r="G170" s="1319"/>
      <c r="H170" s="1254"/>
      <c r="I170" s="1254"/>
      <c r="J170" s="1254"/>
      <c r="K170" s="1320"/>
      <c r="L170" s="1254"/>
      <c r="M170" s="1254"/>
      <c r="N170" s="1254"/>
      <c r="O170" s="1254"/>
      <c r="P170" s="1254"/>
      <c r="Q170" s="1254"/>
      <c r="R170" s="1254"/>
      <c r="S170" s="1254"/>
      <c r="T170" s="1254"/>
      <c r="U170" s="1254"/>
      <c r="V170" s="1254"/>
      <c r="W170" s="1254"/>
      <c r="X170" s="1254"/>
      <c r="Y170" s="1254"/>
      <c r="Z170" s="1254"/>
    </row>
    <row r="171">
      <c r="A171" s="1254"/>
      <c r="B171" s="1263"/>
      <c r="C171" s="1317"/>
      <c r="D171" s="1263"/>
      <c r="E171" s="1318"/>
      <c r="F171" s="1254"/>
      <c r="G171" s="1319"/>
      <c r="H171" s="1254"/>
      <c r="I171" s="1254"/>
      <c r="J171" s="1254"/>
      <c r="K171" s="1320"/>
      <c r="L171" s="1254"/>
      <c r="M171" s="1254"/>
      <c r="N171" s="1254"/>
      <c r="O171" s="1254"/>
      <c r="P171" s="1254"/>
      <c r="Q171" s="1254"/>
      <c r="R171" s="1254"/>
      <c r="S171" s="1254"/>
      <c r="T171" s="1254"/>
      <c r="U171" s="1254"/>
      <c r="V171" s="1254"/>
      <c r="W171" s="1254"/>
      <c r="X171" s="1254"/>
      <c r="Y171" s="1254"/>
      <c r="Z171" s="1254"/>
    </row>
    <row r="172">
      <c r="A172" s="1254"/>
      <c r="B172" s="1263"/>
      <c r="C172" s="1317"/>
      <c r="D172" s="1263"/>
      <c r="E172" s="1318"/>
      <c r="F172" s="1254"/>
      <c r="G172" s="1319"/>
      <c r="H172" s="1254"/>
      <c r="I172" s="1254"/>
      <c r="J172" s="1254"/>
      <c r="K172" s="1320"/>
      <c r="L172" s="1254"/>
      <c r="M172" s="1254"/>
      <c r="N172" s="1254"/>
      <c r="O172" s="1254"/>
      <c r="P172" s="1254"/>
      <c r="Q172" s="1254"/>
      <c r="R172" s="1254"/>
      <c r="S172" s="1254"/>
      <c r="T172" s="1254"/>
      <c r="U172" s="1254"/>
      <c r="V172" s="1254"/>
      <c r="W172" s="1254"/>
      <c r="X172" s="1254"/>
      <c r="Y172" s="1254"/>
      <c r="Z172" s="1254"/>
    </row>
    <row r="173">
      <c r="A173" s="1254"/>
      <c r="B173" s="1263"/>
      <c r="C173" s="1317"/>
      <c r="D173" s="1263"/>
      <c r="E173" s="1318"/>
      <c r="F173" s="1254"/>
      <c r="G173" s="1319"/>
      <c r="H173" s="1254"/>
      <c r="I173" s="1254"/>
      <c r="J173" s="1254"/>
      <c r="K173" s="1320"/>
      <c r="L173" s="1254"/>
      <c r="M173" s="1254"/>
      <c r="N173" s="1254"/>
      <c r="O173" s="1254"/>
      <c r="P173" s="1254"/>
      <c r="Q173" s="1254"/>
      <c r="R173" s="1254"/>
      <c r="S173" s="1254"/>
      <c r="T173" s="1254"/>
      <c r="U173" s="1254"/>
      <c r="V173" s="1254"/>
      <c r="W173" s="1254"/>
      <c r="X173" s="1254"/>
      <c r="Y173" s="1254"/>
      <c r="Z173" s="1254"/>
    </row>
    <row r="174">
      <c r="A174" s="1254"/>
      <c r="B174" s="1263"/>
      <c r="C174" s="1317"/>
      <c r="D174" s="1263"/>
      <c r="E174" s="1318"/>
      <c r="F174" s="1254"/>
      <c r="G174" s="1319"/>
      <c r="H174" s="1254"/>
      <c r="I174" s="1254"/>
      <c r="J174" s="1254"/>
      <c r="K174" s="1320"/>
      <c r="L174" s="1254"/>
      <c r="M174" s="1254"/>
      <c r="N174" s="1254"/>
      <c r="O174" s="1254"/>
      <c r="P174" s="1254"/>
      <c r="Q174" s="1254"/>
      <c r="R174" s="1254"/>
      <c r="S174" s="1254"/>
      <c r="T174" s="1254"/>
      <c r="U174" s="1254"/>
      <c r="V174" s="1254"/>
      <c r="W174" s="1254"/>
      <c r="X174" s="1254"/>
      <c r="Y174" s="1254"/>
      <c r="Z174" s="1254"/>
    </row>
    <row r="175">
      <c r="A175" s="1254"/>
      <c r="B175" s="1263"/>
      <c r="C175" s="1317"/>
      <c r="D175" s="1263"/>
      <c r="E175" s="1318"/>
      <c r="F175" s="1254"/>
      <c r="G175" s="1319"/>
      <c r="H175" s="1254"/>
      <c r="I175" s="1254"/>
      <c r="J175" s="1254"/>
      <c r="K175" s="1320"/>
      <c r="L175" s="1254"/>
      <c r="M175" s="1254"/>
      <c r="N175" s="1254"/>
      <c r="O175" s="1254"/>
      <c r="P175" s="1254"/>
      <c r="Q175" s="1254"/>
      <c r="R175" s="1254"/>
      <c r="S175" s="1254"/>
      <c r="T175" s="1254"/>
      <c r="U175" s="1254"/>
      <c r="V175" s="1254"/>
      <c r="W175" s="1254"/>
      <c r="X175" s="1254"/>
      <c r="Y175" s="1254"/>
      <c r="Z175" s="1254"/>
    </row>
    <row r="176">
      <c r="A176" s="1254"/>
      <c r="B176" s="1263"/>
      <c r="C176" s="1317"/>
      <c r="D176" s="1263"/>
      <c r="E176" s="1318"/>
      <c r="F176" s="1254"/>
      <c r="G176" s="1319"/>
      <c r="H176" s="1254"/>
      <c r="I176" s="1254"/>
      <c r="J176" s="1254"/>
      <c r="K176" s="1320"/>
      <c r="L176" s="1254"/>
      <c r="M176" s="1254"/>
      <c r="N176" s="1254"/>
      <c r="O176" s="1254"/>
      <c r="P176" s="1254"/>
      <c r="Q176" s="1254"/>
      <c r="R176" s="1254"/>
      <c r="S176" s="1254"/>
      <c r="T176" s="1254"/>
      <c r="U176" s="1254"/>
      <c r="V176" s="1254"/>
      <c r="W176" s="1254"/>
      <c r="X176" s="1254"/>
      <c r="Y176" s="1254"/>
      <c r="Z176" s="1254"/>
    </row>
    <row r="177">
      <c r="A177" s="1254"/>
      <c r="B177" s="1263"/>
      <c r="C177" s="1317"/>
      <c r="D177" s="1263"/>
      <c r="E177" s="1318"/>
      <c r="F177" s="1254"/>
      <c r="G177" s="1319"/>
      <c r="H177" s="1254"/>
      <c r="I177" s="1254"/>
      <c r="J177" s="1254"/>
      <c r="K177" s="1320"/>
      <c r="L177" s="1254"/>
      <c r="M177" s="1254"/>
      <c r="N177" s="1254"/>
      <c r="O177" s="1254"/>
      <c r="P177" s="1254"/>
      <c r="Q177" s="1254"/>
      <c r="R177" s="1254"/>
      <c r="S177" s="1254"/>
      <c r="T177" s="1254"/>
      <c r="U177" s="1254"/>
      <c r="V177" s="1254"/>
      <c r="W177" s="1254"/>
      <c r="X177" s="1254"/>
      <c r="Y177" s="1254"/>
      <c r="Z177" s="1254"/>
    </row>
    <row r="178">
      <c r="A178" s="1254"/>
      <c r="B178" s="1263"/>
      <c r="C178" s="1317"/>
      <c r="D178" s="1263"/>
      <c r="E178" s="1318"/>
      <c r="F178" s="1254"/>
      <c r="G178" s="1319"/>
      <c r="H178" s="1254"/>
      <c r="I178" s="1254"/>
      <c r="J178" s="1254"/>
      <c r="K178" s="1320"/>
      <c r="L178" s="1254"/>
      <c r="M178" s="1254"/>
      <c r="N178" s="1254"/>
      <c r="O178" s="1254"/>
      <c r="P178" s="1254"/>
      <c r="Q178" s="1254"/>
      <c r="R178" s="1254"/>
      <c r="S178" s="1254"/>
      <c r="T178" s="1254"/>
      <c r="U178" s="1254"/>
      <c r="V178" s="1254"/>
      <c r="W178" s="1254"/>
      <c r="X178" s="1254"/>
      <c r="Y178" s="1254"/>
      <c r="Z178" s="1254"/>
    </row>
    <row r="179">
      <c r="A179" s="1254"/>
      <c r="B179" s="1263"/>
      <c r="C179" s="1317"/>
      <c r="D179" s="1263"/>
      <c r="E179" s="1318"/>
      <c r="F179" s="1254"/>
      <c r="G179" s="1319"/>
      <c r="H179" s="1254"/>
      <c r="I179" s="1254"/>
      <c r="J179" s="1254"/>
      <c r="K179" s="1320"/>
      <c r="L179" s="1254"/>
      <c r="M179" s="1254"/>
      <c r="N179" s="1254"/>
      <c r="O179" s="1254"/>
      <c r="P179" s="1254"/>
      <c r="Q179" s="1254"/>
      <c r="R179" s="1254"/>
      <c r="S179" s="1254"/>
      <c r="T179" s="1254"/>
      <c r="U179" s="1254"/>
      <c r="V179" s="1254"/>
      <c r="W179" s="1254"/>
      <c r="X179" s="1254"/>
      <c r="Y179" s="1254"/>
      <c r="Z179" s="1254"/>
    </row>
    <row r="180">
      <c r="A180" s="1254"/>
      <c r="B180" s="1263"/>
      <c r="C180" s="1317"/>
      <c r="D180" s="1263"/>
      <c r="E180" s="1318"/>
      <c r="F180" s="1254"/>
      <c r="G180" s="1319"/>
      <c r="H180" s="1254"/>
      <c r="I180" s="1254"/>
      <c r="J180" s="1254"/>
      <c r="K180" s="1320"/>
      <c r="L180" s="1254"/>
      <c r="M180" s="1254"/>
      <c r="N180" s="1254"/>
      <c r="O180" s="1254"/>
      <c r="P180" s="1254"/>
      <c r="Q180" s="1254"/>
      <c r="R180" s="1254"/>
      <c r="S180" s="1254"/>
      <c r="T180" s="1254"/>
      <c r="U180" s="1254"/>
      <c r="V180" s="1254"/>
      <c r="W180" s="1254"/>
      <c r="X180" s="1254"/>
      <c r="Y180" s="1254"/>
      <c r="Z180" s="1254"/>
    </row>
    <row r="181">
      <c r="A181" s="1254"/>
      <c r="B181" s="1263"/>
      <c r="C181" s="1317"/>
      <c r="D181" s="1263"/>
      <c r="E181" s="1318"/>
      <c r="F181" s="1254"/>
      <c r="G181" s="1319"/>
      <c r="H181" s="1254"/>
      <c r="I181" s="1254"/>
      <c r="J181" s="1254"/>
      <c r="K181" s="1320"/>
      <c r="L181" s="1254"/>
      <c r="M181" s="1254"/>
      <c r="N181" s="1254"/>
      <c r="O181" s="1254"/>
      <c r="P181" s="1254"/>
      <c r="Q181" s="1254"/>
      <c r="R181" s="1254"/>
      <c r="S181" s="1254"/>
      <c r="T181" s="1254"/>
      <c r="U181" s="1254"/>
      <c r="V181" s="1254"/>
      <c r="W181" s="1254"/>
      <c r="X181" s="1254"/>
      <c r="Y181" s="1254"/>
      <c r="Z181" s="1254"/>
    </row>
    <row r="182">
      <c r="A182" s="1254"/>
      <c r="B182" s="1263"/>
      <c r="C182" s="1317"/>
      <c r="D182" s="1263"/>
      <c r="E182" s="1318"/>
      <c r="F182" s="1254"/>
      <c r="G182" s="1319"/>
      <c r="H182" s="1254"/>
      <c r="I182" s="1254"/>
      <c r="J182" s="1254"/>
      <c r="K182" s="1320"/>
      <c r="L182" s="1254"/>
      <c r="M182" s="1254"/>
      <c r="N182" s="1254"/>
      <c r="O182" s="1254"/>
      <c r="P182" s="1254"/>
      <c r="Q182" s="1254"/>
      <c r="R182" s="1254"/>
      <c r="S182" s="1254"/>
      <c r="T182" s="1254"/>
      <c r="U182" s="1254"/>
      <c r="V182" s="1254"/>
      <c r="W182" s="1254"/>
      <c r="X182" s="1254"/>
      <c r="Y182" s="1254"/>
      <c r="Z182" s="1254"/>
    </row>
    <row r="183">
      <c r="A183" s="1254"/>
      <c r="B183" s="1263"/>
      <c r="C183" s="1317"/>
      <c r="D183" s="1263"/>
      <c r="E183" s="1318"/>
      <c r="F183" s="1254"/>
      <c r="G183" s="1319"/>
      <c r="H183" s="1254"/>
      <c r="I183" s="1254"/>
      <c r="J183" s="1254"/>
      <c r="K183" s="1320"/>
      <c r="L183" s="1254"/>
      <c r="M183" s="1254"/>
      <c r="N183" s="1254"/>
      <c r="O183" s="1254"/>
      <c r="P183" s="1254"/>
      <c r="Q183" s="1254"/>
      <c r="R183" s="1254"/>
      <c r="S183" s="1254"/>
      <c r="T183" s="1254"/>
      <c r="U183" s="1254"/>
      <c r="V183" s="1254"/>
      <c r="W183" s="1254"/>
      <c r="X183" s="1254"/>
      <c r="Y183" s="1254"/>
      <c r="Z183" s="1254"/>
    </row>
    <row r="184">
      <c r="A184" s="1254"/>
      <c r="B184" s="1263"/>
      <c r="C184" s="1317"/>
      <c r="D184" s="1263"/>
      <c r="E184" s="1318"/>
      <c r="F184" s="1254"/>
      <c r="G184" s="1319"/>
      <c r="H184" s="1254"/>
      <c r="I184" s="1254"/>
      <c r="J184" s="1254"/>
      <c r="K184" s="1320"/>
      <c r="L184" s="1254"/>
      <c r="M184" s="1254"/>
      <c r="N184" s="1254"/>
      <c r="O184" s="1254"/>
      <c r="P184" s="1254"/>
      <c r="Q184" s="1254"/>
      <c r="R184" s="1254"/>
      <c r="S184" s="1254"/>
      <c r="T184" s="1254"/>
      <c r="U184" s="1254"/>
      <c r="V184" s="1254"/>
      <c r="W184" s="1254"/>
      <c r="X184" s="1254"/>
      <c r="Y184" s="1254"/>
      <c r="Z184" s="1254"/>
    </row>
    <row r="185">
      <c r="A185" s="1254"/>
      <c r="B185" s="1263"/>
      <c r="C185" s="1317"/>
      <c r="D185" s="1263"/>
      <c r="E185" s="1318"/>
      <c r="F185" s="1254"/>
      <c r="G185" s="1319"/>
      <c r="H185" s="1254"/>
      <c r="I185" s="1254"/>
      <c r="J185" s="1254"/>
      <c r="K185" s="1320"/>
      <c r="L185" s="1254"/>
      <c r="M185" s="1254"/>
      <c r="N185" s="1254"/>
      <c r="O185" s="1254"/>
      <c r="P185" s="1254"/>
      <c r="Q185" s="1254"/>
      <c r="R185" s="1254"/>
      <c r="S185" s="1254"/>
      <c r="T185" s="1254"/>
      <c r="U185" s="1254"/>
      <c r="V185" s="1254"/>
      <c r="W185" s="1254"/>
      <c r="X185" s="1254"/>
      <c r="Y185" s="1254"/>
      <c r="Z185" s="1254"/>
    </row>
    <row r="186">
      <c r="A186" s="1254"/>
      <c r="B186" s="1263"/>
      <c r="C186" s="1317"/>
      <c r="D186" s="1263"/>
      <c r="E186" s="1318"/>
      <c r="F186" s="1254"/>
      <c r="G186" s="1319"/>
      <c r="H186" s="1254"/>
      <c r="I186" s="1254"/>
      <c r="J186" s="1254"/>
      <c r="K186" s="1320"/>
      <c r="L186" s="1254"/>
      <c r="M186" s="1254"/>
      <c r="N186" s="1254"/>
      <c r="O186" s="1254"/>
      <c r="P186" s="1254"/>
      <c r="Q186" s="1254"/>
      <c r="R186" s="1254"/>
      <c r="S186" s="1254"/>
      <c r="T186" s="1254"/>
      <c r="U186" s="1254"/>
      <c r="V186" s="1254"/>
      <c r="W186" s="1254"/>
      <c r="X186" s="1254"/>
      <c r="Y186" s="1254"/>
      <c r="Z186" s="1254"/>
    </row>
    <row r="187">
      <c r="A187" s="1254"/>
      <c r="B187" s="1263"/>
      <c r="C187" s="1317"/>
      <c r="D187" s="1263"/>
      <c r="E187" s="1318"/>
      <c r="F187" s="1254"/>
      <c r="G187" s="1319"/>
      <c r="H187" s="1254"/>
      <c r="I187" s="1254"/>
      <c r="J187" s="1254"/>
      <c r="K187" s="1320"/>
      <c r="L187" s="1254"/>
      <c r="M187" s="1254"/>
      <c r="N187" s="1254"/>
      <c r="O187" s="1254"/>
      <c r="P187" s="1254"/>
      <c r="Q187" s="1254"/>
      <c r="R187" s="1254"/>
      <c r="S187" s="1254"/>
      <c r="T187" s="1254"/>
      <c r="U187" s="1254"/>
      <c r="V187" s="1254"/>
      <c r="W187" s="1254"/>
      <c r="X187" s="1254"/>
      <c r="Y187" s="1254"/>
      <c r="Z187" s="1254"/>
    </row>
    <row r="188">
      <c r="A188" s="1254"/>
      <c r="B188" s="1263"/>
      <c r="C188" s="1317"/>
      <c r="D188" s="1263"/>
      <c r="E188" s="1318"/>
      <c r="F188" s="1254"/>
      <c r="G188" s="1319"/>
      <c r="H188" s="1254"/>
      <c r="I188" s="1254"/>
      <c r="J188" s="1254"/>
      <c r="K188" s="1320"/>
      <c r="L188" s="1254"/>
      <c r="M188" s="1254"/>
      <c r="N188" s="1254"/>
      <c r="O188" s="1254"/>
      <c r="P188" s="1254"/>
      <c r="Q188" s="1254"/>
      <c r="R188" s="1254"/>
      <c r="S188" s="1254"/>
      <c r="T188" s="1254"/>
      <c r="U188" s="1254"/>
      <c r="V188" s="1254"/>
      <c r="W188" s="1254"/>
      <c r="X188" s="1254"/>
      <c r="Y188" s="1254"/>
      <c r="Z188" s="1254"/>
    </row>
    <row r="189">
      <c r="A189" s="1254"/>
      <c r="B189" s="1263"/>
      <c r="C189" s="1317"/>
      <c r="D189" s="1263"/>
      <c r="E189" s="1318"/>
      <c r="F189" s="1254"/>
      <c r="G189" s="1319"/>
      <c r="H189" s="1254"/>
      <c r="I189" s="1254"/>
      <c r="J189" s="1254"/>
      <c r="K189" s="1320"/>
      <c r="L189" s="1254"/>
      <c r="M189" s="1254"/>
      <c r="N189" s="1254"/>
      <c r="O189" s="1254"/>
      <c r="P189" s="1254"/>
      <c r="Q189" s="1254"/>
      <c r="R189" s="1254"/>
      <c r="S189" s="1254"/>
      <c r="T189" s="1254"/>
      <c r="U189" s="1254"/>
      <c r="V189" s="1254"/>
      <c r="W189" s="1254"/>
      <c r="X189" s="1254"/>
      <c r="Y189" s="1254"/>
      <c r="Z189" s="1254"/>
    </row>
    <row r="190">
      <c r="A190" s="1254"/>
      <c r="B190" s="1263"/>
      <c r="C190" s="1317"/>
      <c r="D190" s="1263"/>
      <c r="E190" s="1318"/>
      <c r="F190" s="1254"/>
      <c r="G190" s="1319"/>
      <c r="H190" s="1254"/>
      <c r="I190" s="1254"/>
      <c r="J190" s="1254"/>
      <c r="K190" s="1320"/>
      <c r="L190" s="1254"/>
      <c r="M190" s="1254"/>
      <c r="N190" s="1254"/>
      <c r="O190" s="1254"/>
      <c r="P190" s="1254"/>
      <c r="Q190" s="1254"/>
      <c r="R190" s="1254"/>
      <c r="S190" s="1254"/>
      <c r="T190" s="1254"/>
      <c r="U190" s="1254"/>
      <c r="V190" s="1254"/>
      <c r="W190" s="1254"/>
      <c r="X190" s="1254"/>
      <c r="Y190" s="1254"/>
      <c r="Z190" s="1254"/>
    </row>
    <row r="191">
      <c r="A191" s="1254"/>
      <c r="B191" s="1263"/>
      <c r="C191" s="1317"/>
      <c r="D191" s="1263"/>
      <c r="E191" s="1318"/>
      <c r="F191" s="1254"/>
      <c r="G191" s="1319"/>
      <c r="H191" s="1254"/>
      <c r="I191" s="1254"/>
      <c r="J191" s="1254"/>
      <c r="K191" s="1320"/>
      <c r="L191" s="1254"/>
      <c r="M191" s="1254"/>
      <c r="N191" s="1254"/>
      <c r="O191" s="1254"/>
      <c r="P191" s="1254"/>
      <c r="Q191" s="1254"/>
      <c r="R191" s="1254"/>
      <c r="S191" s="1254"/>
      <c r="T191" s="1254"/>
      <c r="U191" s="1254"/>
      <c r="V191" s="1254"/>
      <c r="W191" s="1254"/>
      <c r="X191" s="1254"/>
      <c r="Y191" s="1254"/>
      <c r="Z191" s="1254"/>
    </row>
    <row r="192">
      <c r="A192" s="1254"/>
      <c r="B192" s="1263"/>
      <c r="C192" s="1317"/>
      <c r="D192" s="1263"/>
      <c r="E192" s="1318"/>
      <c r="F192" s="1254"/>
      <c r="G192" s="1319"/>
      <c r="H192" s="1254"/>
      <c r="I192" s="1254"/>
      <c r="J192" s="1254"/>
      <c r="K192" s="1320"/>
      <c r="L192" s="1254"/>
      <c r="M192" s="1254"/>
      <c r="N192" s="1254"/>
      <c r="O192" s="1254"/>
      <c r="P192" s="1254"/>
      <c r="Q192" s="1254"/>
      <c r="R192" s="1254"/>
      <c r="S192" s="1254"/>
      <c r="T192" s="1254"/>
      <c r="U192" s="1254"/>
      <c r="V192" s="1254"/>
      <c r="W192" s="1254"/>
      <c r="X192" s="1254"/>
      <c r="Y192" s="1254"/>
      <c r="Z192" s="1254"/>
    </row>
    <row r="193">
      <c r="A193" s="1254"/>
      <c r="B193" s="1263"/>
      <c r="C193" s="1317"/>
      <c r="D193" s="1263"/>
      <c r="E193" s="1318"/>
      <c r="F193" s="1254"/>
      <c r="G193" s="1319"/>
      <c r="H193" s="1254"/>
      <c r="I193" s="1254"/>
      <c r="J193" s="1254"/>
      <c r="K193" s="1320"/>
      <c r="L193" s="1254"/>
      <c r="M193" s="1254"/>
      <c r="N193" s="1254"/>
      <c r="O193" s="1254"/>
      <c r="P193" s="1254"/>
      <c r="Q193" s="1254"/>
      <c r="R193" s="1254"/>
      <c r="S193" s="1254"/>
      <c r="T193" s="1254"/>
      <c r="U193" s="1254"/>
      <c r="V193" s="1254"/>
      <c r="W193" s="1254"/>
      <c r="X193" s="1254"/>
      <c r="Y193" s="1254"/>
      <c r="Z193" s="1254"/>
    </row>
    <row r="194">
      <c r="A194" s="1254"/>
      <c r="B194" s="1263"/>
      <c r="C194" s="1317"/>
      <c r="D194" s="1263"/>
      <c r="E194" s="1318"/>
      <c r="F194" s="1254"/>
      <c r="G194" s="1319"/>
      <c r="H194" s="1254"/>
      <c r="I194" s="1254"/>
      <c r="J194" s="1254"/>
      <c r="K194" s="1320"/>
      <c r="L194" s="1254"/>
      <c r="M194" s="1254"/>
      <c r="N194" s="1254"/>
      <c r="O194" s="1254"/>
      <c r="P194" s="1254"/>
      <c r="Q194" s="1254"/>
      <c r="R194" s="1254"/>
      <c r="S194" s="1254"/>
      <c r="T194" s="1254"/>
      <c r="U194" s="1254"/>
      <c r="V194" s="1254"/>
      <c r="W194" s="1254"/>
      <c r="X194" s="1254"/>
      <c r="Y194" s="1254"/>
      <c r="Z194" s="1254"/>
    </row>
    <row r="195">
      <c r="A195" s="1254"/>
      <c r="B195" s="1263"/>
      <c r="C195" s="1317"/>
      <c r="D195" s="1263"/>
      <c r="E195" s="1318"/>
      <c r="F195" s="1254"/>
      <c r="G195" s="1319"/>
      <c r="H195" s="1254"/>
      <c r="I195" s="1254"/>
      <c r="J195" s="1254"/>
      <c r="K195" s="1320"/>
      <c r="L195" s="1254"/>
      <c r="M195" s="1254"/>
      <c r="N195" s="1254"/>
      <c r="O195" s="1254"/>
      <c r="P195" s="1254"/>
      <c r="Q195" s="1254"/>
      <c r="R195" s="1254"/>
      <c r="S195" s="1254"/>
      <c r="T195" s="1254"/>
      <c r="U195" s="1254"/>
      <c r="V195" s="1254"/>
      <c r="W195" s="1254"/>
      <c r="X195" s="1254"/>
      <c r="Y195" s="1254"/>
      <c r="Z195" s="1254"/>
    </row>
    <row r="196">
      <c r="A196" s="1254"/>
      <c r="B196" s="1263"/>
      <c r="C196" s="1317"/>
      <c r="D196" s="1263"/>
      <c r="E196" s="1318"/>
      <c r="F196" s="1254"/>
      <c r="G196" s="1319"/>
      <c r="H196" s="1254"/>
      <c r="I196" s="1254"/>
      <c r="J196" s="1254"/>
      <c r="K196" s="1320"/>
      <c r="L196" s="1254"/>
      <c r="M196" s="1254"/>
      <c r="N196" s="1254"/>
      <c r="O196" s="1254"/>
      <c r="P196" s="1254"/>
      <c r="Q196" s="1254"/>
      <c r="R196" s="1254"/>
      <c r="S196" s="1254"/>
      <c r="T196" s="1254"/>
      <c r="U196" s="1254"/>
      <c r="V196" s="1254"/>
      <c r="W196" s="1254"/>
      <c r="X196" s="1254"/>
      <c r="Y196" s="1254"/>
      <c r="Z196" s="1254"/>
    </row>
    <row r="197">
      <c r="A197" s="1254"/>
      <c r="B197" s="1263"/>
      <c r="C197" s="1317"/>
      <c r="D197" s="1263"/>
      <c r="E197" s="1318"/>
      <c r="F197" s="1254"/>
      <c r="G197" s="1319"/>
      <c r="H197" s="1254"/>
      <c r="I197" s="1254"/>
      <c r="J197" s="1254"/>
      <c r="K197" s="1320"/>
      <c r="L197" s="1254"/>
      <c r="M197" s="1254"/>
      <c r="N197" s="1254"/>
      <c r="O197" s="1254"/>
      <c r="P197" s="1254"/>
      <c r="Q197" s="1254"/>
      <c r="R197" s="1254"/>
      <c r="S197" s="1254"/>
      <c r="T197" s="1254"/>
      <c r="U197" s="1254"/>
      <c r="V197" s="1254"/>
      <c r="W197" s="1254"/>
      <c r="X197" s="1254"/>
      <c r="Y197" s="1254"/>
      <c r="Z197" s="1254"/>
    </row>
    <row r="198">
      <c r="A198" s="1254"/>
      <c r="B198" s="1263"/>
      <c r="C198" s="1317"/>
      <c r="D198" s="1263"/>
      <c r="E198" s="1318"/>
      <c r="F198" s="1254"/>
      <c r="G198" s="1319"/>
      <c r="H198" s="1254"/>
      <c r="I198" s="1254"/>
      <c r="J198" s="1254"/>
      <c r="K198" s="1320"/>
      <c r="L198" s="1254"/>
      <c r="M198" s="1254"/>
      <c r="N198" s="1254"/>
      <c r="O198" s="1254"/>
      <c r="P198" s="1254"/>
      <c r="Q198" s="1254"/>
      <c r="R198" s="1254"/>
      <c r="S198" s="1254"/>
      <c r="T198" s="1254"/>
      <c r="U198" s="1254"/>
      <c r="V198" s="1254"/>
      <c r="W198" s="1254"/>
      <c r="X198" s="1254"/>
      <c r="Y198" s="1254"/>
      <c r="Z198" s="1254"/>
    </row>
    <row r="199">
      <c r="A199" s="1254"/>
      <c r="B199" s="1263"/>
      <c r="C199" s="1317"/>
      <c r="D199" s="1263"/>
      <c r="E199" s="1318"/>
      <c r="F199" s="1254"/>
      <c r="G199" s="1319"/>
      <c r="H199" s="1254"/>
      <c r="I199" s="1254"/>
      <c r="J199" s="1254"/>
      <c r="K199" s="1320"/>
      <c r="L199" s="1254"/>
      <c r="M199" s="1254"/>
      <c r="N199" s="1254"/>
      <c r="O199" s="1254"/>
      <c r="P199" s="1254"/>
      <c r="Q199" s="1254"/>
      <c r="R199" s="1254"/>
      <c r="S199" s="1254"/>
      <c r="T199" s="1254"/>
      <c r="U199" s="1254"/>
      <c r="V199" s="1254"/>
      <c r="W199" s="1254"/>
      <c r="X199" s="1254"/>
      <c r="Y199" s="1254"/>
      <c r="Z199" s="1254"/>
    </row>
    <row r="200">
      <c r="A200" s="1254"/>
      <c r="B200" s="1263"/>
      <c r="C200" s="1317"/>
      <c r="D200" s="1263"/>
      <c r="E200" s="1318"/>
      <c r="F200" s="1254"/>
      <c r="G200" s="1319"/>
      <c r="H200" s="1254"/>
      <c r="I200" s="1254"/>
      <c r="J200" s="1254"/>
      <c r="K200" s="1320"/>
      <c r="L200" s="1254"/>
      <c r="M200" s="1254"/>
      <c r="N200" s="1254"/>
      <c r="O200" s="1254"/>
      <c r="P200" s="1254"/>
      <c r="Q200" s="1254"/>
      <c r="R200" s="1254"/>
      <c r="S200" s="1254"/>
      <c r="T200" s="1254"/>
      <c r="U200" s="1254"/>
      <c r="V200" s="1254"/>
      <c r="W200" s="1254"/>
      <c r="X200" s="1254"/>
      <c r="Y200" s="1254"/>
      <c r="Z200" s="1254"/>
    </row>
    <row r="201">
      <c r="A201" s="1254"/>
      <c r="B201" s="1263"/>
      <c r="C201" s="1317"/>
      <c r="D201" s="1263"/>
      <c r="E201" s="1318"/>
      <c r="F201" s="1254"/>
      <c r="G201" s="1319"/>
      <c r="H201" s="1254"/>
      <c r="I201" s="1254"/>
      <c r="J201" s="1254"/>
      <c r="K201" s="1320"/>
      <c r="L201" s="1254"/>
      <c r="M201" s="1254"/>
      <c r="N201" s="1254"/>
      <c r="O201" s="1254"/>
      <c r="P201" s="1254"/>
      <c r="Q201" s="1254"/>
      <c r="R201" s="1254"/>
      <c r="S201" s="1254"/>
      <c r="T201" s="1254"/>
      <c r="U201" s="1254"/>
      <c r="V201" s="1254"/>
      <c r="W201" s="1254"/>
      <c r="X201" s="1254"/>
      <c r="Y201" s="1254"/>
      <c r="Z201" s="1254"/>
    </row>
    <row r="202">
      <c r="A202" s="1254"/>
      <c r="B202" s="1263"/>
      <c r="C202" s="1317"/>
      <c r="D202" s="1263"/>
      <c r="E202" s="1318"/>
      <c r="F202" s="1254"/>
      <c r="G202" s="1319"/>
      <c r="H202" s="1254"/>
      <c r="I202" s="1254"/>
      <c r="J202" s="1254"/>
      <c r="K202" s="1320"/>
      <c r="L202" s="1254"/>
      <c r="M202" s="1254"/>
      <c r="N202" s="1254"/>
      <c r="O202" s="1254"/>
      <c r="P202" s="1254"/>
      <c r="Q202" s="1254"/>
      <c r="R202" s="1254"/>
      <c r="S202" s="1254"/>
      <c r="T202" s="1254"/>
      <c r="U202" s="1254"/>
      <c r="V202" s="1254"/>
      <c r="W202" s="1254"/>
      <c r="X202" s="1254"/>
      <c r="Y202" s="1254"/>
      <c r="Z202" s="1254"/>
    </row>
    <row r="203">
      <c r="A203" s="1254"/>
      <c r="B203" s="1263"/>
      <c r="C203" s="1317"/>
      <c r="D203" s="1263"/>
      <c r="E203" s="1318"/>
      <c r="F203" s="1254"/>
      <c r="G203" s="1319"/>
      <c r="H203" s="1254"/>
      <c r="I203" s="1254"/>
      <c r="J203" s="1254"/>
      <c r="K203" s="1320"/>
      <c r="L203" s="1254"/>
      <c r="M203" s="1254"/>
      <c r="N203" s="1254"/>
      <c r="O203" s="1254"/>
      <c r="P203" s="1254"/>
      <c r="Q203" s="1254"/>
      <c r="R203" s="1254"/>
      <c r="S203" s="1254"/>
      <c r="T203" s="1254"/>
      <c r="U203" s="1254"/>
      <c r="V203" s="1254"/>
      <c r="W203" s="1254"/>
      <c r="X203" s="1254"/>
      <c r="Y203" s="1254"/>
      <c r="Z203" s="1254"/>
    </row>
    <row r="204">
      <c r="A204" s="1254"/>
      <c r="B204" s="1263"/>
      <c r="C204" s="1317"/>
      <c r="D204" s="1263"/>
      <c r="E204" s="1318"/>
      <c r="F204" s="1254"/>
      <c r="G204" s="1319"/>
      <c r="H204" s="1254"/>
      <c r="I204" s="1254"/>
      <c r="J204" s="1254"/>
      <c r="K204" s="1320"/>
      <c r="L204" s="1254"/>
      <c r="M204" s="1254"/>
      <c r="N204" s="1254"/>
      <c r="O204" s="1254"/>
      <c r="P204" s="1254"/>
      <c r="Q204" s="1254"/>
      <c r="R204" s="1254"/>
      <c r="S204" s="1254"/>
      <c r="T204" s="1254"/>
      <c r="U204" s="1254"/>
      <c r="V204" s="1254"/>
      <c r="W204" s="1254"/>
      <c r="X204" s="1254"/>
      <c r="Y204" s="1254"/>
      <c r="Z204" s="1254"/>
    </row>
    <row r="205">
      <c r="A205" s="1254"/>
      <c r="B205" s="1263"/>
      <c r="C205" s="1317"/>
      <c r="D205" s="1263"/>
      <c r="E205" s="1318"/>
      <c r="F205" s="1254"/>
      <c r="G205" s="1319"/>
      <c r="H205" s="1254"/>
      <c r="I205" s="1254"/>
      <c r="J205" s="1254"/>
      <c r="K205" s="1320"/>
      <c r="L205" s="1254"/>
      <c r="M205" s="1254"/>
      <c r="N205" s="1254"/>
      <c r="O205" s="1254"/>
      <c r="P205" s="1254"/>
      <c r="Q205" s="1254"/>
      <c r="R205" s="1254"/>
      <c r="S205" s="1254"/>
      <c r="T205" s="1254"/>
      <c r="U205" s="1254"/>
      <c r="V205" s="1254"/>
      <c r="W205" s="1254"/>
      <c r="X205" s="1254"/>
      <c r="Y205" s="1254"/>
      <c r="Z205" s="1254"/>
    </row>
    <row r="206">
      <c r="A206" s="1254"/>
      <c r="B206" s="1263"/>
      <c r="C206" s="1317"/>
      <c r="D206" s="1263"/>
      <c r="E206" s="1318"/>
      <c r="F206" s="1254"/>
      <c r="G206" s="1319"/>
      <c r="H206" s="1254"/>
      <c r="I206" s="1254"/>
      <c r="J206" s="1254"/>
      <c r="K206" s="1320"/>
      <c r="L206" s="1254"/>
      <c r="M206" s="1254"/>
      <c r="N206" s="1254"/>
      <c r="O206" s="1254"/>
      <c r="P206" s="1254"/>
      <c r="Q206" s="1254"/>
      <c r="R206" s="1254"/>
      <c r="S206" s="1254"/>
      <c r="T206" s="1254"/>
      <c r="U206" s="1254"/>
      <c r="V206" s="1254"/>
      <c r="W206" s="1254"/>
      <c r="X206" s="1254"/>
      <c r="Y206" s="1254"/>
      <c r="Z206" s="1254"/>
    </row>
    <row r="207">
      <c r="A207" s="1254"/>
      <c r="B207" s="1263"/>
      <c r="C207" s="1317"/>
      <c r="D207" s="1263"/>
      <c r="E207" s="1318"/>
      <c r="F207" s="1254"/>
      <c r="G207" s="1319"/>
      <c r="H207" s="1254"/>
      <c r="I207" s="1254"/>
      <c r="J207" s="1254"/>
      <c r="K207" s="1320"/>
      <c r="L207" s="1254"/>
      <c r="M207" s="1254"/>
      <c r="N207" s="1254"/>
      <c r="O207" s="1254"/>
      <c r="P207" s="1254"/>
      <c r="Q207" s="1254"/>
      <c r="R207" s="1254"/>
      <c r="S207" s="1254"/>
      <c r="T207" s="1254"/>
      <c r="U207" s="1254"/>
      <c r="V207" s="1254"/>
      <c r="W207" s="1254"/>
      <c r="X207" s="1254"/>
      <c r="Y207" s="1254"/>
      <c r="Z207" s="1254"/>
    </row>
    <row r="208">
      <c r="A208" s="1254"/>
      <c r="B208" s="1263"/>
      <c r="C208" s="1317"/>
      <c r="D208" s="1263"/>
      <c r="E208" s="1318"/>
      <c r="F208" s="1254"/>
      <c r="G208" s="1319"/>
      <c r="H208" s="1254"/>
      <c r="I208" s="1254"/>
      <c r="J208" s="1254"/>
      <c r="K208" s="1320"/>
      <c r="L208" s="1254"/>
      <c r="M208" s="1254"/>
      <c r="N208" s="1254"/>
      <c r="O208" s="1254"/>
      <c r="P208" s="1254"/>
      <c r="Q208" s="1254"/>
      <c r="R208" s="1254"/>
      <c r="S208" s="1254"/>
      <c r="T208" s="1254"/>
      <c r="U208" s="1254"/>
      <c r="V208" s="1254"/>
      <c r="W208" s="1254"/>
      <c r="X208" s="1254"/>
      <c r="Y208" s="1254"/>
      <c r="Z208" s="1254"/>
    </row>
    <row r="209">
      <c r="A209" s="1254"/>
      <c r="B209" s="1263"/>
      <c r="C209" s="1317"/>
      <c r="D209" s="1263"/>
      <c r="E209" s="1318"/>
      <c r="F209" s="1254"/>
      <c r="G209" s="1319"/>
      <c r="H209" s="1254"/>
      <c r="I209" s="1254"/>
      <c r="J209" s="1254"/>
      <c r="K209" s="1320"/>
      <c r="L209" s="1254"/>
      <c r="M209" s="1254"/>
      <c r="N209" s="1254"/>
      <c r="O209" s="1254"/>
      <c r="P209" s="1254"/>
      <c r="Q209" s="1254"/>
      <c r="R209" s="1254"/>
      <c r="S209" s="1254"/>
      <c r="T209" s="1254"/>
      <c r="U209" s="1254"/>
      <c r="V209" s="1254"/>
      <c r="W209" s="1254"/>
      <c r="X209" s="1254"/>
      <c r="Y209" s="1254"/>
      <c r="Z209" s="1254"/>
    </row>
    <row r="210">
      <c r="A210" s="1254"/>
      <c r="B210" s="1263"/>
      <c r="C210" s="1317"/>
      <c r="D210" s="1263"/>
      <c r="E210" s="1318"/>
      <c r="F210" s="1254"/>
      <c r="G210" s="1319"/>
      <c r="H210" s="1254"/>
      <c r="I210" s="1254"/>
      <c r="J210" s="1254"/>
      <c r="K210" s="1320"/>
      <c r="L210" s="1254"/>
      <c r="M210" s="1254"/>
      <c r="N210" s="1254"/>
      <c r="O210" s="1254"/>
      <c r="P210" s="1254"/>
      <c r="Q210" s="1254"/>
      <c r="R210" s="1254"/>
      <c r="S210" s="1254"/>
      <c r="T210" s="1254"/>
      <c r="U210" s="1254"/>
      <c r="V210" s="1254"/>
      <c r="W210" s="1254"/>
      <c r="X210" s="1254"/>
      <c r="Y210" s="1254"/>
      <c r="Z210" s="1254"/>
    </row>
    <row r="211">
      <c r="A211" s="1254"/>
      <c r="B211" s="1263"/>
      <c r="C211" s="1317"/>
      <c r="D211" s="1263"/>
      <c r="E211" s="1318"/>
      <c r="F211" s="1254"/>
      <c r="G211" s="1319"/>
      <c r="H211" s="1254"/>
      <c r="I211" s="1254"/>
      <c r="J211" s="1254"/>
      <c r="K211" s="1320"/>
      <c r="L211" s="1254"/>
      <c r="M211" s="1254"/>
      <c r="N211" s="1254"/>
      <c r="O211" s="1254"/>
      <c r="P211" s="1254"/>
      <c r="Q211" s="1254"/>
      <c r="R211" s="1254"/>
      <c r="S211" s="1254"/>
      <c r="T211" s="1254"/>
      <c r="U211" s="1254"/>
      <c r="V211" s="1254"/>
      <c r="W211" s="1254"/>
      <c r="X211" s="1254"/>
      <c r="Y211" s="1254"/>
      <c r="Z211" s="1254"/>
    </row>
    <row r="212">
      <c r="A212" s="1254"/>
      <c r="B212" s="1263"/>
      <c r="C212" s="1317"/>
      <c r="D212" s="1263"/>
      <c r="E212" s="1318"/>
      <c r="F212" s="1254"/>
      <c r="G212" s="1319"/>
      <c r="H212" s="1254"/>
      <c r="I212" s="1254"/>
      <c r="J212" s="1254"/>
      <c r="K212" s="1320"/>
      <c r="L212" s="1254"/>
      <c r="M212" s="1254"/>
      <c r="N212" s="1254"/>
      <c r="O212" s="1254"/>
      <c r="P212" s="1254"/>
      <c r="Q212" s="1254"/>
      <c r="R212" s="1254"/>
      <c r="S212" s="1254"/>
      <c r="T212" s="1254"/>
      <c r="U212" s="1254"/>
      <c r="V212" s="1254"/>
      <c r="W212" s="1254"/>
      <c r="X212" s="1254"/>
      <c r="Y212" s="1254"/>
      <c r="Z212" s="1254"/>
    </row>
    <row r="213">
      <c r="A213" s="1254"/>
      <c r="B213" s="1263"/>
      <c r="C213" s="1317"/>
      <c r="D213" s="1263"/>
      <c r="E213" s="1318"/>
      <c r="F213" s="1254"/>
      <c r="G213" s="1319"/>
      <c r="H213" s="1254"/>
      <c r="I213" s="1254"/>
      <c r="J213" s="1254"/>
      <c r="K213" s="1320"/>
      <c r="L213" s="1254"/>
      <c r="M213" s="1254"/>
      <c r="N213" s="1254"/>
      <c r="O213" s="1254"/>
      <c r="P213" s="1254"/>
      <c r="Q213" s="1254"/>
      <c r="R213" s="1254"/>
      <c r="S213" s="1254"/>
      <c r="T213" s="1254"/>
      <c r="U213" s="1254"/>
      <c r="V213" s="1254"/>
      <c r="W213" s="1254"/>
      <c r="X213" s="1254"/>
      <c r="Y213" s="1254"/>
      <c r="Z213" s="1254"/>
    </row>
    <row r="214">
      <c r="A214" s="1254"/>
      <c r="B214" s="1263"/>
      <c r="C214" s="1317"/>
      <c r="D214" s="1263"/>
      <c r="E214" s="1318"/>
      <c r="F214" s="1254"/>
      <c r="G214" s="1319"/>
      <c r="H214" s="1254"/>
      <c r="I214" s="1254"/>
      <c r="J214" s="1254"/>
      <c r="K214" s="1320"/>
      <c r="L214" s="1254"/>
      <c r="M214" s="1254"/>
      <c r="N214" s="1254"/>
      <c r="O214" s="1254"/>
      <c r="P214" s="1254"/>
      <c r="Q214" s="1254"/>
      <c r="R214" s="1254"/>
      <c r="S214" s="1254"/>
      <c r="T214" s="1254"/>
      <c r="U214" s="1254"/>
      <c r="V214" s="1254"/>
      <c r="W214" s="1254"/>
      <c r="X214" s="1254"/>
      <c r="Y214" s="1254"/>
      <c r="Z214" s="1254"/>
    </row>
    <row r="215">
      <c r="A215" s="1254"/>
      <c r="B215" s="1263"/>
      <c r="C215" s="1317"/>
      <c r="D215" s="1263"/>
      <c r="E215" s="1318"/>
      <c r="F215" s="1254"/>
      <c r="G215" s="1319"/>
      <c r="H215" s="1254"/>
      <c r="I215" s="1254"/>
      <c r="J215" s="1254"/>
      <c r="K215" s="1320"/>
      <c r="L215" s="1254"/>
      <c r="M215" s="1254"/>
      <c r="N215" s="1254"/>
      <c r="O215" s="1254"/>
      <c r="P215" s="1254"/>
      <c r="Q215" s="1254"/>
      <c r="R215" s="1254"/>
      <c r="S215" s="1254"/>
      <c r="T215" s="1254"/>
      <c r="U215" s="1254"/>
      <c r="V215" s="1254"/>
      <c r="W215" s="1254"/>
      <c r="X215" s="1254"/>
      <c r="Y215" s="1254"/>
      <c r="Z215" s="1254"/>
    </row>
    <row r="216">
      <c r="A216" s="1254"/>
      <c r="B216" s="1263"/>
      <c r="C216" s="1317"/>
      <c r="D216" s="1263"/>
      <c r="E216" s="1318"/>
      <c r="F216" s="1254"/>
      <c r="G216" s="1319"/>
      <c r="H216" s="1254"/>
      <c r="I216" s="1254"/>
      <c r="J216" s="1254"/>
      <c r="K216" s="1320"/>
      <c r="L216" s="1254"/>
      <c r="M216" s="1254"/>
      <c r="N216" s="1254"/>
      <c r="O216" s="1254"/>
      <c r="P216" s="1254"/>
      <c r="Q216" s="1254"/>
      <c r="R216" s="1254"/>
      <c r="S216" s="1254"/>
      <c r="T216" s="1254"/>
      <c r="U216" s="1254"/>
      <c r="V216" s="1254"/>
      <c r="W216" s="1254"/>
      <c r="X216" s="1254"/>
      <c r="Y216" s="1254"/>
      <c r="Z216" s="1254"/>
    </row>
    <row r="217">
      <c r="A217" s="1254"/>
      <c r="B217" s="1263"/>
      <c r="C217" s="1317"/>
      <c r="D217" s="1263"/>
      <c r="E217" s="1318"/>
      <c r="F217" s="1254"/>
      <c r="G217" s="1319"/>
      <c r="H217" s="1254"/>
      <c r="I217" s="1254"/>
      <c r="J217" s="1254"/>
      <c r="K217" s="1320"/>
      <c r="L217" s="1254"/>
      <c r="M217" s="1254"/>
      <c r="N217" s="1254"/>
      <c r="O217" s="1254"/>
      <c r="P217" s="1254"/>
      <c r="Q217" s="1254"/>
      <c r="R217" s="1254"/>
      <c r="S217" s="1254"/>
      <c r="T217" s="1254"/>
      <c r="U217" s="1254"/>
      <c r="V217" s="1254"/>
      <c r="W217" s="1254"/>
      <c r="X217" s="1254"/>
      <c r="Y217" s="1254"/>
      <c r="Z217" s="1254"/>
    </row>
    <row r="218">
      <c r="A218" s="1254"/>
      <c r="B218" s="1263"/>
      <c r="C218" s="1317"/>
      <c r="D218" s="1263"/>
      <c r="E218" s="1318"/>
      <c r="F218" s="1254"/>
      <c r="G218" s="1319"/>
      <c r="H218" s="1254"/>
      <c r="I218" s="1254"/>
      <c r="J218" s="1254"/>
      <c r="K218" s="1320"/>
      <c r="L218" s="1254"/>
      <c r="M218" s="1254"/>
      <c r="N218" s="1254"/>
      <c r="O218" s="1254"/>
      <c r="P218" s="1254"/>
      <c r="Q218" s="1254"/>
      <c r="R218" s="1254"/>
      <c r="S218" s="1254"/>
      <c r="T218" s="1254"/>
      <c r="U218" s="1254"/>
      <c r="V218" s="1254"/>
      <c r="W218" s="1254"/>
      <c r="X218" s="1254"/>
      <c r="Y218" s="1254"/>
      <c r="Z218" s="1254"/>
    </row>
    <row r="219">
      <c r="A219" s="1254"/>
      <c r="B219" s="1263"/>
      <c r="C219" s="1317"/>
      <c r="D219" s="1263"/>
      <c r="E219" s="1318"/>
      <c r="F219" s="1254"/>
      <c r="G219" s="1319"/>
      <c r="H219" s="1254"/>
      <c r="I219" s="1254"/>
      <c r="J219" s="1254"/>
      <c r="K219" s="1320"/>
      <c r="L219" s="1254"/>
      <c r="M219" s="1254"/>
      <c r="N219" s="1254"/>
      <c r="O219" s="1254"/>
      <c r="P219" s="1254"/>
      <c r="Q219" s="1254"/>
      <c r="R219" s="1254"/>
      <c r="S219" s="1254"/>
      <c r="T219" s="1254"/>
      <c r="U219" s="1254"/>
      <c r="V219" s="1254"/>
      <c r="W219" s="1254"/>
      <c r="X219" s="1254"/>
      <c r="Y219" s="1254"/>
      <c r="Z219" s="1254"/>
    </row>
    <row r="220">
      <c r="A220" s="1254"/>
      <c r="B220" s="1263"/>
      <c r="C220" s="1317"/>
      <c r="D220" s="1263"/>
      <c r="E220" s="1318"/>
      <c r="F220" s="1254"/>
      <c r="G220" s="1319"/>
      <c r="H220" s="1254"/>
      <c r="I220" s="1254"/>
      <c r="J220" s="1254"/>
      <c r="K220" s="1320"/>
      <c r="L220" s="1254"/>
      <c r="M220" s="1254"/>
      <c r="N220" s="1254"/>
      <c r="O220" s="1254"/>
      <c r="P220" s="1254"/>
      <c r="Q220" s="1254"/>
      <c r="R220" s="1254"/>
      <c r="S220" s="1254"/>
      <c r="T220" s="1254"/>
      <c r="U220" s="1254"/>
      <c r="V220" s="1254"/>
      <c r="W220" s="1254"/>
      <c r="X220" s="1254"/>
      <c r="Y220" s="1254"/>
      <c r="Z220" s="1254"/>
    </row>
    <row r="221">
      <c r="A221" s="1254"/>
      <c r="B221" s="1263"/>
      <c r="C221" s="1317"/>
      <c r="D221" s="1263"/>
      <c r="E221" s="1318"/>
      <c r="F221" s="1254"/>
      <c r="G221" s="1319"/>
      <c r="H221" s="1254"/>
      <c r="I221" s="1254"/>
      <c r="J221" s="1254"/>
      <c r="K221" s="1320"/>
      <c r="L221" s="1254"/>
      <c r="M221" s="1254"/>
      <c r="N221" s="1254"/>
      <c r="O221" s="1254"/>
      <c r="P221" s="1254"/>
      <c r="Q221" s="1254"/>
      <c r="R221" s="1254"/>
      <c r="S221" s="1254"/>
      <c r="T221" s="1254"/>
      <c r="U221" s="1254"/>
      <c r="V221" s="1254"/>
      <c r="W221" s="1254"/>
      <c r="X221" s="1254"/>
      <c r="Y221" s="1254"/>
      <c r="Z221" s="1254"/>
    </row>
    <row r="222">
      <c r="A222" s="1254"/>
      <c r="B222" s="1263"/>
      <c r="C222" s="1317"/>
      <c r="D222" s="1263"/>
      <c r="E222" s="1318"/>
      <c r="F222" s="1254"/>
      <c r="G222" s="1319"/>
      <c r="H222" s="1254"/>
      <c r="I222" s="1254"/>
      <c r="J222" s="1254"/>
      <c r="K222" s="1320"/>
      <c r="L222" s="1254"/>
      <c r="M222" s="1254"/>
      <c r="N222" s="1254"/>
      <c r="O222" s="1254"/>
      <c r="P222" s="1254"/>
      <c r="Q222" s="1254"/>
      <c r="R222" s="1254"/>
      <c r="S222" s="1254"/>
      <c r="T222" s="1254"/>
      <c r="U222" s="1254"/>
      <c r="V222" s="1254"/>
      <c r="W222" s="1254"/>
      <c r="X222" s="1254"/>
      <c r="Y222" s="1254"/>
      <c r="Z222" s="1254"/>
    </row>
    <row r="223">
      <c r="A223" s="1254"/>
      <c r="B223" s="1263"/>
      <c r="C223" s="1317"/>
      <c r="D223" s="1263"/>
      <c r="E223" s="1318"/>
      <c r="F223" s="1254"/>
      <c r="G223" s="1319"/>
      <c r="H223" s="1254"/>
      <c r="I223" s="1254"/>
      <c r="J223" s="1254"/>
      <c r="K223" s="1320"/>
      <c r="L223" s="1254"/>
      <c r="M223" s="1254"/>
      <c r="N223" s="1254"/>
      <c r="O223" s="1254"/>
      <c r="P223" s="1254"/>
      <c r="Q223" s="1254"/>
      <c r="R223" s="1254"/>
      <c r="S223" s="1254"/>
      <c r="T223" s="1254"/>
      <c r="U223" s="1254"/>
      <c r="V223" s="1254"/>
      <c r="W223" s="1254"/>
      <c r="X223" s="1254"/>
      <c r="Y223" s="1254"/>
      <c r="Z223" s="1254"/>
    </row>
    <row r="224">
      <c r="A224" s="1254"/>
      <c r="B224" s="1263"/>
      <c r="C224" s="1317"/>
      <c r="D224" s="1263"/>
      <c r="E224" s="1318"/>
      <c r="F224" s="1254"/>
      <c r="G224" s="1319"/>
      <c r="H224" s="1254"/>
      <c r="I224" s="1254"/>
      <c r="J224" s="1254"/>
      <c r="K224" s="1320"/>
      <c r="L224" s="1254"/>
      <c r="M224" s="1254"/>
      <c r="N224" s="1254"/>
      <c r="O224" s="1254"/>
      <c r="P224" s="1254"/>
      <c r="Q224" s="1254"/>
      <c r="R224" s="1254"/>
      <c r="S224" s="1254"/>
      <c r="T224" s="1254"/>
      <c r="U224" s="1254"/>
      <c r="V224" s="1254"/>
      <c r="W224" s="1254"/>
      <c r="X224" s="1254"/>
      <c r="Y224" s="1254"/>
      <c r="Z224" s="1254"/>
    </row>
    <row r="225">
      <c r="A225" s="1254"/>
      <c r="B225" s="1263"/>
      <c r="C225" s="1317"/>
      <c r="D225" s="1263"/>
      <c r="E225" s="1318"/>
      <c r="F225" s="1254"/>
      <c r="G225" s="1319"/>
      <c r="H225" s="1254"/>
      <c r="I225" s="1254"/>
      <c r="J225" s="1254"/>
      <c r="K225" s="1320"/>
      <c r="L225" s="1254"/>
      <c r="M225" s="1254"/>
      <c r="N225" s="1254"/>
      <c r="O225" s="1254"/>
      <c r="P225" s="1254"/>
      <c r="Q225" s="1254"/>
      <c r="R225" s="1254"/>
      <c r="S225" s="1254"/>
      <c r="T225" s="1254"/>
      <c r="U225" s="1254"/>
      <c r="V225" s="1254"/>
      <c r="W225" s="1254"/>
      <c r="X225" s="1254"/>
      <c r="Y225" s="1254"/>
      <c r="Z225" s="1254"/>
    </row>
    <row r="226">
      <c r="A226" s="1254"/>
      <c r="B226" s="1263"/>
      <c r="C226" s="1317"/>
      <c r="D226" s="1263"/>
      <c r="E226" s="1318"/>
      <c r="F226" s="1254"/>
      <c r="G226" s="1319"/>
      <c r="H226" s="1254"/>
      <c r="I226" s="1254"/>
      <c r="J226" s="1254"/>
      <c r="K226" s="1320"/>
      <c r="L226" s="1254"/>
      <c r="M226" s="1254"/>
      <c r="N226" s="1254"/>
      <c r="O226" s="1254"/>
      <c r="P226" s="1254"/>
      <c r="Q226" s="1254"/>
      <c r="R226" s="1254"/>
      <c r="S226" s="1254"/>
      <c r="T226" s="1254"/>
      <c r="U226" s="1254"/>
      <c r="V226" s="1254"/>
      <c r="W226" s="1254"/>
      <c r="X226" s="1254"/>
      <c r="Y226" s="1254"/>
      <c r="Z226" s="1254"/>
    </row>
    <row r="227">
      <c r="A227" s="1254"/>
      <c r="B227" s="1263"/>
      <c r="C227" s="1317"/>
      <c r="D227" s="1263"/>
      <c r="E227" s="1318"/>
      <c r="F227" s="1254"/>
      <c r="G227" s="1319"/>
      <c r="H227" s="1254"/>
      <c r="I227" s="1254"/>
      <c r="J227" s="1254"/>
      <c r="K227" s="1320"/>
      <c r="L227" s="1254"/>
      <c r="M227" s="1254"/>
      <c r="N227" s="1254"/>
      <c r="O227" s="1254"/>
      <c r="P227" s="1254"/>
      <c r="Q227" s="1254"/>
      <c r="R227" s="1254"/>
      <c r="S227" s="1254"/>
      <c r="T227" s="1254"/>
      <c r="U227" s="1254"/>
      <c r="V227" s="1254"/>
      <c r="W227" s="1254"/>
      <c r="X227" s="1254"/>
      <c r="Y227" s="1254"/>
      <c r="Z227" s="1254"/>
    </row>
    <row r="228">
      <c r="A228" s="1254"/>
      <c r="B228" s="1263"/>
      <c r="C228" s="1317"/>
      <c r="D228" s="1263"/>
      <c r="E228" s="1318"/>
      <c r="F228" s="1254"/>
      <c r="G228" s="1319"/>
      <c r="H228" s="1254"/>
      <c r="I228" s="1254"/>
      <c r="J228" s="1254"/>
      <c r="K228" s="1320"/>
      <c r="L228" s="1254"/>
      <c r="M228" s="1254"/>
      <c r="N228" s="1254"/>
      <c r="O228" s="1254"/>
      <c r="P228" s="1254"/>
      <c r="Q228" s="1254"/>
      <c r="R228" s="1254"/>
      <c r="S228" s="1254"/>
      <c r="T228" s="1254"/>
      <c r="U228" s="1254"/>
      <c r="V228" s="1254"/>
      <c r="W228" s="1254"/>
      <c r="X228" s="1254"/>
      <c r="Y228" s="1254"/>
      <c r="Z228" s="1254"/>
    </row>
    <row r="229">
      <c r="A229" s="1254"/>
      <c r="B229" s="1263"/>
      <c r="C229" s="1317"/>
      <c r="D229" s="1263"/>
      <c r="E229" s="1318"/>
      <c r="F229" s="1254"/>
      <c r="G229" s="1319"/>
      <c r="H229" s="1254"/>
      <c r="I229" s="1254"/>
      <c r="J229" s="1254"/>
      <c r="K229" s="1320"/>
      <c r="L229" s="1254"/>
      <c r="M229" s="1254"/>
      <c r="N229" s="1254"/>
      <c r="O229" s="1254"/>
      <c r="P229" s="1254"/>
      <c r="Q229" s="1254"/>
      <c r="R229" s="1254"/>
      <c r="S229" s="1254"/>
      <c r="T229" s="1254"/>
      <c r="U229" s="1254"/>
      <c r="V229" s="1254"/>
      <c r="W229" s="1254"/>
      <c r="X229" s="1254"/>
      <c r="Y229" s="1254"/>
      <c r="Z229" s="1254"/>
    </row>
    <row r="230">
      <c r="A230" s="1254"/>
      <c r="B230" s="1263"/>
      <c r="C230" s="1317"/>
      <c r="D230" s="1263"/>
      <c r="E230" s="1318"/>
      <c r="F230" s="1254"/>
      <c r="G230" s="1319"/>
      <c r="H230" s="1254"/>
      <c r="I230" s="1254"/>
      <c r="J230" s="1254"/>
      <c r="K230" s="1320"/>
      <c r="L230" s="1254"/>
      <c r="M230" s="1254"/>
      <c r="N230" s="1254"/>
      <c r="O230" s="1254"/>
      <c r="P230" s="1254"/>
      <c r="Q230" s="1254"/>
      <c r="R230" s="1254"/>
      <c r="S230" s="1254"/>
      <c r="T230" s="1254"/>
      <c r="U230" s="1254"/>
      <c r="V230" s="1254"/>
      <c r="W230" s="1254"/>
      <c r="X230" s="1254"/>
      <c r="Y230" s="1254"/>
      <c r="Z230" s="1254"/>
    </row>
    <row r="231">
      <c r="A231" s="1254"/>
      <c r="B231" s="1263"/>
      <c r="C231" s="1317"/>
      <c r="D231" s="1263"/>
      <c r="E231" s="1318"/>
      <c r="F231" s="1254"/>
      <c r="G231" s="1319"/>
      <c r="H231" s="1254"/>
      <c r="I231" s="1254"/>
      <c r="J231" s="1254"/>
      <c r="K231" s="1320"/>
      <c r="L231" s="1254"/>
      <c r="M231" s="1254"/>
      <c r="N231" s="1254"/>
      <c r="O231" s="1254"/>
      <c r="P231" s="1254"/>
      <c r="Q231" s="1254"/>
      <c r="R231" s="1254"/>
      <c r="S231" s="1254"/>
      <c r="T231" s="1254"/>
      <c r="U231" s="1254"/>
      <c r="V231" s="1254"/>
      <c r="W231" s="1254"/>
      <c r="X231" s="1254"/>
      <c r="Y231" s="1254"/>
      <c r="Z231" s="1254"/>
    </row>
    <row r="232">
      <c r="A232" s="1254"/>
      <c r="B232" s="1263"/>
      <c r="C232" s="1317"/>
      <c r="D232" s="1263"/>
      <c r="E232" s="1318"/>
      <c r="F232" s="1254"/>
      <c r="G232" s="1319"/>
      <c r="H232" s="1254"/>
      <c r="I232" s="1254"/>
      <c r="J232" s="1254"/>
      <c r="K232" s="1320"/>
      <c r="L232" s="1254"/>
      <c r="M232" s="1254"/>
      <c r="N232" s="1254"/>
      <c r="O232" s="1254"/>
      <c r="P232" s="1254"/>
      <c r="Q232" s="1254"/>
      <c r="R232" s="1254"/>
      <c r="S232" s="1254"/>
      <c r="T232" s="1254"/>
      <c r="U232" s="1254"/>
      <c r="V232" s="1254"/>
      <c r="W232" s="1254"/>
      <c r="X232" s="1254"/>
      <c r="Y232" s="1254"/>
      <c r="Z232" s="1254"/>
    </row>
    <row r="233">
      <c r="A233" s="1254"/>
      <c r="B233" s="1263"/>
      <c r="C233" s="1317"/>
      <c r="D233" s="1263"/>
      <c r="E233" s="1318"/>
      <c r="F233" s="1254"/>
      <c r="G233" s="1319"/>
      <c r="H233" s="1254"/>
      <c r="I233" s="1254"/>
      <c r="J233" s="1254"/>
      <c r="K233" s="1320"/>
      <c r="L233" s="1254"/>
      <c r="M233" s="1254"/>
      <c r="N233" s="1254"/>
      <c r="O233" s="1254"/>
      <c r="P233" s="1254"/>
      <c r="Q233" s="1254"/>
      <c r="R233" s="1254"/>
      <c r="S233" s="1254"/>
      <c r="T233" s="1254"/>
      <c r="U233" s="1254"/>
      <c r="V233" s="1254"/>
      <c r="W233" s="1254"/>
      <c r="X233" s="1254"/>
      <c r="Y233" s="1254"/>
      <c r="Z233" s="1254"/>
    </row>
    <row r="234">
      <c r="A234" s="1254"/>
      <c r="B234" s="1263"/>
      <c r="C234" s="1317"/>
      <c r="D234" s="1263"/>
      <c r="E234" s="1318"/>
      <c r="F234" s="1254"/>
      <c r="G234" s="1319"/>
      <c r="H234" s="1254"/>
      <c r="I234" s="1254"/>
      <c r="J234" s="1254"/>
      <c r="K234" s="1320"/>
      <c r="L234" s="1254"/>
      <c r="M234" s="1254"/>
      <c r="N234" s="1254"/>
      <c r="O234" s="1254"/>
      <c r="P234" s="1254"/>
      <c r="Q234" s="1254"/>
      <c r="R234" s="1254"/>
      <c r="S234" s="1254"/>
      <c r="T234" s="1254"/>
      <c r="U234" s="1254"/>
      <c r="V234" s="1254"/>
      <c r="W234" s="1254"/>
      <c r="X234" s="1254"/>
      <c r="Y234" s="1254"/>
      <c r="Z234" s="1254"/>
    </row>
    <row r="235">
      <c r="A235" s="1254"/>
      <c r="B235" s="1263"/>
      <c r="C235" s="1317"/>
      <c r="D235" s="1263"/>
      <c r="E235" s="1318"/>
      <c r="F235" s="1254"/>
      <c r="G235" s="1319"/>
      <c r="H235" s="1254"/>
      <c r="I235" s="1254"/>
      <c r="J235" s="1254"/>
      <c r="K235" s="1320"/>
      <c r="L235" s="1254"/>
      <c r="M235" s="1254"/>
      <c r="N235" s="1254"/>
      <c r="O235" s="1254"/>
      <c r="P235" s="1254"/>
      <c r="Q235" s="1254"/>
      <c r="R235" s="1254"/>
      <c r="S235" s="1254"/>
      <c r="T235" s="1254"/>
      <c r="U235" s="1254"/>
      <c r="V235" s="1254"/>
      <c r="W235" s="1254"/>
      <c r="X235" s="1254"/>
      <c r="Y235" s="1254"/>
      <c r="Z235" s="1254"/>
    </row>
    <row r="236">
      <c r="A236" s="1254"/>
      <c r="B236" s="1263"/>
      <c r="C236" s="1317"/>
      <c r="D236" s="1263"/>
      <c r="E236" s="1318"/>
      <c r="F236" s="1254"/>
      <c r="G236" s="1319"/>
      <c r="H236" s="1254"/>
      <c r="I236" s="1254"/>
      <c r="J236" s="1254"/>
      <c r="K236" s="1320"/>
      <c r="L236" s="1254"/>
      <c r="M236" s="1254"/>
      <c r="N236" s="1254"/>
      <c r="O236" s="1254"/>
      <c r="P236" s="1254"/>
      <c r="Q236" s="1254"/>
      <c r="R236" s="1254"/>
      <c r="S236" s="1254"/>
      <c r="T236" s="1254"/>
      <c r="U236" s="1254"/>
      <c r="V236" s="1254"/>
      <c r="W236" s="1254"/>
      <c r="X236" s="1254"/>
      <c r="Y236" s="1254"/>
      <c r="Z236" s="1254"/>
    </row>
    <row r="237">
      <c r="A237" s="1254"/>
      <c r="B237" s="1263"/>
      <c r="C237" s="1317"/>
      <c r="D237" s="1263"/>
      <c r="E237" s="1318"/>
      <c r="F237" s="1254"/>
      <c r="G237" s="1319"/>
      <c r="H237" s="1254"/>
      <c r="I237" s="1254"/>
      <c r="J237" s="1254"/>
      <c r="K237" s="1320"/>
      <c r="L237" s="1254"/>
      <c r="M237" s="1254"/>
      <c r="N237" s="1254"/>
      <c r="O237" s="1254"/>
      <c r="P237" s="1254"/>
      <c r="Q237" s="1254"/>
      <c r="R237" s="1254"/>
      <c r="S237" s="1254"/>
      <c r="T237" s="1254"/>
      <c r="U237" s="1254"/>
      <c r="V237" s="1254"/>
      <c r="W237" s="1254"/>
      <c r="X237" s="1254"/>
      <c r="Y237" s="1254"/>
      <c r="Z237" s="1254"/>
    </row>
    <row r="238">
      <c r="A238" s="1254"/>
      <c r="B238" s="1263"/>
      <c r="C238" s="1317"/>
      <c r="D238" s="1263"/>
      <c r="E238" s="1318"/>
      <c r="F238" s="1254"/>
      <c r="G238" s="1319"/>
      <c r="H238" s="1254"/>
      <c r="I238" s="1254"/>
      <c r="J238" s="1254"/>
      <c r="K238" s="1320"/>
      <c r="L238" s="1254"/>
      <c r="M238" s="1254"/>
      <c r="N238" s="1254"/>
      <c r="O238" s="1254"/>
      <c r="P238" s="1254"/>
      <c r="Q238" s="1254"/>
      <c r="R238" s="1254"/>
      <c r="S238" s="1254"/>
      <c r="T238" s="1254"/>
      <c r="U238" s="1254"/>
      <c r="V238" s="1254"/>
      <c r="W238" s="1254"/>
      <c r="X238" s="1254"/>
      <c r="Y238" s="1254"/>
      <c r="Z238" s="1254"/>
    </row>
    <row r="239">
      <c r="A239" s="1254"/>
      <c r="B239" s="1263"/>
      <c r="C239" s="1317"/>
      <c r="D239" s="1263"/>
      <c r="E239" s="1318"/>
      <c r="F239" s="1254"/>
      <c r="G239" s="1319"/>
      <c r="H239" s="1254"/>
      <c r="I239" s="1254"/>
      <c r="J239" s="1254"/>
      <c r="K239" s="1320"/>
      <c r="L239" s="1254"/>
      <c r="M239" s="1254"/>
      <c r="N239" s="1254"/>
      <c r="O239" s="1254"/>
      <c r="P239" s="1254"/>
      <c r="Q239" s="1254"/>
      <c r="R239" s="1254"/>
      <c r="S239" s="1254"/>
      <c r="T239" s="1254"/>
      <c r="U239" s="1254"/>
      <c r="V239" s="1254"/>
      <c r="W239" s="1254"/>
      <c r="X239" s="1254"/>
      <c r="Y239" s="1254"/>
      <c r="Z239" s="1254"/>
    </row>
    <row r="240">
      <c r="A240" s="1254"/>
      <c r="B240" s="1263"/>
      <c r="C240" s="1317"/>
      <c r="D240" s="1263"/>
      <c r="E240" s="1318"/>
      <c r="F240" s="1254"/>
      <c r="G240" s="1319"/>
      <c r="H240" s="1254"/>
      <c r="I240" s="1254"/>
      <c r="J240" s="1254"/>
      <c r="K240" s="1320"/>
      <c r="L240" s="1254"/>
      <c r="M240" s="1254"/>
      <c r="N240" s="1254"/>
      <c r="O240" s="1254"/>
      <c r="P240" s="1254"/>
      <c r="Q240" s="1254"/>
      <c r="R240" s="1254"/>
      <c r="S240" s="1254"/>
      <c r="T240" s="1254"/>
      <c r="U240" s="1254"/>
      <c r="V240" s="1254"/>
      <c r="W240" s="1254"/>
      <c r="X240" s="1254"/>
      <c r="Y240" s="1254"/>
      <c r="Z240" s="1254"/>
    </row>
    <row r="241">
      <c r="A241" s="1254"/>
      <c r="B241" s="1263"/>
      <c r="C241" s="1317"/>
      <c r="D241" s="1263"/>
      <c r="E241" s="1318"/>
      <c r="F241" s="1254"/>
      <c r="G241" s="1319"/>
      <c r="H241" s="1254"/>
      <c r="I241" s="1254"/>
      <c r="J241" s="1254"/>
      <c r="K241" s="1320"/>
      <c r="L241" s="1254"/>
      <c r="M241" s="1254"/>
      <c r="N241" s="1254"/>
      <c r="O241" s="1254"/>
      <c r="P241" s="1254"/>
      <c r="Q241" s="1254"/>
      <c r="R241" s="1254"/>
      <c r="S241" s="1254"/>
      <c r="T241" s="1254"/>
      <c r="U241" s="1254"/>
      <c r="V241" s="1254"/>
      <c r="W241" s="1254"/>
      <c r="X241" s="1254"/>
      <c r="Y241" s="1254"/>
      <c r="Z241" s="1254"/>
    </row>
    <row r="242">
      <c r="A242" s="1254"/>
      <c r="B242" s="1263"/>
      <c r="C242" s="1317"/>
      <c r="D242" s="1263"/>
      <c r="E242" s="1318"/>
      <c r="F242" s="1254"/>
      <c r="G242" s="1319"/>
      <c r="H242" s="1254"/>
      <c r="I242" s="1254"/>
      <c r="J242" s="1254"/>
      <c r="K242" s="1320"/>
      <c r="L242" s="1254"/>
      <c r="M242" s="1254"/>
      <c r="N242" s="1254"/>
      <c r="O242" s="1254"/>
      <c r="P242" s="1254"/>
      <c r="Q242" s="1254"/>
      <c r="R242" s="1254"/>
      <c r="S242" s="1254"/>
      <c r="T242" s="1254"/>
      <c r="U242" s="1254"/>
      <c r="V242" s="1254"/>
      <c r="W242" s="1254"/>
      <c r="X242" s="1254"/>
      <c r="Y242" s="1254"/>
      <c r="Z242" s="1254"/>
    </row>
    <row r="243">
      <c r="A243" s="1254"/>
      <c r="B243" s="1263"/>
      <c r="C243" s="1317"/>
      <c r="D243" s="1263"/>
      <c r="E243" s="1318"/>
      <c r="F243" s="1254"/>
      <c r="G243" s="1319"/>
      <c r="H243" s="1254"/>
      <c r="I243" s="1254"/>
      <c r="J243" s="1254"/>
      <c r="K243" s="1320"/>
      <c r="L243" s="1254"/>
      <c r="M243" s="1254"/>
      <c r="N243" s="1254"/>
      <c r="O243" s="1254"/>
      <c r="P243" s="1254"/>
      <c r="Q243" s="1254"/>
      <c r="R243" s="1254"/>
      <c r="S243" s="1254"/>
      <c r="T243" s="1254"/>
      <c r="U243" s="1254"/>
      <c r="V243" s="1254"/>
      <c r="W243" s="1254"/>
      <c r="X243" s="1254"/>
      <c r="Y243" s="1254"/>
      <c r="Z243" s="1254"/>
    </row>
    <row r="244">
      <c r="A244" s="1254"/>
      <c r="B244" s="1263"/>
      <c r="C244" s="1317"/>
      <c r="D244" s="1263"/>
      <c r="E244" s="1318"/>
      <c r="F244" s="1254"/>
      <c r="G244" s="1319"/>
      <c r="H244" s="1254"/>
      <c r="I244" s="1254"/>
      <c r="J244" s="1254"/>
      <c r="K244" s="1320"/>
      <c r="L244" s="1254"/>
      <c r="M244" s="1254"/>
      <c r="N244" s="1254"/>
      <c r="O244" s="1254"/>
      <c r="P244" s="1254"/>
      <c r="Q244" s="1254"/>
      <c r="R244" s="1254"/>
      <c r="S244" s="1254"/>
      <c r="T244" s="1254"/>
      <c r="U244" s="1254"/>
      <c r="V244" s="1254"/>
      <c r="W244" s="1254"/>
      <c r="X244" s="1254"/>
      <c r="Y244" s="1254"/>
      <c r="Z244" s="1254"/>
    </row>
    <row r="245">
      <c r="A245" s="1254"/>
      <c r="B245" s="1263"/>
      <c r="C245" s="1317"/>
      <c r="D245" s="1263"/>
      <c r="E245" s="1318"/>
      <c r="F245" s="1254"/>
      <c r="G245" s="1319"/>
      <c r="H245" s="1254"/>
      <c r="I245" s="1254"/>
      <c r="J245" s="1254"/>
      <c r="K245" s="1320"/>
      <c r="L245" s="1254"/>
      <c r="M245" s="1254"/>
      <c r="N245" s="1254"/>
      <c r="O245" s="1254"/>
      <c r="P245" s="1254"/>
      <c r="Q245" s="1254"/>
      <c r="R245" s="1254"/>
      <c r="S245" s="1254"/>
      <c r="T245" s="1254"/>
      <c r="U245" s="1254"/>
      <c r="V245" s="1254"/>
      <c r="W245" s="1254"/>
      <c r="X245" s="1254"/>
      <c r="Y245" s="1254"/>
      <c r="Z245" s="1254"/>
    </row>
    <row r="246">
      <c r="A246" s="1254"/>
      <c r="B246" s="1263"/>
      <c r="C246" s="1317"/>
      <c r="D246" s="1263"/>
      <c r="E246" s="1318"/>
      <c r="F246" s="1254"/>
      <c r="G246" s="1319"/>
      <c r="H246" s="1254"/>
      <c r="I246" s="1254"/>
      <c r="J246" s="1254"/>
      <c r="K246" s="1320"/>
      <c r="L246" s="1254"/>
      <c r="M246" s="1254"/>
      <c r="N246" s="1254"/>
      <c r="O246" s="1254"/>
      <c r="P246" s="1254"/>
      <c r="Q246" s="1254"/>
      <c r="R246" s="1254"/>
      <c r="S246" s="1254"/>
      <c r="T246" s="1254"/>
      <c r="U246" s="1254"/>
      <c r="V246" s="1254"/>
      <c r="W246" s="1254"/>
      <c r="X246" s="1254"/>
      <c r="Y246" s="1254"/>
      <c r="Z246" s="1254"/>
    </row>
    <row r="247">
      <c r="A247" s="1254"/>
      <c r="B247" s="1263"/>
      <c r="C247" s="1317"/>
      <c r="D247" s="1263"/>
      <c r="E247" s="1318"/>
      <c r="F247" s="1254"/>
      <c r="G247" s="1319"/>
      <c r="H247" s="1254"/>
      <c r="I247" s="1254"/>
      <c r="J247" s="1254"/>
      <c r="K247" s="1320"/>
      <c r="L247" s="1254"/>
      <c r="M247" s="1254"/>
      <c r="N247" s="1254"/>
      <c r="O247" s="1254"/>
      <c r="P247" s="1254"/>
      <c r="Q247" s="1254"/>
      <c r="R247" s="1254"/>
      <c r="S247" s="1254"/>
      <c r="T247" s="1254"/>
      <c r="U247" s="1254"/>
      <c r="V247" s="1254"/>
      <c r="W247" s="1254"/>
      <c r="X247" s="1254"/>
      <c r="Y247" s="1254"/>
      <c r="Z247" s="1254"/>
    </row>
    <row r="248">
      <c r="A248" s="1254"/>
      <c r="B248" s="1263"/>
      <c r="C248" s="1317"/>
      <c r="D248" s="1263"/>
      <c r="E248" s="1318"/>
      <c r="F248" s="1254"/>
      <c r="G248" s="1319"/>
      <c r="H248" s="1254"/>
      <c r="I248" s="1254"/>
      <c r="J248" s="1254"/>
      <c r="K248" s="1320"/>
      <c r="L248" s="1254"/>
      <c r="M248" s="1254"/>
      <c r="N248" s="1254"/>
      <c r="O248" s="1254"/>
      <c r="P248" s="1254"/>
      <c r="Q248" s="1254"/>
      <c r="R248" s="1254"/>
      <c r="S248" s="1254"/>
      <c r="T248" s="1254"/>
      <c r="U248" s="1254"/>
      <c r="V248" s="1254"/>
      <c r="W248" s="1254"/>
      <c r="X248" s="1254"/>
      <c r="Y248" s="1254"/>
      <c r="Z248" s="1254"/>
    </row>
    <row r="249">
      <c r="A249" s="1254"/>
      <c r="B249" s="1263"/>
      <c r="C249" s="1317"/>
      <c r="D249" s="1263"/>
      <c r="E249" s="1318"/>
      <c r="F249" s="1254"/>
      <c r="G249" s="1319"/>
      <c r="H249" s="1254"/>
      <c r="I249" s="1254"/>
      <c r="J249" s="1254"/>
      <c r="K249" s="1320"/>
      <c r="L249" s="1254"/>
      <c r="M249" s="1254"/>
      <c r="N249" s="1254"/>
      <c r="O249" s="1254"/>
      <c r="P249" s="1254"/>
      <c r="Q249" s="1254"/>
      <c r="R249" s="1254"/>
      <c r="S249" s="1254"/>
      <c r="T249" s="1254"/>
      <c r="U249" s="1254"/>
      <c r="V249" s="1254"/>
      <c r="W249" s="1254"/>
      <c r="X249" s="1254"/>
      <c r="Y249" s="1254"/>
      <c r="Z249" s="1254"/>
    </row>
    <row r="250">
      <c r="A250" s="1254"/>
      <c r="B250" s="1263"/>
      <c r="C250" s="1317"/>
      <c r="D250" s="1263"/>
      <c r="E250" s="1318"/>
      <c r="F250" s="1254"/>
      <c r="G250" s="1319"/>
      <c r="H250" s="1254"/>
      <c r="I250" s="1254"/>
      <c r="J250" s="1254"/>
      <c r="K250" s="1320"/>
      <c r="L250" s="1254"/>
      <c r="M250" s="1254"/>
      <c r="N250" s="1254"/>
      <c r="O250" s="1254"/>
      <c r="P250" s="1254"/>
      <c r="Q250" s="1254"/>
      <c r="R250" s="1254"/>
      <c r="S250" s="1254"/>
      <c r="T250" s="1254"/>
      <c r="U250" s="1254"/>
      <c r="V250" s="1254"/>
      <c r="W250" s="1254"/>
      <c r="X250" s="1254"/>
      <c r="Y250" s="1254"/>
      <c r="Z250" s="1254"/>
    </row>
    <row r="251">
      <c r="A251" s="1254"/>
      <c r="B251" s="1263"/>
      <c r="C251" s="1317"/>
      <c r="D251" s="1263"/>
      <c r="E251" s="1318"/>
      <c r="F251" s="1254"/>
      <c r="G251" s="1319"/>
      <c r="H251" s="1254"/>
      <c r="I251" s="1254"/>
      <c r="J251" s="1254"/>
      <c r="K251" s="1320"/>
      <c r="L251" s="1254"/>
      <c r="M251" s="1254"/>
      <c r="N251" s="1254"/>
      <c r="O251" s="1254"/>
      <c r="P251" s="1254"/>
      <c r="Q251" s="1254"/>
      <c r="R251" s="1254"/>
      <c r="S251" s="1254"/>
      <c r="T251" s="1254"/>
      <c r="U251" s="1254"/>
      <c r="V251" s="1254"/>
      <c r="W251" s="1254"/>
      <c r="X251" s="1254"/>
      <c r="Y251" s="1254"/>
      <c r="Z251" s="1254"/>
    </row>
    <row r="252">
      <c r="A252" s="1254"/>
      <c r="B252" s="1263"/>
      <c r="C252" s="1317"/>
      <c r="D252" s="1263"/>
      <c r="E252" s="1318"/>
      <c r="F252" s="1254"/>
      <c r="G252" s="1319"/>
      <c r="H252" s="1254"/>
      <c r="I252" s="1254"/>
      <c r="J252" s="1254"/>
      <c r="K252" s="1320"/>
      <c r="L252" s="1254"/>
      <c r="M252" s="1254"/>
      <c r="N252" s="1254"/>
      <c r="O252" s="1254"/>
      <c r="P252" s="1254"/>
      <c r="Q252" s="1254"/>
      <c r="R252" s="1254"/>
      <c r="S252" s="1254"/>
      <c r="T252" s="1254"/>
      <c r="U252" s="1254"/>
      <c r="V252" s="1254"/>
      <c r="W252" s="1254"/>
      <c r="X252" s="1254"/>
      <c r="Y252" s="1254"/>
      <c r="Z252" s="1254"/>
    </row>
    <row r="253">
      <c r="A253" s="1254"/>
      <c r="B253" s="1263"/>
      <c r="C253" s="1317"/>
      <c r="D253" s="1263"/>
      <c r="E253" s="1318"/>
      <c r="F253" s="1254"/>
      <c r="G253" s="1319"/>
      <c r="H253" s="1254"/>
      <c r="I253" s="1254"/>
      <c r="J253" s="1254"/>
      <c r="K253" s="1320"/>
      <c r="L253" s="1254"/>
      <c r="M253" s="1254"/>
      <c r="N253" s="1254"/>
      <c r="O253" s="1254"/>
      <c r="P253" s="1254"/>
      <c r="Q253" s="1254"/>
      <c r="R253" s="1254"/>
      <c r="S253" s="1254"/>
      <c r="T253" s="1254"/>
      <c r="U253" s="1254"/>
      <c r="V253" s="1254"/>
      <c r="W253" s="1254"/>
      <c r="X253" s="1254"/>
      <c r="Y253" s="1254"/>
      <c r="Z253" s="1254"/>
    </row>
    <row r="254">
      <c r="A254" s="1254"/>
      <c r="B254" s="1263"/>
      <c r="C254" s="1317"/>
      <c r="D254" s="1263"/>
      <c r="E254" s="1318"/>
      <c r="F254" s="1254"/>
      <c r="G254" s="1319"/>
      <c r="H254" s="1254"/>
      <c r="I254" s="1254"/>
      <c r="J254" s="1254"/>
      <c r="K254" s="1320"/>
      <c r="L254" s="1254"/>
      <c r="M254" s="1254"/>
      <c r="N254" s="1254"/>
      <c r="O254" s="1254"/>
      <c r="P254" s="1254"/>
      <c r="Q254" s="1254"/>
      <c r="R254" s="1254"/>
      <c r="S254" s="1254"/>
      <c r="T254" s="1254"/>
      <c r="U254" s="1254"/>
      <c r="V254" s="1254"/>
      <c r="W254" s="1254"/>
      <c r="X254" s="1254"/>
      <c r="Y254" s="1254"/>
      <c r="Z254" s="1254"/>
    </row>
    <row r="255">
      <c r="A255" s="1254"/>
      <c r="B255" s="1263"/>
      <c r="C255" s="1317"/>
      <c r="D255" s="1263"/>
      <c r="E255" s="1318"/>
      <c r="F255" s="1254"/>
      <c r="G255" s="1319"/>
      <c r="H255" s="1254"/>
      <c r="I255" s="1254"/>
      <c r="J255" s="1254"/>
      <c r="K255" s="1320"/>
      <c r="L255" s="1254"/>
      <c r="M255" s="1254"/>
      <c r="N255" s="1254"/>
      <c r="O255" s="1254"/>
      <c r="P255" s="1254"/>
      <c r="Q255" s="1254"/>
      <c r="R255" s="1254"/>
      <c r="S255" s="1254"/>
      <c r="T255" s="1254"/>
      <c r="U255" s="1254"/>
      <c r="V255" s="1254"/>
      <c r="W255" s="1254"/>
      <c r="X255" s="1254"/>
      <c r="Y255" s="1254"/>
      <c r="Z255" s="1254"/>
    </row>
    <row r="256">
      <c r="A256" s="1254"/>
      <c r="B256" s="1263"/>
      <c r="C256" s="1317"/>
      <c r="D256" s="1263"/>
      <c r="E256" s="1318"/>
      <c r="F256" s="1254"/>
      <c r="G256" s="1319"/>
      <c r="H256" s="1254"/>
      <c r="I256" s="1254"/>
      <c r="J256" s="1254"/>
      <c r="K256" s="1320"/>
      <c r="L256" s="1254"/>
      <c r="M256" s="1254"/>
      <c r="N256" s="1254"/>
      <c r="O256" s="1254"/>
      <c r="P256" s="1254"/>
      <c r="Q256" s="1254"/>
      <c r="R256" s="1254"/>
      <c r="S256" s="1254"/>
      <c r="T256" s="1254"/>
      <c r="U256" s="1254"/>
      <c r="V256" s="1254"/>
      <c r="W256" s="1254"/>
      <c r="X256" s="1254"/>
      <c r="Y256" s="1254"/>
      <c r="Z256" s="1254"/>
    </row>
    <row r="257">
      <c r="A257" s="1254"/>
      <c r="B257" s="1263"/>
      <c r="C257" s="1317"/>
      <c r="D257" s="1263"/>
      <c r="E257" s="1318"/>
      <c r="F257" s="1254"/>
      <c r="G257" s="1319"/>
      <c r="H257" s="1254"/>
      <c r="I257" s="1254"/>
      <c r="J257" s="1254"/>
      <c r="K257" s="1320"/>
      <c r="L257" s="1254"/>
      <c r="M257" s="1254"/>
      <c r="N257" s="1254"/>
      <c r="O257" s="1254"/>
      <c r="P257" s="1254"/>
      <c r="Q257" s="1254"/>
      <c r="R257" s="1254"/>
      <c r="S257" s="1254"/>
      <c r="T257" s="1254"/>
      <c r="U257" s="1254"/>
      <c r="V257" s="1254"/>
      <c r="W257" s="1254"/>
      <c r="X257" s="1254"/>
      <c r="Y257" s="1254"/>
      <c r="Z257" s="1254"/>
    </row>
    <row r="258">
      <c r="A258" s="1254"/>
      <c r="B258" s="1263"/>
      <c r="C258" s="1317"/>
      <c r="D258" s="1263"/>
      <c r="E258" s="1318"/>
      <c r="F258" s="1254"/>
      <c r="G258" s="1319"/>
      <c r="H258" s="1254"/>
      <c r="I258" s="1254"/>
      <c r="J258" s="1254"/>
      <c r="K258" s="1320"/>
      <c r="L258" s="1254"/>
      <c r="M258" s="1254"/>
      <c r="N258" s="1254"/>
      <c r="O258" s="1254"/>
      <c r="P258" s="1254"/>
      <c r="Q258" s="1254"/>
      <c r="R258" s="1254"/>
      <c r="S258" s="1254"/>
      <c r="T258" s="1254"/>
      <c r="U258" s="1254"/>
      <c r="V258" s="1254"/>
      <c r="W258" s="1254"/>
      <c r="X258" s="1254"/>
      <c r="Y258" s="1254"/>
      <c r="Z258" s="1254"/>
    </row>
    <row r="259">
      <c r="A259" s="1254"/>
      <c r="B259" s="1263"/>
      <c r="C259" s="1317"/>
      <c r="D259" s="1263"/>
      <c r="E259" s="1318"/>
      <c r="F259" s="1254"/>
      <c r="G259" s="1319"/>
      <c r="H259" s="1254"/>
      <c r="I259" s="1254"/>
      <c r="J259" s="1254"/>
      <c r="K259" s="1320"/>
      <c r="L259" s="1254"/>
      <c r="M259" s="1254"/>
      <c r="N259" s="1254"/>
      <c r="O259" s="1254"/>
      <c r="P259" s="1254"/>
      <c r="Q259" s="1254"/>
      <c r="R259" s="1254"/>
      <c r="S259" s="1254"/>
      <c r="T259" s="1254"/>
      <c r="U259" s="1254"/>
      <c r="V259" s="1254"/>
      <c r="W259" s="1254"/>
      <c r="X259" s="1254"/>
      <c r="Y259" s="1254"/>
      <c r="Z259" s="1254"/>
    </row>
    <row r="260">
      <c r="A260" s="1254"/>
      <c r="B260" s="1263"/>
      <c r="C260" s="1317"/>
      <c r="D260" s="1263"/>
      <c r="E260" s="1318"/>
      <c r="F260" s="1254"/>
      <c r="G260" s="1319"/>
      <c r="H260" s="1254"/>
      <c r="I260" s="1254"/>
      <c r="J260" s="1254"/>
      <c r="K260" s="1320"/>
      <c r="L260" s="1254"/>
      <c r="M260" s="1254"/>
      <c r="N260" s="1254"/>
      <c r="O260" s="1254"/>
      <c r="P260" s="1254"/>
      <c r="Q260" s="1254"/>
      <c r="R260" s="1254"/>
      <c r="S260" s="1254"/>
      <c r="T260" s="1254"/>
      <c r="U260" s="1254"/>
      <c r="V260" s="1254"/>
      <c r="W260" s="1254"/>
      <c r="X260" s="1254"/>
      <c r="Y260" s="1254"/>
      <c r="Z260" s="1254"/>
    </row>
    <row r="261">
      <c r="A261" s="1254"/>
      <c r="B261" s="1263"/>
      <c r="C261" s="1317"/>
      <c r="D261" s="1263"/>
      <c r="E261" s="1318"/>
      <c r="F261" s="1254"/>
      <c r="G261" s="1319"/>
      <c r="H261" s="1254"/>
      <c r="I261" s="1254"/>
      <c r="J261" s="1254"/>
      <c r="K261" s="1320"/>
      <c r="L261" s="1254"/>
      <c r="M261" s="1254"/>
      <c r="N261" s="1254"/>
      <c r="O261" s="1254"/>
      <c r="P261" s="1254"/>
      <c r="Q261" s="1254"/>
      <c r="R261" s="1254"/>
      <c r="S261" s="1254"/>
      <c r="T261" s="1254"/>
      <c r="U261" s="1254"/>
      <c r="V261" s="1254"/>
      <c r="W261" s="1254"/>
      <c r="X261" s="1254"/>
      <c r="Y261" s="1254"/>
      <c r="Z261" s="1254"/>
    </row>
    <row r="262">
      <c r="A262" s="1254"/>
      <c r="B262" s="1263"/>
      <c r="C262" s="1317"/>
      <c r="D262" s="1263"/>
      <c r="E262" s="1318"/>
      <c r="F262" s="1254"/>
      <c r="G262" s="1319"/>
      <c r="H262" s="1254"/>
      <c r="I262" s="1254"/>
      <c r="J262" s="1254"/>
      <c r="K262" s="1320"/>
      <c r="L262" s="1254"/>
      <c r="M262" s="1254"/>
      <c r="N262" s="1254"/>
      <c r="O262" s="1254"/>
      <c r="P262" s="1254"/>
      <c r="Q262" s="1254"/>
      <c r="R262" s="1254"/>
      <c r="S262" s="1254"/>
      <c r="T262" s="1254"/>
      <c r="U262" s="1254"/>
      <c r="V262" s="1254"/>
      <c r="W262" s="1254"/>
      <c r="X262" s="1254"/>
      <c r="Y262" s="1254"/>
      <c r="Z262" s="1254"/>
    </row>
    <row r="263">
      <c r="A263" s="1254"/>
      <c r="B263" s="1263"/>
      <c r="C263" s="1317"/>
      <c r="D263" s="1263"/>
      <c r="E263" s="1318"/>
      <c r="F263" s="1254"/>
      <c r="G263" s="1319"/>
      <c r="H263" s="1254"/>
      <c r="I263" s="1254"/>
      <c r="J263" s="1254"/>
      <c r="K263" s="1320"/>
      <c r="L263" s="1254"/>
      <c r="M263" s="1254"/>
      <c r="N263" s="1254"/>
      <c r="O263" s="1254"/>
      <c r="P263" s="1254"/>
      <c r="Q263" s="1254"/>
      <c r="R263" s="1254"/>
      <c r="S263" s="1254"/>
      <c r="T263" s="1254"/>
      <c r="U263" s="1254"/>
      <c r="V263" s="1254"/>
      <c r="W263" s="1254"/>
      <c r="X263" s="1254"/>
      <c r="Y263" s="1254"/>
      <c r="Z263" s="1254"/>
    </row>
    <row r="264">
      <c r="A264" s="1254"/>
      <c r="B264" s="1263"/>
      <c r="C264" s="1317"/>
      <c r="D264" s="1263"/>
      <c r="E264" s="1318"/>
      <c r="F264" s="1254"/>
      <c r="G264" s="1319"/>
      <c r="H264" s="1254"/>
      <c r="I264" s="1254"/>
      <c r="J264" s="1254"/>
      <c r="K264" s="1320"/>
      <c r="L264" s="1254"/>
      <c r="M264" s="1254"/>
      <c r="N264" s="1254"/>
      <c r="O264" s="1254"/>
      <c r="P264" s="1254"/>
      <c r="Q264" s="1254"/>
      <c r="R264" s="1254"/>
      <c r="S264" s="1254"/>
      <c r="T264" s="1254"/>
      <c r="U264" s="1254"/>
      <c r="V264" s="1254"/>
      <c r="W264" s="1254"/>
      <c r="X264" s="1254"/>
      <c r="Y264" s="1254"/>
      <c r="Z264" s="1254"/>
    </row>
    <row r="265">
      <c r="A265" s="1254"/>
      <c r="B265" s="1263"/>
      <c r="C265" s="1317"/>
      <c r="D265" s="1263"/>
      <c r="E265" s="1318"/>
      <c r="F265" s="1254"/>
      <c r="G265" s="1319"/>
      <c r="H265" s="1254"/>
      <c r="I265" s="1254"/>
      <c r="J265" s="1254"/>
      <c r="K265" s="1320"/>
      <c r="L265" s="1254"/>
      <c r="M265" s="1254"/>
      <c r="N265" s="1254"/>
      <c r="O265" s="1254"/>
      <c r="P265" s="1254"/>
      <c r="Q265" s="1254"/>
      <c r="R265" s="1254"/>
      <c r="S265" s="1254"/>
      <c r="T265" s="1254"/>
      <c r="U265" s="1254"/>
      <c r="V265" s="1254"/>
      <c r="W265" s="1254"/>
      <c r="X265" s="1254"/>
      <c r="Y265" s="1254"/>
      <c r="Z265" s="1254"/>
    </row>
    <row r="266">
      <c r="A266" s="1254"/>
      <c r="B266" s="1263"/>
      <c r="C266" s="1317"/>
      <c r="D266" s="1263"/>
      <c r="E266" s="1318"/>
      <c r="F266" s="1254"/>
      <c r="G266" s="1319"/>
      <c r="H266" s="1254"/>
      <c r="I266" s="1254"/>
      <c r="J266" s="1254"/>
      <c r="K266" s="1320"/>
      <c r="L266" s="1254"/>
      <c r="M266" s="1254"/>
      <c r="N266" s="1254"/>
      <c r="O266" s="1254"/>
      <c r="P266" s="1254"/>
      <c r="Q266" s="1254"/>
      <c r="R266" s="1254"/>
      <c r="S266" s="1254"/>
      <c r="T266" s="1254"/>
      <c r="U266" s="1254"/>
      <c r="V266" s="1254"/>
      <c r="W266" s="1254"/>
      <c r="X266" s="1254"/>
      <c r="Y266" s="1254"/>
      <c r="Z266" s="1254"/>
    </row>
    <row r="267">
      <c r="A267" s="1254"/>
      <c r="B267" s="1263"/>
      <c r="C267" s="1317"/>
      <c r="D267" s="1263"/>
      <c r="E267" s="1318"/>
      <c r="F267" s="1254"/>
      <c r="G267" s="1319"/>
      <c r="H267" s="1254"/>
      <c r="I267" s="1254"/>
      <c r="J267" s="1254"/>
      <c r="K267" s="1320"/>
      <c r="L267" s="1254"/>
      <c r="M267" s="1254"/>
      <c r="N267" s="1254"/>
      <c r="O267" s="1254"/>
      <c r="P267" s="1254"/>
      <c r="Q267" s="1254"/>
      <c r="R267" s="1254"/>
      <c r="S267" s="1254"/>
      <c r="T267" s="1254"/>
      <c r="U267" s="1254"/>
      <c r="V267" s="1254"/>
      <c r="W267" s="1254"/>
      <c r="X267" s="1254"/>
      <c r="Y267" s="1254"/>
      <c r="Z267" s="1254"/>
    </row>
    <row r="268">
      <c r="A268" s="1254"/>
      <c r="B268" s="1263"/>
      <c r="C268" s="1317"/>
      <c r="D268" s="1263"/>
      <c r="E268" s="1318"/>
      <c r="F268" s="1254"/>
      <c r="G268" s="1319"/>
      <c r="H268" s="1254"/>
      <c r="I268" s="1254"/>
      <c r="J268" s="1254"/>
      <c r="K268" s="1320"/>
      <c r="L268" s="1254"/>
      <c r="M268" s="1254"/>
      <c r="N268" s="1254"/>
      <c r="O268" s="1254"/>
      <c r="P268" s="1254"/>
      <c r="Q268" s="1254"/>
      <c r="R268" s="1254"/>
      <c r="S268" s="1254"/>
      <c r="T268" s="1254"/>
      <c r="U268" s="1254"/>
      <c r="V268" s="1254"/>
      <c r="W268" s="1254"/>
      <c r="X268" s="1254"/>
      <c r="Y268" s="1254"/>
      <c r="Z268" s="1254"/>
    </row>
    <row r="269">
      <c r="A269" s="1254"/>
      <c r="B269" s="1263"/>
      <c r="C269" s="1317"/>
      <c r="D269" s="1263"/>
      <c r="E269" s="1318"/>
      <c r="F269" s="1254"/>
      <c r="G269" s="1319"/>
      <c r="H269" s="1254"/>
      <c r="I269" s="1254"/>
      <c r="J269" s="1254"/>
      <c r="K269" s="1320"/>
      <c r="L269" s="1254"/>
      <c r="M269" s="1254"/>
      <c r="N269" s="1254"/>
      <c r="O269" s="1254"/>
      <c r="P269" s="1254"/>
      <c r="Q269" s="1254"/>
      <c r="R269" s="1254"/>
      <c r="S269" s="1254"/>
      <c r="T269" s="1254"/>
      <c r="U269" s="1254"/>
      <c r="V269" s="1254"/>
      <c r="W269" s="1254"/>
      <c r="X269" s="1254"/>
      <c r="Y269" s="1254"/>
      <c r="Z269" s="1254"/>
    </row>
    <row r="270">
      <c r="A270" s="1254"/>
      <c r="B270" s="1263"/>
      <c r="C270" s="1317"/>
      <c r="D270" s="1263"/>
      <c r="E270" s="1318"/>
      <c r="F270" s="1254"/>
      <c r="G270" s="1319"/>
      <c r="H270" s="1254"/>
      <c r="I270" s="1254"/>
      <c r="J270" s="1254"/>
      <c r="K270" s="1320"/>
      <c r="L270" s="1254"/>
      <c r="M270" s="1254"/>
      <c r="N270" s="1254"/>
      <c r="O270" s="1254"/>
      <c r="P270" s="1254"/>
      <c r="Q270" s="1254"/>
      <c r="R270" s="1254"/>
      <c r="S270" s="1254"/>
      <c r="T270" s="1254"/>
      <c r="U270" s="1254"/>
      <c r="V270" s="1254"/>
      <c r="W270" s="1254"/>
      <c r="X270" s="1254"/>
      <c r="Y270" s="1254"/>
      <c r="Z270" s="1254"/>
    </row>
    <row r="271">
      <c r="A271" s="1254"/>
      <c r="B271" s="1263"/>
      <c r="C271" s="1317"/>
      <c r="D271" s="1263"/>
      <c r="E271" s="1318"/>
      <c r="F271" s="1254"/>
      <c r="G271" s="1319"/>
      <c r="H271" s="1254"/>
      <c r="I271" s="1254"/>
      <c r="J271" s="1254"/>
      <c r="K271" s="1320"/>
      <c r="L271" s="1254"/>
      <c r="M271" s="1254"/>
      <c r="N271" s="1254"/>
      <c r="O271" s="1254"/>
      <c r="P271" s="1254"/>
      <c r="Q271" s="1254"/>
      <c r="R271" s="1254"/>
      <c r="S271" s="1254"/>
      <c r="T271" s="1254"/>
      <c r="U271" s="1254"/>
      <c r="V271" s="1254"/>
      <c r="W271" s="1254"/>
      <c r="X271" s="1254"/>
      <c r="Y271" s="1254"/>
      <c r="Z271" s="1254"/>
    </row>
    <row r="272">
      <c r="A272" s="1254"/>
      <c r="B272" s="1263"/>
      <c r="C272" s="1317"/>
      <c r="D272" s="1263"/>
      <c r="E272" s="1318"/>
      <c r="F272" s="1254"/>
      <c r="G272" s="1319"/>
      <c r="H272" s="1254"/>
      <c r="I272" s="1254"/>
      <c r="J272" s="1254"/>
      <c r="K272" s="1320"/>
      <c r="L272" s="1254"/>
      <c r="M272" s="1254"/>
      <c r="N272" s="1254"/>
      <c r="O272" s="1254"/>
      <c r="P272" s="1254"/>
      <c r="Q272" s="1254"/>
      <c r="R272" s="1254"/>
      <c r="S272" s="1254"/>
      <c r="T272" s="1254"/>
      <c r="U272" s="1254"/>
      <c r="V272" s="1254"/>
      <c r="W272" s="1254"/>
      <c r="X272" s="1254"/>
      <c r="Y272" s="1254"/>
      <c r="Z272" s="1254"/>
    </row>
    <row r="273">
      <c r="A273" s="1254"/>
      <c r="B273" s="1263"/>
      <c r="C273" s="1317"/>
      <c r="D273" s="1263"/>
      <c r="E273" s="1318"/>
      <c r="F273" s="1254"/>
      <c r="G273" s="1319"/>
      <c r="H273" s="1254"/>
      <c r="I273" s="1254"/>
      <c r="J273" s="1254"/>
      <c r="K273" s="1320"/>
      <c r="L273" s="1254"/>
      <c r="M273" s="1254"/>
      <c r="N273" s="1254"/>
      <c r="O273" s="1254"/>
      <c r="P273" s="1254"/>
      <c r="Q273" s="1254"/>
      <c r="R273" s="1254"/>
      <c r="S273" s="1254"/>
      <c r="T273" s="1254"/>
      <c r="U273" s="1254"/>
      <c r="V273" s="1254"/>
      <c r="W273" s="1254"/>
      <c r="X273" s="1254"/>
      <c r="Y273" s="1254"/>
      <c r="Z273" s="1254"/>
    </row>
    <row r="274">
      <c r="A274" s="1254"/>
      <c r="B274" s="1263"/>
      <c r="C274" s="1317"/>
      <c r="D274" s="1263"/>
      <c r="E274" s="1318"/>
      <c r="F274" s="1254"/>
      <c r="G274" s="1319"/>
      <c r="H274" s="1254"/>
      <c r="I274" s="1254"/>
      <c r="J274" s="1254"/>
      <c r="K274" s="1320"/>
      <c r="L274" s="1254"/>
      <c r="M274" s="1254"/>
      <c r="N274" s="1254"/>
      <c r="O274" s="1254"/>
      <c r="P274" s="1254"/>
      <c r="Q274" s="1254"/>
      <c r="R274" s="1254"/>
      <c r="S274" s="1254"/>
      <c r="T274" s="1254"/>
      <c r="U274" s="1254"/>
      <c r="V274" s="1254"/>
      <c r="W274" s="1254"/>
      <c r="X274" s="1254"/>
      <c r="Y274" s="1254"/>
      <c r="Z274" s="1254"/>
    </row>
    <row r="275">
      <c r="A275" s="1254"/>
      <c r="B275" s="1263"/>
      <c r="C275" s="1317"/>
      <c r="D275" s="1263"/>
      <c r="E275" s="1318"/>
      <c r="F275" s="1254"/>
      <c r="G275" s="1319"/>
      <c r="H275" s="1254"/>
      <c r="I275" s="1254"/>
      <c r="J275" s="1254"/>
      <c r="K275" s="1320"/>
      <c r="L275" s="1254"/>
      <c r="M275" s="1254"/>
      <c r="N275" s="1254"/>
      <c r="O275" s="1254"/>
      <c r="P275" s="1254"/>
      <c r="Q275" s="1254"/>
      <c r="R275" s="1254"/>
      <c r="S275" s="1254"/>
      <c r="T275" s="1254"/>
      <c r="U275" s="1254"/>
      <c r="V275" s="1254"/>
      <c r="W275" s="1254"/>
      <c r="X275" s="1254"/>
      <c r="Y275" s="1254"/>
      <c r="Z275" s="1254"/>
    </row>
    <row r="276">
      <c r="A276" s="1254"/>
      <c r="B276" s="1263"/>
      <c r="C276" s="1317"/>
      <c r="D276" s="1263"/>
      <c r="E276" s="1318"/>
      <c r="F276" s="1254"/>
      <c r="G276" s="1319"/>
      <c r="H276" s="1254"/>
      <c r="I276" s="1254"/>
      <c r="J276" s="1254"/>
      <c r="K276" s="1320"/>
      <c r="L276" s="1254"/>
      <c r="M276" s="1254"/>
      <c r="N276" s="1254"/>
      <c r="O276" s="1254"/>
      <c r="P276" s="1254"/>
      <c r="Q276" s="1254"/>
      <c r="R276" s="1254"/>
      <c r="S276" s="1254"/>
      <c r="T276" s="1254"/>
      <c r="U276" s="1254"/>
      <c r="V276" s="1254"/>
      <c r="W276" s="1254"/>
      <c r="X276" s="1254"/>
      <c r="Y276" s="1254"/>
      <c r="Z276" s="1254"/>
    </row>
    <row r="277">
      <c r="A277" s="1254"/>
      <c r="B277" s="1263"/>
      <c r="C277" s="1317"/>
      <c r="D277" s="1263"/>
      <c r="E277" s="1318"/>
      <c r="F277" s="1254"/>
      <c r="G277" s="1319"/>
      <c r="H277" s="1254"/>
      <c r="I277" s="1254"/>
      <c r="J277" s="1254"/>
      <c r="K277" s="1320"/>
      <c r="L277" s="1254"/>
      <c r="M277" s="1254"/>
      <c r="N277" s="1254"/>
      <c r="O277" s="1254"/>
      <c r="P277" s="1254"/>
      <c r="Q277" s="1254"/>
      <c r="R277" s="1254"/>
      <c r="S277" s="1254"/>
      <c r="T277" s="1254"/>
      <c r="U277" s="1254"/>
      <c r="V277" s="1254"/>
      <c r="W277" s="1254"/>
      <c r="X277" s="1254"/>
      <c r="Y277" s="1254"/>
      <c r="Z277" s="1254"/>
    </row>
    <row r="278">
      <c r="A278" s="1254"/>
      <c r="B278" s="1263"/>
      <c r="C278" s="1317"/>
      <c r="D278" s="1263"/>
      <c r="E278" s="1318"/>
      <c r="F278" s="1254"/>
      <c r="G278" s="1319"/>
      <c r="H278" s="1254"/>
      <c r="I278" s="1254"/>
      <c r="J278" s="1254"/>
      <c r="K278" s="1320"/>
      <c r="L278" s="1254"/>
      <c r="M278" s="1254"/>
      <c r="N278" s="1254"/>
      <c r="O278" s="1254"/>
      <c r="P278" s="1254"/>
      <c r="Q278" s="1254"/>
      <c r="R278" s="1254"/>
      <c r="S278" s="1254"/>
      <c r="T278" s="1254"/>
      <c r="U278" s="1254"/>
      <c r="V278" s="1254"/>
      <c r="W278" s="1254"/>
      <c r="X278" s="1254"/>
      <c r="Y278" s="1254"/>
      <c r="Z278" s="1254"/>
    </row>
    <row r="279">
      <c r="A279" s="1254"/>
      <c r="B279" s="1263"/>
      <c r="C279" s="1317"/>
      <c r="D279" s="1263"/>
      <c r="E279" s="1318"/>
      <c r="F279" s="1254"/>
      <c r="G279" s="1319"/>
      <c r="H279" s="1254"/>
      <c r="I279" s="1254"/>
      <c r="J279" s="1254"/>
      <c r="K279" s="1320"/>
      <c r="L279" s="1254"/>
      <c r="M279" s="1254"/>
      <c r="N279" s="1254"/>
      <c r="O279" s="1254"/>
      <c r="P279" s="1254"/>
      <c r="Q279" s="1254"/>
      <c r="R279" s="1254"/>
      <c r="S279" s="1254"/>
      <c r="T279" s="1254"/>
      <c r="U279" s="1254"/>
      <c r="V279" s="1254"/>
      <c r="W279" s="1254"/>
      <c r="X279" s="1254"/>
      <c r="Y279" s="1254"/>
      <c r="Z279" s="1254"/>
    </row>
    <row r="280">
      <c r="A280" s="1254"/>
      <c r="B280" s="1263"/>
      <c r="C280" s="1317"/>
      <c r="D280" s="1263"/>
      <c r="E280" s="1318"/>
      <c r="F280" s="1254"/>
      <c r="G280" s="1319"/>
      <c r="H280" s="1254"/>
      <c r="I280" s="1254"/>
      <c r="J280" s="1254"/>
      <c r="K280" s="1320"/>
      <c r="L280" s="1254"/>
      <c r="M280" s="1254"/>
      <c r="N280" s="1254"/>
      <c r="O280" s="1254"/>
      <c r="P280" s="1254"/>
      <c r="Q280" s="1254"/>
      <c r="R280" s="1254"/>
      <c r="S280" s="1254"/>
      <c r="T280" s="1254"/>
      <c r="U280" s="1254"/>
      <c r="V280" s="1254"/>
      <c r="W280" s="1254"/>
      <c r="X280" s="1254"/>
      <c r="Y280" s="1254"/>
      <c r="Z280" s="1254"/>
    </row>
    <row r="281">
      <c r="A281" s="1254"/>
      <c r="B281" s="1263"/>
      <c r="C281" s="1317"/>
      <c r="D281" s="1263"/>
      <c r="E281" s="1318"/>
      <c r="F281" s="1254"/>
      <c r="G281" s="1319"/>
      <c r="H281" s="1254"/>
      <c r="I281" s="1254"/>
      <c r="J281" s="1254"/>
      <c r="K281" s="1320"/>
      <c r="L281" s="1254"/>
      <c r="M281" s="1254"/>
      <c r="N281" s="1254"/>
      <c r="O281" s="1254"/>
      <c r="P281" s="1254"/>
      <c r="Q281" s="1254"/>
      <c r="R281" s="1254"/>
      <c r="S281" s="1254"/>
      <c r="T281" s="1254"/>
      <c r="U281" s="1254"/>
      <c r="V281" s="1254"/>
      <c r="W281" s="1254"/>
      <c r="X281" s="1254"/>
      <c r="Y281" s="1254"/>
      <c r="Z281" s="1254"/>
    </row>
    <row r="282">
      <c r="A282" s="1254"/>
      <c r="B282" s="1263"/>
      <c r="C282" s="1317"/>
      <c r="D282" s="1263"/>
      <c r="E282" s="1318"/>
      <c r="F282" s="1254"/>
      <c r="G282" s="1319"/>
      <c r="H282" s="1254"/>
      <c r="I282" s="1254"/>
      <c r="J282" s="1254"/>
      <c r="K282" s="1320"/>
      <c r="L282" s="1254"/>
      <c r="M282" s="1254"/>
      <c r="N282" s="1254"/>
      <c r="O282" s="1254"/>
      <c r="P282" s="1254"/>
      <c r="Q282" s="1254"/>
      <c r="R282" s="1254"/>
      <c r="S282" s="1254"/>
      <c r="T282" s="1254"/>
      <c r="U282" s="1254"/>
      <c r="V282" s="1254"/>
      <c r="W282" s="1254"/>
      <c r="X282" s="1254"/>
      <c r="Y282" s="1254"/>
      <c r="Z282" s="1254"/>
    </row>
    <row r="283">
      <c r="A283" s="1254"/>
      <c r="B283" s="1263"/>
      <c r="C283" s="1317"/>
      <c r="D283" s="1263"/>
      <c r="E283" s="1318"/>
      <c r="F283" s="1254"/>
      <c r="G283" s="1319"/>
      <c r="H283" s="1254"/>
      <c r="I283" s="1254"/>
      <c r="J283" s="1254"/>
      <c r="K283" s="1320"/>
      <c r="L283" s="1254"/>
      <c r="M283" s="1254"/>
      <c r="N283" s="1254"/>
      <c r="O283" s="1254"/>
      <c r="P283" s="1254"/>
      <c r="Q283" s="1254"/>
      <c r="R283" s="1254"/>
      <c r="S283" s="1254"/>
      <c r="T283" s="1254"/>
      <c r="U283" s="1254"/>
      <c r="V283" s="1254"/>
      <c r="W283" s="1254"/>
      <c r="X283" s="1254"/>
      <c r="Y283" s="1254"/>
      <c r="Z283" s="1254"/>
    </row>
    <row r="284">
      <c r="A284" s="1254"/>
      <c r="B284" s="1263"/>
      <c r="C284" s="1317"/>
      <c r="D284" s="1263"/>
      <c r="E284" s="1318"/>
      <c r="F284" s="1254"/>
      <c r="G284" s="1319"/>
      <c r="H284" s="1254"/>
      <c r="I284" s="1254"/>
      <c r="J284" s="1254"/>
      <c r="K284" s="1320"/>
      <c r="L284" s="1254"/>
      <c r="M284" s="1254"/>
      <c r="N284" s="1254"/>
      <c r="O284" s="1254"/>
      <c r="P284" s="1254"/>
      <c r="Q284" s="1254"/>
      <c r="R284" s="1254"/>
      <c r="S284" s="1254"/>
      <c r="T284" s="1254"/>
      <c r="U284" s="1254"/>
      <c r="V284" s="1254"/>
      <c r="W284" s="1254"/>
      <c r="X284" s="1254"/>
      <c r="Y284" s="1254"/>
      <c r="Z284" s="1254"/>
    </row>
    <row r="285">
      <c r="A285" s="1254"/>
      <c r="B285" s="1263"/>
      <c r="C285" s="1317"/>
      <c r="D285" s="1263"/>
      <c r="E285" s="1318"/>
      <c r="F285" s="1254"/>
      <c r="G285" s="1319"/>
      <c r="H285" s="1254"/>
      <c r="I285" s="1254"/>
      <c r="J285" s="1254"/>
      <c r="K285" s="1320"/>
      <c r="L285" s="1254"/>
      <c r="M285" s="1254"/>
      <c r="N285" s="1254"/>
      <c r="O285" s="1254"/>
      <c r="P285" s="1254"/>
      <c r="Q285" s="1254"/>
      <c r="R285" s="1254"/>
      <c r="S285" s="1254"/>
      <c r="T285" s="1254"/>
      <c r="U285" s="1254"/>
      <c r="V285" s="1254"/>
      <c r="W285" s="1254"/>
      <c r="X285" s="1254"/>
      <c r="Y285" s="1254"/>
      <c r="Z285" s="1254"/>
    </row>
    <row r="286">
      <c r="A286" s="1254"/>
      <c r="B286" s="1263"/>
      <c r="C286" s="1317"/>
      <c r="D286" s="1263"/>
      <c r="E286" s="1318"/>
      <c r="F286" s="1254"/>
      <c r="G286" s="1319"/>
      <c r="H286" s="1254"/>
      <c r="I286" s="1254"/>
      <c r="J286" s="1254"/>
      <c r="K286" s="1320"/>
      <c r="L286" s="1254"/>
      <c r="M286" s="1254"/>
      <c r="N286" s="1254"/>
      <c r="O286" s="1254"/>
      <c r="P286" s="1254"/>
      <c r="Q286" s="1254"/>
      <c r="R286" s="1254"/>
      <c r="S286" s="1254"/>
      <c r="T286" s="1254"/>
      <c r="U286" s="1254"/>
      <c r="V286" s="1254"/>
      <c r="W286" s="1254"/>
      <c r="X286" s="1254"/>
      <c r="Y286" s="1254"/>
      <c r="Z286" s="1254"/>
    </row>
    <row r="287">
      <c r="A287" s="1254"/>
      <c r="B287" s="1263"/>
      <c r="C287" s="1317"/>
      <c r="D287" s="1263"/>
      <c r="E287" s="1318"/>
      <c r="F287" s="1254"/>
      <c r="G287" s="1319"/>
      <c r="H287" s="1254"/>
      <c r="I287" s="1254"/>
      <c r="J287" s="1254"/>
      <c r="K287" s="1320"/>
      <c r="L287" s="1254"/>
      <c r="M287" s="1254"/>
      <c r="N287" s="1254"/>
      <c r="O287" s="1254"/>
      <c r="P287" s="1254"/>
      <c r="Q287" s="1254"/>
      <c r="R287" s="1254"/>
      <c r="S287" s="1254"/>
      <c r="T287" s="1254"/>
      <c r="U287" s="1254"/>
      <c r="V287" s="1254"/>
      <c r="W287" s="1254"/>
      <c r="X287" s="1254"/>
      <c r="Y287" s="1254"/>
      <c r="Z287" s="1254"/>
    </row>
    <row r="288">
      <c r="A288" s="1254"/>
      <c r="B288" s="1263"/>
      <c r="C288" s="1317"/>
      <c r="D288" s="1263"/>
      <c r="E288" s="1318"/>
      <c r="F288" s="1254"/>
      <c r="G288" s="1319"/>
      <c r="H288" s="1254"/>
      <c r="I288" s="1254"/>
      <c r="J288" s="1254"/>
      <c r="K288" s="1320"/>
      <c r="L288" s="1254"/>
      <c r="M288" s="1254"/>
      <c r="N288" s="1254"/>
      <c r="O288" s="1254"/>
      <c r="P288" s="1254"/>
      <c r="Q288" s="1254"/>
      <c r="R288" s="1254"/>
      <c r="S288" s="1254"/>
      <c r="T288" s="1254"/>
      <c r="U288" s="1254"/>
      <c r="V288" s="1254"/>
      <c r="W288" s="1254"/>
      <c r="X288" s="1254"/>
      <c r="Y288" s="1254"/>
      <c r="Z288" s="1254"/>
    </row>
    <row r="289">
      <c r="A289" s="1254"/>
      <c r="B289" s="1263"/>
      <c r="C289" s="1317"/>
      <c r="D289" s="1263"/>
      <c r="E289" s="1318"/>
      <c r="F289" s="1254"/>
      <c r="G289" s="1319"/>
      <c r="H289" s="1254"/>
      <c r="I289" s="1254"/>
      <c r="J289" s="1254"/>
      <c r="K289" s="1320"/>
      <c r="L289" s="1254"/>
      <c r="M289" s="1254"/>
      <c r="N289" s="1254"/>
      <c r="O289" s="1254"/>
      <c r="P289" s="1254"/>
      <c r="Q289" s="1254"/>
      <c r="R289" s="1254"/>
      <c r="S289" s="1254"/>
      <c r="T289" s="1254"/>
      <c r="U289" s="1254"/>
      <c r="V289" s="1254"/>
      <c r="W289" s="1254"/>
      <c r="X289" s="1254"/>
      <c r="Y289" s="1254"/>
      <c r="Z289" s="1254"/>
    </row>
    <row r="290">
      <c r="A290" s="1254"/>
      <c r="B290" s="1263"/>
      <c r="C290" s="1317"/>
      <c r="D290" s="1263"/>
      <c r="E290" s="1318"/>
      <c r="F290" s="1254"/>
      <c r="G290" s="1319"/>
      <c r="H290" s="1254"/>
      <c r="I290" s="1254"/>
      <c r="J290" s="1254"/>
      <c r="K290" s="1320"/>
      <c r="L290" s="1254"/>
      <c r="M290" s="1254"/>
      <c r="N290" s="1254"/>
      <c r="O290" s="1254"/>
      <c r="P290" s="1254"/>
      <c r="Q290" s="1254"/>
      <c r="R290" s="1254"/>
      <c r="S290" s="1254"/>
      <c r="T290" s="1254"/>
      <c r="U290" s="1254"/>
      <c r="V290" s="1254"/>
      <c r="W290" s="1254"/>
      <c r="X290" s="1254"/>
      <c r="Y290" s="1254"/>
      <c r="Z290" s="1254"/>
    </row>
    <row r="291">
      <c r="A291" s="1254"/>
      <c r="B291" s="1263"/>
      <c r="C291" s="1317"/>
      <c r="D291" s="1263"/>
      <c r="E291" s="1318"/>
      <c r="F291" s="1254"/>
      <c r="G291" s="1319"/>
      <c r="H291" s="1254"/>
      <c r="I291" s="1254"/>
      <c r="J291" s="1254"/>
      <c r="K291" s="1320"/>
      <c r="L291" s="1254"/>
      <c r="M291" s="1254"/>
      <c r="N291" s="1254"/>
      <c r="O291" s="1254"/>
      <c r="P291" s="1254"/>
      <c r="Q291" s="1254"/>
      <c r="R291" s="1254"/>
      <c r="S291" s="1254"/>
      <c r="T291" s="1254"/>
      <c r="U291" s="1254"/>
      <c r="V291" s="1254"/>
      <c r="W291" s="1254"/>
      <c r="X291" s="1254"/>
      <c r="Y291" s="1254"/>
      <c r="Z291" s="1254"/>
    </row>
    <row r="292">
      <c r="A292" s="1254"/>
      <c r="B292" s="1263"/>
      <c r="C292" s="1317"/>
      <c r="D292" s="1263"/>
      <c r="E292" s="1318"/>
      <c r="F292" s="1254"/>
      <c r="G292" s="1319"/>
      <c r="H292" s="1254"/>
      <c r="I292" s="1254"/>
      <c r="J292" s="1254"/>
      <c r="K292" s="1320"/>
      <c r="L292" s="1254"/>
      <c r="M292" s="1254"/>
      <c r="N292" s="1254"/>
      <c r="O292" s="1254"/>
      <c r="P292" s="1254"/>
      <c r="Q292" s="1254"/>
      <c r="R292" s="1254"/>
      <c r="S292" s="1254"/>
      <c r="T292" s="1254"/>
      <c r="U292" s="1254"/>
      <c r="V292" s="1254"/>
      <c r="W292" s="1254"/>
      <c r="X292" s="1254"/>
      <c r="Y292" s="1254"/>
      <c r="Z292" s="1254"/>
    </row>
    <row r="293">
      <c r="A293" s="1254"/>
      <c r="B293" s="1263"/>
      <c r="C293" s="1317"/>
      <c r="D293" s="1263"/>
      <c r="E293" s="1318"/>
      <c r="F293" s="1254"/>
      <c r="G293" s="1319"/>
      <c r="H293" s="1254"/>
      <c r="I293" s="1254"/>
      <c r="J293" s="1254"/>
      <c r="K293" s="1320"/>
      <c r="L293" s="1254"/>
      <c r="M293" s="1254"/>
      <c r="N293" s="1254"/>
      <c r="O293" s="1254"/>
      <c r="P293" s="1254"/>
      <c r="Q293" s="1254"/>
      <c r="R293" s="1254"/>
      <c r="S293" s="1254"/>
      <c r="T293" s="1254"/>
      <c r="U293" s="1254"/>
      <c r="V293" s="1254"/>
      <c r="W293" s="1254"/>
      <c r="X293" s="1254"/>
      <c r="Y293" s="1254"/>
      <c r="Z293" s="1254"/>
    </row>
    <row r="294">
      <c r="A294" s="1254"/>
      <c r="B294" s="1263"/>
      <c r="C294" s="1317"/>
      <c r="D294" s="1263"/>
      <c r="E294" s="1318"/>
      <c r="F294" s="1254"/>
      <c r="G294" s="1319"/>
      <c r="H294" s="1254"/>
      <c r="I294" s="1254"/>
      <c r="J294" s="1254"/>
      <c r="K294" s="1320"/>
      <c r="L294" s="1254"/>
      <c r="M294" s="1254"/>
      <c r="N294" s="1254"/>
      <c r="O294" s="1254"/>
      <c r="P294" s="1254"/>
      <c r="Q294" s="1254"/>
      <c r="R294" s="1254"/>
      <c r="S294" s="1254"/>
      <c r="T294" s="1254"/>
      <c r="U294" s="1254"/>
      <c r="V294" s="1254"/>
      <c r="W294" s="1254"/>
      <c r="X294" s="1254"/>
      <c r="Y294" s="1254"/>
      <c r="Z294" s="1254"/>
    </row>
    <row r="295">
      <c r="A295" s="1254"/>
      <c r="B295" s="1263"/>
      <c r="C295" s="1317"/>
      <c r="D295" s="1263"/>
      <c r="E295" s="1318"/>
      <c r="F295" s="1254"/>
      <c r="G295" s="1319"/>
      <c r="H295" s="1254"/>
      <c r="I295" s="1254"/>
      <c r="J295" s="1254"/>
      <c r="K295" s="1320"/>
      <c r="L295" s="1254"/>
      <c r="M295" s="1254"/>
      <c r="N295" s="1254"/>
      <c r="O295" s="1254"/>
      <c r="P295" s="1254"/>
      <c r="Q295" s="1254"/>
      <c r="R295" s="1254"/>
      <c r="S295" s="1254"/>
      <c r="T295" s="1254"/>
      <c r="U295" s="1254"/>
      <c r="V295" s="1254"/>
      <c r="W295" s="1254"/>
      <c r="X295" s="1254"/>
      <c r="Y295" s="1254"/>
      <c r="Z295" s="1254"/>
    </row>
    <row r="296">
      <c r="A296" s="1254"/>
      <c r="B296" s="1263"/>
      <c r="C296" s="1317"/>
      <c r="D296" s="1263"/>
      <c r="E296" s="1318"/>
      <c r="F296" s="1254"/>
      <c r="G296" s="1319"/>
      <c r="H296" s="1254"/>
      <c r="I296" s="1254"/>
      <c r="J296" s="1254"/>
      <c r="K296" s="1320"/>
      <c r="L296" s="1254"/>
      <c r="M296" s="1254"/>
      <c r="N296" s="1254"/>
      <c r="O296" s="1254"/>
      <c r="P296" s="1254"/>
      <c r="Q296" s="1254"/>
      <c r="R296" s="1254"/>
      <c r="S296" s="1254"/>
      <c r="T296" s="1254"/>
      <c r="U296" s="1254"/>
      <c r="V296" s="1254"/>
      <c r="W296" s="1254"/>
      <c r="X296" s="1254"/>
      <c r="Y296" s="1254"/>
      <c r="Z296" s="1254"/>
    </row>
    <row r="297">
      <c r="A297" s="1254"/>
      <c r="B297" s="1263"/>
      <c r="C297" s="1317"/>
      <c r="D297" s="1263"/>
      <c r="E297" s="1318"/>
      <c r="F297" s="1254"/>
      <c r="G297" s="1319"/>
      <c r="H297" s="1254"/>
      <c r="I297" s="1254"/>
      <c r="J297" s="1254"/>
      <c r="K297" s="1320"/>
      <c r="L297" s="1254"/>
      <c r="M297" s="1254"/>
      <c r="N297" s="1254"/>
      <c r="O297" s="1254"/>
      <c r="P297" s="1254"/>
      <c r="Q297" s="1254"/>
      <c r="R297" s="1254"/>
      <c r="S297" s="1254"/>
      <c r="T297" s="1254"/>
      <c r="U297" s="1254"/>
      <c r="V297" s="1254"/>
      <c r="W297" s="1254"/>
      <c r="X297" s="1254"/>
      <c r="Y297" s="1254"/>
      <c r="Z297" s="1254"/>
    </row>
    <row r="298">
      <c r="A298" s="1254"/>
      <c r="B298" s="1263"/>
      <c r="C298" s="1317"/>
      <c r="D298" s="1263"/>
      <c r="E298" s="1318"/>
      <c r="F298" s="1254"/>
      <c r="G298" s="1319"/>
      <c r="H298" s="1254"/>
      <c r="I298" s="1254"/>
      <c r="J298" s="1254"/>
      <c r="K298" s="1320"/>
      <c r="L298" s="1254"/>
      <c r="M298" s="1254"/>
      <c r="N298" s="1254"/>
      <c r="O298" s="1254"/>
      <c r="P298" s="1254"/>
      <c r="Q298" s="1254"/>
      <c r="R298" s="1254"/>
      <c r="S298" s="1254"/>
      <c r="T298" s="1254"/>
      <c r="U298" s="1254"/>
      <c r="V298" s="1254"/>
      <c r="W298" s="1254"/>
      <c r="X298" s="1254"/>
      <c r="Y298" s="1254"/>
      <c r="Z298" s="1254"/>
    </row>
    <row r="299">
      <c r="A299" s="1254"/>
      <c r="B299" s="1263"/>
      <c r="C299" s="1317"/>
      <c r="D299" s="1263"/>
      <c r="E299" s="1318"/>
      <c r="F299" s="1254"/>
      <c r="G299" s="1319"/>
      <c r="H299" s="1254"/>
      <c r="I299" s="1254"/>
      <c r="J299" s="1254"/>
      <c r="K299" s="1320"/>
      <c r="L299" s="1254"/>
      <c r="M299" s="1254"/>
      <c r="N299" s="1254"/>
      <c r="O299" s="1254"/>
      <c r="P299" s="1254"/>
      <c r="Q299" s="1254"/>
      <c r="R299" s="1254"/>
      <c r="S299" s="1254"/>
      <c r="T299" s="1254"/>
      <c r="U299" s="1254"/>
      <c r="V299" s="1254"/>
      <c r="W299" s="1254"/>
      <c r="X299" s="1254"/>
      <c r="Y299" s="1254"/>
      <c r="Z299" s="1254"/>
    </row>
    <row r="300">
      <c r="A300" s="1254"/>
      <c r="B300" s="1263"/>
      <c r="C300" s="1317"/>
      <c r="D300" s="1263"/>
      <c r="E300" s="1318"/>
      <c r="F300" s="1254"/>
      <c r="G300" s="1319"/>
      <c r="H300" s="1254"/>
      <c r="I300" s="1254"/>
      <c r="J300" s="1254"/>
      <c r="K300" s="1320"/>
      <c r="L300" s="1254"/>
      <c r="M300" s="1254"/>
      <c r="N300" s="1254"/>
      <c r="O300" s="1254"/>
      <c r="P300" s="1254"/>
      <c r="Q300" s="1254"/>
      <c r="R300" s="1254"/>
      <c r="S300" s="1254"/>
      <c r="T300" s="1254"/>
      <c r="U300" s="1254"/>
      <c r="V300" s="1254"/>
      <c r="W300" s="1254"/>
      <c r="X300" s="1254"/>
      <c r="Y300" s="1254"/>
      <c r="Z300" s="1254"/>
    </row>
    <row r="301">
      <c r="A301" s="1254"/>
      <c r="B301" s="1263"/>
      <c r="C301" s="1317"/>
      <c r="D301" s="1263"/>
      <c r="E301" s="1318"/>
      <c r="F301" s="1254"/>
      <c r="G301" s="1319"/>
      <c r="H301" s="1254"/>
      <c r="I301" s="1254"/>
      <c r="J301" s="1254"/>
      <c r="K301" s="1320"/>
      <c r="L301" s="1254"/>
      <c r="M301" s="1254"/>
      <c r="N301" s="1254"/>
      <c r="O301" s="1254"/>
      <c r="P301" s="1254"/>
      <c r="Q301" s="1254"/>
      <c r="R301" s="1254"/>
      <c r="S301" s="1254"/>
      <c r="T301" s="1254"/>
      <c r="U301" s="1254"/>
      <c r="V301" s="1254"/>
      <c r="W301" s="1254"/>
      <c r="X301" s="1254"/>
      <c r="Y301" s="1254"/>
      <c r="Z301" s="1254"/>
    </row>
    <row r="302">
      <c r="A302" s="1254"/>
      <c r="B302" s="1263"/>
      <c r="C302" s="1317"/>
      <c r="D302" s="1263"/>
      <c r="E302" s="1318"/>
      <c r="F302" s="1254"/>
      <c r="G302" s="1319"/>
      <c r="H302" s="1254"/>
      <c r="I302" s="1254"/>
      <c r="J302" s="1254"/>
      <c r="K302" s="1320"/>
      <c r="L302" s="1254"/>
      <c r="M302" s="1254"/>
      <c r="N302" s="1254"/>
      <c r="O302" s="1254"/>
      <c r="P302" s="1254"/>
      <c r="Q302" s="1254"/>
      <c r="R302" s="1254"/>
      <c r="S302" s="1254"/>
      <c r="T302" s="1254"/>
      <c r="U302" s="1254"/>
      <c r="V302" s="1254"/>
      <c r="W302" s="1254"/>
      <c r="X302" s="1254"/>
      <c r="Y302" s="1254"/>
      <c r="Z302" s="1254"/>
    </row>
    <row r="303">
      <c r="A303" s="1254"/>
      <c r="B303" s="1263"/>
      <c r="C303" s="1317"/>
      <c r="D303" s="1263"/>
      <c r="E303" s="1318"/>
      <c r="F303" s="1254"/>
      <c r="G303" s="1319"/>
      <c r="H303" s="1254"/>
      <c r="I303" s="1254"/>
      <c r="J303" s="1254"/>
      <c r="K303" s="1320"/>
      <c r="L303" s="1254"/>
      <c r="M303" s="1254"/>
      <c r="N303" s="1254"/>
      <c r="O303" s="1254"/>
      <c r="P303" s="1254"/>
      <c r="Q303" s="1254"/>
      <c r="R303" s="1254"/>
      <c r="S303" s="1254"/>
      <c r="T303" s="1254"/>
      <c r="U303" s="1254"/>
      <c r="V303" s="1254"/>
      <c r="W303" s="1254"/>
      <c r="X303" s="1254"/>
      <c r="Y303" s="1254"/>
      <c r="Z303" s="1254"/>
    </row>
    <row r="304">
      <c r="A304" s="1254"/>
      <c r="B304" s="1263"/>
      <c r="C304" s="1317"/>
      <c r="D304" s="1263"/>
      <c r="E304" s="1318"/>
      <c r="F304" s="1254"/>
      <c r="G304" s="1319"/>
      <c r="H304" s="1254"/>
      <c r="I304" s="1254"/>
      <c r="J304" s="1254"/>
      <c r="K304" s="1320"/>
      <c r="L304" s="1254"/>
      <c r="M304" s="1254"/>
      <c r="N304" s="1254"/>
      <c r="O304" s="1254"/>
      <c r="P304" s="1254"/>
      <c r="Q304" s="1254"/>
      <c r="R304" s="1254"/>
      <c r="S304" s="1254"/>
      <c r="T304" s="1254"/>
      <c r="U304" s="1254"/>
      <c r="V304" s="1254"/>
      <c r="W304" s="1254"/>
      <c r="X304" s="1254"/>
      <c r="Y304" s="1254"/>
      <c r="Z304" s="1254"/>
    </row>
    <row r="305">
      <c r="A305" s="1254"/>
      <c r="B305" s="1263"/>
      <c r="C305" s="1317"/>
      <c r="D305" s="1263"/>
      <c r="E305" s="1318"/>
      <c r="F305" s="1254"/>
      <c r="G305" s="1319"/>
      <c r="H305" s="1254"/>
      <c r="I305" s="1254"/>
      <c r="J305" s="1254"/>
      <c r="K305" s="1320"/>
      <c r="L305" s="1254"/>
      <c r="M305" s="1254"/>
      <c r="N305" s="1254"/>
      <c r="O305" s="1254"/>
      <c r="P305" s="1254"/>
      <c r="Q305" s="1254"/>
      <c r="R305" s="1254"/>
      <c r="S305" s="1254"/>
      <c r="T305" s="1254"/>
      <c r="U305" s="1254"/>
      <c r="V305" s="1254"/>
      <c r="W305" s="1254"/>
      <c r="X305" s="1254"/>
      <c r="Y305" s="1254"/>
      <c r="Z305" s="1254"/>
    </row>
    <row r="306">
      <c r="A306" s="1254"/>
      <c r="B306" s="1263"/>
      <c r="C306" s="1317"/>
      <c r="D306" s="1263"/>
      <c r="E306" s="1318"/>
      <c r="F306" s="1254"/>
      <c r="G306" s="1319"/>
      <c r="H306" s="1254"/>
      <c r="I306" s="1254"/>
      <c r="J306" s="1254"/>
      <c r="K306" s="1320"/>
      <c r="L306" s="1254"/>
      <c r="M306" s="1254"/>
      <c r="N306" s="1254"/>
      <c r="O306" s="1254"/>
      <c r="P306" s="1254"/>
      <c r="Q306" s="1254"/>
      <c r="R306" s="1254"/>
      <c r="S306" s="1254"/>
      <c r="T306" s="1254"/>
      <c r="U306" s="1254"/>
      <c r="V306" s="1254"/>
      <c r="W306" s="1254"/>
      <c r="X306" s="1254"/>
      <c r="Y306" s="1254"/>
      <c r="Z306" s="1254"/>
    </row>
    <row r="307">
      <c r="A307" s="1254"/>
      <c r="B307" s="1263"/>
      <c r="C307" s="1317"/>
      <c r="D307" s="1263"/>
      <c r="E307" s="1318"/>
      <c r="F307" s="1254"/>
      <c r="G307" s="1319"/>
      <c r="H307" s="1254"/>
      <c r="I307" s="1254"/>
      <c r="J307" s="1254"/>
      <c r="K307" s="1320"/>
      <c r="L307" s="1254"/>
      <c r="M307" s="1254"/>
      <c r="N307" s="1254"/>
      <c r="O307" s="1254"/>
      <c r="P307" s="1254"/>
      <c r="Q307" s="1254"/>
      <c r="R307" s="1254"/>
      <c r="S307" s="1254"/>
      <c r="T307" s="1254"/>
      <c r="U307" s="1254"/>
      <c r="V307" s="1254"/>
      <c r="W307" s="1254"/>
      <c r="X307" s="1254"/>
      <c r="Y307" s="1254"/>
      <c r="Z307" s="1254"/>
    </row>
    <row r="308">
      <c r="A308" s="1254"/>
      <c r="B308" s="1263"/>
      <c r="C308" s="1317"/>
      <c r="D308" s="1263"/>
      <c r="E308" s="1318"/>
      <c r="F308" s="1254"/>
      <c r="G308" s="1319"/>
      <c r="H308" s="1254"/>
      <c r="I308" s="1254"/>
      <c r="J308" s="1254"/>
      <c r="K308" s="1320"/>
      <c r="L308" s="1254"/>
      <c r="M308" s="1254"/>
      <c r="N308" s="1254"/>
      <c r="O308" s="1254"/>
      <c r="P308" s="1254"/>
      <c r="Q308" s="1254"/>
      <c r="R308" s="1254"/>
      <c r="S308" s="1254"/>
      <c r="T308" s="1254"/>
      <c r="U308" s="1254"/>
      <c r="V308" s="1254"/>
      <c r="W308" s="1254"/>
      <c r="X308" s="1254"/>
      <c r="Y308" s="1254"/>
      <c r="Z308" s="1254"/>
    </row>
    <row r="309">
      <c r="A309" s="1254"/>
      <c r="B309" s="1263"/>
      <c r="C309" s="1317"/>
      <c r="D309" s="1263"/>
      <c r="E309" s="1318"/>
      <c r="F309" s="1254"/>
      <c r="G309" s="1319"/>
      <c r="H309" s="1254"/>
      <c r="I309" s="1254"/>
      <c r="J309" s="1254"/>
      <c r="K309" s="1320"/>
      <c r="L309" s="1254"/>
      <c r="M309" s="1254"/>
      <c r="N309" s="1254"/>
      <c r="O309" s="1254"/>
      <c r="P309" s="1254"/>
      <c r="Q309" s="1254"/>
      <c r="R309" s="1254"/>
      <c r="S309" s="1254"/>
      <c r="T309" s="1254"/>
      <c r="U309" s="1254"/>
      <c r="V309" s="1254"/>
      <c r="W309" s="1254"/>
      <c r="X309" s="1254"/>
      <c r="Y309" s="1254"/>
      <c r="Z309" s="1254"/>
    </row>
    <row r="310">
      <c r="A310" s="1254"/>
      <c r="B310" s="1263"/>
      <c r="C310" s="1317"/>
      <c r="D310" s="1263"/>
      <c r="E310" s="1318"/>
      <c r="F310" s="1254"/>
      <c r="G310" s="1319"/>
      <c r="H310" s="1254"/>
      <c r="I310" s="1254"/>
      <c r="J310" s="1254"/>
      <c r="K310" s="1320"/>
      <c r="L310" s="1254"/>
      <c r="M310" s="1254"/>
      <c r="N310" s="1254"/>
      <c r="O310" s="1254"/>
      <c r="P310" s="1254"/>
      <c r="Q310" s="1254"/>
      <c r="R310" s="1254"/>
      <c r="S310" s="1254"/>
      <c r="T310" s="1254"/>
      <c r="U310" s="1254"/>
      <c r="V310" s="1254"/>
      <c r="W310" s="1254"/>
      <c r="X310" s="1254"/>
      <c r="Y310" s="1254"/>
      <c r="Z310" s="1254"/>
    </row>
    <row r="311">
      <c r="A311" s="1254"/>
      <c r="B311" s="1263"/>
      <c r="C311" s="1317"/>
      <c r="D311" s="1263"/>
      <c r="E311" s="1318"/>
      <c r="F311" s="1254"/>
      <c r="G311" s="1319"/>
      <c r="H311" s="1254"/>
      <c r="I311" s="1254"/>
      <c r="J311" s="1254"/>
      <c r="K311" s="1320"/>
      <c r="L311" s="1254"/>
      <c r="M311" s="1254"/>
      <c r="N311" s="1254"/>
      <c r="O311" s="1254"/>
      <c r="P311" s="1254"/>
      <c r="Q311" s="1254"/>
      <c r="R311" s="1254"/>
      <c r="S311" s="1254"/>
      <c r="T311" s="1254"/>
      <c r="U311" s="1254"/>
      <c r="V311" s="1254"/>
      <c r="W311" s="1254"/>
      <c r="X311" s="1254"/>
      <c r="Y311" s="1254"/>
      <c r="Z311" s="1254"/>
    </row>
    <row r="312">
      <c r="A312" s="1254"/>
      <c r="B312" s="1263"/>
      <c r="C312" s="1317"/>
      <c r="D312" s="1263"/>
      <c r="E312" s="1318"/>
      <c r="F312" s="1254"/>
      <c r="G312" s="1319"/>
      <c r="H312" s="1254"/>
      <c r="I312" s="1254"/>
      <c r="J312" s="1254"/>
      <c r="K312" s="1320"/>
      <c r="L312" s="1254"/>
      <c r="M312" s="1254"/>
      <c r="N312" s="1254"/>
      <c r="O312" s="1254"/>
      <c r="P312" s="1254"/>
      <c r="Q312" s="1254"/>
      <c r="R312" s="1254"/>
      <c r="S312" s="1254"/>
      <c r="T312" s="1254"/>
      <c r="U312" s="1254"/>
      <c r="V312" s="1254"/>
      <c r="W312" s="1254"/>
      <c r="X312" s="1254"/>
      <c r="Y312" s="1254"/>
      <c r="Z312" s="1254"/>
    </row>
    <row r="313">
      <c r="A313" s="1254"/>
      <c r="B313" s="1263"/>
      <c r="C313" s="1317"/>
      <c r="D313" s="1263"/>
      <c r="E313" s="1318"/>
      <c r="F313" s="1254"/>
      <c r="G313" s="1319"/>
      <c r="H313" s="1254"/>
      <c r="I313" s="1254"/>
      <c r="J313" s="1254"/>
      <c r="K313" s="1320"/>
      <c r="L313" s="1254"/>
      <c r="M313" s="1254"/>
      <c r="N313" s="1254"/>
      <c r="O313" s="1254"/>
      <c r="P313" s="1254"/>
      <c r="Q313" s="1254"/>
      <c r="R313" s="1254"/>
      <c r="S313" s="1254"/>
      <c r="T313" s="1254"/>
      <c r="U313" s="1254"/>
      <c r="V313" s="1254"/>
      <c r="W313" s="1254"/>
      <c r="X313" s="1254"/>
      <c r="Y313" s="1254"/>
      <c r="Z313" s="1254"/>
    </row>
    <row r="314">
      <c r="A314" s="1254"/>
      <c r="B314" s="1263"/>
      <c r="C314" s="1317"/>
      <c r="D314" s="1263"/>
      <c r="E314" s="1318"/>
      <c r="F314" s="1254"/>
      <c r="G314" s="1319"/>
      <c r="H314" s="1254"/>
      <c r="I314" s="1254"/>
      <c r="J314" s="1254"/>
      <c r="K314" s="1320"/>
      <c r="L314" s="1254"/>
      <c r="M314" s="1254"/>
      <c r="N314" s="1254"/>
      <c r="O314" s="1254"/>
      <c r="P314" s="1254"/>
      <c r="Q314" s="1254"/>
      <c r="R314" s="1254"/>
      <c r="S314" s="1254"/>
      <c r="T314" s="1254"/>
      <c r="U314" s="1254"/>
      <c r="V314" s="1254"/>
      <c r="W314" s="1254"/>
      <c r="X314" s="1254"/>
      <c r="Y314" s="1254"/>
      <c r="Z314" s="1254"/>
    </row>
    <row r="315">
      <c r="A315" s="1254"/>
      <c r="B315" s="1263"/>
      <c r="C315" s="1317"/>
      <c r="D315" s="1263"/>
      <c r="E315" s="1318"/>
      <c r="F315" s="1254"/>
      <c r="G315" s="1319"/>
      <c r="H315" s="1254"/>
      <c r="I315" s="1254"/>
      <c r="J315" s="1254"/>
      <c r="K315" s="1320"/>
      <c r="L315" s="1254"/>
      <c r="M315" s="1254"/>
      <c r="N315" s="1254"/>
      <c r="O315" s="1254"/>
      <c r="P315" s="1254"/>
      <c r="Q315" s="1254"/>
      <c r="R315" s="1254"/>
      <c r="S315" s="1254"/>
      <c r="T315" s="1254"/>
      <c r="U315" s="1254"/>
      <c r="V315" s="1254"/>
      <c r="W315" s="1254"/>
      <c r="X315" s="1254"/>
      <c r="Y315" s="1254"/>
      <c r="Z315" s="1254"/>
    </row>
    <row r="316">
      <c r="A316" s="1254"/>
      <c r="B316" s="1263"/>
      <c r="C316" s="1317"/>
      <c r="D316" s="1263"/>
      <c r="E316" s="1318"/>
      <c r="F316" s="1254"/>
      <c r="G316" s="1319"/>
      <c r="H316" s="1254"/>
      <c r="I316" s="1254"/>
      <c r="J316" s="1254"/>
      <c r="K316" s="1320"/>
      <c r="L316" s="1254"/>
      <c r="M316" s="1254"/>
      <c r="N316" s="1254"/>
      <c r="O316" s="1254"/>
      <c r="P316" s="1254"/>
      <c r="Q316" s="1254"/>
      <c r="R316" s="1254"/>
      <c r="S316" s="1254"/>
      <c r="T316" s="1254"/>
      <c r="U316" s="1254"/>
      <c r="V316" s="1254"/>
      <c r="W316" s="1254"/>
      <c r="X316" s="1254"/>
      <c r="Y316" s="1254"/>
      <c r="Z316" s="1254"/>
    </row>
    <row r="317">
      <c r="A317" s="1254"/>
      <c r="B317" s="1263"/>
      <c r="C317" s="1317"/>
      <c r="D317" s="1263"/>
      <c r="E317" s="1318"/>
      <c r="F317" s="1254"/>
      <c r="G317" s="1319"/>
      <c r="H317" s="1254"/>
      <c r="I317" s="1254"/>
      <c r="J317" s="1254"/>
      <c r="K317" s="1320"/>
      <c r="L317" s="1254"/>
      <c r="M317" s="1254"/>
      <c r="N317" s="1254"/>
      <c r="O317" s="1254"/>
      <c r="P317" s="1254"/>
      <c r="Q317" s="1254"/>
      <c r="R317" s="1254"/>
      <c r="S317" s="1254"/>
      <c r="T317" s="1254"/>
      <c r="U317" s="1254"/>
      <c r="V317" s="1254"/>
      <c r="W317" s="1254"/>
      <c r="X317" s="1254"/>
      <c r="Y317" s="1254"/>
      <c r="Z317" s="1254"/>
    </row>
    <row r="318">
      <c r="A318" s="1254"/>
      <c r="B318" s="1263"/>
      <c r="C318" s="1317"/>
      <c r="D318" s="1263"/>
      <c r="E318" s="1318"/>
      <c r="F318" s="1254"/>
      <c r="G318" s="1319"/>
      <c r="H318" s="1254"/>
      <c r="I318" s="1254"/>
      <c r="J318" s="1254"/>
      <c r="K318" s="1320"/>
      <c r="L318" s="1254"/>
      <c r="M318" s="1254"/>
      <c r="N318" s="1254"/>
      <c r="O318" s="1254"/>
      <c r="P318" s="1254"/>
      <c r="Q318" s="1254"/>
      <c r="R318" s="1254"/>
      <c r="S318" s="1254"/>
      <c r="T318" s="1254"/>
      <c r="U318" s="1254"/>
      <c r="V318" s="1254"/>
      <c r="W318" s="1254"/>
      <c r="X318" s="1254"/>
      <c r="Y318" s="1254"/>
      <c r="Z318" s="1254"/>
    </row>
    <row r="319">
      <c r="A319" s="1254"/>
      <c r="B319" s="1263"/>
      <c r="C319" s="1317"/>
      <c r="D319" s="1263"/>
      <c r="E319" s="1318"/>
      <c r="F319" s="1254"/>
      <c r="G319" s="1319"/>
      <c r="H319" s="1254"/>
      <c r="I319" s="1254"/>
      <c r="J319" s="1254"/>
      <c r="K319" s="1320"/>
      <c r="L319" s="1254"/>
      <c r="M319" s="1254"/>
      <c r="N319" s="1254"/>
      <c r="O319" s="1254"/>
      <c r="P319" s="1254"/>
      <c r="Q319" s="1254"/>
      <c r="R319" s="1254"/>
      <c r="S319" s="1254"/>
      <c r="T319" s="1254"/>
      <c r="U319" s="1254"/>
      <c r="V319" s="1254"/>
      <c r="W319" s="1254"/>
      <c r="X319" s="1254"/>
      <c r="Y319" s="1254"/>
      <c r="Z319" s="1254"/>
    </row>
    <row r="320">
      <c r="A320" s="1254"/>
      <c r="B320" s="1263"/>
      <c r="C320" s="1317"/>
      <c r="D320" s="1263"/>
      <c r="E320" s="1318"/>
      <c r="F320" s="1254"/>
      <c r="G320" s="1319"/>
      <c r="H320" s="1254"/>
      <c r="I320" s="1254"/>
      <c r="J320" s="1254"/>
      <c r="K320" s="1320"/>
      <c r="L320" s="1254"/>
      <c r="M320" s="1254"/>
      <c r="N320" s="1254"/>
      <c r="O320" s="1254"/>
      <c r="P320" s="1254"/>
      <c r="Q320" s="1254"/>
      <c r="R320" s="1254"/>
      <c r="S320" s="1254"/>
      <c r="T320" s="1254"/>
      <c r="U320" s="1254"/>
      <c r="V320" s="1254"/>
      <c r="W320" s="1254"/>
      <c r="X320" s="1254"/>
      <c r="Y320" s="1254"/>
      <c r="Z320" s="1254"/>
    </row>
    <row r="321">
      <c r="A321" s="1254"/>
      <c r="B321" s="1263"/>
      <c r="C321" s="1317"/>
      <c r="D321" s="1263"/>
      <c r="E321" s="1318"/>
      <c r="F321" s="1254"/>
      <c r="G321" s="1319"/>
      <c r="H321" s="1254"/>
      <c r="I321" s="1254"/>
      <c r="J321" s="1254"/>
      <c r="K321" s="1320"/>
      <c r="L321" s="1254"/>
      <c r="M321" s="1254"/>
      <c r="N321" s="1254"/>
      <c r="O321" s="1254"/>
      <c r="P321" s="1254"/>
      <c r="Q321" s="1254"/>
      <c r="R321" s="1254"/>
      <c r="S321" s="1254"/>
      <c r="T321" s="1254"/>
      <c r="U321" s="1254"/>
      <c r="V321" s="1254"/>
      <c r="W321" s="1254"/>
      <c r="X321" s="1254"/>
      <c r="Y321" s="1254"/>
      <c r="Z321" s="1254"/>
    </row>
    <row r="322">
      <c r="A322" s="1254"/>
      <c r="B322" s="1263"/>
      <c r="C322" s="1317"/>
      <c r="D322" s="1263"/>
      <c r="E322" s="1318"/>
      <c r="F322" s="1254"/>
      <c r="G322" s="1319"/>
      <c r="H322" s="1254"/>
      <c r="I322" s="1254"/>
      <c r="J322" s="1254"/>
      <c r="K322" s="1320"/>
      <c r="L322" s="1254"/>
      <c r="M322" s="1254"/>
      <c r="N322" s="1254"/>
      <c r="O322" s="1254"/>
      <c r="P322" s="1254"/>
      <c r="Q322" s="1254"/>
      <c r="R322" s="1254"/>
      <c r="S322" s="1254"/>
      <c r="T322" s="1254"/>
      <c r="U322" s="1254"/>
      <c r="V322" s="1254"/>
      <c r="W322" s="1254"/>
      <c r="X322" s="1254"/>
      <c r="Y322" s="1254"/>
      <c r="Z322" s="1254"/>
    </row>
    <row r="323">
      <c r="A323" s="1254"/>
      <c r="B323" s="1263"/>
      <c r="C323" s="1317"/>
      <c r="D323" s="1263"/>
      <c r="E323" s="1318"/>
      <c r="F323" s="1254"/>
      <c r="G323" s="1319"/>
      <c r="H323" s="1254"/>
      <c r="I323" s="1254"/>
      <c r="J323" s="1254"/>
      <c r="K323" s="1320"/>
      <c r="L323" s="1254"/>
      <c r="M323" s="1254"/>
      <c r="N323" s="1254"/>
      <c r="O323" s="1254"/>
      <c r="P323" s="1254"/>
      <c r="Q323" s="1254"/>
      <c r="R323" s="1254"/>
      <c r="S323" s="1254"/>
      <c r="T323" s="1254"/>
      <c r="U323" s="1254"/>
      <c r="V323" s="1254"/>
      <c r="W323" s="1254"/>
      <c r="X323" s="1254"/>
      <c r="Y323" s="1254"/>
      <c r="Z323" s="1254"/>
    </row>
    <row r="324">
      <c r="A324" s="1254"/>
      <c r="B324" s="1263"/>
      <c r="C324" s="1317"/>
      <c r="D324" s="1263"/>
      <c r="E324" s="1318"/>
      <c r="F324" s="1254"/>
      <c r="G324" s="1319"/>
      <c r="H324" s="1254"/>
      <c r="I324" s="1254"/>
      <c r="J324" s="1254"/>
      <c r="K324" s="1320"/>
      <c r="L324" s="1254"/>
      <c r="M324" s="1254"/>
      <c r="N324" s="1254"/>
      <c r="O324" s="1254"/>
      <c r="P324" s="1254"/>
      <c r="Q324" s="1254"/>
      <c r="R324" s="1254"/>
      <c r="S324" s="1254"/>
      <c r="T324" s="1254"/>
      <c r="U324" s="1254"/>
      <c r="V324" s="1254"/>
      <c r="W324" s="1254"/>
      <c r="X324" s="1254"/>
      <c r="Y324" s="1254"/>
      <c r="Z324" s="1254"/>
    </row>
    <row r="325">
      <c r="A325" s="1254"/>
      <c r="B325" s="1263"/>
      <c r="C325" s="1317"/>
      <c r="D325" s="1263"/>
      <c r="E325" s="1318"/>
      <c r="F325" s="1254"/>
      <c r="G325" s="1319"/>
      <c r="H325" s="1254"/>
      <c r="I325" s="1254"/>
      <c r="J325" s="1254"/>
      <c r="K325" s="1320"/>
      <c r="L325" s="1254"/>
      <c r="M325" s="1254"/>
      <c r="N325" s="1254"/>
      <c r="O325" s="1254"/>
      <c r="P325" s="1254"/>
      <c r="Q325" s="1254"/>
      <c r="R325" s="1254"/>
      <c r="S325" s="1254"/>
      <c r="T325" s="1254"/>
      <c r="U325" s="1254"/>
      <c r="V325" s="1254"/>
      <c r="W325" s="1254"/>
      <c r="X325" s="1254"/>
      <c r="Y325" s="1254"/>
      <c r="Z325" s="1254"/>
    </row>
    <row r="326">
      <c r="A326" s="1254"/>
      <c r="B326" s="1263"/>
      <c r="C326" s="1317"/>
      <c r="D326" s="1263"/>
      <c r="E326" s="1318"/>
      <c r="F326" s="1254"/>
      <c r="G326" s="1319"/>
      <c r="H326" s="1254"/>
      <c r="I326" s="1254"/>
      <c r="J326" s="1254"/>
      <c r="K326" s="1320"/>
      <c r="L326" s="1254"/>
      <c r="M326" s="1254"/>
      <c r="N326" s="1254"/>
      <c r="O326" s="1254"/>
      <c r="P326" s="1254"/>
      <c r="Q326" s="1254"/>
      <c r="R326" s="1254"/>
      <c r="S326" s="1254"/>
      <c r="T326" s="1254"/>
      <c r="U326" s="1254"/>
      <c r="V326" s="1254"/>
      <c r="W326" s="1254"/>
      <c r="X326" s="1254"/>
      <c r="Y326" s="1254"/>
      <c r="Z326" s="1254"/>
    </row>
    <row r="327">
      <c r="A327" s="1254"/>
      <c r="B327" s="1263"/>
      <c r="C327" s="1317"/>
      <c r="D327" s="1263"/>
      <c r="E327" s="1318"/>
      <c r="F327" s="1254"/>
      <c r="G327" s="1319"/>
      <c r="H327" s="1254"/>
      <c r="I327" s="1254"/>
      <c r="J327" s="1254"/>
      <c r="K327" s="1320"/>
      <c r="L327" s="1254"/>
      <c r="M327" s="1254"/>
      <c r="N327" s="1254"/>
      <c r="O327" s="1254"/>
      <c r="P327" s="1254"/>
      <c r="Q327" s="1254"/>
      <c r="R327" s="1254"/>
      <c r="S327" s="1254"/>
      <c r="T327" s="1254"/>
      <c r="U327" s="1254"/>
      <c r="V327" s="1254"/>
      <c r="W327" s="1254"/>
      <c r="X327" s="1254"/>
      <c r="Y327" s="1254"/>
      <c r="Z327" s="1254"/>
    </row>
    <row r="328">
      <c r="A328" s="1254"/>
      <c r="B328" s="1263"/>
      <c r="C328" s="1317"/>
      <c r="D328" s="1263"/>
      <c r="E328" s="1318"/>
      <c r="F328" s="1254"/>
      <c r="G328" s="1319"/>
      <c r="H328" s="1254"/>
      <c r="I328" s="1254"/>
      <c r="J328" s="1254"/>
      <c r="K328" s="1320"/>
      <c r="L328" s="1254"/>
      <c r="M328" s="1254"/>
      <c r="N328" s="1254"/>
      <c r="O328" s="1254"/>
      <c r="P328" s="1254"/>
      <c r="Q328" s="1254"/>
      <c r="R328" s="1254"/>
      <c r="S328" s="1254"/>
      <c r="T328" s="1254"/>
      <c r="U328" s="1254"/>
      <c r="V328" s="1254"/>
      <c r="W328" s="1254"/>
      <c r="X328" s="1254"/>
      <c r="Y328" s="1254"/>
      <c r="Z328" s="1254"/>
    </row>
    <row r="329">
      <c r="A329" s="1254"/>
      <c r="B329" s="1263"/>
      <c r="C329" s="1317"/>
      <c r="D329" s="1263"/>
      <c r="E329" s="1318"/>
      <c r="F329" s="1254"/>
      <c r="G329" s="1319"/>
      <c r="H329" s="1254"/>
      <c r="I329" s="1254"/>
      <c r="J329" s="1254"/>
      <c r="K329" s="1320"/>
      <c r="L329" s="1254"/>
      <c r="M329" s="1254"/>
      <c r="N329" s="1254"/>
      <c r="O329" s="1254"/>
      <c r="P329" s="1254"/>
      <c r="Q329" s="1254"/>
      <c r="R329" s="1254"/>
      <c r="S329" s="1254"/>
      <c r="T329" s="1254"/>
      <c r="U329" s="1254"/>
      <c r="V329" s="1254"/>
      <c r="W329" s="1254"/>
      <c r="X329" s="1254"/>
      <c r="Y329" s="1254"/>
      <c r="Z329" s="1254"/>
    </row>
    <row r="330">
      <c r="A330" s="1254"/>
      <c r="B330" s="1263"/>
      <c r="C330" s="1317"/>
      <c r="D330" s="1263"/>
      <c r="E330" s="1318"/>
      <c r="F330" s="1254"/>
      <c r="G330" s="1319"/>
      <c r="H330" s="1254"/>
      <c r="I330" s="1254"/>
      <c r="J330" s="1254"/>
      <c r="K330" s="1320"/>
      <c r="L330" s="1254"/>
      <c r="M330" s="1254"/>
      <c r="N330" s="1254"/>
      <c r="O330" s="1254"/>
      <c r="P330" s="1254"/>
      <c r="Q330" s="1254"/>
      <c r="R330" s="1254"/>
      <c r="S330" s="1254"/>
      <c r="T330" s="1254"/>
      <c r="U330" s="1254"/>
      <c r="V330" s="1254"/>
      <c r="W330" s="1254"/>
      <c r="X330" s="1254"/>
      <c r="Y330" s="1254"/>
      <c r="Z330" s="1254"/>
    </row>
    <row r="331">
      <c r="A331" s="1254"/>
      <c r="B331" s="1263"/>
      <c r="C331" s="1317"/>
      <c r="D331" s="1263"/>
      <c r="E331" s="1318"/>
      <c r="F331" s="1254"/>
      <c r="G331" s="1319"/>
      <c r="H331" s="1254"/>
      <c r="I331" s="1254"/>
      <c r="J331" s="1254"/>
      <c r="K331" s="1320"/>
      <c r="L331" s="1254"/>
      <c r="M331" s="1254"/>
      <c r="N331" s="1254"/>
      <c r="O331" s="1254"/>
      <c r="P331" s="1254"/>
      <c r="Q331" s="1254"/>
      <c r="R331" s="1254"/>
      <c r="S331" s="1254"/>
      <c r="T331" s="1254"/>
      <c r="U331" s="1254"/>
      <c r="V331" s="1254"/>
      <c r="W331" s="1254"/>
      <c r="X331" s="1254"/>
      <c r="Y331" s="1254"/>
      <c r="Z331" s="1254"/>
    </row>
    <row r="332">
      <c r="A332" s="1254"/>
      <c r="B332" s="1263"/>
      <c r="C332" s="1317"/>
      <c r="D332" s="1263"/>
      <c r="E332" s="1318"/>
      <c r="F332" s="1254"/>
      <c r="G332" s="1319"/>
      <c r="H332" s="1254"/>
      <c r="I332" s="1254"/>
      <c r="J332" s="1254"/>
      <c r="K332" s="1320"/>
      <c r="L332" s="1254"/>
      <c r="M332" s="1254"/>
      <c r="N332" s="1254"/>
      <c r="O332" s="1254"/>
      <c r="P332" s="1254"/>
      <c r="Q332" s="1254"/>
      <c r="R332" s="1254"/>
      <c r="S332" s="1254"/>
      <c r="T332" s="1254"/>
      <c r="U332" s="1254"/>
      <c r="V332" s="1254"/>
      <c r="W332" s="1254"/>
      <c r="X332" s="1254"/>
      <c r="Y332" s="1254"/>
      <c r="Z332" s="1254"/>
    </row>
    <row r="333">
      <c r="A333" s="1254"/>
      <c r="B333" s="1263"/>
      <c r="C333" s="1317"/>
      <c r="D333" s="1263"/>
      <c r="E333" s="1318"/>
      <c r="F333" s="1254"/>
      <c r="G333" s="1319"/>
      <c r="H333" s="1254"/>
      <c r="I333" s="1254"/>
      <c r="J333" s="1254"/>
      <c r="K333" s="1320"/>
      <c r="L333" s="1254"/>
      <c r="M333" s="1254"/>
      <c r="N333" s="1254"/>
      <c r="O333" s="1254"/>
      <c r="P333" s="1254"/>
      <c r="Q333" s="1254"/>
      <c r="R333" s="1254"/>
      <c r="S333" s="1254"/>
      <c r="T333" s="1254"/>
      <c r="U333" s="1254"/>
      <c r="V333" s="1254"/>
      <c r="W333" s="1254"/>
      <c r="X333" s="1254"/>
      <c r="Y333" s="1254"/>
      <c r="Z333" s="1254"/>
    </row>
    <row r="334">
      <c r="A334" s="1254"/>
      <c r="B334" s="1263"/>
      <c r="C334" s="1317"/>
      <c r="D334" s="1263"/>
      <c r="E334" s="1318"/>
      <c r="F334" s="1254"/>
      <c r="G334" s="1319"/>
      <c r="H334" s="1254"/>
      <c r="I334" s="1254"/>
      <c r="J334" s="1254"/>
      <c r="K334" s="1320"/>
      <c r="L334" s="1254"/>
      <c r="M334" s="1254"/>
      <c r="N334" s="1254"/>
      <c r="O334" s="1254"/>
      <c r="P334" s="1254"/>
      <c r="Q334" s="1254"/>
      <c r="R334" s="1254"/>
      <c r="S334" s="1254"/>
      <c r="T334" s="1254"/>
      <c r="U334" s="1254"/>
      <c r="V334" s="1254"/>
      <c r="W334" s="1254"/>
      <c r="X334" s="1254"/>
      <c r="Y334" s="1254"/>
      <c r="Z334" s="1254"/>
    </row>
    <row r="335">
      <c r="A335" s="1254"/>
      <c r="B335" s="1263"/>
      <c r="C335" s="1317"/>
      <c r="D335" s="1263"/>
      <c r="E335" s="1318"/>
      <c r="F335" s="1254"/>
      <c r="G335" s="1319"/>
      <c r="H335" s="1254"/>
      <c r="I335" s="1254"/>
      <c r="J335" s="1254"/>
      <c r="K335" s="1320"/>
      <c r="L335" s="1254"/>
      <c r="M335" s="1254"/>
      <c r="N335" s="1254"/>
      <c r="O335" s="1254"/>
      <c r="P335" s="1254"/>
      <c r="Q335" s="1254"/>
      <c r="R335" s="1254"/>
      <c r="S335" s="1254"/>
      <c r="T335" s="1254"/>
      <c r="U335" s="1254"/>
      <c r="V335" s="1254"/>
      <c r="W335" s="1254"/>
      <c r="X335" s="1254"/>
      <c r="Y335" s="1254"/>
      <c r="Z335" s="1254"/>
    </row>
    <row r="336">
      <c r="A336" s="1254"/>
      <c r="B336" s="1263"/>
      <c r="C336" s="1317"/>
      <c r="D336" s="1263"/>
      <c r="E336" s="1318"/>
      <c r="F336" s="1254"/>
      <c r="G336" s="1319"/>
      <c r="H336" s="1254"/>
      <c r="I336" s="1254"/>
      <c r="J336" s="1254"/>
      <c r="K336" s="1320"/>
      <c r="L336" s="1254"/>
      <c r="M336" s="1254"/>
      <c r="N336" s="1254"/>
      <c r="O336" s="1254"/>
      <c r="P336" s="1254"/>
      <c r="Q336" s="1254"/>
      <c r="R336" s="1254"/>
      <c r="S336" s="1254"/>
      <c r="T336" s="1254"/>
      <c r="U336" s="1254"/>
      <c r="V336" s="1254"/>
      <c r="W336" s="1254"/>
      <c r="X336" s="1254"/>
      <c r="Y336" s="1254"/>
      <c r="Z336" s="1254"/>
    </row>
    <row r="337">
      <c r="A337" s="1254"/>
      <c r="B337" s="1263"/>
      <c r="C337" s="1317"/>
      <c r="D337" s="1263"/>
      <c r="E337" s="1318"/>
      <c r="F337" s="1254"/>
      <c r="G337" s="1319"/>
      <c r="H337" s="1254"/>
      <c r="I337" s="1254"/>
      <c r="J337" s="1254"/>
      <c r="K337" s="1320"/>
      <c r="L337" s="1254"/>
      <c r="M337" s="1254"/>
      <c r="N337" s="1254"/>
      <c r="O337" s="1254"/>
      <c r="P337" s="1254"/>
      <c r="Q337" s="1254"/>
      <c r="R337" s="1254"/>
      <c r="S337" s="1254"/>
      <c r="T337" s="1254"/>
      <c r="U337" s="1254"/>
      <c r="V337" s="1254"/>
      <c r="W337" s="1254"/>
      <c r="X337" s="1254"/>
      <c r="Y337" s="1254"/>
      <c r="Z337" s="1254"/>
    </row>
    <row r="338">
      <c r="A338" s="1254"/>
      <c r="B338" s="1263"/>
      <c r="C338" s="1317"/>
      <c r="D338" s="1263"/>
      <c r="E338" s="1318"/>
      <c r="F338" s="1254"/>
      <c r="G338" s="1319"/>
      <c r="H338" s="1254"/>
      <c r="I338" s="1254"/>
      <c r="J338" s="1254"/>
      <c r="K338" s="1320"/>
      <c r="L338" s="1254"/>
      <c r="M338" s="1254"/>
      <c r="N338" s="1254"/>
      <c r="O338" s="1254"/>
      <c r="P338" s="1254"/>
      <c r="Q338" s="1254"/>
      <c r="R338" s="1254"/>
      <c r="S338" s="1254"/>
      <c r="T338" s="1254"/>
      <c r="U338" s="1254"/>
      <c r="V338" s="1254"/>
      <c r="W338" s="1254"/>
      <c r="X338" s="1254"/>
      <c r="Y338" s="1254"/>
      <c r="Z338" s="1254"/>
    </row>
    <row r="339">
      <c r="A339" s="1254"/>
      <c r="B339" s="1263"/>
      <c r="C339" s="1317"/>
      <c r="D339" s="1263"/>
      <c r="E339" s="1318"/>
      <c r="F339" s="1254"/>
      <c r="G339" s="1319"/>
      <c r="H339" s="1254"/>
      <c r="I339" s="1254"/>
      <c r="J339" s="1254"/>
      <c r="K339" s="1320"/>
      <c r="L339" s="1254"/>
      <c r="M339" s="1254"/>
      <c r="N339" s="1254"/>
      <c r="O339" s="1254"/>
      <c r="P339" s="1254"/>
      <c r="Q339" s="1254"/>
      <c r="R339" s="1254"/>
      <c r="S339" s="1254"/>
      <c r="T339" s="1254"/>
      <c r="U339" s="1254"/>
      <c r="V339" s="1254"/>
      <c r="W339" s="1254"/>
      <c r="X339" s="1254"/>
      <c r="Y339" s="1254"/>
      <c r="Z339" s="1254"/>
    </row>
    <row r="340">
      <c r="A340" s="1254"/>
      <c r="B340" s="1263"/>
      <c r="C340" s="1317"/>
      <c r="D340" s="1263"/>
      <c r="E340" s="1318"/>
      <c r="F340" s="1254"/>
      <c r="G340" s="1319"/>
      <c r="H340" s="1254"/>
      <c r="I340" s="1254"/>
      <c r="J340" s="1254"/>
      <c r="K340" s="1320"/>
      <c r="L340" s="1254"/>
      <c r="M340" s="1254"/>
      <c r="N340" s="1254"/>
      <c r="O340" s="1254"/>
      <c r="P340" s="1254"/>
      <c r="Q340" s="1254"/>
      <c r="R340" s="1254"/>
      <c r="S340" s="1254"/>
      <c r="T340" s="1254"/>
      <c r="U340" s="1254"/>
      <c r="V340" s="1254"/>
      <c r="W340" s="1254"/>
      <c r="X340" s="1254"/>
      <c r="Y340" s="1254"/>
      <c r="Z340" s="1254"/>
    </row>
    <row r="341">
      <c r="A341" s="1254"/>
      <c r="B341" s="1263"/>
      <c r="C341" s="1317"/>
      <c r="D341" s="1263"/>
      <c r="E341" s="1318"/>
      <c r="F341" s="1254"/>
      <c r="G341" s="1319"/>
      <c r="H341" s="1254"/>
      <c r="I341" s="1254"/>
      <c r="J341" s="1254"/>
      <c r="K341" s="1320"/>
      <c r="L341" s="1254"/>
      <c r="M341" s="1254"/>
      <c r="N341" s="1254"/>
      <c r="O341" s="1254"/>
      <c r="P341" s="1254"/>
      <c r="Q341" s="1254"/>
      <c r="R341" s="1254"/>
      <c r="S341" s="1254"/>
      <c r="T341" s="1254"/>
      <c r="U341" s="1254"/>
      <c r="V341" s="1254"/>
      <c r="W341" s="1254"/>
      <c r="X341" s="1254"/>
      <c r="Y341" s="1254"/>
      <c r="Z341" s="1254"/>
    </row>
    <row r="342">
      <c r="A342" s="1254"/>
      <c r="B342" s="1263"/>
      <c r="C342" s="1317"/>
      <c r="D342" s="1263"/>
      <c r="E342" s="1318"/>
      <c r="F342" s="1254"/>
      <c r="G342" s="1319"/>
      <c r="H342" s="1254"/>
      <c r="I342" s="1254"/>
      <c r="J342" s="1254"/>
      <c r="K342" s="1320"/>
      <c r="L342" s="1254"/>
      <c r="M342" s="1254"/>
      <c r="N342" s="1254"/>
      <c r="O342" s="1254"/>
      <c r="P342" s="1254"/>
      <c r="Q342" s="1254"/>
      <c r="R342" s="1254"/>
      <c r="S342" s="1254"/>
      <c r="T342" s="1254"/>
      <c r="U342" s="1254"/>
      <c r="V342" s="1254"/>
      <c r="W342" s="1254"/>
      <c r="X342" s="1254"/>
      <c r="Y342" s="1254"/>
      <c r="Z342" s="1254"/>
    </row>
    <row r="343">
      <c r="A343" s="1254"/>
      <c r="B343" s="1263"/>
      <c r="C343" s="1317"/>
      <c r="D343" s="1263"/>
      <c r="E343" s="1318"/>
      <c r="F343" s="1254"/>
      <c r="G343" s="1319"/>
      <c r="H343" s="1254"/>
      <c r="I343" s="1254"/>
      <c r="J343" s="1254"/>
      <c r="K343" s="1320"/>
      <c r="L343" s="1254"/>
      <c r="M343" s="1254"/>
      <c r="N343" s="1254"/>
      <c r="O343" s="1254"/>
      <c r="P343" s="1254"/>
      <c r="Q343" s="1254"/>
      <c r="R343" s="1254"/>
      <c r="S343" s="1254"/>
      <c r="T343" s="1254"/>
      <c r="U343" s="1254"/>
      <c r="V343" s="1254"/>
      <c r="W343" s="1254"/>
      <c r="X343" s="1254"/>
      <c r="Y343" s="1254"/>
      <c r="Z343" s="1254"/>
    </row>
    <row r="344">
      <c r="A344" s="1254"/>
      <c r="B344" s="1263"/>
      <c r="C344" s="1317"/>
      <c r="D344" s="1263"/>
      <c r="E344" s="1318"/>
      <c r="F344" s="1254"/>
      <c r="G344" s="1319"/>
      <c r="H344" s="1254"/>
      <c r="I344" s="1254"/>
      <c r="J344" s="1254"/>
      <c r="K344" s="1320"/>
      <c r="L344" s="1254"/>
      <c r="M344" s="1254"/>
      <c r="N344" s="1254"/>
      <c r="O344" s="1254"/>
      <c r="P344" s="1254"/>
      <c r="Q344" s="1254"/>
      <c r="R344" s="1254"/>
      <c r="S344" s="1254"/>
      <c r="T344" s="1254"/>
      <c r="U344" s="1254"/>
      <c r="V344" s="1254"/>
      <c r="W344" s="1254"/>
      <c r="X344" s="1254"/>
      <c r="Y344" s="1254"/>
      <c r="Z344" s="1254"/>
    </row>
    <row r="345">
      <c r="A345" s="1254"/>
      <c r="B345" s="1263"/>
      <c r="C345" s="1317"/>
      <c r="D345" s="1263"/>
      <c r="E345" s="1318"/>
      <c r="F345" s="1254"/>
      <c r="G345" s="1319"/>
      <c r="H345" s="1254"/>
      <c r="I345" s="1254"/>
      <c r="J345" s="1254"/>
      <c r="K345" s="1320"/>
      <c r="L345" s="1254"/>
      <c r="M345" s="1254"/>
      <c r="N345" s="1254"/>
      <c r="O345" s="1254"/>
      <c r="P345" s="1254"/>
      <c r="Q345" s="1254"/>
      <c r="R345" s="1254"/>
      <c r="S345" s="1254"/>
      <c r="T345" s="1254"/>
      <c r="U345" s="1254"/>
      <c r="V345" s="1254"/>
      <c r="W345" s="1254"/>
      <c r="X345" s="1254"/>
      <c r="Y345" s="1254"/>
      <c r="Z345" s="1254"/>
    </row>
    <row r="346">
      <c r="A346" s="1254"/>
      <c r="B346" s="1263"/>
      <c r="C346" s="1317"/>
      <c r="D346" s="1263"/>
      <c r="E346" s="1318"/>
      <c r="F346" s="1254"/>
      <c r="G346" s="1319"/>
      <c r="H346" s="1254"/>
      <c r="I346" s="1254"/>
      <c r="J346" s="1254"/>
      <c r="K346" s="1320"/>
      <c r="L346" s="1254"/>
      <c r="M346" s="1254"/>
      <c r="N346" s="1254"/>
      <c r="O346" s="1254"/>
      <c r="P346" s="1254"/>
      <c r="Q346" s="1254"/>
      <c r="R346" s="1254"/>
      <c r="S346" s="1254"/>
      <c r="T346" s="1254"/>
      <c r="U346" s="1254"/>
      <c r="V346" s="1254"/>
      <c r="W346" s="1254"/>
      <c r="X346" s="1254"/>
      <c r="Y346" s="1254"/>
      <c r="Z346" s="1254"/>
    </row>
    <row r="347">
      <c r="A347" s="1254"/>
      <c r="B347" s="1263"/>
      <c r="C347" s="1317"/>
      <c r="D347" s="1263"/>
      <c r="E347" s="1318"/>
      <c r="F347" s="1254"/>
      <c r="G347" s="1319"/>
      <c r="H347" s="1254"/>
      <c r="I347" s="1254"/>
      <c r="J347" s="1254"/>
      <c r="K347" s="1320"/>
      <c r="L347" s="1254"/>
      <c r="M347" s="1254"/>
      <c r="N347" s="1254"/>
      <c r="O347" s="1254"/>
      <c r="P347" s="1254"/>
      <c r="Q347" s="1254"/>
      <c r="R347" s="1254"/>
      <c r="S347" s="1254"/>
      <c r="T347" s="1254"/>
      <c r="U347" s="1254"/>
      <c r="V347" s="1254"/>
      <c r="W347" s="1254"/>
      <c r="X347" s="1254"/>
      <c r="Y347" s="1254"/>
      <c r="Z347" s="1254"/>
    </row>
    <row r="348">
      <c r="A348" s="1254"/>
      <c r="B348" s="1263"/>
      <c r="C348" s="1317"/>
      <c r="D348" s="1263"/>
      <c r="E348" s="1318"/>
      <c r="F348" s="1254"/>
      <c r="G348" s="1319"/>
      <c r="H348" s="1254"/>
      <c r="I348" s="1254"/>
      <c r="J348" s="1254"/>
      <c r="K348" s="1320"/>
      <c r="L348" s="1254"/>
      <c r="M348" s="1254"/>
      <c r="N348" s="1254"/>
      <c r="O348" s="1254"/>
      <c r="P348" s="1254"/>
      <c r="Q348" s="1254"/>
      <c r="R348" s="1254"/>
      <c r="S348" s="1254"/>
      <c r="T348" s="1254"/>
      <c r="U348" s="1254"/>
      <c r="V348" s="1254"/>
      <c r="W348" s="1254"/>
      <c r="X348" s="1254"/>
      <c r="Y348" s="1254"/>
      <c r="Z348" s="1254"/>
    </row>
    <row r="349">
      <c r="A349" s="1254"/>
      <c r="B349" s="1263"/>
      <c r="C349" s="1317"/>
      <c r="D349" s="1263"/>
      <c r="E349" s="1318"/>
      <c r="F349" s="1254"/>
      <c r="G349" s="1319"/>
      <c r="H349" s="1254"/>
      <c r="I349" s="1254"/>
      <c r="J349" s="1254"/>
      <c r="K349" s="1320"/>
      <c r="L349" s="1254"/>
      <c r="M349" s="1254"/>
      <c r="N349" s="1254"/>
      <c r="O349" s="1254"/>
      <c r="P349" s="1254"/>
      <c r="Q349" s="1254"/>
      <c r="R349" s="1254"/>
      <c r="S349" s="1254"/>
      <c r="T349" s="1254"/>
      <c r="U349" s="1254"/>
      <c r="V349" s="1254"/>
      <c r="W349" s="1254"/>
      <c r="X349" s="1254"/>
      <c r="Y349" s="1254"/>
      <c r="Z349" s="1254"/>
    </row>
    <row r="350">
      <c r="A350" s="1254"/>
      <c r="B350" s="1263"/>
      <c r="C350" s="1317"/>
      <c r="D350" s="1263"/>
      <c r="E350" s="1318"/>
      <c r="F350" s="1254"/>
      <c r="G350" s="1319"/>
      <c r="H350" s="1254"/>
      <c r="I350" s="1254"/>
      <c r="J350" s="1254"/>
      <c r="K350" s="1320"/>
      <c r="L350" s="1254"/>
      <c r="M350" s="1254"/>
      <c r="N350" s="1254"/>
      <c r="O350" s="1254"/>
      <c r="P350" s="1254"/>
      <c r="Q350" s="1254"/>
      <c r="R350" s="1254"/>
      <c r="S350" s="1254"/>
      <c r="T350" s="1254"/>
      <c r="U350" s="1254"/>
      <c r="V350" s="1254"/>
      <c r="W350" s="1254"/>
      <c r="X350" s="1254"/>
      <c r="Y350" s="1254"/>
      <c r="Z350" s="1254"/>
    </row>
    <row r="351">
      <c r="A351" s="1254"/>
      <c r="B351" s="1263"/>
      <c r="C351" s="1317"/>
      <c r="D351" s="1263"/>
      <c r="E351" s="1318"/>
      <c r="F351" s="1254"/>
      <c r="G351" s="1319"/>
      <c r="H351" s="1254"/>
      <c r="I351" s="1254"/>
      <c r="J351" s="1254"/>
      <c r="K351" s="1320"/>
      <c r="L351" s="1254"/>
      <c r="M351" s="1254"/>
      <c r="N351" s="1254"/>
      <c r="O351" s="1254"/>
      <c r="P351" s="1254"/>
      <c r="Q351" s="1254"/>
      <c r="R351" s="1254"/>
      <c r="S351" s="1254"/>
      <c r="T351" s="1254"/>
      <c r="U351" s="1254"/>
      <c r="V351" s="1254"/>
      <c r="W351" s="1254"/>
      <c r="X351" s="1254"/>
      <c r="Y351" s="1254"/>
      <c r="Z351" s="1254"/>
    </row>
    <row r="352">
      <c r="A352" s="1254"/>
      <c r="B352" s="1263"/>
      <c r="C352" s="1317"/>
      <c r="D352" s="1263"/>
      <c r="E352" s="1318"/>
      <c r="F352" s="1254"/>
      <c r="G352" s="1319"/>
      <c r="H352" s="1254"/>
      <c r="I352" s="1254"/>
      <c r="J352" s="1254"/>
      <c r="K352" s="1320"/>
      <c r="L352" s="1254"/>
      <c r="M352" s="1254"/>
      <c r="N352" s="1254"/>
      <c r="O352" s="1254"/>
      <c r="P352" s="1254"/>
      <c r="Q352" s="1254"/>
      <c r="R352" s="1254"/>
      <c r="S352" s="1254"/>
      <c r="T352" s="1254"/>
      <c r="U352" s="1254"/>
      <c r="V352" s="1254"/>
      <c r="W352" s="1254"/>
      <c r="X352" s="1254"/>
      <c r="Y352" s="1254"/>
      <c r="Z352" s="1254"/>
    </row>
    <row r="353">
      <c r="A353" s="1254"/>
      <c r="B353" s="1263"/>
      <c r="C353" s="1317"/>
      <c r="D353" s="1263"/>
      <c r="E353" s="1318"/>
      <c r="F353" s="1254"/>
      <c r="G353" s="1319"/>
      <c r="H353" s="1254"/>
      <c r="I353" s="1254"/>
      <c r="J353" s="1254"/>
      <c r="K353" s="1320"/>
      <c r="L353" s="1254"/>
      <c r="M353" s="1254"/>
      <c r="N353" s="1254"/>
      <c r="O353" s="1254"/>
      <c r="P353" s="1254"/>
      <c r="Q353" s="1254"/>
      <c r="R353" s="1254"/>
      <c r="S353" s="1254"/>
      <c r="T353" s="1254"/>
      <c r="U353" s="1254"/>
      <c r="V353" s="1254"/>
      <c r="W353" s="1254"/>
      <c r="X353" s="1254"/>
      <c r="Y353" s="1254"/>
      <c r="Z353" s="1254"/>
    </row>
    <row r="354">
      <c r="A354" s="1254"/>
      <c r="B354" s="1263"/>
      <c r="C354" s="1317"/>
      <c r="D354" s="1263"/>
      <c r="E354" s="1318"/>
      <c r="F354" s="1254"/>
      <c r="G354" s="1319"/>
      <c r="H354" s="1254"/>
      <c r="I354" s="1254"/>
      <c r="J354" s="1254"/>
      <c r="K354" s="1320"/>
      <c r="L354" s="1254"/>
      <c r="M354" s="1254"/>
      <c r="N354" s="1254"/>
      <c r="O354" s="1254"/>
      <c r="P354" s="1254"/>
      <c r="Q354" s="1254"/>
      <c r="R354" s="1254"/>
      <c r="S354" s="1254"/>
      <c r="T354" s="1254"/>
      <c r="U354" s="1254"/>
      <c r="V354" s="1254"/>
      <c r="W354" s="1254"/>
      <c r="X354" s="1254"/>
      <c r="Y354" s="1254"/>
      <c r="Z354" s="1254"/>
    </row>
    <row r="355">
      <c r="A355" s="1254"/>
      <c r="B355" s="1263"/>
      <c r="C355" s="1317"/>
      <c r="D355" s="1263"/>
      <c r="E355" s="1318"/>
      <c r="F355" s="1254"/>
      <c r="G355" s="1319"/>
      <c r="H355" s="1254"/>
      <c r="I355" s="1254"/>
      <c r="J355" s="1254"/>
      <c r="K355" s="1320"/>
      <c r="L355" s="1254"/>
      <c r="M355" s="1254"/>
      <c r="N355" s="1254"/>
      <c r="O355" s="1254"/>
      <c r="P355" s="1254"/>
      <c r="Q355" s="1254"/>
      <c r="R355" s="1254"/>
      <c r="S355" s="1254"/>
      <c r="T355" s="1254"/>
      <c r="U355" s="1254"/>
      <c r="V355" s="1254"/>
      <c r="W355" s="1254"/>
      <c r="X355" s="1254"/>
      <c r="Y355" s="1254"/>
      <c r="Z355" s="1254"/>
    </row>
    <row r="356">
      <c r="A356" s="1254"/>
      <c r="B356" s="1263"/>
      <c r="C356" s="1317"/>
      <c r="D356" s="1263"/>
      <c r="E356" s="1318"/>
      <c r="F356" s="1254"/>
      <c r="G356" s="1319"/>
      <c r="H356" s="1254"/>
      <c r="I356" s="1254"/>
      <c r="J356" s="1254"/>
      <c r="K356" s="1320"/>
      <c r="L356" s="1254"/>
      <c r="M356" s="1254"/>
      <c r="N356" s="1254"/>
      <c r="O356" s="1254"/>
      <c r="P356" s="1254"/>
      <c r="Q356" s="1254"/>
      <c r="R356" s="1254"/>
      <c r="S356" s="1254"/>
      <c r="T356" s="1254"/>
      <c r="U356" s="1254"/>
      <c r="V356" s="1254"/>
      <c r="W356" s="1254"/>
      <c r="X356" s="1254"/>
      <c r="Y356" s="1254"/>
      <c r="Z356" s="1254"/>
    </row>
    <row r="357">
      <c r="A357" s="1254"/>
      <c r="B357" s="1263"/>
      <c r="C357" s="1317"/>
      <c r="D357" s="1263"/>
      <c r="E357" s="1318"/>
      <c r="F357" s="1254"/>
      <c r="G357" s="1319"/>
      <c r="H357" s="1254"/>
      <c r="I357" s="1254"/>
      <c r="J357" s="1254"/>
      <c r="K357" s="1320"/>
      <c r="L357" s="1254"/>
      <c r="M357" s="1254"/>
      <c r="N357" s="1254"/>
      <c r="O357" s="1254"/>
      <c r="P357" s="1254"/>
      <c r="Q357" s="1254"/>
      <c r="R357" s="1254"/>
      <c r="S357" s="1254"/>
      <c r="T357" s="1254"/>
      <c r="U357" s="1254"/>
      <c r="V357" s="1254"/>
      <c r="W357" s="1254"/>
      <c r="X357" s="1254"/>
      <c r="Y357" s="1254"/>
      <c r="Z357" s="1254"/>
    </row>
    <row r="358">
      <c r="A358" s="1254"/>
      <c r="B358" s="1263"/>
      <c r="C358" s="1317"/>
      <c r="D358" s="1263"/>
      <c r="E358" s="1318"/>
      <c r="F358" s="1254"/>
      <c r="G358" s="1319"/>
      <c r="H358" s="1254"/>
      <c r="I358" s="1254"/>
      <c r="J358" s="1254"/>
      <c r="K358" s="1320"/>
      <c r="L358" s="1254"/>
      <c r="M358" s="1254"/>
      <c r="N358" s="1254"/>
      <c r="O358" s="1254"/>
      <c r="P358" s="1254"/>
      <c r="Q358" s="1254"/>
      <c r="R358" s="1254"/>
      <c r="S358" s="1254"/>
      <c r="T358" s="1254"/>
      <c r="U358" s="1254"/>
      <c r="V358" s="1254"/>
      <c r="W358" s="1254"/>
      <c r="X358" s="1254"/>
      <c r="Y358" s="1254"/>
      <c r="Z358" s="1254"/>
    </row>
    <row r="359">
      <c r="A359" s="1254"/>
      <c r="B359" s="1263"/>
      <c r="C359" s="1317"/>
      <c r="D359" s="1263"/>
      <c r="E359" s="1318"/>
      <c r="F359" s="1254"/>
      <c r="G359" s="1319"/>
      <c r="H359" s="1254"/>
      <c r="I359" s="1254"/>
      <c r="J359" s="1254"/>
      <c r="K359" s="1320"/>
      <c r="L359" s="1254"/>
      <c r="M359" s="1254"/>
      <c r="N359" s="1254"/>
      <c r="O359" s="1254"/>
      <c r="P359" s="1254"/>
      <c r="Q359" s="1254"/>
      <c r="R359" s="1254"/>
      <c r="S359" s="1254"/>
      <c r="T359" s="1254"/>
      <c r="U359" s="1254"/>
      <c r="V359" s="1254"/>
      <c r="W359" s="1254"/>
      <c r="X359" s="1254"/>
      <c r="Y359" s="1254"/>
      <c r="Z359" s="1254"/>
    </row>
    <row r="360">
      <c r="A360" s="1254"/>
      <c r="B360" s="1263"/>
      <c r="C360" s="1317"/>
      <c r="D360" s="1263"/>
      <c r="E360" s="1318"/>
      <c r="F360" s="1254"/>
      <c r="G360" s="1319"/>
      <c r="H360" s="1254"/>
      <c r="I360" s="1254"/>
      <c r="J360" s="1254"/>
      <c r="K360" s="1320"/>
      <c r="L360" s="1254"/>
      <c r="M360" s="1254"/>
      <c r="N360" s="1254"/>
      <c r="O360" s="1254"/>
      <c r="P360" s="1254"/>
      <c r="Q360" s="1254"/>
      <c r="R360" s="1254"/>
      <c r="S360" s="1254"/>
      <c r="T360" s="1254"/>
      <c r="U360" s="1254"/>
      <c r="V360" s="1254"/>
      <c r="W360" s="1254"/>
      <c r="X360" s="1254"/>
      <c r="Y360" s="1254"/>
      <c r="Z360" s="1254"/>
    </row>
    <row r="361">
      <c r="A361" s="1254"/>
      <c r="B361" s="1263"/>
      <c r="C361" s="1317"/>
      <c r="D361" s="1263"/>
      <c r="E361" s="1318"/>
      <c r="F361" s="1254"/>
      <c r="G361" s="1319"/>
      <c r="H361" s="1254"/>
      <c r="I361" s="1254"/>
      <c r="J361" s="1254"/>
      <c r="K361" s="1320"/>
      <c r="L361" s="1254"/>
      <c r="M361" s="1254"/>
      <c r="N361" s="1254"/>
      <c r="O361" s="1254"/>
      <c r="P361" s="1254"/>
      <c r="Q361" s="1254"/>
      <c r="R361" s="1254"/>
      <c r="S361" s="1254"/>
      <c r="T361" s="1254"/>
      <c r="U361" s="1254"/>
      <c r="V361" s="1254"/>
      <c r="W361" s="1254"/>
      <c r="X361" s="1254"/>
      <c r="Y361" s="1254"/>
      <c r="Z361" s="1254"/>
    </row>
    <row r="362">
      <c r="A362" s="1254"/>
      <c r="B362" s="1263"/>
      <c r="C362" s="1317"/>
      <c r="D362" s="1263"/>
      <c r="E362" s="1318"/>
      <c r="F362" s="1254"/>
      <c r="G362" s="1319"/>
      <c r="H362" s="1254"/>
      <c r="I362" s="1254"/>
      <c r="J362" s="1254"/>
      <c r="K362" s="1320"/>
      <c r="L362" s="1254"/>
      <c r="M362" s="1254"/>
      <c r="N362" s="1254"/>
      <c r="O362" s="1254"/>
      <c r="P362" s="1254"/>
      <c r="Q362" s="1254"/>
      <c r="R362" s="1254"/>
      <c r="S362" s="1254"/>
      <c r="T362" s="1254"/>
      <c r="U362" s="1254"/>
      <c r="V362" s="1254"/>
      <c r="W362" s="1254"/>
      <c r="X362" s="1254"/>
      <c r="Y362" s="1254"/>
      <c r="Z362" s="1254"/>
    </row>
    <row r="363">
      <c r="A363" s="1254"/>
      <c r="B363" s="1263"/>
      <c r="C363" s="1317"/>
      <c r="D363" s="1263"/>
      <c r="E363" s="1318"/>
      <c r="F363" s="1254"/>
      <c r="G363" s="1319"/>
      <c r="H363" s="1254"/>
      <c r="I363" s="1254"/>
      <c r="J363" s="1254"/>
      <c r="K363" s="1320"/>
      <c r="L363" s="1254"/>
      <c r="M363" s="1254"/>
      <c r="N363" s="1254"/>
      <c r="O363" s="1254"/>
      <c r="P363" s="1254"/>
      <c r="Q363" s="1254"/>
      <c r="R363" s="1254"/>
      <c r="S363" s="1254"/>
      <c r="T363" s="1254"/>
      <c r="U363" s="1254"/>
      <c r="V363" s="1254"/>
      <c r="W363" s="1254"/>
      <c r="X363" s="1254"/>
      <c r="Y363" s="1254"/>
      <c r="Z363" s="1254"/>
    </row>
    <row r="364">
      <c r="A364" s="1254"/>
      <c r="B364" s="1263"/>
      <c r="C364" s="1317"/>
      <c r="D364" s="1263"/>
      <c r="E364" s="1318"/>
      <c r="F364" s="1254"/>
      <c r="G364" s="1319"/>
      <c r="H364" s="1254"/>
      <c r="I364" s="1254"/>
      <c r="J364" s="1254"/>
      <c r="K364" s="1320"/>
      <c r="L364" s="1254"/>
      <c r="M364" s="1254"/>
      <c r="N364" s="1254"/>
      <c r="O364" s="1254"/>
      <c r="P364" s="1254"/>
      <c r="Q364" s="1254"/>
      <c r="R364" s="1254"/>
      <c r="S364" s="1254"/>
      <c r="T364" s="1254"/>
      <c r="U364" s="1254"/>
      <c r="V364" s="1254"/>
      <c r="W364" s="1254"/>
      <c r="X364" s="1254"/>
      <c r="Y364" s="1254"/>
      <c r="Z364" s="1254"/>
    </row>
    <row r="365">
      <c r="A365" s="1254"/>
      <c r="B365" s="1263"/>
      <c r="C365" s="1317"/>
      <c r="D365" s="1263"/>
      <c r="E365" s="1318"/>
      <c r="F365" s="1254"/>
      <c r="G365" s="1319"/>
      <c r="H365" s="1254"/>
      <c r="I365" s="1254"/>
      <c r="J365" s="1254"/>
      <c r="K365" s="1320"/>
      <c r="L365" s="1254"/>
      <c r="M365" s="1254"/>
      <c r="N365" s="1254"/>
      <c r="O365" s="1254"/>
      <c r="P365" s="1254"/>
      <c r="Q365" s="1254"/>
      <c r="R365" s="1254"/>
      <c r="S365" s="1254"/>
      <c r="T365" s="1254"/>
      <c r="U365" s="1254"/>
      <c r="V365" s="1254"/>
      <c r="W365" s="1254"/>
      <c r="X365" s="1254"/>
      <c r="Y365" s="1254"/>
      <c r="Z365" s="1254"/>
    </row>
    <row r="366">
      <c r="A366" s="1254"/>
      <c r="B366" s="1263"/>
      <c r="C366" s="1317"/>
      <c r="D366" s="1263"/>
      <c r="E366" s="1318"/>
      <c r="F366" s="1254"/>
      <c r="G366" s="1319"/>
      <c r="H366" s="1254"/>
      <c r="I366" s="1254"/>
      <c r="J366" s="1254"/>
      <c r="K366" s="1320"/>
      <c r="L366" s="1254"/>
      <c r="M366" s="1254"/>
      <c r="N366" s="1254"/>
      <c r="O366" s="1254"/>
      <c r="P366" s="1254"/>
      <c r="Q366" s="1254"/>
      <c r="R366" s="1254"/>
      <c r="S366" s="1254"/>
      <c r="T366" s="1254"/>
      <c r="U366" s="1254"/>
      <c r="V366" s="1254"/>
      <c r="W366" s="1254"/>
      <c r="X366" s="1254"/>
      <c r="Y366" s="1254"/>
      <c r="Z366" s="1254"/>
    </row>
    <row r="367">
      <c r="A367" s="1254"/>
      <c r="B367" s="1263"/>
      <c r="C367" s="1317"/>
      <c r="D367" s="1263"/>
      <c r="E367" s="1318"/>
      <c r="F367" s="1254"/>
      <c r="G367" s="1319"/>
      <c r="H367" s="1254"/>
      <c r="I367" s="1254"/>
      <c r="J367" s="1254"/>
      <c r="K367" s="1320"/>
      <c r="L367" s="1254"/>
      <c r="M367" s="1254"/>
      <c r="N367" s="1254"/>
      <c r="O367" s="1254"/>
      <c r="P367" s="1254"/>
      <c r="Q367" s="1254"/>
      <c r="R367" s="1254"/>
      <c r="S367" s="1254"/>
      <c r="T367" s="1254"/>
      <c r="U367" s="1254"/>
      <c r="V367" s="1254"/>
      <c r="W367" s="1254"/>
      <c r="X367" s="1254"/>
      <c r="Y367" s="1254"/>
      <c r="Z367" s="1254"/>
    </row>
    <row r="368">
      <c r="A368" s="1254"/>
      <c r="B368" s="1263"/>
      <c r="C368" s="1317"/>
      <c r="D368" s="1263"/>
      <c r="E368" s="1318"/>
      <c r="F368" s="1254"/>
      <c r="G368" s="1319"/>
      <c r="H368" s="1254"/>
      <c r="I368" s="1254"/>
      <c r="J368" s="1254"/>
      <c r="K368" s="1320"/>
      <c r="L368" s="1254"/>
      <c r="M368" s="1254"/>
      <c r="N368" s="1254"/>
      <c r="O368" s="1254"/>
      <c r="P368" s="1254"/>
      <c r="Q368" s="1254"/>
      <c r="R368" s="1254"/>
      <c r="S368" s="1254"/>
      <c r="T368" s="1254"/>
      <c r="U368" s="1254"/>
      <c r="V368" s="1254"/>
      <c r="W368" s="1254"/>
      <c r="X368" s="1254"/>
      <c r="Y368" s="1254"/>
      <c r="Z368" s="1254"/>
    </row>
    <row r="369">
      <c r="A369" s="1254"/>
      <c r="B369" s="1263"/>
      <c r="C369" s="1317"/>
      <c r="D369" s="1263"/>
      <c r="E369" s="1318"/>
      <c r="F369" s="1254"/>
      <c r="G369" s="1319"/>
      <c r="H369" s="1254"/>
      <c r="I369" s="1254"/>
      <c r="J369" s="1254"/>
      <c r="K369" s="1320"/>
      <c r="L369" s="1254"/>
      <c r="M369" s="1254"/>
      <c r="N369" s="1254"/>
      <c r="O369" s="1254"/>
      <c r="P369" s="1254"/>
      <c r="Q369" s="1254"/>
      <c r="R369" s="1254"/>
      <c r="S369" s="1254"/>
      <c r="T369" s="1254"/>
      <c r="U369" s="1254"/>
      <c r="V369" s="1254"/>
      <c r="W369" s="1254"/>
      <c r="X369" s="1254"/>
      <c r="Y369" s="1254"/>
      <c r="Z369" s="1254"/>
    </row>
    <row r="370">
      <c r="A370" s="1254"/>
      <c r="B370" s="1263"/>
      <c r="C370" s="1317"/>
      <c r="D370" s="1263"/>
      <c r="E370" s="1318"/>
      <c r="F370" s="1254"/>
      <c r="G370" s="1319"/>
      <c r="H370" s="1254"/>
      <c r="I370" s="1254"/>
      <c r="J370" s="1254"/>
      <c r="K370" s="1320"/>
      <c r="L370" s="1254"/>
      <c r="M370" s="1254"/>
      <c r="N370" s="1254"/>
      <c r="O370" s="1254"/>
      <c r="P370" s="1254"/>
      <c r="Q370" s="1254"/>
      <c r="R370" s="1254"/>
      <c r="S370" s="1254"/>
      <c r="T370" s="1254"/>
      <c r="U370" s="1254"/>
      <c r="V370" s="1254"/>
      <c r="W370" s="1254"/>
      <c r="X370" s="1254"/>
      <c r="Y370" s="1254"/>
      <c r="Z370" s="1254"/>
    </row>
    <row r="371">
      <c r="A371" s="1254"/>
      <c r="B371" s="1263"/>
      <c r="C371" s="1317"/>
      <c r="D371" s="1263"/>
      <c r="E371" s="1318"/>
      <c r="F371" s="1254"/>
      <c r="G371" s="1319"/>
      <c r="H371" s="1254"/>
      <c r="I371" s="1254"/>
      <c r="J371" s="1254"/>
      <c r="K371" s="1320"/>
      <c r="L371" s="1254"/>
      <c r="M371" s="1254"/>
      <c r="N371" s="1254"/>
      <c r="O371" s="1254"/>
      <c r="P371" s="1254"/>
      <c r="Q371" s="1254"/>
      <c r="R371" s="1254"/>
      <c r="S371" s="1254"/>
      <c r="T371" s="1254"/>
      <c r="U371" s="1254"/>
      <c r="V371" s="1254"/>
      <c r="W371" s="1254"/>
      <c r="X371" s="1254"/>
      <c r="Y371" s="1254"/>
      <c r="Z371" s="1254"/>
    </row>
    <row r="372">
      <c r="A372" s="1254"/>
      <c r="B372" s="1263"/>
      <c r="C372" s="1317"/>
      <c r="D372" s="1263"/>
      <c r="E372" s="1318"/>
      <c r="F372" s="1254"/>
      <c r="G372" s="1319"/>
      <c r="H372" s="1254"/>
      <c r="I372" s="1254"/>
      <c r="J372" s="1254"/>
      <c r="K372" s="1320"/>
      <c r="L372" s="1254"/>
      <c r="M372" s="1254"/>
      <c r="N372" s="1254"/>
      <c r="O372" s="1254"/>
      <c r="P372" s="1254"/>
      <c r="Q372" s="1254"/>
      <c r="R372" s="1254"/>
      <c r="S372" s="1254"/>
      <c r="T372" s="1254"/>
      <c r="U372" s="1254"/>
      <c r="V372" s="1254"/>
      <c r="W372" s="1254"/>
      <c r="X372" s="1254"/>
      <c r="Y372" s="1254"/>
      <c r="Z372" s="1254"/>
    </row>
    <row r="373">
      <c r="A373" s="1254"/>
      <c r="B373" s="1263"/>
      <c r="C373" s="1317"/>
      <c r="D373" s="1263"/>
      <c r="E373" s="1318"/>
      <c r="F373" s="1254"/>
      <c r="G373" s="1319"/>
      <c r="H373" s="1254"/>
      <c r="I373" s="1254"/>
      <c r="J373" s="1254"/>
      <c r="K373" s="1320"/>
      <c r="L373" s="1254"/>
      <c r="M373" s="1254"/>
      <c r="N373" s="1254"/>
      <c r="O373" s="1254"/>
      <c r="P373" s="1254"/>
      <c r="Q373" s="1254"/>
      <c r="R373" s="1254"/>
      <c r="S373" s="1254"/>
      <c r="T373" s="1254"/>
      <c r="U373" s="1254"/>
      <c r="V373" s="1254"/>
      <c r="W373" s="1254"/>
      <c r="X373" s="1254"/>
      <c r="Y373" s="1254"/>
      <c r="Z373" s="1254"/>
    </row>
    <row r="374">
      <c r="A374" s="1254"/>
      <c r="B374" s="1263"/>
      <c r="C374" s="1317"/>
      <c r="D374" s="1263"/>
      <c r="E374" s="1318"/>
      <c r="F374" s="1254"/>
      <c r="G374" s="1319"/>
      <c r="H374" s="1254"/>
      <c r="I374" s="1254"/>
      <c r="J374" s="1254"/>
      <c r="K374" s="1320"/>
      <c r="L374" s="1254"/>
      <c r="M374" s="1254"/>
      <c r="N374" s="1254"/>
      <c r="O374" s="1254"/>
      <c r="P374" s="1254"/>
      <c r="Q374" s="1254"/>
      <c r="R374" s="1254"/>
      <c r="S374" s="1254"/>
      <c r="T374" s="1254"/>
      <c r="U374" s="1254"/>
      <c r="V374" s="1254"/>
      <c r="W374" s="1254"/>
      <c r="X374" s="1254"/>
      <c r="Y374" s="1254"/>
      <c r="Z374" s="1254"/>
    </row>
    <row r="375">
      <c r="A375" s="1254"/>
      <c r="B375" s="1263"/>
      <c r="C375" s="1317"/>
      <c r="D375" s="1263"/>
      <c r="E375" s="1318"/>
      <c r="F375" s="1254"/>
      <c r="G375" s="1319"/>
      <c r="H375" s="1254"/>
      <c r="I375" s="1254"/>
      <c r="J375" s="1254"/>
      <c r="K375" s="1320"/>
      <c r="L375" s="1254"/>
      <c r="M375" s="1254"/>
      <c r="N375" s="1254"/>
      <c r="O375" s="1254"/>
      <c r="P375" s="1254"/>
      <c r="Q375" s="1254"/>
      <c r="R375" s="1254"/>
      <c r="S375" s="1254"/>
      <c r="T375" s="1254"/>
      <c r="U375" s="1254"/>
      <c r="V375" s="1254"/>
      <c r="W375" s="1254"/>
      <c r="X375" s="1254"/>
      <c r="Y375" s="1254"/>
      <c r="Z375" s="1254"/>
    </row>
    <row r="376">
      <c r="A376" s="1254"/>
      <c r="B376" s="1263"/>
      <c r="C376" s="1317"/>
      <c r="D376" s="1263"/>
      <c r="E376" s="1318"/>
      <c r="F376" s="1254"/>
      <c r="G376" s="1319"/>
      <c r="H376" s="1254"/>
      <c r="I376" s="1254"/>
      <c r="J376" s="1254"/>
      <c r="K376" s="1320"/>
      <c r="L376" s="1254"/>
      <c r="M376" s="1254"/>
      <c r="N376" s="1254"/>
      <c r="O376" s="1254"/>
      <c r="P376" s="1254"/>
      <c r="Q376" s="1254"/>
      <c r="R376" s="1254"/>
      <c r="S376" s="1254"/>
      <c r="T376" s="1254"/>
      <c r="U376" s="1254"/>
      <c r="V376" s="1254"/>
      <c r="W376" s="1254"/>
      <c r="X376" s="1254"/>
      <c r="Y376" s="1254"/>
      <c r="Z376" s="1254"/>
    </row>
    <row r="377">
      <c r="A377" s="1254"/>
      <c r="B377" s="1263"/>
      <c r="C377" s="1317"/>
      <c r="D377" s="1263"/>
      <c r="E377" s="1318"/>
      <c r="F377" s="1254"/>
      <c r="G377" s="1319"/>
      <c r="H377" s="1254"/>
      <c r="I377" s="1254"/>
      <c r="J377" s="1254"/>
      <c r="K377" s="1320"/>
      <c r="L377" s="1254"/>
      <c r="M377" s="1254"/>
      <c r="N377" s="1254"/>
      <c r="O377" s="1254"/>
      <c r="P377" s="1254"/>
      <c r="Q377" s="1254"/>
      <c r="R377" s="1254"/>
      <c r="S377" s="1254"/>
      <c r="T377" s="1254"/>
      <c r="U377" s="1254"/>
      <c r="V377" s="1254"/>
      <c r="W377" s="1254"/>
      <c r="X377" s="1254"/>
      <c r="Y377" s="1254"/>
      <c r="Z377" s="1254"/>
    </row>
    <row r="378">
      <c r="A378" s="1254"/>
      <c r="B378" s="1263"/>
      <c r="C378" s="1317"/>
      <c r="D378" s="1263"/>
      <c r="E378" s="1318"/>
      <c r="F378" s="1254"/>
      <c r="G378" s="1319"/>
      <c r="H378" s="1254"/>
      <c r="I378" s="1254"/>
      <c r="J378" s="1254"/>
      <c r="K378" s="1320"/>
      <c r="L378" s="1254"/>
      <c r="M378" s="1254"/>
      <c r="N378" s="1254"/>
      <c r="O378" s="1254"/>
      <c r="P378" s="1254"/>
      <c r="Q378" s="1254"/>
      <c r="R378" s="1254"/>
      <c r="S378" s="1254"/>
      <c r="T378" s="1254"/>
      <c r="U378" s="1254"/>
      <c r="V378" s="1254"/>
      <c r="W378" s="1254"/>
      <c r="X378" s="1254"/>
      <c r="Y378" s="1254"/>
      <c r="Z378" s="1254"/>
    </row>
    <row r="379">
      <c r="A379" s="1254"/>
      <c r="B379" s="1263"/>
      <c r="C379" s="1317"/>
      <c r="D379" s="1263"/>
      <c r="E379" s="1318"/>
      <c r="F379" s="1254"/>
      <c r="G379" s="1319"/>
      <c r="H379" s="1254"/>
      <c r="I379" s="1254"/>
      <c r="J379" s="1254"/>
      <c r="K379" s="1320"/>
      <c r="L379" s="1254"/>
      <c r="M379" s="1254"/>
      <c r="N379" s="1254"/>
      <c r="O379" s="1254"/>
      <c r="P379" s="1254"/>
      <c r="Q379" s="1254"/>
      <c r="R379" s="1254"/>
      <c r="S379" s="1254"/>
      <c r="T379" s="1254"/>
      <c r="U379" s="1254"/>
      <c r="V379" s="1254"/>
      <c r="W379" s="1254"/>
      <c r="X379" s="1254"/>
      <c r="Y379" s="1254"/>
      <c r="Z379" s="1254"/>
    </row>
    <row r="380">
      <c r="A380" s="1254"/>
      <c r="B380" s="1263"/>
      <c r="C380" s="1317"/>
      <c r="D380" s="1263"/>
      <c r="E380" s="1318"/>
      <c r="F380" s="1254"/>
      <c r="G380" s="1319"/>
      <c r="H380" s="1254"/>
      <c r="I380" s="1254"/>
      <c r="J380" s="1254"/>
      <c r="K380" s="1320"/>
      <c r="L380" s="1254"/>
      <c r="M380" s="1254"/>
      <c r="N380" s="1254"/>
      <c r="O380" s="1254"/>
      <c r="P380" s="1254"/>
      <c r="Q380" s="1254"/>
      <c r="R380" s="1254"/>
      <c r="S380" s="1254"/>
      <c r="T380" s="1254"/>
      <c r="U380" s="1254"/>
      <c r="V380" s="1254"/>
      <c r="W380" s="1254"/>
      <c r="X380" s="1254"/>
      <c r="Y380" s="1254"/>
      <c r="Z380" s="1254"/>
    </row>
    <row r="381">
      <c r="A381" s="1254"/>
      <c r="B381" s="1263"/>
      <c r="C381" s="1317"/>
      <c r="D381" s="1263"/>
      <c r="E381" s="1318"/>
      <c r="F381" s="1254"/>
      <c r="G381" s="1319"/>
      <c r="H381" s="1254"/>
      <c r="I381" s="1254"/>
      <c r="J381" s="1254"/>
      <c r="K381" s="1320"/>
      <c r="L381" s="1254"/>
      <c r="M381" s="1254"/>
      <c r="N381" s="1254"/>
      <c r="O381" s="1254"/>
      <c r="P381" s="1254"/>
      <c r="Q381" s="1254"/>
      <c r="R381" s="1254"/>
      <c r="S381" s="1254"/>
      <c r="T381" s="1254"/>
      <c r="U381" s="1254"/>
      <c r="V381" s="1254"/>
      <c r="W381" s="1254"/>
      <c r="X381" s="1254"/>
      <c r="Y381" s="1254"/>
      <c r="Z381" s="1254"/>
    </row>
    <row r="382">
      <c r="A382" s="1254"/>
      <c r="B382" s="1263"/>
      <c r="C382" s="1317"/>
      <c r="D382" s="1263"/>
      <c r="E382" s="1318"/>
      <c r="F382" s="1254"/>
      <c r="G382" s="1319"/>
      <c r="H382" s="1254"/>
      <c r="I382" s="1254"/>
      <c r="J382" s="1254"/>
      <c r="K382" s="1320"/>
      <c r="L382" s="1254"/>
      <c r="M382" s="1254"/>
      <c r="N382" s="1254"/>
      <c r="O382" s="1254"/>
      <c r="P382" s="1254"/>
      <c r="Q382" s="1254"/>
      <c r="R382" s="1254"/>
      <c r="S382" s="1254"/>
      <c r="T382" s="1254"/>
      <c r="U382" s="1254"/>
      <c r="V382" s="1254"/>
      <c r="W382" s="1254"/>
      <c r="X382" s="1254"/>
      <c r="Y382" s="1254"/>
      <c r="Z382" s="1254"/>
    </row>
    <row r="383">
      <c r="A383" s="1254"/>
      <c r="B383" s="1263"/>
      <c r="C383" s="1317"/>
      <c r="D383" s="1263"/>
      <c r="E383" s="1318"/>
      <c r="F383" s="1254"/>
      <c r="G383" s="1319"/>
      <c r="H383" s="1254"/>
      <c r="I383" s="1254"/>
      <c r="J383" s="1254"/>
      <c r="K383" s="1320"/>
      <c r="L383" s="1254"/>
      <c r="M383" s="1254"/>
      <c r="N383" s="1254"/>
      <c r="O383" s="1254"/>
      <c r="P383" s="1254"/>
      <c r="Q383" s="1254"/>
      <c r="R383" s="1254"/>
      <c r="S383" s="1254"/>
      <c r="T383" s="1254"/>
      <c r="U383" s="1254"/>
      <c r="V383" s="1254"/>
      <c r="W383" s="1254"/>
      <c r="X383" s="1254"/>
      <c r="Y383" s="1254"/>
      <c r="Z383" s="1254"/>
    </row>
    <row r="384">
      <c r="A384" s="1254"/>
      <c r="B384" s="1263"/>
      <c r="C384" s="1317"/>
      <c r="D384" s="1263"/>
      <c r="E384" s="1318"/>
      <c r="F384" s="1254"/>
      <c r="G384" s="1319"/>
      <c r="H384" s="1254"/>
      <c r="I384" s="1254"/>
      <c r="J384" s="1254"/>
      <c r="K384" s="1320"/>
      <c r="L384" s="1254"/>
      <c r="M384" s="1254"/>
      <c r="N384" s="1254"/>
      <c r="O384" s="1254"/>
      <c r="P384" s="1254"/>
      <c r="Q384" s="1254"/>
      <c r="R384" s="1254"/>
      <c r="S384" s="1254"/>
      <c r="T384" s="1254"/>
      <c r="U384" s="1254"/>
      <c r="V384" s="1254"/>
      <c r="W384" s="1254"/>
      <c r="X384" s="1254"/>
      <c r="Y384" s="1254"/>
      <c r="Z384" s="1254"/>
    </row>
    <row r="385">
      <c r="A385" s="1254"/>
      <c r="B385" s="1263"/>
      <c r="C385" s="1317"/>
      <c r="D385" s="1263"/>
      <c r="E385" s="1318"/>
      <c r="F385" s="1254"/>
      <c r="G385" s="1319"/>
      <c r="H385" s="1254"/>
      <c r="I385" s="1254"/>
      <c r="J385" s="1254"/>
      <c r="K385" s="1320"/>
      <c r="L385" s="1254"/>
      <c r="M385" s="1254"/>
      <c r="N385" s="1254"/>
      <c r="O385" s="1254"/>
      <c r="P385" s="1254"/>
      <c r="Q385" s="1254"/>
      <c r="R385" s="1254"/>
      <c r="S385" s="1254"/>
      <c r="T385" s="1254"/>
      <c r="U385" s="1254"/>
      <c r="V385" s="1254"/>
      <c r="W385" s="1254"/>
      <c r="X385" s="1254"/>
      <c r="Y385" s="1254"/>
      <c r="Z385" s="1254"/>
    </row>
    <row r="386">
      <c r="A386" s="1254"/>
      <c r="B386" s="1263"/>
      <c r="C386" s="1317"/>
      <c r="D386" s="1263"/>
      <c r="E386" s="1318"/>
      <c r="F386" s="1254"/>
      <c r="G386" s="1319"/>
      <c r="H386" s="1254"/>
      <c r="I386" s="1254"/>
      <c r="J386" s="1254"/>
      <c r="K386" s="1320"/>
      <c r="L386" s="1254"/>
      <c r="M386" s="1254"/>
      <c r="N386" s="1254"/>
      <c r="O386" s="1254"/>
      <c r="P386" s="1254"/>
      <c r="Q386" s="1254"/>
      <c r="R386" s="1254"/>
      <c r="S386" s="1254"/>
      <c r="T386" s="1254"/>
      <c r="U386" s="1254"/>
      <c r="V386" s="1254"/>
      <c r="W386" s="1254"/>
      <c r="X386" s="1254"/>
      <c r="Y386" s="1254"/>
      <c r="Z386" s="1254"/>
    </row>
    <row r="387">
      <c r="A387" s="1254"/>
      <c r="B387" s="1263"/>
      <c r="C387" s="1317"/>
      <c r="D387" s="1263"/>
      <c r="E387" s="1318"/>
      <c r="F387" s="1254"/>
      <c r="G387" s="1319"/>
      <c r="H387" s="1254"/>
      <c r="I387" s="1254"/>
      <c r="J387" s="1254"/>
      <c r="K387" s="1320"/>
      <c r="L387" s="1254"/>
      <c r="M387" s="1254"/>
      <c r="N387" s="1254"/>
      <c r="O387" s="1254"/>
      <c r="P387" s="1254"/>
      <c r="Q387" s="1254"/>
      <c r="R387" s="1254"/>
      <c r="S387" s="1254"/>
      <c r="T387" s="1254"/>
      <c r="U387" s="1254"/>
      <c r="V387" s="1254"/>
      <c r="W387" s="1254"/>
      <c r="X387" s="1254"/>
      <c r="Y387" s="1254"/>
      <c r="Z387" s="1254"/>
    </row>
    <row r="388">
      <c r="A388" s="1254"/>
      <c r="B388" s="1263"/>
      <c r="C388" s="1317"/>
      <c r="D388" s="1263"/>
      <c r="E388" s="1318"/>
      <c r="F388" s="1254"/>
      <c r="G388" s="1319"/>
      <c r="H388" s="1254"/>
      <c r="I388" s="1254"/>
      <c r="J388" s="1254"/>
      <c r="K388" s="1320"/>
      <c r="L388" s="1254"/>
      <c r="M388" s="1254"/>
      <c r="N388" s="1254"/>
      <c r="O388" s="1254"/>
      <c r="P388" s="1254"/>
      <c r="Q388" s="1254"/>
      <c r="R388" s="1254"/>
      <c r="S388" s="1254"/>
      <c r="T388" s="1254"/>
      <c r="U388" s="1254"/>
      <c r="V388" s="1254"/>
      <c r="W388" s="1254"/>
      <c r="X388" s="1254"/>
      <c r="Y388" s="1254"/>
      <c r="Z388" s="1254"/>
    </row>
    <row r="389">
      <c r="A389" s="1254"/>
      <c r="B389" s="1263"/>
      <c r="C389" s="1317"/>
      <c r="D389" s="1263"/>
      <c r="E389" s="1318"/>
      <c r="F389" s="1254"/>
      <c r="G389" s="1319"/>
      <c r="H389" s="1254"/>
      <c r="I389" s="1254"/>
      <c r="J389" s="1254"/>
      <c r="K389" s="1320"/>
      <c r="L389" s="1254"/>
      <c r="M389" s="1254"/>
      <c r="N389" s="1254"/>
      <c r="O389" s="1254"/>
      <c r="P389" s="1254"/>
      <c r="Q389" s="1254"/>
      <c r="R389" s="1254"/>
      <c r="S389" s="1254"/>
      <c r="T389" s="1254"/>
      <c r="U389" s="1254"/>
      <c r="V389" s="1254"/>
      <c r="W389" s="1254"/>
      <c r="X389" s="1254"/>
      <c r="Y389" s="1254"/>
      <c r="Z389" s="1254"/>
    </row>
    <row r="390">
      <c r="A390" s="1254"/>
      <c r="B390" s="1263"/>
      <c r="C390" s="1317"/>
      <c r="D390" s="1263"/>
      <c r="E390" s="1318"/>
      <c r="F390" s="1254"/>
      <c r="G390" s="1319"/>
      <c r="H390" s="1254"/>
      <c r="I390" s="1254"/>
      <c r="J390" s="1254"/>
      <c r="K390" s="1320"/>
      <c r="L390" s="1254"/>
      <c r="M390" s="1254"/>
      <c r="N390" s="1254"/>
      <c r="O390" s="1254"/>
      <c r="P390" s="1254"/>
      <c r="Q390" s="1254"/>
      <c r="R390" s="1254"/>
      <c r="S390" s="1254"/>
      <c r="T390" s="1254"/>
      <c r="U390" s="1254"/>
      <c r="V390" s="1254"/>
      <c r="W390" s="1254"/>
      <c r="X390" s="1254"/>
      <c r="Y390" s="1254"/>
      <c r="Z390" s="1254"/>
    </row>
    <row r="391">
      <c r="A391" s="1254"/>
      <c r="B391" s="1263"/>
      <c r="C391" s="1317"/>
      <c r="D391" s="1263"/>
      <c r="E391" s="1318"/>
      <c r="F391" s="1254"/>
      <c r="G391" s="1319"/>
      <c r="H391" s="1254"/>
      <c r="I391" s="1254"/>
      <c r="J391" s="1254"/>
      <c r="K391" s="1320"/>
      <c r="L391" s="1254"/>
      <c r="M391" s="1254"/>
      <c r="N391" s="1254"/>
      <c r="O391" s="1254"/>
      <c r="P391" s="1254"/>
      <c r="Q391" s="1254"/>
      <c r="R391" s="1254"/>
      <c r="S391" s="1254"/>
      <c r="T391" s="1254"/>
      <c r="U391" s="1254"/>
      <c r="V391" s="1254"/>
      <c r="W391" s="1254"/>
      <c r="X391" s="1254"/>
      <c r="Y391" s="1254"/>
      <c r="Z391" s="1254"/>
    </row>
    <row r="392">
      <c r="A392" s="1254"/>
      <c r="B392" s="1263"/>
      <c r="C392" s="1317"/>
      <c r="D392" s="1263"/>
      <c r="E392" s="1318"/>
      <c r="F392" s="1254"/>
      <c r="G392" s="1319"/>
      <c r="H392" s="1254"/>
      <c r="I392" s="1254"/>
      <c r="J392" s="1254"/>
      <c r="K392" s="1320"/>
      <c r="L392" s="1254"/>
      <c r="M392" s="1254"/>
      <c r="N392" s="1254"/>
      <c r="O392" s="1254"/>
      <c r="P392" s="1254"/>
      <c r="Q392" s="1254"/>
      <c r="R392" s="1254"/>
      <c r="S392" s="1254"/>
      <c r="T392" s="1254"/>
      <c r="U392" s="1254"/>
      <c r="V392" s="1254"/>
      <c r="W392" s="1254"/>
      <c r="X392" s="1254"/>
      <c r="Y392" s="1254"/>
      <c r="Z392" s="1254"/>
    </row>
    <row r="393">
      <c r="A393" s="1254"/>
      <c r="B393" s="1263"/>
      <c r="C393" s="1317"/>
      <c r="D393" s="1263"/>
      <c r="E393" s="1318"/>
      <c r="F393" s="1254"/>
      <c r="G393" s="1319"/>
      <c r="H393" s="1254"/>
      <c r="I393" s="1254"/>
      <c r="J393" s="1254"/>
      <c r="K393" s="1320"/>
      <c r="L393" s="1254"/>
      <c r="M393" s="1254"/>
      <c r="N393" s="1254"/>
      <c r="O393" s="1254"/>
      <c r="P393" s="1254"/>
      <c r="Q393" s="1254"/>
      <c r="R393" s="1254"/>
      <c r="S393" s="1254"/>
      <c r="T393" s="1254"/>
      <c r="U393" s="1254"/>
      <c r="V393" s="1254"/>
      <c r="W393" s="1254"/>
      <c r="X393" s="1254"/>
      <c r="Y393" s="1254"/>
      <c r="Z393" s="1254"/>
    </row>
    <row r="394">
      <c r="A394" s="1254"/>
      <c r="B394" s="1263"/>
      <c r="C394" s="1317"/>
      <c r="D394" s="1263"/>
      <c r="E394" s="1318"/>
      <c r="F394" s="1254"/>
      <c r="G394" s="1319"/>
      <c r="H394" s="1254"/>
      <c r="I394" s="1254"/>
      <c r="J394" s="1254"/>
      <c r="K394" s="1320"/>
      <c r="L394" s="1254"/>
      <c r="M394" s="1254"/>
      <c r="N394" s="1254"/>
      <c r="O394" s="1254"/>
      <c r="P394" s="1254"/>
      <c r="Q394" s="1254"/>
      <c r="R394" s="1254"/>
      <c r="S394" s="1254"/>
      <c r="T394" s="1254"/>
      <c r="U394" s="1254"/>
      <c r="V394" s="1254"/>
      <c r="W394" s="1254"/>
      <c r="X394" s="1254"/>
      <c r="Y394" s="1254"/>
      <c r="Z394" s="1254"/>
    </row>
    <row r="395">
      <c r="A395" s="1254"/>
      <c r="B395" s="1263"/>
      <c r="C395" s="1317"/>
      <c r="D395" s="1263"/>
      <c r="E395" s="1318"/>
      <c r="F395" s="1254"/>
      <c r="G395" s="1319"/>
      <c r="H395" s="1254"/>
      <c r="I395" s="1254"/>
      <c r="J395" s="1254"/>
      <c r="K395" s="1320"/>
      <c r="L395" s="1254"/>
      <c r="M395" s="1254"/>
      <c r="N395" s="1254"/>
      <c r="O395" s="1254"/>
      <c r="P395" s="1254"/>
      <c r="Q395" s="1254"/>
      <c r="R395" s="1254"/>
      <c r="S395" s="1254"/>
      <c r="T395" s="1254"/>
      <c r="U395" s="1254"/>
      <c r="V395" s="1254"/>
      <c r="W395" s="1254"/>
      <c r="X395" s="1254"/>
      <c r="Y395" s="1254"/>
      <c r="Z395" s="1254"/>
    </row>
    <row r="396">
      <c r="A396" s="1254"/>
      <c r="B396" s="1263"/>
      <c r="C396" s="1317"/>
      <c r="D396" s="1263"/>
      <c r="E396" s="1318"/>
      <c r="F396" s="1254"/>
      <c r="G396" s="1319"/>
      <c r="H396" s="1254"/>
      <c r="I396" s="1254"/>
      <c r="J396" s="1254"/>
      <c r="K396" s="1320"/>
      <c r="L396" s="1254"/>
      <c r="M396" s="1254"/>
      <c r="N396" s="1254"/>
      <c r="O396" s="1254"/>
      <c r="P396" s="1254"/>
      <c r="Q396" s="1254"/>
      <c r="R396" s="1254"/>
      <c r="S396" s="1254"/>
      <c r="T396" s="1254"/>
      <c r="U396" s="1254"/>
      <c r="V396" s="1254"/>
      <c r="W396" s="1254"/>
      <c r="X396" s="1254"/>
      <c r="Y396" s="1254"/>
      <c r="Z396" s="1254"/>
    </row>
    <row r="397">
      <c r="A397" s="1254"/>
      <c r="B397" s="1263"/>
      <c r="C397" s="1317"/>
      <c r="D397" s="1263"/>
      <c r="E397" s="1318"/>
      <c r="F397" s="1254"/>
      <c r="G397" s="1319"/>
      <c r="H397" s="1254"/>
      <c r="I397" s="1254"/>
      <c r="J397" s="1254"/>
      <c r="K397" s="1320"/>
      <c r="L397" s="1254"/>
      <c r="M397" s="1254"/>
      <c r="N397" s="1254"/>
      <c r="O397" s="1254"/>
      <c r="P397" s="1254"/>
      <c r="Q397" s="1254"/>
      <c r="R397" s="1254"/>
      <c r="S397" s="1254"/>
      <c r="T397" s="1254"/>
      <c r="U397" s="1254"/>
      <c r="V397" s="1254"/>
      <c r="W397" s="1254"/>
      <c r="X397" s="1254"/>
      <c r="Y397" s="1254"/>
      <c r="Z397" s="1254"/>
    </row>
    <row r="398">
      <c r="A398" s="1254"/>
      <c r="B398" s="1263"/>
      <c r="C398" s="1317"/>
      <c r="D398" s="1263"/>
      <c r="E398" s="1318"/>
      <c r="F398" s="1254"/>
      <c r="G398" s="1319"/>
      <c r="H398" s="1254"/>
      <c r="I398" s="1254"/>
      <c r="J398" s="1254"/>
      <c r="K398" s="1320"/>
      <c r="L398" s="1254"/>
      <c r="M398" s="1254"/>
      <c r="N398" s="1254"/>
      <c r="O398" s="1254"/>
      <c r="P398" s="1254"/>
      <c r="Q398" s="1254"/>
      <c r="R398" s="1254"/>
      <c r="S398" s="1254"/>
      <c r="T398" s="1254"/>
      <c r="U398" s="1254"/>
      <c r="V398" s="1254"/>
      <c r="W398" s="1254"/>
      <c r="X398" s="1254"/>
      <c r="Y398" s="1254"/>
      <c r="Z398" s="1254"/>
    </row>
    <row r="399">
      <c r="A399" s="1254"/>
      <c r="B399" s="1263"/>
      <c r="C399" s="1317"/>
      <c r="D399" s="1263"/>
      <c r="E399" s="1318"/>
      <c r="F399" s="1254"/>
      <c r="G399" s="1319"/>
      <c r="H399" s="1254"/>
      <c r="I399" s="1254"/>
      <c r="J399" s="1254"/>
      <c r="K399" s="1320"/>
      <c r="L399" s="1254"/>
      <c r="M399" s="1254"/>
      <c r="N399" s="1254"/>
      <c r="O399" s="1254"/>
      <c r="P399" s="1254"/>
      <c r="Q399" s="1254"/>
      <c r="R399" s="1254"/>
      <c r="S399" s="1254"/>
      <c r="T399" s="1254"/>
      <c r="U399" s="1254"/>
      <c r="V399" s="1254"/>
      <c r="W399" s="1254"/>
      <c r="X399" s="1254"/>
      <c r="Y399" s="1254"/>
      <c r="Z399" s="1254"/>
    </row>
    <row r="400">
      <c r="A400" s="1254"/>
      <c r="B400" s="1263"/>
      <c r="C400" s="1317"/>
      <c r="D400" s="1263"/>
      <c r="E400" s="1318"/>
      <c r="F400" s="1254"/>
      <c r="G400" s="1319"/>
      <c r="H400" s="1254"/>
      <c r="I400" s="1254"/>
      <c r="J400" s="1254"/>
      <c r="K400" s="1320"/>
      <c r="L400" s="1254"/>
      <c r="M400" s="1254"/>
      <c r="N400" s="1254"/>
      <c r="O400" s="1254"/>
      <c r="P400" s="1254"/>
      <c r="Q400" s="1254"/>
      <c r="R400" s="1254"/>
      <c r="S400" s="1254"/>
      <c r="T400" s="1254"/>
      <c r="U400" s="1254"/>
      <c r="V400" s="1254"/>
      <c r="W400" s="1254"/>
      <c r="X400" s="1254"/>
      <c r="Y400" s="1254"/>
      <c r="Z400" s="1254"/>
    </row>
    <row r="401">
      <c r="A401" s="1254"/>
      <c r="B401" s="1263"/>
      <c r="C401" s="1317"/>
      <c r="D401" s="1263"/>
      <c r="E401" s="1318"/>
      <c r="F401" s="1254"/>
      <c r="G401" s="1319"/>
      <c r="H401" s="1254"/>
      <c r="I401" s="1254"/>
      <c r="J401" s="1254"/>
      <c r="K401" s="1320"/>
      <c r="L401" s="1254"/>
      <c r="M401" s="1254"/>
      <c r="N401" s="1254"/>
      <c r="O401" s="1254"/>
      <c r="P401" s="1254"/>
      <c r="Q401" s="1254"/>
      <c r="R401" s="1254"/>
      <c r="S401" s="1254"/>
      <c r="T401" s="1254"/>
      <c r="U401" s="1254"/>
      <c r="V401" s="1254"/>
      <c r="W401" s="1254"/>
      <c r="X401" s="1254"/>
      <c r="Y401" s="1254"/>
      <c r="Z401" s="1254"/>
    </row>
    <row r="402">
      <c r="A402" s="1254"/>
      <c r="B402" s="1263"/>
      <c r="C402" s="1317"/>
      <c r="D402" s="1263"/>
      <c r="E402" s="1318"/>
      <c r="F402" s="1254"/>
      <c r="G402" s="1319"/>
      <c r="H402" s="1254"/>
      <c r="I402" s="1254"/>
      <c r="J402" s="1254"/>
      <c r="K402" s="1320"/>
      <c r="L402" s="1254"/>
      <c r="M402" s="1254"/>
      <c r="N402" s="1254"/>
      <c r="O402" s="1254"/>
      <c r="P402" s="1254"/>
      <c r="Q402" s="1254"/>
      <c r="R402" s="1254"/>
      <c r="S402" s="1254"/>
      <c r="T402" s="1254"/>
      <c r="U402" s="1254"/>
      <c r="V402" s="1254"/>
      <c r="W402" s="1254"/>
      <c r="X402" s="1254"/>
      <c r="Y402" s="1254"/>
      <c r="Z402" s="1254"/>
    </row>
    <row r="403">
      <c r="A403" s="1254"/>
      <c r="B403" s="1263"/>
      <c r="C403" s="1317"/>
      <c r="D403" s="1263"/>
      <c r="E403" s="1318"/>
      <c r="F403" s="1254"/>
      <c r="G403" s="1319"/>
      <c r="H403" s="1254"/>
      <c r="I403" s="1254"/>
      <c r="J403" s="1254"/>
      <c r="K403" s="1320"/>
      <c r="L403" s="1254"/>
      <c r="M403" s="1254"/>
      <c r="N403" s="1254"/>
      <c r="O403" s="1254"/>
      <c r="P403" s="1254"/>
      <c r="Q403" s="1254"/>
      <c r="R403" s="1254"/>
      <c r="S403" s="1254"/>
      <c r="T403" s="1254"/>
      <c r="U403" s="1254"/>
      <c r="V403" s="1254"/>
      <c r="W403" s="1254"/>
      <c r="X403" s="1254"/>
      <c r="Y403" s="1254"/>
      <c r="Z403" s="1254"/>
    </row>
    <row r="404">
      <c r="A404" s="1254"/>
      <c r="B404" s="1263"/>
      <c r="C404" s="1317"/>
      <c r="D404" s="1263"/>
      <c r="E404" s="1318"/>
      <c r="F404" s="1254"/>
      <c r="G404" s="1319"/>
      <c r="H404" s="1254"/>
      <c r="I404" s="1254"/>
      <c r="J404" s="1254"/>
      <c r="K404" s="1320"/>
      <c r="L404" s="1254"/>
      <c r="M404" s="1254"/>
      <c r="N404" s="1254"/>
      <c r="O404" s="1254"/>
      <c r="P404" s="1254"/>
      <c r="Q404" s="1254"/>
      <c r="R404" s="1254"/>
      <c r="S404" s="1254"/>
      <c r="T404" s="1254"/>
      <c r="U404" s="1254"/>
      <c r="V404" s="1254"/>
      <c r="W404" s="1254"/>
      <c r="X404" s="1254"/>
      <c r="Y404" s="1254"/>
      <c r="Z404" s="1254"/>
    </row>
    <row r="405">
      <c r="A405" s="1254"/>
      <c r="B405" s="1263"/>
      <c r="C405" s="1317"/>
      <c r="D405" s="1263"/>
      <c r="E405" s="1318"/>
      <c r="F405" s="1254"/>
      <c r="G405" s="1319"/>
      <c r="H405" s="1254"/>
      <c r="I405" s="1254"/>
      <c r="J405" s="1254"/>
      <c r="K405" s="1320"/>
      <c r="L405" s="1254"/>
      <c r="M405" s="1254"/>
      <c r="N405" s="1254"/>
      <c r="O405" s="1254"/>
      <c r="P405" s="1254"/>
      <c r="Q405" s="1254"/>
      <c r="R405" s="1254"/>
      <c r="S405" s="1254"/>
      <c r="T405" s="1254"/>
      <c r="U405" s="1254"/>
      <c r="V405" s="1254"/>
      <c r="W405" s="1254"/>
      <c r="X405" s="1254"/>
      <c r="Y405" s="1254"/>
      <c r="Z405" s="1254"/>
    </row>
    <row r="406">
      <c r="A406" s="1254"/>
      <c r="B406" s="1263"/>
      <c r="C406" s="1317"/>
      <c r="D406" s="1263"/>
      <c r="E406" s="1318"/>
      <c r="F406" s="1254"/>
      <c r="G406" s="1319"/>
      <c r="H406" s="1254"/>
      <c r="I406" s="1254"/>
      <c r="J406" s="1254"/>
      <c r="K406" s="1320"/>
      <c r="L406" s="1254"/>
      <c r="M406" s="1254"/>
      <c r="N406" s="1254"/>
      <c r="O406" s="1254"/>
      <c r="P406" s="1254"/>
      <c r="Q406" s="1254"/>
      <c r="R406" s="1254"/>
      <c r="S406" s="1254"/>
      <c r="T406" s="1254"/>
      <c r="U406" s="1254"/>
      <c r="V406" s="1254"/>
      <c r="W406" s="1254"/>
      <c r="X406" s="1254"/>
      <c r="Y406" s="1254"/>
      <c r="Z406" s="1254"/>
    </row>
    <row r="407">
      <c r="A407" s="1254"/>
      <c r="B407" s="1263"/>
      <c r="C407" s="1317"/>
      <c r="D407" s="1263"/>
      <c r="E407" s="1318"/>
      <c r="F407" s="1254"/>
      <c r="G407" s="1319"/>
      <c r="H407" s="1254"/>
      <c r="I407" s="1254"/>
      <c r="J407" s="1254"/>
      <c r="K407" s="1320"/>
      <c r="L407" s="1254"/>
      <c r="M407" s="1254"/>
      <c r="N407" s="1254"/>
      <c r="O407" s="1254"/>
      <c r="P407" s="1254"/>
      <c r="Q407" s="1254"/>
      <c r="R407" s="1254"/>
      <c r="S407" s="1254"/>
      <c r="T407" s="1254"/>
      <c r="U407" s="1254"/>
      <c r="V407" s="1254"/>
      <c r="W407" s="1254"/>
      <c r="X407" s="1254"/>
      <c r="Y407" s="1254"/>
      <c r="Z407" s="1254"/>
    </row>
    <row r="408">
      <c r="A408" s="1254"/>
      <c r="B408" s="1263"/>
      <c r="C408" s="1317"/>
      <c r="D408" s="1263"/>
      <c r="E408" s="1318"/>
      <c r="F408" s="1254"/>
      <c r="G408" s="1319"/>
      <c r="H408" s="1254"/>
      <c r="I408" s="1254"/>
      <c r="J408" s="1254"/>
      <c r="K408" s="1320"/>
      <c r="L408" s="1254"/>
      <c r="M408" s="1254"/>
      <c r="N408" s="1254"/>
      <c r="O408" s="1254"/>
      <c r="P408" s="1254"/>
      <c r="Q408" s="1254"/>
      <c r="R408" s="1254"/>
      <c r="S408" s="1254"/>
      <c r="T408" s="1254"/>
      <c r="U408" s="1254"/>
      <c r="V408" s="1254"/>
      <c r="W408" s="1254"/>
      <c r="X408" s="1254"/>
      <c r="Y408" s="1254"/>
      <c r="Z408" s="1254"/>
    </row>
    <row r="409">
      <c r="A409" s="1254"/>
      <c r="B409" s="1263"/>
      <c r="C409" s="1317"/>
      <c r="D409" s="1263"/>
      <c r="E409" s="1318"/>
      <c r="F409" s="1254"/>
      <c r="G409" s="1319"/>
      <c r="H409" s="1254"/>
      <c r="I409" s="1254"/>
      <c r="J409" s="1254"/>
      <c r="K409" s="1320"/>
      <c r="L409" s="1254"/>
      <c r="M409" s="1254"/>
      <c r="N409" s="1254"/>
      <c r="O409" s="1254"/>
      <c r="P409" s="1254"/>
      <c r="Q409" s="1254"/>
      <c r="R409" s="1254"/>
      <c r="S409" s="1254"/>
      <c r="T409" s="1254"/>
      <c r="U409" s="1254"/>
      <c r="V409" s="1254"/>
      <c r="W409" s="1254"/>
      <c r="X409" s="1254"/>
      <c r="Y409" s="1254"/>
      <c r="Z409" s="1254"/>
    </row>
    <row r="410">
      <c r="A410" s="1254"/>
      <c r="B410" s="1263"/>
      <c r="C410" s="1317"/>
      <c r="D410" s="1263"/>
      <c r="E410" s="1318"/>
      <c r="F410" s="1254"/>
      <c r="G410" s="1319"/>
      <c r="H410" s="1254"/>
      <c r="I410" s="1254"/>
      <c r="J410" s="1254"/>
      <c r="K410" s="1320"/>
      <c r="L410" s="1254"/>
      <c r="M410" s="1254"/>
      <c r="N410" s="1254"/>
      <c r="O410" s="1254"/>
      <c r="P410" s="1254"/>
      <c r="Q410" s="1254"/>
      <c r="R410" s="1254"/>
      <c r="S410" s="1254"/>
      <c r="T410" s="1254"/>
      <c r="U410" s="1254"/>
      <c r="V410" s="1254"/>
      <c r="W410" s="1254"/>
      <c r="X410" s="1254"/>
      <c r="Y410" s="1254"/>
      <c r="Z410" s="1254"/>
    </row>
    <row r="411">
      <c r="A411" s="1254"/>
      <c r="B411" s="1263"/>
      <c r="C411" s="1317"/>
      <c r="D411" s="1263"/>
      <c r="E411" s="1318"/>
      <c r="F411" s="1254"/>
      <c r="G411" s="1319"/>
      <c r="H411" s="1254"/>
      <c r="I411" s="1254"/>
      <c r="J411" s="1254"/>
      <c r="K411" s="1320"/>
      <c r="L411" s="1254"/>
      <c r="M411" s="1254"/>
      <c r="N411" s="1254"/>
      <c r="O411" s="1254"/>
      <c r="P411" s="1254"/>
      <c r="Q411" s="1254"/>
      <c r="R411" s="1254"/>
      <c r="S411" s="1254"/>
      <c r="T411" s="1254"/>
      <c r="U411" s="1254"/>
      <c r="V411" s="1254"/>
      <c r="W411" s="1254"/>
      <c r="X411" s="1254"/>
      <c r="Y411" s="1254"/>
      <c r="Z411" s="1254"/>
    </row>
    <row r="412">
      <c r="A412" s="1254"/>
      <c r="B412" s="1263"/>
      <c r="C412" s="1317"/>
      <c r="D412" s="1263"/>
      <c r="E412" s="1318"/>
      <c r="F412" s="1254"/>
      <c r="G412" s="1319"/>
      <c r="H412" s="1254"/>
      <c r="I412" s="1254"/>
      <c r="J412" s="1254"/>
      <c r="K412" s="1320"/>
      <c r="L412" s="1254"/>
      <c r="M412" s="1254"/>
      <c r="N412" s="1254"/>
      <c r="O412" s="1254"/>
      <c r="P412" s="1254"/>
      <c r="Q412" s="1254"/>
      <c r="R412" s="1254"/>
      <c r="S412" s="1254"/>
      <c r="T412" s="1254"/>
      <c r="U412" s="1254"/>
      <c r="V412" s="1254"/>
      <c r="W412" s="1254"/>
      <c r="X412" s="1254"/>
      <c r="Y412" s="1254"/>
      <c r="Z412" s="1254"/>
    </row>
    <row r="413">
      <c r="A413" s="1254"/>
      <c r="B413" s="1263"/>
      <c r="C413" s="1317"/>
      <c r="D413" s="1263"/>
      <c r="E413" s="1318"/>
      <c r="F413" s="1254"/>
      <c r="G413" s="1319"/>
      <c r="H413" s="1254"/>
      <c r="I413" s="1254"/>
      <c r="J413" s="1254"/>
      <c r="K413" s="1320"/>
      <c r="L413" s="1254"/>
      <c r="M413" s="1254"/>
      <c r="N413" s="1254"/>
      <c r="O413" s="1254"/>
      <c r="P413" s="1254"/>
      <c r="Q413" s="1254"/>
      <c r="R413" s="1254"/>
      <c r="S413" s="1254"/>
      <c r="T413" s="1254"/>
      <c r="U413" s="1254"/>
      <c r="V413" s="1254"/>
      <c r="W413" s="1254"/>
      <c r="X413" s="1254"/>
      <c r="Y413" s="1254"/>
      <c r="Z413" s="1254"/>
    </row>
    <row r="414">
      <c r="A414" s="1254"/>
      <c r="B414" s="1263"/>
      <c r="C414" s="1317"/>
      <c r="D414" s="1263"/>
      <c r="E414" s="1318"/>
      <c r="F414" s="1254"/>
      <c r="G414" s="1319"/>
      <c r="H414" s="1254"/>
      <c r="I414" s="1254"/>
      <c r="J414" s="1254"/>
      <c r="K414" s="1320"/>
      <c r="L414" s="1254"/>
      <c r="M414" s="1254"/>
      <c r="N414" s="1254"/>
      <c r="O414" s="1254"/>
      <c r="P414" s="1254"/>
      <c r="Q414" s="1254"/>
      <c r="R414" s="1254"/>
      <c r="S414" s="1254"/>
      <c r="T414" s="1254"/>
      <c r="U414" s="1254"/>
      <c r="V414" s="1254"/>
      <c r="W414" s="1254"/>
      <c r="X414" s="1254"/>
      <c r="Y414" s="1254"/>
      <c r="Z414" s="1254"/>
    </row>
    <row r="415">
      <c r="A415" s="1254"/>
      <c r="B415" s="1263"/>
      <c r="C415" s="1317"/>
      <c r="D415" s="1263"/>
      <c r="E415" s="1318"/>
      <c r="F415" s="1254"/>
      <c r="G415" s="1319"/>
      <c r="H415" s="1254"/>
      <c r="I415" s="1254"/>
      <c r="J415" s="1254"/>
      <c r="K415" s="1320"/>
      <c r="L415" s="1254"/>
      <c r="M415" s="1254"/>
      <c r="N415" s="1254"/>
      <c r="O415" s="1254"/>
      <c r="P415" s="1254"/>
      <c r="Q415" s="1254"/>
      <c r="R415" s="1254"/>
      <c r="S415" s="1254"/>
      <c r="T415" s="1254"/>
      <c r="U415" s="1254"/>
      <c r="V415" s="1254"/>
      <c r="W415" s="1254"/>
      <c r="X415" s="1254"/>
      <c r="Y415" s="1254"/>
      <c r="Z415" s="1254"/>
    </row>
    <row r="416">
      <c r="A416" s="1254"/>
      <c r="B416" s="1263"/>
      <c r="C416" s="1317"/>
      <c r="D416" s="1263"/>
      <c r="E416" s="1318"/>
      <c r="F416" s="1254"/>
      <c r="G416" s="1319"/>
      <c r="H416" s="1254"/>
      <c r="I416" s="1254"/>
      <c r="J416" s="1254"/>
      <c r="K416" s="1320"/>
      <c r="L416" s="1254"/>
      <c r="M416" s="1254"/>
      <c r="N416" s="1254"/>
      <c r="O416" s="1254"/>
      <c r="P416" s="1254"/>
      <c r="Q416" s="1254"/>
      <c r="R416" s="1254"/>
      <c r="S416" s="1254"/>
      <c r="T416" s="1254"/>
      <c r="U416" s="1254"/>
      <c r="V416" s="1254"/>
      <c r="W416" s="1254"/>
      <c r="X416" s="1254"/>
      <c r="Y416" s="1254"/>
      <c r="Z416" s="1254"/>
    </row>
    <row r="417">
      <c r="A417" s="1254"/>
      <c r="B417" s="1263"/>
      <c r="C417" s="1317"/>
      <c r="D417" s="1263"/>
      <c r="E417" s="1318"/>
      <c r="F417" s="1254"/>
      <c r="G417" s="1319"/>
      <c r="H417" s="1254"/>
      <c r="I417" s="1254"/>
      <c r="J417" s="1254"/>
      <c r="K417" s="1320"/>
      <c r="L417" s="1254"/>
      <c r="M417" s="1254"/>
      <c r="N417" s="1254"/>
      <c r="O417" s="1254"/>
      <c r="P417" s="1254"/>
      <c r="Q417" s="1254"/>
      <c r="R417" s="1254"/>
      <c r="S417" s="1254"/>
      <c r="T417" s="1254"/>
      <c r="U417" s="1254"/>
      <c r="V417" s="1254"/>
      <c r="W417" s="1254"/>
      <c r="X417" s="1254"/>
      <c r="Y417" s="1254"/>
      <c r="Z417" s="1254"/>
    </row>
    <row r="418">
      <c r="A418" s="1254"/>
      <c r="B418" s="1263"/>
      <c r="C418" s="1317"/>
      <c r="D418" s="1263"/>
      <c r="E418" s="1318"/>
      <c r="F418" s="1254"/>
      <c r="G418" s="1319"/>
      <c r="H418" s="1254"/>
      <c r="I418" s="1254"/>
      <c r="J418" s="1254"/>
      <c r="K418" s="1320"/>
      <c r="L418" s="1254"/>
      <c r="M418" s="1254"/>
      <c r="N418" s="1254"/>
      <c r="O418" s="1254"/>
      <c r="P418" s="1254"/>
      <c r="Q418" s="1254"/>
      <c r="R418" s="1254"/>
      <c r="S418" s="1254"/>
      <c r="T418" s="1254"/>
      <c r="U418" s="1254"/>
      <c r="V418" s="1254"/>
      <c r="W418" s="1254"/>
      <c r="X418" s="1254"/>
      <c r="Y418" s="1254"/>
      <c r="Z418" s="1254"/>
    </row>
    <row r="419">
      <c r="A419" s="1254"/>
      <c r="B419" s="1263"/>
      <c r="C419" s="1317"/>
      <c r="D419" s="1263"/>
      <c r="E419" s="1318"/>
      <c r="F419" s="1254"/>
      <c r="G419" s="1319"/>
      <c r="H419" s="1254"/>
      <c r="I419" s="1254"/>
      <c r="J419" s="1254"/>
      <c r="K419" s="1320"/>
      <c r="L419" s="1254"/>
      <c r="M419" s="1254"/>
      <c r="N419" s="1254"/>
      <c r="O419" s="1254"/>
      <c r="P419" s="1254"/>
      <c r="Q419" s="1254"/>
      <c r="R419" s="1254"/>
      <c r="S419" s="1254"/>
      <c r="T419" s="1254"/>
      <c r="U419" s="1254"/>
      <c r="V419" s="1254"/>
      <c r="W419" s="1254"/>
      <c r="X419" s="1254"/>
      <c r="Y419" s="1254"/>
      <c r="Z419" s="1254"/>
    </row>
    <row r="420">
      <c r="A420" s="1254"/>
      <c r="B420" s="1263"/>
      <c r="C420" s="1317"/>
      <c r="D420" s="1263"/>
      <c r="E420" s="1318"/>
      <c r="F420" s="1254"/>
      <c r="G420" s="1319"/>
      <c r="H420" s="1254"/>
      <c r="I420" s="1254"/>
      <c r="J420" s="1254"/>
      <c r="K420" s="1320"/>
      <c r="L420" s="1254"/>
      <c r="M420" s="1254"/>
      <c r="N420" s="1254"/>
      <c r="O420" s="1254"/>
      <c r="P420" s="1254"/>
      <c r="Q420" s="1254"/>
      <c r="R420" s="1254"/>
      <c r="S420" s="1254"/>
      <c r="T420" s="1254"/>
      <c r="U420" s="1254"/>
      <c r="V420" s="1254"/>
      <c r="W420" s="1254"/>
      <c r="X420" s="1254"/>
      <c r="Y420" s="1254"/>
      <c r="Z420" s="1254"/>
    </row>
    <row r="421">
      <c r="A421" s="1254"/>
      <c r="B421" s="1263"/>
      <c r="C421" s="1317"/>
      <c r="D421" s="1263"/>
      <c r="E421" s="1318"/>
      <c r="F421" s="1254"/>
      <c r="G421" s="1319"/>
      <c r="H421" s="1254"/>
      <c r="I421" s="1254"/>
      <c r="J421" s="1254"/>
      <c r="K421" s="1320"/>
      <c r="L421" s="1254"/>
      <c r="M421" s="1254"/>
      <c r="N421" s="1254"/>
      <c r="O421" s="1254"/>
      <c r="P421" s="1254"/>
      <c r="Q421" s="1254"/>
      <c r="R421" s="1254"/>
      <c r="S421" s="1254"/>
      <c r="T421" s="1254"/>
      <c r="U421" s="1254"/>
      <c r="V421" s="1254"/>
      <c r="W421" s="1254"/>
      <c r="X421" s="1254"/>
      <c r="Y421" s="1254"/>
      <c r="Z421" s="1254"/>
    </row>
    <row r="422">
      <c r="A422" s="1254"/>
      <c r="B422" s="1263"/>
      <c r="C422" s="1317"/>
      <c r="D422" s="1263"/>
      <c r="E422" s="1318"/>
      <c r="F422" s="1254"/>
      <c r="G422" s="1319"/>
      <c r="H422" s="1254"/>
      <c r="I422" s="1254"/>
      <c r="J422" s="1254"/>
      <c r="K422" s="1320"/>
      <c r="L422" s="1254"/>
      <c r="M422" s="1254"/>
      <c r="N422" s="1254"/>
      <c r="O422" s="1254"/>
      <c r="P422" s="1254"/>
      <c r="Q422" s="1254"/>
      <c r="R422" s="1254"/>
      <c r="S422" s="1254"/>
      <c r="T422" s="1254"/>
      <c r="U422" s="1254"/>
      <c r="V422" s="1254"/>
      <c r="W422" s="1254"/>
      <c r="X422" s="1254"/>
      <c r="Y422" s="1254"/>
      <c r="Z422" s="1254"/>
    </row>
    <row r="423">
      <c r="A423" s="1254"/>
      <c r="B423" s="1263"/>
      <c r="C423" s="1317"/>
      <c r="D423" s="1263"/>
      <c r="E423" s="1318"/>
      <c r="F423" s="1254"/>
      <c r="G423" s="1319"/>
      <c r="H423" s="1254"/>
      <c r="I423" s="1254"/>
      <c r="J423" s="1254"/>
      <c r="K423" s="1320"/>
      <c r="L423" s="1254"/>
      <c r="M423" s="1254"/>
      <c r="N423" s="1254"/>
      <c r="O423" s="1254"/>
      <c r="P423" s="1254"/>
      <c r="Q423" s="1254"/>
      <c r="R423" s="1254"/>
      <c r="S423" s="1254"/>
      <c r="T423" s="1254"/>
      <c r="U423" s="1254"/>
      <c r="V423" s="1254"/>
      <c r="W423" s="1254"/>
      <c r="X423" s="1254"/>
      <c r="Y423" s="1254"/>
      <c r="Z423" s="1254"/>
    </row>
    <row r="424">
      <c r="A424" s="1254"/>
      <c r="B424" s="1263"/>
      <c r="C424" s="1317"/>
      <c r="D424" s="1263"/>
      <c r="E424" s="1318"/>
      <c r="F424" s="1254"/>
      <c r="G424" s="1319"/>
      <c r="H424" s="1254"/>
      <c r="I424" s="1254"/>
      <c r="J424" s="1254"/>
      <c r="K424" s="1320"/>
      <c r="L424" s="1254"/>
      <c r="M424" s="1254"/>
      <c r="N424" s="1254"/>
      <c r="O424" s="1254"/>
      <c r="P424" s="1254"/>
      <c r="Q424" s="1254"/>
      <c r="R424" s="1254"/>
      <c r="S424" s="1254"/>
      <c r="T424" s="1254"/>
      <c r="U424" s="1254"/>
      <c r="V424" s="1254"/>
      <c r="W424" s="1254"/>
      <c r="X424" s="1254"/>
      <c r="Y424" s="1254"/>
      <c r="Z424" s="1254"/>
    </row>
    <row r="425">
      <c r="A425" s="1254"/>
      <c r="B425" s="1263"/>
      <c r="C425" s="1317"/>
      <c r="D425" s="1263"/>
      <c r="E425" s="1318"/>
      <c r="F425" s="1254"/>
      <c r="G425" s="1319"/>
      <c r="H425" s="1254"/>
      <c r="I425" s="1254"/>
      <c r="J425" s="1254"/>
      <c r="K425" s="1320"/>
      <c r="L425" s="1254"/>
      <c r="M425" s="1254"/>
      <c r="N425" s="1254"/>
      <c r="O425" s="1254"/>
      <c r="P425" s="1254"/>
      <c r="Q425" s="1254"/>
      <c r="R425" s="1254"/>
      <c r="S425" s="1254"/>
      <c r="T425" s="1254"/>
      <c r="U425" s="1254"/>
      <c r="V425" s="1254"/>
      <c r="W425" s="1254"/>
      <c r="X425" s="1254"/>
      <c r="Y425" s="1254"/>
      <c r="Z425" s="1254"/>
    </row>
    <row r="426">
      <c r="A426" s="1254"/>
      <c r="B426" s="1263"/>
      <c r="C426" s="1317"/>
      <c r="D426" s="1263"/>
      <c r="E426" s="1318"/>
      <c r="F426" s="1254"/>
      <c r="G426" s="1319"/>
      <c r="H426" s="1254"/>
      <c r="I426" s="1254"/>
      <c r="J426" s="1254"/>
      <c r="K426" s="1320"/>
      <c r="L426" s="1254"/>
      <c r="M426" s="1254"/>
      <c r="N426" s="1254"/>
      <c r="O426" s="1254"/>
      <c r="P426" s="1254"/>
      <c r="Q426" s="1254"/>
      <c r="R426" s="1254"/>
      <c r="S426" s="1254"/>
      <c r="T426" s="1254"/>
      <c r="U426" s="1254"/>
      <c r="V426" s="1254"/>
      <c r="W426" s="1254"/>
      <c r="X426" s="1254"/>
      <c r="Y426" s="1254"/>
      <c r="Z426" s="1254"/>
    </row>
    <row r="427">
      <c r="A427" s="1254"/>
      <c r="B427" s="1263"/>
      <c r="C427" s="1317"/>
      <c r="D427" s="1263"/>
      <c r="E427" s="1318"/>
      <c r="F427" s="1254"/>
      <c r="G427" s="1319"/>
      <c r="H427" s="1254"/>
      <c r="I427" s="1254"/>
      <c r="J427" s="1254"/>
      <c r="K427" s="1320"/>
      <c r="L427" s="1254"/>
      <c r="M427" s="1254"/>
      <c r="N427" s="1254"/>
      <c r="O427" s="1254"/>
      <c r="P427" s="1254"/>
      <c r="Q427" s="1254"/>
      <c r="R427" s="1254"/>
      <c r="S427" s="1254"/>
      <c r="T427" s="1254"/>
      <c r="U427" s="1254"/>
      <c r="V427" s="1254"/>
      <c r="W427" s="1254"/>
      <c r="X427" s="1254"/>
      <c r="Y427" s="1254"/>
      <c r="Z427" s="1254"/>
    </row>
    <row r="428">
      <c r="A428" s="1254"/>
      <c r="B428" s="1263"/>
      <c r="C428" s="1317"/>
      <c r="D428" s="1263"/>
      <c r="E428" s="1318"/>
      <c r="F428" s="1254"/>
      <c r="G428" s="1319"/>
      <c r="H428" s="1254"/>
      <c r="I428" s="1254"/>
      <c r="J428" s="1254"/>
      <c r="K428" s="1320"/>
      <c r="L428" s="1254"/>
      <c r="M428" s="1254"/>
      <c r="N428" s="1254"/>
      <c r="O428" s="1254"/>
      <c r="P428" s="1254"/>
      <c r="Q428" s="1254"/>
      <c r="R428" s="1254"/>
      <c r="S428" s="1254"/>
      <c r="T428" s="1254"/>
      <c r="U428" s="1254"/>
      <c r="V428" s="1254"/>
      <c r="W428" s="1254"/>
      <c r="X428" s="1254"/>
      <c r="Y428" s="1254"/>
      <c r="Z428" s="1254"/>
    </row>
    <row r="429">
      <c r="A429" s="1254"/>
      <c r="B429" s="1263"/>
      <c r="C429" s="1317"/>
      <c r="D429" s="1263"/>
      <c r="E429" s="1318"/>
      <c r="F429" s="1254"/>
      <c r="G429" s="1319"/>
      <c r="H429" s="1254"/>
      <c r="I429" s="1254"/>
      <c r="J429" s="1254"/>
      <c r="K429" s="1320"/>
      <c r="L429" s="1254"/>
      <c r="M429" s="1254"/>
      <c r="N429" s="1254"/>
      <c r="O429" s="1254"/>
      <c r="P429" s="1254"/>
      <c r="Q429" s="1254"/>
      <c r="R429" s="1254"/>
      <c r="S429" s="1254"/>
      <c r="T429" s="1254"/>
      <c r="U429" s="1254"/>
      <c r="V429" s="1254"/>
      <c r="W429" s="1254"/>
      <c r="X429" s="1254"/>
      <c r="Y429" s="1254"/>
      <c r="Z429" s="1254"/>
    </row>
    <row r="430">
      <c r="A430" s="1254"/>
      <c r="B430" s="1263"/>
      <c r="C430" s="1317"/>
      <c r="D430" s="1263"/>
      <c r="E430" s="1318"/>
      <c r="F430" s="1254"/>
      <c r="G430" s="1319"/>
      <c r="H430" s="1254"/>
      <c r="I430" s="1254"/>
      <c r="J430" s="1254"/>
      <c r="K430" s="1320"/>
      <c r="L430" s="1254"/>
      <c r="M430" s="1254"/>
      <c r="N430" s="1254"/>
      <c r="O430" s="1254"/>
      <c r="P430" s="1254"/>
      <c r="Q430" s="1254"/>
      <c r="R430" s="1254"/>
      <c r="S430" s="1254"/>
      <c r="T430" s="1254"/>
      <c r="U430" s="1254"/>
      <c r="V430" s="1254"/>
      <c r="W430" s="1254"/>
      <c r="X430" s="1254"/>
      <c r="Y430" s="1254"/>
      <c r="Z430" s="1254"/>
    </row>
    <row r="431">
      <c r="A431" s="1254"/>
      <c r="B431" s="1263"/>
      <c r="C431" s="1317"/>
      <c r="D431" s="1263"/>
      <c r="E431" s="1318"/>
      <c r="F431" s="1254"/>
      <c r="G431" s="1319"/>
      <c r="H431" s="1254"/>
      <c r="I431" s="1254"/>
      <c r="J431" s="1254"/>
      <c r="K431" s="1320"/>
      <c r="L431" s="1254"/>
      <c r="M431" s="1254"/>
      <c r="N431" s="1254"/>
      <c r="O431" s="1254"/>
      <c r="P431" s="1254"/>
      <c r="Q431" s="1254"/>
      <c r="R431" s="1254"/>
      <c r="S431" s="1254"/>
      <c r="T431" s="1254"/>
      <c r="U431" s="1254"/>
      <c r="V431" s="1254"/>
      <c r="W431" s="1254"/>
      <c r="X431" s="1254"/>
      <c r="Y431" s="1254"/>
      <c r="Z431" s="1254"/>
    </row>
    <row r="432">
      <c r="A432" s="1254"/>
      <c r="B432" s="1263"/>
      <c r="C432" s="1317"/>
      <c r="D432" s="1263"/>
      <c r="E432" s="1318"/>
      <c r="F432" s="1254"/>
      <c r="G432" s="1319"/>
      <c r="H432" s="1254"/>
      <c r="I432" s="1254"/>
      <c r="J432" s="1254"/>
      <c r="K432" s="1320"/>
      <c r="L432" s="1254"/>
      <c r="M432" s="1254"/>
      <c r="N432" s="1254"/>
      <c r="O432" s="1254"/>
      <c r="P432" s="1254"/>
      <c r="Q432" s="1254"/>
      <c r="R432" s="1254"/>
      <c r="S432" s="1254"/>
      <c r="T432" s="1254"/>
      <c r="U432" s="1254"/>
      <c r="V432" s="1254"/>
      <c r="W432" s="1254"/>
      <c r="X432" s="1254"/>
      <c r="Y432" s="1254"/>
      <c r="Z432" s="1254"/>
    </row>
    <row r="433">
      <c r="A433" s="1254"/>
      <c r="B433" s="1263"/>
      <c r="C433" s="1317"/>
      <c r="D433" s="1263"/>
      <c r="E433" s="1318"/>
      <c r="F433" s="1254"/>
      <c r="G433" s="1319"/>
      <c r="H433" s="1254"/>
      <c r="I433" s="1254"/>
      <c r="J433" s="1254"/>
      <c r="K433" s="1320"/>
      <c r="L433" s="1254"/>
      <c r="M433" s="1254"/>
      <c r="N433" s="1254"/>
      <c r="O433" s="1254"/>
      <c r="P433" s="1254"/>
      <c r="Q433" s="1254"/>
      <c r="R433" s="1254"/>
      <c r="S433" s="1254"/>
      <c r="T433" s="1254"/>
      <c r="U433" s="1254"/>
      <c r="V433" s="1254"/>
      <c r="W433" s="1254"/>
      <c r="X433" s="1254"/>
      <c r="Y433" s="1254"/>
      <c r="Z433" s="1254"/>
    </row>
    <row r="434">
      <c r="A434" s="1254"/>
      <c r="B434" s="1263"/>
      <c r="C434" s="1317"/>
      <c r="D434" s="1263"/>
      <c r="E434" s="1318"/>
      <c r="F434" s="1254"/>
      <c r="G434" s="1319"/>
      <c r="H434" s="1254"/>
      <c r="I434" s="1254"/>
      <c r="J434" s="1254"/>
      <c r="K434" s="1320"/>
      <c r="L434" s="1254"/>
      <c r="M434" s="1254"/>
      <c r="N434" s="1254"/>
      <c r="O434" s="1254"/>
      <c r="P434" s="1254"/>
      <c r="Q434" s="1254"/>
      <c r="R434" s="1254"/>
      <c r="S434" s="1254"/>
      <c r="T434" s="1254"/>
      <c r="U434" s="1254"/>
      <c r="V434" s="1254"/>
      <c r="W434" s="1254"/>
      <c r="X434" s="1254"/>
      <c r="Y434" s="1254"/>
      <c r="Z434" s="1254"/>
    </row>
    <row r="435">
      <c r="A435" s="1254"/>
      <c r="B435" s="1263"/>
      <c r="C435" s="1317"/>
      <c r="D435" s="1263"/>
      <c r="E435" s="1318"/>
      <c r="F435" s="1254"/>
      <c r="G435" s="1319"/>
      <c r="H435" s="1254"/>
      <c r="I435" s="1254"/>
      <c r="J435" s="1254"/>
      <c r="K435" s="1320"/>
      <c r="L435" s="1254"/>
      <c r="M435" s="1254"/>
      <c r="N435" s="1254"/>
      <c r="O435" s="1254"/>
      <c r="P435" s="1254"/>
      <c r="Q435" s="1254"/>
      <c r="R435" s="1254"/>
      <c r="S435" s="1254"/>
      <c r="T435" s="1254"/>
      <c r="U435" s="1254"/>
      <c r="V435" s="1254"/>
      <c r="W435" s="1254"/>
      <c r="X435" s="1254"/>
      <c r="Y435" s="1254"/>
      <c r="Z435" s="1254"/>
    </row>
    <row r="436">
      <c r="A436" s="1254"/>
      <c r="B436" s="1263"/>
      <c r="C436" s="1317"/>
      <c r="D436" s="1263"/>
      <c r="E436" s="1318"/>
      <c r="F436" s="1254"/>
      <c r="G436" s="1319"/>
      <c r="H436" s="1254"/>
      <c r="I436" s="1254"/>
      <c r="J436" s="1254"/>
      <c r="K436" s="1320"/>
      <c r="L436" s="1254"/>
      <c r="M436" s="1254"/>
      <c r="N436" s="1254"/>
      <c r="O436" s="1254"/>
      <c r="P436" s="1254"/>
      <c r="Q436" s="1254"/>
      <c r="R436" s="1254"/>
      <c r="S436" s="1254"/>
      <c r="T436" s="1254"/>
      <c r="U436" s="1254"/>
      <c r="V436" s="1254"/>
      <c r="W436" s="1254"/>
      <c r="X436" s="1254"/>
      <c r="Y436" s="1254"/>
      <c r="Z436" s="1254"/>
    </row>
    <row r="437">
      <c r="A437" s="1254"/>
      <c r="B437" s="1263"/>
      <c r="C437" s="1317"/>
      <c r="D437" s="1263"/>
      <c r="E437" s="1318"/>
      <c r="F437" s="1254"/>
      <c r="G437" s="1319"/>
      <c r="H437" s="1254"/>
      <c r="I437" s="1254"/>
      <c r="J437" s="1254"/>
      <c r="K437" s="1320"/>
      <c r="L437" s="1254"/>
      <c r="M437" s="1254"/>
      <c r="N437" s="1254"/>
      <c r="O437" s="1254"/>
      <c r="P437" s="1254"/>
      <c r="Q437" s="1254"/>
      <c r="R437" s="1254"/>
      <c r="S437" s="1254"/>
      <c r="T437" s="1254"/>
      <c r="U437" s="1254"/>
      <c r="V437" s="1254"/>
      <c r="W437" s="1254"/>
      <c r="X437" s="1254"/>
      <c r="Y437" s="1254"/>
      <c r="Z437" s="1254"/>
    </row>
    <row r="438">
      <c r="A438" s="1254"/>
      <c r="B438" s="1263"/>
      <c r="C438" s="1317"/>
      <c r="D438" s="1263"/>
      <c r="E438" s="1318"/>
      <c r="F438" s="1254"/>
      <c r="G438" s="1319"/>
      <c r="H438" s="1254"/>
      <c r="I438" s="1254"/>
      <c r="J438" s="1254"/>
      <c r="K438" s="1320"/>
      <c r="L438" s="1254"/>
      <c r="M438" s="1254"/>
      <c r="N438" s="1254"/>
      <c r="O438" s="1254"/>
      <c r="P438" s="1254"/>
      <c r="Q438" s="1254"/>
      <c r="R438" s="1254"/>
      <c r="S438" s="1254"/>
      <c r="T438" s="1254"/>
      <c r="U438" s="1254"/>
      <c r="V438" s="1254"/>
      <c r="W438" s="1254"/>
      <c r="X438" s="1254"/>
      <c r="Y438" s="1254"/>
      <c r="Z438" s="1254"/>
    </row>
    <row r="439">
      <c r="A439" s="1254"/>
      <c r="B439" s="1263"/>
      <c r="C439" s="1317"/>
      <c r="D439" s="1263"/>
      <c r="E439" s="1318"/>
      <c r="F439" s="1254"/>
      <c r="G439" s="1319"/>
      <c r="H439" s="1254"/>
      <c r="I439" s="1254"/>
      <c r="J439" s="1254"/>
      <c r="K439" s="1320"/>
      <c r="L439" s="1254"/>
      <c r="M439" s="1254"/>
      <c r="N439" s="1254"/>
      <c r="O439" s="1254"/>
      <c r="P439" s="1254"/>
      <c r="Q439" s="1254"/>
      <c r="R439" s="1254"/>
      <c r="S439" s="1254"/>
      <c r="T439" s="1254"/>
      <c r="U439" s="1254"/>
      <c r="V439" s="1254"/>
      <c r="W439" s="1254"/>
      <c r="X439" s="1254"/>
      <c r="Y439" s="1254"/>
      <c r="Z439" s="1254"/>
    </row>
    <row r="440">
      <c r="A440" s="1254"/>
      <c r="B440" s="1263"/>
      <c r="C440" s="1317"/>
      <c r="D440" s="1263"/>
      <c r="E440" s="1318"/>
      <c r="F440" s="1254"/>
      <c r="G440" s="1319"/>
      <c r="H440" s="1254"/>
      <c r="I440" s="1254"/>
      <c r="J440" s="1254"/>
      <c r="K440" s="1320"/>
      <c r="L440" s="1254"/>
      <c r="M440" s="1254"/>
      <c r="N440" s="1254"/>
      <c r="O440" s="1254"/>
      <c r="P440" s="1254"/>
      <c r="Q440" s="1254"/>
      <c r="R440" s="1254"/>
      <c r="S440" s="1254"/>
      <c r="T440" s="1254"/>
      <c r="U440" s="1254"/>
      <c r="V440" s="1254"/>
      <c r="W440" s="1254"/>
      <c r="X440" s="1254"/>
      <c r="Y440" s="1254"/>
      <c r="Z440" s="1254"/>
    </row>
    <row r="441">
      <c r="A441" s="1254"/>
      <c r="B441" s="1263"/>
      <c r="C441" s="1317"/>
      <c r="D441" s="1263"/>
      <c r="E441" s="1318"/>
      <c r="F441" s="1254"/>
      <c r="G441" s="1319"/>
      <c r="H441" s="1254"/>
      <c r="I441" s="1254"/>
      <c r="J441" s="1254"/>
      <c r="K441" s="1320"/>
      <c r="L441" s="1254"/>
      <c r="M441" s="1254"/>
      <c r="N441" s="1254"/>
      <c r="O441" s="1254"/>
      <c r="P441" s="1254"/>
      <c r="Q441" s="1254"/>
      <c r="R441" s="1254"/>
      <c r="S441" s="1254"/>
      <c r="T441" s="1254"/>
      <c r="U441" s="1254"/>
      <c r="V441" s="1254"/>
      <c r="W441" s="1254"/>
      <c r="X441" s="1254"/>
      <c r="Y441" s="1254"/>
      <c r="Z441" s="1254"/>
    </row>
    <row r="442">
      <c r="A442" s="1254"/>
      <c r="B442" s="1263"/>
      <c r="C442" s="1317"/>
      <c r="D442" s="1263"/>
      <c r="E442" s="1318"/>
      <c r="F442" s="1254"/>
      <c r="G442" s="1319"/>
      <c r="H442" s="1254"/>
      <c r="I442" s="1254"/>
      <c r="J442" s="1254"/>
      <c r="K442" s="1320"/>
      <c r="L442" s="1254"/>
      <c r="M442" s="1254"/>
      <c r="N442" s="1254"/>
      <c r="O442" s="1254"/>
      <c r="P442" s="1254"/>
      <c r="Q442" s="1254"/>
      <c r="R442" s="1254"/>
      <c r="S442" s="1254"/>
      <c r="T442" s="1254"/>
      <c r="U442" s="1254"/>
      <c r="V442" s="1254"/>
      <c r="W442" s="1254"/>
      <c r="X442" s="1254"/>
      <c r="Y442" s="1254"/>
      <c r="Z442" s="1254"/>
    </row>
    <row r="443">
      <c r="A443" s="1254"/>
      <c r="B443" s="1263"/>
      <c r="C443" s="1317"/>
      <c r="D443" s="1263"/>
      <c r="E443" s="1318"/>
      <c r="F443" s="1254"/>
      <c r="G443" s="1319"/>
      <c r="H443" s="1254"/>
      <c r="I443" s="1254"/>
      <c r="J443" s="1254"/>
      <c r="K443" s="1320"/>
      <c r="L443" s="1254"/>
      <c r="M443" s="1254"/>
      <c r="N443" s="1254"/>
      <c r="O443" s="1254"/>
      <c r="P443" s="1254"/>
      <c r="Q443" s="1254"/>
      <c r="R443" s="1254"/>
      <c r="S443" s="1254"/>
      <c r="T443" s="1254"/>
      <c r="U443" s="1254"/>
      <c r="V443" s="1254"/>
      <c r="W443" s="1254"/>
      <c r="X443" s="1254"/>
      <c r="Y443" s="1254"/>
      <c r="Z443" s="1254"/>
    </row>
    <row r="444">
      <c r="A444" s="1254"/>
      <c r="B444" s="1263"/>
      <c r="C444" s="1317"/>
      <c r="D444" s="1263"/>
      <c r="E444" s="1318"/>
      <c r="F444" s="1254"/>
      <c r="G444" s="1319"/>
      <c r="H444" s="1254"/>
      <c r="I444" s="1254"/>
      <c r="J444" s="1254"/>
      <c r="K444" s="1320"/>
      <c r="L444" s="1254"/>
      <c r="M444" s="1254"/>
      <c r="N444" s="1254"/>
      <c r="O444" s="1254"/>
      <c r="P444" s="1254"/>
      <c r="Q444" s="1254"/>
      <c r="R444" s="1254"/>
      <c r="S444" s="1254"/>
      <c r="T444" s="1254"/>
      <c r="U444" s="1254"/>
      <c r="V444" s="1254"/>
      <c r="W444" s="1254"/>
      <c r="X444" s="1254"/>
      <c r="Y444" s="1254"/>
      <c r="Z444" s="1254"/>
    </row>
    <row r="445">
      <c r="A445" s="1254"/>
      <c r="B445" s="1263"/>
      <c r="C445" s="1317"/>
      <c r="D445" s="1263"/>
      <c r="E445" s="1318"/>
      <c r="F445" s="1254"/>
      <c r="G445" s="1319"/>
      <c r="H445" s="1254"/>
      <c r="I445" s="1254"/>
      <c r="J445" s="1254"/>
      <c r="K445" s="1320"/>
      <c r="L445" s="1254"/>
      <c r="M445" s="1254"/>
      <c r="N445" s="1254"/>
      <c r="O445" s="1254"/>
      <c r="P445" s="1254"/>
      <c r="Q445" s="1254"/>
      <c r="R445" s="1254"/>
      <c r="S445" s="1254"/>
      <c r="T445" s="1254"/>
      <c r="U445" s="1254"/>
      <c r="V445" s="1254"/>
      <c r="W445" s="1254"/>
      <c r="X445" s="1254"/>
      <c r="Y445" s="1254"/>
      <c r="Z445" s="1254"/>
    </row>
    <row r="446">
      <c r="A446" s="1254"/>
      <c r="B446" s="1263"/>
      <c r="C446" s="1317"/>
      <c r="D446" s="1263"/>
      <c r="E446" s="1318"/>
      <c r="F446" s="1254"/>
      <c r="G446" s="1319"/>
      <c r="H446" s="1254"/>
      <c r="I446" s="1254"/>
      <c r="J446" s="1254"/>
      <c r="K446" s="1320"/>
      <c r="L446" s="1254"/>
      <c r="M446" s="1254"/>
      <c r="N446" s="1254"/>
      <c r="O446" s="1254"/>
      <c r="P446" s="1254"/>
      <c r="Q446" s="1254"/>
      <c r="R446" s="1254"/>
      <c r="S446" s="1254"/>
      <c r="T446" s="1254"/>
      <c r="U446" s="1254"/>
      <c r="V446" s="1254"/>
      <c r="W446" s="1254"/>
      <c r="X446" s="1254"/>
      <c r="Y446" s="1254"/>
      <c r="Z446" s="1254"/>
    </row>
    <row r="447">
      <c r="A447" s="1254"/>
      <c r="B447" s="1263"/>
      <c r="C447" s="1317"/>
      <c r="D447" s="1263"/>
      <c r="E447" s="1318"/>
      <c r="F447" s="1254"/>
      <c r="G447" s="1319"/>
      <c r="H447" s="1254"/>
      <c r="I447" s="1254"/>
      <c r="J447" s="1254"/>
      <c r="K447" s="1320"/>
      <c r="L447" s="1254"/>
      <c r="M447" s="1254"/>
      <c r="N447" s="1254"/>
      <c r="O447" s="1254"/>
      <c r="P447" s="1254"/>
      <c r="Q447" s="1254"/>
      <c r="R447" s="1254"/>
      <c r="S447" s="1254"/>
      <c r="T447" s="1254"/>
      <c r="U447" s="1254"/>
      <c r="V447" s="1254"/>
      <c r="W447" s="1254"/>
      <c r="X447" s="1254"/>
      <c r="Y447" s="1254"/>
      <c r="Z447" s="1254"/>
    </row>
    <row r="448">
      <c r="A448" s="1254"/>
      <c r="B448" s="1263"/>
      <c r="C448" s="1317"/>
      <c r="D448" s="1263"/>
      <c r="E448" s="1318"/>
      <c r="F448" s="1254"/>
      <c r="G448" s="1319"/>
      <c r="H448" s="1254"/>
      <c r="I448" s="1254"/>
      <c r="J448" s="1254"/>
      <c r="K448" s="1320"/>
      <c r="L448" s="1254"/>
      <c r="M448" s="1254"/>
      <c r="N448" s="1254"/>
      <c r="O448" s="1254"/>
      <c r="P448" s="1254"/>
      <c r="Q448" s="1254"/>
      <c r="R448" s="1254"/>
      <c r="S448" s="1254"/>
      <c r="T448" s="1254"/>
      <c r="U448" s="1254"/>
      <c r="V448" s="1254"/>
      <c r="W448" s="1254"/>
      <c r="X448" s="1254"/>
      <c r="Y448" s="1254"/>
      <c r="Z448" s="1254"/>
    </row>
    <row r="449">
      <c r="A449" s="1254"/>
      <c r="B449" s="1263"/>
      <c r="C449" s="1317"/>
      <c r="D449" s="1263"/>
      <c r="E449" s="1318"/>
      <c r="F449" s="1254"/>
      <c r="G449" s="1319"/>
      <c r="H449" s="1254"/>
      <c r="I449" s="1254"/>
      <c r="J449" s="1254"/>
      <c r="K449" s="1320"/>
      <c r="L449" s="1254"/>
      <c r="M449" s="1254"/>
      <c r="N449" s="1254"/>
      <c r="O449" s="1254"/>
      <c r="P449" s="1254"/>
      <c r="Q449" s="1254"/>
      <c r="R449" s="1254"/>
      <c r="S449" s="1254"/>
      <c r="T449" s="1254"/>
      <c r="U449" s="1254"/>
      <c r="V449" s="1254"/>
      <c r="W449" s="1254"/>
      <c r="X449" s="1254"/>
      <c r="Y449" s="1254"/>
      <c r="Z449" s="1254"/>
    </row>
    <row r="450">
      <c r="A450" s="1254"/>
      <c r="B450" s="1263"/>
      <c r="C450" s="1317"/>
      <c r="D450" s="1263"/>
      <c r="E450" s="1318"/>
      <c r="F450" s="1254"/>
      <c r="G450" s="1319"/>
      <c r="H450" s="1254"/>
      <c r="I450" s="1254"/>
      <c r="J450" s="1254"/>
      <c r="K450" s="1320"/>
      <c r="L450" s="1254"/>
      <c r="M450" s="1254"/>
      <c r="N450" s="1254"/>
      <c r="O450" s="1254"/>
      <c r="P450" s="1254"/>
      <c r="Q450" s="1254"/>
      <c r="R450" s="1254"/>
      <c r="S450" s="1254"/>
      <c r="T450" s="1254"/>
      <c r="U450" s="1254"/>
      <c r="V450" s="1254"/>
      <c r="W450" s="1254"/>
      <c r="X450" s="1254"/>
      <c r="Y450" s="1254"/>
      <c r="Z450" s="1254"/>
    </row>
    <row r="451">
      <c r="A451" s="1254"/>
      <c r="B451" s="1263"/>
      <c r="C451" s="1317"/>
      <c r="D451" s="1263"/>
      <c r="E451" s="1318"/>
      <c r="F451" s="1254"/>
      <c r="G451" s="1319"/>
      <c r="H451" s="1254"/>
      <c r="I451" s="1254"/>
      <c r="J451" s="1254"/>
      <c r="K451" s="1320"/>
      <c r="L451" s="1254"/>
      <c r="M451" s="1254"/>
      <c r="N451" s="1254"/>
      <c r="O451" s="1254"/>
      <c r="P451" s="1254"/>
      <c r="Q451" s="1254"/>
      <c r="R451" s="1254"/>
      <c r="S451" s="1254"/>
      <c r="T451" s="1254"/>
      <c r="U451" s="1254"/>
      <c r="V451" s="1254"/>
      <c r="W451" s="1254"/>
      <c r="X451" s="1254"/>
      <c r="Y451" s="1254"/>
      <c r="Z451" s="1254"/>
    </row>
    <row r="452">
      <c r="A452" s="1254"/>
      <c r="B452" s="1263"/>
      <c r="C452" s="1317"/>
      <c r="D452" s="1263"/>
      <c r="E452" s="1318"/>
      <c r="F452" s="1254"/>
      <c r="G452" s="1319"/>
      <c r="H452" s="1254"/>
      <c r="I452" s="1254"/>
      <c r="J452" s="1254"/>
      <c r="K452" s="1320"/>
      <c r="L452" s="1254"/>
      <c r="M452" s="1254"/>
      <c r="N452" s="1254"/>
      <c r="O452" s="1254"/>
      <c r="P452" s="1254"/>
      <c r="Q452" s="1254"/>
      <c r="R452" s="1254"/>
      <c r="S452" s="1254"/>
      <c r="T452" s="1254"/>
      <c r="U452" s="1254"/>
      <c r="V452" s="1254"/>
      <c r="W452" s="1254"/>
      <c r="X452" s="1254"/>
      <c r="Y452" s="1254"/>
      <c r="Z452" s="1254"/>
    </row>
    <row r="453">
      <c r="A453" s="1254"/>
      <c r="B453" s="1263"/>
      <c r="C453" s="1317"/>
      <c r="D453" s="1263"/>
      <c r="E453" s="1318"/>
      <c r="F453" s="1254"/>
      <c r="G453" s="1319"/>
      <c r="H453" s="1254"/>
      <c r="I453" s="1254"/>
      <c r="J453" s="1254"/>
      <c r="K453" s="1320"/>
      <c r="L453" s="1254"/>
      <c r="M453" s="1254"/>
      <c r="N453" s="1254"/>
      <c r="O453" s="1254"/>
      <c r="P453" s="1254"/>
      <c r="Q453" s="1254"/>
      <c r="R453" s="1254"/>
      <c r="S453" s="1254"/>
      <c r="T453" s="1254"/>
      <c r="U453" s="1254"/>
      <c r="V453" s="1254"/>
      <c r="W453" s="1254"/>
      <c r="X453" s="1254"/>
      <c r="Y453" s="1254"/>
      <c r="Z453" s="1254"/>
    </row>
    <row r="454">
      <c r="A454" s="1254"/>
      <c r="B454" s="1263"/>
      <c r="C454" s="1317"/>
      <c r="D454" s="1263"/>
      <c r="E454" s="1318"/>
      <c r="F454" s="1254"/>
      <c r="G454" s="1319"/>
      <c r="H454" s="1254"/>
      <c r="I454" s="1254"/>
      <c r="J454" s="1254"/>
      <c r="K454" s="1320"/>
      <c r="L454" s="1254"/>
      <c r="M454" s="1254"/>
      <c r="N454" s="1254"/>
      <c r="O454" s="1254"/>
      <c r="P454" s="1254"/>
      <c r="Q454" s="1254"/>
      <c r="R454" s="1254"/>
      <c r="S454" s="1254"/>
      <c r="T454" s="1254"/>
      <c r="U454" s="1254"/>
      <c r="V454" s="1254"/>
      <c r="W454" s="1254"/>
      <c r="X454" s="1254"/>
      <c r="Y454" s="1254"/>
      <c r="Z454" s="1254"/>
    </row>
    <row r="455">
      <c r="A455" s="1254"/>
      <c r="B455" s="1263"/>
      <c r="C455" s="1317"/>
      <c r="D455" s="1263"/>
      <c r="E455" s="1318"/>
      <c r="F455" s="1254"/>
      <c r="G455" s="1319"/>
      <c r="H455" s="1254"/>
      <c r="I455" s="1254"/>
      <c r="J455" s="1254"/>
      <c r="K455" s="1320"/>
      <c r="L455" s="1254"/>
      <c r="M455" s="1254"/>
      <c r="N455" s="1254"/>
      <c r="O455" s="1254"/>
      <c r="P455" s="1254"/>
      <c r="Q455" s="1254"/>
      <c r="R455" s="1254"/>
      <c r="S455" s="1254"/>
      <c r="T455" s="1254"/>
      <c r="U455" s="1254"/>
      <c r="V455" s="1254"/>
      <c r="W455" s="1254"/>
      <c r="X455" s="1254"/>
      <c r="Y455" s="1254"/>
      <c r="Z455" s="1254"/>
    </row>
    <row r="456">
      <c r="A456" s="1254"/>
      <c r="B456" s="1263"/>
      <c r="C456" s="1317"/>
      <c r="D456" s="1263"/>
      <c r="E456" s="1318"/>
      <c r="F456" s="1254"/>
      <c r="G456" s="1319"/>
      <c r="H456" s="1254"/>
      <c r="I456" s="1254"/>
      <c r="J456" s="1254"/>
      <c r="K456" s="1320"/>
      <c r="L456" s="1254"/>
      <c r="M456" s="1254"/>
      <c r="N456" s="1254"/>
      <c r="O456" s="1254"/>
      <c r="P456" s="1254"/>
      <c r="Q456" s="1254"/>
      <c r="R456" s="1254"/>
      <c r="S456" s="1254"/>
      <c r="T456" s="1254"/>
      <c r="U456" s="1254"/>
      <c r="V456" s="1254"/>
      <c r="W456" s="1254"/>
      <c r="X456" s="1254"/>
      <c r="Y456" s="1254"/>
      <c r="Z456" s="1254"/>
    </row>
    <row r="457">
      <c r="A457" s="1254"/>
      <c r="B457" s="1263"/>
      <c r="C457" s="1317"/>
      <c r="D457" s="1263"/>
      <c r="E457" s="1318"/>
      <c r="F457" s="1254"/>
      <c r="G457" s="1319"/>
      <c r="H457" s="1254"/>
      <c r="I457" s="1254"/>
      <c r="J457" s="1254"/>
      <c r="K457" s="1320"/>
      <c r="L457" s="1254"/>
      <c r="M457" s="1254"/>
      <c r="N457" s="1254"/>
      <c r="O457" s="1254"/>
      <c r="P457" s="1254"/>
      <c r="Q457" s="1254"/>
      <c r="R457" s="1254"/>
      <c r="S457" s="1254"/>
      <c r="T457" s="1254"/>
      <c r="U457" s="1254"/>
      <c r="V457" s="1254"/>
      <c r="W457" s="1254"/>
      <c r="X457" s="1254"/>
      <c r="Y457" s="1254"/>
      <c r="Z457" s="1254"/>
    </row>
    <row r="458">
      <c r="A458" s="1254"/>
      <c r="B458" s="1263"/>
      <c r="C458" s="1317"/>
      <c r="D458" s="1263"/>
      <c r="E458" s="1318"/>
      <c r="F458" s="1254"/>
      <c r="G458" s="1319"/>
      <c r="H458" s="1254"/>
      <c r="I458" s="1254"/>
      <c r="J458" s="1254"/>
      <c r="K458" s="1320"/>
      <c r="L458" s="1254"/>
      <c r="M458" s="1254"/>
      <c r="N458" s="1254"/>
      <c r="O458" s="1254"/>
      <c r="P458" s="1254"/>
      <c r="Q458" s="1254"/>
      <c r="R458" s="1254"/>
      <c r="S458" s="1254"/>
      <c r="T458" s="1254"/>
      <c r="U458" s="1254"/>
      <c r="V458" s="1254"/>
      <c r="W458" s="1254"/>
      <c r="X458" s="1254"/>
      <c r="Y458" s="1254"/>
      <c r="Z458" s="1254"/>
    </row>
    <row r="459">
      <c r="A459" s="1254"/>
      <c r="B459" s="1263"/>
      <c r="C459" s="1317"/>
      <c r="D459" s="1263"/>
      <c r="E459" s="1318"/>
      <c r="F459" s="1254"/>
      <c r="G459" s="1319"/>
      <c r="H459" s="1254"/>
      <c r="I459" s="1254"/>
      <c r="J459" s="1254"/>
      <c r="K459" s="1320"/>
      <c r="L459" s="1254"/>
      <c r="M459" s="1254"/>
      <c r="N459" s="1254"/>
      <c r="O459" s="1254"/>
      <c r="P459" s="1254"/>
      <c r="Q459" s="1254"/>
      <c r="R459" s="1254"/>
      <c r="S459" s="1254"/>
      <c r="T459" s="1254"/>
      <c r="U459" s="1254"/>
      <c r="V459" s="1254"/>
      <c r="W459" s="1254"/>
      <c r="X459" s="1254"/>
      <c r="Y459" s="1254"/>
      <c r="Z459" s="1254"/>
    </row>
    <row r="460">
      <c r="A460" s="1254"/>
      <c r="B460" s="1263"/>
      <c r="C460" s="1317"/>
      <c r="D460" s="1263"/>
      <c r="E460" s="1318"/>
      <c r="F460" s="1254"/>
      <c r="G460" s="1319"/>
      <c r="H460" s="1254"/>
      <c r="I460" s="1254"/>
      <c r="J460" s="1254"/>
      <c r="K460" s="1320"/>
      <c r="L460" s="1254"/>
      <c r="M460" s="1254"/>
      <c r="N460" s="1254"/>
      <c r="O460" s="1254"/>
      <c r="P460" s="1254"/>
      <c r="Q460" s="1254"/>
      <c r="R460" s="1254"/>
      <c r="S460" s="1254"/>
      <c r="T460" s="1254"/>
      <c r="U460" s="1254"/>
      <c r="V460" s="1254"/>
      <c r="W460" s="1254"/>
      <c r="X460" s="1254"/>
      <c r="Y460" s="1254"/>
      <c r="Z460" s="1254"/>
    </row>
    <row r="461">
      <c r="A461" s="1254"/>
      <c r="B461" s="1263"/>
      <c r="C461" s="1317"/>
      <c r="D461" s="1263"/>
      <c r="E461" s="1318"/>
      <c r="F461" s="1254"/>
      <c r="G461" s="1319"/>
      <c r="H461" s="1254"/>
      <c r="I461" s="1254"/>
      <c r="J461" s="1254"/>
      <c r="K461" s="1320"/>
      <c r="L461" s="1254"/>
      <c r="M461" s="1254"/>
      <c r="N461" s="1254"/>
      <c r="O461" s="1254"/>
      <c r="P461" s="1254"/>
      <c r="Q461" s="1254"/>
      <c r="R461" s="1254"/>
      <c r="S461" s="1254"/>
      <c r="T461" s="1254"/>
      <c r="U461" s="1254"/>
      <c r="V461" s="1254"/>
      <c r="W461" s="1254"/>
      <c r="X461" s="1254"/>
      <c r="Y461" s="1254"/>
      <c r="Z461" s="1254"/>
    </row>
    <row r="462">
      <c r="A462" s="1254"/>
      <c r="B462" s="1263"/>
      <c r="C462" s="1317"/>
      <c r="D462" s="1263"/>
      <c r="E462" s="1318"/>
      <c r="F462" s="1254"/>
      <c r="G462" s="1319"/>
      <c r="H462" s="1254"/>
      <c r="I462" s="1254"/>
      <c r="J462" s="1254"/>
      <c r="K462" s="1320"/>
      <c r="L462" s="1254"/>
      <c r="M462" s="1254"/>
      <c r="N462" s="1254"/>
      <c r="O462" s="1254"/>
      <c r="P462" s="1254"/>
      <c r="Q462" s="1254"/>
      <c r="R462" s="1254"/>
      <c r="S462" s="1254"/>
      <c r="T462" s="1254"/>
      <c r="U462" s="1254"/>
      <c r="V462" s="1254"/>
      <c r="W462" s="1254"/>
      <c r="X462" s="1254"/>
      <c r="Y462" s="1254"/>
      <c r="Z462" s="1254"/>
    </row>
    <row r="463">
      <c r="A463" s="1254"/>
      <c r="B463" s="1263"/>
      <c r="C463" s="1317"/>
      <c r="D463" s="1263"/>
      <c r="E463" s="1318"/>
      <c r="F463" s="1254"/>
      <c r="G463" s="1319"/>
      <c r="H463" s="1254"/>
      <c r="I463" s="1254"/>
      <c r="J463" s="1254"/>
      <c r="K463" s="1320"/>
      <c r="L463" s="1254"/>
      <c r="M463" s="1254"/>
      <c r="N463" s="1254"/>
      <c r="O463" s="1254"/>
      <c r="P463" s="1254"/>
      <c r="Q463" s="1254"/>
      <c r="R463" s="1254"/>
      <c r="S463" s="1254"/>
      <c r="T463" s="1254"/>
      <c r="U463" s="1254"/>
      <c r="V463" s="1254"/>
      <c r="W463" s="1254"/>
      <c r="X463" s="1254"/>
      <c r="Y463" s="1254"/>
      <c r="Z463" s="1254"/>
    </row>
    <row r="464">
      <c r="A464" s="1254"/>
      <c r="B464" s="1263"/>
      <c r="C464" s="1317"/>
      <c r="D464" s="1263"/>
      <c r="E464" s="1318"/>
      <c r="F464" s="1254"/>
      <c r="G464" s="1319"/>
      <c r="H464" s="1254"/>
      <c r="I464" s="1254"/>
      <c r="J464" s="1254"/>
      <c r="K464" s="1320"/>
      <c r="L464" s="1254"/>
      <c r="M464" s="1254"/>
      <c r="N464" s="1254"/>
      <c r="O464" s="1254"/>
      <c r="P464" s="1254"/>
      <c r="Q464" s="1254"/>
      <c r="R464" s="1254"/>
      <c r="S464" s="1254"/>
      <c r="T464" s="1254"/>
      <c r="U464" s="1254"/>
      <c r="V464" s="1254"/>
      <c r="W464" s="1254"/>
      <c r="X464" s="1254"/>
      <c r="Y464" s="1254"/>
      <c r="Z464" s="1254"/>
    </row>
    <row r="465">
      <c r="A465" s="1254"/>
      <c r="B465" s="1263"/>
      <c r="C465" s="1317"/>
      <c r="D465" s="1263"/>
      <c r="E465" s="1318"/>
      <c r="F465" s="1254"/>
      <c r="G465" s="1319"/>
      <c r="H465" s="1254"/>
      <c r="I465" s="1254"/>
      <c r="J465" s="1254"/>
      <c r="K465" s="1320"/>
      <c r="L465" s="1254"/>
      <c r="M465" s="1254"/>
      <c r="N465" s="1254"/>
      <c r="O465" s="1254"/>
      <c r="P465" s="1254"/>
      <c r="Q465" s="1254"/>
      <c r="R465" s="1254"/>
      <c r="S465" s="1254"/>
      <c r="T465" s="1254"/>
      <c r="U465" s="1254"/>
      <c r="V465" s="1254"/>
      <c r="W465" s="1254"/>
      <c r="X465" s="1254"/>
      <c r="Y465" s="1254"/>
      <c r="Z465" s="1254"/>
    </row>
    <row r="466">
      <c r="A466" s="1254"/>
      <c r="B466" s="1263"/>
      <c r="C466" s="1317"/>
      <c r="D466" s="1263"/>
      <c r="E466" s="1318"/>
      <c r="F466" s="1254"/>
      <c r="G466" s="1319"/>
      <c r="H466" s="1254"/>
      <c r="I466" s="1254"/>
      <c r="J466" s="1254"/>
      <c r="K466" s="1320"/>
      <c r="L466" s="1254"/>
      <c r="M466" s="1254"/>
      <c r="N466" s="1254"/>
      <c r="O466" s="1254"/>
      <c r="P466" s="1254"/>
      <c r="Q466" s="1254"/>
      <c r="R466" s="1254"/>
      <c r="S466" s="1254"/>
      <c r="T466" s="1254"/>
      <c r="U466" s="1254"/>
      <c r="V466" s="1254"/>
      <c r="W466" s="1254"/>
      <c r="X466" s="1254"/>
      <c r="Y466" s="1254"/>
      <c r="Z466" s="1254"/>
    </row>
    <row r="467">
      <c r="A467" s="1254"/>
      <c r="B467" s="1263"/>
      <c r="C467" s="1317"/>
      <c r="D467" s="1263"/>
      <c r="E467" s="1318"/>
      <c r="F467" s="1254"/>
      <c r="G467" s="1319"/>
      <c r="H467" s="1254"/>
      <c r="I467" s="1254"/>
      <c r="J467" s="1254"/>
      <c r="K467" s="1320"/>
      <c r="L467" s="1254"/>
      <c r="M467" s="1254"/>
      <c r="N467" s="1254"/>
      <c r="O467" s="1254"/>
      <c r="P467" s="1254"/>
      <c r="Q467" s="1254"/>
      <c r="R467" s="1254"/>
      <c r="S467" s="1254"/>
      <c r="T467" s="1254"/>
      <c r="U467" s="1254"/>
      <c r="V467" s="1254"/>
      <c r="W467" s="1254"/>
      <c r="X467" s="1254"/>
      <c r="Y467" s="1254"/>
      <c r="Z467" s="1254"/>
    </row>
    <row r="468">
      <c r="A468" s="1254"/>
      <c r="B468" s="1263"/>
      <c r="C468" s="1317"/>
      <c r="D468" s="1263"/>
      <c r="E468" s="1318"/>
      <c r="F468" s="1254"/>
      <c r="G468" s="1319"/>
      <c r="H468" s="1254"/>
      <c r="I468" s="1254"/>
      <c r="J468" s="1254"/>
      <c r="K468" s="1320"/>
      <c r="L468" s="1254"/>
      <c r="M468" s="1254"/>
      <c r="N468" s="1254"/>
      <c r="O468" s="1254"/>
      <c r="P468" s="1254"/>
      <c r="Q468" s="1254"/>
      <c r="R468" s="1254"/>
      <c r="S468" s="1254"/>
      <c r="T468" s="1254"/>
      <c r="U468" s="1254"/>
      <c r="V468" s="1254"/>
      <c r="W468" s="1254"/>
      <c r="X468" s="1254"/>
      <c r="Y468" s="1254"/>
      <c r="Z468" s="1254"/>
    </row>
    <row r="469">
      <c r="A469" s="1254"/>
      <c r="B469" s="1263"/>
      <c r="C469" s="1317"/>
      <c r="D469" s="1263"/>
      <c r="E469" s="1318"/>
      <c r="F469" s="1254"/>
      <c r="G469" s="1319"/>
      <c r="H469" s="1254"/>
      <c r="I469" s="1254"/>
      <c r="J469" s="1254"/>
      <c r="K469" s="1320"/>
      <c r="L469" s="1254"/>
      <c r="M469" s="1254"/>
      <c r="N469" s="1254"/>
      <c r="O469" s="1254"/>
      <c r="P469" s="1254"/>
      <c r="Q469" s="1254"/>
      <c r="R469" s="1254"/>
      <c r="S469" s="1254"/>
      <c r="T469" s="1254"/>
      <c r="U469" s="1254"/>
      <c r="V469" s="1254"/>
      <c r="W469" s="1254"/>
      <c r="X469" s="1254"/>
      <c r="Y469" s="1254"/>
      <c r="Z469" s="1254"/>
    </row>
    <row r="470">
      <c r="A470" s="1254"/>
      <c r="B470" s="1263"/>
      <c r="C470" s="1317"/>
      <c r="D470" s="1263"/>
      <c r="E470" s="1318"/>
      <c r="F470" s="1254"/>
      <c r="G470" s="1319"/>
      <c r="H470" s="1254"/>
      <c r="I470" s="1254"/>
      <c r="J470" s="1254"/>
      <c r="K470" s="1320"/>
      <c r="L470" s="1254"/>
      <c r="M470" s="1254"/>
      <c r="N470" s="1254"/>
      <c r="O470" s="1254"/>
      <c r="P470" s="1254"/>
      <c r="Q470" s="1254"/>
      <c r="R470" s="1254"/>
      <c r="S470" s="1254"/>
      <c r="T470" s="1254"/>
      <c r="U470" s="1254"/>
      <c r="V470" s="1254"/>
      <c r="W470" s="1254"/>
      <c r="X470" s="1254"/>
      <c r="Y470" s="1254"/>
      <c r="Z470" s="1254"/>
    </row>
    <row r="471">
      <c r="A471" s="1254"/>
      <c r="B471" s="1263"/>
      <c r="C471" s="1317"/>
      <c r="D471" s="1263"/>
      <c r="E471" s="1318"/>
      <c r="F471" s="1254"/>
      <c r="G471" s="1319"/>
      <c r="H471" s="1254"/>
      <c r="I471" s="1254"/>
      <c r="J471" s="1254"/>
      <c r="K471" s="1320"/>
      <c r="L471" s="1254"/>
      <c r="M471" s="1254"/>
      <c r="N471" s="1254"/>
      <c r="O471" s="1254"/>
      <c r="P471" s="1254"/>
      <c r="Q471" s="1254"/>
      <c r="R471" s="1254"/>
      <c r="S471" s="1254"/>
      <c r="T471" s="1254"/>
      <c r="U471" s="1254"/>
      <c r="V471" s="1254"/>
      <c r="W471" s="1254"/>
      <c r="X471" s="1254"/>
      <c r="Y471" s="1254"/>
      <c r="Z471" s="1254"/>
    </row>
    <row r="472">
      <c r="A472" s="1254"/>
      <c r="B472" s="1263"/>
      <c r="C472" s="1317"/>
      <c r="D472" s="1263"/>
      <c r="E472" s="1318"/>
      <c r="F472" s="1254"/>
      <c r="G472" s="1319"/>
      <c r="H472" s="1254"/>
      <c r="I472" s="1254"/>
      <c r="J472" s="1254"/>
      <c r="K472" s="1320"/>
      <c r="L472" s="1254"/>
      <c r="M472" s="1254"/>
      <c r="N472" s="1254"/>
      <c r="O472" s="1254"/>
      <c r="P472" s="1254"/>
      <c r="Q472" s="1254"/>
      <c r="R472" s="1254"/>
      <c r="S472" s="1254"/>
      <c r="T472" s="1254"/>
      <c r="U472" s="1254"/>
      <c r="V472" s="1254"/>
      <c r="W472" s="1254"/>
      <c r="X472" s="1254"/>
      <c r="Y472" s="1254"/>
      <c r="Z472" s="1254"/>
    </row>
    <row r="473">
      <c r="A473" s="1254"/>
      <c r="B473" s="1263"/>
      <c r="C473" s="1317"/>
      <c r="D473" s="1263"/>
      <c r="E473" s="1318"/>
      <c r="F473" s="1254"/>
      <c r="G473" s="1319"/>
      <c r="H473" s="1254"/>
      <c r="I473" s="1254"/>
      <c r="J473" s="1254"/>
      <c r="K473" s="1320"/>
      <c r="L473" s="1254"/>
      <c r="M473" s="1254"/>
      <c r="N473" s="1254"/>
      <c r="O473" s="1254"/>
      <c r="P473" s="1254"/>
      <c r="Q473" s="1254"/>
      <c r="R473" s="1254"/>
      <c r="S473" s="1254"/>
      <c r="T473" s="1254"/>
      <c r="U473" s="1254"/>
      <c r="V473" s="1254"/>
      <c r="W473" s="1254"/>
      <c r="X473" s="1254"/>
      <c r="Y473" s="1254"/>
      <c r="Z473" s="1254"/>
    </row>
    <row r="474">
      <c r="A474" s="1254"/>
      <c r="B474" s="1263"/>
      <c r="C474" s="1317"/>
      <c r="D474" s="1263"/>
      <c r="E474" s="1318"/>
      <c r="F474" s="1254"/>
      <c r="G474" s="1319"/>
      <c r="H474" s="1254"/>
      <c r="I474" s="1254"/>
      <c r="J474" s="1254"/>
      <c r="K474" s="1320"/>
      <c r="L474" s="1254"/>
      <c r="M474" s="1254"/>
      <c r="N474" s="1254"/>
      <c r="O474" s="1254"/>
      <c r="P474" s="1254"/>
      <c r="Q474" s="1254"/>
      <c r="R474" s="1254"/>
      <c r="S474" s="1254"/>
      <c r="T474" s="1254"/>
      <c r="U474" s="1254"/>
      <c r="V474" s="1254"/>
      <c r="W474" s="1254"/>
      <c r="X474" s="1254"/>
      <c r="Y474" s="1254"/>
      <c r="Z474" s="1254"/>
    </row>
    <row r="475">
      <c r="A475" s="1254"/>
      <c r="B475" s="1263"/>
      <c r="C475" s="1317"/>
      <c r="D475" s="1263"/>
      <c r="E475" s="1318"/>
      <c r="F475" s="1254"/>
      <c r="G475" s="1319"/>
      <c r="H475" s="1254"/>
      <c r="I475" s="1254"/>
      <c r="J475" s="1254"/>
      <c r="K475" s="1320"/>
      <c r="L475" s="1254"/>
      <c r="M475" s="1254"/>
      <c r="N475" s="1254"/>
      <c r="O475" s="1254"/>
      <c r="P475" s="1254"/>
      <c r="Q475" s="1254"/>
      <c r="R475" s="1254"/>
      <c r="S475" s="1254"/>
      <c r="T475" s="1254"/>
      <c r="U475" s="1254"/>
      <c r="V475" s="1254"/>
      <c r="W475" s="1254"/>
      <c r="X475" s="1254"/>
      <c r="Y475" s="1254"/>
      <c r="Z475" s="1254"/>
    </row>
    <row r="476">
      <c r="A476" s="1254"/>
      <c r="B476" s="1263"/>
      <c r="C476" s="1317"/>
      <c r="D476" s="1263"/>
      <c r="E476" s="1318"/>
      <c r="F476" s="1254"/>
      <c r="G476" s="1319"/>
      <c r="H476" s="1254"/>
      <c r="I476" s="1254"/>
      <c r="J476" s="1254"/>
      <c r="K476" s="1320"/>
      <c r="L476" s="1254"/>
      <c r="M476" s="1254"/>
      <c r="N476" s="1254"/>
      <c r="O476" s="1254"/>
      <c r="P476" s="1254"/>
      <c r="Q476" s="1254"/>
      <c r="R476" s="1254"/>
      <c r="S476" s="1254"/>
      <c r="T476" s="1254"/>
      <c r="U476" s="1254"/>
      <c r="V476" s="1254"/>
      <c r="W476" s="1254"/>
      <c r="X476" s="1254"/>
      <c r="Y476" s="1254"/>
      <c r="Z476" s="1254"/>
    </row>
    <row r="477">
      <c r="A477" s="1254"/>
      <c r="B477" s="1263"/>
      <c r="C477" s="1317"/>
      <c r="D477" s="1263"/>
      <c r="E477" s="1318"/>
      <c r="F477" s="1254"/>
      <c r="G477" s="1319"/>
      <c r="H477" s="1254"/>
      <c r="I477" s="1254"/>
      <c r="J477" s="1254"/>
      <c r="K477" s="1320"/>
      <c r="L477" s="1254"/>
      <c r="M477" s="1254"/>
      <c r="N477" s="1254"/>
      <c r="O477" s="1254"/>
      <c r="P477" s="1254"/>
      <c r="Q477" s="1254"/>
      <c r="R477" s="1254"/>
      <c r="S477" s="1254"/>
      <c r="T477" s="1254"/>
      <c r="U477" s="1254"/>
      <c r="V477" s="1254"/>
      <c r="W477" s="1254"/>
      <c r="X477" s="1254"/>
      <c r="Y477" s="1254"/>
      <c r="Z477" s="1254"/>
    </row>
    <row r="478">
      <c r="A478" s="1254"/>
      <c r="B478" s="1263"/>
      <c r="C478" s="1317"/>
      <c r="D478" s="1263"/>
      <c r="E478" s="1318"/>
      <c r="F478" s="1254"/>
      <c r="G478" s="1319"/>
      <c r="H478" s="1254"/>
      <c r="I478" s="1254"/>
      <c r="J478" s="1254"/>
      <c r="K478" s="1320"/>
      <c r="L478" s="1254"/>
      <c r="M478" s="1254"/>
      <c r="N478" s="1254"/>
      <c r="O478" s="1254"/>
      <c r="P478" s="1254"/>
      <c r="Q478" s="1254"/>
      <c r="R478" s="1254"/>
      <c r="S478" s="1254"/>
      <c r="T478" s="1254"/>
      <c r="U478" s="1254"/>
      <c r="V478" s="1254"/>
      <c r="W478" s="1254"/>
      <c r="X478" s="1254"/>
      <c r="Y478" s="1254"/>
      <c r="Z478" s="1254"/>
    </row>
    <row r="479">
      <c r="A479" s="1254"/>
      <c r="B479" s="1263"/>
      <c r="C479" s="1317"/>
      <c r="D479" s="1263"/>
      <c r="E479" s="1318"/>
      <c r="F479" s="1254"/>
      <c r="G479" s="1319"/>
      <c r="H479" s="1254"/>
      <c r="I479" s="1254"/>
      <c r="J479" s="1254"/>
      <c r="K479" s="1320"/>
      <c r="L479" s="1254"/>
      <c r="M479" s="1254"/>
      <c r="N479" s="1254"/>
      <c r="O479" s="1254"/>
      <c r="P479" s="1254"/>
      <c r="Q479" s="1254"/>
      <c r="R479" s="1254"/>
      <c r="S479" s="1254"/>
      <c r="T479" s="1254"/>
      <c r="U479" s="1254"/>
      <c r="V479" s="1254"/>
      <c r="W479" s="1254"/>
      <c r="X479" s="1254"/>
      <c r="Y479" s="1254"/>
      <c r="Z479" s="1254"/>
    </row>
    <row r="480">
      <c r="A480" s="1254"/>
      <c r="B480" s="1263"/>
      <c r="C480" s="1317"/>
      <c r="D480" s="1263"/>
      <c r="E480" s="1318"/>
      <c r="F480" s="1254"/>
      <c r="G480" s="1319"/>
      <c r="H480" s="1254"/>
      <c r="I480" s="1254"/>
      <c r="J480" s="1254"/>
      <c r="K480" s="1320"/>
      <c r="L480" s="1254"/>
      <c r="M480" s="1254"/>
      <c r="N480" s="1254"/>
      <c r="O480" s="1254"/>
      <c r="P480" s="1254"/>
      <c r="Q480" s="1254"/>
      <c r="R480" s="1254"/>
      <c r="S480" s="1254"/>
      <c r="T480" s="1254"/>
      <c r="U480" s="1254"/>
      <c r="V480" s="1254"/>
      <c r="W480" s="1254"/>
      <c r="X480" s="1254"/>
      <c r="Y480" s="1254"/>
      <c r="Z480" s="1254"/>
    </row>
    <row r="481">
      <c r="A481" s="1254"/>
      <c r="B481" s="1263"/>
      <c r="C481" s="1317"/>
      <c r="D481" s="1263"/>
      <c r="E481" s="1318"/>
      <c r="F481" s="1254"/>
      <c r="G481" s="1319"/>
      <c r="H481" s="1254"/>
      <c r="I481" s="1254"/>
      <c r="J481" s="1254"/>
      <c r="K481" s="1320"/>
      <c r="L481" s="1254"/>
      <c r="M481" s="1254"/>
      <c r="N481" s="1254"/>
      <c r="O481" s="1254"/>
      <c r="P481" s="1254"/>
      <c r="Q481" s="1254"/>
      <c r="R481" s="1254"/>
      <c r="S481" s="1254"/>
      <c r="T481" s="1254"/>
      <c r="U481" s="1254"/>
      <c r="V481" s="1254"/>
      <c r="W481" s="1254"/>
      <c r="X481" s="1254"/>
      <c r="Y481" s="1254"/>
      <c r="Z481" s="1254"/>
    </row>
    <row r="482">
      <c r="A482" s="1254"/>
      <c r="B482" s="1263"/>
      <c r="C482" s="1317"/>
      <c r="D482" s="1263"/>
      <c r="E482" s="1318"/>
      <c r="F482" s="1254"/>
      <c r="G482" s="1319"/>
      <c r="H482" s="1254"/>
      <c r="I482" s="1254"/>
      <c r="J482" s="1254"/>
      <c r="K482" s="1320"/>
      <c r="L482" s="1254"/>
      <c r="M482" s="1254"/>
      <c r="N482" s="1254"/>
      <c r="O482" s="1254"/>
      <c r="P482" s="1254"/>
      <c r="Q482" s="1254"/>
      <c r="R482" s="1254"/>
      <c r="S482" s="1254"/>
      <c r="T482" s="1254"/>
      <c r="U482" s="1254"/>
      <c r="V482" s="1254"/>
      <c r="W482" s="1254"/>
      <c r="X482" s="1254"/>
      <c r="Y482" s="1254"/>
      <c r="Z482" s="1254"/>
    </row>
    <row r="483">
      <c r="A483" s="1254"/>
      <c r="B483" s="1263"/>
      <c r="C483" s="1317"/>
      <c r="D483" s="1263"/>
      <c r="E483" s="1318"/>
      <c r="F483" s="1254"/>
      <c r="G483" s="1319"/>
      <c r="H483" s="1254"/>
      <c r="I483" s="1254"/>
      <c r="J483" s="1254"/>
      <c r="K483" s="1320"/>
      <c r="L483" s="1254"/>
      <c r="M483" s="1254"/>
      <c r="N483" s="1254"/>
      <c r="O483" s="1254"/>
      <c r="P483" s="1254"/>
      <c r="Q483" s="1254"/>
      <c r="R483" s="1254"/>
      <c r="S483" s="1254"/>
      <c r="T483" s="1254"/>
      <c r="U483" s="1254"/>
      <c r="V483" s="1254"/>
      <c r="W483" s="1254"/>
      <c r="X483" s="1254"/>
      <c r="Y483" s="1254"/>
      <c r="Z483" s="1254"/>
    </row>
    <row r="484">
      <c r="A484" s="1254"/>
      <c r="B484" s="1263"/>
      <c r="C484" s="1317"/>
      <c r="D484" s="1263"/>
      <c r="E484" s="1318"/>
      <c r="F484" s="1254"/>
      <c r="G484" s="1319"/>
      <c r="H484" s="1254"/>
      <c r="I484" s="1254"/>
      <c r="J484" s="1254"/>
      <c r="K484" s="1320"/>
      <c r="L484" s="1254"/>
      <c r="M484" s="1254"/>
      <c r="N484" s="1254"/>
      <c r="O484" s="1254"/>
      <c r="P484" s="1254"/>
      <c r="Q484" s="1254"/>
      <c r="R484" s="1254"/>
      <c r="S484" s="1254"/>
      <c r="T484" s="1254"/>
      <c r="U484" s="1254"/>
      <c r="V484" s="1254"/>
      <c r="W484" s="1254"/>
      <c r="X484" s="1254"/>
      <c r="Y484" s="1254"/>
      <c r="Z484" s="1254"/>
    </row>
    <row r="485">
      <c r="A485" s="1254"/>
      <c r="B485" s="1263"/>
      <c r="C485" s="1317"/>
      <c r="D485" s="1263"/>
      <c r="E485" s="1318"/>
      <c r="F485" s="1254"/>
      <c r="G485" s="1319"/>
      <c r="H485" s="1254"/>
      <c r="I485" s="1254"/>
      <c r="J485" s="1254"/>
      <c r="K485" s="1320"/>
      <c r="L485" s="1254"/>
      <c r="M485" s="1254"/>
      <c r="N485" s="1254"/>
      <c r="O485" s="1254"/>
      <c r="P485" s="1254"/>
      <c r="Q485" s="1254"/>
      <c r="R485" s="1254"/>
      <c r="S485" s="1254"/>
      <c r="T485" s="1254"/>
      <c r="U485" s="1254"/>
      <c r="V485" s="1254"/>
      <c r="W485" s="1254"/>
      <c r="X485" s="1254"/>
      <c r="Y485" s="1254"/>
      <c r="Z485" s="1254"/>
    </row>
    <row r="486">
      <c r="A486" s="1254"/>
      <c r="B486" s="1263"/>
      <c r="C486" s="1317"/>
      <c r="D486" s="1263"/>
      <c r="E486" s="1318"/>
      <c r="F486" s="1254"/>
      <c r="G486" s="1319"/>
      <c r="H486" s="1254"/>
      <c r="I486" s="1254"/>
      <c r="J486" s="1254"/>
      <c r="K486" s="1320"/>
      <c r="L486" s="1254"/>
      <c r="M486" s="1254"/>
      <c r="N486" s="1254"/>
      <c r="O486" s="1254"/>
      <c r="P486" s="1254"/>
      <c r="Q486" s="1254"/>
      <c r="R486" s="1254"/>
      <c r="S486" s="1254"/>
      <c r="T486" s="1254"/>
      <c r="U486" s="1254"/>
      <c r="V486" s="1254"/>
      <c r="W486" s="1254"/>
      <c r="X486" s="1254"/>
      <c r="Y486" s="1254"/>
      <c r="Z486" s="1254"/>
    </row>
    <row r="487">
      <c r="A487" s="1254"/>
      <c r="B487" s="1263"/>
      <c r="C487" s="1317"/>
      <c r="D487" s="1263"/>
      <c r="E487" s="1318"/>
      <c r="F487" s="1254"/>
      <c r="G487" s="1319"/>
      <c r="H487" s="1254"/>
      <c r="I487" s="1254"/>
      <c r="J487" s="1254"/>
      <c r="K487" s="1320"/>
      <c r="L487" s="1254"/>
      <c r="M487" s="1254"/>
      <c r="N487" s="1254"/>
      <c r="O487" s="1254"/>
      <c r="P487" s="1254"/>
      <c r="Q487" s="1254"/>
      <c r="R487" s="1254"/>
      <c r="S487" s="1254"/>
      <c r="T487" s="1254"/>
      <c r="U487" s="1254"/>
      <c r="V487" s="1254"/>
      <c r="W487" s="1254"/>
      <c r="X487" s="1254"/>
      <c r="Y487" s="1254"/>
      <c r="Z487" s="1254"/>
    </row>
    <row r="488">
      <c r="A488" s="1254"/>
      <c r="B488" s="1263"/>
      <c r="C488" s="1317"/>
      <c r="D488" s="1263"/>
      <c r="E488" s="1318"/>
      <c r="F488" s="1254"/>
      <c r="G488" s="1319"/>
      <c r="H488" s="1254"/>
      <c r="I488" s="1254"/>
      <c r="J488" s="1254"/>
      <c r="K488" s="1320"/>
      <c r="L488" s="1254"/>
      <c r="M488" s="1254"/>
      <c r="N488" s="1254"/>
      <c r="O488" s="1254"/>
      <c r="P488" s="1254"/>
      <c r="Q488" s="1254"/>
      <c r="R488" s="1254"/>
      <c r="S488" s="1254"/>
      <c r="T488" s="1254"/>
      <c r="U488" s="1254"/>
      <c r="V488" s="1254"/>
      <c r="W488" s="1254"/>
      <c r="X488" s="1254"/>
      <c r="Y488" s="1254"/>
      <c r="Z488" s="1254"/>
    </row>
    <row r="489">
      <c r="A489" s="1254"/>
      <c r="B489" s="1263"/>
      <c r="C489" s="1317"/>
      <c r="D489" s="1263"/>
      <c r="E489" s="1318"/>
      <c r="F489" s="1254"/>
      <c r="G489" s="1319"/>
      <c r="H489" s="1254"/>
      <c r="I489" s="1254"/>
      <c r="J489" s="1254"/>
      <c r="K489" s="1320"/>
      <c r="L489" s="1254"/>
      <c r="M489" s="1254"/>
      <c r="N489" s="1254"/>
      <c r="O489" s="1254"/>
      <c r="P489" s="1254"/>
      <c r="Q489" s="1254"/>
      <c r="R489" s="1254"/>
      <c r="S489" s="1254"/>
      <c r="T489" s="1254"/>
      <c r="U489" s="1254"/>
      <c r="V489" s="1254"/>
      <c r="W489" s="1254"/>
      <c r="X489" s="1254"/>
      <c r="Y489" s="1254"/>
      <c r="Z489" s="1254"/>
    </row>
    <row r="490">
      <c r="A490" s="1254"/>
      <c r="B490" s="1263"/>
      <c r="C490" s="1317"/>
      <c r="D490" s="1263"/>
      <c r="E490" s="1318"/>
      <c r="F490" s="1254"/>
      <c r="G490" s="1319"/>
      <c r="H490" s="1254"/>
      <c r="I490" s="1254"/>
      <c r="J490" s="1254"/>
      <c r="K490" s="1320"/>
      <c r="L490" s="1254"/>
      <c r="M490" s="1254"/>
      <c r="N490" s="1254"/>
      <c r="O490" s="1254"/>
      <c r="P490" s="1254"/>
      <c r="Q490" s="1254"/>
      <c r="R490" s="1254"/>
      <c r="S490" s="1254"/>
      <c r="T490" s="1254"/>
      <c r="U490" s="1254"/>
      <c r="V490" s="1254"/>
      <c r="W490" s="1254"/>
      <c r="X490" s="1254"/>
      <c r="Y490" s="1254"/>
      <c r="Z490" s="1254"/>
    </row>
    <row r="491">
      <c r="A491" s="1254"/>
      <c r="B491" s="1263"/>
      <c r="C491" s="1317"/>
      <c r="D491" s="1263"/>
      <c r="E491" s="1318"/>
      <c r="F491" s="1254"/>
      <c r="G491" s="1319"/>
      <c r="H491" s="1254"/>
      <c r="I491" s="1254"/>
      <c r="J491" s="1254"/>
      <c r="K491" s="1320"/>
      <c r="L491" s="1254"/>
      <c r="M491" s="1254"/>
      <c r="N491" s="1254"/>
      <c r="O491" s="1254"/>
      <c r="P491" s="1254"/>
      <c r="Q491" s="1254"/>
      <c r="R491" s="1254"/>
      <c r="S491" s="1254"/>
      <c r="T491" s="1254"/>
      <c r="U491" s="1254"/>
      <c r="V491" s="1254"/>
      <c r="W491" s="1254"/>
      <c r="X491" s="1254"/>
      <c r="Y491" s="1254"/>
      <c r="Z491" s="1254"/>
    </row>
    <row r="492">
      <c r="A492" s="1254"/>
      <c r="B492" s="1263"/>
      <c r="C492" s="1317"/>
      <c r="D492" s="1263"/>
      <c r="E492" s="1318"/>
      <c r="F492" s="1254"/>
      <c r="G492" s="1319"/>
      <c r="H492" s="1254"/>
      <c r="I492" s="1254"/>
      <c r="J492" s="1254"/>
      <c r="K492" s="1320"/>
      <c r="L492" s="1254"/>
      <c r="M492" s="1254"/>
      <c r="N492" s="1254"/>
      <c r="O492" s="1254"/>
      <c r="P492" s="1254"/>
      <c r="Q492" s="1254"/>
      <c r="R492" s="1254"/>
      <c r="S492" s="1254"/>
      <c r="T492" s="1254"/>
      <c r="U492" s="1254"/>
      <c r="V492" s="1254"/>
      <c r="W492" s="1254"/>
      <c r="X492" s="1254"/>
      <c r="Y492" s="1254"/>
      <c r="Z492" s="1254"/>
    </row>
    <row r="493">
      <c r="A493" s="1254"/>
      <c r="B493" s="1263"/>
      <c r="C493" s="1317"/>
      <c r="D493" s="1263"/>
      <c r="E493" s="1318"/>
      <c r="F493" s="1254"/>
      <c r="G493" s="1319"/>
      <c r="H493" s="1254"/>
      <c r="I493" s="1254"/>
      <c r="J493" s="1254"/>
      <c r="K493" s="1320"/>
      <c r="L493" s="1254"/>
      <c r="M493" s="1254"/>
      <c r="N493" s="1254"/>
      <c r="O493" s="1254"/>
      <c r="P493" s="1254"/>
      <c r="Q493" s="1254"/>
      <c r="R493" s="1254"/>
      <c r="S493" s="1254"/>
      <c r="T493" s="1254"/>
      <c r="U493" s="1254"/>
      <c r="V493" s="1254"/>
      <c r="W493" s="1254"/>
      <c r="X493" s="1254"/>
      <c r="Y493" s="1254"/>
      <c r="Z493" s="1254"/>
    </row>
    <row r="494">
      <c r="A494" s="1254"/>
      <c r="B494" s="1263"/>
      <c r="C494" s="1317"/>
      <c r="D494" s="1263"/>
      <c r="E494" s="1318"/>
      <c r="F494" s="1254"/>
      <c r="G494" s="1319"/>
      <c r="H494" s="1254"/>
      <c r="I494" s="1254"/>
      <c r="J494" s="1254"/>
      <c r="K494" s="1320"/>
      <c r="L494" s="1254"/>
      <c r="M494" s="1254"/>
      <c r="N494" s="1254"/>
      <c r="O494" s="1254"/>
      <c r="P494" s="1254"/>
      <c r="Q494" s="1254"/>
      <c r="R494" s="1254"/>
      <c r="S494" s="1254"/>
      <c r="T494" s="1254"/>
      <c r="U494" s="1254"/>
      <c r="V494" s="1254"/>
      <c r="W494" s="1254"/>
      <c r="X494" s="1254"/>
      <c r="Y494" s="1254"/>
      <c r="Z494" s="1254"/>
    </row>
    <row r="495">
      <c r="A495" s="1254"/>
      <c r="B495" s="1263"/>
      <c r="C495" s="1317"/>
      <c r="D495" s="1263"/>
      <c r="E495" s="1318"/>
      <c r="F495" s="1254"/>
      <c r="G495" s="1319"/>
      <c r="H495" s="1254"/>
      <c r="I495" s="1254"/>
      <c r="J495" s="1254"/>
      <c r="K495" s="1320"/>
      <c r="L495" s="1254"/>
      <c r="M495" s="1254"/>
      <c r="N495" s="1254"/>
      <c r="O495" s="1254"/>
      <c r="P495" s="1254"/>
      <c r="Q495" s="1254"/>
      <c r="R495" s="1254"/>
      <c r="S495" s="1254"/>
      <c r="T495" s="1254"/>
      <c r="U495" s="1254"/>
      <c r="V495" s="1254"/>
      <c r="W495" s="1254"/>
      <c r="X495" s="1254"/>
      <c r="Y495" s="1254"/>
      <c r="Z495" s="1254"/>
    </row>
    <row r="496">
      <c r="A496" s="1254"/>
      <c r="B496" s="1263"/>
      <c r="C496" s="1317"/>
      <c r="D496" s="1263"/>
      <c r="E496" s="1318"/>
      <c r="F496" s="1254"/>
      <c r="G496" s="1319"/>
      <c r="H496" s="1254"/>
      <c r="I496" s="1254"/>
      <c r="J496" s="1254"/>
      <c r="K496" s="1320"/>
      <c r="L496" s="1254"/>
      <c r="M496" s="1254"/>
      <c r="N496" s="1254"/>
      <c r="O496" s="1254"/>
      <c r="P496" s="1254"/>
      <c r="Q496" s="1254"/>
      <c r="R496" s="1254"/>
      <c r="S496" s="1254"/>
      <c r="T496" s="1254"/>
      <c r="U496" s="1254"/>
      <c r="V496" s="1254"/>
      <c r="W496" s="1254"/>
      <c r="X496" s="1254"/>
      <c r="Y496" s="1254"/>
      <c r="Z496" s="1254"/>
    </row>
    <row r="497">
      <c r="A497" s="1254"/>
      <c r="B497" s="1263"/>
      <c r="C497" s="1317"/>
      <c r="D497" s="1263"/>
      <c r="E497" s="1318"/>
      <c r="F497" s="1254"/>
      <c r="G497" s="1319"/>
      <c r="H497" s="1254"/>
      <c r="I497" s="1254"/>
      <c r="J497" s="1254"/>
      <c r="K497" s="1320"/>
      <c r="L497" s="1254"/>
      <c r="M497" s="1254"/>
      <c r="N497" s="1254"/>
      <c r="O497" s="1254"/>
      <c r="P497" s="1254"/>
      <c r="Q497" s="1254"/>
      <c r="R497" s="1254"/>
      <c r="S497" s="1254"/>
      <c r="T497" s="1254"/>
      <c r="U497" s="1254"/>
      <c r="V497" s="1254"/>
      <c r="W497" s="1254"/>
      <c r="X497" s="1254"/>
      <c r="Y497" s="1254"/>
      <c r="Z497" s="1254"/>
    </row>
    <row r="498">
      <c r="A498" s="1254"/>
      <c r="B498" s="1263"/>
      <c r="C498" s="1317"/>
      <c r="D498" s="1263"/>
      <c r="E498" s="1318"/>
      <c r="F498" s="1254"/>
      <c r="G498" s="1319"/>
      <c r="H498" s="1254"/>
      <c r="I498" s="1254"/>
      <c r="J498" s="1254"/>
      <c r="K498" s="1320"/>
      <c r="L498" s="1254"/>
      <c r="M498" s="1254"/>
      <c r="N498" s="1254"/>
      <c r="O498" s="1254"/>
      <c r="P498" s="1254"/>
      <c r="Q498" s="1254"/>
      <c r="R498" s="1254"/>
      <c r="S498" s="1254"/>
      <c r="T498" s="1254"/>
      <c r="U498" s="1254"/>
      <c r="V498" s="1254"/>
      <c r="W498" s="1254"/>
      <c r="X498" s="1254"/>
      <c r="Y498" s="1254"/>
      <c r="Z498" s="1254"/>
    </row>
    <row r="499">
      <c r="A499" s="1254"/>
      <c r="B499" s="1263"/>
      <c r="C499" s="1317"/>
      <c r="D499" s="1263"/>
      <c r="E499" s="1318"/>
      <c r="F499" s="1254"/>
      <c r="G499" s="1319"/>
      <c r="H499" s="1254"/>
      <c r="I499" s="1254"/>
      <c r="J499" s="1254"/>
      <c r="K499" s="1320"/>
      <c r="L499" s="1254"/>
      <c r="M499" s="1254"/>
      <c r="N499" s="1254"/>
      <c r="O499" s="1254"/>
      <c r="P499" s="1254"/>
      <c r="Q499" s="1254"/>
      <c r="R499" s="1254"/>
      <c r="S499" s="1254"/>
      <c r="T499" s="1254"/>
      <c r="U499" s="1254"/>
      <c r="V499" s="1254"/>
      <c r="W499" s="1254"/>
      <c r="X499" s="1254"/>
      <c r="Y499" s="1254"/>
      <c r="Z499" s="1254"/>
    </row>
    <row r="500">
      <c r="A500" s="1254"/>
      <c r="B500" s="1263"/>
      <c r="C500" s="1317"/>
      <c r="D500" s="1263"/>
      <c r="E500" s="1318"/>
      <c r="F500" s="1254"/>
      <c r="G500" s="1319"/>
      <c r="H500" s="1254"/>
      <c r="I500" s="1254"/>
      <c r="J500" s="1254"/>
      <c r="K500" s="1320"/>
      <c r="L500" s="1254"/>
      <c r="M500" s="1254"/>
      <c r="N500" s="1254"/>
      <c r="O500" s="1254"/>
      <c r="P500" s="1254"/>
      <c r="Q500" s="1254"/>
      <c r="R500" s="1254"/>
      <c r="S500" s="1254"/>
      <c r="T500" s="1254"/>
      <c r="U500" s="1254"/>
      <c r="V500" s="1254"/>
      <c r="W500" s="1254"/>
      <c r="X500" s="1254"/>
      <c r="Y500" s="1254"/>
      <c r="Z500" s="1254"/>
    </row>
    <row r="501">
      <c r="A501" s="1254"/>
      <c r="B501" s="1263"/>
      <c r="C501" s="1317"/>
      <c r="D501" s="1263"/>
      <c r="E501" s="1318"/>
      <c r="F501" s="1254"/>
      <c r="G501" s="1319"/>
      <c r="H501" s="1254"/>
      <c r="I501" s="1254"/>
      <c r="J501" s="1254"/>
      <c r="K501" s="1320"/>
      <c r="L501" s="1254"/>
      <c r="M501" s="1254"/>
      <c r="N501" s="1254"/>
      <c r="O501" s="1254"/>
      <c r="P501" s="1254"/>
      <c r="Q501" s="1254"/>
      <c r="R501" s="1254"/>
      <c r="S501" s="1254"/>
      <c r="T501" s="1254"/>
      <c r="U501" s="1254"/>
      <c r="V501" s="1254"/>
      <c r="W501" s="1254"/>
      <c r="X501" s="1254"/>
      <c r="Y501" s="1254"/>
      <c r="Z501" s="1254"/>
    </row>
    <row r="502">
      <c r="A502" s="1254"/>
      <c r="B502" s="1263"/>
      <c r="C502" s="1317"/>
      <c r="D502" s="1263"/>
      <c r="E502" s="1318"/>
      <c r="F502" s="1254"/>
      <c r="G502" s="1319"/>
      <c r="H502" s="1254"/>
      <c r="I502" s="1254"/>
      <c r="J502" s="1254"/>
      <c r="K502" s="1320"/>
      <c r="L502" s="1254"/>
      <c r="M502" s="1254"/>
      <c r="N502" s="1254"/>
      <c r="O502" s="1254"/>
      <c r="P502" s="1254"/>
      <c r="Q502" s="1254"/>
      <c r="R502" s="1254"/>
      <c r="S502" s="1254"/>
      <c r="T502" s="1254"/>
      <c r="U502" s="1254"/>
      <c r="V502" s="1254"/>
      <c r="W502" s="1254"/>
      <c r="X502" s="1254"/>
      <c r="Y502" s="1254"/>
      <c r="Z502" s="1254"/>
    </row>
    <row r="503">
      <c r="A503" s="1254"/>
      <c r="B503" s="1263"/>
      <c r="C503" s="1317"/>
      <c r="D503" s="1263"/>
      <c r="E503" s="1318"/>
      <c r="F503" s="1254"/>
      <c r="G503" s="1319"/>
      <c r="H503" s="1254"/>
      <c r="I503" s="1254"/>
      <c r="J503" s="1254"/>
      <c r="K503" s="1320"/>
      <c r="L503" s="1254"/>
      <c r="M503" s="1254"/>
      <c r="N503" s="1254"/>
      <c r="O503" s="1254"/>
      <c r="P503" s="1254"/>
      <c r="Q503" s="1254"/>
      <c r="R503" s="1254"/>
      <c r="S503" s="1254"/>
      <c r="T503" s="1254"/>
      <c r="U503" s="1254"/>
      <c r="V503" s="1254"/>
      <c r="W503" s="1254"/>
      <c r="X503" s="1254"/>
      <c r="Y503" s="1254"/>
      <c r="Z503" s="1254"/>
    </row>
    <row r="504">
      <c r="A504" s="1254"/>
      <c r="B504" s="1263"/>
      <c r="C504" s="1317"/>
      <c r="D504" s="1263"/>
      <c r="E504" s="1318"/>
      <c r="F504" s="1254"/>
      <c r="G504" s="1319"/>
      <c r="H504" s="1254"/>
      <c r="I504" s="1254"/>
      <c r="J504" s="1254"/>
      <c r="K504" s="1320"/>
      <c r="L504" s="1254"/>
      <c r="M504" s="1254"/>
      <c r="N504" s="1254"/>
      <c r="O504" s="1254"/>
      <c r="P504" s="1254"/>
      <c r="Q504" s="1254"/>
      <c r="R504" s="1254"/>
      <c r="S504" s="1254"/>
      <c r="T504" s="1254"/>
      <c r="U504" s="1254"/>
      <c r="V504" s="1254"/>
      <c r="W504" s="1254"/>
      <c r="X504" s="1254"/>
      <c r="Y504" s="1254"/>
      <c r="Z504" s="1254"/>
    </row>
    <row r="505">
      <c r="A505" s="1254"/>
      <c r="B505" s="1263"/>
      <c r="C505" s="1317"/>
      <c r="D505" s="1263"/>
      <c r="E505" s="1318"/>
      <c r="F505" s="1254"/>
      <c r="G505" s="1319"/>
      <c r="H505" s="1254"/>
      <c r="I505" s="1254"/>
      <c r="J505" s="1254"/>
      <c r="K505" s="1320"/>
      <c r="L505" s="1254"/>
      <c r="M505" s="1254"/>
      <c r="N505" s="1254"/>
      <c r="O505" s="1254"/>
      <c r="P505" s="1254"/>
      <c r="Q505" s="1254"/>
      <c r="R505" s="1254"/>
      <c r="S505" s="1254"/>
      <c r="T505" s="1254"/>
      <c r="U505" s="1254"/>
      <c r="V505" s="1254"/>
      <c r="W505" s="1254"/>
      <c r="X505" s="1254"/>
      <c r="Y505" s="1254"/>
      <c r="Z505" s="1254"/>
    </row>
    <row r="506">
      <c r="A506" s="1254"/>
      <c r="B506" s="1263"/>
      <c r="C506" s="1317"/>
      <c r="D506" s="1263"/>
      <c r="E506" s="1318"/>
      <c r="F506" s="1254"/>
      <c r="G506" s="1319"/>
      <c r="H506" s="1254"/>
      <c r="I506" s="1254"/>
      <c r="J506" s="1254"/>
      <c r="K506" s="1320"/>
      <c r="L506" s="1254"/>
      <c r="M506" s="1254"/>
      <c r="N506" s="1254"/>
      <c r="O506" s="1254"/>
      <c r="P506" s="1254"/>
      <c r="Q506" s="1254"/>
      <c r="R506" s="1254"/>
      <c r="S506" s="1254"/>
      <c r="T506" s="1254"/>
      <c r="U506" s="1254"/>
      <c r="V506" s="1254"/>
      <c r="W506" s="1254"/>
      <c r="X506" s="1254"/>
      <c r="Y506" s="1254"/>
      <c r="Z506" s="1254"/>
    </row>
    <row r="507">
      <c r="A507" s="1254"/>
      <c r="B507" s="1263"/>
      <c r="C507" s="1317"/>
      <c r="D507" s="1263"/>
      <c r="E507" s="1318"/>
      <c r="F507" s="1254"/>
      <c r="G507" s="1319"/>
      <c r="H507" s="1254"/>
      <c r="I507" s="1254"/>
      <c r="J507" s="1254"/>
      <c r="K507" s="1320"/>
      <c r="L507" s="1254"/>
      <c r="M507" s="1254"/>
      <c r="N507" s="1254"/>
      <c r="O507" s="1254"/>
      <c r="P507" s="1254"/>
      <c r="Q507" s="1254"/>
      <c r="R507" s="1254"/>
      <c r="S507" s="1254"/>
      <c r="T507" s="1254"/>
      <c r="U507" s="1254"/>
      <c r="V507" s="1254"/>
      <c r="W507" s="1254"/>
      <c r="X507" s="1254"/>
      <c r="Y507" s="1254"/>
      <c r="Z507" s="1254"/>
    </row>
    <row r="508">
      <c r="A508" s="1254"/>
      <c r="B508" s="1263"/>
      <c r="C508" s="1317"/>
      <c r="D508" s="1263"/>
      <c r="E508" s="1318"/>
      <c r="F508" s="1254"/>
      <c r="G508" s="1319"/>
      <c r="H508" s="1254"/>
      <c r="I508" s="1254"/>
      <c r="J508" s="1254"/>
      <c r="K508" s="1320"/>
      <c r="L508" s="1254"/>
      <c r="M508" s="1254"/>
      <c r="N508" s="1254"/>
      <c r="O508" s="1254"/>
      <c r="P508" s="1254"/>
      <c r="Q508" s="1254"/>
      <c r="R508" s="1254"/>
      <c r="S508" s="1254"/>
      <c r="T508" s="1254"/>
      <c r="U508" s="1254"/>
      <c r="V508" s="1254"/>
      <c r="W508" s="1254"/>
      <c r="X508" s="1254"/>
      <c r="Y508" s="1254"/>
      <c r="Z508" s="1254"/>
    </row>
    <row r="509">
      <c r="A509" s="1254"/>
      <c r="B509" s="1263"/>
      <c r="C509" s="1317"/>
      <c r="D509" s="1263"/>
      <c r="E509" s="1318"/>
      <c r="F509" s="1254"/>
      <c r="G509" s="1319"/>
      <c r="H509" s="1254"/>
      <c r="I509" s="1254"/>
      <c r="J509" s="1254"/>
      <c r="K509" s="1320"/>
      <c r="L509" s="1254"/>
      <c r="M509" s="1254"/>
      <c r="N509" s="1254"/>
      <c r="O509" s="1254"/>
      <c r="P509" s="1254"/>
      <c r="Q509" s="1254"/>
      <c r="R509" s="1254"/>
      <c r="S509" s="1254"/>
      <c r="T509" s="1254"/>
      <c r="U509" s="1254"/>
      <c r="V509" s="1254"/>
      <c r="W509" s="1254"/>
      <c r="X509" s="1254"/>
      <c r="Y509" s="1254"/>
      <c r="Z509" s="1254"/>
    </row>
    <row r="510">
      <c r="A510" s="1254"/>
      <c r="B510" s="1263"/>
      <c r="C510" s="1317"/>
      <c r="D510" s="1263"/>
      <c r="E510" s="1318"/>
      <c r="F510" s="1254"/>
      <c r="G510" s="1319"/>
      <c r="H510" s="1254"/>
      <c r="I510" s="1254"/>
      <c r="J510" s="1254"/>
      <c r="K510" s="1320"/>
      <c r="L510" s="1254"/>
      <c r="M510" s="1254"/>
      <c r="N510" s="1254"/>
      <c r="O510" s="1254"/>
      <c r="P510" s="1254"/>
      <c r="Q510" s="1254"/>
      <c r="R510" s="1254"/>
      <c r="S510" s="1254"/>
      <c r="T510" s="1254"/>
      <c r="U510" s="1254"/>
      <c r="V510" s="1254"/>
      <c r="W510" s="1254"/>
      <c r="X510" s="1254"/>
      <c r="Y510" s="1254"/>
      <c r="Z510" s="1254"/>
    </row>
    <row r="511">
      <c r="A511" s="1254"/>
      <c r="B511" s="1263"/>
      <c r="C511" s="1317"/>
      <c r="D511" s="1263"/>
      <c r="E511" s="1318"/>
      <c r="F511" s="1254"/>
      <c r="G511" s="1319"/>
      <c r="H511" s="1254"/>
      <c r="I511" s="1254"/>
      <c r="J511" s="1254"/>
      <c r="K511" s="1320"/>
      <c r="L511" s="1254"/>
      <c r="M511" s="1254"/>
      <c r="N511" s="1254"/>
      <c r="O511" s="1254"/>
      <c r="P511" s="1254"/>
      <c r="Q511" s="1254"/>
      <c r="R511" s="1254"/>
      <c r="S511" s="1254"/>
      <c r="T511" s="1254"/>
      <c r="U511" s="1254"/>
      <c r="V511" s="1254"/>
      <c r="W511" s="1254"/>
      <c r="X511" s="1254"/>
      <c r="Y511" s="1254"/>
      <c r="Z511" s="1254"/>
    </row>
    <row r="512">
      <c r="A512" s="1254"/>
      <c r="B512" s="1263"/>
      <c r="C512" s="1317"/>
      <c r="D512" s="1263"/>
      <c r="E512" s="1318"/>
      <c r="F512" s="1254"/>
      <c r="G512" s="1319"/>
      <c r="H512" s="1254"/>
      <c r="I512" s="1254"/>
      <c r="J512" s="1254"/>
      <c r="K512" s="1320"/>
      <c r="L512" s="1254"/>
      <c r="M512" s="1254"/>
      <c r="N512" s="1254"/>
      <c r="O512" s="1254"/>
      <c r="P512" s="1254"/>
      <c r="Q512" s="1254"/>
      <c r="R512" s="1254"/>
      <c r="S512" s="1254"/>
      <c r="T512" s="1254"/>
      <c r="U512" s="1254"/>
      <c r="V512" s="1254"/>
      <c r="W512" s="1254"/>
      <c r="X512" s="1254"/>
      <c r="Y512" s="1254"/>
      <c r="Z512" s="1254"/>
    </row>
    <row r="513">
      <c r="A513" s="1254"/>
      <c r="B513" s="1263"/>
      <c r="C513" s="1317"/>
      <c r="D513" s="1263"/>
      <c r="E513" s="1318"/>
      <c r="F513" s="1254"/>
      <c r="G513" s="1319"/>
      <c r="H513" s="1254"/>
      <c r="I513" s="1254"/>
      <c r="J513" s="1254"/>
      <c r="K513" s="1320"/>
      <c r="L513" s="1254"/>
      <c r="M513" s="1254"/>
      <c r="N513" s="1254"/>
      <c r="O513" s="1254"/>
      <c r="P513" s="1254"/>
      <c r="Q513" s="1254"/>
      <c r="R513" s="1254"/>
      <c r="S513" s="1254"/>
      <c r="T513" s="1254"/>
      <c r="U513" s="1254"/>
      <c r="V513" s="1254"/>
      <c r="W513" s="1254"/>
      <c r="X513" s="1254"/>
      <c r="Y513" s="1254"/>
      <c r="Z513" s="1254"/>
    </row>
    <row r="514">
      <c r="A514" s="1254"/>
      <c r="B514" s="1263"/>
      <c r="C514" s="1317"/>
      <c r="D514" s="1263"/>
      <c r="E514" s="1318"/>
      <c r="F514" s="1254"/>
      <c r="G514" s="1319"/>
      <c r="H514" s="1254"/>
      <c r="I514" s="1254"/>
      <c r="J514" s="1254"/>
      <c r="K514" s="1320"/>
      <c r="L514" s="1254"/>
      <c r="M514" s="1254"/>
      <c r="N514" s="1254"/>
      <c r="O514" s="1254"/>
      <c r="P514" s="1254"/>
      <c r="Q514" s="1254"/>
      <c r="R514" s="1254"/>
      <c r="S514" s="1254"/>
      <c r="T514" s="1254"/>
      <c r="U514" s="1254"/>
      <c r="V514" s="1254"/>
      <c r="W514" s="1254"/>
      <c r="X514" s="1254"/>
      <c r="Y514" s="1254"/>
      <c r="Z514" s="1254"/>
    </row>
    <row r="515">
      <c r="A515" s="1254"/>
      <c r="B515" s="1263"/>
      <c r="C515" s="1317"/>
      <c r="D515" s="1263"/>
      <c r="E515" s="1318"/>
      <c r="F515" s="1254"/>
      <c r="G515" s="1319"/>
      <c r="H515" s="1254"/>
      <c r="I515" s="1254"/>
      <c r="J515" s="1254"/>
      <c r="K515" s="1320"/>
      <c r="L515" s="1254"/>
      <c r="M515" s="1254"/>
      <c r="N515" s="1254"/>
      <c r="O515" s="1254"/>
      <c r="P515" s="1254"/>
      <c r="Q515" s="1254"/>
      <c r="R515" s="1254"/>
      <c r="S515" s="1254"/>
      <c r="T515" s="1254"/>
      <c r="U515" s="1254"/>
      <c r="V515" s="1254"/>
      <c r="W515" s="1254"/>
      <c r="X515" s="1254"/>
      <c r="Y515" s="1254"/>
      <c r="Z515" s="1254"/>
    </row>
    <row r="516">
      <c r="A516" s="1254"/>
      <c r="B516" s="1263"/>
      <c r="C516" s="1317"/>
      <c r="D516" s="1263"/>
      <c r="E516" s="1318"/>
      <c r="F516" s="1254"/>
      <c r="G516" s="1319"/>
      <c r="H516" s="1254"/>
      <c r="I516" s="1254"/>
      <c r="J516" s="1254"/>
      <c r="K516" s="1320"/>
      <c r="L516" s="1254"/>
      <c r="M516" s="1254"/>
      <c r="N516" s="1254"/>
      <c r="O516" s="1254"/>
      <c r="P516" s="1254"/>
      <c r="Q516" s="1254"/>
      <c r="R516" s="1254"/>
      <c r="S516" s="1254"/>
      <c r="T516" s="1254"/>
      <c r="U516" s="1254"/>
      <c r="V516" s="1254"/>
      <c r="W516" s="1254"/>
      <c r="X516" s="1254"/>
      <c r="Y516" s="1254"/>
      <c r="Z516" s="1254"/>
    </row>
    <row r="517">
      <c r="A517" s="1254"/>
      <c r="B517" s="1263"/>
      <c r="C517" s="1317"/>
      <c r="D517" s="1263"/>
      <c r="E517" s="1318"/>
      <c r="F517" s="1254"/>
      <c r="G517" s="1319"/>
      <c r="H517" s="1254"/>
      <c r="I517" s="1254"/>
      <c r="J517" s="1254"/>
      <c r="K517" s="1320"/>
      <c r="L517" s="1254"/>
      <c r="M517" s="1254"/>
      <c r="N517" s="1254"/>
      <c r="O517" s="1254"/>
      <c r="P517" s="1254"/>
      <c r="Q517" s="1254"/>
      <c r="R517" s="1254"/>
      <c r="S517" s="1254"/>
      <c r="T517" s="1254"/>
      <c r="U517" s="1254"/>
      <c r="V517" s="1254"/>
      <c r="W517" s="1254"/>
      <c r="X517" s="1254"/>
      <c r="Y517" s="1254"/>
      <c r="Z517" s="1254"/>
    </row>
    <row r="518">
      <c r="A518" s="1254"/>
      <c r="B518" s="1263"/>
      <c r="C518" s="1317"/>
      <c r="D518" s="1263"/>
      <c r="E518" s="1318"/>
      <c r="F518" s="1254"/>
      <c r="G518" s="1319"/>
      <c r="H518" s="1254"/>
      <c r="I518" s="1254"/>
      <c r="J518" s="1254"/>
      <c r="K518" s="1320"/>
      <c r="L518" s="1254"/>
      <c r="M518" s="1254"/>
      <c r="N518" s="1254"/>
      <c r="O518" s="1254"/>
      <c r="P518" s="1254"/>
      <c r="Q518" s="1254"/>
      <c r="R518" s="1254"/>
      <c r="S518" s="1254"/>
      <c r="T518" s="1254"/>
      <c r="U518" s="1254"/>
      <c r="V518" s="1254"/>
      <c r="W518" s="1254"/>
      <c r="X518" s="1254"/>
      <c r="Y518" s="1254"/>
      <c r="Z518" s="1254"/>
    </row>
    <row r="519">
      <c r="A519" s="1254"/>
      <c r="B519" s="1263"/>
      <c r="C519" s="1317"/>
      <c r="D519" s="1263"/>
      <c r="E519" s="1318"/>
      <c r="F519" s="1254"/>
      <c r="G519" s="1319"/>
      <c r="H519" s="1254"/>
      <c r="I519" s="1254"/>
      <c r="J519" s="1254"/>
      <c r="K519" s="1320"/>
      <c r="L519" s="1254"/>
      <c r="M519" s="1254"/>
      <c r="N519" s="1254"/>
      <c r="O519" s="1254"/>
      <c r="P519" s="1254"/>
      <c r="Q519" s="1254"/>
      <c r="R519" s="1254"/>
      <c r="S519" s="1254"/>
      <c r="T519" s="1254"/>
      <c r="U519" s="1254"/>
      <c r="V519" s="1254"/>
      <c r="W519" s="1254"/>
      <c r="X519" s="1254"/>
      <c r="Y519" s="1254"/>
      <c r="Z519" s="1254"/>
    </row>
    <row r="520">
      <c r="A520" s="1254"/>
      <c r="B520" s="1263"/>
      <c r="C520" s="1317"/>
      <c r="D520" s="1263"/>
      <c r="E520" s="1318"/>
      <c r="F520" s="1254"/>
      <c r="G520" s="1319"/>
      <c r="H520" s="1254"/>
      <c r="I520" s="1254"/>
      <c r="J520" s="1254"/>
      <c r="K520" s="1320"/>
      <c r="L520" s="1254"/>
      <c r="M520" s="1254"/>
      <c r="N520" s="1254"/>
      <c r="O520" s="1254"/>
      <c r="P520" s="1254"/>
      <c r="Q520" s="1254"/>
      <c r="R520" s="1254"/>
      <c r="S520" s="1254"/>
      <c r="T520" s="1254"/>
      <c r="U520" s="1254"/>
      <c r="V520" s="1254"/>
      <c r="W520" s="1254"/>
      <c r="X520" s="1254"/>
      <c r="Y520" s="1254"/>
      <c r="Z520" s="1254"/>
    </row>
    <row r="521">
      <c r="A521" s="1254"/>
      <c r="B521" s="1263"/>
      <c r="C521" s="1317"/>
      <c r="D521" s="1263"/>
      <c r="E521" s="1318"/>
      <c r="F521" s="1254"/>
      <c r="G521" s="1319"/>
      <c r="H521" s="1254"/>
      <c r="I521" s="1254"/>
      <c r="J521" s="1254"/>
      <c r="K521" s="1320"/>
      <c r="L521" s="1254"/>
      <c r="M521" s="1254"/>
      <c r="N521" s="1254"/>
      <c r="O521" s="1254"/>
      <c r="P521" s="1254"/>
      <c r="Q521" s="1254"/>
      <c r="R521" s="1254"/>
      <c r="S521" s="1254"/>
      <c r="T521" s="1254"/>
      <c r="U521" s="1254"/>
      <c r="V521" s="1254"/>
      <c r="W521" s="1254"/>
      <c r="X521" s="1254"/>
      <c r="Y521" s="1254"/>
      <c r="Z521" s="1254"/>
    </row>
    <row r="522">
      <c r="A522" s="1254"/>
      <c r="B522" s="1263"/>
      <c r="C522" s="1317"/>
      <c r="D522" s="1263"/>
      <c r="E522" s="1318"/>
      <c r="F522" s="1254"/>
      <c r="G522" s="1319"/>
      <c r="H522" s="1254"/>
      <c r="I522" s="1254"/>
      <c r="J522" s="1254"/>
      <c r="K522" s="1320"/>
      <c r="L522" s="1254"/>
      <c r="M522" s="1254"/>
      <c r="N522" s="1254"/>
      <c r="O522" s="1254"/>
      <c r="P522" s="1254"/>
      <c r="Q522" s="1254"/>
      <c r="R522" s="1254"/>
      <c r="S522" s="1254"/>
      <c r="T522" s="1254"/>
      <c r="U522" s="1254"/>
      <c r="V522" s="1254"/>
      <c r="W522" s="1254"/>
      <c r="X522" s="1254"/>
      <c r="Y522" s="1254"/>
      <c r="Z522" s="1254"/>
    </row>
    <row r="523">
      <c r="A523" s="1254"/>
      <c r="B523" s="1263"/>
      <c r="C523" s="1317"/>
      <c r="D523" s="1263"/>
      <c r="E523" s="1318"/>
      <c r="F523" s="1254"/>
      <c r="G523" s="1319"/>
      <c r="H523" s="1254"/>
      <c r="I523" s="1254"/>
      <c r="J523" s="1254"/>
      <c r="K523" s="1320"/>
      <c r="L523" s="1254"/>
      <c r="M523" s="1254"/>
      <c r="N523" s="1254"/>
      <c r="O523" s="1254"/>
      <c r="P523" s="1254"/>
      <c r="Q523" s="1254"/>
      <c r="R523" s="1254"/>
      <c r="S523" s="1254"/>
      <c r="T523" s="1254"/>
      <c r="U523" s="1254"/>
      <c r="V523" s="1254"/>
      <c r="W523" s="1254"/>
      <c r="X523" s="1254"/>
      <c r="Y523" s="1254"/>
      <c r="Z523" s="1254"/>
    </row>
    <row r="524">
      <c r="A524" s="1254"/>
      <c r="B524" s="1263"/>
      <c r="C524" s="1317"/>
      <c r="D524" s="1263"/>
      <c r="E524" s="1318"/>
      <c r="F524" s="1254"/>
      <c r="G524" s="1319"/>
      <c r="H524" s="1254"/>
      <c r="I524" s="1254"/>
      <c r="J524" s="1254"/>
      <c r="K524" s="1320"/>
      <c r="L524" s="1254"/>
      <c r="M524" s="1254"/>
      <c r="N524" s="1254"/>
      <c r="O524" s="1254"/>
      <c r="P524" s="1254"/>
      <c r="Q524" s="1254"/>
      <c r="R524" s="1254"/>
      <c r="S524" s="1254"/>
      <c r="T524" s="1254"/>
      <c r="U524" s="1254"/>
      <c r="V524" s="1254"/>
      <c r="W524" s="1254"/>
      <c r="X524" s="1254"/>
      <c r="Y524" s="1254"/>
      <c r="Z524" s="1254"/>
    </row>
    <row r="525">
      <c r="A525" s="1254"/>
      <c r="B525" s="1263"/>
      <c r="C525" s="1317"/>
      <c r="D525" s="1263"/>
      <c r="E525" s="1318"/>
      <c r="F525" s="1254"/>
      <c r="G525" s="1319"/>
      <c r="H525" s="1254"/>
      <c r="I525" s="1254"/>
      <c r="J525" s="1254"/>
      <c r="K525" s="1320"/>
      <c r="L525" s="1254"/>
      <c r="M525" s="1254"/>
      <c r="N525" s="1254"/>
      <c r="O525" s="1254"/>
      <c r="P525" s="1254"/>
      <c r="Q525" s="1254"/>
      <c r="R525" s="1254"/>
      <c r="S525" s="1254"/>
      <c r="T525" s="1254"/>
      <c r="U525" s="1254"/>
      <c r="V525" s="1254"/>
      <c r="W525" s="1254"/>
      <c r="X525" s="1254"/>
      <c r="Y525" s="1254"/>
      <c r="Z525" s="1254"/>
    </row>
    <row r="526">
      <c r="A526" s="1254"/>
      <c r="B526" s="1263"/>
      <c r="C526" s="1317"/>
      <c r="D526" s="1263"/>
      <c r="E526" s="1318"/>
      <c r="F526" s="1254"/>
      <c r="G526" s="1319"/>
      <c r="H526" s="1254"/>
      <c r="I526" s="1254"/>
      <c r="J526" s="1254"/>
      <c r="K526" s="1320"/>
      <c r="L526" s="1254"/>
      <c r="M526" s="1254"/>
      <c r="N526" s="1254"/>
      <c r="O526" s="1254"/>
      <c r="P526" s="1254"/>
      <c r="Q526" s="1254"/>
      <c r="R526" s="1254"/>
      <c r="S526" s="1254"/>
      <c r="T526" s="1254"/>
      <c r="U526" s="1254"/>
      <c r="V526" s="1254"/>
      <c r="W526" s="1254"/>
      <c r="X526" s="1254"/>
      <c r="Y526" s="1254"/>
      <c r="Z526" s="1254"/>
    </row>
    <row r="527">
      <c r="A527" s="1254"/>
      <c r="B527" s="1263"/>
      <c r="C527" s="1317"/>
      <c r="D527" s="1263"/>
      <c r="E527" s="1318"/>
      <c r="F527" s="1254"/>
      <c r="G527" s="1319"/>
      <c r="H527" s="1254"/>
      <c r="I527" s="1254"/>
      <c r="J527" s="1254"/>
      <c r="K527" s="1320"/>
      <c r="L527" s="1254"/>
      <c r="M527" s="1254"/>
      <c r="N527" s="1254"/>
      <c r="O527" s="1254"/>
      <c r="P527" s="1254"/>
      <c r="Q527" s="1254"/>
      <c r="R527" s="1254"/>
      <c r="S527" s="1254"/>
      <c r="T527" s="1254"/>
      <c r="U527" s="1254"/>
      <c r="V527" s="1254"/>
      <c r="W527" s="1254"/>
      <c r="X527" s="1254"/>
      <c r="Y527" s="1254"/>
      <c r="Z527" s="1254"/>
    </row>
    <row r="528">
      <c r="A528" s="1254"/>
      <c r="B528" s="1263"/>
      <c r="C528" s="1317"/>
      <c r="D528" s="1263"/>
      <c r="E528" s="1318"/>
      <c r="F528" s="1254"/>
      <c r="G528" s="1319"/>
      <c r="H528" s="1254"/>
      <c r="I528" s="1254"/>
      <c r="J528" s="1254"/>
      <c r="K528" s="1320"/>
      <c r="L528" s="1254"/>
      <c r="M528" s="1254"/>
      <c r="N528" s="1254"/>
      <c r="O528" s="1254"/>
      <c r="P528" s="1254"/>
      <c r="Q528" s="1254"/>
      <c r="R528" s="1254"/>
      <c r="S528" s="1254"/>
      <c r="T528" s="1254"/>
      <c r="U528" s="1254"/>
      <c r="V528" s="1254"/>
      <c r="W528" s="1254"/>
      <c r="X528" s="1254"/>
      <c r="Y528" s="1254"/>
      <c r="Z528" s="1254"/>
    </row>
    <row r="529">
      <c r="A529" s="1254"/>
      <c r="B529" s="1263"/>
      <c r="C529" s="1317"/>
      <c r="D529" s="1263"/>
      <c r="E529" s="1318"/>
      <c r="F529" s="1254"/>
      <c r="G529" s="1319"/>
      <c r="H529" s="1254"/>
      <c r="I529" s="1254"/>
      <c r="J529" s="1254"/>
      <c r="K529" s="1320"/>
      <c r="L529" s="1254"/>
      <c r="M529" s="1254"/>
      <c r="N529" s="1254"/>
      <c r="O529" s="1254"/>
      <c r="P529" s="1254"/>
      <c r="Q529" s="1254"/>
      <c r="R529" s="1254"/>
      <c r="S529" s="1254"/>
      <c r="T529" s="1254"/>
      <c r="U529" s="1254"/>
      <c r="V529" s="1254"/>
      <c r="W529" s="1254"/>
      <c r="X529" s="1254"/>
      <c r="Y529" s="1254"/>
      <c r="Z529" s="1254"/>
    </row>
    <row r="530">
      <c r="A530" s="1254"/>
      <c r="B530" s="1263"/>
      <c r="C530" s="1317"/>
      <c r="D530" s="1263"/>
      <c r="E530" s="1318"/>
      <c r="F530" s="1254"/>
      <c r="G530" s="1319"/>
      <c r="H530" s="1254"/>
      <c r="I530" s="1254"/>
      <c r="J530" s="1254"/>
      <c r="K530" s="1320"/>
      <c r="L530" s="1254"/>
      <c r="M530" s="1254"/>
      <c r="N530" s="1254"/>
      <c r="O530" s="1254"/>
      <c r="P530" s="1254"/>
      <c r="Q530" s="1254"/>
      <c r="R530" s="1254"/>
      <c r="S530" s="1254"/>
      <c r="T530" s="1254"/>
      <c r="U530" s="1254"/>
      <c r="V530" s="1254"/>
      <c r="W530" s="1254"/>
      <c r="X530" s="1254"/>
      <c r="Y530" s="1254"/>
      <c r="Z530" s="1254"/>
    </row>
    <row r="531">
      <c r="A531" s="1254"/>
      <c r="B531" s="1263"/>
      <c r="C531" s="1317"/>
      <c r="D531" s="1263"/>
      <c r="E531" s="1318"/>
      <c r="F531" s="1254"/>
      <c r="G531" s="1319"/>
      <c r="H531" s="1254"/>
      <c r="I531" s="1254"/>
      <c r="J531" s="1254"/>
      <c r="K531" s="1320"/>
      <c r="L531" s="1254"/>
      <c r="M531" s="1254"/>
      <c r="N531" s="1254"/>
      <c r="O531" s="1254"/>
      <c r="P531" s="1254"/>
      <c r="Q531" s="1254"/>
      <c r="R531" s="1254"/>
      <c r="S531" s="1254"/>
      <c r="T531" s="1254"/>
      <c r="U531" s="1254"/>
      <c r="V531" s="1254"/>
      <c r="W531" s="1254"/>
      <c r="X531" s="1254"/>
      <c r="Y531" s="1254"/>
      <c r="Z531" s="1254"/>
    </row>
    <row r="532">
      <c r="A532" s="1254"/>
      <c r="B532" s="1263"/>
      <c r="C532" s="1317"/>
      <c r="D532" s="1263"/>
      <c r="E532" s="1318"/>
      <c r="F532" s="1254"/>
      <c r="G532" s="1319"/>
      <c r="H532" s="1254"/>
      <c r="I532" s="1254"/>
      <c r="J532" s="1254"/>
      <c r="K532" s="1320"/>
      <c r="L532" s="1254"/>
      <c r="M532" s="1254"/>
      <c r="N532" s="1254"/>
      <c r="O532" s="1254"/>
      <c r="P532" s="1254"/>
      <c r="Q532" s="1254"/>
      <c r="R532" s="1254"/>
      <c r="S532" s="1254"/>
      <c r="T532" s="1254"/>
      <c r="U532" s="1254"/>
      <c r="V532" s="1254"/>
      <c r="W532" s="1254"/>
      <c r="X532" s="1254"/>
      <c r="Y532" s="1254"/>
      <c r="Z532" s="1254"/>
    </row>
    <row r="533">
      <c r="A533" s="1254"/>
      <c r="B533" s="1263"/>
      <c r="C533" s="1317"/>
      <c r="D533" s="1263"/>
      <c r="E533" s="1318"/>
      <c r="F533" s="1254"/>
      <c r="G533" s="1319"/>
      <c r="H533" s="1254"/>
      <c r="I533" s="1254"/>
      <c r="J533" s="1254"/>
      <c r="K533" s="1320"/>
      <c r="L533" s="1254"/>
      <c r="M533" s="1254"/>
      <c r="N533" s="1254"/>
      <c r="O533" s="1254"/>
      <c r="P533" s="1254"/>
      <c r="Q533" s="1254"/>
      <c r="R533" s="1254"/>
      <c r="S533" s="1254"/>
      <c r="T533" s="1254"/>
      <c r="U533" s="1254"/>
      <c r="V533" s="1254"/>
      <c r="W533" s="1254"/>
      <c r="X533" s="1254"/>
      <c r="Y533" s="1254"/>
      <c r="Z533" s="1254"/>
    </row>
    <row r="534">
      <c r="A534" s="1254"/>
      <c r="B534" s="1263"/>
      <c r="C534" s="1317"/>
      <c r="D534" s="1263"/>
      <c r="E534" s="1318"/>
      <c r="F534" s="1254"/>
      <c r="G534" s="1319"/>
      <c r="H534" s="1254"/>
      <c r="I534" s="1254"/>
      <c r="J534" s="1254"/>
      <c r="K534" s="1320"/>
      <c r="L534" s="1254"/>
      <c r="M534" s="1254"/>
      <c r="N534" s="1254"/>
      <c r="O534" s="1254"/>
      <c r="P534" s="1254"/>
      <c r="Q534" s="1254"/>
      <c r="R534" s="1254"/>
      <c r="S534" s="1254"/>
      <c r="T534" s="1254"/>
      <c r="U534" s="1254"/>
      <c r="V534" s="1254"/>
      <c r="W534" s="1254"/>
      <c r="X534" s="1254"/>
      <c r="Y534" s="1254"/>
      <c r="Z534" s="1254"/>
    </row>
    <row r="535">
      <c r="A535" s="1254"/>
      <c r="B535" s="1263"/>
      <c r="C535" s="1317"/>
      <c r="D535" s="1263"/>
      <c r="E535" s="1318"/>
      <c r="F535" s="1254"/>
      <c r="G535" s="1319"/>
      <c r="H535" s="1254"/>
      <c r="I535" s="1254"/>
      <c r="J535" s="1254"/>
      <c r="K535" s="1320"/>
      <c r="L535" s="1254"/>
      <c r="M535" s="1254"/>
      <c r="N535" s="1254"/>
      <c r="O535" s="1254"/>
      <c r="P535" s="1254"/>
      <c r="Q535" s="1254"/>
      <c r="R535" s="1254"/>
      <c r="S535" s="1254"/>
      <c r="T535" s="1254"/>
      <c r="U535" s="1254"/>
      <c r="V535" s="1254"/>
      <c r="W535" s="1254"/>
      <c r="X535" s="1254"/>
      <c r="Y535" s="1254"/>
      <c r="Z535" s="1254"/>
    </row>
    <row r="536">
      <c r="A536" s="1254"/>
      <c r="B536" s="1263"/>
      <c r="C536" s="1317"/>
      <c r="D536" s="1263"/>
      <c r="E536" s="1318"/>
      <c r="F536" s="1254"/>
      <c r="G536" s="1319"/>
      <c r="H536" s="1254"/>
      <c r="I536" s="1254"/>
      <c r="J536" s="1254"/>
      <c r="K536" s="1320"/>
      <c r="L536" s="1254"/>
      <c r="M536" s="1254"/>
      <c r="N536" s="1254"/>
      <c r="O536" s="1254"/>
      <c r="P536" s="1254"/>
      <c r="Q536" s="1254"/>
      <c r="R536" s="1254"/>
      <c r="S536" s="1254"/>
      <c r="T536" s="1254"/>
      <c r="U536" s="1254"/>
      <c r="V536" s="1254"/>
      <c r="W536" s="1254"/>
      <c r="X536" s="1254"/>
      <c r="Y536" s="1254"/>
      <c r="Z536" s="1254"/>
    </row>
    <row r="537">
      <c r="A537" s="1254"/>
      <c r="B537" s="1263"/>
      <c r="C537" s="1317"/>
      <c r="D537" s="1263"/>
      <c r="E537" s="1318"/>
      <c r="F537" s="1254"/>
      <c r="G537" s="1319"/>
      <c r="H537" s="1254"/>
      <c r="I537" s="1254"/>
      <c r="J537" s="1254"/>
      <c r="K537" s="1320"/>
      <c r="L537" s="1254"/>
      <c r="M537" s="1254"/>
      <c r="N537" s="1254"/>
      <c r="O537" s="1254"/>
      <c r="P537" s="1254"/>
      <c r="Q537" s="1254"/>
      <c r="R537" s="1254"/>
      <c r="S537" s="1254"/>
      <c r="T537" s="1254"/>
      <c r="U537" s="1254"/>
      <c r="V537" s="1254"/>
      <c r="W537" s="1254"/>
      <c r="X537" s="1254"/>
      <c r="Y537" s="1254"/>
      <c r="Z537" s="1254"/>
    </row>
    <row r="538">
      <c r="A538" s="1254"/>
      <c r="B538" s="1263"/>
      <c r="C538" s="1317"/>
      <c r="D538" s="1263"/>
      <c r="E538" s="1318"/>
      <c r="F538" s="1254"/>
      <c r="G538" s="1319"/>
      <c r="H538" s="1254"/>
      <c r="I538" s="1254"/>
      <c r="J538" s="1254"/>
      <c r="K538" s="1320"/>
      <c r="L538" s="1254"/>
      <c r="M538" s="1254"/>
      <c r="N538" s="1254"/>
      <c r="O538" s="1254"/>
      <c r="P538" s="1254"/>
      <c r="Q538" s="1254"/>
      <c r="R538" s="1254"/>
      <c r="S538" s="1254"/>
      <c r="T538" s="1254"/>
      <c r="U538" s="1254"/>
      <c r="V538" s="1254"/>
      <c r="W538" s="1254"/>
      <c r="X538" s="1254"/>
      <c r="Y538" s="1254"/>
      <c r="Z538" s="1254"/>
    </row>
    <row r="539">
      <c r="A539" s="1254"/>
      <c r="B539" s="1263"/>
      <c r="C539" s="1317"/>
      <c r="D539" s="1263"/>
      <c r="E539" s="1318"/>
      <c r="F539" s="1254"/>
      <c r="G539" s="1319"/>
      <c r="H539" s="1254"/>
      <c r="I539" s="1254"/>
      <c r="J539" s="1254"/>
      <c r="K539" s="1320"/>
      <c r="L539" s="1254"/>
      <c r="M539" s="1254"/>
      <c r="N539" s="1254"/>
      <c r="O539" s="1254"/>
      <c r="P539" s="1254"/>
      <c r="Q539" s="1254"/>
      <c r="R539" s="1254"/>
      <c r="S539" s="1254"/>
      <c r="T539" s="1254"/>
      <c r="U539" s="1254"/>
      <c r="V539" s="1254"/>
      <c r="W539" s="1254"/>
      <c r="X539" s="1254"/>
      <c r="Y539" s="1254"/>
      <c r="Z539" s="1254"/>
    </row>
    <row r="540">
      <c r="A540" s="1254"/>
      <c r="B540" s="1263"/>
      <c r="C540" s="1317"/>
      <c r="D540" s="1263"/>
      <c r="E540" s="1318"/>
      <c r="F540" s="1254"/>
      <c r="G540" s="1319"/>
      <c r="H540" s="1254"/>
      <c r="I540" s="1254"/>
      <c r="J540" s="1254"/>
      <c r="K540" s="1320"/>
      <c r="L540" s="1254"/>
      <c r="M540" s="1254"/>
      <c r="N540" s="1254"/>
      <c r="O540" s="1254"/>
      <c r="P540" s="1254"/>
      <c r="Q540" s="1254"/>
      <c r="R540" s="1254"/>
      <c r="S540" s="1254"/>
      <c r="T540" s="1254"/>
      <c r="U540" s="1254"/>
      <c r="V540" s="1254"/>
      <c r="W540" s="1254"/>
      <c r="X540" s="1254"/>
      <c r="Y540" s="1254"/>
      <c r="Z540" s="1254"/>
    </row>
    <row r="541">
      <c r="A541" s="1254"/>
      <c r="B541" s="1263"/>
      <c r="C541" s="1317"/>
      <c r="D541" s="1263"/>
      <c r="E541" s="1318"/>
      <c r="F541" s="1254"/>
      <c r="G541" s="1319"/>
      <c r="H541" s="1254"/>
      <c r="I541" s="1254"/>
      <c r="J541" s="1254"/>
      <c r="K541" s="1320"/>
      <c r="L541" s="1254"/>
      <c r="M541" s="1254"/>
      <c r="N541" s="1254"/>
      <c r="O541" s="1254"/>
      <c r="P541" s="1254"/>
      <c r="Q541" s="1254"/>
      <c r="R541" s="1254"/>
      <c r="S541" s="1254"/>
      <c r="T541" s="1254"/>
      <c r="U541" s="1254"/>
      <c r="V541" s="1254"/>
      <c r="W541" s="1254"/>
      <c r="X541" s="1254"/>
      <c r="Y541" s="1254"/>
      <c r="Z541" s="1254"/>
    </row>
    <row r="542">
      <c r="A542" s="1254"/>
      <c r="B542" s="1263"/>
      <c r="C542" s="1317"/>
      <c r="D542" s="1263"/>
      <c r="E542" s="1318"/>
      <c r="F542" s="1254"/>
      <c r="G542" s="1319"/>
      <c r="H542" s="1254"/>
      <c r="I542" s="1254"/>
      <c r="J542" s="1254"/>
      <c r="K542" s="1320"/>
      <c r="L542" s="1254"/>
      <c r="M542" s="1254"/>
      <c r="N542" s="1254"/>
      <c r="O542" s="1254"/>
      <c r="P542" s="1254"/>
      <c r="Q542" s="1254"/>
      <c r="R542" s="1254"/>
      <c r="S542" s="1254"/>
      <c r="T542" s="1254"/>
      <c r="U542" s="1254"/>
      <c r="V542" s="1254"/>
      <c r="W542" s="1254"/>
      <c r="X542" s="1254"/>
      <c r="Y542" s="1254"/>
      <c r="Z542" s="1254"/>
    </row>
    <row r="543">
      <c r="A543" s="1254"/>
      <c r="B543" s="1263"/>
      <c r="C543" s="1317"/>
      <c r="D543" s="1263"/>
      <c r="E543" s="1318"/>
      <c r="F543" s="1254"/>
      <c r="G543" s="1319"/>
      <c r="H543" s="1254"/>
      <c r="I543" s="1254"/>
      <c r="J543" s="1254"/>
      <c r="K543" s="1320"/>
      <c r="L543" s="1254"/>
      <c r="M543" s="1254"/>
      <c r="N543" s="1254"/>
      <c r="O543" s="1254"/>
      <c r="P543" s="1254"/>
      <c r="Q543" s="1254"/>
      <c r="R543" s="1254"/>
      <c r="S543" s="1254"/>
      <c r="T543" s="1254"/>
      <c r="U543" s="1254"/>
      <c r="V543" s="1254"/>
      <c r="W543" s="1254"/>
      <c r="X543" s="1254"/>
      <c r="Y543" s="1254"/>
      <c r="Z543" s="1254"/>
    </row>
    <row r="544">
      <c r="A544" s="1254"/>
      <c r="B544" s="1263"/>
      <c r="C544" s="1317"/>
      <c r="D544" s="1263"/>
      <c r="E544" s="1318"/>
      <c r="F544" s="1254"/>
      <c r="G544" s="1319"/>
      <c r="H544" s="1254"/>
      <c r="I544" s="1254"/>
      <c r="J544" s="1254"/>
      <c r="K544" s="1320"/>
      <c r="L544" s="1254"/>
      <c r="M544" s="1254"/>
      <c r="N544" s="1254"/>
      <c r="O544" s="1254"/>
      <c r="P544" s="1254"/>
      <c r="Q544" s="1254"/>
      <c r="R544" s="1254"/>
      <c r="S544" s="1254"/>
      <c r="T544" s="1254"/>
      <c r="U544" s="1254"/>
      <c r="V544" s="1254"/>
      <c r="W544" s="1254"/>
      <c r="X544" s="1254"/>
      <c r="Y544" s="1254"/>
      <c r="Z544" s="1254"/>
    </row>
    <row r="545">
      <c r="A545" s="1254"/>
      <c r="B545" s="1263"/>
      <c r="C545" s="1317"/>
      <c r="D545" s="1263"/>
      <c r="E545" s="1318"/>
      <c r="F545" s="1254"/>
      <c r="G545" s="1319"/>
      <c r="H545" s="1254"/>
      <c r="I545" s="1254"/>
      <c r="J545" s="1254"/>
      <c r="K545" s="1320"/>
      <c r="L545" s="1254"/>
      <c r="M545" s="1254"/>
      <c r="N545" s="1254"/>
      <c r="O545" s="1254"/>
      <c r="P545" s="1254"/>
      <c r="Q545" s="1254"/>
      <c r="R545" s="1254"/>
      <c r="S545" s="1254"/>
      <c r="T545" s="1254"/>
      <c r="U545" s="1254"/>
      <c r="V545" s="1254"/>
      <c r="W545" s="1254"/>
      <c r="X545" s="1254"/>
      <c r="Y545" s="1254"/>
      <c r="Z545" s="1254"/>
    </row>
    <row r="546">
      <c r="A546" s="1254"/>
      <c r="B546" s="1263"/>
      <c r="C546" s="1317"/>
      <c r="D546" s="1263"/>
      <c r="E546" s="1318"/>
      <c r="F546" s="1254"/>
      <c r="G546" s="1319"/>
      <c r="H546" s="1254"/>
      <c r="I546" s="1254"/>
      <c r="J546" s="1254"/>
      <c r="K546" s="1320"/>
      <c r="L546" s="1254"/>
      <c r="M546" s="1254"/>
      <c r="N546" s="1254"/>
      <c r="O546" s="1254"/>
      <c r="P546" s="1254"/>
      <c r="Q546" s="1254"/>
      <c r="R546" s="1254"/>
      <c r="S546" s="1254"/>
      <c r="T546" s="1254"/>
      <c r="U546" s="1254"/>
      <c r="V546" s="1254"/>
      <c r="W546" s="1254"/>
      <c r="X546" s="1254"/>
      <c r="Y546" s="1254"/>
      <c r="Z546" s="1254"/>
    </row>
    <row r="547">
      <c r="A547" s="1254"/>
      <c r="B547" s="1263"/>
      <c r="C547" s="1317"/>
      <c r="D547" s="1263"/>
      <c r="E547" s="1318"/>
      <c r="F547" s="1254"/>
      <c r="G547" s="1319"/>
      <c r="H547" s="1254"/>
      <c r="I547" s="1254"/>
      <c r="J547" s="1254"/>
      <c r="K547" s="1320"/>
      <c r="L547" s="1254"/>
      <c r="M547" s="1254"/>
      <c r="N547" s="1254"/>
      <c r="O547" s="1254"/>
      <c r="P547" s="1254"/>
      <c r="Q547" s="1254"/>
      <c r="R547" s="1254"/>
      <c r="S547" s="1254"/>
      <c r="T547" s="1254"/>
      <c r="U547" s="1254"/>
      <c r="V547" s="1254"/>
      <c r="W547" s="1254"/>
      <c r="X547" s="1254"/>
      <c r="Y547" s="1254"/>
      <c r="Z547" s="1254"/>
    </row>
    <row r="548">
      <c r="A548" s="1254"/>
      <c r="B548" s="1263"/>
      <c r="C548" s="1317"/>
      <c r="D548" s="1263"/>
      <c r="E548" s="1318"/>
      <c r="F548" s="1254"/>
      <c r="G548" s="1319"/>
      <c r="H548" s="1254"/>
      <c r="I548" s="1254"/>
      <c r="J548" s="1254"/>
      <c r="K548" s="1320"/>
      <c r="L548" s="1254"/>
      <c r="M548" s="1254"/>
      <c r="N548" s="1254"/>
      <c r="O548" s="1254"/>
      <c r="P548" s="1254"/>
      <c r="Q548" s="1254"/>
      <c r="R548" s="1254"/>
      <c r="S548" s="1254"/>
      <c r="T548" s="1254"/>
      <c r="U548" s="1254"/>
      <c r="V548" s="1254"/>
      <c r="W548" s="1254"/>
      <c r="X548" s="1254"/>
      <c r="Y548" s="1254"/>
      <c r="Z548" s="1254"/>
    </row>
    <row r="549">
      <c r="A549" s="1254"/>
      <c r="B549" s="1263"/>
      <c r="C549" s="1317"/>
      <c r="D549" s="1263"/>
      <c r="E549" s="1318"/>
      <c r="F549" s="1254"/>
      <c r="G549" s="1319"/>
      <c r="H549" s="1254"/>
      <c r="I549" s="1254"/>
      <c r="J549" s="1254"/>
      <c r="K549" s="1320"/>
      <c r="L549" s="1254"/>
      <c r="M549" s="1254"/>
      <c r="N549" s="1254"/>
      <c r="O549" s="1254"/>
      <c r="P549" s="1254"/>
      <c r="Q549" s="1254"/>
      <c r="R549" s="1254"/>
      <c r="S549" s="1254"/>
      <c r="T549" s="1254"/>
      <c r="U549" s="1254"/>
      <c r="V549" s="1254"/>
      <c r="W549" s="1254"/>
      <c r="X549" s="1254"/>
      <c r="Y549" s="1254"/>
      <c r="Z549" s="1254"/>
    </row>
    <row r="550">
      <c r="A550" s="1254"/>
      <c r="B550" s="1263"/>
      <c r="C550" s="1317"/>
      <c r="D550" s="1263"/>
      <c r="E550" s="1318"/>
      <c r="F550" s="1254"/>
      <c r="G550" s="1319"/>
      <c r="H550" s="1254"/>
      <c r="I550" s="1254"/>
      <c r="J550" s="1254"/>
      <c r="K550" s="1320"/>
      <c r="L550" s="1254"/>
      <c r="M550" s="1254"/>
      <c r="N550" s="1254"/>
      <c r="O550" s="1254"/>
      <c r="P550" s="1254"/>
      <c r="Q550" s="1254"/>
      <c r="R550" s="1254"/>
      <c r="S550" s="1254"/>
      <c r="T550" s="1254"/>
      <c r="U550" s="1254"/>
      <c r="V550" s="1254"/>
      <c r="W550" s="1254"/>
      <c r="X550" s="1254"/>
      <c r="Y550" s="1254"/>
      <c r="Z550" s="1254"/>
    </row>
    <row r="551">
      <c r="A551" s="1254"/>
      <c r="B551" s="1263"/>
      <c r="C551" s="1317"/>
      <c r="D551" s="1263"/>
      <c r="E551" s="1318"/>
      <c r="F551" s="1254"/>
      <c r="G551" s="1319"/>
      <c r="H551" s="1254"/>
      <c r="I551" s="1254"/>
      <c r="J551" s="1254"/>
      <c r="K551" s="1320"/>
      <c r="L551" s="1254"/>
      <c r="M551" s="1254"/>
      <c r="N551" s="1254"/>
      <c r="O551" s="1254"/>
      <c r="P551" s="1254"/>
      <c r="Q551" s="1254"/>
      <c r="R551" s="1254"/>
      <c r="S551" s="1254"/>
      <c r="T551" s="1254"/>
      <c r="U551" s="1254"/>
      <c r="V551" s="1254"/>
      <c r="W551" s="1254"/>
      <c r="X551" s="1254"/>
      <c r="Y551" s="1254"/>
      <c r="Z551" s="1254"/>
    </row>
    <row r="552">
      <c r="A552" s="1254"/>
      <c r="B552" s="1263"/>
      <c r="C552" s="1317"/>
      <c r="D552" s="1263"/>
      <c r="E552" s="1318"/>
      <c r="F552" s="1254"/>
      <c r="G552" s="1319"/>
      <c r="H552" s="1254"/>
      <c r="I552" s="1254"/>
      <c r="J552" s="1254"/>
      <c r="K552" s="1320"/>
      <c r="L552" s="1254"/>
      <c r="M552" s="1254"/>
      <c r="N552" s="1254"/>
      <c r="O552" s="1254"/>
      <c r="P552" s="1254"/>
      <c r="Q552" s="1254"/>
      <c r="R552" s="1254"/>
      <c r="S552" s="1254"/>
      <c r="T552" s="1254"/>
      <c r="U552" s="1254"/>
      <c r="V552" s="1254"/>
      <c r="W552" s="1254"/>
      <c r="X552" s="1254"/>
      <c r="Y552" s="1254"/>
      <c r="Z552" s="1254"/>
    </row>
    <row r="553">
      <c r="A553" s="1254"/>
      <c r="B553" s="1263"/>
      <c r="C553" s="1317"/>
      <c r="D553" s="1263"/>
      <c r="E553" s="1318"/>
      <c r="F553" s="1254"/>
      <c r="G553" s="1319"/>
      <c r="H553" s="1254"/>
      <c r="I553" s="1254"/>
      <c r="J553" s="1254"/>
      <c r="K553" s="1320"/>
      <c r="L553" s="1254"/>
      <c r="M553" s="1254"/>
      <c r="N553" s="1254"/>
      <c r="O553" s="1254"/>
      <c r="P553" s="1254"/>
      <c r="Q553" s="1254"/>
      <c r="R553" s="1254"/>
      <c r="S553" s="1254"/>
      <c r="T553" s="1254"/>
      <c r="U553" s="1254"/>
      <c r="V553" s="1254"/>
      <c r="W553" s="1254"/>
      <c r="X553" s="1254"/>
      <c r="Y553" s="1254"/>
      <c r="Z553" s="1254"/>
    </row>
    <row r="554">
      <c r="A554" s="1254"/>
      <c r="B554" s="1263"/>
      <c r="C554" s="1317"/>
      <c r="D554" s="1263"/>
      <c r="E554" s="1318"/>
      <c r="F554" s="1254"/>
      <c r="G554" s="1319"/>
      <c r="H554" s="1254"/>
      <c r="I554" s="1254"/>
      <c r="J554" s="1254"/>
      <c r="K554" s="1320"/>
      <c r="L554" s="1254"/>
      <c r="M554" s="1254"/>
      <c r="N554" s="1254"/>
      <c r="O554" s="1254"/>
      <c r="P554" s="1254"/>
      <c r="Q554" s="1254"/>
      <c r="R554" s="1254"/>
      <c r="S554" s="1254"/>
      <c r="T554" s="1254"/>
      <c r="U554" s="1254"/>
      <c r="V554" s="1254"/>
      <c r="W554" s="1254"/>
      <c r="X554" s="1254"/>
      <c r="Y554" s="1254"/>
      <c r="Z554" s="1254"/>
    </row>
    <row r="555">
      <c r="A555" s="1254"/>
      <c r="B555" s="1263"/>
      <c r="C555" s="1317"/>
      <c r="D555" s="1263"/>
      <c r="E555" s="1318"/>
      <c r="F555" s="1254"/>
      <c r="G555" s="1319"/>
      <c r="H555" s="1254"/>
      <c r="I555" s="1254"/>
      <c r="J555" s="1254"/>
      <c r="K555" s="1320"/>
      <c r="L555" s="1254"/>
      <c r="M555" s="1254"/>
      <c r="N555" s="1254"/>
      <c r="O555" s="1254"/>
      <c r="P555" s="1254"/>
      <c r="Q555" s="1254"/>
      <c r="R555" s="1254"/>
      <c r="S555" s="1254"/>
      <c r="T555" s="1254"/>
      <c r="U555" s="1254"/>
      <c r="V555" s="1254"/>
      <c r="W555" s="1254"/>
      <c r="X555" s="1254"/>
      <c r="Y555" s="1254"/>
      <c r="Z555" s="1254"/>
    </row>
    <row r="556">
      <c r="A556" s="1254"/>
      <c r="B556" s="1263"/>
      <c r="C556" s="1317"/>
      <c r="D556" s="1263"/>
      <c r="E556" s="1318"/>
      <c r="F556" s="1254"/>
      <c r="G556" s="1319"/>
      <c r="H556" s="1254"/>
      <c r="I556" s="1254"/>
      <c r="J556" s="1254"/>
      <c r="K556" s="1320"/>
      <c r="L556" s="1254"/>
      <c r="M556" s="1254"/>
      <c r="N556" s="1254"/>
      <c r="O556" s="1254"/>
      <c r="P556" s="1254"/>
      <c r="Q556" s="1254"/>
      <c r="R556" s="1254"/>
      <c r="S556" s="1254"/>
      <c r="T556" s="1254"/>
      <c r="U556" s="1254"/>
      <c r="V556" s="1254"/>
      <c r="W556" s="1254"/>
      <c r="X556" s="1254"/>
      <c r="Y556" s="1254"/>
      <c r="Z556" s="1254"/>
    </row>
    <row r="557">
      <c r="A557" s="1254"/>
      <c r="B557" s="1263"/>
      <c r="C557" s="1317"/>
      <c r="D557" s="1263"/>
      <c r="E557" s="1318"/>
      <c r="F557" s="1254"/>
      <c r="G557" s="1319"/>
      <c r="H557" s="1254"/>
      <c r="I557" s="1254"/>
      <c r="J557" s="1254"/>
      <c r="K557" s="1320"/>
      <c r="L557" s="1254"/>
      <c r="M557" s="1254"/>
      <c r="N557" s="1254"/>
      <c r="O557" s="1254"/>
      <c r="P557" s="1254"/>
      <c r="Q557" s="1254"/>
      <c r="R557" s="1254"/>
      <c r="S557" s="1254"/>
      <c r="T557" s="1254"/>
      <c r="U557" s="1254"/>
      <c r="V557" s="1254"/>
      <c r="W557" s="1254"/>
      <c r="X557" s="1254"/>
      <c r="Y557" s="1254"/>
      <c r="Z557" s="1254"/>
    </row>
    <row r="558">
      <c r="A558" s="1254"/>
      <c r="B558" s="1263"/>
      <c r="C558" s="1317"/>
      <c r="D558" s="1263"/>
      <c r="E558" s="1318"/>
      <c r="F558" s="1254"/>
      <c r="G558" s="1319"/>
      <c r="H558" s="1254"/>
      <c r="I558" s="1254"/>
      <c r="J558" s="1254"/>
      <c r="K558" s="1320"/>
      <c r="L558" s="1254"/>
      <c r="M558" s="1254"/>
      <c r="N558" s="1254"/>
      <c r="O558" s="1254"/>
      <c r="P558" s="1254"/>
      <c r="Q558" s="1254"/>
      <c r="R558" s="1254"/>
      <c r="S558" s="1254"/>
      <c r="T558" s="1254"/>
      <c r="U558" s="1254"/>
      <c r="V558" s="1254"/>
      <c r="W558" s="1254"/>
      <c r="X558" s="1254"/>
      <c r="Y558" s="1254"/>
      <c r="Z558" s="1254"/>
    </row>
    <row r="559">
      <c r="A559" s="1254"/>
      <c r="B559" s="1263"/>
      <c r="C559" s="1317"/>
      <c r="D559" s="1263"/>
      <c r="E559" s="1318"/>
      <c r="F559" s="1254"/>
      <c r="G559" s="1319"/>
      <c r="H559" s="1254"/>
      <c r="I559" s="1254"/>
      <c r="J559" s="1254"/>
      <c r="K559" s="1320"/>
      <c r="L559" s="1254"/>
      <c r="M559" s="1254"/>
      <c r="N559" s="1254"/>
      <c r="O559" s="1254"/>
      <c r="P559" s="1254"/>
      <c r="Q559" s="1254"/>
      <c r="R559" s="1254"/>
      <c r="S559" s="1254"/>
      <c r="T559" s="1254"/>
      <c r="U559" s="1254"/>
      <c r="V559" s="1254"/>
      <c r="W559" s="1254"/>
      <c r="X559" s="1254"/>
      <c r="Y559" s="1254"/>
      <c r="Z559" s="1254"/>
    </row>
    <row r="560">
      <c r="A560" s="1254"/>
      <c r="B560" s="1263"/>
      <c r="C560" s="1317"/>
      <c r="D560" s="1263"/>
      <c r="E560" s="1318"/>
      <c r="F560" s="1254"/>
      <c r="G560" s="1319"/>
      <c r="H560" s="1254"/>
      <c r="I560" s="1254"/>
      <c r="J560" s="1254"/>
      <c r="K560" s="1320"/>
      <c r="L560" s="1254"/>
      <c r="M560" s="1254"/>
      <c r="N560" s="1254"/>
      <c r="O560" s="1254"/>
      <c r="P560" s="1254"/>
      <c r="Q560" s="1254"/>
      <c r="R560" s="1254"/>
      <c r="S560" s="1254"/>
      <c r="T560" s="1254"/>
      <c r="U560" s="1254"/>
      <c r="V560" s="1254"/>
      <c r="W560" s="1254"/>
      <c r="X560" s="1254"/>
      <c r="Y560" s="1254"/>
      <c r="Z560" s="1254"/>
    </row>
    <row r="561">
      <c r="A561" s="1254"/>
      <c r="B561" s="1263"/>
      <c r="C561" s="1317"/>
      <c r="D561" s="1263"/>
      <c r="E561" s="1318"/>
      <c r="F561" s="1254"/>
      <c r="G561" s="1319"/>
      <c r="H561" s="1254"/>
      <c r="I561" s="1254"/>
      <c r="J561" s="1254"/>
      <c r="K561" s="1320"/>
      <c r="L561" s="1254"/>
      <c r="M561" s="1254"/>
      <c r="N561" s="1254"/>
      <c r="O561" s="1254"/>
      <c r="P561" s="1254"/>
      <c r="Q561" s="1254"/>
      <c r="R561" s="1254"/>
      <c r="S561" s="1254"/>
      <c r="T561" s="1254"/>
      <c r="U561" s="1254"/>
      <c r="V561" s="1254"/>
      <c r="W561" s="1254"/>
      <c r="X561" s="1254"/>
      <c r="Y561" s="1254"/>
      <c r="Z561" s="1254"/>
    </row>
    <row r="562">
      <c r="A562" s="1254"/>
      <c r="B562" s="1263"/>
      <c r="C562" s="1317"/>
      <c r="D562" s="1263"/>
      <c r="E562" s="1318"/>
      <c r="F562" s="1254"/>
      <c r="G562" s="1319"/>
      <c r="H562" s="1254"/>
      <c r="I562" s="1254"/>
      <c r="J562" s="1254"/>
      <c r="K562" s="1320"/>
      <c r="L562" s="1254"/>
      <c r="M562" s="1254"/>
      <c r="N562" s="1254"/>
      <c r="O562" s="1254"/>
      <c r="P562" s="1254"/>
      <c r="Q562" s="1254"/>
      <c r="R562" s="1254"/>
      <c r="S562" s="1254"/>
      <c r="T562" s="1254"/>
      <c r="U562" s="1254"/>
      <c r="V562" s="1254"/>
      <c r="W562" s="1254"/>
      <c r="X562" s="1254"/>
      <c r="Y562" s="1254"/>
      <c r="Z562" s="1254"/>
    </row>
    <row r="563">
      <c r="A563" s="1254"/>
      <c r="B563" s="1263"/>
      <c r="C563" s="1317"/>
      <c r="D563" s="1263"/>
      <c r="E563" s="1318"/>
      <c r="F563" s="1254"/>
      <c r="G563" s="1319"/>
      <c r="H563" s="1254"/>
      <c r="I563" s="1254"/>
      <c r="J563" s="1254"/>
      <c r="K563" s="1320"/>
      <c r="L563" s="1254"/>
      <c r="M563" s="1254"/>
      <c r="N563" s="1254"/>
      <c r="O563" s="1254"/>
      <c r="P563" s="1254"/>
      <c r="Q563" s="1254"/>
      <c r="R563" s="1254"/>
      <c r="S563" s="1254"/>
      <c r="T563" s="1254"/>
      <c r="U563" s="1254"/>
      <c r="V563" s="1254"/>
      <c r="W563" s="1254"/>
      <c r="X563" s="1254"/>
      <c r="Y563" s="1254"/>
      <c r="Z563" s="1254"/>
    </row>
    <row r="564">
      <c r="A564" s="1254"/>
      <c r="B564" s="1263"/>
      <c r="C564" s="1317"/>
      <c r="D564" s="1263"/>
      <c r="E564" s="1318"/>
      <c r="F564" s="1254"/>
      <c r="G564" s="1319"/>
      <c r="H564" s="1254"/>
      <c r="I564" s="1254"/>
      <c r="J564" s="1254"/>
      <c r="K564" s="1320"/>
      <c r="L564" s="1254"/>
      <c r="M564" s="1254"/>
      <c r="N564" s="1254"/>
      <c r="O564" s="1254"/>
      <c r="P564" s="1254"/>
      <c r="Q564" s="1254"/>
      <c r="R564" s="1254"/>
      <c r="S564" s="1254"/>
      <c r="T564" s="1254"/>
      <c r="U564" s="1254"/>
      <c r="V564" s="1254"/>
      <c r="W564" s="1254"/>
      <c r="X564" s="1254"/>
      <c r="Y564" s="1254"/>
      <c r="Z564" s="1254"/>
    </row>
    <row r="565">
      <c r="A565" s="1254"/>
      <c r="B565" s="1263"/>
      <c r="C565" s="1317"/>
      <c r="D565" s="1263"/>
      <c r="E565" s="1318"/>
      <c r="F565" s="1254"/>
      <c r="G565" s="1319"/>
      <c r="H565" s="1254"/>
      <c r="I565" s="1254"/>
      <c r="J565" s="1254"/>
      <c r="K565" s="1320"/>
      <c r="L565" s="1254"/>
      <c r="M565" s="1254"/>
      <c r="N565" s="1254"/>
      <c r="O565" s="1254"/>
      <c r="P565" s="1254"/>
      <c r="Q565" s="1254"/>
      <c r="R565" s="1254"/>
      <c r="S565" s="1254"/>
      <c r="T565" s="1254"/>
      <c r="U565" s="1254"/>
      <c r="V565" s="1254"/>
      <c r="W565" s="1254"/>
      <c r="X565" s="1254"/>
      <c r="Y565" s="1254"/>
      <c r="Z565" s="1254"/>
    </row>
    <row r="566">
      <c r="A566" s="1254"/>
      <c r="B566" s="1263"/>
      <c r="C566" s="1317"/>
      <c r="D566" s="1263"/>
      <c r="E566" s="1318"/>
      <c r="F566" s="1254"/>
      <c r="G566" s="1319"/>
      <c r="H566" s="1254"/>
      <c r="I566" s="1254"/>
      <c r="J566" s="1254"/>
      <c r="K566" s="1320"/>
      <c r="L566" s="1254"/>
      <c r="M566" s="1254"/>
      <c r="N566" s="1254"/>
      <c r="O566" s="1254"/>
      <c r="P566" s="1254"/>
      <c r="Q566" s="1254"/>
      <c r="R566" s="1254"/>
      <c r="S566" s="1254"/>
      <c r="T566" s="1254"/>
      <c r="U566" s="1254"/>
      <c r="V566" s="1254"/>
      <c r="W566" s="1254"/>
      <c r="X566" s="1254"/>
      <c r="Y566" s="1254"/>
      <c r="Z566" s="1254"/>
    </row>
    <row r="567">
      <c r="A567" s="1254"/>
      <c r="B567" s="1263"/>
      <c r="C567" s="1317"/>
      <c r="D567" s="1263"/>
      <c r="E567" s="1318"/>
      <c r="F567" s="1254"/>
      <c r="G567" s="1319"/>
      <c r="H567" s="1254"/>
      <c r="I567" s="1254"/>
      <c r="J567" s="1254"/>
      <c r="K567" s="1320"/>
      <c r="L567" s="1254"/>
      <c r="M567" s="1254"/>
      <c r="N567" s="1254"/>
      <c r="O567" s="1254"/>
      <c r="P567" s="1254"/>
      <c r="Q567" s="1254"/>
      <c r="R567" s="1254"/>
      <c r="S567" s="1254"/>
      <c r="T567" s="1254"/>
      <c r="U567" s="1254"/>
      <c r="V567" s="1254"/>
      <c r="W567" s="1254"/>
      <c r="X567" s="1254"/>
      <c r="Y567" s="1254"/>
      <c r="Z567" s="1254"/>
    </row>
    <row r="568">
      <c r="A568" s="1254"/>
      <c r="B568" s="1263"/>
      <c r="C568" s="1317"/>
      <c r="D568" s="1263"/>
      <c r="E568" s="1318"/>
      <c r="F568" s="1254"/>
      <c r="G568" s="1319"/>
      <c r="H568" s="1254"/>
      <c r="I568" s="1254"/>
      <c r="J568" s="1254"/>
      <c r="K568" s="1320"/>
      <c r="L568" s="1254"/>
      <c r="M568" s="1254"/>
      <c r="N568" s="1254"/>
      <c r="O568" s="1254"/>
      <c r="P568" s="1254"/>
      <c r="Q568" s="1254"/>
      <c r="R568" s="1254"/>
      <c r="S568" s="1254"/>
      <c r="T568" s="1254"/>
      <c r="U568" s="1254"/>
      <c r="V568" s="1254"/>
      <c r="W568" s="1254"/>
      <c r="X568" s="1254"/>
      <c r="Y568" s="1254"/>
      <c r="Z568" s="1254"/>
    </row>
    <row r="569">
      <c r="A569" s="1254"/>
      <c r="B569" s="1263"/>
      <c r="C569" s="1317"/>
      <c r="D569" s="1263"/>
      <c r="E569" s="1318"/>
      <c r="F569" s="1254"/>
      <c r="G569" s="1319"/>
      <c r="H569" s="1254"/>
      <c r="I569" s="1254"/>
      <c r="J569" s="1254"/>
      <c r="K569" s="1320"/>
      <c r="L569" s="1254"/>
      <c r="M569" s="1254"/>
      <c r="N569" s="1254"/>
      <c r="O569" s="1254"/>
      <c r="P569" s="1254"/>
      <c r="Q569" s="1254"/>
      <c r="R569" s="1254"/>
      <c r="S569" s="1254"/>
      <c r="T569" s="1254"/>
      <c r="U569" s="1254"/>
      <c r="V569" s="1254"/>
      <c r="W569" s="1254"/>
      <c r="X569" s="1254"/>
      <c r="Y569" s="1254"/>
      <c r="Z569" s="1254"/>
    </row>
    <row r="570">
      <c r="A570" s="1254"/>
      <c r="B570" s="1263"/>
      <c r="C570" s="1317"/>
      <c r="D570" s="1263"/>
      <c r="E570" s="1318"/>
      <c r="F570" s="1254"/>
      <c r="G570" s="1319"/>
      <c r="H570" s="1254"/>
      <c r="I570" s="1254"/>
      <c r="J570" s="1254"/>
      <c r="K570" s="1320"/>
      <c r="L570" s="1254"/>
      <c r="M570" s="1254"/>
      <c r="N570" s="1254"/>
      <c r="O570" s="1254"/>
      <c r="P570" s="1254"/>
      <c r="Q570" s="1254"/>
      <c r="R570" s="1254"/>
      <c r="S570" s="1254"/>
      <c r="T570" s="1254"/>
      <c r="U570" s="1254"/>
      <c r="V570" s="1254"/>
      <c r="W570" s="1254"/>
      <c r="X570" s="1254"/>
      <c r="Y570" s="1254"/>
      <c r="Z570" s="1254"/>
    </row>
    <row r="571">
      <c r="A571" s="1254"/>
      <c r="B571" s="1263"/>
      <c r="C571" s="1317"/>
      <c r="D571" s="1263"/>
      <c r="E571" s="1318"/>
      <c r="F571" s="1254"/>
      <c r="G571" s="1319"/>
      <c r="H571" s="1254"/>
      <c r="I571" s="1254"/>
      <c r="J571" s="1254"/>
      <c r="K571" s="1320"/>
      <c r="L571" s="1254"/>
      <c r="M571" s="1254"/>
      <c r="N571" s="1254"/>
      <c r="O571" s="1254"/>
      <c r="P571" s="1254"/>
      <c r="Q571" s="1254"/>
      <c r="R571" s="1254"/>
      <c r="S571" s="1254"/>
      <c r="T571" s="1254"/>
      <c r="U571" s="1254"/>
      <c r="V571" s="1254"/>
      <c r="W571" s="1254"/>
      <c r="X571" s="1254"/>
      <c r="Y571" s="1254"/>
      <c r="Z571" s="1254"/>
    </row>
    <row r="572">
      <c r="A572" s="1254"/>
      <c r="B572" s="1263"/>
      <c r="C572" s="1317"/>
      <c r="D572" s="1263"/>
      <c r="E572" s="1318"/>
      <c r="F572" s="1254"/>
      <c r="G572" s="1319"/>
      <c r="H572" s="1254"/>
      <c r="I572" s="1254"/>
      <c r="J572" s="1254"/>
      <c r="K572" s="1320"/>
      <c r="L572" s="1254"/>
      <c r="M572" s="1254"/>
      <c r="N572" s="1254"/>
      <c r="O572" s="1254"/>
      <c r="P572" s="1254"/>
      <c r="Q572" s="1254"/>
      <c r="R572" s="1254"/>
      <c r="S572" s="1254"/>
      <c r="T572" s="1254"/>
      <c r="U572" s="1254"/>
      <c r="V572" s="1254"/>
      <c r="W572" s="1254"/>
      <c r="X572" s="1254"/>
      <c r="Y572" s="1254"/>
      <c r="Z572" s="1254"/>
    </row>
    <row r="573">
      <c r="A573" s="1254"/>
      <c r="B573" s="1263"/>
      <c r="C573" s="1317"/>
      <c r="D573" s="1263"/>
      <c r="E573" s="1318"/>
      <c r="F573" s="1254"/>
      <c r="G573" s="1319"/>
      <c r="H573" s="1254"/>
      <c r="I573" s="1254"/>
      <c r="J573" s="1254"/>
      <c r="K573" s="1320"/>
      <c r="L573" s="1254"/>
      <c r="M573" s="1254"/>
      <c r="N573" s="1254"/>
      <c r="O573" s="1254"/>
      <c r="P573" s="1254"/>
      <c r="Q573" s="1254"/>
      <c r="R573" s="1254"/>
      <c r="S573" s="1254"/>
      <c r="T573" s="1254"/>
      <c r="U573" s="1254"/>
      <c r="V573" s="1254"/>
      <c r="W573" s="1254"/>
      <c r="X573" s="1254"/>
      <c r="Y573" s="1254"/>
      <c r="Z573" s="1254"/>
    </row>
    <row r="574">
      <c r="A574" s="1254"/>
      <c r="B574" s="1263"/>
      <c r="C574" s="1317"/>
      <c r="D574" s="1263"/>
      <c r="E574" s="1318"/>
      <c r="F574" s="1254"/>
      <c r="G574" s="1319"/>
      <c r="H574" s="1254"/>
      <c r="I574" s="1254"/>
      <c r="J574" s="1254"/>
      <c r="K574" s="1320"/>
      <c r="L574" s="1254"/>
      <c r="M574" s="1254"/>
      <c r="N574" s="1254"/>
      <c r="O574" s="1254"/>
      <c r="P574" s="1254"/>
      <c r="Q574" s="1254"/>
      <c r="R574" s="1254"/>
      <c r="S574" s="1254"/>
      <c r="T574" s="1254"/>
      <c r="U574" s="1254"/>
      <c r="V574" s="1254"/>
      <c r="W574" s="1254"/>
      <c r="X574" s="1254"/>
      <c r="Y574" s="1254"/>
      <c r="Z574" s="1254"/>
    </row>
    <row r="575">
      <c r="A575" s="1254"/>
      <c r="B575" s="1263"/>
      <c r="C575" s="1317"/>
      <c r="D575" s="1263"/>
      <c r="E575" s="1318"/>
      <c r="F575" s="1254"/>
      <c r="G575" s="1319"/>
      <c r="H575" s="1254"/>
      <c r="I575" s="1254"/>
      <c r="J575" s="1254"/>
      <c r="K575" s="1320"/>
      <c r="L575" s="1254"/>
      <c r="M575" s="1254"/>
      <c r="N575" s="1254"/>
      <c r="O575" s="1254"/>
      <c r="P575" s="1254"/>
      <c r="Q575" s="1254"/>
      <c r="R575" s="1254"/>
      <c r="S575" s="1254"/>
      <c r="T575" s="1254"/>
      <c r="U575" s="1254"/>
      <c r="V575" s="1254"/>
      <c r="W575" s="1254"/>
      <c r="X575" s="1254"/>
      <c r="Y575" s="1254"/>
      <c r="Z575" s="1254"/>
    </row>
    <row r="576">
      <c r="A576" s="1254"/>
      <c r="B576" s="1263"/>
      <c r="C576" s="1317"/>
      <c r="D576" s="1263"/>
      <c r="E576" s="1318"/>
      <c r="F576" s="1254"/>
      <c r="G576" s="1319"/>
      <c r="H576" s="1254"/>
      <c r="I576" s="1254"/>
      <c r="J576" s="1254"/>
      <c r="K576" s="1320"/>
      <c r="L576" s="1254"/>
      <c r="M576" s="1254"/>
      <c r="N576" s="1254"/>
      <c r="O576" s="1254"/>
      <c r="P576" s="1254"/>
      <c r="Q576" s="1254"/>
      <c r="R576" s="1254"/>
      <c r="S576" s="1254"/>
      <c r="T576" s="1254"/>
      <c r="U576" s="1254"/>
      <c r="V576" s="1254"/>
      <c r="W576" s="1254"/>
      <c r="X576" s="1254"/>
      <c r="Y576" s="1254"/>
      <c r="Z576" s="1254"/>
    </row>
    <row r="577">
      <c r="A577" s="1254"/>
      <c r="B577" s="1263"/>
      <c r="C577" s="1317"/>
      <c r="D577" s="1263"/>
      <c r="E577" s="1318"/>
      <c r="F577" s="1254"/>
      <c r="G577" s="1319"/>
      <c r="H577" s="1254"/>
      <c r="I577" s="1254"/>
      <c r="J577" s="1254"/>
      <c r="K577" s="1320"/>
      <c r="L577" s="1254"/>
      <c r="M577" s="1254"/>
      <c r="N577" s="1254"/>
      <c r="O577" s="1254"/>
      <c r="P577" s="1254"/>
      <c r="Q577" s="1254"/>
      <c r="R577" s="1254"/>
      <c r="S577" s="1254"/>
      <c r="T577" s="1254"/>
      <c r="U577" s="1254"/>
      <c r="V577" s="1254"/>
      <c r="W577" s="1254"/>
      <c r="X577" s="1254"/>
      <c r="Y577" s="1254"/>
      <c r="Z577" s="1254"/>
    </row>
    <row r="578">
      <c r="A578" s="1254"/>
      <c r="B578" s="1263"/>
      <c r="C578" s="1317"/>
      <c r="D578" s="1263"/>
      <c r="E578" s="1318"/>
      <c r="F578" s="1254"/>
      <c r="G578" s="1319"/>
      <c r="H578" s="1254"/>
      <c r="I578" s="1254"/>
      <c r="J578" s="1254"/>
      <c r="K578" s="1320"/>
      <c r="L578" s="1254"/>
      <c r="M578" s="1254"/>
      <c r="N578" s="1254"/>
      <c r="O578" s="1254"/>
      <c r="P578" s="1254"/>
      <c r="Q578" s="1254"/>
      <c r="R578" s="1254"/>
      <c r="S578" s="1254"/>
      <c r="T578" s="1254"/>
      <c r="U578" s="1254"/>
      <c r="V578" s="1254"/>
      <c r="W578" s="1254"/>
      <c r="X578" s="1254"/>
      <c r="Y578" s="1254"/>
      <c r="Z578" s="1254"/>
    </row>
    <row r="579">
      <c r="A579" s="1254"/>
      <c r="B579" s="1263"/>
      <c r="C579" s="1317"/>
      <c r="D579" s="1263"/>
      <c r="E579" s="1318"/>
      <c r="F579" s="1254"/>
      <c r="G579" s="1319"/>
      <c r="H579" s="1254"/>
      <c r="I579" s="1254"/>
      <c r="J579" s="1254"/>
      <c r="K579" s="1320"/>
      <c r="L579" s="1254"/>
      <c r="M579" s="1254"/>
      <c r="N579" s="1254"/>
      <c r="O579" s="1254"/>
      <c r="P579" s="1254"/>
      <c r="Q579" s="1254"/>
      <c r="R579" s="1254"/>
      <c r="S579" s="1254"/>
      <c r="T579" s="1254"/>
      <c r="U579" s="1254"/>
      <c r="V579" s="1254"/>
      <c r="W579" s="1254"/>
      <c r="X579" s="1254"/>
      <c r="Y579" s="1254"/>
      <c r="Z579" s="1254"/>
    </row>
    <row r="580">
      <c r="A580" s="1254"/>
      <c r="B580" s="1263"/>
      <c r="C580" s="1317"/>
      <c r="D580" s="1263"/>
      <c r="E580" s="1318"/>
      <c r="F580" s="1254"/>
      <c r="G580" s="1319"/>
      <c r="H580" s="1254"/>
      <c r="I580" s="1254"/>
      <c r="J580" s="1254"/>
      <c r="K580" s="1320"/>
      <c r="L580" s="1254"/>
      <c r="M580" s="1254"/>
      <c r="N580" s="1254"/>
      <c r="O580" s="1254"/>
      <c r="P580" s="1254"/>
      <c r="Q580" s="1254"/>
      <c r="R580" s="1254"/>
      <c r="S580" s="1254"/>
      <c r="T580" s="1254"/>
      <c r="U580" s="1254"/>
      <c r="V580" s="1254"/>
      <c r="W580" s="1254"/>
      <c r="X580" s="1254"/>
      <c r="Y580" s="1254"/>
      <c r="Z580" s="1254"/>
    </row>
    <row r="581">
      <c r="A581" s="1254"/>
      <c r="B581" s="1263"/>
      <c r="C581" s="1317"/>
      <c r="D581" s="1263"/>
      <c r="E581" s="1318"/>
      <c r="F581" s="1254"/>
      <c r="G581" s="1319"/>
      <c r="H581" s="1254"/>
      <c r="I581" s="1254"/>
      <c r="J581" s="1254"/>
      <c r="K581" s="1320"/>
      <c r="L581" s="1254"/>
      <c r="M581" s="1254"/>
      <c r="N581" s="1254"/>
      <c r="O581" s="1254"/>
      <c r="P581" s="1254"/>
      <c r="Q581" s="1254"/>
      <c r="R581" s="1254"/>
      <c r="S581" s="1254"/>
      <c r="T581" s="1254"/>
      <c r="U581" s="1254"/>
      <c r="V581" s="1254"/>
      <c r="W581" s="1254"/>
      <c r="X581" s="1254"/>
      <c r="Y581" s="1254"/>
      <c r="Z581" s="1254"/>
    </row>
    <row r="582">
      <c r="A582" s="1254"/>
      <c r="B582" s="1263"/>
      <c r="C582" s="1317"/>
      <c r="D582" s="1263"/>
      <c r="E582" s="1318"/>
      <c r="F582" s="1254"/>
      <c r="G582" s="1319"/>
      <c r="H582" s="1254"/>
      <c r="I582" s="1254"/>
      <c r="J582" s="1254"/>
      <c r="K582" s="1320"/>
      <c r="L582" s="1254"/>
      <c r="M582" s="1254"/>
      <c r="N582" s="1254"/>
      <c r="O582" s="1254"/>
      <c r="P582" s="1254"/>
      <c r="Q582" s="1254"/>
      <c r="R582" s="1254"/>
      <c r="S582" s="1254"/>
      <c r="T582" s="1254"/>
      <c r="U582" s="1254"/>
      <c r="V582" s="1254"/>
      <c r="W582" s="1254"/>
      <c r="X582" s="1254"/>
      <c r="Y582" s="1254"/>
      <c r="Z582" s="1254"/>
    </row>
    <row r="583">
      <c r="A583" s="1254"/>
      <c r="B583" s="1263"/>
      <c r="C583" s="1317"/>
      <c r="D583" s="1263"/>
      <c r="E583" s="1318"/>
      <c r="F583" s="1254"/>
      <c r="G583" s="1319"/>
      <c r="H583" s="1254"/>
      <c r="I583" s="1254"/>
      <c r="J583" s="1254"/>
      <c r="K583" s="1320"/>
      <c r="L583" s="1254"/>
      <c r="M583" s="1254"/>
      <c r="N583" s="1254"/>
      <c r="O583" s="1254"/>
      <c r="P583" s="1254"/>
      <c r="Q583" s="1254"/>
      <c r="R583" s="1254"/>
      <c r="S583" s="1254"/>
      <c r="T583" s="1254"/>
      <c r="U583" s="1254"/>
      <c r="V583" s="1254"/>
      <c r="W583" s="1254"/>
      <c r="X583" s="1254"/>
      <c r="Y583" s="1254"/>
      <c r="Z583" s="1254"/>
    </row>
    <row r="584">
      <c r="A584" s="1254"/>
      <c r="B584" s="1263"/>
      <c r="C584" s="1317"/>
      <c r="D584" s="1263"/>
      <c r="E584" s="1318"/>
      <c r="F584" s="1254"/>
      <c r="G584" s="1319"/>
      <c r="H584" s="1254"/>
      <c r="I584" s="1254"/>
      <c r="J584" s="1254"/>
      <c r="K584" s="1320"/>
      <c r="L584" s="1254"/>
      <c r="M584" s="1254"/>
      <c r="N584" s="1254"/>
      <c r="O584" s="1254"/>
      <c r="P584" s="1254"/>
      <c r="Q584" s="1254"/>
      <c r="R584" s="1254"/>
      <c r="S584" s="1254"/>
      <c r="T584" s="1254"/>
      <c r="U584" s="1254"/>
      <c r="V584" s="1254"/>
      <c r="W584" s="1254"/>
      <c r="X584" s="1254"/>
      <c r="Y584" s="1254"/>
      <c r="Z584" s="1254"/>
    </row>
    <row r="585">
      <c r="A585" s="1254"/>
      <c r="B585" s="1263"/>
      <c r="C585" s="1317"/>
      <c r="D585" s="1263"/>
      <c r="E585" s="1318"/>
      <c r="F585" s="1254"/>
      <c r="G585" s="1319"/>
      <c r="H585" s="1254"/>
      <c r="I585" s="1254"/>
      <c r="J585" s="1254"/>
      <c r="K585" s="1320"/>
      <c r="L585" s="1254"/>
      <c r="M585" s="1254"/>
      <c r="N585" s="1254"/>
      <c r="O585" s="1254"/>
      <c r="P585" s="1254"/>
      <c r="Q585" s="1254"/>
      <c r="R585" s="1254"/>
      <c r="S585" s="1254"/>
      <c r="T585" s="1254"/>
      <c r="U585" s="1254"/>
      <c r="V585" s="1254"/>
      <c r="W585" s="1254"/>
      <c r="X585" s="1254"/>
      <c r="Y585" s="1254"/>
      <c r="Z585" s="1254"/>
    </row>
    <row r="586">
      <c r="A586" s="1254"/>
      <c r="B586" s="1263"/>
      <c r="C586" s="1317"/>
      <c r="D586" s="1263"/>
      <c r="E586" s="1318"/>
      <c r="F586" s="1254"/>
      <c r="G586" s="1319"/>
      <c r="H586" s="1254"/>
      <c r="I586" s="1254"/>
      <c r="J586" s="1254"/>
      <c r="K586" s="1320"/>
      <c r="L586" s="1254"/>
      <c r="M586" s="1254"/>
      <c r="N586" s="1254"/>
      <c r="O586" s="1254"/>
      <c r="P586" s="1254"/>
      <c r="Q586" s="1254"/>
      <c r="R586" s="1254"/>
      <c r="S586" s="1254"/>
      <c r="T586" s="1254"/>
      <c r="U586" s="1254"/>
      <c r="V586" s="1254"/>
      <c r="W586" s="1254"/>
      <c r="X586" s="1254"/>
      <c r="Y586" s="1254"/>
      <c r="Z586" s="1254"/>
    </row>
    <row r="587">
      <c r="A587" s="1254"/>
      <c r="B587" s="1263"/>
      <c r="C587" s="1317"/>
      <c r="D587" s="1263"/>
      <c r="E587" s="1318"/>
      <c r="F587" s="1254"/>
      <c r="G587" s="1319"/>
      <c r="H587" s="1254"/>
      <c r="I587" s="1254"/>
      <c r="J587" s="1254"/>
      <c r="K587" s="1320"/>
      <c r="L587" s="1254"/>
      <c r="M587" s="1254"/>
      <c r="N587" s="1254"/>
      <c r="O587" s="1254"/>
      <c r="P587" s="1254"/>
      <c r="Q587" s="1254"/>
      <c r="R587" s="1254"/>
      <c r="S587" s="1254"/>
      <c r="T587" s="1254"/>
      <c r="U587" s="1254"/>
      <c r="V587" s="1254"/>
      <c r="W587" s="1254"/>
      <c r="X587" s="1254"/>
      <c r="Y587" s="1254"/>
      <c r="Z587" s="1254"/>
    </row>
    <row r="588">
      <c r="A588" s="1254"/>
      <c r="B588" s="1263"/>
      <c r="C588" s="1317"/>
      <c r="D588" s="1263"/>
      <c r="E588" s="1318"/>
      <c r="F588" s="1254"/>
      <c r="G588" s="1319"/>
      <c r="H588" s="1254"/>
      <c r="I588" s="1254"/>
      <c r="J588" s="1254"/>
      <c r="K588" s="1320"/>
      <c r="L588" s="1254"/>
      <c r="M588" s="1254"/>
      <c r="N588" s="1254"/>
      <c r="O588" s="1254"/>
      <c r="P588" s="1254"/>
      <c r="Q588" s="1254"/>
      <c r="R588" s="1254"/>
      <c r="S588" s="1254"/>
      <c r="T588" s="1254"/>
      <c r="U588" s="1254"/>
      <c r="V588" s="1254"/>
      <c r="W588" s="1254"/>
      <c r="X588" s="1254"/>
      <c r="Y588" s="1254"/>
      <c r="Z588" s="1254"/>
    </row>
    <row r="589">
      <c r="A589" s="1254"/>
      <c r="B589" s="1263"/>
      <c r="C589" s="1317"/>
      <c r="D589" s="1263"/>
      <c r="E589" s="1318"/>
      <c r="F589" s="1254"/>
      <c r="G589" s="1319"/>
      <c r="H589" s="1254"/>
      <c r="I589" s="1254"/>
      <c r="J589" s="1254"/>
      <c r="K589" s="1320"/>
      <c r="L589" s="1254"/>
      <c r="M589" s="1254"/>
      <c r="N589" s="1254"/>
      <c r="O589" s="1254"/>
      <c r="P589" s="1254"/>
      <c r="Q589" s="1254"/>
      <c r="R589" s="1254"/>
      <c r="S589" s="1254"/>
      <c r="T589" s="1254"/>
      <c r="U589" s="1254"/>
      <c r="V589" s="1254"/>
      <c r="W589" s="1254"/>
      <c r="X589" s="1254"/>
      <c r="Y589" s="1254"/>
      <c r="Z589" s="1254"/>
    </row>
    <row r="590">
      <c r="A590" s="1254"/>
      <c r="B590" s="1263"/>
      <c r="C590" s="1317"/>
      <c r="D590" s="1263"/>
      <c r="E590" s="1318"/>
      <c r="F590" s="1254"/>
      <c r="G590" s="1319"/>
      <c r="H590" s="1254"/>
      <c r="I590" s="1254"/>
      <c r="J590" s="1254"/>
      <c r="K590" s="1320"/>
      <c r="L590" s="1254"/>
      <c r="M590" s="1254"/>
      <c r="N590" s="1254"/>
      <c r="O590" s="1254"/>
      <c r="P590" s="1254"/>
      <c r="Q590" s="1254"/>
      <c r="R590" s="1254"/>
      <c r="S590" s="1254"/>
      <c r="T590" s="1254"/>
      <c r="U590" s="1254"/>
      <c r="V590" s="1254"/>
      <c r="W590" s="1254"/>
      <c r="X590" s="1254"/>
      <c r="Y590" s="1254"/>
      <c r="Z590" s="1254"/>
    </row>
    <row r="591">
      <c r="A591" s="1254"/>
      <c r="B591" s="1263"/>
      <c r="C591" s="1317"/>
      <c r="D591" s="1263"/>
      <c r="E591" s="1318"/>
      <c r="F591" s="1254"/>
      <c r="G591" s="1319"/>
      <c r="H591" s="1254"/>
      <c r="I591" s="1254"/>
      <c r="J591" s="1254"/>
      <c r="K591" s="1320"/>
      <c r="L591" s="1254"/>
      <c r="M591" s="1254"/>
      <c r="N591" s="1254"/>
      <c r="O591" s="1254"/>
      <c r="P591" s="1254"/>
      <c r="Q591" s="1254"/>
      <c r="R591" s="1254"/>
      <c r="S591" s="1254"/>
      <c r="T591" s="1254"/>
      <c r="U591" s="1254"/>
      <c r="V591" s="1254"/>
      <c r="W591" s="1254"/>
      <c r="X591" s="1254"/>
      <c r="Y591" s="1254"/>
      <c r="Z591" s="1254"/>
    </row>
    <row r="592">
      <c r="A592" s="1254"/>
      <c r="B592" s="1263"/>
      <c r="C592" s="1317"/>
      <c r="D592" s="1263"/>
      <c r="E592" s="1318"/>
      <c r="F592" s="1254"/>
      <c r="G592" s="1319"/>
      <c r="H592" s="1254"/>
      <c r="I592" s="1254"/>
      <c r="J592" s="1254"/>
      <c r="K592" s="1320"/>
      <c r="L592" s="1254"/>
      <c r="M592" s="1254"/>
      <c r="N592" s="1254"/>
      <c r="O592" s="1254"/>
      <c r="P592" s="1254"/>
      <c r="Q592" s="1254"/>
      <c r="R592" s="1254"/>
      <c r="S592" s="1254"/>
      <c r="T592" s="1254"/>
      <c r="U592" s="1254"/>
      <c r="V592" s="1254"/>
      <c r="W592" s="1254"/>
      <c r="X592" s="1254"/>
      <c r="Y592" s="1254"/>
      <c r="Z592" s="1254"/>
    </row>
    <row r="593">
      <c r="A593" s="1254"/>
      <c r="B593" s="1263"/>
      <c r="C593" s="1317"/>
      <c r="D593" s="1263"/>
      <c r="E593" s="1318"/>
      <c r="F593" s="1254"/>
      <c r="G593" s="1319"/>
      <c r="H593" s="1254"/>
      <c r="I593" s="1254"/>
      <c r="J593" s="1254"/>
      <c r="K593" s="1320"/>
      <c r="L593" s="1254"/>
      <c r="M593" s="1254"/>
      <c r="N593" s="1254"/>
      <c r="O593" s="1254"/>
      <c r="P593" s="1254"/>
      <c r="Q593" s="1254"/>
      <c r="R593" s="1254"/>
      <c r="S593" s="1254"/>
      <c r="T593" s="1254"/>
      <c r="U593" s="1254"/>
      <c r="V593" s="1254"/>
      <c r="W593" s="1254"/>
      <c r="X593" s="1254"/>
      <c r="Y593" s="1254"/>
      <c r="Z593" s="1254"/>
    </row>
    <row r="594">
      <c r="A594" s="1254"/>
      <c r="B594" s="1263"/>
      <c r="C594" s="1317"/>
      <c r="D594" s="1263"/>
      <c r="E594" s="1318"/>
      <c r="F594" s="1254"/>
      <c r="G594" s="1319"/>
      <c r="H594" s="1254"/>
      <c r="I594" s="1254"/>
      <c r="J594" s="1254"/>
      <c r="K594" s="1320"/>
      <c r="L594" s="1254"/>
      <c r="M594" s="1254"/>
      <c r="N594" s="1254"/>
      <c r="O594" s="1254"/>
      <c r="P594" s="1254"/>
      <c r="Q594" s="1254"/>
      <c r="R594" s="1254"/>
      <c r="S594" s="1254"/>
      <c r="T594" s="1254"/>
      <c r="U594" s="1254"/>
      <c r="V594" s="1254"/>
      <c r="W594" s="1254"/>
      <c r="X594" s="1254"/>
      <c r="Y594" s="1254"/>
      <c r="Z594" s="1254"/>
    </row>
    <row r="595">
      <c r="A595" s="1254"/>
      <c r="B595" s="1263"/>
      <c r="C595" s="1317"/>
      <c r="D595" s="1263"/>
      <c r="E595" s="1318"/>
      <c r="F595" s="1254"/>
      <c r="G595" s="1319"/>
      <c r="H595" s="1254"/>
      <c r="I595" s="1254"/>
      <c r="J595" s="1254"/>
      <c r="K595" s="1320"/>
      <c r="L595" s="1254"/>
      <c r="M595" s="1254"/>
      <c r="N595" s="1254"/>
      <c r="O595" s="1254"/>
      <c r="P595" s="1254"/>
      <c r="Q595" s="1254"/>
      <c r="R595" s="1254"/>
      <c r="S595" s="1254"/>
      <c r="T595" s="1254"/>
      <c r="U595" s="1254"/>
      <c r="V595" s="1254"/>
      <c r="W595" s="1254"/>
      <c r="X595" s="1254"/>
      <c r="Y595" s="1254"/>
      <c r="Z595" s="1254"/>
    </row>
    <row r="596">
      <c r="A596" s="1254"/>
      <c r="B596" s="1263"/>
      <c r="C596" s="1317"/>
      <c r="D596" s="1263"/>
      <c r="E596" s="1318"/>
      <c r="F596" s="1254"/>
      <c r="G596" s="1319"/>
      <c r="H596" s="1254"/>
      <c r="I596" s="1254"/>
      <c r="J596" s="1254"/>
      <c r="K596" s="1320"/>
      <c r="L596" s="1254"/>
      <c r="M596" s="1254"/>
      <c r="N596" s="1254"/>
      <c r="O596" s="1254"/>
      <c r="P596" s="1254"/>
      <c r="Q596" s="1254"/>
      <c r="R596" s="1254"/>
      <c r="S596" s="1254"/>
      <c r="T596" s="1254"/>
      <c r="U596" s="1254"/>
      <c r="V596" s="1254"/>
      <c r="W596" s="1254"/>
      <c r="X596" s="1254"/>
      <c r="Y596" s="1254"/>
      <c r="Z596" s="1254"/>
    </row>
    <row r="597">
      <c r="A597" s="1254"/>
      <c r="B597" s="1263"/>
      <c r="C597" s="1317"/>
      <c r="D597" s="1263"/>
      <c r="E597" s="1318"/>
      <c r="F597" s="1254"/>
      <c r="G597" s="1319"/>
      <c r="H597" s="1254"/>
      <c r="I597" s="1254"/>
      <c r="J597" s="1254"/>
      <c r="K597" s="1320"/>
      <c r="L597" s="1254"/>
      <c r="M597" s="1254"/>
      <c r="N597" s="1254"/>
      <c r="O597" s="1254"/>
      <c r="P597" s="1254"/>
      <c r="Q597" s="1254"/>
      <c r="R597" s="1254"/>
      <c r="S597" s="1254"/>
      <c r="T597" s="1254"/>
      <c r="U597" s="1254"/>
      <c r="V597" s="1254"/>
      <c r="W597" s="1254"/>
      <c r="X597" s="1254"/>
      <c r="Y597" s="1254"/>
      <c r="Z597" s="1254"/>
    </row>
    <row r="598">
      <c r="A598" s="1254"/>
      <c r="B598" s="1263"/>
      <c r="C598" s="1317"/>
      <c r="D598" s="1263"/>
      <c r="E598" s="1318"/>
      <c r="F598" s="1254"/>
      <c r="G598" s="1319"/>
      <c r="H598" s="1254"/>
      <c r="I598" s="1254"/>
      <c r="J598" s="1254"/>
      <c r="K598" s="1320"/>
      <c r="L598" s="1254"/>
      <c r="M598" s="1254"/>
      <c r="N598" s="1254"/>
      <c r="O598" s="1254"/>
      <c r="P598" s="1254"/>
      <c r="Q598" s="1254"/>
      <c r="R598" s="1254"/>
      <c r="S598" s="1254"/>
      <c r="T598" s="1254"/>
      <c r="U598" s="1254"/>
      <c r="V598" s="1254"/>
      <c r="W598" s="1254"/>
      <c r="X598" s="1254"/>
      <c r="Y598" s="1254"/>
      <c r="Z598" s="1254"/>
    </row>
    <row r="599">
      <c r="A599" s="1254"/>
      <c r="B599" s="1263"/>
      <c r="C599" s="1317"/>
      <c r="D599" s="1263"/>
      <c r="E599" s="1318"/>
      <c r="F599" s="1254"/>
      <c r="G599" s="1319"/>
      <c r="H599" s="1254"/>
      <c r="I599" s="1254"/>
      <c r="J599" s="1254"/>
      <c r="K599" s="1320"/>
      <c r="L599" s="1254"/>
      <c r="M599" s="1254"/>
      <c r="N599" s="1254"/>
      <c r="O599" s="1254"/>
      <c r="P599" s="1254"/>
      <c r="Q599" s="1254"/>
      <c r="R599" s="1254"/>
      <c r="S599" s="1254"/>
      <c r="T599" s="1254"/>
      <c r="U599" s="1254"/>
      <c r="V599" s="1254"/>
      <c r="W599" s="1254"/>
      <c r="X599" s="1254"/>
      <c r="Y599" s="1254"/>
      <c r="Z599" s="1254"/>
    </row>
    <row r="600">
      <c r="A600" s="1254"/>
      <c r="B600" s="1263"/>
      <c r="C600" s="1317"/>
      <c r="D600" s="1263"/>
      <c r="E600" s="1318"/>
      <c r="F600" s="1254"/>
      <c r="G600" s="1319"/>
      <c r="H600" s="1254"/>
      <c r="I600" s="1254"/>
      <c r="J600" s="1254"/>
      <c r="K600" s="1320"/>
      <c r="L600" s="1254"/>
      <c r="M600" s="1254"/>
      <c r="N600" s="1254"/>
      <c r="O600" s="1254"/>
      <c r="P600" s="1254"/>
      <c r="Q600" s="1254"/>
      <c r="R600" s="1254"/>
      <c r="S600" s="1254"/>
      <c r="T600" s="1254"/>
      <c r="U600" s="1254"/>
      <c r="V600" s="1254"/>
      <c r="W600" s="1254"/>
      <c r="X600" s="1254"/>
      <c r="Y600" s="1254"/>
      <c r="Z600" s="1254"/>
    </row>
    <row r="601">
      <c r="A601" s="1254"/>
      <c r="B601" s="1263"/>
      <c r="C601" s="1317"/>
      <c r="D601" s="1263"/>
      <c r="E601" s="1318"/>
      <c r="F601" s="1254"/>
      <c r="G601" s="1319"/>
      <c r="H601" s="1254"/>
      <c r="I601" s="1254"/>
      <c r="J601" s="1254"/>
      <c r="K601" s="1320"/>
      <c r="L601" s="1254"/>
      <c r="M601" s="1254"/>
      <c r="N601" s="1254"/>
      <c r="O601" s="1254"/>
      <c r="P601" s="1254"/>
      <c r="Q601" s="1254"/>
      <c r="R601" s="1254"/>
      <c r="S601" s="1254"/>
      <c r="T601" s="1254"/>
      <c r="U601" s="1254"/>
      <c r="V601" s="1254"/>
      <c r="W601" s="1254"/>
      <c r="X601" s="1254"/>
      <c r="Y601" s="1254"/>
      <c r="Z601" s="1254"/>
    </row>
    <row r="602">
      <c r="A602" s="1254"/>
      <c r="B602" s="1263"/>
      <c r="C602" s="1317"/>
      <c r="D602" s="1263"/>
      <c r="E602" s="1318"/>
      <c r="F602" s="1254"/>
      <c r="G602" s="1319"/>
      <c r="H602" s="1254"/>
      <c r="I602" s="1254"/>
      <c r="J602" s="1254"/>
      <c r="K602" s="1320"/>
      <c r="L602" s="1254"/>
      <c r="M602" s="1254"/>
      <c r="N602" s="1254"/>
      <c r="O602" s="1254"/>
      <c r="P602" s="1254"/>
      <c r="Q602" s="1254"/>
      <c r="R602" s="1254"/>
      <c r="S602" s="1254"/>
      <c r="T602" s="1254"/>
      <c r="U602" s="1254"/>
      <c r="V602" s="1254"/>
      <c r="W602" s="1254"/>
      <c r="X602" s="1254"/>
      <c r="Y602" s="1254"/>
      <c r="Z602" s="1254"/>
    </row>
    <row r="603">
      <c r="A603" s="1254"/>
      <c r="B603" s="1263"/>
      <c r="C603" s="1317"/>
      <c r="D603" s="1263"/>
      <c r="E603" s="1318"/>
      <c r="F603" s="1254"/>
      <c r="G603" s="1319"/>
      <c r="H603" s="1254"/>
      <c r="I603" s="1254"/>
      <c r="J603" s="1254"/>
      <c r="K603" s="1320"/>
      <c r="L603" s="1254"/>
      <c r="M603" s="1254"/>
      <c r="N603" s="1254"/>
      <c r="O603" s="1254"/>
      <c r="P603" s="1254"/>
      <c r="Q603" s="1254"/>
      <c r="R603" s="1254"/>
      <c r="S603" s="1254"/>
      <c r="T603" s="1254"/>
      <c r="U603" s="1254"/>
      <c r="V603" s="1254"/>
      <c r="W603" s="1254"/>
      <c r="X603" s="1254"/>
      <c r="Y603" s="1254"/>
      <c r="Z603" s="1254"/>
    </row>
    <row r="604">
      <c r="A604" s="1254"/>
      <c r="B604" s="1263"/>
      <c r="C604" s="1317"/>
      <c r="D604" s="1263"/>
      <c r="E604" s="1318"/>
      <c r="F604" s="1254"/>
      <c r="G604" s="1319"/>
      <c r="H604" s="1254"/>
      <c r="I604" s="1254"/>
      <c r="J604" s="1254"/>
      <c r="K604" s="1320"/>
      <c r="L604" s="1254"/>
      <c r="M604" s="1254"/>
      <c r="N604" s="1254"/>
      <c r="O604" s="1254"/>
      <c r="P604" s="1254"/>
      <c r="Q604" s="1254"/>
      <c r="R604" s="1254"/>
      <c r="S604" s="1254"/>
      <c r="T604" s="1254"/>
      <c r="U604" s="1254"/>
      <c r="V604" s="1254"/>
      <c r="W604" s="1254"/>
      <c r="X604" s="1254"/>
      <c r="Y604" s="1254"/>
      <c r="Z604" s="1254"/>
    </row>
    <row r="605">
      <c r="A605" s="1254"/>
      <c r="B605" s="1263"/>
      <c r="C605" s="1317"/>
      <c r="D605" s="1263"/>
      <c r="E605" s="1318"/>
      <c r="F605" s="1254"/>
      <c r="G605" s="1319"/>
      <c r="H605" s="1254"/>
      <c r="I605" s="1254"/>
      <c r="J605" s="1254"/>
      <c r="K605" s="1320"/>
      <c r="L605" s="1254"/>
      <c r="M605" s="1254"/>
      <c r="N605" s="1254"/>
      <c r="O605" s="1254"/>
      <c r="P605" s="1254"/>
      <c r="Q605" s="1254"/>
      <c r="R605" s="1254"/>
      <c r="S605" s="1254"/>
      <c r="T605" s="1254"/>
      <c r="U605" s="1254"/>
      <c r="V605" s="1254"/>
      <c r="W605" s="1254"/>
      <c r="X605" s="1254"/>
      <c r="Y605" s="1254"/>
      <c r="Z605" s="1254"/>
    </row>
    <row r="606">
      <c r="A606" s="1254"/>
      <c r="B606" s="1263"/>
      <c r="C606" s="1317"/>
      <c r="D606" s="1263"/>
      <c r="E606" s="1318"/>
      <c r="F606" s="1254"/>
      <c r="G606" s="1319"/>
      <c r="H606" s="1254"/>
      <c r="I606" s="1254"/>
      <c r="J606" s="1254"/>
      <c r="K606" s="1320"/>
      <c r="L606" s="1254"/>
      <c r="M606" s="1254"/>
      <c r="N606" s="1254"/>
      <c r="O606" s="1254"/>
      <c r="P606" s="1254"/>
      <c r="Q606" s="1254"/>
      <c r="R606" s="1254"/>
      <c r="S606" s="1254"/>
      <c r="T606" s="1254"/>
      <c r="U606" s="1254"/>
      <c r="V606" s="1254"/>
      <c r="W606" s="1254"/>
      <c r="X606" s="1254"/>
      <c r="Y606" s="1254"/>
      <c r="Z606" s="1254"/>
    </row>
    <row r="607">
      <c r="A607" s="1254"/>
      <c r="B607" s="1263"/>
      <c r="C607" s="1317"/>
      <c r="D607" s="1263"/>
      <c r="E607" s="1318"/>
      <c r="F607" s="1254"/>
      <c r="G607" s="1319"/>
      <c r="H607" s="1254"/>
      <c r="I607" s="1254"/>
      <c r="J607" s="1254"/>
      <c r="K607" s="1320"/>
      <c r="L607" s="1254"/>
      <c r="M607" s="1254"/>
      <c r="N607" s="1254"/>
      <c r="O607" s="1254"/>
      <c r="P607" s="1254"/>
      <c r="Q607" s="1254"/>
      <c r="R607" s="1254"/>
      <c r="S607" s="1254"/>
      <c r="T607" s="1254"/>
      <c r="U607" s="1254"/>
      <c r="V607" s="1254"/>
      <c r="W607" s="1254"/>
      <c r="X607" s="1254"/>
      <c r="Y607" s="1254"/>
      <c r="Z607" s="1254"/>
    </row>
    <row r="608">
      <c r="A608" s="1254"/>
      <c r="B608" s="1263"/>
      <c r="C608" s="1317"/>
      <c r="D608" s="1263"/>
      <c r="E608" s="1318"/>
      <c r="F608" s="1254"/>
      <c r="G608" s="1319"/>
      <c r="H608" s="1254"/>
      <c r="I608" s="1254"/>
      <c r="J608" s="1254"/>
      <c r="K608" s="1320"/>
      <c r="L608" s="1254"/>
      <c r="M608" s="1254"/>
      <c r="N608" s="1254"/>
      <c r="O608" s="1254"/>
      <c r="P608" s="1254"/>
      <c r="Q608" s="1254"/>
      <c r="R608" s="1254"/>
      <c r="S608" s="1254"/>
      <c r="T608" s="1254"/>
      <c r="U608" s="1254"/>
      <c r="V608" s="1254"/>
      <c r="W608" s="1254"/>
      <c r="X608" s="1254"/>
      <c r="Y608" s="1254"/>
      <c r="Z608" s="1254"/>
    </row>
    <row r="609">
      <c r="A609" s="1254"/>
      <c r="B609" s="1263"/>
      <c r="C609" s="1317"/>
      <c r="D609" s="1263"/>
      <c r="E609" s="1318"/>
      <c r="F609" s="1254"/>
      <c r="G609" s="1319"/>
      <c r="H609" s="1254"/>
      <c r="I609" s="1254"/>
      <c r="J609" s="1254"/>
      <c r="K609" s="1320"/>
      <c r="L609" s="1254"/>
      <c r="M609" s="1254"/>
      <c r="N609" s="1254"/>
      <c r="O609" s="1254"/>
      <c r="P609" s="1254"/>
      <c r="Q609" s="1254"/>
      <c r="R609" s="1254"/>
      <c r="S609" s="1254"/>
      <c r="T609" s="1254"/>
      <c r="U609" s="1254"/>
      <c r="V609" s="1254"/>
      <c r="W609" s="1254"/>
      <c r="X609" s="1254"/>
      <c r="Y609" s="1254"/>
      <c r="Z609" s="1254"/>
    </row>
    <row r="610">
      <c r="A610" s="1254"/>
      <c r="B610" s="1263"/>
      <c r="C610" s="1317"/>
      <c r="D610" s="1263"/>
      <c r="E610" s="1318"/>
      <c r="F610" s="1254"/>
      <c r="G610" s="1319"/>
      <c r="H610" s="1254"/>
      <c r="I610" s="1254"/>
      <c r="J610" s="1254"/>
      <c r="K610" s="1320"/>
      <c r="L610" s="1254"/>
      <c r="M610" s="1254"/>
      <c r="N610" s="1254"/>
      <c r="O610" s="1254"/>
      <c r="P610" s="1254"/>
      <c r="Q610" s="1254"/>
      <c r="R610" s="1254"/>
      <c r="S610" s="1254"/>
      <c r="T610" s="1254"/>
      <c r="U610" s="1254"/>
      <c r="V610" s="1254"/>
      <c r="W610" s="1254"/>
      <c r="X610" s="1254"/>
      <c r="Y610" s="1254"/>
      <c r="Z610" s="1254"/>
    </row>
    <row r="611">
      <c r="A611" s="1254"/>
      <c r="B611" s="1263"/>
      <c r="C611" s="1317"/>
      <c r="D611" s="1263"/>
      <c r="E611" s="1318"/>
      <c r="F611" s="1254"/>
      <c r="G611" s="1319"/>
      <c r="H611" s="1254"/>
      <c r="I611" s="1254"/>
      <c r="J611" s="1254"/>
      <c r="K611" s="1320"/>
      <c r="L611" s="1254"/>
      <c r="M611" s="1254"/>
      <c r="N611" s="1254"/>
      <c r="O611" s="1254"/>
      <c r="P611" s="1254"/>
      <c r="Q611" s="1254"/>
      <c r="R611" s="1254"/>
      <c r="S611" s="1254"/>
      <c r="T611" s="1254"/>
      <c r="U611" s="1254"/>
      <c r="V611" s="1254"/>
      <c r="W611" s="1254"/>
      <c r="X611" s="1254"/>
      <c r="Y611" s="1254"/>
      <c r="Z611" s="1254"/>
    </row>
    <row r="612">
      <c r="A612" s="1254"/>
      <c r="B612" s="1263"/>
      <c r="C612" s="1317"/>
      <c r="D612" s="1263"/>
      <c r="E612" s="1318"/>
      <c r="F612" s="1254"/>
      <c r="G612" s="1319"/>
      <c r="H612" s="1254"/>
      <c r="I612" s="1254"/>
      <c r="J612" s="1254"/>
      <c r="K612" s="1320"/>
      <c r="L612" s="1254"/>
      <c r="M612" s="1254"/>
      <c r="N612" s="1254"/>
      <c r="O612" s="1254"/>
      <c r="P612" s="1254"/>
      <c r="Q612" s="1254"/>
      <c r="R612" s="1254"/>
      <c r="S612" s="1254"/>
      <c r="T612" s="1254"/>
      <c r="U612" s="1254"/>
      <c r="V612" s="1254"/>
      <c r="W612" s="1254"/>
      <c r="X612" s="1254"/>
      <c r="Y612" s="1254"/>
      <c r="Z612" s="1254"/>
    </row>
    <row r="613">
      <c r="A613" s="1254"/>
      <c r="B613" s="1263"/>
      <c r="C613" s="1317"/>
      <c r="D613" s="1263"/>
      <c r="E613" s="1318"/>
      <c r="F613" s="1254"/>
      <c r="G613" s="1319"/>
      <c r="H613" s="1254"/>
      <c r="I613" s="1254"/>
      <c r="J613" s="1254"/>
      <c r="K613" s="1320"/>
      <c r="L613" s="1254"/>
      <c r="M613" s="1254"/>
      <c r="N613" s="1254"/>
      <c r="O613" s="1254"/>
      <c r="P613" s="1254"/>
      <c r="Q613" s="1254"/>
      <c r="R613" s="1254"/>
      <c r="S613" s="1254"/>
      <c r="T613" s="1254"/>
      <c r="U613" s="1254"/>
      <c r="V613" s="1254"/>
      <c r="W613" s="1254"/>
      <c r="X613" s="1254"/>
      <c r="Y613" s="1254"/>
      <c r="Z613" s="1254"/>
    </row>
    <row r="614">
      <c r="A614" s="1254"/>
      <c r="B614" s="1263"/>
      <c r="C614" s="1317"/>
      <c r="D614" s="1263"/>
      <c r="E614" s="1318"/>
      <c r="F614" s="1254"/>
      <c r="G614" s="1319"/>
      <c r="H614" s="1254"/>
      <c r="I614" s="1254"/>
      <c r="J614" s="1254"/>
      <c r="K614" s="1320"/>
      <c r="L614" s="1254"/>
      <c r="M614" s="1254"/>
      <c r="N614" s="1254"/>
      <c r="O614" s="1254"/>
      <c r="P614" s="1254"/>
      <c r="Q614" s="1254"/>
      <c r="R614" s="1254"/>
      <c r="S614" s="1254"/>
      <c r="T614" s="1254"/>
      <c r="U614" s="1254"/>
      <c r="V614" s="1254"/>
      <c r="W614" s="1254"/>
      <c r="X614" s="1254"/>
      <c r="Y614" s="1254"/>
      <c r="Z614" s="1254"/>
    </row>
    <row r="615">
      <c r="A615" s="1254"/>
      <c r="B615" s="1263"/>
      <c r="C615" s="1317"/>
      <c r="D615" s="1263"/>
      <c r="E615" s="1318"/>
      <c r="F615" s="1254"/>
      <c r="G615" s="1319"/>
      <c r="H615" s="1254"/>
      <c r="I615" s="1254"/>
      <c r="J615" s="1254"/>
      <c r="K615" s="1320"/>
      <c r="L615" s="1254"/>
      <c r="M615" s="1254"/>
      <c r="N615" s="1254"/>
      <c r="O615" s="1254"/>
      <c r="P615" s="1254"/>
      <c r="Q615" s="1254"/>
      <c r="R615" s="1254"/>
      <c r="S615" s="1254"/>
      <c r="T615" s="1254"/>
      <c r="U615" s="1254"/>
      <c r="V615" s="1254"/>
      <c r="W615" s="1254"/>
      <c r="X615" s="1254"/>
      <c r="Y615" s="1254"/>
      <c r="Z615" s="1254"/>
    </row>
    <row r="616">
      <c r="A616" s="1254"/>
      <c r="B616" s="1263"/>
      <c r="C616" s="1317"/>
      <c r="D616" s="1263"/>
      <c r="E616" s="1318"/>
      <c r="F616" s="1254"/>
      <c r="G616" s="1319"/>
      <c r="H616" s="1254"/>
      <c r="I616" s="1254"/>
      <c r="J616" s="1254"/>
      <c r="K616" s="1320"/>
      <c r="L616" s="1254"/>
      <c r="M616" s="1254"/>
      <c r="N616" s="1254"/>
      <c r="O616" s="1254"/>
      <c r="P616" s="1254"/>
      <c r="Q616" s="1254"/>
      <c r="R616" s="1254"/>
      <c r="S616" s="1254"/>
      <c r="T616" s="1254"/>
      <c r="U616" s="1254"/>
      <c r="V616" s="1254"/>
      <c r="W616" s="1254"/>
      <c r="X616" s="1254"/>
      <c r="Y616" s="1254"/>
      <c r="Z616" s="1254"/>
    </row>
    <row r="617">
      <c r="A617" s="1254"/>
      <c r="B617" s="1263"/>
      <c r="C617" s="1317"/>
      <c r="D617" s="1263"/>
      <c r="E617" s="1318"/>
      <c r="F617" s="1254"/>
      <c r="G617" s="1319"/>
      <c r="H617" s="1254"/>
      <c r="I617" s="1254"/>
      <c r="J617" s="1254"/>
      <c r="K617" s="1320"/>
      <c r="L617" s="1254"/>
      <c r="M617" s="1254"/>
      <c r="N617" s="1254"/>
      <c r="O617" s="1254"/>
      <c r="P617" s="1254"/>
      <c r="Q617" s="1254"/>
      <c r="R617" s="1254"/>
      <c r="S617" s="1254"/>
      <c r="T617" s="1254"/>
      <c r="U617" s="1254"/>
      <c r="V617" s="1254"/>
      <c r="W617" s="1254"/>
      <c r="X617" s="1254"/>
      <c r="Y617" s="1254"/>
      <c r="Z617" s="1254"/>
    </row>
    <row r="618">
      <c r="A618" s="1254"/>
      <c r="B618" s="1263"/>
      <c r="C618" s="1317"/>
      <c r="D618" s="1263"/>
      <c r="E618" s="1318"/>
      <c r="F618" s="1254"/>
      <c r="G618" s="1319"/>
      <c r="H618" s="1254"/>
      <c r="I618" s="1254"/>
      <c r="J618" s="1254"/>
      <c r="K618" s="1320"/>
      <c r="L618" s="1254"/>
      <c r="M618" s="1254"/>
      <c r="N618" s="1254"/>
      <c r="O618" s="1254"/>
      <c r="P618" s="1254"/>
      <c r="Q618" s="1254"/>
      <c r="R618" s="1254"/>
      <c r="S618" s="1254"/>
      <c r="T618" s="1254"/>
      <c r="U618" s="1254"/>
      <c r="V618" s="1254"/>
      <c r="W618" s="1254"/>
      <c r="X618" s="1254"/>
      <c r="Y618" s="1254"/>
      <c r="Z618" s="1254"/>
    </row>
    <row r="619">
      <c r="A619" s="1254"/>
      <c r="B619" s="1263"/>
      <c r="C619" s="1317"/>
      <c r="D619" s="1263"/>
      <c r="E619" s="1318"/>
      <c r="F619" s="1254"/>
      <c r="G619" s="1319"/>
      <c r="H619" s="1254"/>
      <c r="I619" s="1254"/>
      <c r="J619" s="1254"/>
      <c r="K619" s="1320"/>
      <c r="L619" s="1254"/>
      <c r="M619" s="1254"/>
      <c r="N619" s="1254"/>
      <c r="O619" s="1254"/>
      <c r="P619" s="1254"/>
      <c r="Q619" s="1254"/>
      <c r="R619" s="1254"/>
      <c r="S619" s="1254"/>
      <c r="T619" s="1254"/>
      <c r="U619" s="1254"/>
      <c r="V619" s="1254"/>
      <c r="W619" s="1254"/>
      <c r="X619" s="1254"/>
      <c r="Y619" s="1254"/>
      <c r="Z619" s="1254"/>
    </row>
    <row r="620">
      <c r="A620" s="1254"/>
      <c r="B620" s="1263"/>
      <c r="C620" s="1317"/>
      <c r="D620" s="1263"/>
      <c r="E620" s="1318"/>
      <c r="F620" s="1254"/>
      <c r="G620" s="1319"/>
      <c r="H620" s="1254"/>
      <c r="I620" s="1254"/>
      <c r="J620" s="1254"/>
      <c r="K620" s="1320"/>
      <c r="L620" s="1254"/>
      <c r="M620" s="1254"/>
      <c r="N620" s="1254"/>
      <c r="O620" s="1254"/>
      <c r="P620" s="1254"/>
      <c r="Q620" s="1254"/>
      <c r="R620" s="1254"/>
      <c r="S620" s="1254"/>
      <c r="T620" s="1254"/>
      <c r="U620" s="1254"/>
      <c r="V620" s="1254"/>
      <c r="W620" s="1254"/>
      <c r="X620" s="1254"/>
      <c r="Y620" s="1254"/>
      <c r="Z620" s="1254"/>
    </row>
    <row r="621">
      <c r="A621" s="1254"/>
      <c r="B621" s="1263"/>
      <c r="C621" s="1317"/>
      <c r="D621" s="1263"/>
      <c r="E621" s="1318"/>
      <c r="F621" s="1254"/>
      <c r="G621" s="1319"/>
      <c r="H621" s="1254"/>
      <c r="I621" s="1254"/>
      <c r="J621" s="1254"/>
      <c r="K621" s="1320"/>
      <c r="L621" s="1254"/>
      <c r="M621" s="1254"/>
      <c r="N621" s="1254"/>
      <c r="O621" s="1254"/>
      <c r="P621" s="1254"/>
      <c r="Q621" s="1254"/>
      <c r="R621" s="1254"/>
      <c r="S621" s="1254"/>
      <c r="T621" s="1254"/>
      <c r="U621" s="1254"/>
      <c r="V621" s="1254"/>
      <c r="W621" s="1254"/>
      <c r="X621" s="1254"/>
      <c r="Y621" s="1254"/>
      <c r="Z621" s="1254"/>
    </row>
    <row r="622">
      <c r="A622" s="1254"/>
      <c r="B622" s="1263"/>
      <c r="C622" s="1317"/>
      <c r="D622" s="1263"/>
      <c r="E622" s="1318"/>
      <c r="F622" s="1254"/>
      <c r="G622" s="1319"/>
      <c r="H622" s="1254"/>
      <c r="I622" s="1254"/>
      <c r="J622" s="1254"/>
      <c r="K622" s="1320"/>
      <c r="L622" s="1254"/>
      <c r="M622" s="1254"/>
      <c r="N622" s="1254"/>
      <c r="O622" s="1254"/>
      <c r="P622" s="1254"/>
      <c r="Q622" s="1254"/>
      <c r="R622" s="1254"/>
      <c r="S622" s="1254"/>
      <c r="T622" s="1254"/>
      <c r="U622" s="1254"/>
      <c r="V622" s="1254"/>
      <c r="W622" s="1254"/>
      <c r="X622" s="1254"/>
      <c r="Y622" s="1254"/>
      <c r="Z622" s="1254"/>
    </row>
    <row r="623">
      <c r="A623" s="1254"/>
      <c r="B623" s="1263"/>
      <c r="C623" s="1317"/>
      <c r="D623" s="1263"/>
      <c r="E623" s="1318"/>
      <c r="F623" s="1254"/>
      <c r="G623" s="1319"/>
      <c r="H623" s="1254"/>
      <c r="I623" s="1254"/>
      <c r="J623" s="1254"/>
      <c r="K623" s="1320"/>
      <c r="L623" s="1254"/>
      <c r="M623" s="1254"/>
      <c r="N623" s="1254"/>
      <c r="O623" s="1254"/>
      <c r="P623" s="1254"/>
      <c r="Q623" s="1254"/>
      <c r="R623" s="1254"/>
      <c r="S623" s="1254"/>
      <c r="T623" s="1254"/>
      <c r="U623" s="1254"/>
      <c r="V623" s="1254"/>
      <c r="W623" s="1254"/>
      <c r="X623" s="1254"/>
      <c r="Y623" s="1254"/>
      <c r="Z623" s="1254"/>
    </row>
    <row r="624">
      <c r="A624" s="1254"/>
      <c r="B624" s="1263"/>
      <c r="C624" s="1317"/>
      <c r="D624" s="1263"/>
      <c r="E624" s="1318"/>
      <c r="F624" s="1254"/>
      <c r="G624" s="1319"/>
      <c r="H624" s="1254"/>
      <c r="I624" s="1254"/>
      <c r="J624" s="1254"/>
      <c r="K624" s="1320"/>
      <c r="L624" s="1254"/>
      <c r="M624" s="1254"/>
      <c r="N624" s="1254"/>
      <c r="O624" s="1254"/>
      <c r="P624" s="1254"/>
      <c r="Q624" s="1254"/>
      <c r="R624" s="1254"/>
      <c r="S624" s="1254"/>
      <c r="T624" s="1254"/>
      <c r="U624" s="1254"/>
      <c r="V624" s="1254"/>
      <c r="W624" s="1254"/>
      <c r="X624" s="1254"/>
      <c r="Y624" s="1254"/>
      <c r="Z624" s="1254"/>
    </row>
    <row r="625">
      <c r="A625" s="1254"/>
      <c r="B625" s="1263"/>
      <c r="C625" s="1317"/>
      <c r="D625" s="1263"/>
      <c r="E625" s="1318"/>
      <c r="F625" s="1254"/>
      <c r="G625" s="1319"/>
      <c r="H625" s="1254"/>
      <c r="I625" s="1254"/>
      <c r="J625" s="1254"/>
      <c r="K625" s="1320"/>
      <c r="L625" s="1254"/>
      <c r="M625" s="1254"/>
      <c r="N625" s="1254"/>
      <c r="O625" s="1254"/>
      <c r="P625" s="1254"/>
      <c r="Q625" s="1254"/>
      <c r="R625" s="1254"/>
      <c r="S625" s="1254"/>
      <c r="T625" s="1254"/>
      <c r="U625" s="1254"/>
      <c r="V625" s="1254"/>
      <c r="W625" s="1254"/>
      <c r="X625" s="1254"/>
      <c r="Y625" s="1254"/>
      <c r="Z625" s="1254"/>
    </row>
    <row r="626">
      <c r="A626" s="1254"/>
      <c r="B626" s="1263"/>
      <c r="C626" s="1317"/>
      <c r="D626" s="1263"/>
      <c r="E626" s="1318"/>
      <c r="F626" s="1254"/>
      <c r="G626" s="1319"/>
      <c r="H626" s="1254"/>
      <c r="I626" s="1254"/>
      <c r="J626" s="1254"/>
      <c r="K626" s="1320"/>
      <c r="L626" s="1254"/>
      <c r="M626" s="1254"/>
      <c r="N626" s="1254"/>
      <c r="O626" s="1254"/>
      <c r="P626" s="1254"/>
      <c r="Q626" s="1254"/>
      <c r="R626" s="1254"/>
      <c r="S626" s="1254"/>
      <c r="T626" s="1254"/>
      <c r="U626" s="1254"/>
      <c r="V626" s="1254"/>
      <c r="W626" s="1254"/>
      <c r="X626" s="1254"/>
      <c r="Y626" s="1254"/>
      <c r="Z626" s="1254"/>
    </row>
    <row r="627">
      <c r="A627" s="1254"/>
      <c r="B627" s="1263"/>
      <c r="C627" s="1317"/>
      <c r="D627" s="1263"/>
      <c r="E627" s="1318"/>
      <c r="F627" s="1254"/>
      <c r="G627" s="1319"/>
      <c r="H627" s="1254"/>
      <c r="I627" s="1254"/>
      <c r="J627" s="1254"/>
      <c r="K627" s="1320"/>
      <c r="L627" s="1254"/>
      <c r="M627" s="1254"/>
      <c r="N627" s="1254"/>
      <c r="O627" s="1254"/>
      <c r="P627" s="1254"/>
      <c r="Q627" s="1254"/>
      <c r="R627" s="1254"/>
      <c r="S627" s="1254"/>
      <c r="T627" s="1254"/>
      <c r="U627" s="1254"/>
      <c r="V627" s="1254"/>
      <c r="W627" s="1254"/>
      <c r="X627" s="1254"/>
      <c r="Y627" s="1254"/>
      <c r="Z627" s="1254"/>
    </row>
    <row r="628">
      <c r="A628" s="1254"/>
      <c r="B628" s="1263"/>
      <c r="C628" s="1317"/>
      <c r="D628" s="1263"/>
      <c r="E628" s="1318"/>
      <c r="F628" s="1254"/>
      <c r="G628" s="1319"/>
      <c r="H628" s="1254"/>
      <c r="I628" s="1254"/>
      <c r="J628" s="1254"/>
      <c r="K628" s="1320"/>
      <c r="L628" s="1254"/>
      <c r="M628" s="1254"/>
      <c r="N628" s="1254"/>
      <c r="O628" s="1254"/>
      <c r="P628" s="1254"/>
      <c r="Q628" s="1254"/>
      <c r="R628" s="1254"/>
      <c r="S628" s="1254"/>
      <c r="T628" s="1254"/>
      <c r="U628" s="1254"/>
      <c r="V628" s="1254"/>
      <c r="W628" s="1254"/>
      <c r="X628" s="1254"/>
      <c r="Y628" s="1254"/>
      <c r="Z628" s="1254"/>
    </row>
    <row r="629">
      <c r="A629" s="1254"/>
      <c r="B629" s="1263"/>
      <c r="C629" s="1317"/>
      <c r="D629" s="1263"/>
      <c r="E629" s="1318"/>
      <c r="F629" s="1254"/>
      <c r="G629" s="1319"/>
      <c r="H629" s="1254"/>
      <c r="I629" s="1254"/>
      <c r="J629" s="1254"/>
      <c r="K629" s="1320"/>
      <c r="L629" s="1254"/>
      <c r="M629" s="1254"/>
      <c r="N629" s="1254"/>
      <c r="O629" s="1254"/>
      <c r="P629" s="1254"/>
      <c r="Q629" s="1254"/>
      <c r="R629" s="1254"/>
      <c r="S629" s="1254"/>
      <c r="T629" s="1254"/>
      <c r="U629" s="1254"/>
      <c r="V629" s="1254"/>
      <c r="W629" s="1254"/>
      <c r="X629" s="1254"/>
      <c r="Y629" s="1254"/>
      <c r="Z629" s="1254"/>
    </row>
    <row r="630">
      <c r="A630" s="1254"/>
      <c r="B630" s="1263"/>
      <c r="C630" s="1317"/>
      <c r="D630" s="1263"/>
      <c r="E630" s="1318"/>
      <c r="F630" s="1254"/>
      <c r="G630" s="1319"/>
      <c r="H630" s="1254"/>
      <c r="I630" s="1254"/>
      <c r="J630" s="1254"/>
      <c r="K630" s="1320"/>
      <c r="L630" s="1254"/>
      <c r="M630" s="1254"/>
      <c r="N630" s="1254"/>
      <c r="O630" s="1254"/>
      <c r="P630" s="1254"/>
      <c r="Q630" s="1254"/>
      <c r="R630" s="1254"/>
      <c r="S630" s="1254"/>
      <c r="T630" s="1254"/>
      <c r="U630" s="1254"/>
      <c r="V630" s="1254"/>
      <c r="W630" s="1254"/>
      <c r="X630" s="1254"/>
      <c r="Y630" s="1254"/>
      <c r="Z630" s="1254"/>
    </row>
    <row r="631">
      <c r="A631" s="1254"/>
      <c r="B631" s="1263"/>
      <c r="C631" s="1317"/>
      <c r="D631" s="1263"/>
      <c r="E631" s="1318"/>
      <c r="F631" s="1254"/>
      <c r="G631" s="1319"/>
      <c r="H631" s="1254"/>
      <c r="I631" s="1254"/>
      <c r="J631" s="1254"/>
      <c r="K631" s="1320"/>
      <c r="L631" s="1254"/>
      <c r="M631" s="1254"/>
      <c r="N631" s="1254"/>
      <c r="O631" s="1254"/>
      <c r="P631" s="1254"/>
      <c r="Q631" s="1254"/>
      <c r="R631" s="1254"/>
      <c r="S631" s="1254"/>
      <c r="T631" s="1254"/>
      <c r="U631" s="1254"/>
      <c r="V631" s="1254"/>
      <c r="W631" s="1254"/>
      <c r="X631" s="1254"/>
      <c r="Y631" s="1254"/>
      <c r="Z631" s="1254"/>
    </row>
    <row r="632">
      <c r="A632" s="1254"/>
      <c r="B632" s="1263"/>
      <c r="C632" s="1317"/>
      <c r="D632" s="1263"/>
      <c r="E632" s="1318"/>
      <c r="F632" s="1254"/>
      <c r="G632" s="1319"/>
      <c r="H632" s="1254"/>
      <c r="I632" s="1254"/>
      <c r="J632" s="1254"/>
      <c r="K632" s="1320"/>
      <c r="L632" s="1254"/>
      <c r="M632" s="1254"/>
      <c r="N632" s="1254"/>
      <c r="O632" s="1254"/>
      <c r="P632" s="1254"/>
      <c r="Q632" s="1254"/>
      <c r="R632" s="1254"/>
      <c r="S632" s="1254"/>
      <c r="T632" s="1254"/>
      <c r="U632" s="1254"/>
      <c r="V632" s="1254"/>
      <c r="W632" s="1254"/>
      <c r="X632" s="1254"/>
      <c r="Y632" s="1254"/>
      <c r="Z632" s="1254"/>
    </row>
    <row r="633">
      <c r="A633" s="1254"/>
      <c r="B633" s="1263"/>
      <c r="C633" s="1317"/>
      <c r="D633" s="1263"/>
      <c r="E633" s="1318"/>
      <c r="F633" s="1254"/>
      <c r="G633" s="1319"/>
      <c r="H633" s="1254"/>
      <c r="I633" s="1254"/>
      <c r="J633" s="1254"/>
      <c r="K633" s="1320"/>
      <c r="L633" s="1254"/>
      <c r="M633" s="1254"/>
      <c r="N633" s="1254"/>
      <c r="O633" s="1254"/>
      <c r="P633" s="1254"/>
      <c r="Q633" s="1254"/>
      <c r="R633" s="1254"/>
      <c r="S633" s="1254"/>
      <c r="T633" s="1254"/>
      <c r="U633" s="1254"/>
      <c r="V633" s="1254"/>
      <c r="W633" s="1254"/>
      <c r="X633" s="1254"/>
      <c r="Y633" s="1254"/>
      <c r="Z633" s="1254"/>
    </row>
    <row r="634">
      <c r="A634" s="1254"/>
      <c r="B634" s="1263"/>
      <c r="C634" s="1317"/>
      <c r="D634" s="1263"/>
      <c r="E634" s="1318"/>
      <c r="F634" s="1254"/>
      <c r="G634" s="1319"/>
      <c r="H634" s="1254"/>
      <c r="I634" s="1254"/>
      <c r="J634" s="1254"/>
      <c r="K634" s="1320"/>
      <c r="L634" s="1254"/>
      <c r="M634" s="1254"/>
      <c r="N634" s="1254"/>
      <c r="O634" s="1254"/>
      <c r="P634" s="1254"/>
      <c r="Q634" s="1254"/>
      <c r="R634" s="1254"/>
      <c r="S634" s="1254"/>
      <c r="T634" s="1254"/>
      <c r="U634" s="1254"/>
      <c r="V634" s="1254"/>
      <c r="W634" s="1254"/>
      <c r="X634" s="1254"/>
      <c r="Y634" s="1254"/>
      <c r="Z634" s="1254"/>
    </row>
    <row r="635">
      <c r="A635" s="1254"/>
      <c r="B635" s="1263"/>
      <c r="C635" s="1317"/>
      <c r="D635" s="1263"/>
      <c r="E635" s="1318"/>
      <c r="F635" s="1254"/>
      <c r="G635" s="1319"/>
      <c r="H635" s="1254"/>
      <c r="I635" s="1254"/>
      <c r="J635" s="1254"/>
      <c r="K635" s="1320"/>
      <c r="L635" s="1254"/>
      <c r="M635" s="1254"/>
      <c r="N635" s="1254"/>
      <c r="O635" s="1254"/>
      <c r="P635" s="1254"/>
      <c r="Q635" s="1254"/>
      <c r="R635" s="1254"/>
      <c r="S635" s="1254"/>
      <c r="T635" s="1254"/>
      <c r="U635" s="1254"/>
      <c r="V635" s="1254"/>
      <c r="W635" s="1254"/>
      <c r="X635" s="1254"/>
      <c r="Y635" s="1254"/>
      <c r="Z635" s="1254"/>
    </row>
    <row r="636">
      <c r="A636" s="1254"/>
      <c r="B636" s="1263"/>
      <c r="C636" s="1317"/>
      <c r="D636" s="1263"/>
      <c r="E636" s="1318"/>
      <c r="F636" s="1254"/>
      <c r="G636" s="1319"/>
      <c r="H636" s="1254"/>
      <c r="I636" s="1254"/>
      <c r="J636" s="1254"/>
      <c r="K636" s="1320"/>
      <c r="L636" s="1254"/>
      <c r="M636" s="1254"/>
      <c r="N636" s="1254"/>
      <c r="O636" s="1254"/>
      <c r="P636" s="1254"/>
      <c r="Q636" s="1254"/>
      <c r="R636" s="1254"/>
      <c r="S636" s="1254"/>
      <c r="T636" s="1254"/>
      <c r="U636" s="1254"/>
      <c r="V636" s="1254"/>
      <c r="W636" s="1254"/>
      <c r="X636" s="1254"/>
      <c r="Y636" s="1254"/>
      <c r="Z636" s="1254"/>
    </row>
    <row r="637">
      <c r="A637" s="1254"/>
      <c r="B637" s="1263"/>
      <c r="C637" s="1317"/>
      <c r="D637" s="1263"/>
      <c r="E637" s="1318"/>
      <c r="F637" s="1254"/>
      <c r="G637" s="1319"/>
      <c r="H637" s="1254"/>
      <c r="I637" s="1254"/>
      <c r="J637" s="1254"/>
      <c r="K637" s="1320"/>
      <c r="L637" s="1254"/>
      <c r="M637" s="1254"/>
      <c r="N637" s="1254"/>
      <c r="O637" s="1254"/>
      <c r="P637" s="1254"/>
      <c r="Q637" s="1254"/>
      <c r="R637" s="1254"/>
      <c r="S637" s="1254"/>
      <c r="T637" s="1254"/>
      <c r="U637" s="1254"/>
      <c r="V637" s="1254"/>
      <c r="W637" s="1254"/>
      <c r="X637" s="1254"/>
      <c r="Y637" s="1254"/>
      <c r="Z637" s="1254"/>
    </row>
    <row r="638">
      <c r="A638" s="1254"/>
      <c r="B638" s="1263"/>
      <c r="C638" s="1317"/>
      <c r="D638" s="1263"/>
      <c r="E638" s="1318"/>
      <c r="F638" s="1254"/>
      <c r="G638" s="1319"/>
      <c r="H638" s="1254"/>
      <c r="I638" s="1254"/>
      <c r="J638" s="1254"/>
      <c r="K638" s="1320"/>
      <c r="L638" s="1254"/>
      <c r="M638" s="1254"/>
      <c r="N638" s="1254"/>
      <c r="O638" s="1254"/>
      <c r="P638" s="1254"/>
      <c r="Q638" s="1254"/>
      <c r="R638" s="1254"/>
      <c r="S638" s="1254"/>
      <c r="T638" s="1254"/>
      <c r="U638" s="1254"/>
      <c r="V638" s="1254"/>
      <c r="W638" s="1254"/>
      <c r="X638" s="1254"/>
      <c r="Y638" s="1254"/>
      <c r="Z638" s="1254"/>
    </row>
    <row r="639">
      <c r="A639" s="1254"/>
      <c r="B639" s="1263"/>
      <c r="C639" s="1317"/>
      <c r="D639" s="1263"/>
      <c r="E639" s="1318"/>
      <c r="F639" s="1254"/>
      <c r="G639" s="1319"/>
      <c r="H639" s="1254"/>
      <c r="I639" s="1254"/>
      <c r="J639" s="1254"/>
      <c r="K639" s="1320"/>
      <c r="L639" s="1254"/>
      <c r="M639" s="1254"/>
      <c r="N639" s="1254"/>
      <c r="O639" s="1254"/>
      <c r="P639" s="1254"/>
      <c r="Q639" s="1254"/>
      <c r="R639" s="1254"/>
      <c r="S639" s="1254"/>
      <c r="T639" s="1254"/>
      <c r="U639" s="1254"/>
      <c r="V639" s="1254"/>
      <c r="W639" s="1254"/>
      <c r="X639" s="1254"/>
      <c r="Y639" s="1254"/>
      <c r="Z639" s="1254"/>
    </row>
    <row r="640">
      <c r="A640" s="1254"/>
      <c r="B640" s="1263"/>
      <c r="C640" s="1317"/>
      <c r="D640" s="1263"/>
      <c r="E640" s="1318"/>
      <c r="F640" s="1254"/>
      <c r="G640" s="1319"/>
      <c r="H640" s="1254"/>
      <c r="I640" s="1254"/>
      <c r="J640" s="1254"/>
      <c r="K640" s="1320"/>
      <c r="L640" s="1254"/>
      <c r="M640" s="1254"/>
      <c r="N640" s="1254"/>
      <c r="O640" s="1254"/>
      <c r="P640" s="1254"/>
      <c r="Q640" s="1254"/>
      <c r="R640" s="1254"/>
      <c r="S640" s="1254"/>
      <c r="T640" s="1254"/>
      <c r="U640" s="1254"/>
      <c r="V640" s="1254"/>
      <c r="W640" s="1254"/>
      <c r="X640" s="1254"/>
      <c r="Y640" s="1254"/>
      <c r="Z640" s="1254"/>
    </row>
    <row r="641">
      <c r="A641" s="1254"/>
      <c r="B641" s="1263"/>
      <c r="C641" s="1317"/>
      <c r="D641" s="1263"/>
      <c r="E641" s="1318"/>
      <c r="F641" s="1254"/>
      <c r="G641" s="1319"/>
      <c r="H641" s="1254"/>
      <c r="I641" s="1254"/>
      <c r="J641" s="1254"/>
      <c r="K641" s="1320"/>
      <c r="L641" s="1254"/>
      <c r="M641" s="1254"/>
      <c r="N641" s="1254"/>
      <c r="O641" s="1254"/>
      <c r="P641" s="1254"/>
      <c r="Q641" s="1254"/>
      <c r="R641" s="1254"/>
      <c r="S641" s="1254"/>
      <c r="T641" s="1254"/>
      <c r="U641" s="1254"/>
      <c r="V641" s="1254"/>
      <c r="W641" s="1254"/>
      <c r="X641" s="1254"/>
      <c r="Y641" s="1254"/>
      <c r="Z641" s="1254"/>
    </row>
    <row r="642">
      <c r="A642" s="1254"/>
      <c r="B642" s="1263"/>
      <c r="C642" s="1317"/>
      <c r="D642" s="1263"/>
      <c r="E642" s="1318"/>
      <c r="F642" s="1254"/>
      <c r="G642" s="1319"/>
      <c r="H642" s="1254"/>
      <c r="I642" s="1254"/>
      <c r="J642" s="1254"/>
      <c r="K642" s="1320"/>
      <c r="L642" s="1254"/>
      <c r="M642" s="1254"/>
      <c r="N642" s="1254"/>
      <c r="O642" s="1254"/>
      <c r="P642" s="1254"/>
      <c r="Q642" s="1254"/>
      <c r="R642" s="1254"/>
      <c r="S642" s="1254"/>
      <c r="T642" s="1254"/>
      <c r="U642" s="1254"/>
      <c r="V642" s="1254"/>
      <c r="W642" s="1254"/>
      <c r="X642" s="1254"/>
      <c r="Y642" s="1254"/>
      <c r="Z642" s="1254"/>
    </row>
    <row r="643">
      <c r="A643" s="1254"/>
      <c r="B643" s="1263"/>
      <c r="C643" s="1317"/>
      <c r="D643" s="1263"/>
      <c r="E643" s="1318"/>
      <c r="F643" s="1254"/>
      <c r="G643" s="1319"/>
      <c r="H643" s="1254"/>
      <c r="I643" s="1254"/>
      <c r="J643" s="1254"/>
      <c r="K643" s="1320"/>
      <c r="L643" s="1254"/>
      <c r="M643" s="1254"/>
      <c r="N643" s="1254"/>
      <c r="O643" s="1254"/>
      <c r="P643" s="1254"/>
      <c r="Q643" s="1254"/>
      <c r="R643" s="1254"/>
      <c r="S643" s="1254"/>
      <c r="T643" s="1254"/>
      <c r="U643" s="1254"/>
      <c r="V643" s="1254"/>
      <c r="W643" s="1254"/>
      <c r="X643" s="1254"/>
      <c r="Y643" s="1254"/>
      <c r="Z643" s="1254"/>
    </row>
    <row r="644">
      <c r="A644" s="1254"/>
      <c r="B644" s="1263"/>
      <c r="C644" s="1317"/>
      <c r="D644" s="1263"/>
      <c r="E644" s="1318"/>
      <c r="F644" s="1254"/>
      <c r="G644" s="1319"/>
      <c r="H644" s="1254"/>
      <c r="I644" s="1254"/>
      <c r="J644" s="1254"/>
      <c r="K644" s="1320"/>
      <c r="L644" s="1254"/>
      <c r="M644" s="1254"/>
      <c r="N644" s="1254"/>
      <c r="O644" s="1254"/>
      <c r="P644" s="1254"/>
      <c r="Q644" s="1254"/>
      <c r="R644" s="1254"/>
      <c r="S644" s="1254"/>
      <c r="T644" s="1254"/>
      <c r="U644" s="1254"/>
      <c r="V644" s="1254"/>
      <c r="W644" s="1254"/>
      <c r="X644" s="1254"/>
      <c r="Y644" s="1254"/>
      <c r="Z644" s="1254"/>
    </row>
    <row r="645">
      <c r="A645" s="1254"/>
      <c r="B645" s="1263"/>
      <c r="C645" s="1317"/>
      <c r="D645" s="1263"/>
      <c r="E645" s="1318"/>
      <c r="F645" s="1254"/>
      <c r="G645" s="1319"/>
      <c r="H645" s="1254"/>
      <c r="I645" s="1254"/>
      <c r="J645" s="1254"/>
      <c r="K645" s="1320"/>
      <c r="L645" s="1254"/>
      <c r="M645" s="1254"/>
      <c r="N645" s="1254"/>
      <c r="O645" s="1254"/>
      <c r="P645" s="1254"/>
      <c r="Q645" s="1254"/>
      <c r="R645" s="1254"/>
      <c r="S645" s="1254"/>
      <c r="T645" s="1254"/>
      <c r="U645" s="1254"/>
      <c r="V645" s="1254"/>
      <c r="W645" s="1254"/>
      <c r="X645" s="1254"/>
      <c r="Y645" s="1254"/>
      <c r="Z645" s="1254"/>
    </row>
    <row r="646">
      <c r="A646" s="1254"/>
      <c r="B646" s="1263"/>
      <c r="C646" s="1317"/>
      <c r="D646" s="1263"/>
      <c r="E646" s="1318"/>
      <c r="F646" s="1254"/>
      <c r="G646" s="1319"/>
      <c r="H646" s="1254"/>
      <c r="I646" s="1254"/>
      <c r="J646" s="1254"/>
      <c r="K646" s="1320"/>
      <c r="L646" s="1254"/>
      <c r="M646" s="1254"/>
      <c r="N646" s="1254"/>
      <c r="O646" s="1254"/>
      <c r="P646" s="1254"/>
      <c r="Q646" s="1254"/>
      <c r="R646" s="1254"/>
      <c r="S646" s="1254"/>
      <c r="T646" s="1254"/>
      <c r="U646" s="1254"/>
      <c r="V646" s="1254"/>
      <c r="W646" s="1254"/>
      <c r="X646" s="1254"/>
      <c r="Y646" s="1254"/>
      <c r="Z646" s="1254"/>
    </row>
    <row r="647">
      <c r="A647" s="1254"/>
      <c r="B647" s="1263"/>
      <c r="C647" s="1317"/>
      <c r="D647" s="1263"/>
      <c r="E647" s="1318"/>
      <c r="F647" s="1254"/>
      <c r="G647" s="1319"/>
      <c r="H647" s="1254"/>
      <c r="I647" s="1254"/>
      <c r="J647" s="1254"/>
      <c r="K647" s="1320"/>
      <c r="L647" s="1254"/>
      <c r="M647" s="1254"/>
      <c r="N647" s="1254"/>
      <c r="O647" s="1254"/>
      <c r="P647" s="1254"/>
      <c r="Q647" s="1254"/>
      <c r="R647" s="1254"/>
      <c r="S647" s="1254"/>
      <c r="T647" s="1254"/>
      <c r="U647" s="1254"/>
      <c r="V647" s="1254"/>
      <c r="W647" s="1254"/>
      <c r="X647" s="1254"/>
      <c r="Y647" s="1254"/>
      <c r="Z647" s="1254"/>
    </row>
    <row r="648">
      <c r="A648" s="1254"/>
      <c r="B648" s="1263"/>
      <c r="C648" s="1317"/>
      <c r="D648" s="1263"/>
      <c r="E648" s="1318"/>
      <c r="F648" s="1254"/>
      <c r="G648" s="1319"/>
      <c r="H648" s="1254"/>
      <c r="I648" s="1254"/>
      <c r="J648" s="1254"/>
      <c r="K648" s="1320"/>
      <c r="L648" s="1254"/>
      <c r="M648" s="1254"/>
      <c r="N648" s="1254"/>
      <c r="O648" s="1254"/>
      <c r="P648" s="1254"/>
      <c r="Q648" s="1254"/>
      <c r="R648" s="1254"/>
      <c r="S648" s="1254"/>
      <c r="T648" s="1254"/>
      <c r="U648" s="1254"/>
      <c r="V648" s="1254"/>
      <c r="W648" s="1254"/>
      <c r="X648" s="1254"/>
      <c r="Y648" s="1254"/>
      <c r="Z648" s="1254"/>
    </row>
    <row r="649">
      <c r="A649" s="1254"/>
      <c r="B649" s="1263"/>
      <c r="C649" s="1317"/>
      <c r="D649" s="1263"/>
      <c r="E649" s="1318"/>
      <c r="F649" s="1254"/>
      <c r="G649" s="1319"/>
      <c r="H649" s="1254"/>
      <c r="I649" s="1254"/>
      <c r="J649" s="1254"/>
      <c r="K649" s="1320"/>
      <c r="L649" s="1254"/>
      <c r="M649" s="1254"/>
      <c r="N649" s="1254"/>
      <c r="O649" s="1254"/>
      <c r="P649" s="1254"/>
      <c r="Q649" s="1254"/>
      <c r="R649" s="1254"/>
      <c r="S649" s="1254"/>
      <c r="T649" s="1254"/>
      <c r="U649" s="1254"/>
      <c r="V649" s="1254"/>
      <c r="W649" s="1254"/>
      <c r="X649" s="1254"/>
      <c r="Y649" s="1254"/>
      <c r="Z649" s="1254"/>
    </row>
    <row r="650">
      <c r="A650" s="1254"/>
      <c r="B650" s="1263"/>
      <c r="C650" s="1317"/>
      <c r="D650" s="1263"/>
      <c r="E650" s="1318"/>
      <c r="F650" s="1254"/>
      <c r="G650" s="1319"/>
      <c r="H650" s="1254"/>
      <c r="I650" s="1254"/>
      <c r="J650" s="1254"/>
      <c r="K650" s="1320"/>
      <c r="L650" s="1254"/>
      <c r="M650" s="1254"/>
      <c r="N650" s="1254"/>
      <c r="O650" s="1254"/>
      <c r="P650" s="1254"/>
      <c r="Q650" s="1254"/>
      <c r="R650" s="1254"/>
      <c r="S650" s="1254"/>
      <c r="T650" s="1254"/>
      <c r="U650" s="1254"/>
      <c r="V650" s="1254"/>
      <c r="W650" s="1254"/>
      <c r="X650" s="1254"/>
      <c r="Y650" s="1254"/>
      <c r="Z650" s="1254"/>
    </row>
    <row r="651">
      <c r="A651" s="1254"/>
      <c r="B651" s="1263"/>
      <c r="C651" s="1317"/>
      <c r="D651" s="1263"/>
      <c r="E651" s="1318"/>
      <c r="F651" s="1254"/>
      <c r="G651" s="1319"/>
      <c r="H651" s="1254"/>
      <c r="I651" s="1254"/>
      <c r="J651" s="1254"/>
      <c r="K651" s="1320"/>
      <c r="L651" s="1254"/>
      <c r="M651" s="1254"/>
      <c r="N651" s="1254"/>
      <c r="O651" s="1254"/>
      <c r="P651" s="1254"/>
      <c r="Q651" s="1254"/>
      <c r="R651" s="1254"/>
      <c r="S651" s="1254"/>
      <c r="T651" s="1254"/>
      <c r="U651" s="1254"/>
      <c r="V651" s="1254"/>
      <c r="W651" s="1254"/>
      <c r="X651" s="1254"/>
      <c r="Y651" s="1254"/>
      <c r="Z651" s="1254"/>
    </row>
    <row r="652">
      <c r="A652" s="1254"/>
      <c r="B652" s="1263"/>
      <c r="C652" s="1317"/>
      <c r="D652" s="1263"/>
      <c r="E652" s="1318"/>
      <c r="F652" s="1254"/>
      <c r="G652" s="1319"/>
      <c r="H652" s="1254"/>
      <c r="I652" s="1254"/>
      <c r="J652" s="1254"/>
      <c r="K652" s="1320"/>
      <c r="L652" s="1254"/>
      <c r="M652" s="1254"/>
      <c r="N652" s="1254"/>
      <c r="O652" s="1254"/>
      <c r="P652" s="1254"/>
      <c r="Q652" s="1254"/>
      <c r="R652" s="1254"/>
      <c r="S652" s="1254"/>
      <c r="T652" s="1254"/>
      <c r="U652" s="1254"/>
      <c r="V652" s="1254"/>
      <c r="W652" s="1254"/>
      <c r="X652" s="1254"/>
      <c r="Y652" s="1254"/>
      <c r="Z652" s="1254"/>
    </row>
    <row r="653">
      <c r="A653" s="1254"/>
      <c r="B653" s="1263"/>
      <c r="C653" s="1317"/>
      <c r="D653" s="1263"/>
      <c r="E653" s="1318"/>
      <c r="F653" s="1254"/>
      <c r="G653" s="1319"/>
      <c r="H653" s="1254"/>
      <c r="I653" s="1254"/>
      <c r="J653" s="1254"/>
      <c r="K653" s="1320"/>
      <c r="L653" s="1254"/>
      <c r="M653" s="1254"/>
      <c r="N653" s="1254"/>
      <c r="O653" s="1254"/>
      <c r="P653" s="1254"/>
      <c r="Q653" s="1254"/>
      <c r="R653" s="1254"/>
      <c r="S653" s="1254"/>
      <c r="T653" s="1254"/>
      <c r="U653" s="1254"/>
      <c r="V653" s="1254"/>
      <c r="W653" s="1254"/>
      <c r="X653" s="1254"/>
      <c r="Y653" s="1254"/>
      <c r="Z653" s="1254"/>
    </row>
    <row r="654">
      <c r="A654" s="1254"/>
      <c r="B654" s="1263"/>
      <c r="C654" s="1317"/>
      <c r="D654" s="1263"/>
      <c r="E654" s="1318"/>
      <c r="F654" s="1254"/>
      <c r="G654" s="1319"/>
      <c r="H654" s="1254"/>
      <c r="I654" s="1254"/>
      <c r="J654" s="1254"/>
      <c r="K654" s="1320"/>
      <c r="L654" s="1254"/>
      <c r="M654" s="1254"/>
      <c r="N654" s="1254"/>
      <c r="O654" s="1254"/>
      <c r="P654" s="1254"/>
      <c r="Q654" s="1254"/>
      <c r="R654" s="1254"/>
      <c r="S654" s="1254"/>
      <c r="T654" s="1254"/>
      <c r="U654" s="1254"/>
      <c r="V654" s="1254"/>
      <c r="W654" s="1254"/>
      <c r="X654" s="1254"/>
      <c r="Y654" s="1254"/>
      <c r="Z654" s="1254"/>
    </row>
    <row r="655">
      <c r="A655" s="1254"/>
      <c r="B655" s="1263"/>
      <c r="C655" s="1317"/>
      <c r="D655" s="1263"/>
      <c r="E655" s="1318"/>
      <c r="F655" s="1254"/>
      <c r="G655" s="1319"/>
      <c r="H655" s="1254"/>
      <c r="I655" s="1254"/>
      <c r="J655" s="1254"/>
      <c r="K655" s="1320"/>
      <c r="L655" s="1254"/>
      <c r="M655" s="1254"/>
      <c r="N655" s="1254"/>
      <c r="O655" s="1254"/>
      <c r="P655" s="1254"/>
      <c r="Q655" s="1254"/>
      <c r="R655" s="1254"/>
      <c r="S655" s="1254"/>
      <c r="T655" s="1254"/>
      <c r="U655" s="1254"/>
      <c r="V655" s="1254"/>
      <c r="W655" s="1254"/>
      <c r="X655" s="1254"/>
      <c r="Y655" s="1254"/>
      <c r="Z655" s="1254"/>
    </row>
    <row r="656">
      <c r="A656" s="1254"/>
      <c r="B656" s="1263"/>
      <c r="C656" s="1317"/>
      <c r="D656" s="1263"/>
      <c r="E656" s="1318"/>
      <c r="F656" s="1254"/>
      <c r="G656" s="1319"/>
      <c r="H656" s="1254"/>
      <c r="I656" s="1254"/>
      <c r="J656" s="1254"/>
      <c r="K656" s="1320"/>
      <c r="L656" s="1254"/>
      <c r="M656" s="1254"/>
      <c r="N656" s="1254"/>
      <c r="O656" s="1254"/>
      <c r="P656" s="1254"/>
      <c r="Q656" s="1254"/>
      <c r="R656" s="1254"/>
      <c r="S656" s="1254"/>
      <c r="T656" s="1254"/>
      <c r="U656" s="1254"/>
      <c r="V656" s="1254"/>
      <c r="W656" s="1254"/>
      <c r="X656" s="1254"/>
      <c r="Y656" s="1254"/>
      <c r="Z656" s="1254"/>
    </row>
    <row r="657">
      <c r="A657" s="1254"/>
      <c r="B657" s="1263"/>
      <c r="C657" s="1317"/>
      <c r="D657" s="1263"/>
      <c r="E657" s="1318"/>
      <c r="F657" s="1254"/>
      <c r="G657" s="1319"/>
      <c r="H657" s="1254"/>
      <c r="I657" s="1254"/>
      <c r="J657" s="1254"/>
      <c r="K657" s="1320"/>
      <c r="L657" s="1254"/>
      <c r="M657" s="1254"/>
      <c r="N657" s="1254"/>
      <c r="O657" s="1254"/>
      <c r="P657" s="1254"/>
      <c r="Q657" s="1254"/>
      <c r="R657" s="1254"/>
      <c r="S657" s="1254"/>
      <c r="T657" s="1254"/>
      <c r="U657" s="1254"/>
      <c r="V657" s="1254"/>
      <c r="W657" s="1254"/>
      <c r="X657" s="1254"/>
      <c r="Y657" s="1254"/>
      <c r="Z657" s="1254"/>
    </row>
    <row r="658">
      <c r="A658" s="1254"/>
      <c r="B658" s="1263"/>
      <c r="C658" s="1317"/>
      <c r="D658" s="1263"/>
      <c r="E658" s="1318"/>
      <c r="F658" s="1254"/>
      <c r="G658" s="1319"/>
      <c r="H658" s="1254"/>
      <c r="I658" s="1254"/>
      <c r="J658" s="1254"/>
      <c r="K658" s="1320"/>
      <c r="L658" s="1254"/>
      <c r="M658" s="1254"/>
      <c r="N658" s="1254"/>
      <c r="O658" s="1254"/>
      <c r="P658" s="1254"/>
      <c r="Q658" s="1254"/>
      <c r="R658" s="1254"/>
      <c r="S658" s="1254"/>
      <c r="T658" s="1254"/>
      <c r="U658" s="1254"/>
      <c r="V658" s="1254"/>
      <c r="W658" s="1254"/>
      <c r="X658" s="1254"/>
      <c r="Y658" s="1254"/>
      <c r="Z658" s="1254"/>
    </row>
    <row r="659">
      <c r="A659" s="1254"/>
      <c r="B659" s="1263"/>
      <c r="C659" s="1317"/>
      <c r="D659" s="1263"/>
      <c r="E659" s="1318"/>
      <c r="F659" s="1254"/>
      <c r="G659" s="1319"/>
      <c r="H659" s="1254"/>
      <c r="I659" s="1254"/>
      <c r="J659" s="1254"/>
      <c r="K659" s="1320"/>
      <c r="L659" s="1254"/>
      <c r="M659" s="1254"/>
      <c r="N659" s="1254"/>
      <c r="O659" s="1254"/>
      <c r="P659" s="1254"/>
      <c r="Q659" s="1254"/>
      <c r="R659" s="1254"/>
      <c r="S659" s="1254"/>
      <c r="T659" s="1254"/>
      <c r="U659" s="1254"/>
      <c r="V659" s="1254"/>
      <c r="W659" s="1254"/>
      <c r="X659" s="1254"/>
      <c r="Y659" s="1254"/>
      <c r="Z659" s="1254"/>
    </row>
    <row r="660">
      <c r="A660" s="1254"/>
      <c r="B660" s="1263"/>
      <c r="C660" s="1317"/>
      <c r="D660" s="1263"/>
      <c r="E660" s="1318"/>
      <c r="F660" s="1254"/>
      <c r="G660" s="1319"/>
      <c r="H660" s="1254"/>
      <c r="I660" s="1254"/>
      <c r="J660" s="1254"/>
      <c r="K660" s="1320"/>
      <c r="L660" s="1254"/>
      <c r="M660" s="1254"/>
      <c r="N660" s="1254"/>
      <c r="O660" s="1254"/>
      <c r="P660" s="1254"/>
      <c r="Q660" s="1254"/>
      <c r="R660" s="1254"/>
      <c r="S660" s="1254"/>
      <c r="T660" s="1254"/>
      <c r="U660" s="1254"/>
      <c r="V660" s="1254"/>
      <c r="W660" s="1254"/>
      <c r="X660" s="1254"/>
      <c r="Y660" s="1254"/>
      <c r="Z660" s="1254"/>
    </row>
    <row r="661">
      <c r="A661" s="1254"/>
      <c r="B661" s="1263"/>
      <c r="C661" s="1317"/>
      <c r="D661" s="1263"/>
      <c r="E661" s="1318"/>
      <c r="F661" s="1254"/>
      <c r="G661" s="1319"/>
      <c r="H661" s="1254"/>
      <c r="I661" s="1254"/>
      <c r="J661" s="1254"/>
      <c r="K661" s="1320"/>
      <c r="L661" s="1254"/>
      <c r="M661" s="1254"/>
      <c r="N661" s="1254"/>
      <c r="O661" s="1254"/>
      <c r="P661" s="1254"/>
      <c r="Q661" s="1254"/>
      <c r="R661" s="1254"/>
      <c r="S661" s="1254"/>
      <c r="T661" s="1254"/>
      <c r="U661" s="1254"/>
      <c r="V661" s="1254"/>
      <c r="W661" s="1254"/>
      <c r="X661" s="1254"/>
      <c r="Y661" s="1254"/>
      <c r="Z661" s="1254"/>
    </row>
    <row r="662">
      <c r="A662" s="1254"/>
      <c r="B662" s="1263"/>
      <c r="C662" s="1317"/>
      <c r="D662" s="1263"/>
      <c r="E662" s="1318"/>
      <c r="F662" s="1254"/>
      <c r="G662" s="1319"/>
      <c r="H662" s="1254"/>
      <c r="I662" s="1254"/>
      <c r="J662" s="1254"/>
      <c r="K662" s="1320"/>
      <c r="L662" s="1254"/>
      <c r="M662" s="1254"/>
      <c r="N662" s="1254"/>
      <c r="O662" s="1254"/>
      <c r="P662" s="1254"/>
      <c r="Q662" s="1254"/>
      <c r="R662" s="1254"/>
      <c r="S662" s="1254"/>
      <c r="T662" s="1254"/>
      <c r="U662" s="1254"/>
      <c r="V662" s="1254"/>
      <c r="W662" s="1254"/>
      <c r="X662" s="1254"/>
      <c r="Y662" s="1254"/>
      <c r="Z662" s="1254"/>
    </row>
    <row r="663">
      <c r="A663" s="1254"/>
      <c r="B663" s="1263"/>
      <c r="C663" s="1317"/>
      <c r="D663" s="1263"/>
      <c r="E663" s="1318"/>
      <c r="F663" s="1254"/>
      <c r="G663" s="1319"/>
      <c r="H663" s="1254"/>
      <c r="I663" s="1254"/>
      <c r="J663" s="1254"/>
      <c r="K663" s="1320"/>
      <c r="L663" s="1254"/>
      <c r="M663" s="1254"/>
      <c r="N663" s="1254"/>
      <c r="O663" s="1254"/>
      <c r="P663" s="1254"/>
      <c r="Q663" s="1254"/>
      <c r="R663" s="1254"/>
      <c r="S663" s="1254"/>
      <c r="T663" s="1254"/>
      <c r="U663" s="1254"/>
      <c r="V663" s="1254"/>
      <c r="W663" s="1254"/>
      <c r="X663" s="1254"/>
      <c r="Y663" s="1254"/>
      <c r="Z663" s="1254"/>
    </row>
    <row r="664">
      <c r="A664" s="1254"/>
      <c r="B664" s="1263"/>
      <c r="C664" s="1317"/>
      <c r="D664" s="1263"/>
      <c r="E664" s="1318"/>
      <c r="F664" s="1254"/>
      <c r="G664" s="1319"/>
      <c r="H664" s="1254"/>
      <c r="I664" s="1254"/>
      <c r="J664" s="1254"/>
      <c r="K664" s="1320"/>
      <c r="L664" s="1254"/>
      <c r="M664" s="1254"/>
      <c r="N664" s="1254"/>
      <c r="O664" s="1254"/>
      <c r="P664" s="1254"/>
      <c r="Q664" s="1254"/>
      <c r="R664" s="1254"/>
      <c r="S664" s="1254"/>
      <c r="T664" s="1254"/>
      <c r="U664" s="1254"/>
      <c r="V664" s="1254"/>
      <c r="W664" s="1254"/>
      <c r="X664" s="1254"/>
      <c r="Y664" s="1254"/>
      <c r="Z664" s="1254"/>
    </row>
    <row r="665">
      <c r="A665" s="1254"/>
      <c r="B665" s="1263"/>
      <c r="C665" s="1317"/>
      <c r="D665" s="1263"/>
      <c r="E665" s="1318"/>
      <c r="F665" s="1254"/>
      <c r="G665" s="1319"/>
      <c r="H665" s="1254"/>
      <c r="I665" s="1254"/>
      <c r="J665" s="1254"/>
      <c r="K665" s="1320"/>
      <c r="L665" s="1254"/>
      <c r="M665" s="1254"/>
      <c r="N665" s="1254"/>
      <c r="O665" s="1254"/>
      <c r="P665" s="1254"/>
      <c r="Q665" s="1254"/>
      <c r="R665" s="1254"/>
      <c r="S665" s="1254"/>
      <c r="T665" s="1254"/>
      <c r="U665" s="1254"/>
      <c r="V665" s="1254"/>
      <c r="W665" s="1254"/>
      <c r="X665" s="1254"/>
      <c r="Y665" s="1254"/>
      <c r="Z665" s="1254"/>
    </row>
    <row r="666">
      <c r="A666" s="1254"/>
      <c r="B666" s="1263"/>
      <c r="C666" s="1317"/>
      <c r="D666" s="1263"/>
      <c r="E666" s="1318"/>
      <c r="F666" s="1254"/>
      <c r="G666" s="1319"/>
      <c r="H666" s="1254"/>
      <c r="I666" s="1254"/>
      <c r="J666" s="1254"/>
      <c r="K666" s="1320"/>
      <c r="L666" s="1254"/>
      <c r="M666" s="1254"/>
      <c r="N666" s="1254"/>
      <c r="O666" s="1254"/>
      <c r="P666" s="1254"/>
      <c r="Q666" s="1254"/>
      <c r="R666" s="1254"/>
      <c r="S666" s="1254"/>
      <c r="T666" s="1254"/>
      <c r="U666" s="1254"/>
      <c r="V666" s="1254"/>
      <c r="W666" s="1254"/>
      <c r="X666" s="1254"/>
      <c r="Y666" s="1254"/>
      <c r="Z666" s="1254"/>
    </row>
    <row r="667">
      <c r="A667" s="1254"/>
      <c r="B667" s="1263"/>
      <c r="C667" s="1317"/>
      <c r="D667" s="1263"/>
      <c r="E667" s="1318"/>
      <c r="F667" s="1254"/>
      <c r="G667" s="1319"/>
      <c r="H667" s="1254"/>
      <c r="I667" s="1254"/>
      <c r="J667" s="1254"/>
      <c r="K667" s="1320"/>
      <c r="L667" s="1254"/>
      <c r="M667" s="1254"/>
      <c r="N667" s="1254"/>
      <c r="O667" s="1254"/>
      <c r="P667" s="1254"/>
      <c r="Q667" s="1254"/>
      <c r="R667" s="1254"/>
      <c r="S667" s="1254"/>
      <c r="T667" s="1254"/>
      <c r="U667" s="1254"/>
      <c r="V667" s="1254"/>
      <c r="W667" s="1254"/>
      <c r="X667" s="1254"/>
      <c r="Y667" s="1254"/>
      <c r="Z667" s="1254"/>
    </row>
    <row r="668">
      <c r="A668" s="1254"/>
      <c r="B668" s="1263"/>
      <c r="C668" s="1317"/>
      <c r="D668" s="1263"/>
      <c r="E668" s="1318"/>
      <c r="F668" s="1254"/>
      <c r="G668" s="1319"/>
      <c r="H668" s="1254"/>
      <c r="I668" s="1254"/>
      <c r="J668" s="1254"/>
      <c r="K668" s="1320"/>
      <c r="L668" s="1254"/>
      <c r="M668" s="1254"/>
      <c r="N668" s="1254"/>
      <c r="O668" s="1254"/>
      <c r="P668" s="1254"/>
      <c r="Q668" s="1254"/>
      <c r="R668" s="1254"/>
      <c r="S668" s="1254"/>
      <c r="T668" s="1254"/>
      <c r="U668" s="1254"/>
      <c r="V668" s="1254"/>
      <c r="W668" s="1254"/>
      <c r="X668" s="1254"/>
      <c r="Y668" s="1254"/>
      <c r="Z668" s="1254"/>
    </row>
    <row r="669">
      <c r="A669" s="1254"/>
      <c r="B669" s="1263"/>
      <c r="C669" s="1317"/>
      <c r="D669" s="1263"/>
      <c r="E669" s="1318"/>
      <c r="F669" s="1254"/>
      <c r="G669" s="1319"/>
      <c r="H669" s="1254"/>
      <c r="I669" s="1254"/>
      <c r="J669" s="1254"/>
      <c r="K669" s="1320"/>
      <c r="L669" s="1254"/>
      <c r="M669" s="1254"/>
      <c r="N669" s="1254"/>
      <c r="O669" s="1254"/>
      <c r="P669" s="1254"/>
      <c r="Q669" s="1254"/>
      <c r="R669" s="1254"/>
      <c r="S669" s="1254"/>
      <c r="T669" s="1254"/>
      <c r="U669" s="1254"/>
      <c r="V669" s="1254"/>
      <c r="W669" s="1254"/>
      <c r="X669" s="1254"/>
      <c r="Y669" s="1254"/>
      <c r="Z669" s="1254"/>
    </row>
    <row r="670">
      <c r="A670" s="1254"/>
      <c r="B670" s="1263"/>
      <c r="C670" s="1317"/>
      <c r="D670" s="1263"/>
      <c r="E670" s="1318"/>
      <c r="F670" s="1254"/>
      <c r="G670" s="1319"/>
      <c r="H670" s="1254"/>
      <c r="I670" s="1254"/>
      <c r="J670" s="1254"/>
      <c r="K670" s="1320"/>
      <c r="L670" s="1254"/>
      <c r="M670" s="1254"/>
      <c r="N670" s="1254"/>
      <c r="O670" s="1254"/>
      <c r="P670" s="1254"/>
      <c r="Q670" s="1254"/>
      <c r="R670" s="1254"/>
      <c r="S670" s="1254"/>
      <c r="T670" s="1254"/>
      <c r="U670" s="1254"/>
      <c r="V670" s="1254"/>
      <c r="W670" s="1254"/>
      <c r="X670" s="1254"/>
      <c r="Y670" s="1254"/>
      <c r="Z670" s="1254"/>
    </row>
    <row r="671">
      <c r="A671" s="1254"/>
      <c r="B671" s="1263"/>
      <c r="C671" s="1317"/>
      <c r="D671" s="1263"/>
      <c r="E671" s="1318"/>
      <c r="F671" s="1254"/>
      <c r="G671" s="1319"/>
      <c r="H671" s="1254"/>
      <c r="I671" s="1254"/>
      <c r="J671" s="1254"/>
      <c r="K671" s="1320"/>
      <c r="L671" s="1254"/>
      <c r="M671" s="1254"/>
      <c r="N671" s="1254"/>
      <c r="O671" s="1254"/>
      <c r="P671" s="1254"/>
      <c r="Q671" s="1254"/>
      <c r="R671" s="1254"/>
      <c r="S671" s="1254"/>
      <c r="T671" s="1254"/>
      <c r="U671" s="1254"/>
      <c r="V671" s="1254"/>
      <c r="W671" s="1254"/>
      <c r="X671" s="1254"/>
      <c r="Y671" s="1254"/>
      <c r="Z671" s="1254"/>
    </row>
    <row r="672">
      <c r="A672" s="1254"/>
      <c r="B672" s="1263"/>
      <c r="C672" s="1317"/>
      <c r="D672" s="1263"/>
      <c r="E672" s="1318"/>
      <c r="F672" s="1254"/>
      <c r="G672" s="1319"/>
      <c r="H672" s="1254"/>
      <c r="I672" s="1254"/>
      <c r="J672" s="1254"/>
      <c r="K672" s="1320"/>
      <c r="L672" s="1254"/>
      <c r="M672" s="1254"/>
      <c r="N672" s="1254"/>
      <c r="O672" s="1254"/>
      <c r="P672" s="1254"/>
      <c r="Q672" s="1254"/>
      <c r="R672" s="1254"/>
      <c r="S672" s="1254"/>
      <c r="T672" s="1254"/>
      <c r="U672" s="1254"/>
      <c r="V672" s="1254"/>
      <c r="W672" s="1254"/>
      <c r="X672" s="1254"/>
      <c r="Y672" s="1254"/>
      <c r="Z672" s="1254"/>
    </row>
    <row r="673">
      <c r="A673" s="1254"/>
      <c r="B673" s="1263"/>
      <c r="C673" s="1317"/>
      <c r="D673" s="1263"/>
      <c r="E673" s="1318"/>
      <c r="F673" s="1254"/>
      <c r="G673" s="1319"/>
      <c r="H673" s="1254"/>
      <c r="I673" s="1254"/>
      <c r="J673" s="1254"/>
      <c r="K673" s="1320"/>
      <c r="L673" s="1254"/>
      <c r="M673" s="1254"/>
      <c r="N673" s="1254"/>
      <c r="O673" s="1254"/>
      <c r="P673" s="1254"/>
      <c r="Q673" s="1254"/>
      <c r="R673" s="1254"/>
      <c r="S673" s="1254"/>
      <c r="T673" s="1254"/>
      <c r="U673" s="1254"/>
      <c r="V673" s="1254"/>
      <c r="W673" s="1254"/>
      <c r="X673" s="1254"/>
      <c r="Y673" s="1254"/>
      <c r="Z673" s="1254"/>
    </row>
    <row r="674">
      <c r="A674" s="1254"/>
      <c r="B674" s="1263"/>
      <c r="C674" s="1317"/>
      <c r="D674" s="1263"/>
      <c r="E674" s="1318"/>
      <c r="F674" s="1254"/>
      <c r="G674" s="1319"/>
      <c r="H674" s="1254"/>
      <c r="I674" s="1254"/>
      <c r="J674" s="1254"/>
      <c r="K674" s="1320"/>
      <c r="L674" s="1254"/>
      <c r="M674" s="1254"/>
      <c r="N674" s="1254"/>
      <c r="O674" s="1254"/>
      <c r="P674" s="1254"/>
      <c r="Q674" s="1254"/>
      <c r="R674" s="1254"/>
      <c r="S674" s="1254"/>
      <c r="T674" s="1254"/>
      <c r="U674" s="1254"/>
      <c r="V674" s="1254"/>
      <c r="W674" s="1254"/>
      <c r="X674" s="1254"/>
      <c r="Y674" s="1254"/>
      <c r="Z674" s="1254"/>
    </row>
    <row r="675">
      <c r="A675" s="1254"/>
      <c r="B675" s="1263"/>
      <c r="C675" s="1317"/>
      <c r="D675" s="1263"/>
      <c r="E675" s="1318"/>
      <c r="F675" s="1254"/>
      <c r="G675" s="1319"/>
      <c r="H675" s="1254"/>
      <c r="I675" s="1254"/>
      <c r="J675" s="1254"/>
      <c r="K675" s="1320"/>
      <c r="L675" s="1254"/>
      <c r="M675" s="1254"/>
      <c r="N675" s="1254"/>
      <c r="O675" s="1254"/>
      <c r="P675" s="1254"/>
      <c r="Q675" s="1254"/>
      <c r="R675" s="1254"/>
      <c r="S675" s="1254"/>
      <c r="T675" s="1254"/>
      <c r="U675" s="1254"/>
      <c r="V675" s="1254"/>
      <c r="W675" s="1254"/>
      <c r="X675" s="1254"/>
      <c r="Y675" s="1254"/>
      <c r="Z675" s="1254"/>
    </row>
    <row r="676">
      <c r="A676" s="1254"/>
      <c r="B676" s="1263"/>
      <c r="C676" s="1317"/>
      <c r="D676" s="1263"/>
      <c r="E676" s="1318"/>
      <c r="F676" s="1254"/>
      <c r="G676" s="1319"/>
      <c r="H676" s="1254"/>
      <c r="I676" s="1254"/>
      <c r="J676" s="1254"/>
      <c r="K676" s="1320"/>
      <c r="L676" s="1254"/>
      <c r="M676" s="1254"/>
      <c r="N676" s="1254"/>
      <c r="O676" s="1254"/>
      <c r="P676" s="1254"/>
      <c r="Q676" s="1254"/>
      <c r="R676" s="1254"/>
      <c r="S676" s="1254"/>
      <c r="T676" s="1254"/>
      <c r="U676" s="1254"/>
      <c r="V676" s="1254"/>
      <c r="W676" s="1254"/>
      <c r="X676" s="1254"/>
      <c r="Y676" s="1254"/>
      <c r="Z676" s="1254"/>
    </row>
    <row r="677">
      <c r="A677" s="1254"/>
      <c r="B677" s="1263"/>
      <c r="C677" s="1317"/>
      <c r="D677" s="1263"/>
      <c r="E677" s="1318"/>
      <c r="F677" s="1254"/>
      <c r="G677" s="1319"/>
      <c r="H677" s="1254"/>
      <c r="I677" s="1254"/>
      <c r="J677" s="1254"/>
      <c r="K677" s="1320"/>
      <c r="L677" s="1254"/>
      <c r="M677" s="1254"/>
      <c r="N677" s="1254"/>
      <c r="O677" s="1254"/>
      <c r="P677" s="1254"/>
      <c r="Q677" s="1254"/>
      <c r="R677" s="1254"/>
      <c r="S677" s="1254"/>
      <c r="T677" s="1254"/>
      <c r="U677" s="1254"/>
      <c r="V677" s="1254"/>
      <c r="W677" s="1254"/>
      <c r="X677" s="1254"/>
      <c r="Y677" s="1254"/>
      <c r="Z677" s="1254"/>
    </row>
    <row r="678">
      <c r="A678" s="1254"/>
      <c r="B678" s="1263"/>
      <c r="C678" s="1317"/>
      <c r="D678" s="1263"/>
      <c r="E678" s="1318"/>
      <c r="F678" s="1254"/>
      <c r="G678" s="1319"/>
      <c r="H678" s="1254"/>
      <c r="I678" s="1254"/>
      <c r="J678" s="1254"/>
      <c r="K678" s="1320"/>
      <c r="L678" s="1254"/>
      <c r="M678" s="1254"/>
      <c r="N678" s="1254"/>
      <c r="O678" s="1254"/>
      <c r="P678" s="1254"/>
      <c r="Q678" s="1254"/>
      <c r="R678" s="1254"/>
      <c r="S678" s="1254"/>
      <c r="T678" s="1254"/>
      <c r="U678" s="1254"/>
      <c r="V678" s="1254"/>
      <c r="W678" s="1254"/>
      <c r="X678" s="1254"/>
      <c r="Y678" s="1254"/>
      <c r="Z678" s="1254"/>
    </row>
    <row r="679">
      <c r="A679" s="1254"/>
      <c r="B679" s="1263"/>
      <c r="C679" s="1317"/>
      <c r="D679" s="1263"/>
      <c r="E679" s="1318"/>
      <c r="F679" s="1254"/>
      <c r="G679" s="1319"/>
      <c r="H679" s="1254"/>
      <c r="I679" s="1254"/>
      <c r="J679" s="1254"/>
      <c r="K679" s="1320"/>
      <c r="L679" s="1254"/>
      <c r="M679" s="1254"/>
      <c r="N679" s="1254"/>
      <c r="O679" s="1254"/>
      <c r="P679" s="1254"/>
      <c r="Q679" s="1254"/>
      <c r="R679" s="1254"/>
      <c r="S679" s="1254"/>
      <c r="T679" s="1254"/>
      <c r="U679" s="1254"/>
      <c r="V679" s="1254"/>
      <c r="W679" s="1254"/>
      <c r="X679" s="1254"/>
      <c r="Y679" s="1254"/>
      <c r="Z679" s="1254"/>
    </row>
    <row r="680">
      <c r="A680" s="1254"/>
      <c r="B680" s="1263"/>
      <c r="C680" s="1317"/>
      <c r="D680" s="1263"/>
      <c r="E680" s="1318"/>
      <c r="F680" s="1254"/>
      <c r="G680" s="1319"/>
      <c r="H680" s="1254"/>
      <c r="I680" s="1254"/>
      <c r="J680" s="1254"/>
      <c r="K680" s="1320"/>
      <c r="L680" s="1254"/>
      <c r="M680" s="1254"/>
      <c r="N680" s="1254"/>
      <c r="O680" s="1254"/>
      <c r="P680" s="1254"/>
      <c r="Q680" s="1254"/>
      <c r="R680" s="1254"/>
      <c r="S680" s="1254"/>
      <c r="T680" s="1254"/>
      <c r="U680" s="1254"/>
      <c r="V680" s="1254"/>
      <c r="W680" s="1254"/>
      <c r="X680" s="1254"/>
      <c r="Y680" s="1254"/>
      <c r="Z680" s="1254"/>
    </row>
    <row r="681">
      <c r="A681" s="1254"/>
      <c r="B681" s="1263"/>
      <c r="C681" s="1317"/>
      <c r="D681" s="1263"/>
      <c r="E681" s="1318"/>
      <c r="F681" s="1254"/>
      <c r="G681" s="1319"/>
      <c r="H681" s="1254"/>
      <c r="I681" s="1254"/>
      <c r="J681" s="1254"/>
      <c r="K681" s="1320"/>
      <c r="L681" s="1254"/>
      <c r="M681" s="1254"/>
      <c r="N681" s="1254"/>
      <c r="O681" s="1254"/>
      <c r="P681" s="1254"/>
      <c r="Q681" s="1254"/>
      <c r="R681" s="1254"/>
      <c r="S681" s="1254"/>
      <c r="T681" s="1254"/>
      <c r="U681" s="1254"/>
      <c r="V681" s="1254"/>
      <c r="W681" s="1254"/>
      <c r="X681" s="1254"/>
      <c r="Y681" s="1254"/>
      <c r="Z681" s="1254"/>
    </row>
    <row r="682">
      <c r="A682" s="1254"/>
      <c r="B682" s="1263"/>
      <c r="C682" s="1317"/>
      <c r="D682" s="1263"/>
      <c r="E682" s="1318"/>
      <c r="F682" s="1254"/>
      <c r="G682" s="1319"/>
      <c r="H682" s="1254"/>
      <c r="I682" s="1254"/>
      <c r="J682" s="1254"/>
      <c r="K682" s="1320"/>
      <c r="L682" s="1254"/>
      <c r="M682" s="1254"/>
      <c r="N682" s="1254"/>
      <c r="O682" s="1254"/>
      <c r="P682" s="1254"/>
      <c r="Q682" s="1254"/>
      <c r="R682" s="1254"/>
      <c r="S682" s="1254"/>
      <c r="T682" s="1254"/>
      <c r="U682" s="1254"/>
      <c r="V682" s="1254"/>
      <c r="W682" s="1254"/>
      <c r="X682" s="1254"/>
      <c r="Y682" s="1254"/>
      <c r="Z682" s="1254"/>
    </row>
    <row r="683">
      <c r="A683" s="1254"/>
      <c r="B683" s="1263"/>
      <c r="C683" s="1317"/>
      <c r="D683" s="1263"/>
      <c r="E683" s="1318"/>
      <c r="F683" s="1254"/>
      <c r="G683" s="1319"/>
      <c r="H683" s="1254"/>
      <c r="I683" s="1254"/>
      <c r="J683" s="1254"/>
      <c r="K683" s="1320"/>
      <c r="L683" s="1254"/>
      <c r="M683" s="1254"/>
      <c r="N683" s="1254"/>
      <c r="O683" s="1254"/>
      <c r="P683" s="1254"/>
      <c r="Q683" s="1254"/>
      <c r="R683" s="1254"/>
      <c r="S683" s="1254"/>
      <c r="T683" s="1254"/>
      <c r="U683" s="1254"/>
      <c r="V683" s="1254"/>
      <c r="W683" s="1254"/>
      <c r="X683" s="1254"/>
      <c r="Y683" s="1254"/>
      <c r="Z683" s="1254"/>
    </row>
    <row r="684">
      <c r="A684" s="1254"/>
      <c r="B684" s="1263"/>
      <c r="C684" s="1317"/>
      <c r="D684" s="1263"/>
      <c r="E684" s="1318"/>
      <c r="F684" s="1254"/>
      <c r="G684" s="1319"/>
      <c r="H684" s="1254"/>
      <c r="I684" s="1254"/>
      <c r="J684" s="1254"/>
      <c r="K684" s="1320"/>
      <c r="L684" s="1254"/>
      <c r="M684" s="1254"/>
      <c r="N684" s="1254"/>
      <c r="O684" s="1254"/>
      <c r="P684" s="1254"/>
      <c r="Q684" s="1254"/>
      <c r="R684" s="1254"/>
      <c r="S684" s="1254"/>
      <c r="T684" s="1254"/>
      <c r="U684" s="1254"/>
      <c r="V684" s="1254"/>
      <c r="W684" s="1254"/>
      <c r="X684" s="1254"/>
      <c r="Y684" s="1254"/>
      <c r="Z684" s="1254"/>
    </row>
    <row r="685">
      <c r="A685" s="1254"/>
      <c r="B685" s="1263"/>
      <c r="C685" s="1317"/>
      <c r="D685" s="1263"/>
      <c r="E685" s="1318"/>
      <c r="F685" s="1254"/>
      <c r="G685" s="1319"/>
      <c r="H685" s="1254"/>
      <c r="I685" s="1254"/>
      <c r="J685" s="1254"/>
      <c r="K685" s="1320"/>
      <c r="L685" s="1254"/>
      <c r="M685" s="1254"/>
      <c r="N685" s="1254"/>
      <c r="O685" s="1254"/>
      <c r="P685" s="1254"/>
      <c r="Q685" s="1254"/>
      <c r="R685" s="1254"/>
      <c r="S685" s="1254"/>
      <c r="T685" s="1254"/>
      <c r="U685" s="1254"/>
      <c r="V685" s="1254"/>
      <c r="W685" s="1254"/>
      <c r="X685" s="1254"/>
      <c r="Y685" s="1254"/>
      <c r="Z685" s="1254"/>
    </row>
    <row r="686">
      <c r="A686" s="1254"/>
      <c r="B686" s="1263"/>
      <c r="C686" s="1317"/>
      <c r="D686" s="1263"/>
      <c r="E686" s="1318"/>
      <c r="F686" s="1254"/>
      <c r="G686" s="1319"/>
      <c r="H686" s="1254"/>
      <c r="I686" s="1254"/>
      <c r="J686" s="1254"/>
      <c r="K686" s="1320"/>
      <c r="L686" s="1254"/>
      <c r="M686" s="1254"/>
      <c r="N686" s="1254"/>
      <c r="O686" s="1254"/>
      <c r="P686" s="1254"/>
      <c r="Q686" s="1254"/>
      <c r="R686" s="1254"/>
      <c r="S686" s="1254"/>
      <c r="T686" s="1254"/>
      <c r="U686" s="1254"/>
      <c r="V686" s="1254"/>
      <c r="W686" s="1254"/>
      <c r="X686" s="1254"/>
      <c r="Y686" s="1254"/>
      <c r="Z686" s="1254"/>
    </row>
    <row r="687">
      <c r="A687" s="1254"/>
      <c r="B687" s="1263"/>
      <c r="C687" s="1317"/>
      <c r="D687" s="1263"/>
      <c r="E687" s="1318"/>
      <c r="F687" s="1254"/>
      <c r="G687" s="1319"/>
      <c r="H687" s="1254"/>
      <c r="I687" s="1254"/>
      <c r="J687" s="1254"/>
      <c r="K687" s="1320"/>
      <c r="L687" s="1254"/>
      <c r="M687" s="1254"/>
      <c r="N687" s="1254"/>
      <c r="O687" s="1254"/>
      <c r="P687" s="1254"/>
      <c r="Q687" s="1254"/>
      <c r="R687" s="1254"/>
      <c r="S687" s="1254"/>
      <c r="T687" s="1254"/>
      <c r="U687" s="1254"/>
      <c r="V687" s="1254"/>
      <c r="W687" s="1254"/>
      <c r="X687" s="1254"/>
      <c r="Y687" s="1254"/>
      <c r="Z687" s="1254"/>
    </row>
    <row r="688">
      <c r="A688" s="1254"/>
      <c r="B688" s="1263"/>
      <c r="C688" s="1317"/>
      <c r="D688" s="1263"/>
      <c r="E688" s="1318"/>
      <c r="F688" s="1254"/>
      <c r="G688" s="1319"/>
      <c r="H688" s="1254"/>
      <c r="I688" s="1254"/>
      <c r="J688" s="1254"/>
      <c r="K688" s="1320"/>
      <c r="L688" s="1254"/>
      <c r="M688" s="1254"/>
      <c r="N688" s="1254"/>
      <c r="O688" s="1254"/>
      <c r="P688" s="1254"/>
      <c r="Q688" s="1254"/>
      <c r="R688" s="1254"/>
      <c r="S688" s="1254"/>
      <c r="T688" s="1254"/>
      <c r="U688" s="1254"/>
      <c r="V688" s="1254"/>
      <c r="W688" s="1254"/>
      <c r="X688" s="1254"/>
      <c r="Y688" s="1254"/>
      <c r="Z688" s="1254"/>
    </row>
    <row r="689">
      <c r="A689" s="1254"/>
      <c r="B689" s="1263"/>
      <c r="C689" s="1317"/>
      <c r="D689" s="1263"/>
      <c r="E689" s="1318"/>
      <c r="F689" s="1254"/>
      <c r="G689" s="1319"/>
      <c r="H689" s="1254"/>
      <c r="I689" s="1254"/>
      <c r="J689" s="1254"/>
      <c r="K689" s="1320"/>
      <c r="L689" s="1254"/>
      <c r="M689" s="1254"/>
      <c r="N689" s="1254"/>
      <c r="O689" s="1254"/>
      <c r="P689" s="1254"/>
      <c r="Q689" s="1254"/>
      <c r="R689" s="1254"/>
      <c r="S689" s="1254"/>
      <c r="T689" s="1254"/>
      <c r="U689" s="1254"/>
      <c r="V689" s="1254"/>
      <c r="W689" s="1254"/>
      <c r="X689" s="1254"/>
      <c r="Y689" s="1254"/>
      <c r="Z689" s="1254"/>
    </row>
    <row r="690">
      <c r="A690" s="1254"/>
      <c r="B690" s="1263"/>
      <c r="C690" s="1317"/>
      <c r="D690" s="1263"/>
      <c r="E690" s="1318"/>
      <c r="F690" s="1254"/>
      <c r="G690" s="1319"/>
      <c r="H690" s="1254"/>
      <c r="I690" s="1254"/>
      <c r="J690" s="1254"/>
      <c r="K690" s="1320"/>
      <c r="L690" s="1254"/>
      <c r="M690" s="1254"/>
      <c r="N690" s="1254"/>
      <c r="O690" s="1254"/>
      <c r="P690" s="1254"/>
      <c r="Q690" s="1254"/>
      <c r="R690" s="1254"/>
      <c r="S690" s="1254"/>
      <c r="T690" s="1254"/>
      <c r="U690" s="1254"/>
      <c r="V690" s="1254"/>
      <c r="W690" s="1254"/>
      <c r="X690" s="1254"/>
      <c r="Y690" s="1254"/>
      <c r="Z690" s="1254"/>
    </row>
    <row r="691">
      <c r="A691" s="1254"/>
      <c r="B691" s="1263"/>
      <c r="C691" s="1317"/>
      <c r="D691" s="1263"/>
      <c r="E691" s="1318"/>
      <c r="F691" s="1254"/>
      <c r="G691" s="1319"/>
      <c r="H691" s="1254"/>
      <c r="I691" s="1254"/>
      <c r="J691" s="1254"/>
      <c r="K691" s="1320"/>
      <c r="L691" s="1254"/>
      <c r="M691" s="1254"/>
      <c r="N691" s="1254"/>
      <c r="O691" s="1254"/>
      <c r="P691" s="1254"/>
      <c r="Q691" s="1254"/>
      <c r="R691" s="1254"/>
      <c r="S691" s="1254"/>
      <c r="T691" s="1254"/>
      <c r="U691" s="1254"/>
      <c r="V691" s="1254"/>
      <c r="W691" s="1254"/>
      <c r="X691" s="1254"/>
      <c r="Y691" s="1254"/>
      <c r="Z691" s="1254"/>
    </row>
    <row r="692">
      <c r="A692" s="1254"/>
      <c r="B692" s="1263"/>
      <c r="C692" s="1317"/>
      <c r="D692" s="1263"/>
      <c r="E692" s="1318"/>
      <c r="F692" s="1254"/>
      <c r="G692" s="1319"/>
      <c r="H692" s="1254"/>
      <c r="I692" s="1254"/>
      <c r="J692" s="1254"/>
      <c r="K692" s="1320"/>
      <c r="L692" s="1254"/>
      <c r="M692" s="1254"/>
      <c r="N692" s="1254"/>
      <c r="O692" s="1254"/>
      <c r="P692" s="1254"/>
      <c r="Q692" s="1254"/>
      <c r="R692" s="1254"/>
      <c r="S692" s="1254"/>
      <c r="T692" s="1254"/>
      <c r="U692" s="1254"/>
      <c r="V692" s="1254"/>
      <c r="W692" s="1254"/>
      <c r="X692" s="1254"/>
      <c r="Y692" s="1254"/>
      <c r="Z692" s="1254"/>
    </row>
    <row r="693">
      <c r="A693" s="1254"/>
      <c r="B693" s="1263"/>
      <c r="C693" s="1317"/>
      <c r="D693" s="1263"/>
      <c r="E693" s="1318"/>
      <c r="F693" s="1254"/>
      <c r="G693" s="1319"/>
      <c r="H693" s="1254"/>
      <c r="I693" s="1254"/>
      <c r="J693" s="1254"/>
      <c r="K693" s="1320"/>
      <c r="L693" s="1254"/>
      <c r="M693" s="1254"/>
      <c r="N693" s="1254"/>
      <c r="O693" s="1254"/>
      <c r="P693" s="1254"/>
      <c r="Q693" s="1254"/>
      <c r="R693" s="1254"/>
      <c r="S693" s="1254"/>
      <c r="T693" s="1254"/>
      <c r="U693" s="1254"/>
      <c r="V693" s="1254"/>
      <c r="W693" s="1254"/>
      <c r="X693" s="1254"/>
      <c r="Y693" s="1254"/>
      <c r="Z693" s="1254"/>
    </row>
    <row r="694">
      <c r="A694" s="1254"/>
      <c r="B694" s="1263"/>
      <c r="C694" s="1317"/>
      <c r="D694" s="1263"/>
      <c r="E694" s="1318"/>
      <c r="F694" s="1254"/>
      <c r="G694" s="1319"/>
      <c r="H694" s="1254"/>
      <c r="I694" s="1254"/>
      <c r="J694" s="1254"/>
      <c r="K694" s="1320"/>
      <c r="L694" s="1254"/>
      <c r="M694" s="1254"/>
      <c r="N694" s="1254"/>
      <c r="O694" s="1254"/>
      <c r="P694" s="1254"/>
      <c r="Q694" s="1254"/>
      <c r="R694" s="1254"/>
      <c r="S694" s="1254"/>
      <c r="T694" s="1254"/>
      <c r="U694" s="1254"/>
      <c r="V694" s="1254"/>
      <c r="W694" s="1254"/>
      <c r="X694" s="1254"/>
      <c r="Y694" s="1254"/>
      <c r="Z694" s="1254"/>
    </row>
    <row r="695">
      <c r="A695" s="1254"/>
      <c r="B695" s="1263"/>
      <c r="C695" s="1317"/>
      <c r="D695" s="1263"/>
      <c r="E695" s="1318"/>
      <c r="F695" s="1254"/>
      <c r="G695" s="1319"/>
      <c r="H695" s="1254"/>
      <c r="I695" s="1254"/>
      <c r="J695" s="1254"/>
      <c r="K695" s="1320"/>
      <c r="L695" s="1254"/>
      <c r="M695" s="1254"/>
      <c r="N695" s="1254"/>
      <c r="O695" s="1254"/>
      <c r="P695" s="1254"/>
      <c r="Q695" s="1254"/>
      <c r="R695" s="1254"/>
      <c r="S695" s="1254"/>
      <c r="T695" s="1254"/>
      <c r="U695" s="1254"/>
      <c r="V695" s="1254"/>
      <c r="W695" s="1254"/>
      <c r="X695" s="1254"/>
      <c r="Y695" s="1254"/>
      <c r="Z695" s="1254"/>
    </row>
    <row r="696">
      <c r="A696" s="1254"/>
      <c r="B696" s="1263"/>
      <c r="C696" s="1317"/>
      <c r="D696" s="1263"/>
      <c r="E696" s="1318"/>
      <c r="F696" s="1254"/>
      <c r="G696" s="1319"/>
      <c r="H696" s="1254"/>
      <c r="I696" s="1254"/>
      <c r="J696" s="1254"/>
      <c r="K696" s="1320"/>
      <c r="L696" s="1254"/>
      <c r="M696" s="1254"/>
      <c r="N696" s="1254"/>
      <c r="O696" s="1254"/>
      <c r="P696" s="1254"/>
      <c r="Q696" s="1254"/>
      <c r="R696" s="1254"/>
      <c r="S696" s="1254"/>
      <c r="T696" s="1254"/>
      <c r="U696" s="1254"/>
      <c r="V696" s="1254"/>
      <c r="W696" s="1254"/>
      <c r="X696" s="1254"/>
      <c r="Y696" s="1254"/>
      <c r="Z696" s="1254"/>
    </row>
    <row r="697">
      <c r="A697" s="1254"/>
      <c r="B697" s="1263"/>
      <c r="C697" s="1317"/>
      <c r="D697" s="1263"/>
      <c r="E697" s="1318"/>
      <c r="F697" s="1254"/>
      <c r="G697" s="1319"/>
      <c r="H697" s="1254"/>
      <c r="I697" s="1254"/>
      <c r="J697" s="1254"/>
      <c r="K697" s="1320"/>
      <c r="L697" s="1254"/>
      <c r="M697" s="1254"/>
      <c r="N697" s="1254"/>
      <c r="O697" s="1254"/>
      <c r="P697" s="1254"/>
      <c r="Q697" s="1254"/>
      <c r="R697" s="1254"/>
      <c r="S697" s="1254"/>
      <c r="T697" s="1254"/>
      <c r="U697" s="1254"/>
      <c r="V697" s="1254"/>
      <c r="W697" s="1254"/>
      <c r="X697" s="1254"/>
      <c r="Y697" s="1254"/>
      <c r="Z697" s="1254"/>
    </row>
    <row r="698">
      <c r="A698" s="1254"/>
      <c r="B698" s="1263"/>
      <c r="C698" s="1317"/>
      <c r="D698" s="1263"/>
      <c r="E698" s="1318"/>
      <c r="F698" s="1254"/>
      <c r="G698" s="1319"/>
      <c r="H698" s="1254"/>
      <c r="I698" s="1254"/>
      <c r="J698" s="1254"/>
      <c r="K698" s="1320"/>
      <c r="L698" s="1254"/>
      <c r="M698" s="1254"/>
      <c r="N698" s="1254"/>
      <c r="O698" s="1254"/>
      <c r="P698" s="1254"/>
      <c r="Q698" s="1254"/>
      <c r="R698" s="1254"/>
      <c r="S698" s="1254"/>
      <c r="T698" s="1254"/>
      <c r="U698" s="1254"/>
      <c r="V698" s="1254"/>
      <c r="W698" s="1254"/>
      <c r="X698" s="1254"/>
      <c r="Y698" s="1254"/>
      <c r="Z698" s="1254"/>
    </row>
    <row r="699">
      <c r="A699" s="1254"/>
      <c r="B699" s="1263"/>
      <c r="C699" s="1317"/>
      <c r="D699" s="1263"/>
      <c r="E699" s="1318"/>
      <c r="F699" s="1254"/>
      <c r="G699" s="1319"/>
      <c r="H699" s="1254"/>
      <c r="I699" s="1254"/>
      <c r="J699" s="1254"/>
      <c r="K699" s="1320"/>
      <c r="L699" s="1254"/>
      <c r="M699" s="1254"/>
      <c r="N699" s="1254"/>
      <c r="O699" s="1254"/>
      <c r="P699" s="1254"/>
      <c r="Q699" s="1254"/>
      <c r="R699" s="1254"/>
      <c r="S699" s="1254"/>
      <c r="T699" s="1254"/>
      <c r="U699" s="1254"/>
      <c r="V699" s="1254"/>
      <c r="W699" s="1254"/>
      <c r="X699" s="1254"/>
      <c r="Y699" s="1254"/>
      <c r="Z699" s="1254"/>
    </row>
    <row r="700">
      <c r="A700" s="1254"/>
      <c r="B700" s="1263"/>
      <c r="C700" s="1317"/>
      <c r="D700" s="1263"/>
      <c r="E700" s="1318"/>
      <c r="F700" s="1254"/>
      <c r="G700" s="1319"/>
      <c r="H700" s="1254"/>
      <c r="I700" s="1254"/>
      <c r="J700" s="1254"/>
      <c r="K700" s="1320"/>
      <c r="L700" s="1254"/>
      <c r="M700" s="1254"/>
      <c r="N700" s="1254"/>
      <c r="O700" s="1254"/>
      <c r="P700" s="1254"/>
      <c r="Q700" s="1254"/>
      <c r="R700" s="1254"/>
      <c r="S700" s="1254"/>
      <c r="T700" s="1254"/>
      <c r="U700" s="1254"/>
      <c r="V700" s="1254"/>
      <c r="W700" s="1254"/>
      <c r="X700" s="1254"/>
      <c r="Y700" s="1254"/>
      <c r="Z700" s="1254"/>
    </row>
    <row r="701">
      <c r="A701" s="1254"/>
      <c r="B701" s="1263"/>
      <c r="C701" s="1317"/>
      <c r="D701" s="1263"/>
      <c r="E701" s="1318"/>
      <c r="F701" s="1254"/>
      <c r="G701" s="1319"/>
      <c r="H701" s="1254"/>
      <c r="I701" s="1254"/>
      <c r="J701" s="1254"/>
      <c r="K701" s="1320"/>
      <c r="L701" s="1254"/>
      <c r="M701" s="1254"/>
      <c r="N701" s="1254"/>
      <c r="O701" s="1254"/>
      <c r="P701" s="1254"/>
      <c r="Q701" s="1254"/>
      <c r="R701" s="1254"/>
      <c r="S701" s="1254"/>
      <c r="T701" s="1254"/>
      <c r="U701" s="1254"/>
      <c r="V701" s="1254"/>
      <c r="W701" s="1254"/>
      <c r="X701" s="1254"/>
      <c r="Y701" s="1254"/>
      <c r="Z701" s="1254"/>
    </row>
    <row r="702">
      <c r="A702" s="1254"/>
      <c r="B702" s="1263"/>
      <c r="C702" s="1317"/>
      <c r="D702" s="1263"/>
      <c r="E702" s="1318"/>
      <c r="F702" s="1254"/>
      <c r="G702" s="1319"/>
      <c r="H702" s="1254"/>
      <c r="I702" s="1254"/>
      <c r="J702" s="1254"/>
      <c r="K702" s="1320"/>
      <c r="L702" s="1254"/>
      <c r="M702" s="1254"/>
      <c r="N702" s="1254"/>
      <c r="O702" s="1254"/>
      <c r="P702" s="1254"/>
      <c r="Q702" s="1254"/>
      <c r="R702" s="1254"/>
      <c r="S702" s="1254"/>
      <c r="T702" s="1254"/>
      <c r="U702" s="1254"/>
      <c r="V702" s="1254"/>
      <c r="W702" s="1254"/>
      <c r="X702" s="1254"/>
      <c r="Y702" s="1254"/>
      <c r="Z702" s="1254"/>
    </row>
    <row r="703">
      <c r="A703" s="1254"/>
      <c r="B703" s="1263"/>
      <c r="C703" s="1317"/>
      <c r="D703" s="1263"/>
      <c r="E703" s="1318"/>
      <c r="F703" s="1254"/>
      <c r="G703" s="1319"/>
      <c r="H703" s="1254"/>
      <c r="I703" s="1254"/>
      <c r="J703" s="1254"/>
      <c r="K703" s="1320"/>
      <c r="L703" s="1254"/>
      <c r="M703" s="1254"/>
      <c r="N703" s="1254"/>
      <c r="O703" s="1254"/>
      <c r="P703" s="1254"/>
      <c r="Q703" s="1254"/>
      <c r="R703" s="1254"/>
      <c r="S703" s="1254"/>
      <c r="T703" s="1254"/>
      <c r="U703" s="1254"/>
      <c r="V703" s="1254"/>
      <c r="W703" s="1254"/>
      <c r="X703" s="1254"/>
      <c r="Y703" s="1254"/>
      <c r="Z703" s="1254"/>
    </row>
    <row r="704">
      <c r="A704" s="1254"/>
      <c r="B704" s="1263"/>
      <c r="C704" s="1317"/>
      <c r="D704" s="1263"/>
      <c r="E704" s="1318"/>
      <c r="F704" s="1254"/>
      <c r="G704" s="1319"/>
      <c r="H704" s="1254"/>
      <c r="I704" s="1254"/>
      <c r="J704" s="1254"/>
      <c r="K704" s="1320"/>
      <c r="L704" s="1254"/>
      <c r="M704" s="1254"/>
      <c r="N704" s="1254"/>
      <c r="O704" s="1254"/>
      <c r="P704" s="1254"/>
      <c r="Q704" s="1254"/>
      <c r="R704" s="1254"/>
      <c r="S704" s="1254"/>
      <c r="T704" s="1254"/>
      <c r="U704" s="1254"/>
      <c r="V704" s="1254"/>
      <c r="W704" s="1254"/>
      <c r="X704" s="1254"/>
      <c r="Y704" s="1254"/>
      <c r="Z704" s="1254"/>
    </row>
    <row r="705">
      <c r="A705" s="1254"/>
      <c r="B705" s="1263"/>
      <c r="C705" s="1317"/>
      <c r="D705" s="1263"/>
      <c r="E705" s="1318"/>
      <c r="F705" s="1254"/>
      <c r="G705" s="1319"/>
      <c r="H705" s="1254"/>
      <c r="I705" s="1254"/>
      <c r="J705" s="1254"/>
      <c r="K705" s="1320"/>
      <c r="L705" s="1254"/>
      <c r="M705" s="1254"/>
      <c r="N705" s="1254"/>
      <c r="O705" s="1254"/>
      <c r="P705" s="1254"/>
      <c r="Q705" s="1254"/>
      <c r="R705" s="1254"/>
      <c r="S705" s="1254"/>
      <c r="T705" s="1254"/>
      <c r="U705" s="1254"/>
      <c r="V705" s="1254"/>
      <c r="W705" s="1254"/>
      <c r="X705" s="1254"/>
      <c r="Y705" s="1254"/>
      <c r="Z705" s="1254"/>
    </row>
    <row r="706">
      <c r="A706" s="1254"/>
      <c r="B706" s="1263"/>
      <c r="C706" s="1317"/>
      <c r="D706" s="1263"/>
      <c r="E706" s="1318"/>
      <c r="F706" s="1254"/>
      <c r="G706" s="1319"/>
      <c r="H706" s="1254"/>
      <c r="I706" s="1254"/>
      <c r="J706" s="1254"/>
      <c r="K706" s="1320"/>
      <c r="L706" s="1254"/>
      <c r="M706" s="1254"/>
      <c r="N706" s="1254"/>
      <c r="O706" s="1254"/>
      <c r="P706" s="1254"/>
      <c r="Q706" s="1254"/>
      <c r="R706" s="1254"/>
      <c r="S706" s="1254"/>
      <c r="T706" s="1254"/>
      <c r="U706" s="1254"/>
      <c r="V706" s="1254"/>
      <c r="W706" s="1254"/>
      <c r="X706" s="1254"/>
      <c r="Y706" s="1254"/>
      <c r="Z706" s="1254"/>
    </row>
    <row r="707">
      <c r="A707" s="1254"/>
      <c r="B707" s="1263"/>
      <c r="C707" s="1317"/>
      <c r="D707" s="1263"/>
      <c r="E707" s="1318"/>
      <c r="F707" s="1254"/>
      <c r="G707" s="1319"/>
      <c r="H707" s="1254"/>
      <c r="I707" s="1254"/>
      <c r="J707" s="1254"/>
      <c r="K707" s="1320"/>
      <c r="L707" s="1254"/>
      <c r="M707" s="1254"/>
      <c r="N707" s="1254"/>
      <c r="O707" s="1254"/>
      <c r="P707" s="1254"/>
      <c r="Q707" s="1254"/>
      <c r="R707" s="1254"/>
      <c r="S707" s="1254"/>
      <c r="T707" s="1254"/>
      <c r="U707" s="1254"/>
      <c r="V707" s="1254"/>
      <c r="W707" s="1254"/>
      <c r="X707" s="1254"/>
      <c r="Y707" s="1254"/>
      <c r="Z707" s="1254"/>
    </row>
    <row r="708">
      <c r="A708" s="1254"/>
      <c r="B708" s="1263"/>
      <c r="C708" s="1317"/>
      <c r="D708" s="1263"/>
      <c r="E708" s="1318"/>
      <c r="F708" s="1254"/>
      <c r="G708" s="1319"/>
      <c r="H708" s="1254"/>
      <c r="I708" s="1254"/>
      <c r="J708" s="1254"/>
      <c r="K708" s="1320"/>
      <c r="L708" s="1254"/>
      <c r="M708" s="1254"/>
      <c r="N708" s="1254"/>
      <c r="O708" s="1254"/>
      <c r="P708" s="1254"/>
      <c r="Q708" s="1254"/>
      <c r="R708" s="1254"/>
      <c r="S708" s="1254"/>
      <c r="T708" s="1254"/>
      <c r="U708" s="1254"/>
      <c r="V708" s="1254"/>
      <c r="W708" s="1254"/>
      <c r="X708" s="1254"/>
      <c r="Y708" s="1254"/>
      <c r="Z708" s="1254"/>
    </row>
    <row r="709">
      <c r="A709" s="1254"/>
      <c r="B709" s="1263"/>
      <c r="C709" s="1317"/>
      <c r="D709" s="1263"/>
      <c r="E709" s="1318"/>
      <c r="F709" s="1254"/>
      <c r="G709" s="1319"/>
      <c r="H709" s="1254"/>
      <c r="I709" s="1254"/>
      <c r="J709" s="1254"/>
      <c r="K709" s="1320"/>
      <c r="L709" s="1254"/>
      <c r="M709" s="1254"/>
      <c r="N709" s="1254"/>
      <c r="O709" s="1254"/>
      <c r="P709" s="1254"/>
      <c r="Q709" s="1254"/>
      <c r="R709" s="1254"/>
      <c r="S709" s="1254"/>
      <c r="T709" s="1254"/>
      <c r="U709" s="1254"/>
      <c r="V709" s="1254"/>
      <c r="W709" s="1254"/>
      <c r="X709" s="1254"/>
      <c r="Y709" s="1254"/>
      <c r="Z709" s="1254"/>
    </row>
    <row r="710">
      <c r="A710" s="1254"/>
      <c r="B710" s="1263"/>
      <c r="C710" s="1317"/>
      <c r="D710" s="1263"/>
      <c r="E710" s="1318"/>
      <c r="F710" s="1254"/>
      <c r="G710" s="1319"/>
      <c r="H710" s="1254"/>
      <c r="I710" s="1254"/>
      <c r="J710" s="1254"/>
      <c r="K710" s="1320"/>
      <c r="L710" s="1254"/>
      <c r="M710" s="1254"/>
      <c r="N710" s="1254"/>
      <c r="O710" s="1254"/>
      <c r="P710" s="1254"/>
      <c r="Q710" s="1254"/>
      <c r="R710" s="1254"/>
      <c r="S710" s="1254"/>
      <c r="T710" s="1254"/>
      <c r="U710" s="1254"/>
      <c r="V710" s="1254"/>
      <c r="W710" s="1254"/>
      <c r="X710" s="1254"/>
      <c r="Y710" s="1254"/>
      <c r="Z710" s="1254"/>
    </row>
    <row r="711">
      <c r="A711" s="1254"/>
      <c r="B711" s="1263"/>
      <c r="C711" s="1317"/>
      <c r="D711" s="1263"/>
      <c r="E711" s="1318"/>
      <c r="F711" s="1254"/>
      <c r="G711" s="1319"/>
      <c r="H711" s="1254"/>
      <c r="I711" s="1254"/>
      <c r="J711" s="1254"/>
      <c r="K711" s="1320"/>
      <c r="L711" s="1254"/>
      <c r="M711" s="1254"/>
      <c r="N711" s="1254"/>
      <c r="O711" s="1254"/>
      <c r="P711" s="1254"/>
      <c r="Q711" s="1254"/>
      <c r="R711" s="1254"/>
      <c r="S711" s="1254"/>
      <c r="T711" s="1254"/>
      <c r="U711" s="1254"/>
      <c r="V711" s="1254"/>
      <c r="W711" s="1254"/>
      <c r="X711" s="1254"/>
      <c r="Y711" s="1254"/>
      <c r="Z711" s="1254"/>
    </row>
    <row r="712">
      <c r="A712" s="1254"/>
      <c r="B712" s="1263"/>
      <c r="C712" s="1317"/>
      <c r="D712" s="1263"/>
      <c r="E712" s="1318"/>
      <c r="F712" s="1254"/>
      <c r="G712" s="1319"/>
      <c r="H712" s="1254"/>
      <c r="I712" s="1254"/>
      <c r="J712" s="1254"/>
      <c r="K712" s="1320"/>
      <c r="L712" s="1254"/>
      <c r="M712" s="1254"/>
      <c r="N712" s="1254"/>
      <c r="O712" s="1254"/>
      <c r="P712" s="1254"/>
      <c r="Q712" s="1254"/>
      <c r="R712" s="1254"/>
      <c r="S712" s="1254"/>
      <c r="T712" s="1254"/>
      <c r="U712" s="1254"/>
      <c r="V712" s="1254"/>
      <c r="W712" s="1254"/>
      <c r="X712" s="1254"/>
      <c r="Y712" s="1254"/>
      <c r="Z712" s="1254"/>
    </row>
    <row r="713">
      <c r="A713" s="1254"/>
      <c r="B713" s="1263"/>
      <c r="C713" s="1317"/>
      <c r="D713" s="1263"/>
      <c r="E713" s="1318"/>
      <c r="F713" s="1254"/>
      <c r="G713" s="1319"/>
      <c r="H713" s="1254"/>
      <c r="I713" s="1254"/>
      <c r="J713" s="1254"/>
      <c r="K713" s="1320"/>
      <c r="L713" s="1254"/>
      <c r="M713" s="1254"/>
      <c r="N713" s="1254"/>
      <c r="O713" s="1254"/>
      <c r="P713" s="1254"/>
      <c r="Q713" s="1254"/>
      <c r="R713" s="1254"/>
      <c r="S713" s="1254"/>
      <c r="T713" s="1254"/>
      <c r="U713" s="1254"/>
      <c r="V713" s="1254"/>
      <c r="W713" s="1254"/>
      <c r="X713" s="1254"/>
      <c r="Y713" s="1254"/>
      <c r="Z713" s="1254"/>
    </row>
    <row r="714">
      <c r="A714" s="1254"/>
      <c r="B714" s="1263"/>
      <c r="C714" s="1317"/>
      <c r="D714" s="1263"/>
      <c r="E714" s="1318"/>
      <c r="F714" s="1254"/>
      <c r="G714" s="1319"/>
      <c r="H714" s="1254"/>
      <c r="I714" s="1254"/>
      <c r="J714" s="1254"/>
      <c r="K714" s="1320"/>
      <c r="L714" s="1254"/>
      <c r="M714" s="1254"/>
      <c r="N714" s="1254"/>
      <c r="O714" s="1254"/>
      <c r="P714" s="1254"/>
      <c r="Q714" s="1254"/>
      <c r="R714" s="1254"/>
      <c r="S714" s="1254"/>
      <c r="T714" s="1254"/>
      <c r="U714" s="1254"/>
      <c r="V714" s="1254"/>
      <c r="W714" s="1254"/>
      <c r="X714" s="1254"/>
      <c r="Y714" s="1254"/>
      <c r="Z714" s="1254"/>
    </row>
    <row r="715">
      <c r="A715" s="1254"/>
      <c r="B715" s="1263"/>
      <c r="C715" s="1317"/>
      <c r="D715" s="1263"/>
      <c r="E715" s="1318"/>
      <c r="F715" s="1254"/>
      <c r="G715" s="1319"/>
      <c r="H715" s="1254"/>
      <c r="I715" s="1254"/>
      <c r="J715" s="1254"/>
      <c r="K715" s="1320"/>
      <c r="L715" s="1254"/>
      <c r="M715" s="1254"/>
      <c r="N715" s="1254"/>
      <c r="O715" s="1254"/>
      <c r="P715" s="1254"/>
      <c r="Q715" s="1254"/>
      <c r="R715" s="1254"/>
      <c r="S715" s="1254"/>
      <c r="T715" s="1254"/>
      <c r="U715" s="1254"/>
      <c r="V715" s="1254"/>
      <c r="W715" s="1254"/>
      <c r="X715" s="1254"/>
      <c r="Y715" s="1254"/>
      <c r="Z715" s="1254"/>
    </row>
    <row r="716">
      <c r="A716" s="1254"/>
      <c r="B716" s="1263"/>
      <c r="C716" s="1317"/>
      <c r="D716" s="1263"/>
      <c r="E716" s="1318"/>
      <c r="F716" s="1254"/>
      <c r="G716" s="1319"/>
      <c r="H716" s="1254"/>
      <c r="I716" s="1254"/>
      <c r="J716" s="1254"/>
      <c r="K716" s="1320"/>
      <c r="L716" s="1254"/>
      <c r="M716" s="1254"/>
      <c r="N716" s="1254"/>
      <c r="O716" s="1254"/>
      <c r="P716" s="1254"/>
      <c r="Q716" s="1254"/>
      <c r="R716" s="1254"/>
      <c r="S716" s="1254"/>
      <c r="T716" s="1254"/>
      <c r="U716" s="1254"/>
      <c r="V716" s="1254"/>
      <c r="W716" s="1254"/>
      <c r="X716" s="1254"/>
      <c r="Y716" s="1254"/>
      <c r="Z716" s="1254"/>
    </row>
    <row r="717">
      <c r="A717" s="1254"/>
      <c r="B717" s="1263"/>
      <c r="C717" s="1317"/>
      <c r="D717" s="1263"/>
      <c r="E717" s="1318"/>
      <c r="F717" s="1254"/>
      <c r="G717" s="1319"/>
      <c r="H717" s="1254"/>
      <c r="I717" s="1254"/>
      <c r="J717" s="1254"/>
      <c r="K717" s="1320"/>
      <c r="L717" s="1254"/>
      <c r="M717" s="1254"/>
      <c r="N717" s="1254"/>
      <c r="O717" s="1254"/>
      <c r="P717" s="1254"/>
      <c r="Q717" s="1254"/>
      <c r="R717" s="1254"/>
      <c r="S717" s="1254"/>
      <c r="T717" s="1254"/>
      <c r="U717" s="1254"/>
      <c r="V717" s="1254"/>
      <c r="W717" s="1254"/>
      <c r="X717" s="1254"/>
      <c r="Y717" s="1254"/>
      <c r="Z717" s="1254"/>
    </row>
    <row r="718">
      <c r="A718" s="1254"/>
      <c r="B718" s="1263"/>
      <c r="C718" s="1317"/>
      <c r="D718" s="1263"/>
      <c r="E718" s="1318"/>
      <c r="F718" s="1254"/>
      <c r="G718" s="1319"/>
      <c r="H718" s="1254"/>
      <c r="I718" s="1254"/>
      <c r="J718" s="1254"/>
      <c r="K718" s="1320"/>
      <c r="L718" s="1254"/>
      <c r="M718" s="1254"/>
      <c r="N718" s="1254"/>
      <c r="O718" s="1254"/>
      <c r="P718" s="1254"/>
      <c r="Q718" s="1254"/>
      <c r="R718" s="1254"/>
      <c r="S718" s="1254"/>
      <c r="T718" s="1254"/>
      <c r="U718" s="1254"/>
      <c r="V718" s="1254"/>
      <c r="W718" s="1254"/>
      <c r="X718" s="1254"/>
      <c r="Y718" s="1254"/>
      <c r="Z718" s="1254"/>
    </row>
    <row r="719">
      <c r="A719" s="1254"/>
      <c r="B719" s="1263"/>
      <c r="C719" s="1317"/>
      <c r="D719" s="1263"/>
      <c r="E719" s="1318"/>
      <c r="F719" s="1254"/>
      <c r="G719" s="1319"/>
      <c r="H719" s="1254"/>
      <c r="I719" s="1254"/>
      <c r="J719" s="1254"/>
      <c r="K719" s="1320"/>
      <c r="L719" s="1254"/>
      <c r="M719" s="1254"/>
      <c r="N719" s="1254"/>
      <c r="O719" s="1254"/>
      <c r="P719" s="1254"/>
      <c r="Q719" s="1254"/>
      <c r="R719" s="1254"/>
      <c r="S719" s="1254"/>
      <c r="T719" s="1254"/>
      <c r="U719" s="1254"/>
      <c r="V719" s="1254"/>
      <c r="W719" s="1254"/>
      <c r="X719" s="1254"/>
      <c r="Y719" s="1254"/>
      <c r="Z719" s="1254"/>
    </row>
    <row r="720">
      <c r="A720" s="1254"/>
      <c r="B720" s="1263"/>
      <c r="C720" s="1317"/>
      <c r="D720" s="1263"/>
      <c r="E720" s="1318"/>
      <c r="F720" s="1254"/>
      <c r="G720" s="1319"/>
      <c r="H720" s="1254"/>
      <c r="I720" s="1254"/>
      <c r="J720" s="1254"/>
      <c r="K720" s="1320"/>
      <c r="L720" s="1254"/>
      <c r="M720" s="1254"/>
      <c r="N720" s="1254"/>
      <c r="O720" s="1254"/>
      <c r="P720" s="1254"/>
      <c r="Q720" s="1254"/>
      <c r="R720" s="1254"/>
      <c r="S720" s="1254"/>
      <c r="T720" s="1254"/>
      <c r="U720" s="1254"/>
      <c r="V720" s="1254"/>
      <c r="W720" s="1254"/>
      <c r="X720" s="1254"/>
      <c r="Y720" s="1254"/>
      <c r="Z720" s="1254"/>
    </row>
    <row r="721">
      <c r="A721" s="1254"/>
      <c r="B721" s="1263"/>
      <c r="C721" s="1317"/>
      <c r="D721" s="1263"/>
      <c r="E721" s="1318"/>
      <c r="F721" s="1254"/>
      <c r="G721" s="1319"/>
      <c r="H721" s="1254"/>
      <c r="I721" s="1254"/>
      <c r="J721" s="1254"/>
      <c r="K721" s="1320"/>
      <c r="L721" s="1254"/>
      <c r="M721" s="1254"/>
      <c r="N721" s="1254"/>
      <c r="O721" s="1254"/>
      <c r="P721" s="1254"/>
      <c r="Q721" s="1254"/>
      <c r="R721" s="1254"/>
      <c r="S721" s="1254"/>
      <c r="T721" s="1254"/>
      <c r="U721" s="1254"/>
      <c r="V721" s="1254"/>
      <c r="W721" s="1254"/>
      <c r="X721" s="1254"/>
      <c r="Y721" s="1254"/>
      <c r="Z721" s="1254"/>
    </row>
    <row r="722">
      <c r="A722" s="1254"/>
      <c r="B722" s="1263"/>
      <c r="C722" s="1317"/>
      <c r="D722" s="1263"/>
      <c r="E722" s="1318"/>
      <c r="F722" s="1254"/>
      <c r="G722" s="1319"/>
      <c r="H722" s="1254"/>
      <c r="I722" s="1254"/>
      <c r="J722" s="1254"/>
      <c r="K722" s="1320"/>
      <c r="L722" s="1254"/>
      <c r="M722" s="1254"/>
      <c r="N722" s="1254"/>
      <c r="O722" s="1254"/>
      <c r="P722" s="1254"/>
      <c r="Q722" s="1254"/>
      <c r="R722" s="1254"/>
      <c r="S722" s="1254"/>
      <c r="T722" s="1254"/>
      <c r="U722" s="1254"/>
      <c r="V722" s="1254"/>
      <c r="W722" s="1254"/>
      <c r="X722" s="1254"/>
      <c r="Y722" s="1254"/>
      <c r="Z722" s="1254"/>
    </row>
    <row r="723">
      <c r="A723" s="1254"/>
      <c r="B723" s="1263"/>
      <c r="C723" s="1317"/>
      <c r="D723" s="1263"/>
      <c r="E723" s="1318"/>
      <c r="F723" s="1254"/>
      <c r="G723" s="1319"/>
      <c r="H723" s="1254"/>
      <c r="I723" s="1254"/>
      <c r="J723" s="1254"/>
      <c r="K723" s="1320"/>
      <c r="L723" s="1254"/>
      <c r="M723" s="1254"/>
      <c r="N723" s="1254"/>
      <c r="O723" s="1254"/>
      <c r="P723" s="1254"/>
      <c r="Q723" s="1254"/>
      <c r="R723" s="1254"/>
      <c r="S723" s="1254"/>
      <c r="T723" s="1254"/>
      <c r="U723" s="1254"/>
      <c r="V723" s="1254"/>
      <c r="W723" s="1254"/>
      <c r="X723" s="1254"/>
      <c r="Y723" s="1254"/>
      <c r="Z723" s="1254"/>
    </row>
    <row r="724">
      <c r="A724" s="1254"/>
      <c r="B724" s="1263"/>
      <c r="C724" s="1317"/>
      <c r="D724" s="1263"/>
      <c r="E724" s="1318"/>
      <c r="F724" s="1254"/>
      <c r="G724" s="1319"/>
      <c r="H724" s="1254"/>
      <c r="I724" s="1254"/>
      <c r="J724" s="1254"/>
      <c r="K724" s="1320"/>
      <c r="L724" s="1254"/>
      <c r="M724" s="1254"/>
      <c r="N724" s="1254"/>
      <c r="O724" s="1254"/>
      <c r="P724" s="1254"/>
      <c r="Q724" s="1254"/>
      <c r="R724" s="1254"/>
      <c r="S724" s="1254"/>
      <c r="T724" s="1254"/>
      <c r="U724" s="1254"/>
      <c r="V724" s="1254"/>
      <c r="W724" s="1254"/>
      <c r="X724" s="1254"/>
      <c r="Y724" s="1254"/>
      <c r="Z724" s="1254"/>
    </row>
    <row r="725">
      <c r="A725" s="1254"/>
      <c r="B725" s="1263"/>
      <c r="C725" s="1317"/>
      <c r="D725" s="1263"/>
      <c r="E725" s="1318"/>
      <c r="F725" s="1254"/>
      <c r="G725" s="1319"/>
      <c r="H725" s="1254"/>
      <c r="I725" s="1254"/>
      <c r="J725" s="1254"/>
      <c r="K725" s="1320"/>
      <c r="L725" s="1254"/>
      <c r="M725" s="1254"/>
      <c r="N725" s="1254"/>
      <c r="O725" s="1254"/>
      <c r="P725" s="1254"/>
      <c r="Q725" s="1254"/>
      <c r="R725" s="1254"/>
      <c r="S725" s="1254"/>
      <c r="T725" s="1254"/>
      <c r="U725" s="1254"/>
      <c r="V725" s="1254"/>
      <c r="W725" s="1254"/>
      <c r="X725" s="1254"/>
      <c r="Y725" s="1254"/>
      <c r="Z725" s="1254"/>
    </row>
    <row r="726">
      <c r="A726" s="1254"/>
      <c r="B726" s="1263"/>
      <c r="C726" s="1317"/>
      <c r="D726" s="1263"/>
      <c r="E726" s="1318"/>
      <c r="F726" s="1254"/>
      <c r="G726" s="1319"/>
      <c r="H726" s="1254"/>
      <c r="I726" s="1254"/>
      <c r="J726" s="1254"/>
      <c r="K726" s="1320"/>
      <c r="L726" s="1254"/>
      <c r="M726" s="1254"/>
      <c r="N726" s="1254"/>
      <c r="O726" s="1254"/>
      <c r="P726" s="1254"/>
      <c r="Q726" s="1254"/>
      <c r="R726" s="1254"/>
      <c r="S726" s="1254"/>
      <c r="T726" s="1254"/>
      <c r="U726" s="1254"/>
      <c r="V726" s="1254"/>
      <c r="W726" s="1254"/>
      <c r="X726" s="1254"/>
      <c r="Y726" s="1254"/>
      <c r="Z726" s="1254"/>
    </row>
    <row r="727">
      <c r="A727" s="1254"/>
      <c r="B727" s="1263"/>
      <c r="C727" s="1317"/>
      <c r="D727" s="1263"/>
      <c r="E727" s="1318"/>
      <c r="F727" s="1254"/>
      <c r="G727" s="1319"/>
      <c r="H727" s="1254"/>
      <c r="I727" s="1254"/>
      <c r="J727" s="1254"/>
      <c r="K727" s="1320"/>
      <c r="L727" s="1254"/>
      <c r="M727" s="1254"/>
      <c r="N727" s="1254"/>
      <c r="O727" s="1254"/>
      <c r="P727" s="1254"/>
      <c r="Q727" s="1254"/>
      <c r="R727" s="1254"/>
      <c r="S727" s="1254"/>
      <c r="T727" s="1254"/>
      <c r="U727" s="1254"/>
      <c r="V727" s="1254"/>
      <c r="W727" s="1254"/>
      <c r="X727" s="1254"/>
      <c r="Y727" s="1254"/>
      <c r="Z727" s="1254"/>
    </row>
    <row r="728">
      <c r="A728" s="1254"/>
      <c r="B728" s="1263"/>
      <c r="C728" s="1317"/>
      <c r="D728" s="1263"/>
      <c r="E728" s="1318"/>
      <c r="F728" s="1254"/>
      <c r="G728" s="1319"/>
      <c r="H728" s="1254"/>
      <c r="I728" s="1254"/>
      <c r="J728" s="1254"/>
      <c r="K728" s="1320"/>
      <c r="L728" s="1254"/>
      <c r="M728" s="1254"/>
      <c r="N728" s="1254"/>
      <c r="O728" s="1254"/>
      <c r="P728" s="1254"/>
      <c r="Q728" s="1254"/>
      <c r="R728" s="1254"/>
      <c r="S728" s="1254"/>
      <c r="T728" s="1254"/>
      <c r="U728" s="1254"/>
      <c r="V728" s="1254"/>
      <c r="W728" s="1254"/>
      <c r="X728" s="1254"/>
      <c r="Y728" s="1254"/>
      <c r="Z728" s="1254"/>
    </row>
    <row r="729">
      <c r="A729" s="1254"/>
      <c r="B729" s="1263"/>
      <c r="C729" s="1317"/>
      <c r="D729" s="1263"/>
      <c r="E729" s="1318"/>
      <c r="F729" s="1254"/>
      <c r="G729" s="1319"/>
      <c r="H729" s="1254"/>
      <c r="I729" s="1254"/>
      <c r="J729" s="1254"/>
      <c r="K729" s="1320"/>
      <c r="L729" s="1254"/>
      <c r="M729" s="1254"/>
      <c r="N729" s="1254"/>
      <c r="O729" s="1254"/>
      <c r="P729" s="1254"/>
      <c r="Q729" s="1254"/>
      <c r="R729" s="1254"/>
      <c r="S729" s="1254"/>
      <c r="T729" s="1254"/>
      <c r="U729" s="1254"/>
      <c r="V729" s="1254"/>
      <c r="W729" s="1254"/>
      <c r="X729" s="1254"/>
      <c r="Y729" s="1254"/>
      <c r="Z729" s="1254"/>
    </row>
    <row r="730">
      <c r="A730" s="1254"/>
      <c r="B730" s="1263"/>
      <c r="C730" s="1317"/>
      <c r="D730" s="1263"/>
      <c r="E730" s="1318"/>
      <c r="F730" s="1254"/>
      <c r="G730" s="1319"/>
      <c r="H730" s="1254"/>
      <c r="I730" s="1254"/>
      <c r="J730" s="1254"/>
      <c r="K730" s="1320"/>
      <c r="L730" s="1254"/>
      <c r="M730" s="1254"/>
      <c r="N730" s="1254"/>
      <c r="O730" s="1254"/>
      <c r="P730" s="1254"/>
      <c r="Q730" s="1254"/>
      <c r="R730" s="1254"/>
      <c r="S730" s="1254"/>
      <c r="T730" s="1254"/>
      <c r="U730" s="1254"/>
      <c r="V730" s="1254"/>
      <c r="W730" s="1254"/>
      <c r="X730" s="1254"/>
      <c r="Y730" s="1254"/>
      <c r="Z730" s="1254"/>
    </row>
    <row r="731">
      <c r="A731" s="1254"/>
      <c r="B731" s="1263"/>
      <c r="C731" s="1317"/>
      <c r="D731" s="1263"/>
      <c r="E731" s="1318"/>
      <c r="F731" s="1254"/>
      <c r="G731" s="1319"/>
      <c r="H731" s="1254"/>
      <c r="I731" s="1254"/>
      <c r="J731" s="1254"/>
      <c r="K731" s="1320"/>
      <c r="L731" s="1254"/>
      <c r="M731" s="1254"/>
      <c r="N731" s="1254"/>
      <c r="O731" s="1254"/>
      <c r="P731" s="1254"/>
      <c r="Q731" s="1254"/>
      <c r="R731" s="1254"/>
      <c r="S731" s="1254"/>
      <c r="T731" s="1254"/>
      <c r="U731" s="1254"/>
      <c r="V731" s="1254"/>
      <c r="W731" s="1254"/>
      <c r="X731" s="1254"/>
      <c r="Y731" s="1254"/>
      <c r="Z731" s="1254"/>
    </row>
    <row r="732">
      <c r="A732" s="1254"/>
      <c r="B732" s="1263"/>
      <c r="C732" s="1317"/>
      <c r="D732" s="1263"/>
      <c r="E732" s="1318"/>
      <c r="F732" s="1254"/>
      <c r="G732" s="1319"/>
      <c r="H732" s="1254"/>
      <c r="I732" s="1254"/>
      <c r="J732" s="1254"/>
      <c r="K732" s="1320"/>
      <c r="L732" s="1254"/>
      <c r="M732" s="1254"/>
      <c r="N732" s="1254"/>
      <c r="O732" s="1254"/>
      <c r="P732" s="1254"/>
      <c r="Q732" s="1254"/>
      <c r="R732" s="1254"/>
      <c r="S732" s="1254"/>
      <c r="T732" s="1254"/>
      <c r="U732" s="1254"/>
      <c r="V732" s="1254"/>
      <c r="W732" s="1254"/>
      <c r="X732" s="1254"/>
      <c r="Y732" s="1254"/>
      <c r="Z732" s="1254"/>
    </row>
    <row r="733">
      <c r="A733" s="1254"/>
      <c r="B733" s="1263"/>
      <c r="C733" s="1317"/>
      <c r="D733" s="1263"/>
      <c r="E733" s="1318"/>
      <c r="F733" s="1254"/>
      <c r="G733" s="1319"/>
      <c r="H733" s="1254"/>
      <c r="I733" s="1254"/>
      <c r="J733" s="1254"/>
      <c r="K733" s="1320"/>
      <c r="L733" s="1254"/>
      <c r="M733" s="1254"/>
      <c r="N733" s="1254"/>
      <c r="O733" s="1254"/>
      <c r="P733" s="1254"/>
      <c r="Q733" s="1254"/>
      <c r="R733" s="1254"/>
      <c r="S733" s="1254"/>
      <c r="T733" s="1254"/>
      <c r="U733" s="1254"/>
      <c r="V733" s="1254"/>
      <c r="W733" s="1254"/>
      <c r="X733" s="1254"/>
      <c r="Y733" s="1254"/>
      <c r="Z733" s="1254"/>
    </row>
    <row r="734">
      <c r="A734" s="1254"/>
      <c r="B734" s="1263"/>
      <c r="C734" s="1317"/>
      <c r="D734" s="1263"/>
      <c r="E734" s="1318"/>
      <c r="F734" s="1254"/>
      <c r="G734" s="1319"/>
      <c r="H734" s="1254"/>
      <c r="I734" s="1254"/>
      <c r="J734" s="1254"/>
      <c r="K734" s="1320"/>
      <c r="L734" s="1254"/>
      <c r="M734" s="1254"/>
      <c r="N734" s="1254"/>
      <c r="O734" s="1254"/>
      <c r="P734" s="1254"/>
      <c r="Q734" s="1254"/>
      <c r="R734" s="1254"/>
      <c r="S734" s="1254"/>
      <c r="T734" s="1254"/>
      <c r="U734" s="1254"/>
      <c r="V734" s="1254"/>
      <c r="W734" s="1254"/>
      <c r="X734" s="1254"/>
      <c r="Y734" s="1254"/>
      <c r="Z734" s="1254"/>
    </row>
    <row r="735">
      <c r="A735" s="1254"/>
      <c r="B735" s="1263"/>
      <c r="C735" s="1317"/>
      <c r="D735" s="1263"/>
      <c r="E735" s="1318"/>
      <c r="F735" s="1254"/>
      <c r="G735" s="1319"/>
      <c r="H735" s="1254"/>
      <c r="I735" s="1254"/>
      <c r="J735" s="1254"/>
      <c r="K735" s="1320"/>
      <c r="L735" s="1254"/>
      <c r="M735" s="1254"/>
      <c r="N735" s="1254"/>
      <c r="O735" s="1254"/>
      <c r="P735" s="1254"/>
      <c r="Q735" s="1254"/>
      <c r="R735" s="1254"/>
      <c r="S735" s="1254"/>
      <c r="T735" s="1254"/>
      <c r="U735" s="1254"/>
      <c r="V735" s="1254"/>
      <c r="W735" s="1254"/>
      <c r="X735" s="1254"/>
      <c r="Y735" s="1254"/>
      <c r="Z735" s="1254"/>
    </row>
    <row r="736">
      <c r="A736" s="1254"/>
      <c r="B736" s="1263"/>
      <c r="C736" s="1317"/>
      <c r="D736" s="1263"/>
      <c r="E736" s="1318"/>
      <c r="F736" s="1254"/>
      <c r="G736" s="1319"/>
      <c r="H736" s="1254"/>
      <c r="I736" s="1254"/>
      <c r="J736" s="1254"/>
      <c r="K736" s="1320"/>
      <c r="L736" s="1254"/>
      <c r="M736" s="1254"/>
      <c r="N736" s="1254"/>
      <c r="O736" s="1254"/>
      <c r="P736" s="1254"/>
      <c r="Q736" s="1254"/>
      <c r="R736" s="1254"/>
      <c r="S736" s="1254"/>
      <c r="T736" s="1254"/>
      <c r="U736" s="1254"/>
      <c r="V736" s="1254"/>
      <c r="W736" s="1254"/>
      <c r="X736" s="1254"/>
      <c r="Y736" s="1254"/>
      <c r="Z736" s="1254"/>
    </row>
    <row r="737">
      <c r="A737" s="1254"/>
      <c r="B737" s="1263"/>
      <c r="C737" s="1317"/>
      <c r="D737" s="1263"/>
      <c r="E737" s="1318"/>
      <c r="F737" s="1254"/>
      <c r="G737" s="1319"/>
      <c r="H737" s="1254"/>
      <c r="I737" s="1254"/>
      <c r="J737" s="1254"/>
      <c r="K737" s="1320"/>
      <c r="L737" s="1254"/>
      <c r="M737" s="1254"/>
      <c r="N737" s="1254"/>
      <c r="O737" s="1254"/>
      <c r="P737" s="1254"/>
      <c r="Q737" s="1254"/>
      <c r="R737" s="1254"/>
      <c r="S737" s="1254"/>
      <c r="T737" s="1254"/>
      <c r="U737" s="1254"/>
      <c r="V737" s="1254"/>
      <c r="W737" s="1254"/>
      <c r="X737" s="1254"/>
      <c r="Y737" s="1254"/>
      <c r="Z737" s="1254"/>
    </row>
    <row r="738">
      <c r="A738" s="1254"/>
      <c r="B738" s="1263"/>
      <c r="C738" s="1317"/>
      <c r="D738" s="1263"/>
      <c r="E738" s="1318"/>
      <c r="F738" s="1254"/>
      <c r="G738" s="1319"/>
      <c r="H738" s="1254"/>
      <c r="I738" s="1254"/>
      <c r="J738" s="1254"/>
      <c r="K738" s="1320"/>
      <c r="L738" s="1254"/>
      <c r="M738" s="1254"/>
      <c r="N738" s="1254"/>
      <c r="O738" s="1254"/>
      <c r="P738" s="1254"/>
      <c r="Q738" s="1254"/>
      <c r="R738" s="1254"/>
      <c r="S738" s="1254"/>
      <c r="T738" s="1254"/>
      <c r="U738" s="1254"/>
      <c r="V738" s="1254"/>
      <c r="W738" s="1254"/>
      <c r="X738" s="1254"/>
      <c r="Y738" s="1254"/>
      <c r="Z738" s="1254"/>
    </row>
    <row r="739">
      <c r="A739" s="1254"/>
      <c r="B739" s="1263"/>
      <c r="C739" s="1317"/>
      <c r="D739" s="1263"/>
      <c r="E739" s="1318"/>
      <c r="F739" s="1254"/>
      <c r="G739" s="1319"/>
      <c r="H739" s="1254"/>
      <c r="I739" s="1254"/>
      <c r="J739" s="1254"/>
      <c r="K739" s="1320"/>
      <c r="L739" s="1254"/>
      <c r="M739" s="1254"/>
      <c r="N739" s="1254"/>
      <c r="O739" s="1254"/>
      <c r="P739" s="1254"/>
      <c r="Q739" s="1254"/>
      <c r="R739" s="1254"/>
      <c r="S739" s="1254"/>
      <c r="T739" s="1254"/>
      <c r="U739" s="1254"/>
      <c r="V739" s="1254"/>
      <c r="W739" s="1254"/>
      <c r="X739" s="1254"/>
      <c r="Y739" s="1254"/>
      <c r="Z739" s="1254"/>
    </row>
    <row r="740">
      <c r="A740" s="1254"/>
      <c r="B740" s="1263"/>
      <c r="C740" s="1317"/>
      <c r="D740" s="1263"/>
      <c r="E740" s="1318"/>
      <c r="F740" s="1254"/>
      <c r="G740" s="1319"/>
      <c r="H740" s="1254"/>
      <c r="I740" s="1254"/>
      <c r="J740" s="1254"/>
      <c r="K740" s="1320"/>
      <c r="L740" s="1254"/>
      <c r="M740" s="1254"/>
      <c r="N740" s="1254"/>
      <c r="O740" s="1254"/>
      <c r="P740" s="1254"/>
      <c r="Q740" s="1254"/>
      <c r="R740" s="1254"/>
      <c r="S740" s="1254"/>
      <c r="T740" s="1254"/>
      <c r="U740" s="1254"/>
      <c r="V740" s="1254"/>
      <c r="W740" s="1254"/>
      <c r="X740" s="1254"/>
      <c r="Y740" s="1254"/>
      <c r="Z740" s="1254"/>
    </row>
    <row r="741">
      <c r="A741" s="1254"/>
      <c r="B741" s="1263"/>
      <c r="C741" s="1317"/>
      <c r="D741" s="1263"/>
      <c r="E741" s="1318"/>
      <c r="F741" s="1254"/>
      <c r="G741" s="1319"/>
      <c r="H741" s="1254"/>
      <c r="I741" s="1254"/>
      <c r="J741" s="1254"/>
      <c r="K741" s="1320"/>
      <c r="L741" s="1254"/>
      <c r="M741" s="1254"/>
      <c r="N741" s="1254"/>
      <c r="O741" s="1254"/>
      <c r="P741" s="1254"/>
      <c r="Q741" s="1254"/>
      <c r="R741" s="1254"/>
      <c r="S741" s="1254"/>
      <c r="T741" s="1254"/>
      <c r="U741" s="1254"/>
      <c r="V741" s="1254"/>
      <c r="W741" s="1254"/>
      <c r="X741" s="1254"/>
      <c r="Y741" s="1254"/>
      <c r="Z741" s="1254"/>
    </row>
    <row r="742">
      <c r="A742" s="1254"/>
      <c r="B742" s="1263"/>
      <c r="C742" s="1317"/>
      <c r="D742" s="1263"/>
      <c r="E742" s="1318"/>
      <c r="F742" s="1254"/>
      <c r="G742" s="1319"/>
      <c r="H742" s="1254"/>
      <c r="I742" s="1254"/>
      <c r="J742" s="1254"/>
      <c r="K742" s="1320"/>
      <c r="L742" s="1254"/>
      <c r="M742" s="1254"/>
      <c r="N742" s="1254"/>
      <c r="O742" s="1254"/>
      <c r="P742" s="1254"/>
      <c r="Q742" s="1254"/>
      <c r="R742" s="1254"/>
      <c r="S742" s="1254"/>
      <c r="T742" s="1254"/>
      <c r="U742" s="1254"/>
      <c r="V742" s="1254"/>
      <c r="W742" s="1254"/>
      <c r="X742" s="1254"/>
      <c r="Y742" s="1254"/>
      <c r="Z742" s="1254"/>
    </row>
    <row r="743">
      <c r="A743" s="1254"/>
      <c r="B743" s="1263"/>
      <c r="C743" s="1317"/>
      <c r="D743" s="1263"/>
      <c r="E743" s="1318"/>
      <c r="F743" s="1254"/>
      <c r="G743" s="1319"/>
      <c r="H743" s="1254"/>
      <c r="I743" s="1254"/>
      <c r="J743" s="1254"/>
      <c r="K743" s="1320"/>
      <c r="L743" s="1254"/>
      <c r="M743" s="1254"/>
      <c r="N743" s="1254"/>
      <c r="O743" s="1254"/>
      <c r="P743" s="1254"/>
      <c r="Q743" s="1254"/>
      <c r="R743" s="1254"/>
      <c r="S743" s="1254"/>
      <c r="T743" s="1254"/>
      <c r="U743" s="1254"/>
      <c r="V743" s="1254"/>
      <c r="W743" s="1254"/>
      <c r="X743" s="1254"/>
      <c r="Y743" s="1254"/>
      <c r="Z743" s="1254"/>
    </row>
    <row r="744">
      <c r="A744" s="1254"/>
      <c r="B744" s="1263"/>
      <c r="C744" s="1317"/>
      <c r="D744" s="1263"/>
      <c r="E744" s="1318"/>
      <c r="F744" s="1254"/>
      <c r="G744" s="1319"/>
      <c r="H744" s="1254"/>
      <c r="I744" s="1254"/>
      <c r="J744" s="1254"/>
      <c r="K744" s="1320"/>
      <c r="L744" s="1254"/>
      <c r="M744" s="1254"/>
      <c r="N744" s="1254"/>
      <c r="O744" s="1254"/>
      <c r="P744" s="1254"/>
      <c r="Q744" s="1254"/>
      <c r="R744" s="1254"/>
      <c r="S744" s="1254"/>
      <c r="T744" s="1254"/>
      <c r="U744" s="1254"/>
      <c r="V744" s="1254"/>
      <c r="W744" s="1254"/>
      <c r="X744" s="1254"/>
      <c r="Y744" s="1254"/>
      <c r="Z744" s="1254"/>
    </row>
    <row r="745">
      <c r="A745" s="1254"/>
      <c r="B745" s="1263"/>
      <c r="C745" s="1317"/>
      <c r="D745" s="1263"/>
      <c r="E745" s="1318"/>
      <c r="F745" s="1254"/>
      <c r="G745" s="1319"/>
      <c r="H745" s="1254"/>
      <c r="I745" s="1254"/>
      <c r="J745" s="1254"/>
      <c r="K745" s="1320"/>
      <c r="L745" s="1254"/>
      <c r="M745" s="1254"/>
      <c r="N745" s="1254"/>
      <c r="O745" s="1254"/>
      <c r="P745" s="1254"/>
      <c r="Q745" s="1254"/>
      <c r="R745" s="1254"/>
      <c r="S745" s="1254"/>
      <c r="T745" s="1254"/>
      <c r="U745" s="1254"/>
      <c r="V745" s="1254"/>
      <c r="W745" s="1254"/>
      <c r="X745" s="1254"/>
      <c r="Y745" s="1254"/>
      <c r="Z745" s="1254"/>
    </row>
    <row r="746">
      <c r="A746" s="1254"/>
      <c r="B746" s="1263"/>
      <c r="C746" s="1317"/>
      <c r="D746" s="1263"/>
      <c r="E746" s="1318"/>
      <c r="F746" s="1254"/>
      <c r="G746" s="1319"/>
      <c r="H746" s="1254"/>
      <c r="I746" s="1254"/>
      <c r="J746" s="1254"/>
      <c r="K746" s="1320"/>
      <c r="L746" s="1254"/>
      <c r="M746" s="1254"/>
      <c r="N746" s="1254"/>
      <c r="O746" s="1254"/>
      <c r="P746" s="1254"/>
      <c r="Q746" s="1254"/>
      <c r="R746" s="1254"/>
      <c r="S746" s="1254"/>
      <c r="T746" s="1254"/>
      <c r="U746" s="1254"/>
      <c r="V746" s="1254"/>
      <c r="W746" s="1254"/>
      <c r="X746" s="1254"/>
      <c r="Y746" s="1254"/>
      <c r="Z746" s="1254"/>
    </row>
    <row r="747">
      <c r="A747" s="1254"/>
      <c r="B747" s="1263"/>
      <c r="C747" s="1317"/>
      <c r="D747" s="1263"/>
      <c r="E747" s="1318"/>
      <c r="F747" s="1254"/>
      <c r="G747" s="1319"/>
      <c r="H747" s="1254"/>
      <c r="I747" s="1254"/>
      <c r="J747" s="1254"/>
      <c r="K747" s="1320"/>
      <c r="L747" s="1254"/>
      <c r="M747" s="1254"/>
      <c r="N747" s="1254"/>
      <c r="O747" s="1254"/>
      <c r="P747" s="1254"/>
      <c r="Q747" s="1254"/>
      <c r="R747" s="1254"/>
      <c r="S747" s="1254"/>
      <c r="T747" s="1254"/>
      <c r="U747" s="1254"/>
      <c r="V747" s="1254"/>
      <c r="W747" s="1254"/>
      <c r="X747" s="1254"/>
      <c r="Y747" s="1254"/>
      <c r="Z747" s="1254"/>
    </row>
    <row r="748">
      <c r="A748" s="1254"/>
      <c r="B748" s="1263"/>
      <c r="C748" s="1317"/>
      <c r="D748" s="1263"/>
      <c r="E748" s="1318"/>
      <c r="F748" s="1254"/>
      <c r="G748" s="1319"/>
      <c r="H748" s="1254"/>
      <c r="I748" s="1254"/>
      <c r="J748" s="1254"/>
      <c r="K748" s="1320"/>
      <c r="L748" s="1254"/>
      <c r="M748" s="1254"/>
      <c r="N748" s="1254"/>
      <c r="O748" s="1254"/>
      <c r="P748" s="1254"/>
      <c r="Q748" s="1254"/>
      <c r="R748" s="1254"/>
      <c r="S748" s="1254"/>
      <c r="T748" s="1254"/>
      <c r="U748" s="1254"/>
      <c r="V748" s="1254"/>
      <c r="W748" s="1254"/>
      <c r="X748" s="1254"/>
      <c r="Y748" s="1254"/>
      <c r="Z748" s="1254"/>
    </row>
    <row r="749">
      <c r="A749" s="1254"/>
      <c r="B749" s="1263"/>
      <c r="C749" s="1317"/>
      <c r="D749" s="1263"/>
      <c r="E749" s="1318"/>
      <c r="F749" s="1254"/>
      <c r="G749" s="1319"/>
      <c r="H749" s="1254"/>
      <c r="I749" s="1254"/>
      <c r="J749" s="1254"/>
      <c r="K749" s="1320"/>
      <c r="L749" s="1254"/>
      <c r="M749" s="1254"/>
      <c r="N749" s="1254"/>
      <c r="O749" s="1254"/>
      <c r="P749" s="1254"/>
      <c r="Q749" s="1254"/>
      <c r="R749" s="1254"/>
      <c r="S749" s="1254"/>
      <c r="T749" s="1254"/>
      <c r="U749" s="1254"/>
      <c r="V749" s="1254"/>
      <c r="W749" s="1254"/>
      <c r="X749" s="1254"/>
      <c r="Y749" s="1254"/>
      <c r="Z749" s="1254"/>
    </row>
    <row r="750">
      <c r="A750" s="1254"/>
      <c r="B750" s="1263"/>
      <c r="C750" s="1317"/>
      <c r="D750" s="1263"/>
      <c r="E750" s="1318"/>
      <c r="F750" s="1254"/>
      <c r="G750" s="1319"/>
      <c r="H750" s="1254"/>
      <c r="I750" s="1254"/>
      <c r="J750" s="1254"/>
      <c r="K750" s="1320"/>
      <c r="L750" s="1254"/>
      <c r="M750" s="1254"/>
      <c r="N750" s="1254"/>
      <c r="O750" s="1254"/>
      <c r="P750" s="1254"/>
      <c r="Q750" s="1254"/>
      <c r="R750" s="1254"/>
      <c r="S750" s="1254"/>
      <c r="T750" s="1254"/>
      <c r="U750" s="1254"/>
      <c r="V750" s="1254"/>
      <c r="W750" s="1254"/>
      <c r="X750" s="1254"/>
      <c r="Y750" s="1254"/>
      <c r="Z750" s="1254"/>
    </row>
    <row r="751">
      <c r="A751" s="1254"/>
      <c r="B751" s="1263"/>
      <c r="C751" s="1317"/>
      <c r="D751" s="1263"/>
      <c r="E751" s="1318"/>
      <c r="F751" s="1254"/>
      <c r="G751" s="1319"/>
      <c r="H751" s="1254"/>
      <c r="I751" s="1254"/>
      <c r="J751" s="1254"/>
      <c r="K751" s="1320"/>
      <c r="L751" s="1254"/>
      <c r="M751" s="1254"/>
      <c r="N751" s="1254"/>
      <c r="O751" s="1254"/>
      <c r="P751" s="1254"/>
      <c r="Q751" s="1254"/>
      <c r="R751" s="1254"/>
      <c r="S751" s="1254"/>
      <c r="T751" s="1254"/>
      <c r="U751" s="1254"/>
      <c r="V751" s="1254"/>
      <c r="W751" s="1254"/>
      <c r="X751" s="1254"/>
      <c r="Y751" s="1254"/>
      <c r="Z751" s="1254"/>
    </row>
    <row r="752">
      <c r="A752" s="1254"/>
      <c r="B752" s="1263"/>
      <c r="C752" s="1317"/>
      <c r="D752" s="1263"/>
      <c r="E752" s="1318"/>
      <c r="F752" s="1254"/>
      <c r="G752" s="1319"/>
      <c r="H752" s="1254"/>
      <c r="I752" s="1254"/>
      <c r="J752" s="1254"/>
      <c r="K752" s="1320"/>
      <c r="L752" s="1254"/>
      <c r="M752" s="1254"/>
      <c r="N752" s="1254"/>
      <c r="O752" s="1254"/>
      <c r="P752" s="1254"/>
      <c r="Q752" s="1254"/>
      <c r="R752" s="1254"/>
      <c r="S752" s="1254"/>
      <c r="T752" s="1254"/>
      <c r="U752" s="1254"/>
      <c r="V752" s="1254"/>
      <c r="W752" s="1254"/>
      <c r="X752" s="1254"/>
      <c r="Y752" s="1254"/>
      <c r="Z752" s="1254"/>
    </row>
    <row r="753">
      <c r="A753" s="1254"/>
      <c r="B753" s="1263"/>
      <c r="C753" s="1317"/>
      <c r="D753" s="1263"/>
      <c r="E753" s="1318"/>
      <c r="F753" s="1254"/>
      <c r="G753" s="1319"/>
      <c r="H753" s="1254"/>
      <c r="I753" s="1254"/>
      <c r="J753" s="1254"/>
      <c r="K753" s="1320"/>
      <c r="L753" s="1254"/>
      <c r="M753" s="1254"/>
      <c r="N753" s="1254"/>
      <c r="O753" s="1254"/>
      <c r="P753" s="1254"/>
      <c r="Q753" s="1254"/>
      <c r="R753" s="1254"/>
      <c r="S753" s="1254"/>
      <c r="T753" s="1254"/>
      <c r="U753" s="1254"/>
      <c r="V753" s="1254"/>
      <c r="W753" s="1254"/>
      <c r="X753" s="1254"/>
      <c r="Y753" s="1254"/>
      <c r="Z753" s="1254"/>
    </row>
    <row r="754">
      <c r="A754" s="1254"/>
      <c r="B754" s="1263"/>
      <c r="C754" s="1317"/>
      <c r="D754" s="1263"/>
      <c r="E754" s="1318"/>
      <c r="F754" s="1254"/>
      <c r="G754" s="1319"/>
      <c r="H754" s="1254"/>
      <c r="I754" s="1254"/>
      <c r="J754" s="1254"/>
      <c r="K754" s="1320"/>
      <c r="L754" s="1254"/>
      <c r="M754" s="1254"/>
      <c r="N754" s="1254"/>
      <c r="O754" s="1254"/>
      <c r="P754" s="1254"/>
      <c r="Q754" s="1254"/>
      <c r="R754" s="1254"/>
      <c r="S754" s="1254"/>
      <c r="T754" s="1254"/>
      <c r="U754" s="1254"/>
      <c r="V754" s="1254"/>
      <c r="W754" s="1254"/>
      <c r="X754" s="1254"/>
      <c r="Y754" s="1254"/>
      <c r="Z754" s="1254"/>
    </row>
    <row r="755">
      <c r="A755" s="1254"/>
      <c r="B755" s="1263"/>
      <c r="C755" s="1317"/>
      <c r="D755" s="1263"/>
      <c r="E755" s="1318"/>
      <c r="F755" s="1254"/>
      <c r="G755" s="1319"/>
      <c r="H755" s="1254"/>
      <c r="I755" s="1254"/>
      <c r="J755" s="1254"/>
      <c r="K755" s="1320"/>
      <c r="L755" s="1254"/>
      <c r="M755" s="1254"/>
      <c r="N755" s="1254"/>
      <c r="O755" s="1254"/>
      <c r="P755" s="1254"/>
      <c r="Q755" s="1254"/>
      <c r="R755" s="1254"/>
      <c r="S755" s="1254"/>
      <c r="T755" s="1254"/>
      <c r="U755" s="1254"/>
      <c r="V755" s="1254"/>
      <c r="W755" s="1254"/>
      <c r="X755" s="1254"/>
      <c r="Y755" s="1254"/>
      <c r="Z755" s="1254"/>
    </row>
    <row r="756">
      <c r="A756" s="1254"/>
      <c r="B756" s="1263"/>
      <c r="C756" s="1317"/>
      <c r="D756" s="1263"/>
      <c r="E756" s="1318"/>
      <c r="F756" s="1254"/>
      <c r="G756" s="1319"/>
      <c r="H756" s="1254"/>
      <c r="I756" s="1254"/>
      <c r="J756" s="1254"/>
      <c r="K756" s="1320"/>
      <c r="L756" s="1254"/>
      <c r="M756" s="1254"/>
      <c r="N756" s="1254"/>
      <c r="O756" s="1254"/>
      <c r="P756" s="1254"/>
      <c r="Q756" s="1254"/>
      <c r="R756" s="1254"/>
      <c r="S756" s="1254"/>
      <c r="T756" s="1254"/>
      <c r="U756" s="1254"/>
      <c r="V756" s="1254"/>
      <c r="W756" s="1254"/>
      <c r="X756" s="1254"/>
      <c r="Y756" s="1254"/>
      <c r="Z756" s="1254"/>
    </row>
    <row r="757">
      <c r="A757" s="1254"/>
      <c r="B757" s="1263"/>
      <c r="C757" s="1317"/>
      <c r="D757" s="1263"/>
      <c r="E757" s="1318"/>
      <c r="F757" s="1254"/>
      <c r="G757" s="1319"/>
      <c r="H757" s="1254"/>
      <c r="I757" s="1254"/>
      <c r="J757" s="1254"/>
      <c r="K757" s="1320"/>
      <c r="L757" s="1254"/>
      <c r="M757" s="1254"/>
      <c r="N757" s="1254"/>
      <c r="O757" s="1254"/>
      <c r="P757" s="1254"/>
      <c r="Q757" s="1254"/>
      <c r="R757" s="1254"/>
      <c r="S757" s="1254"/>
      <c r="T757" s="1254"/>
      <c r="U757" s="1254"/>
      <c r="V757" s="1254"/>
      <c r="W757" s="1254"/>
      <c r="X757" s="1254"/>
      <c r="Y757" s="1254"/>
      <c r="Z757" s="1254"/>
    </row>
    <row r="758">
      <c r="A758" s="1254"/>
      <c r="B758" s="1263"/>
      <c r="C758" s="1317"/>
      <c r="D758" s="1263"/>
      <c r="E758" s="1318"/>
      <c r="F758" s="1254"/>
      <c r="G758" s="1319"/>
      <c r="H758" s="1254"/>
      <c r="I758" s="1254"/>
      <c r="J758" s="1254"/>
      <c r="K758" s="1320"/>
      <c r="L758" s="1254"/>
      <c r="M758" s="1254"/>
      <c r="N758" s="1254"/>
      <c r="O758" s="1254"/>
      <c r="P758" s="1254"/>
      <c r="Q758" s="1254"/>
      <c r="R758" s="1254"/>
      <c r="S758" s="1254"/>
      <c r="T758" s="1254"/>
      <c r="U758" s="1254"/>
      <c r="V758" s="1254"/>
      <c r="W758" s="1254"/>
      <c r="X758" s="1254"/>
      <c r="Y758" s="1254"/>
      <c r="Z758" s="1254"/>
    </row>
    <row r="759">
      <c r="A759" s="1254"/>
      <c r="B759" s="1263"/>
      <c r="C759" s="1317"/>
      <c r="D759" s="1263"/>
      <c r="E759" s="1318"/>
      <c r="F759" s="1254"/>
      <c r="G759" s="1319"/>
      <c r="H759" s="1254"/>
      <c r="I759" s="1254"/>
      <c r="J759" s="1254"/>
      <c r="K759" s="1320"/>
      <c r="L759" s="1254"/>
      <c r="M759" s="1254"/>
      <c r="N759" s="1254"/>
      <c r="O759" s="1254"/>
      <c r="P759" s="1254"/>
      <c r="Q759" s="1254"/>
      <c r="R759" s="1254"/>
      <c r="S759" s="1254"/>
      <c r="T759" s="1254"/>
      <c r="U759" s="1254"/>
      <c r="V759" s="1254"/>
      <c r="W759" s="1254"/>
      <c r="X759" s="1254"/>
      <c r="Y759" s="1254"/>
      <c r="Z759" s="1254"/>
    </row>
    <row r="760">
      <c r="A760" s="1254"/>
      <c r="B760" s="1263"/>
      <c r="C760" s="1317"/>
      <c r="D760" s="1263"/>
      <c r="E760" s="1318"/>
      <c r="F760" s="1254"/>
      <c r="G760" s="1319"/>
      <c r="H760" s="1254"/>
      <c r="I760" s="1254"/>
      <c r="J760" s="1254"/>
      <c r="K760" s="1320"/>
      <c r="L760" s="1254"/>
      <c r="M760" s="1254"/>
      <c r="N760" s="1254"/>
      <c r="O760" s="1254"/>
      <c r="P760" s="1254"/>
      <c r="Q760" s="1254"/>
      <c r="R760" s="1254"/>
      <c r="S760" s="1254"/>
      <c r="T760" s="1254"/>
      <c r="U760" s="1254"/>
      <c r="V760" s="1254"/>
      <c r="W760" s="1254"/>
      <c r="X760" s="1254"/>
      <c r="Y760" s="1254"/>
      <c r="Z760" s="1254"/>
    </row>
    <row r="761">
      <c r="A761" s="1254"/>
      <c r="B761" s="1263"/>
      <c r="C761" s="1317"/>
      <c r="D761" s="1263"/>
      <c r="E761" s="1318"/>
      <c r="F761" s="1254"/>
      <c r="G761" s="1319"/>
      <c r="H761" s="1254"/>
      <c r="I761" s="1254"/>
      <c r="J761" s="1254"/>
      <c r="K761" s="1320"/>
      <c r="L761" s="1254"/>
      <c r="M761" s="1254"/>
      <c r="N761" s="1254"/>
      <c r="O761" s="1254"/>
      <c r="P761" s="1254"/>
      <c r="Q761" s="1254"/>
      <c r="R761" s="1254"/>
      <c r="S761" s="1254"/>
      <c r="T761" s="1254"/>
      <c r="U761" s="1254"/>
      <c r="V761" s="1254"/>
      <c r="W761" s="1254"/>
      <c r="X761" s="1254"/>
      <c r="Y761" s="1254"/>
      <c r="Z761" s="1254"/>
    </row>
    <row r="762">
      <c r="A762" s="1254"/>
      <c r="B762" s="1263"/>
      <c r="C762" s="1317"/>
      <c r="D762" s="1263"/>
      <c r="E762" s="1318"/>
      <c r="F762" s="1254"/>
      <c r="G762" s="1319"/>
      <c r="H762" s="1254"/>
      <c r="I762" s="1254"/>
      <c r="J762" s="1254"/>
      <c r="K762" s="1320"/>
      <c r="L762" s="1254"/>
      <c r="M762" s="1254"/>
      <c r="N762" s="1254"/>
      <c r="O762" s="1254"/>
      <c r="P762" s="1254"/>
      <c r="Q762" s="1254"/>
      <c r="R762" s="1254"/>
      <c r="S762" s="1254"/>
      <c r="T762" s="1254"/>
      <c r="U762" s="1254"/>
      <c r="V762" s="1254"/>
      <c r="W762" s="1254"/>
      <c r="X762" s="1254"/>
      <c r="Y762" s="1254"/>
      <c r="Z762" s="1254"/>
    </row>
    <row r="763">
      <c r="A763" s="1254"/>
      <c r="B763" s="1263"/>
      <c r="C763" s="1317"/>
      <c r="D763" s="1263"/>
      <c r="E763" s="1318"/>
      <c r="F763" s="1254"/>
      <c r="G763" s="1319"/>
      <c r="H763" s="1254"/>
      <c r="I763" s="1254"/>
      <c r="J763" s="1254"/>
      <c r="K763" s="1320"/>
      <c r="L763" s="1254"/>
      <c r="M763" s="1254"/>
      <c r="N763" s="1254"/>
      <c r="O763" s="1254"/>
      <c r="P763" s="1254"/>
      <c r="Q763" s="1254"/>
      <c r="R763" s="1254"/>
      <c r="S763" s="1254"/>
      <c r="T763" s="1254"/>
      <c r="U763" s="1254"/>
      <c r="V763" s="1254"/>
      <c r="W763" s="1254"/>
      <c r="X763" s="1254"/>
      <c r="Y763" s="1254"/>
      <c r="Z763" s="1254"/>
    </row>
    <row r="764">
      <c r="A764" s="1254"/>
      <c r="B764" s="1263"/>
      <c r="C764" s="1317"/>
      <c r="D764" s="1263"/>
      <c r="E764" s="1318"/>
      <c r="F764" s="1254"/>
      <c r="G764" s="1319"/>
      <c r="H764" s="1254"/>
      <c r="I764" s="1254"/>
      <c r="J764" s="1254"/>
      <c r="K764" s="1320"/>
      <c r="L764" s="1254"/>
      <c r="M764" s="1254"/>
      <c r="N764" s="1254"/>
      <c r="O764" s="1254"/>
      <c r="P764" s="1254"/>
      <c r="Q764" s="1254"/>
      <c r="R764" s="1254"/>
      <c r="S764" s="1254"/>
      <c r="T764" s="1254"/>
      <c r="U764" s="1254"/>
      <c r="V764" s="1254"/>
      <c r="W764" s="1254"/>
      <c r="X764" s="1254"/>
      <c r="Y764" s="1254"/>
      <c r="Z764" s="1254"/>
    </row>
    <row r="765">
      <c r="A765" s="1254"/>
      <c r="B765" s="1263"/>
      <c r="C765" s="1317"/>
      <c r="D765" s="1263"/>
      <c r="E765" s="1318"/>
      <c r="F765" s="1254"/>
      <c r="G765" s="1319"/>
      <c r="H765" s="1254"/>
      <c r="I765" s="1254"/>
      <c r="J765" s="1254"/>
      <c r="K765" s="1320"/>
      <c r="L765" s="1254"/>
      <c r="M765" s="1254"/>
      <c r="N765" s="1254"/>
      <c r="O765" s="1254"/>
      <c r="P765" s="1254"/>
      <c r="Q765" s="1254"/>
      <c r="R765" s="1254"/>
      <c r="S765" s="1254"/>
      <c r="T765" s="1254"/>
      <c r="U765" s="1254"/>
      <c r="V765" s="1254"/>
      <c r="W765" s="1254"/>
      <c r="X765" s="1254"/>
      <c r="Y765" s="1254"/>
      <c r="Z765" s="1254"/>
    </row>
    <row r="766">
      <c r="A766" s="1254"/>
      <c r="B766" s="1263"/>
      <c r="C766" s="1317"/>
      <c r="D766" s="1263"/>
      <c r="E766" s="1318"/>
      <c r="F766" s="1254"/>
      <c r="G766" s="1319"/>
      <c r="H766" s="1254"/>
      <c r="I766" s="1254"/>
      <c r="J766" s="1254"/>
      <c r="K766" s="1320"/>
      <c r="L766" s="1254"/>
      <c r="M766" s="1254"/>
      <c r="N766" s="1254"/>
      <c r="O766" s="1254"/>
      <c r="P766" s="1254"/>
      <c r="Q766" s="1254"/>
      <c r="R766" s="1254"/>
      <c r="S766" s="1254"/>
      <c r="T766" s="1254"/>
      <c r="U766" s="1254"/>
      <c r="V766" s="1254"/>
      <c r="W766" s="1254"/>
      <c r="X766" s="1254"/>
      <c r="Y766" s="1254"/>
      <c r="Z766" s="1254"/>
    </row>
    <row r="767">
      <c r="A767" s="1254"/>
      <c r="B767" s="1263"/>
      <c r="C767" s="1317"/>
      <c r="D767" s="1263"/>
      <c r="E767" s="1318"/>
      <c r="F767" s="1254"/>
      <c r="G767" s="1319"/>
      <c r="H767" s="1254"/>
      <c r="I767" s="1254"/>
      <c r="J767" s="1254"/>
      <c r="K767" s="1320"/>
      <c r="L767" s="1254"/>
      <c r="M767" s="1254"/>
      <c r="N767" s="1254"/>
      <c r="O767" s="1254"/>
      <c r="P767" s="1254"/>
      <c r="Q767" s="1254"/>
      <c r="R767" s="1254"/>
      <c r="S767" s="1254"/>
      <c r="T767" s="1254"/>
      <c r="U767" s="1254"/>
      <c r="V767" s="1254"/>
      <c r="W767" s="1254"/>
      <c r="X767" s="1254"/>
      <c r="Y767" s="1254"/>
      <c r="Z767" s="1254"/>
    </row>
    <row r="768">
      <c r="A768" s="1254"/>
      <c r="B768" s="1263"/>
      <c r="C768" s="1317"/>
      <c r="D768" s="1263"/>
      <c r="E768" s="1318"/>
      <c r="F768" s="1254"/>
      <c r="G768" s="1319"/>
      <c r="H768" s="1254"/>
      <c r="I768" s="1254"/>
      <c r="J768" s="1254"/>
      <c r="K768" s="1320"/>
      <c r="L768" s="1254"/>
      <c r="M768" s="1254"/>
      <c r="N768" s="1254"/>
      <c r="O768" s="1254"/>
      <c r="P768" s="1254"/>
      <c r="Q768" s="1254"/>
      <c r="R768" s="1254"/>
      <c r="S768" s="1254"/>
      <c r="T768" s="1254"/>
      <c r="U768" s="1254"/>
      <c r="V768" s="1254"/>
      <c r="W768" s="1254"/>
      <c r="X768" s="1254"/>
      <c r="Y768" s="1254"/>
      <c r="Z768" s="1254"/>
    </row>
    <row r="769">
      <c r="A769" s="1254"/>
      <c r="B769" s="1263"/>
      <c r="C769" s="1317"/>
      <c r="D769" s="1263"/>
      <c r="E769" s="1318"/>
      <c r="F769" s="1254"/>
      <c r="G769" s="1319"/>
      <c r="H769" s="1254"/>
      <c r="I769" s="1254"/>
      <c r="J769" s="1254"/>
      <c r="K769" s="1320"/>
      <c r="L769" s="1254"/>
      <c r="M769" s="1254"/>
      <c r="N769" s="1254"/>
      <c r="O769" s="1254"/>
      <c r="P769" s="1254"/>
      <c r="Q769" s="1254"/>
      <c r="R769" s="1254"/>
      <c r="S769" s="1254"/>
      <c r="T769" s="1254"/>
      <c r="U769" s="1254"/>
      <c r="V769" s="1254"/>
      <c r="W769" s="1254"/>
      <c r="X769" s="1254"/>
      <c r="Y769" s="1254"/>
      <c r="Z769" s="1254"/>
    </row>
    <row r="770">
      <c r="A770" s="1254"/>
      <c r="B770" s="1263"/>
      <c r="C770" s="1317"/>
      <c r="D770" s="1263"/>
      <c r="E770" s="1318"/>
      <c r="F770" s="1254"/>
      <c r="G770" s="1319"/>
      <c r="H770" s="1254"/>
      <c r="I770" s="1254"/>
      <c r="J770" s="1254"/>
      <c r="K770" s="1320"/>
      <c r="L770" s="1254"/>
      <c r="M770" s="1254"/>
      <c r="N770" s="1254"/>
      <c r="O770" s="1254"/>
      <c r="P770" s="1254"/>
      <c r="Q770" s="1254"/>
      <c r="R770" s="1254"/>
      <c r="S770" s="1254"/>
      <c r="T770" s="1254"/>
      <c r="U770" s="1254"/>
      <c r="V770" s="1254"/>
      <c r="W770" s="1254"/>
      <c r="X770" s="1254"/>
      <c r="Y770" s="1254"/>
      <c r="Z770" s="1254"/>
    </row>
    <row r="771">
      <c r="A771" s="1254"/>
      <c r="B771" s="1263"/>
      <c r="C771" s="1317"/>
      <c r="D771" s="1263"/>
      <c r="E771" s="1318"/>
      <c r="F771" s="1254"/>
      <c r="G771" s="1319"/>
      <c r="H771" s="1254"/>
      <c r="I771" s="1254"/>
      <c r="J771" s="1254"/>
      <c r="K771" s="1320"/>
      <c r="L771" s="1254"/>
      <c r="M771" s="1254"/>
      <c r="N771" s="1254"/>
      <c r="O771" s="1254"/>
      <c r="P771" s="1254"/>
      <c r="Q771" s="1254"/>
      <c r="R771" s="1254"/>
      <c r="S771" s="1254"/>
      <c r="T771" s="1254"/>
      <c r="U771" s="1254"/>
      <c r="V771" s="1254"/>
      <c r="W771" s="1254"/>
      <c r="X771" s="1254"/>
      <c r="Y771" s="1254"/>
      <c r="Z771" s="1254"/>
    </row>
    <row r="772">
      <c r="A772" s="1254"/>
      <c r="B772" s="1263"/>
      <c r="C772" s="1317"/>
      <c r="D772" s="1263"/>
      <c r="E772" s="1318"/>
      <c r="F772" s="1254"/>
      <c r="G772" s="1319"/>
      <c r="H772" s="1254"/>
      <c r="I772" s="1254"/>
      <c r="J772" s="1254"/>
      <c r="K772" s="1320"/>
      <c r="L772" s="1254"/>
      <c r="M772" s="1254"/>
      <c r="N772" s="1254"/>
      <c r="O772" s="1254"/>
      <c r="P772" s="1254"/>
      <c r="Q772" s="1254"/>
      <c r="R772" s="1254"/>
      <c r="S772" s="1254"/>
      <c r="T772" s="1254"/>
      <c r="U772" s="1254"/>
      <c r="V772" s="1254"/>
      <c r="W772" s="1254"/>
      <c r="X772" s="1254"/>
      <c r="Y772" s="1254"/>
      <c r="Z772" s="1254"/>
    </row>
    <row r="773">
      <c r="A773" s="1254"/>
      <c r="B773" s="1263"/>
      <c r="C773" s="1317"/>
      <c r="D773" s="1263"/>
      <c r="E773" s="1318"/>
      <c r="F773" s="1254"/>
      <c r="G773" s="1319"/>
      <c r="H773" s="1254"/>
      <c r="I773" s="1254"/>
      <c r="J773" s="1254"/>
      <c r="K773" s="1320"/>
      <c r="L773" s="1254"/>
      <c r="M773" s="1254"/>
      <c r="N773" s="1254"/>
      <c r="O773" s="1254"/>
      <c r="P773" s="1254"/>
      <c r="Q773" s="1254"/>
      <c r="R773" s="1254"/>
      <c r="S773" s="1254"/>
      <c r="T773" s="1254"/>
      <c r="U773" s="1254"/>
      <c r="V773" s="1254"/>
      <c r="W773" s="1254"/>
      <c r="X773" s="1254"/>
      <c r="Y773" s="1254"/>
      <c r="Z773" s="1254"/>
    </row>
    <row r="774">
      <c r="A774" s="1254"/>
      <c r="B774" s="1263"/>
      <c r="C774" s="1317"/>
      <c r="D774" s="1263"/>
      <c r="E774" s="1318"/>
      <c r="F774" s="1254"/>
      <c r="G774" s="1319"/>
      <c r="H774" s="1254"/>
      <c r="I774" s="1254"/>
      <c r="J774" s="1254"/>
      <c r="K774" s="1320"/>
      <c r="L774" s="1254"/>
      <c r="M774" s="1254"/>
      <c r="N774" s="1254"/>
      <c r="O774" s="1254"/>
      <c r="P774" s="1254"/>
      <c r="Q774" s="1254"/>
      <c r="R774" s="1254"/>
      <c r="S774" s="1254"/>
      <c r="T774" s="1254"/>
      <c r="U774" s="1254"/>
      <c r="V774" s="1254"/>
      <c r="W774" s="1254"/>
      <c r="X774" s="1254"/>
      <c r="Y774" s="1254"/>
      <c r="Z774" s="1254"/>
    </row>
    <row r="775">
      <c r="A775" s="1254"/>
      <c r="B775" s="1263"/>
      <c r="C775" s="1317"/>
      <c r="D775" s="1263"/>
      <c r="E775" s="1318"/>
      <c r="F775" s="1254"/>
      <c r="G775" s="1319"/>
      <c r="H775" s="1254"/>
      <c r="I775" s="1254"/>
      <c r="J775" s="1254"/>
      <c r="K775" s="1320"/>
      <c r="L775" s="1254"/>
      <c r="M775" s="1254"/>
      <c r="N775" s="1254"/>
      <c r="O775" s="1254"/>
      <c r="P775" s="1254"/>
      <c r="Q775" s="1254"/>
      <c r="R775" s="1254"/>
      <c r="S775" s="1254"/>
      <c r="T775" s="1254"/>
      <c r="U775" s="1254"/>
      <c r="V775" s="1254"/>
      <c r="W775" s="1254"/>
      <c r="X775" s="1254"/>
      <c r="Y775" s="1254"/>
      <c r="Z775" s="1254"/>
    </row>
    <row r="776">
      <c r="A776" s="1254"/>
      <c r="B776" s="1263"/>
      <c r="C776" s="1317"/>
      <c r="D776" s="1263"/>
      <c r="E776" s="1318"/>
      <c r="F776" s="1254"/>
      <c r="G776" s="1319"/>
      <c r="H776" s="1254"/>
      <c r="I776" s="1254"/>
      <c r="J776" s="1254"/>
      <c r="K776" s="1320"/>
      <c r="L776" s="1254"/>
      <c r="M776" s="1254"/>
      <c r="N776" s="1254"/>
      <c r="O776" s="1254"/>
      <c r="P776" s="1254"/>
      <c r="Q776" s="1254"/>
      <c r="R776" s="1254"/>
      <c r="S776" s="1254"/>
      <c r="T776" s="1254"/>
      <c r="U776" s="1254"/>
      <c r="V776" s="1254"/>
      <c r="W776" s="1254"/>
      <c r="X776" s="1254"/>
      <c r="Y776" s="1254"/>
      <c r="Z776" s="1254"/>
    </row>
    <row r="777">
      <c r="A777" s="1254"/>
      <c r="B777" s="1263"/>
      <c r="C777" s="1317"/>
      <c r="D777" s="1263"/>
      <c r="E777" s="1318"/>
      <c r="F777" s="1254"/>
      <c r="G777" s="1319"/>
      <c r="H777" s="1254"/>
      <c r="I777" s="1254"/>
      <c r="J777" s="1254"/>
      <c r="K777" s="1320"/>
      <c r="L777" s="1254"/>
      <c r="M777" s="1254"/>
      <c r="N777" s="1254"/>
      <c r="O777" s="1254"/>
      <c r="P777" s="1254"/>
      <c r="Q777" s="1254"/>
      <c r="R777" s="1254"/>
      <c r="S777" s="1254"/>
      <c r="T777" s="1254"/>
      <c r="U777" s="1254"/>
      <c r="V777" s="1254"/>
      <c r="W777" s="1254"/>
      <c r="X777" s="1254"/>
      <c r="Y777" s="1254"/>
      <c r="Z777" s="1254"/>
    </row>
    <row r="778">
      <c r="A778" s="1254"/>
      <c r="B778" s="1263"/>
      <c r="C778" s="1317"/>
      <c r="D778" s="1263"/>
      <c r="E778" s="1318"/>
      <c r="F778" s="1254"/>
      <c r="G778" s="1319"/>
      <c r="H778" s="1254"/>
      <c r="I778" s="1254"/>
      <c r="J778" s="1254"/>
      <c r="K778" s="1320"/>
      <c r="L778" s="1254"/>
      <c r="M778" s="1254"/>
      <c r="N778" s="1254"/>
      <c r="O778" s="1254"/>
      <c r="P778" s="1254"/>
      <c r="Q778" s="1254"/>
      <c r="R778" s="1254"/>
      <c r="S778" s="1254"/>
      <c r="T778" s="1254"/>
      <c r="U778" s="1254"/>
      <c r="V778" s="1254"/>
      <c r="W778" s="1254"/>
      <c r="X778" s="1254"/>
      <c r="Y778" s="1254"/>
      <c r="Z778" s="1254"/>
    </row>
    <row r="779">
      <c r="A779" s="1254"/>
      <c r="B779" s="1263"/>
      <c r="C779" s="1317"/>
      <c r="D779" s="1263"/>
      <c r="E779" s="1318"/>
      <c r="F779" s="1254"/>
      <c r="G779" s="1319"/>
      <c r="H779" s="1254"/>
      <c r="I779" s="1254"/>
      <c r="J779" s="1254"/>
      <c r="K779" s="1320"/>
      <c r="L779" s="1254"/>
      <c r="M779" s="1254"/>
      <c r="N779" s="1254"/>
      <c r="O779" s="1254"/>
      <c r="P779" s="1254"/>
      <c r="Q779" s="1254"/>
      <c r="R779" s="1254"/>
      <c r="S779" s="1254"/>
      <c r="T779" s="1254"/>
      <c r="U779" s="1254"/>
      <c r="V779" s="1254"/>
      <c r="W779" s="1254"/>
      <c r="X779" s="1254"/>
      <c r="Y779" s="1254"/>
      <c r="Z779" s="1254"/>
    </row>
    <row r="780">
      <c r="A780" s="1254"/>
      <c r="B780" s="1263"/>
      <c r="C780" s="1317"/>
      <c r="D780" s="1263"/>
      <c r="E780" s="1318"/>
      <c r="F780" s="1254"/>
      <c r="G780" s="1319"/>
      <c r="H780" s="1254"/>
      <c r="I780" s="1254"/>
      <c r="J780" s="1254"/>
      <c r="K780" s="1320"/>
      <c r="L780" s="1254"/>
      <c r="M780" s="1254"/>
      <c r="N780" s="1254"/>
      <c r="O780" s="1254"/>
      <c r="P780" s="1254"/>
      <c r="Q780" s="1254"/>
      <c r="R780" s="1254"/>
      <c r="S780" s="1254"/>
      <c r="T780" s="1254"/>
      <c r="U780" s="1254"/>
      <c r="V780" s="1254"/>
      <c r="W780" s="1254"/>
      <c r="X780" s="1254"/>
      <c r="Y780" s="1254"/>
      <c r="Z780" s="1254"/>
    </row>
    <row r="781">
      <c r="A781" s="1254"/>
      <c r="B781" s="1263"/>
      <c r="C781" s="1317"/>
      <c r="D781" s="1263"/>
      <c r="E781" s="1318"/>
      <c r="F781" s="1254"/>
      <c r="G781" s="1319"/>
      <c r="H781" s="1254"/>
      <c r="I781" s="1254"/>
      <c r="J781" s="1254"/>
      <c r="K781" s="1320"/>
      <c r="L781" s="1254"/>
      <c r="M781" s="1254"/>
      <c r="N781" s="1254"/>
      <c r="O781" s="1254"/>
      <c r="P781" s="1254"/>
      <c r="Q781" s="1254"/>
      <c r="R781" s="1254"/>
      <c r="S781" s="1254"/>
      <c r="T781" s="1254"/>
      <c r="U781" s="1254"/>
      <c r="V781" s="1254"/>
      <c r="W781" s="1254"/>
      <c r="X781" s="1254"/>
      <c r="Y781" s="1254"/>
      <c r="Z781" s="1254"/>
    </row>
    <row r="782">
      <c r="A782" s="1254"/>
      <c r="B782" s="1263"/>
      <c r="C782" s="1317"/>
      <c r="D782" s="1263"/>
      <c r="E782" s="1318"/>
      <c r="F782" s="1254"/>
      <c r="G782" s="1319"/>
      <c r="H782" s="1254"/>
      <c r="I782" s="1254"/>
      <c r="J782" s="1254"/>
      <c r="K782" s="1320"/>
      <c r="L782" s="1254"/>
      <c r="M782" s="1254"/>
      <c r="N782" s="1254"/>
      <c r="O782" s="1254"/>
      <c r="P782" s="1254"/>
      <c r="Q782" s="1254"/>
      <c r="R782" s="1254"/>
      <c r="S782" s="1254"/>
      <c r="T782" s="1254"/>
      <c r="U782" s="1254"/>
      <c r="V782" s="1254"/>
      <c r="W782" s="1254"/>
      <c r="X782" s="1254"/>
      <c r="Y782" s="1254"/>
      <c r="Z782" s="1254"/>
    </row>
    <row r="783">
      <c r="A783" s="1254"/>
      <c r="B783" s="1263"/>
      <c r="C783" s="1317"/>
      <c r="D783" s="1263"/>
      <c r="E783" s="1318"/>
      <c r="F783" s="1254"/>
      <c r="G783" s="1319"/>
      <c r="H783" s="1254"/>
      <c r="I783" s="1254"/>
      <c r="J783" s="1254"/>
      <c r="K783" s="1320"/>
      <c r="L783" s="1254"/>
      <c r="M783" s="1254"/>
      <c r="N783" s="1254"/>
      <c r="O783" s="1254"/>
      <c r="P783" s="1254"/>
      <c r="Q783" s="1254"/>
      <c r="R783" s="1254"/>
      <c r="S783" s="1254"/>
      <c r="T783" s="1254"/>
      <c r="U783" s="1254"/>
      <c r="V783" s="1254"/>
      <c r="W783" s="1254"/>
      <c r="X783" s="1254"/>
      <c r="Y783" s="1254"/>
      <c r="Z783" s="1254"/>
    </row>
    <row r="784">
      <c r="A784" s="1254"/>
      <c r="B784" s="1263"/>
      <c r="C784" s="1317"/>
      <c r="D784" s="1263"/>
      <c r="E784" s="1318"/>
      <c r="F784" s="1254"/>
      <c r="G784" s="1319"/>
      <c r="H784" s="1254"/>
      <c r="I784" s="1254"/>
      <c r="J784" s="1254"/>
      <c r="K784" s="1320"/>
      <c r="L784" s="1254"/>
      <c r="M784" s="1254"/>
      <c r="N784" s="1254"/>
      <c r="O784" s="1254"/>
      <c r="P784" s="1254"/>
      <c r="Q784" s="1254"/>
      <c r="R784" s="1254"/>
      <c r="S784" s="1254"/>
      <c r="T784" s="1254"/>
      <c r="U784" s="1254"/>
      <c r="V784" s="1254"/>
      <c r="W784" s="1254"/>
      <c r="X784" s="1254"/>
      <c r="Y784" s="1254"/>
      <c r="Z784" s="1254"/>
    </row>
    <row r="785">
      <c r="A785" s="1254"/>
      <c r="B785" s="1263"/>
      <c r="C785" s="1317"/>
      <c r="D785" s="1263"/>
      <c r="E785" s="1318"/>
      <c r="F785" s="1254"/>
      <c r="G785" s="1319"/>
      <c r="H785" s="1254"/>
      <c r="I785" s="1254"/>
      <c r="J785" s="1254"/>
      <c r="K785" s="1320"/>
      <c r="L785" s="1254"/>
      <c r="M785" s="1254"/>
      <c r="N785" s="1254"/>
      <c r="O785" s="1254"/>
      <c r="P785" s="1254"/>
      <c r="Q785" s="1254"/>
      <c r="R785" s="1254"/>
      <c r="S785" s="1254"/>
      <c r="T785" s="1254"/>
      <c r="U785" s="1254"/>
      <c r="V785" s="1254"/>
      <c r="W785" s="1254"/>
      <c r="X785" s="1254"/>
      <c r="Y785" s="1254"/>
      <c r="Z785" s="1254"/>
    </row>
    <row r="786">
      <c r="A786" s="1254"/>
      <c r="B786" s="1263"/>
      <c r="C786" s="1317"/>
      <c r="D786" s="1263"/>
      <c r="E786" s="1318"/>
      <c r="F786" s="1254"/>
      <c r="G786" s="1319"/>
      <c r="H786" s="1254"/>
      <c r="I786" s="1254"/>
      <c r="J786" s="1254"/>
      <c r="K786" s="1320"/>
      <c r="L786" s="1254"/>
      <c r="M786" s="1254"/>
      <c r="N786" s="1254"/>
      <c r="O786" s="1254"/>
      <c r="P786" s="1254"/>
      <c r="Q786" s="1254"/>
      <c r="R786" s="1254"/>
      <c r="S786" s="1254"/>
      <c r="T786" s="1254"/>
      <c r="U786" s="1254"/>
      <c r="V786" s="1254"/>
      <c r="W786" s="1254"/>
      <c r="X786" s="1254"/>
      <c r="Y786" s="1254"/>
      <c r="Z786" s="1254"/>
    </row>
    <row r="787">
      <c r="A787" s="1254"/>
      <c r="B787" s="1263"/>
      <c r="C787" s="1317"/>
      <c r="D787" s="1263"/>
      <c r="E787" s="1318"/>
      <c r="F787" s="1254"/>
      <c r="G787" s="1319"/>
      <c r="H787" s="1254"/>
      <c r="I787" s="1254"/>
      <c r="J787" s="1254"/>
      <c r="K787" s="1320"/>
      <c r="L787" s="1254"/>
      <c r="M787" s="1254"/>
      <c r="N787" s="1254"/>
      <c r="O787" s="1254"/>
      <c r="P787" s="1254"/>
      <c r="Q787" s="1254"/>
      <c r="R787" s="1254"/>
      <c r="S787" s="1254"/>
      <c r="T787" s="1254"/>
      <c r="U787" s="1254"/>
      <c r="V787" s="1254"/>
      <c r="W787" s="1254"/>
      <c r="X787" s="1254"/>
      <c r="Y787" s="1254"/>
      <c r="Z787" s="1254"/>
    </row>
    <row r="788">
      <c r="A788" s="1254"/>
      <c r="B788" s="1263"/>
      <c r="C788" s="1317"/>
      <c r="D788" s="1263"/>
      <c r="E788" s="1318"/>
      <c r="F788" s="1254"/>
      <c r="G788" s="1319"/>
      <c r="H788" s="1254"/>
      <c r="I788" s="1254"/>
      <c r="J788" s="1254"/>
      <c r="K788" s="1320"/>
      <c r="L788" s="1254"/>
      <c r="M788" s="1254"/>
      <c r="N788" s="1254"/>
      <c r="O788" s="1254"/>
      <c r="P788" s="1254"/>
      <c r="Q788" s="1254"/>
      <c r="R788" s="1254"/>
      <c r="S788" s="1254"/>
      <c r="T788" s="1254"/>
      <c r="U788" s="1254"/>
      <c r="V788" s="1254"/>
      <c r="W788" s="1254"/>
      <c r="X788" s="1254"/>
      <c r="Y788" s="1254"/>
      <c r="Z788" s="1254"/>
    </row>
    <row r="789">
      <c r="A789" s="1254"/>
      <c r="B789" s="1263"/>
      <c r="C789" s="1317"/>
      <c r="D789" s="1263"/>
      <c r="E789" s="1318"/>
      <c r="F789" s="1254"/>
      <c r="G789" s="1319"/>
      <c r="H789" s="1254"/>
      <c r="I789" s="1254"/>
      <c r="J789" s="1254"/>
      <c r="K789" s="1320"/>
      <c r="L789" s="1254"/>
      <c r="M789" s="1254"/>
      <c r="N789" s="1254"/>
      <c r="O789" s="1254"/>
      <c r="P789" s="1254"/>
      <c r="Q789" s="1254"/>
      <c r="R789" s="1254"/>
      <c r="S789" s="1254"/>
      <c r="T789" s="1254"/>
      <c r="U789" s="1254"/>
      <c r="V789" s="1254"/>
      <c r="W789" s="1254"/>
      <c r="X789" s="1254"/>
      <c r="Y789" s="1254"/>
      <c r="Z789" s="1254"/>
    </row>
    <row r="790">
      <c r="A790" s="1254"/>
      <c r="B790" s="1263"/>
      <c r="C790" s="1317"/>
      <c r="D790" s="1263"/>
      <c r="E790" s="1318"/>
      <c r="F790" s="1254"/>
      <c r="G790" s="1319"/>
      <c r="H790" s="1254"/>
      <c r="I790" s="1254"/>
      <c r="J790" s="1254"/>
      <c r="K790" s="1320"/>
      <c r="L790" s="1254"/>
      <c r="M790" s="1254"/>
      <c r="N790" s="1254"/>
      <c r="O790" s="1254"/>
      <c r="P790" s="1254"/>
      <c r="Q790" s="1254"/>
      <c r="R790" s="1254"/>
      <c r="S790" s="1254"/>
      <c r="T790" s="1254"/>
      <c r="U790" s="1254"/>
      <c r="V790" s="1254"/>
      <c r="W790" s="1254"/>
      <c r="X790" s="1254"/>
      <c r="Y790" s="1254"/>
      <c r="Z790" s="1254"/>
    </row>
    <row r="791">
      <c r="A791" s="1254"/>
      <c r="B791" s="1263"/>
      <c r="C791" s="1317"/>
      <c r="D791" s="1263"/>
      <c r="E791" s="1318"/>
      <c r="F791" s="1254"/>
      <c r="G791" s="1319"/>
      <c r="H791" s="1254"/>
      <c r="I791" s="1254"/>
      <c r="J791" s="1254"/>
      <c r="K791" s="1320"/>
      <c r="L791" s="1254"/>
      <c r="M791" s="1254"/>
      <c r="N791" s="1254"/>
      <c r="O791" s="1254"/>
      <c r="P791" s="1254"/>
      <c r="Q791" s="1254"/>
      <c r="R791" s="1254"/>
      <c r="S791" s="1254"/>
      <c r="T791" s="1254"/>
      <c r="U791" s="1254"/>
      <c r="V791" s="1254"/>
      <c r="W791" s="1254"/>
      <c r="X791" s="1254"/>
      <c r="Y791" s="1254"/>
      <c r="Z791" s="1254"/>
    </row>
    <row r="792">
      <c r="A792" s="1254"/>
      <c r="B792" s="1263"/>
      <c r="C792" s="1317"/>
      <c r="D792" s="1263"/>
      <c r="E792" s="1318"/>
      <c r="F792" s="1254"/>
      <c r="G792" s="1319"/>
      <c r="H792" s="1254"/>
      <c r="I792" s="1254"/>
      <c r="J792" s="1254"/>
      <c r="K792" s="1320"/>
      <c r="L792" s="1254"/>
      <c r="M792" s="1254"/>
      <c r="N792" s="1254"/>
      <c r="O792" s="1254"/>
      <c r="P792" s="1254"/>
      <c r="Q792" s="1254"/>
      <c r="R792" s="1254"/>
      <c r="S792" s="1254"/>
      <c r="T792" s="1254"/>
      <c r="U792" s="1254"/>
      <c r="V792" s="1254"/>
      <c r="W792" s="1254"/>
      <c r="X792" s="1254"/>
      <c r="Y792" s="1254"/>
      <c r="Z792" s="1254"/>
    </row>
    <row r="793">
      <c r="A793" s="1254"/>
      <c r="B793" s="1263"/>
      <c r="C793" s="1317"/>
      <c r="D793" s="1263"/>
      <c r="E793" s="1318"/>
      <c r="F793" s="1254"/>
      <c r="G793" s="1319"/>
      <c r="H793" s="1254"/>
      <c r="I793" s="1254"/>
      <c r="J793" s="1254"/>
      <c r="K793" s="1320"/>
      <c r="L793" s="1254"/>
      <c r="M793" s="1254"/>
      <c r="N793" s="1254"/>
      <c r="O793" s="1254"/>
      <c r="P793" s="1254"/>
      <c r="Q793" s="1254"/>
      <c r="R793" s="1254"/>
      <c r="S793" s="1254"/>
      <c r="T793" s="1254"/>
      <c r="U793" s="1254"/>
      <c r="V793" s="1254"/>
      <c r="W793" s="1254"/>
      <c r="X793" s="1254"/>
      <c r="Y793" s="1254"/>
      <c r="Z793" s="1254"/>
    </row>
    <row r="794">
      <c r="A794" s="1254"/>
      <c r="B794" s="1263"/>
      <c r="C794" s="1317"/>
      <c r="D794" s="1263"/>
      <c r="E794" s="1318"/>
      <c r="F794" s="1254"/>
      <c r="G794" s="1319"/>
      <c r="H794" s="1254"/>
      <c r="I794" s="1254"/>
      <c r="J794" s="1254"/>
      <c r="K794" s="1320"/>
      <c r="L794" s="1254"/>
      <c r="M794" s="1254"/>
      <c r="N794" s="1254"/>
      <c r="O794" s="1254"/>
      <c r="P794" s="1254"/>
      <c r="Q794" s="1254"/>
      <c r="R794" s="1254"/>
      <c r="S794" s="1254"/>
      <c r="T794" s="1254"/>
      <c r="U794" s="1254"/>
      <c r="V794" s="1254"/>
      <c r="W794" s="1254"/>
      <c r="X794" s="1254"/>
      <c r="Y794" s="1254"/>
      <c r="Z794" s="1254"/>
    </row>
    <row r="795">
      <c r="A795" s="1254"/>
      <c r="B795" s="1263"/>
      <c r="C795" s="1317"/>
      <c r="D795" s="1263"/>
      <c r="E795" s="1318"/>
      <c r="F795" s="1254"/>
      <c r="G795" s="1319"/>
      <c r="H795" s="1254"/>
      <c r="I795" s="1254"/>
      <c r="J795" s="1254"/>
      <c r="K795" s="1320"/>
      <c r="L795" s="1254"/>
      <c r="M795" s="1254"/>
      <c r="N795" s="1254"/>
      <c r="O795" s="1254"/>
      <c r="P795" s="1254"/>
      <c r="Q795" s="1254"/>
      <c r="R795" s="1254"/>
      <c r="S795" s="1254"/>
      <c r="T795" s="1254"/>
      <c r="U795" s="1254"/>
      <c r="V795" s="1254"/>
      <c r="W795" s="1254"/>
      <c r="X795" s="1254"/>
      <c r="Y795" s="1254"/>
      <c r="Z795" s="1254"/>
    </row>
    <row r="796">
      <c r="A796" s="1254"/>
      <c r="B796" s="1263"/>
      <c r="C796" s="1317"/>
      <c r="D796" s="1263"/>
      <c r="E796" s="1318"/>
      <c r="F796" s="1254"/>
      <c r="G796" s="1319"/>
      <c r="H796" s="1254"/>
      <c r="I796" s="1254"/>
      <c r="J796" s="1254"/>
      <c r="K796" s="1320"/>
      <c r="L796" s="1254"/>
      <c r="M796" s="1254"/>
      <c r="N796" s="1254"/>
      <c r="O796" s="1254"/>
      <c r="P796" s="1254"/>
      <c r="Q796" s="1254"/>
      <c r="R796" s="1254"/>
      <c r="S796" s="1254"/>
      <c r="T796" s="1254"/>
      <c r="U796" s="1254"/>
      <c r="V796" s="1254"/>
      <c r="W796" s="1254"/>
      <c r="X796" s="1254"/>
      <c r="Y796" s="1254"/>
      <c r="Z796" s="1254"/>
    </row>
    <row r="797">
      <c r="A797" s="1254"/>
      <c r="B797" s="1263"/>
      <c r="C797" s="1317"/>
      <c r="D797" s="1263"/>
      <c r="E797" s="1318"/>
      <c r="F797" s="1254"/>
      <c r="G797" s="1319"/>
      <c r="H797" s="1254"/>
      <c r="I797" s="1254"/>
      <c r="J797" s="1254"/>
      <c r="K797" s="1320"/>
      <c r="L797" s="1254"/>
      <c r="M797" s="1254"/>
      <c r="N797" s="1254"/>
      <c r="O797" s="1254"/>
      <c r="P797" s="1254"/>
      <c r="Q797" s="1254"/>
      <c r="R797" s="1254"/>
      <c r="S797" s="1254"/>
      <c r="T797" s="1254"/>
      <c r="U797" s="1254"/>
      <c r="V797" s="1254"/>
      <c r="W797" s="1254"/>
      <c r="X797" s="1254"/>
      <c r="Y797" s="1254"/>
      <c r="Z797" s="1254"/>
    </row>
    <row r="798">
      <c r="A798" s="1254"/>
      <c r="B798" s="1263"/>
      <c r="C798" s="1317"/>
      <c r="D798" s="1263"/>
      <c r="E798" s="1318"/>
      <c r="F798" s="1254"/>
      <c r="G798" s="1319"/>
      <c r="H798" s="1254"/>
      <c r="I798" s="1254"/>
      <c r="J798" s="1254"/>
      <c r="K798" s="1320"/>
      <c r="L798" s="1254"/>
      <c r="M798" s="1254"/>
      <c r="N798" s="1254"/>
      <c r="O798" s="1254"/>
      <c r="P798" s="1254"/>
      <c r="Q798" s="1254"/>
      <c r="R798" s="1254"/>
      <c r="S798" s="1254"/>
      <c r="T798" s="1254"/>
      <c r="U798" s="1254"/>
      <c r="V798" s="1254"/>
      <c r="W798" s="1254"/>
      <c r="X798" s="1254"/>
      <c r="Y798" s="1254"/>
      <c r="Z798" s="1254"/>
    </row>
    <row r="799">
      <c r="A799" s="1254"/>
      <c r="B799" s="1263"/>
      <c r="C799" s="1317"/>
      <c r="D799" s="1263"/>
      <c r="E799" s="1318"/>
      <c r="F799" s="1254"/>
      <c r="G799" s="1319"/>
      <c r="H799" s="1254"/>
      <c r="I799" s="1254"/>
      <c r="J799" s="1254"/>
      <c r="K799" s="1320"/>
      <c r="L799" s="1254"/>
      <c r="M799" s="1254"/>
      <c r="N799" s="1254"/>
      <c r="O799" s="1254"/>
      <c r="P799" s="1254"/>
      <c r="Q799" s="1254"/>
      <c r="R799" s="1254"/>
      <c r="S799" s="1254"/>
      <c r="T799" s="1254"/>
      <c r="U799" s="1254"/>
      <c r="V799" s="1254"/>
      <c r="W799" s="1254"/>
      <c r="X799" s="1254"/>
      <c r="Y799" s="1254"/>
      <c r="Z799" s="1254"/>
    </row>
    <row r="800">
      <c r="A800" s="1254"/>
      <c r="B800" s="1263"/>
      <c r="C800" s="1317"/>
      <c r="D800" s="1263"/>
      <c r="E800" s="1318"/>
      <c r="F800" s="1254"/>
      <c r="G800" s="1319"/>
      <c r="H800" s="1254"/>
      <c r="I800" s="1254"/>
      <c r="J800" s="1254"/>
      <c r="K800" s="1320"/>
      <c r="L800" s="1254"/>
      <c r="M800" s="1254"/>
      <c r="N800" s="1254"/>
      <c r="O800" s="1254"/>
      <c r="P800" s="1254"/>
      <c r="Q800" s="1254"/>
      <c r="R800" s="1254"/>
      <c r="S800" s="1254"/>
      <c r="T800" s="1254"/>
      <c r="U800" s="1254"/>
      <c r="V800" s="1254"/>
      <c r="W800" s="1254"/>
      <c r="X800" s="1254"/>
      <c r="Y800" s="1254"/>
      <c r="Z800" s="1254"/>
    </row>
    <row r="801">
      <c r="A801" s="1254"/>
      <c r="B801" s="1263"/>
      <c r="C801" s="1317"/>
      <c r="D801" s="1263"/>
      <c r="E801" s="1318"/>
      <c r="F801" s="1254"/>
      <c r="G801" s="1319"/>
      <c r="H801" s="1254"/>
      <c r="I801" s="1254"/>
      <c r="J801" s="1254"/>
      <c r="K801" s="1320"/>
      <c r="L801" s="1254"/>
      <c r="M801" s="1254"/>
      <c r="N801" s="1254"/>
      <c r="O801" s="1254"/>
      <c r="P801" s="1254"/>
      <c r="Q801" s="1254"/>
      <c r="R801" s="1254"/>
      <c r="S801" s="1254"/>
      <c r="T801" s="1254"/>
      <c r="U801" s="1254"/>
      <c r="V801" s="1254"/>
      <c r="W801" s="1254"/>
      <c r="X801" s="1254"/>
      <c r="Y801" s="1254"/>
      <c r="Z801" s="1254"/>
    </row>
    <row r="802">
      <c r="A802" s="1254"/>
      <c r="B802" s="1263"/>
      <c r="C802" s="1317"/>
      <c r="D802" s="1263"/>
      <c r="E802" s="1318"/>
      <c r="F802" s="1254"/>
      <c r="G802" s="1319"/>
      <c r="H802" s="1254"/>
      <c r="I802" s="1254"/>
      <c r="J802" s="1254"/>
      <c r="K802" s="1320"/>
      <c r="L802" s="1254"/>
      <c r="M802" s="1254"/>
      <c r="N802" s="1254"/>
      <c r="O802" s="1254"/>
      <c r="P802" s="1254"/>
      <c r="Q802" s="1254"/>
      <c r="R802" s="1254"/>
      <c r="S802" s="1254"/>
      <c r="T802" s="1254"/>
      <c r="U802" s="1254"/>
      <c r="V802" s="1254"/>
      <c r="W802" s="1254"/>
      <c r="X802" s="1254"/>
      <c r="Y802" s="1254"/>
      <c r="Z802" s="1254"/>
    </row>
    <row r="803">
      <c r="A803" s="1254"/>
      <c r="B803" s="1263"/>
      <c r="C803" s="1317"/>
      <c r="D803" s="1263"/>
      <c r="E803" s="1318"/>
      <c r="F803" s="1254"/>
      <c r="G803" s="1319"/>
      <c r="H803" s="1254"/>
      <c r="I803" s="1254"/>
      <c r="J803" s="1254"/>
      <c r="K803" s="1320"/>
      <c r="L803" s="1254"/>
      <c r="M803" s="1254"/>
      <c r="N803" s="1254"/>
      <c r="O803" s="1254"/>
      <c r="P803" s="1254"/>
      <c r="Q803" s="1254"/>
      <c r="R803" s="1254"/>
      <c r="S803" s="1254"/>
      <c r="T803" s="1254"/>
      <c r="U803" s="1254"/>
      <c r="V803" s="1254"/>
      <c r="W803" s="1254"/>
      <c r="X803" s="1254"/>
      <c r="Y803" s="1254"/>
      <c r="Z803" s="1254"/>
    </row>
    <row r="804">
      <c r="A804" s="1254"/>
      <c r="B804" s="1263"/>
      <c r="C804" s="1317"/>
      <c r="D804" s="1263"/>
      <c r="E804" s="1318"/>
      <c r="F804" s="1254"/>
      <c r="G804" s="1319"/>
      <c r="H804" s="1254"/>
      <c r="I804" s="1254"/>
      <c r="J804" s="1254"/>
      <c r="K804" s="1320"/>
      <c r="L804" s="1254"/>
      <c r="M804" s="1254"/>
      <c r="N804" s="1254"/>
      <c r="O804" s="1254"/>
      <c r="P804" s="1254"/>
      <c r="Q804" s="1254"/>
      <c r="R804" s="1254"/>
      <c r="S804" s="1254"/>
      <c r="T804" s="1254"/>
      <c r="U804" s="1254"/>
      <c r="V804" s="1254"/>
      <c r="W804" s="1254"/>
      <c r="X804" s="1254"/>
      <c r="Y804" s="1254"/>
      <c r="Z804" s="1254"/>
    </row>
    <row r="805">
      <c r="A805" s="1254"/>
      <c r="B805" s="1263"/>
      <c r="C805" s="1317"/>
      <c r="D805" s="1263"/>
      <c r="E805" s="1318"/>
      <c r="F805" s="1254"/>
      <c r="G805" s="1319"/>
      <c r="H805" s="1254"/>
      <c r="I805" s="1254"/>
      <c r="J805" s="1254"/>
      <c r="K805" s="1320"/>
      <c r="L805" s="1254"/>
      <c r="M805" s="1254"/>
      <c r="N805" s="1254"/>
      <c r="O805" s="1254"/>
      <c r="P805" s="1254"/>
      <c r="Q805" s="1254"/>
      <c r="R805" s="1254"/>
      <c r="S805" s="1254"/>
      <c r="T805" s="1254"/>
      <c r="U805" s="1254"/>
      <c r="V805" s="1254"/>
      <c r="W805" s="1254"/>
      <c r="X805" s="1254"/>
      <c r="Y805" s="1254"/>
      <c r="Z805" s="1254"/>
    </row>
    <row r="806">
      <c r="A806" s="1254"/>
      <c r="B806" s="1263"/>
      <c r="C806" s="1317"/>
      <c r="D806" s="1263"/>
      <c r="E806" s="1318"/>
      <c r="F806" s="1254"/>
      <c r="G806" s="1319"/>
      <c r="H806" s="1254"/>
      <c r="I806" s="1254"/>
      <c r="J806" s="1254"/>
      <c r="K806" s="1320"/>
      <c r="L806" s="1254"/>
      <c r="M806" s="1254"/>
      <c r="N806" s="1254"/>
      <c r="O806" s="1254"/>
      <c r="P806" s="1254"/>
      <c r="Q806" s="1254"/>
      <c r="R806" s="1254"/>
      <c r="S806" s="1254"/>
      <c r="T806" s="1254"/>
      <c r="U806" s="1254"/>
      <c r="V806" s="1254"/>
      <c r="W806" s="1254"/>
      <c r="X806" s="1254"/>
      <c r="Y806" s="1254"/>
      <c r="Z806" s="1254"/>
    </row>
    <row r="807">
      <c r="A807" s="1254"/>
      <c r="B807" s="1263"/>
      <c r="C807" s="1317"/>
      <c r="D807" s="1263"/>
      <c r="E807" s="1318"/>
      <c r="F807" s="1254"/>
      <c r="G807" s="1319"/>
      <c r="H807" s="1254"/>
      <c r="I807" s="1254"/>
      <c r="J807" s="1254"/>
      <c r="K807" s="1320"/>
      <c r="L807" s="1254"/>
      <c r="M807" s="1254"/>
      <c r="N807" s="1254"/>
      <c r="O807" s="1254"/>
      <c r="P807" s="1254"/>
      <c r="Q807" s="1254"/>
      <c r="R807" s="1254"/>
      <c r="S807" s="1254"/>
      <c r="T807" s="1254"/>
      <c r="U807" s="1254"/>
      <c r="V807" s="1254"/>
      <c r="W807" s="1254"/>
      <c r="X807" s="1254"/>
      <c r="Y807" s="1254"/>
      <c r="Z807" s="1254"/>
    </row>
    <row r="808">
      <c r="A808" s="1254"/>
      <c r="B808" s="1263"/>
      <c r="C808" s="1317"/>
      <c r="D808" s="1263"/>
      <c r="E808" s="1318"/>
      <c r="F808" s="1254"/>
      <c r="G808" s="1319"/>
      <c r="H808" s="1254"/>
      <c r="I808" s="1254"/>
      <c r="J808" s="1254"/>
      <c r="K808" s="1320"/>
      <c r="L808" s="1254"/>
      <c r="M808" s="1254"/>
      <c r="N808" s="1254"/>
      <c r="O808" s="1254"/>
      <c r="P808" s="1254"/>
      <c r="Q808" s="1254"/>
      <c r="R808" s="1254"/>
      <c r="S808" s="1254"/>
      <c r="T808" s="1254"/>
      <c r="U808" s="1254"/>
      <c r="V808" s="1254"/>
      <c r="W808" s="1254"/>
      <c r="X808" s="1254"/>
      <c r="Y808" s="1254"/>
      <c r="Z808" s="1254"/>
    </row>
    <row r="809">
      <c r="A809" s="1254"/>
      <c r="B809" s="1263"/>
      <c r="C809" s="1317"/>
      <c r="D809" s="1263"/>
      <c r="E809" s="1318"/>
      <c r="F809" s="1254"/>
      <c r="G809" s="1319"/>
      <c r="H809" s="1254"/>
      <c r="I809" s="1254"/>
      <c r="J809" s="1254"/>
      <c r="K809" s="1320"/>
      <c r="L809" s="1254"/>
      <c r="M809" s="1254"/>
      <c r="N809" s="1254"/>
      <c r="O809" s="1254"/>
      <c r="P809" s="1254"/>
      <c r="Q809" s="1254"/>
      <c r="R809" s="1254"/>
      <c r="S809" s="1254"/>
      <c r="T809" s="1254"/>
      <c r="U809" s="1254"/>
      <c r="V809" s="1254"/>
      <c r="W809" s="1254"/>
      <c r="X809" s="1254"/>
      <c r="Y809" s="1254"/>
      <c r="Z809" s="1254"/>
    </row>
    <row r="810">
      <c r="A810" s="1254"/>
      <c r="B810" s="1263"/>
      <c r="C810" s="1317"/>
      <c r="D810" s="1263"/>
      <c r="E810" s="1318"/>
      <c r="F810" s="1254"/>
      <c r="G810" s="1319"/>
      <c r="H810" s="1254"/>
      <c r="I810" s="1254"/>
      <c r="J810" s="1254"/>
      <c r="K810" s="1320"/>
      <c r="L810" s="1254"/>
      <c r="M810" s="1254"/>
      <c r="N810" s="1254"/>
      <c r="O810" s="1254"/>
      <c r="P810" s="1254"/>
      <c r="Q810" s="1254"/>
      <c r="R810" s="1254"/>
      <c r="S810" s="1254"/>
      <c r="T810" s="1254"/>
      <c r="U810" s="1254"/>
      <c r="V810" s="1254"/>
      <c r="W810" s="1254"/>
      <c r="X810" s="1254"/>
      <c r="Y810" s="1254"/>
      <c r="Z810" s="1254"/>
    </row>
    <row r="811">
      <c r="A811" s="1254"/>
      <c r="B811" s="1263"/>
      <c r="C811" s="1317"/>
      <c r="D811" s="1263"/>
      <c r="E811" s="1318"/>
      <c r="F811" s="1254"/>
      <c r="G811" s="1319"/>
      <c r="H811" s="1254"/>
      <c r="I811" s="1254"/>
      <c r="J811" s="1254"/>
      <c r="K811" s="1320"/>
      <c r="L811" s="1254"/>
      <c r="M811" s="1254"/>
      <c r="N811" s="1254"/>
      <c r="O811" s="1254"/>
      <c r="P811" s="1254"/>
      <c r="Q811" s="1254"/>
      <c r="R811" s="1254"/>
      <c r="S811" s="1254"/>
      <c r="T811" s="1254"/>
      <c r="U811" s="1254"/>
      <c r="V811" s="1254"/>
      <c r="W811" s="1254"/>
      <c r="X811" s="1254"/>
      <c r="Y811" s="1254"/>
      <c r="Z811" s="1254"/>
    </row>
    <row r="812">
      <c r="A812" s="1254"/>
      <c r="B812" s="1263"/>
      <c r="C812" s="1317"/>
      <c r="D812" s="1263"/>
      <c r="E812" s="1318"/>
      <c r="F812" s="1254"/>
      <c r="G812" s="1319"/>
      <c r="H812" s="1254"/>
      <c r="I812" s="1254"/>
      <c r="J812" s="1254"/>
      <c r="K812" s="1320"/>
      <c r="L812" s="1254"/>
      <c r="M812" s="1254"/>
      <c r="N812" s="1254"/>
      <c r="O812" s="1254"/>
      <c r="P812" s="1254"/>
      <c r="Q812" s="1254"/>
      <c r="R812" s="1254"/>
      <c r="S812" s="1254"/>
      <c r="T812" s="1254"/>
      <c r="U812" s="1254"/>
      <c r="V812" s="1254"/>
      <c r="W812" s="1254"/>
      <c r="X812" s="1254"/>
      <c r="Y812" s="1254"/>
      <c r="Z812" s="1254"/>
    </row>
    <row r="813">
      <c r="A813" s="1254"/>
      <c r="B813" s="1263"/>
      <c r="C813" s="1317"/>
      <c r="D813" s="1263"/>
      <c r="E813" s="1318"/>
      <c r="F813" s="1254"/>
      <c r="G813" s="1319"/>
      <c r="H813" s="1254"/>
      <c r="I813" s="1254"/>
      <c r="J813" s="1254"/>
      <c r="K813" s="1320"/>
      <c r="L813" s="1254"/>
      <c r="M813" s="1254"/>
      <c r="N813" s="1254"/>
      <c r="O813" s="1254"/>
      <c r="P813" s="1254"/>
      <c r="Q813" s="1254"/>
      <c r="R813" s="1254"/>
      <c r="S813" s="1254"/>
      <c r="T813" s="1254"/>
      <c r="U813" s="1254"/>
      <c r="V813" s="1254"/>
      <c r="W813" s="1254"/>
      <c r="X813" s="1254"/>
      <c r="Y813" s="1254"/>
      <c r="Z813" s="1254"/>
    </row>
    <row r="814">
      <c r="A814" s="1254"/>
      <c r="B814" s="1263"/>
      <c r="C814" s="1317"/>
      <c r="D814" s="1263"/>
      <c r="E814" s="1318"/>
      <c r="F814" s="1254"/>
      <c r="G814" s="1319"/>
      <c r="H814" s="1254"/>
      <c r="I814" s="1254"/>
      <c r="J814" s="1254"/>
      <c r="K814" s="1320"/>
      <c r="L814" s="1254"/>
      <c r="M814" s="1254"/>
      <c r="N814" s="1254"/>
      <c r="O814" s="1254"/>
      <c r="P814" s="1254"/>
      <c r="Q814" s="1254"/>
      <c r="R814" s="1254"/>
      <c r="S814" s="1254"/>
      <c r="T814" s="1254"/>
      <c r="U814" s="1254"/>
      <c r="V814" s="1254"/>
      <c r="W814" s="1254"/>
      <c r="X814" s="1254"/>
      <c r="Y814" s="1254"/>
      <c r="Z814" s="1254"/>
    </row>
    <row r="815">
      <c r="A815" s="1254"/>
      <c r="B815" s="1263"/>
      <c r="C815" s="1317"/>
      <c r="D815" s="1263"/>
      <c r="E815" s="1318"/>
      <c r="F815" s="1254"/>
      <c r="G815" s="1319"/>
      <c r="H815" s="1254"/>
      <c r="I815" s="1254"/>
      <c r="J815" s="1254"/>
      <c r="K815" s="1320"/>
      <c r="L815" s="1254"/>
      <c r="M815" s="1254"/>
      <c r="N815" s="1254"/>
      <c r="O815" s="1254"/>
      <c r="P815" s="1254"/>
      <c r="Q815" s="1254"/>
      <c r="R815" s="1254"/>
      <c r="S815" s="1254"/>
      <c r="T815" s="1254"/>
      <c r="U815" s="1254"/>
      <c r="V815" s="1254"/>
      <c r="W815" s="1254"/>
      <c r="X815" s="1254"/>
      <c r="Y815" s="1254"/>
      <c r="Z815" s="1254"/>
    </row>
    <row r="816">
      <c r="A816" s="1254"/>
      <c r="B816" s="1263"/>
      <c r="C816" s="1317"/>
      <c r="D816" s="1263"/>
      <c r="E816" s="1318"/>
      <c r="F816" s="1254"/>
      <c r="G816" s="1319"/>
      <c r="H816" s="1254"/>
      <c r="I816" s="1254"/>
      <c r="J816" s="1254"/>
      <c r="K816" s="1320"/>
      <c r="L816" s="1254"/>
      <c r="M816" s="1254"/>
      <c r="N816" s="1254"/>
      <c r="O816" s="1254"/>
      <c r="P816" s="1254"/>
      <c r="Q816" s="1254"/>
      <c r="R816" s="1254"/>
      <c r="S816" s="1254"/>
      <c r="T816" s="1254"/>
      <c r="U816" s="1254"/>
      <c r="V816" s="1254"/>
      <c r="W816" s="1254"/>
      <c r="X816" s="1254"/>
      <c r="Y816" s="1254"/>
      <c r="Z816" s="1254"/>
    </row>
    <row r="817">
      <c r="A817" s="1254"/>
      <c r="B817" s="1263"/>
      <c r="C817" s="1317"/>
      <c r="D817" s="1263"/>
      <c r="E817" s="1318"/>
      <c r="F817" s="1254"/>
      <c r="G817" s="1319"/>
      <c r="H817" s="1254"/>
      <c r="I817" s="1254"/>
      <c r="J817" s="1254"/>
      <c r="K817" s="1320"/>
      <c r="L817" s="1254"/>
      <c r="M817" s="1254"/>
      <c r="N817" s="1254"/>
      <c r="O817" s="1254"/>
      <c r="P817" s="1254"/>
      <c r="Q817" s="1254"/>
      <c r="R817" s="1254"/>
      <c r="S817" s="1254"/>
      <c r="T817" s="1254"/>
      <c r="U817" s="1254"/>
      <c r="V817" s="1254"/>
      <c r="W817" s="1254"/>
      <c r="X817" s="1254"/>
      <c r="Y817" s="1254"/>
      <c r="Z817" s="1254"/>
    </row>
    <row r="818">
      <c r="A818" s="1254"/>
      <c r="B818" s="1263"/>
      <c r="C818" s="1317"/>
      <c r="D818" s="1263"/>
      <c r="E818" s="1318"/>
      <c r="F818" s="1254"/>
      <c r="G818" s="1319"/>
      <c r="H818" s="1254"/>
      <c r="I818" s="1254"/>
      <c r="J818" s="1254"/>
      <c r="K818" s="1320"/>
      <c r="L818" s="1254"/>
      <c r="M818" s="1254"/>
      <c r="N818" s="1254"/>
      <c r="O818" s="1254"/>
      <c r="P818" s="1254"/>
      <c r="Q818" s="1254"/>
      <c r="R818" s="1254"/>
      <c r="S818" s="1254"/>
      <c r="T818" s="1254"/>
      <c r="U818" s="1254"/>
      <c r="V818" s="1254"/>
      <c r="W818" s="1254"/>
      <c r="X818" s="1254"/>
      <c r="Y818" s="1254"/>
      <c r="Z818" s="1254"/>
    </row>
    <row r="819">
      <c r="A819" s="1254"/>
      <c r="B819" s="1263"/>
      <c r="C819" s="1317"/>
      <c r="D819" s="1263"/>
      <c r="E819" s="1318"/>
      <c r="F819" s="1254"/>
      <c r="G819" s="1319"/>
      <c r="H819" s="1254"/>
      <c r="I819" s="1254"/>
      <c r="J819" s="1254"/>
      <c r="K819" s="1320"/>
      <c r="L819" s="1254"/>
      <c r="M819" s="1254"/>
      <c r="N819" s="1254"/>
      <c r="O819" s="1254"/>
      <c r="P819" s="1254"/>
      <c r="Q819" s="1254"/>
      <c r="R819" s="1254"/>
      <c r="S819" s="1254"/>
      <c r="T819" s="1254"/>
      <c r="U819" s="1254"/>
      <c r="V819" s="1254"/>
      <c r="W819" s="1254"/>
      <c r="X819" s="1254"/>
      <c r="Y819" s="1254"/>
      <c r="Z819" s="1254"/>
    </row>
    <row r="820">
      <c r="A820" s="1254"/>
      <c r="B820" s="1263"/>
      <c r="C820" s="1317"/>
      <c r="D820" s="1263"/>
      <c r="E820" s="1318"/>
      <c r="F820" s="1254"/>
      <c r="G820" s="1319"/>
      <c r="H820" s="1254"/>
      <c r="I820" s="1254"/>
      <c r="J820" s="1254"/>
      <c r="K820" s="1320"/>
      <c r="L820" s="1254"/>
      <c r="M820" s="1254"/>
      <c r="N820" s="1254"/>
      <c r="O820" s="1254"/>
      <c r="P820" s="1254"/>
      <c r="Q820" s="1254"/>
      <c r="R820" s="1254"/>
      <c r="S820" s="1254"/>
      <c r="T820" s="1254"/>
      <c r="U820" s="1254"/>
      <c r="V820" s="1254"/>
      <c r="W820" s="1254"/>
      <c r="X820" s="1254"/>
      <c r="Y820" s="1254"/>
      <c r="Z820" s="1254"/>
    </row>
    <row r="821">
      <c r="A821" s="1254"/>
      <c r="B821" s="1263"/>
      <c r="C821" s="1317"/>
      <c r="D821" s="1263"/>
      <c r="E821" s="1318"/>
      <c r="F821" s="1254"/>
      <c r="G821" s="1319"/>
      <c r="H821" s="1254"/>
      <c r="I821" s="1254"/>
      <c r="J821" s="1254"/>
      <c r="K821" s="1320"/>
      <c r="L821" s="1254"/>
      <c r="M821" s="1254"/>
      <c r="N821" s="1254"/>
      <c r="O821" s="1254"/>
      <c r="P821" s="1254"/>
      <c r="Q821" s="1254"/>
      <c r="R821" s="1254"/>
      <c r="S821" s="1254"/>
      <c r="T821" s="1254"/>
      <c r="U821" s="1254"/>
      <c r="V821" s="1254"/>
      <c r="W821" s="1254"/>
      <c r="X821" s="1254"/>
      <c r="Y821" s="1254"/>
      <c r="Z821" s="1254"/>
    </row>
    <row r="822">
      <c r="A822" s="1254"/>
      <c r="B822" s="1263"/>
      <c r="C822" s="1317"/>
      <c r="D822" s="1263"/>
      <c r="E822" s="1318"/>
      <c r="F822" s="1254"/>
      <c r="G822" s="1319"/>
      <c r="H822" s="1254"/>
      <c r="I822" s="1254"/>
      <c r="J822" s="1254"/>
      <c r="K822" s="1320"/>
      <c r="L822" s="1254"/>
      <c r="M822" s="1254"/>
      <c r="N822" s="1254"/>
      <c r="O822" s="1254"/>
      <c r="P822" s="1254"/>
      <c r="Q822" s="1254"/>
      <c r="R822" s="1254"/>
      <c r="S822" s="1254"/>
      <c r="T822" s="1254"/>
      <c r="U822" s="1254"/>
      <c r="V822" s="1254"/>
      <c r="W822" s="1254"/>
      <c r="X822" s="1254"/>
      <c r="Y822" s="1254"/>
      <c r="Z822" s="1254"/>
    </row>
    <row r="823">
      <c r="A823" s="1254"/>
      <c r="B823" s="1263"/>
      <c r="C823" s="1317"/>
      <c r="D823" s="1263"/>
      <c r="E823" s="1318"/>
      <c r="F823" s="1254"/>
      <c r="G823" s="1319"/>
      <c r="H823" s="1254"/>
      <c r="I823" s="1254"/>
      <c r="J823" s="1254"/>
      <c r="K823" s="1320"/>
      <c r="L823" s="1254"/>
      <c r="M823" s="1254"/>
      <c r="N823" s="1254"/>
      <c r="O823" s="1254"/>
      <c r="P823" s="1254"/>
      <c r="Q823" s="1254"/>
      <c r="R823" s="1254"/>
      <c r="S823" s="1254"/>
      <c r="T823" s="1254"/>
      <c r="U823" s="1254"/>
      <c r="V823" s="1254"/>
      <c r="W823" s="1254"/>
      <c r="X823" s="1254"/>
      <c r="Y823" s="1254"/>
      <c r="Z823" s="1254"/>
    </row>
    <row r="824">
      <c r="A824" s="1254"/>
      <c r="B824" s="1263"/>
      <c r="C824" s="1317"/>
      <c r="D824" s="1263"/>
      <c r="E824" s="1318"/>
      <c r="F824" s="1254"/>
      <c r="G824" s="1319"/>
      <c r="H824" s="1254"/>
      <c r="I824" s="1254"/>
      <c r="J824" s="1254"/>
      <c r="K824" s="1320"/>
      <c r="L824" s="1254"/>
      <c r="M824" s="1254"/>
      <c r="N824" s="1254"/>
      <c r="O824" s="1254"/>
      <c r="P824" s="1254"/>
      <c r="Q824" s="1254"/>
      <c r="R824" s="1254"/>
      <c r="S824" s="1254"/>
      <c r="T824" s="1254"/>
      <c r="U824" s="1254"/>
      <c r="V824" s="1254"/>
      <c r="W824" s="1254"/>
      <c r="X824" s="1254"/>
      <c r="Y824" s="1254"/>
      <c r="Z824" s="1254"/>
    </row>
    <row r="825">
      <c r="A825" s="1254"/>
      <c r="B825" s="1263"/>
      <c r="C825" s="1317"/>
      <c r="D825" s="1263"/>
      <c r="E825" s="1318"/>
      <c r="F825" s="1254"/>
      <c r="G825" s="1319"/>
      <c r="H825" s="1254"/>
      <c r="I825" s="1254"/>
      <c r="J825" s="1254"/>
      <c r="K825" s="1320"/>
      <c r="L825" s="1254"/>
      <c r="M825" s="1254"/>
      <c r="N825" s="1254"/>
      <c r="O825" s="1254"/>
      <c r="P825" s="1254"/>
      <c r="Q825" s="1254"/>
      <c r="R825" s="1254"/>
      <c r="S825" s="1254"/>
      <c r="T825" s="1254"/>
      <c r="U825" s="1254"/>
      <c r="V825" s="1254"/>
      <c r="W825" s="1254"/>
      <c r="X825" s="1254"/>
      <c r="Y825" s="1254"/>
      <c r="Z825" s="1254"/>
    </row>
    <row r="826">
      <c r="A826" s="1254"/>
      <c r="B826" s="1263"/>
      <c r="C826" s="1317"/>
      <c r="D826" s="1263"/>
      <c r="E826" s="1318"/>
      <c r="F826" s="1254"/>
      <c r="G826" s="1319"/>
      <c r="H826" s="1254"/>
      <c r="I826" s="1254"/>
      <c r="J826" s="1254"/>
      <c r="K826" s="1320"/>
      <c r="L826" s="1254"/>
      <c r="M826" s="1254"/>
      <c r="N826" s="1254"/>
      <c r="O826" s="1254"/>
      <c r="P826" s="1254"/>
      <c r="Q826" s="1254"/>
      <c r="R826" s="1254"/>
      <c r="S826" s="1254"/>
      <c r="T826" s="1254"/>
      <c r="U826" s="1254"/>
      <c r="V826" s="1254"/>
      <c r="W826" s="1254"/>
      <c r="X826" s="1254"/>
      <c r="Y826" s="1254"/>
      <c r="Z826" s="1254"/>
    </row>
    <row r="827">
      <c r="A827" s="1254"/>
      <c r="B827" s="1263"/>
      <c r="C827" s="1317"/>
      <c r="D827" s="1263"/>
      <c r="E827" s="1318"/>
      <c r="F827" s="1254"/>
      <c r="G827" s="1319"/>
      <c r="H827" s="1254"/>
      <c r="I827" s="1254"/>
      <c r="J827" s="1254"/>
      <c r="K827" s="1320"/>
      <c r="L827" s="1254"/>
      <c r="M827" s="1254"/>
      <c r="N827" s="1254"/>
      <c r="O827" s="1254"/>
      <c r="P827" s="1254"/>
      <c r="Q827" s="1254"/>
      <c r="R827" s="1254"/>
      <c r="S827" s="1254"/>
      <c r="T827" s="1254"/>
      <c r="U827" s="1254"/>
      <c r="V827" s="1254"/>
      <c r="W827" s="1254"/>
      <c r="X827" s="1254"/>
      <c r="Y827" s="1254"/>
      <c r="Z827" s="1254"/>
    </row>
    <row r="828">
      <c r="A828" s="1254"/>
      <c r="B828" s="1263"/>
      <c r="C828" s="1317"/>
      <c r="D828" s="1263"/>
      <c r="E828" s="1318"/>
      <c r="F828" s="1254"/>
      <c r="G828" s="1319"/>
      <c r="H828" s="1254"/>
      <c r="I828" s="1254"/>
      <c r="J828" s="1254"/>
      <c r="K828" s="1320"/>
      <c r="L828" s="1254"/>
      <c r="M828" s="1254"/>
      <c r="N828" s="1254"/>
      <c r="O828" s="1254"/>
      <c r="P828" s="1254"/>
      <c r="Q828" s="1254"/>
      <c r="R828" s="1254"/>
      <c r="S828" s="1254"/>
      <c r="T828" s="1254"/>
      <c r="U828" s="1254"/>
      <c r="V828" s="1254"/>
      <c r="W828" s="1254"/>
      <c r="X828" s="1254"/>
      <c r="Y828" s="1254"/>
      <c r="Z828" s="1254"/>
    </row>
    <row r="829">
      <c r="A829" s="1254"/>
      <c r="B829" s="1263"/>
      <c r="C829" s="1317"/>
      <c r="D829" s="1263"/>
      <c r="E829" s="1318"/>
      <c r="F829" s="1254"/>
      <c r="G829" s="1319"/>
      <c r="H829" s="1254"/>
      <c r="I829" s="1254"/>
      <c r="J829" s="1254"/>
      <c r="K829" s="1320"/>
      <c r="L829" s="1254"/>
      <c r="M829" s="1254"/>
      <c r="N829" s="1254"/>
      <c r="O829" s="1254"/>
      <c r="P829" s="1254"/>
      <c r="Q829" s="1254"/>
      <c r="R829" s="1254"/>
      <c r="S829" s="1254"/>
      <c r="T829" s="1254"/>
      <c r="U829" s="1254"/>
      <c r="V829" s="1254"/>
      <c r="W829" s="1254"/>
      <c r="X829" s="1254"/>
      <c r="Y829" s="1254"/>
      <c r="Z829" s="1254"/>
    </row>
    <row r="830">
      <c r="A830" s="1254"/>
      <c r="B830" s="1263"/>
      <c r="C830" s="1317"/>
      <c r="D830" s="1263"/>
      <c r="E830" s="1318"/>
      <c r="F830" s="1254"/>
      <c r="G830" s="1319"/>
      <c r="H830" s="1254"/>
      <c r="I830" s="1254"/>
      <c r="J830" s="1254"/>
      <c r="K830" s="1320"/>
      <c r="L830" s="1254"/>
      <c r="M830" s="1254"/>
      <c r="N830" s="1254"/>
      <c r="O830" s="1254"/>
      <c r="P830" s="1254"/>
      <c r="Q830" s="1254"/>
      <c r="R830" s="1254"/>
      <c r="S830" s="1254"/>
      <c r="T830" s="1254"/>
      <c r="U830" s="1254"/>
      <c r="V830" s="1254"/>
      <c r="W830" s="1254"/>
      <c r="X830" s="1254"/>
      <c r="Y830" s="1254"/>
      <c r="Z830" s="1254"/>
    </row>
    <row r="831">
      <c r="A831" s="1254"/>
      <c r="B831" s="1263"/>
      <c r="C831" s="1317"/>
      <c r="D831" s="1263"/>
      <c r="E831" s="1318"/>
      <c r="F831" s="1254"/>
      <c r="G831" s="1319"/>
      <c r="H831" s="1254"/>
      <c r="I831" s="1254"/>
      <c r="J831" s="1254"/>
      <c r="K831" s="1320"/>
      <c r="L831" s="1254"/>
      <c r="M831" s="1254"/>
      <c r="N831" s="1254"/>
      <c r="O831" s="1254"/>
      <c r="P831" s="1254"/>
      <c r="Q831" s="1254"/>
      <c r="R831" s="1254"/>
      <c r="S831" s="1254"/>
      <c r="T831" s="1254"/>
      <c r="U831" s="1254"/>
      <c r="V831" s="1254"/>
      <c r="W831" s="1254"/>
      <c r="X831" s="1254"/>
      <c r="Y831" s="1254"/>
      <c r="Z831" s="1254"/>
    </row>
    <row r="832">
      <c r="A832" s="1254"/>
      <c r="B832" s="1263"/>
      <c r="C832" s="1317"/>
      <c r="D832" s="1263"/>
      <c r="E832" s="1318"/>
      <c r="F832" s="1254"/>
      <c r="G832" s="1319"/>
      <c r="H832" s="1254"/>
      <c r="I832" s="1254"/>
      <c r="J832" s="1254"/>
      <c r="K832" s="1320"/>
      <c r="L832" s="1254"/>
      <c r="M832" s="1254"/>
      <c r="N832" s="1254"/>
      <c r="O832" s="1254"/>
      <c r="P832" s="1254"/>
      <c r="Q832" s="1254"/>
      <c r="R832" s="1254"/>
      <c r="S832" s="1254"/>
      <c r="T832" s="1254"/>
      <c r="U832" s="1254"/>
      <c r="V832" s="1254"/>
      <c r="W832" s="1254"/>
      <c r="X832" s="1254"/>
      <c r="Y832" s="1254"/>
      <c r="Z832" s="1254"/>
    </row>
    <row r="833">
      <c r="A833" s="1254"/>
      <c r="B833" s="1263"/>
      <c r="C833" s="1317"/>
      <c r="D833" s="1263"/>
      <c r="E833" s="1318"/>
      <c r="F833" s="1254"/>
      <c r="G833" s="1319"/>
      <c r="H833" s="1254"/>
      <c r="I833" s="1254"/>
      <c r="J833" s="1254"/>
      <c r="K833" s="1320"/>
      <c r="L833" s="1254"/>
      <c r="M833" s="1254"/>
      <c r="N833" s="1254"/>
      <c r="O833" s="1254"/>
      <c r="P833" s="1254"/>
      <c r="Q833" s="1254"/>
      <c r="R833" s="1254"/>
      <c r="S833" s="1254"/>
      <c r="T833" s="1254"/>
      <c r="U833" s="1254"/>
      <c r="V833" s="1254"/>
      <c r="W833" s="1254"/>
      <c r="X833" s="1254"/>
      <c r="Y833" s="1254"/>
      <c r="Z833" s="1254"/>
    </row>
    <row r="834">
      <c r="A834" s="1254"/>
      <c r="B834" s="1263"/>
      <c r="C834" s="1317"/>
      <c r="D834" s="1263"/>
      <c r="E834" s="1318"/>
      <c r="F834" s="1254"/>
      <c r="G834" s="1319"/>
      <c r="H834" s="1254"/>
      <c r="I834" s="1254"/>
      <c r="J834" s="1254"/>
      <c r="K834" s="1320"/>
      <c r="L834" s="1254"/>
      <c r="M834" s="1254"/>
      <c r="N834" s="1254"/>
      <c r="O834" s="1254"/>
      <c r="P834" s="1254"/>
      <c r="Q834" s="1254"/>
      <c r="R834" s="1254"/>
      <c r="S834" s="1254"/>
      <c r="T834" s="1254"/>
      <c r="U834" s="1254"/>
      <c r="V834" s="1254"/>
      <c r="W834" s="1254"/>
      <c r="X834" s="1254"/>
      <c r="Y834" s="1254"/>
      <c r="Z834" s="1254"/>
    </row>
    <row r="835">
      <c r="A835" s="1254"/>
      <c r="B835" s="1263"/>
      <c r="C835" s="1317"/>
      <c r="D835" s="1263"/>
      <c r="E835" s="1318"/>
      <c r="F835" s="1254"/>
      <c r="G835" s="1319"/>
      <c r="H835" s="1254"/>
      <c r="I835" s="1254"/>
      <c r="J835" s="1254"/>
      <c r="K835" s="1320"/>
      <c r="L835" s="1254"/>
      <c r="M835" s="1254"/>
      <c r="N835" s="1254"/>
      <c r="O835" s="1254"/>
      <c r="P835" s="1254"/>
      <c r="Q835" s="1254"/>
      <c r="R835" s="1254"/>
      <c r="S835" s="1254"/>
      <c r="T835" s="1254"/>
      <c r="U835" s="1254"/>
      <c r="V835" s="1254"/>
      <c r="W835" s="1254"/>
      <c r="X835" s="1254"/>
      <c r="Y835" s="1254"/>
      <c r="Z835" s="1254"/>
    </row>
    <row r="836">
      <c r="A836" s="1254"/>
      <c r="B836" s="1263"/>
      <c r="C836" s="1317"/>
      <c r="D836" s="1263"/>
      <c r="E836" s="1318"/>
      <c r="F836" s="1254"/>
      <c r="G836" s="1319"/>
      <c r="H836" s="1254"/>
      <c r="I836" s="1254"/>
      <c r="J836" s="1254"/>
      <c r="K836" s="1320"/>
      <c r="L836" s="1254"/>
      <c r="M836" s="1254"/>
      <c r="N836" s="1254"/>
      <c r="O836" s="1254"/>
      <c r="P836" s="1254"/>
      <c r="Q836" s="1254"/>
      <c r="R836" s="1254"/>
      <c r="S836" s="1254"/>
      <c r="T836" s="1254"/>
      <c r="U836" s="1254"/>
      <c r="V836" s="1254"/>
      <c r="W836" s="1254"/>
      <c r="X836" s="1254"/>
      <c r="Y836" s="1254"/>
      <c r="Z836" s="1254"/>
    </row>
    <row r="837">
      <c r="A837" s="1254"/>
      <c r="B837" s="1263"/>
      <c r="C837" s="1317"/>
      <c r="D837" s="1263"/>
      <c r="E837" s="1318"/>
      <c r="F837" s="1254"/>
      <c r="G837" s="1319"/>
      <c r="H837" s="1254"/>
      <c r="I837" s="1254"/>
      <c r="J837" s="1254"/>
      <c r="K837" s="1320"/>
      <c r="L837" s="1254"/>
      <c r="M837" s="1254"/>
      <c r="N837" s="1254"/>
      <c r="O837" s="1254"/>
      <c r="P837" s="1254"/>
      <c r="Q837" s="1254"/>
      <c r="R837" s="1254"/>
      <c r="S837" s="1254"/>
      <c r="T837" s="1254"/>
      <c r="U837" s="1254"/>
      <c r="V837" s="1254"/>
      <c r="W837" s="1254"/>
      <c r="X837" s="1254"/>
      <c r="Y837" s="1254"/>
      <c r="Z837" s="1254"/>
    </row>
    <row r="838">
      <c r="A838" s="1254"/>
      <c r="B838" s="1263"/>
      <c r="C838" s="1317"/>
      <c r="D838" s="1263"/>
      <c r="E838" s="1318"/>
      <c r="F838" s="1254"/>
      <c r="G838" s="1319"/>
      <c r="H838" s="1254"/>
      <c r="I838" s="1254"/>
      <c r="J838" s="1254"/>
      <c r="K838" s="1320"/>
      <c r="L838" s="1254"/>
      <c r="M838" s="1254"/>
      <c r="N838" s="1254"/>
      <c r="O838" s="1254"/>
      <c r="P838" s="1254"/>
      <c r="Q838" s="1254"/>
      <c r="R838" s="1254"/>
      <c r="S838" s="1254"/>
      <c r="T838" s="1254"/>
      <c r="U838" s="1254"/>
      <c r="V838" s="1254"/>
      <c r="W838" s="1254"/>
      <c r="X838" s="1254"/>
      <c r="Y838" s="1254"/>
      <c r="Z838" s="1254"/>
    </row>
    <row r="839">
      <c r="A839" s="1254"/>
      <c r="B839" s="1263"/>
      <c r="C839" s="1317"/>
      <c r="D839" s="1263"/>
      <c r="E839" s="1318"/>
      <c r="F839" s="1254"/>
      <c r="G839" s="1319"/>
      <c r="H839" s="1254"/>
      <c r="I839" s="1254"/>
      <c r="J839" s="1254"/>
      <c r="K839" s="1320"/>
      <c r="L839" s="1254"/>
      <c r="M839" s="1254"/>
      <c r="N839" s="1254"/>
      <c r="O839" s="1254"/>
      <c r="P839" s="1254"/>
      <c r="Q839" s="1254"/>
      <c r="R839" s="1254"/>
      <c r="S839" s="1254"/>
      <c r="T839" s="1254"/>
      <c r="U839" s="1254"/>
      <c r="V839" s="1254"/>
      <c r="W839" s="1254"/>
      <c r="X839" s="1254"/>
      <c r="Y839" s="1254"/>
      <c r="Z839" s="1254"/>
    </row>
    <row r="840">
      <c r="A840" s="1254"/>
      <c r="B840" s="1263"/>
      <c r="C840" s="1317"/>
      <c r="D840" s="1263"/>
      <c r="E840" s="1318"/>
      <c r="F840" s="1254"/>
      <c r="G840" s="1319"/>
      <c r="H840" s="1254"/>
      <c r="I840" s="1254"/>
      <c r="J840" s="1254"/>
      <c r="K840" s="1320"/>
      <c r="L840" s="1254"/>
      <c r="M840" s="1254"/>
      <c r="N840" s="1254"/>
      <c r="O840" s="1254"/>
      <c r="P840" s="1254"/>
      <c r="Q840" s="1254"/>
      <c r="R840" s="1254"/>
      <c r="S840" s="1254"/>
      <c r="T840" s="1254"/>
      <c r="U840" s="1254"/>
      <c r="V840" s="1254"/>
      <c r="W840" s="1254"/>
      <c r="X840" s="1254"/>
      <c r="Y840" s="1254"/>
      <c r="Z840" s="1254"/>
    </row>
    <row r="841">
      <c r="A841" s="1254"/>
      <c r="B841" s="1263"/>
      <c r="C841" s="1317"/>
      <c r="D841" s="1263"/>
      <c r="E841" s="1318"/>
      <c r="F841" s="1254"/>
      <c r="G841" s="1319"/>
      <c r="H841" s="1254"/>
      <c r="I841" s="1254"/>
      <c r="J841" s="1254"/>
      <c r="K841" s="1320"/>
      <c r="L841" s="1254"/>
      <c r="M841" s="1254"/>
      <c r="N841" s="1254"/>
      <c r="O841" s="1254"/>
      <c r="P841" s="1254"/>
      <c r="Q841" s="1254"/>
      <c r="R841" s="1254"/>
      <c r="S841" s="1254"/>
      <c r="T841" s="1254"/>
      <c r="U841" s="1254"/>
      <c r="V841" s="1254"/>
      <c r="W841" s="1254"/>
      <c r="X841" s="1254"/>
      <c r="Y841" s="1254"/>
      <c r="Z841" s="1254"/>
    </row>
    <row r="842">
      <c r="A842" s="1254"/>
      <c r="B842" s="1263"/>
      <c r="C842" s="1317"/>
      <c r="D842" s="1263"/>
      <c r="E842" s="1318"/>
      <c r="F842" s="1254"/>
      <c r="G842" s="1319"/>
      <c r="H842" s="1254"/>
      <c r="I842" s="1254"/>
      <c r="J842" s="1254"/>
      <c r="K842" s="1320"/>
      <c r="L842" s="1254"/>
      <c r="M842" s="1254"/>
      <c r="N842" s="1254"/>
      <c r="O842" s="1254"/>
      <c r="P842" s="1254"/>
      <c r="Q842" s="1254"/>
      <c r="R842" s="1254"/>
      <c r="S842" s="1254"/>
      <c r="T842" s="1254"/>
      <c r="U842" s="1254"/>
      <c r="V842" s="1254"/>
      <c r="W842" s="1254"/>
      <c r="X842" s="1254"/>
      <c r="Y842" s="1254"/>
      <c r="Z842" s="1254"/>
    </row>
    <row r="843">
      <c r="A843" s="1254"/>
      <c r="B843" s="1263"/>
      <c r="C843" s="1317"/>
      <c r="D843" s="1263"/>
      <c r="E843" s="1318"/>
      <c r="F843" s="1254"/>
      <c r="G843" s="1319"/>
      <c r="H843" s="1254"/>
      <c r="I843" s="1254"/>
      <c r="J843" s="1254"/>
      <c r="K843" s="1320"/>
      <c r="L843" s="1254"/>
      <c r="M843" s="1254"/>
      <c r="N843" s="1254"/>
      <c r="O843" s="1254"/>
      <c r="P843" s="1254"/>
      <c r="Q843" s="1254"/>
      <c r="R843" s="1254"/>
      <c r="S843" s="1254"/>
      <c r="T843" s="1254"/>
      <c r="U843" s="1254"/>
      <c r="V843" s="1254"/>
      <c r="W843" s="1254"/>
      <c r="X843" s="1254"/>
      <c r="Y843" s="1254"/>
      <c r="Z843" s="1254"/>
    </row>
    <row r="844">
      <c r="A844" s="1254"/>
      <c r="B844" s="1263"/>
      <c r="C844" s="1317"/>
      <c r="D844" s="1263"/>
      <c r="E844" s="1318"/>
      <c r="F844" s="1254"/>
      <c r="G844" s="1319"/>
      <c r="H844" s="1254"/>
      <c r="I844" s="1254"/>
      <c r="J844" s="1254"/>
      <c r="K844" s="1320"/>
      <c r="L844" s="1254"/>
      <c r="M844" s="1254"/>
      <c r="N844" s="1254"/>
      <c r="O844" s="1254"/>
      <c r="P844" s="1254"/>
      <c r="Q844" s="1254"/>
      <c r="R844" s="1254"/>
      <c r="S844" s="1254"/>
      <c r="T844" s="1254"/>
      <c r="U844" s="1254"/>
      <c r="V844" s="1254"/>
      <c r="W844" s="1254"/>
      <c r="X844" s="1254"/>
      <c r="Y844" s="1254"/>
      <c r="Z844" s="1254"/>
    </row>
    <row r="845">
      <c r="A845" s="1254"/>
      <c r="B845" s="1263"/>
      <c r="C845" s="1317"/>
      <c r="D845" s="1263"/>
      <c r="E845" s="1318"/>
      <c r="F845" s="1254"/>
      <c r="G845" s="1319"/>
      <c r="H845" s="1254"/>
      <c r="I845" s="1254"/>
      <c r="J845" s="1254"/>
      <c r="K845" s="1320"/>
      <c r="L845" s="1254"/>
      <c r="M845" s="1254"/>
      <c r="N845" s="1254"/>
      <c r="O845" s="1254"/>
      <c r="P845" s="1254"/>
      <c r="Q845" s="1254"/>
      <c r="R845" s="1254"/>
      <c r="S845" s="1254"/>
      <c r="T845" s="1254"/>
      <c r="U845" s="1254"/>
      <c r="V845" s="1254"/>
      <c r="W845" s="1254"/>
      <c r="X845" s="1254"/>
      <c r="Y845" s="1254"/>
      <c r="Z845" s="1254"/>
    </row>
    <row r="846">
      <c r="A846" s="1254"/>
      <c r="B846" s="1263"/>
      <c r="C846" s="1317"/>
      <c r="D846" s="1263"/>
      <c r="E846" s="1318"/>
      <c r="F846" s="1254"/>
      <c r="G846" s="1319"/>
      <c r="H846" s="1254"/>
      <c r="I846" s="1254"/>
      <c r="J846" s="1254"/>
      <c r="K846" s="1320"/>
      <c r="L846" s="1254"/>
      <c r="M846" s="1254"/>
      <c r="N846" s="1254"/>
      <c r="O846" s="1254"/>
      <c r="P846" s="1254"/>
      <c r="Q846" s="1254"/>
      <c r="R846" s="1254"/>
      <c r="S846" s="1254"/>
      <c r="T846" s="1254"/>
      <c r="U846" s="1254"/>
      <c r="V846" s="1254"/>
      <c r="W846" s="1254"/>
      <c r="X846" s="1254"/>
      <c r="Y846" s="1254"/>
      <c r="Z846" s="1254"/>
    </row>
    <row r="847">
      <c r="A847" s="1254"/>
      <c r="B847" s="1263"/>
      <c r="C847" s="1317"/>
      <c r="D847" s="1263"/>
      <c r="E847" s="1318"/>
      <c r="F847" s="1254"/>
      <c r="G847" s="1319"/>
      <c r="H847" s="1254"/>
      <c r="I847" s="1254"/>
      <c r="J847" s="1254"/>
      <c r="K847" s="1320"/>
      <c r="L847" s="1254"/>
      <c r="M847" s="1254"/>
      <c r="N847" s="1254"/>
      <c r="O847" s="1254"/>
      <c r="P847" s="1254"/>
      <c r="Q847" s="1254"/>
      <c r="R847" s="1254"/>
      <c r="S847" s="1254"/>
      <c r="T847" s="1254"/>
      <c r="U847" s="1254"/>
      <c r="V847" s="1254"/>
      <c r="W847" s="1254"/>
      <c r="X847" s="1254"/>
      <c r="Y847" s="1254"/>
      <c r="Z847" s="1254"/>
    </row>
    <row r="848">
      <c r="A848" s="1254"/>
      <c r="B848" s="1263"/>
      <c r="C848" s="1317"/>
      <c r="D848" s="1263"/>
      <c r="E848" s="1318"/>
      <c r="F848" s="1254"/>
      <c r="G848" s="1319"/>
      <c r="H848" s="1254"/>
      <c r="I848" s="1254"/>
      <c r="J848" s="1254"/>
      <c r="K848" s="1320"/>
      <c r="L848" s="1254"/>
      <c r="M848" s="1254"/>
      <c r="N848" s="1254"/>
      <c r="O848" s="1254"/>
      <c r="P848" s="1254"/>
      <c r="Q848" s="1254"/>
      <c r="R848" s="1254"/>
      <c r="S848" s="1254"/>
      <c r="T848" s="1254"/>
      <c r="U848" s="1254"/>
      <c r="V848" s="1254"/>
      <c r="W848" s="1254"/>
      <c r="X848" s="1254"/>
      <c r="Y848" s="1254"/>
      <c r="Z848" s="1254"/>
    </row>
    <row r="849">
      <c r="A849" s="1254"/>
      <c r="B849" s="1263"/>
      <c r="C849" s="1317"/>
      <c r="D849" s="1263"/>
      <c r="E849" s="1318"/>
      <c r="F849" s="1254"/>
      <c r="G849" s="1319"/>
      <c r="H849" s="1254"/>
      <c r="I849" s="1254"/>
      <c r="J849" s="1254"/>
      <c r="K849" s="1320"/>
      <c r="L849" s="1254"/>
      <c r="M849" s="1254"/>
      <c r="N849" s="1254"/>
      <c r="O849" s="1254"/>
      <c r="P849" s="1254"/>
      <c r="Q849" s="1254"/>
      <c r="R849" s="1254"/>
      <c r="S849" s="1254"/>
      <c r="T849" s="1254"/>
      <c r="U849" s="1254"/>
      <c r="V849" s="1254"/>
      <c r="W849" s="1254"/>
      <c r="X849" s="1254"/>
      <c r="Y849" s="1254"/>
      <c r="Z849" s="1254"/>
    </row>
    <row r="850">
      <c r="A850" s="1254"/>
      <c r="B850" s="1263"/>
      <c r="C850" s="1317"/>
      <c r="D850" s="1263"/>
      <c r="E850" s="1318"/>
      <c r="F850" s="1254"/>
      <c r="G850" s="1319"/>
      <c r="H850" s="1254"/>
      <c r="I850" s="1254"/>
      <c r="J850" s="1254"/>
      <c r="K850" s="1320"/>
      <c r="L850" s="1254"/>
      <c r="M850" s="1254"/>
      <c r="N850" s="1254"/>
      <c r="O850" s="1254"/>
      <c r="P850" s="1254"/>
      <c r="Q850" s="1254"/>
      <c r="R850" s="1254"/>
      <c r="S850" s="1254"/>
      <c r="T850" s="1254"/>
      <c r="U850" s="1254"/>
      <c r="V850" s="1254"/>
      <c r="W850" s="1254"/>
      <c r="X850" s="1254"/>
      <c r="Y850" s="1254"/>
      <c r="Z850" s="1254"/>
    </row>
    <row r="851">
      <c r="A851" s="1254"/>
      <c r="B851" s="1263"/>
      <c r="C851" s="1317"/>
      <c r="D851" s="1263"/>
      <c r="E851" s="1318"/>
      <c r="F851" s="1254"/>
      <c r="G851" s="1319"/>
      <c r="H851" s="1254"/>
      <c r="I851" s="1254"/>
      <c r="J851" s="1254"/>
      <c r="K851" s="1320"/>
      <c r="L851" s="1254"/>
      <c r="M851" s="1254"/>
      <c r="N851" s="1254"/>
      <c r="O851" s="1254"/>
      <c r="P851" s="1254"/>
      <c r="Q851" s="1254"/>
      <c r="R851" s="1254"/>
      <c r="S851" s="1254"/>
      <c r="T851" s="1254"/>
      <c r="U851" s="1254"/>
      <c r="V851" s="1254"/>
      <c r="W851" s="1254"/>
      <c r="X851" s="1254"/>
      <c r="Y851" s="1254"/>
      <c r="Z851" s="1254"/>
    </row>
    <row r="852">
      <c r="A852" s="1254"/>
      <c r="B852" s="1263"/>
      <c r="C852" s="1317"/>
      <c r="D852" s="1263"/>
      <c r="E852" s="1318"/>
      <c r="F852" s="1254"/>
      <c r="G852" s="1319"/>
      <c r="H852" s="1254"/>
      <c r="I852" s="1254"/>
      <c r="J852" s="1254"/>
      <c r="K852" s="1320"/>
      <c r="L852" s="1254"/>
      <c r="M852" s="1254"/>
      <c r="N852" s="1254"/>
      <c r="O852" s="1254"/>
      <c r="P852" s="1254"/>
      <c r="Q852" s="1254"/>
      <c r="R852" s="1254"/>
      <c r="S852" s="1254"/>
      <c r="T852" s="1254"/>
      <c r="U852" s="1254"/>
      <c r="V852" s="1254"/>
      <c r="W852" s="1254"/>
      <c r="X852" s="1254"/>
      <c r="Y852" s="1254"/>
      <c r="Z852" s="1254"/>
    </row>
    <row r="853">
      <c r="A853" s="1254"/>
      <c r="B853" s="1263"/>
      <c r="C853" s="1317"/>
      <c r="D853" s="1263"/>
      <c r="E853" s="1318"/>
      <c r="F853" s="1254"/>
      <c r="G853" s="1319"/>
      <c r="H853" s="1254"/>
      <c r="I853" s="1254"/>
      <c r="J853" s="1254"/>
      <c r="K853" s="1320"/>
      <c r="L853" s="1254"/>
      <c r="M853" s="1254"/>
      <c r="N853" s="1254"/>
      <c r="O853" s="1254"/>
      <c r="P853" s="1254"/>
      <c r="Q853" s="1254"/>
      <c r="R853" s="1254"/>
      <c r="S853" s="1254"/>
      <c r="T853" s="1254"/>
      <c r="U853" s="1254"/>
      <c r="V853" s="1254"/>
      <c r="W853" s="1254"/>
      <c r="X853" s="1254"/>
      <c r="Y853" s="1254"/>
      <c r="Z853" s="1254"/>
    </row>
    <row r="854">
      <c r="A854" s="1254"/>
      <c r="B854" s="1263"/>
      <c r="C854" s="1317"/>
      <c r="D854" s="1263"/>
      <c r="E854" s="1318"/>
      <c r="F854" s="1254"/>
      <c r="G854" s="1319"/>
      <c r="H854" s="1254"/>
      <c r="I854" s="1254"/>
      <c r="J854" s="1254"/>
      <c r="K854" s="1320"/>
      <c r="L854" s="1254"/>
      <c r="M854" s="1254"/>
      <c r="N854" s="1254"/>
      <c r="O854" s="1254"/>
      <c r="P854" s="1254"/>
      <c r="Q854" s="1254"/>
      <c r="R854" s="1254"/>
      <c r="S854" s="1254"/>
      <c r="T854" s="1254"/>
      <c r="U854" s="1254"/>
      <c r="V854" s="1254"/>
      <c r="W854" s="1254"/>
      <c r="X854" s="1254"/>
      <c r="Y854" s="1254"/>
      <c r="Z854" s="1254"/>
    </row>
    <row r="855">
      <c r="A855" s="1254"/>
      <c r="B855" s="1263"/>
      <c r="C855" s="1317"/>
      <c r="D855" s="1263"/>
      <c r="E855" s="1318"/>
      <c r="F855" s="1254"/>
      <c r="G855" s="1319"/>
      <c r="H855" s="1254"/>
      <c r="I855" s="1254"/>
      <c r="J855" s="1254"/>
      <c r="K855" s="1320"/>
      <c r="L855" s="1254"/>
      <c r="M855" s="1254"/>
      <c r="N855" s="1254"/>
      <c r="O855" s="1254"/>
      <c r="P855" s="1254"/>
      <c r="Q855" s="1254"/>
      <c r="R855" s="1254"/>
      <c r="S855" s="1254"/>
      <c r="T855" s="1254"/>
      <c r="U855" s="1254"/>
      <c r="V855" s="1254"/>
      <c r="W855" s="1254"/>
      <c r="X855" s="1254"/>
      <c r="Y855" s="1254"/>
      <c r="Z855" s="1254"/>
    </row>
    <row r="856">
      <c r="A856" s="1254"/>
      <c r="B856" s="1263"/>
      <c r="C856" s="1317"/>
      <c r="D856" s="1263"/>
      <c r="E856" s="1318"/>
      <c r="F856" s="1254"/>
      <c r="G856" s="1319"/>
      <c r="H856" s="1254"/>
      <c r="I856" s="1254"/>
      <c r="J856" s="1254"/>
      <c r="K856" s="1320"/>
      <c r="L856" s="1254"/>
      <c r="M856" s="1254"/>
      <c r="N856" s="1254"/>
      <c r="O856" s="1254"/>
      <c r="P856" s="1254"/>
      <c r="Q856" s="1254"/>
      <c r="R856" s="1254"/>
      <c r="S856" s="1254"/>
      <c r="T856" s="1254"/>
      <c r="U856" s="1254"/>
      <c r="V856" s="1254"/>
      <c r="W856" s="1254"/>
      <c r="X856" s="1254"/>
      <c r="Y856" s="1254"/>
      <c r="Z856" s="1254"/>
    </row>
    <row r="857">
      <c r="A857" s="1254"/>
      <c r="B857" s="1263"/>
      <c r="C857" s="1317"/>
      <c r="D857" s="1263"/>
      <c r="E857" s="1318"/>
      <c r="F857" s="1254"/>
      <c r="G857" s="1319"/>
      <c r="H857" s="1254"/>
      <c r="I857" s="1254"/>
      <c r="J857" s="1254"/>
      <c r="K857" s="1320"/>
      <c r="L857" s="1254"/>
      <c r="M857" s="1254"/>
      <c r="N857" s="1254"/>
      <c r="O857" s="1254"/>
      <c r="P857" s="1254"/>
      <c r="Q857" s="1254"/>
      <c r="R857" s="1254"/>
      <c r="S857" s="1254"/>
      <c r="T857" s="1254"/>
      <c r="U857" s="1254"/>
      <c r="V857" s="1254"/>
      <c r="W857" s="1254"/>
      <c r="X857" s="1254"/>
      <c r="Y857" s="1254"/>
      <c r="Z857" s="1254"/>
    </row>
    <row r="858">
      <c r="A858" s="1254"/>
      <c r="B858" s="1263"/>
      <c r="C858" s="1317"/>
      <c r="D858" s="1263"/>
      <c r="E858" s="1318"/>
      <c r="F858" s="1254"/>
      <c r="G858" s="1319"/>
      <c r="H858" s="1254"/>
      <c r="I858" s="1254"/>
      <c r="J858" s="1254"/>
      <c r="K858" s="1320"/>
      <c r="L858" s="1254"/>
      <c r="M858" s="1254"/>
      <c r="N858" s="1254"/>
      <c r="O858" s="1254"/>
      <c r="P858" s="1254"/>
      <c r="Q858" s="1254"/>
      <c r="R858" s="1254"/>
      <c r="S858" s="1254"/>
      <c r="T858" s="1254"/>
      <c r="U858" s="1254"/>
      <c r="V858" s="1254"/>
      <c r="W858" s="1254"/>
      <c r="X858" s="1254"/>
      <c r="Y858" s="1254"/>
      <c r="Z858" s="1254"/>
    </row>
    <row r="859">
      <c r="A859" s="1254"/>
      <c r="B859" s="1263"/>
      <c r="C859" s="1317"/>
      <c r="D859" s="1263"/>
      <c r="E859" s="1318"/>
      <c r="F859" s="1254"/>
      <c r="G859" s="1319"/>
      <c r="H859" s="1254"/>
      <c r="I859" s="1254"/>
      <c r="J859" s="1254"/>
      <c r="K859" s="1320"/>
      <c r="L859" s="1254"/>
      <c r="M859" s="1254"/>
      <c r="N859" s="1254"/>
      <c r="O859" s="1254"/>
      <c r="P859" s="1254"/>
      <c r="Q859" s="1254"/>
      <c r="R859" s="1254"/>
      <c r="S859" s="1254"/>
      <c r="T859" s="1254"/>
      <c r="U859" s="1254"/>
      <c r="V859" s="1254"/>
      <c r="W859" s="1254"/>
      <c r="X859" s="1254"/>
      <c r="Y859" s="1254"/>
      <c r="Z859" s="1254"/>
    </row>
    <row r="860">
      <c r="A860" s="1254"/>
      <c r="B860" s="1263"/>
      <c r="C860" s="1317"/>
      <c r="D860" s="1263"/>
      <c r="E860" s="1318"/>
      <c r="F860" s="1254"/>
      <c r="G860" s="1319"/>
      <c r="H860" s="1254"/>
      <c r="I860" s="1254"/>
      <c r="J860" s="1254"/>
      <c r="K860" s="1320"/>
      <c r="L860" s="1254"/>
      <c r="M860" s="1254"/>
      <c r="N860" s="1254"/>
      <c r="O860" s="1254"/>
      <c r="P860" s="1254"/>
      <c r="Q860" s="1254"/>
      <c r="R860" s="1254"/>
      <c r="S860" s="1254"/>
      <c r="T860" s="1254"/>
      <c r="U860" s="1254"/>
      <c r="V860" s="1254"/>
      <c r="W860" s="1254"/>
      <c r="X860" s="1254"/>
      <c r="Y860" s="1254"/>
      <c r="Z860" s="1254"/>
    </row>
    <row r="861">
      <c r="A861" s="1254"/>
      <c r="B861" s="1263"/>
      <c r="C861" s="1317"/>
      <c r="D861" s="1263"/>
      <c r="E861" s="1318"/>
      <c r="F861" s="1254"/>
      <c r="G861" s="1319"/>
      <c r="H861" s="1254"/>
      <c r="I861" s="1254"/>
      <c r="J861" s="1254"/>
      <c r="K861" s="1320"/>
      <c r="L861" s="1254"/>
      <c r="M861" s="1254"/>
      <c r="N861" s="1254"/>
      <c r="O861" s="1254"/>
      <c r="P861" s="1254"/>
      <c r="Q861" s="1254"/>
      <c r="R861" s="1254"/>
      <c r="S861" s="1254"/>
      <c r="T861" s="1254"/>
      <c r="U861" s="1254"/>
      <c r="V861" s="1254"/>
      <c r="W861" s="1254"/>
      <c r="X861" s="1254"/>
      <c r="Y861" s="1254"/>
      <c r="Z861" s="1254"/>
    </row>
    <row r="862">
      <c r="A862" s="1254"/>
      <c r="B862" s="1263"/>
      <c r="C862" s="1317"/>
      <c r="D862" s="1263"/>
      <c r="E862" s="1318"/>
      <c r="F862" s="1254"/>
      <c r="G862" s="1319"/>
      <c r="H862" s="1254"/>
      <c r="I862" s="1254"/>
      <c r="J862" s="1254"/>
      <c r="K862" s="1320"/>
      <c r="L862" s="1254"/>
      <c r="M862" s="1254"/>
      <c r="N862" s="1254"/>
      <c r="O862" s="1254"/>
      <c r="P862" s="1254"/>
      <c r="Q862" s="1254"/>
      <c r="R862" s="1254"/>
      <c r="S862" s="1254"/>
      <c r="T862" s="1254"/>
      <c r="U862" s="1254"/>
      <c r="V862" s="1254"/>
      <c r="W862" s="1254"/>
      <c r="X862" s="1254"/>
      <c r="Y862" s="1254"/>
      <c r="Z862" s="1254"/>
    </row>
    <row r="863">
      <c r="A863" s="1254"/>
      <c r="B863" s="1263"/>
      <c r="C863" s="1317"/>
      <c r="D863" s="1263"/>
      <c r="E863" s="1318"/>
      <c r="F863" s="1254"/>
      <c r="G863" s="1319"/>
      <c r="H863" s="1254"/>
      <c r="I863" s="1254"/>
      <c r="J863" s="1254"/>
      <c r="K863" s="1320"/>
      <c r="L863" s="1254"/>
      <c r="M863" s="1254"/>
      <c r="N863" s="1254"/>
      <c r="O863" s="1254"/>
      <c r="P863" s="1254"/>
      <c r="Q863" s="1254"/>
      <c r="R863" s="1254"/>
      <c r="S863" s="1254"/>
      <c r="T863" s="1254"/>
      <c r="U863" s="1254"/>
      <c r="V863" s="1254"/>
      <c r="W863" s="1254"/>
      <c r="X863" s="1254"/>
      <c r="Y863" s="1254"/>
      <c r="Z863" s="1254"/>
    </row>
  </sheetData>
  <mergeCells count="8">
    <mergeCell ref="B3:E3"/>
    <mergeCell ref="G3:K3"/>
    <mergeCell ref="M3:N3"/>
    <mergeCell ref="O3:P3"/>
    <mergeCell ref="B17:E17"/>
    <mergeCell ref="G17:K17"/>
    <mergeCell ref="M17:N17"/>
    <mergeCell ref="O17:P17"/>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53.0"/>
    <col customWidth="1" min="3" max="3" width="6.57"/>
    <col customWidth="1" min="4" max="4" width="57.14"/>
    <col customWidth="1" min="5" max="5" width="11.86"/>
    <col customWidth="1" min="7" max="7" width="18.57"/>
    <col customWidth="1" min="8" max="8" width="10.29"/>
    <col customWidth="1" min="9" max="9" width="4.43"/>
    <col customWidth="1" min="10" max="10" width="12.71"/>
    <col customWidth="1" min="11" max="12" width="7.86"/>
    <col customWidth="1" min="13" max="13" width="8.57"/>
    <col customWidth="1" min="14" max="14" width="21.43"/>
    <col customWidth="1" min="17" max="17" width="24.0"/>
    <col customWidth="1" min="18" max="18" width="20.57"/>
    <col customWidth="1" min="19" max="19" width="20.0"/>
    <col customWidth="1" min="21" max="21" width="21.43"/>
  </cols>
  <sheetData>
    <row r="1">
      <c r="A1" s="8"/>
      <c r="B1" s="8"/>
      <c r="C1" s="8"/>
      <c r="D1" s="8"/>
      <c r="E1" s="8"/>
      <c r="F1" s="8"/>
      <c r="G1" s="8" t="s">
        <v>948</v>
      </c>
      <c r="H1" s="8"/>
      <c r="I1" s="8"/>
      <c r="J1" s="1354" t="s">
        <v>949</v>
      </c>
      <c r="K1" s="1355" t="s">
        <v>950</v>
      </c>
      <c r="L1" s="1355" t="s">
        <v>950</v>
      </c>
      <c r="M1" s="1355" t="s">
        <v>951</v>
      </c>
      <c r="N1" s="1355" t="s">
        <v>8</v>
      </c>
      <c r="O1" s="1355" t="s">
        <v>284</v>
      </c>
      <c r="P1" s="8"/>
      <c r="Q1" s="1356"/>
      <c r="R1" s="1357"/>
      <c r="S1" s="1358"/>
      <c r="T1" s="8"/>
      <c r="U1" s="1359"/>
      <c r="V1" s="8"/>
      <c r="W1" s="8"/>
      <c r="X1" s="8"/>
      <c r="Y1" s="8"/>
      <c r="Z1" s="8"/>
      <c r="AA1" s="8"/>
    </row>
    <row r="2" ht="17.25" customHeight="1">
      <c r="A2" s="8"/>
      <c r="B2" s="1360" t="s">
        <v>952</v>
      </c>
      <c r="C2" s="8"/>
      <c r="D2" s="1361" t="s">
        <v>953</v>
      </c>
      <c r="E2" s="1361" t="s">
        <v>954</v>
      </c>
      <c r="F2" s="8"/>
      <c r="G2" s="8"/>
      <c r="H2" s="8" t="s">
        <v>955</v>
      </c>
      <c r="I2" s="8" t="s">
        <v>956</v>
      </c>
      <c r="J2" s="215">
        <f>IFERROR(__xludf.DUMMYFUNCTION("1/COS(RADIANS(REGEXEXTRACT(K2,""(\d+)"")))
"),1.0)</f>
        <v>1</v>
      </c>
      <c r="K2" s="126" t="s">
        <v>957</v>
      </c>
      <c r="L2" s="126" t="s">
        <v>957</v>
      </c>
      <c r="M2" s="126">
        <v>1.0</v>
      </c>
      <c r="N2" s="126" t="s">
        <v>958</v>
      </c>
      <c r="O2" s="126" t="s">
        <v>14</v>
      </c>
      <c r="P2" s="8"/>
      <c r="Q2" s="1362" t="s">
        <v>236</v>
      </c>
      <c r="R2" s="1363" t="s">
        <v>237</v>
      </c>
      <c r="S2" s="1364" t="s">
        <v>238</v>
      </c>
      <c r="T2" s="8"/>
      <c r="U2" s="1365" t="s">
        <v>959</v>
      </c>
      <c r="V2" s="8"/>
      <c r="W2" s="8"/>
      <c r="X2" s="8"/>
      <c r="Y2" s="8"/>
      <c r="Z2" s="8"/>
      <c r="AA2" s="8"/>
    </row>
    <row r="3" ht="27.0" customHeight="1">
      <c r="A3" s="8"/>
      <c r="B3" s="1366" t="s">
        <v>960</v>
      </c>
      <c r="C3" s="1367" t="b">
        <v>1</v>
      </c>
      <c r="D3" s="1368" t="s">
        <v>961</v>
      </c>
      <c r="E3" s="1367" t="b">
        <v>0</v>
      </c>
      <c r="F3" s="8"/>
      <c r="G3" s="8"/>
      <c r="H3" s="8" t="s">
        <v>962</v>
      </c>
      <c r="I3" s="8" t="s">
        <v>963</v>
      </c>
      <c r="J3" s="215">
        <f>IFERROR(__xludf.DUMMYFUNCTION("1/COS(RADIANS(REGEXEXTRACT(K3,""(\d+)"")))
"),1.0001523280439077)</f>
        <v>1.000152328</v>
      </c>
      <c r="K3" s="8" t="s">
        <v>964</v>
      </c>
      <c r="L3" s="126" t="s">
        <v>964</v>
      </c>
      <c r="M3" s="215">
        <v>1.0002</v>
      </c>
      <c r="N3" s="126" t="s">
        <v>965</v>
      </c>
      <c r="O3" s="126" t="s">
        <v>87</v>
      </c>
      <c r="P3" s="8"/>
      <c r="Q3" s="701" t="s">
        <v>303</v>
      </c>
      <c r="R3" s="1369" t="s">
        <v>343</v>
      </c>
      <c r="S3" s="126" t="s">
        <v>301</v>
      </c>
      <c r="T3" s="8"/>
      <c r="U3" s="1365" t="s">
        <v>966</v>
      </c>
      <c r="V3" s="8"/>
      <c r="W3" s="8"/>
      <c r="X3" s="8"/>
      <c r="Y3" s="8"/>
      <c r="Z3" s="8"/>
      <c r="AA3" s="8"/>
    </row>
    <row r="4" ht="29.25" customHeight="1">
      <c r="A4" s="8"/>
      <c r="B4" s="1366" t="s">
        <v>967</v>
      </c>
      <c r="C4" s="1367" t="b">
        <v>1</v>
      </c>
      <c r="D4" s="8" t="s">
        <v>968</v>
      </c>
      <c r="E4" s="1367" t="b">
        <v>0</v>
      </c>
      <c r="F4" s="8"/>
      <c r="G4" s="8"/>
      <c r="H4" s="8" t="s">
        <v>969</v>
      </c>
      <c r="I4" s="8" t="s">
        <v>970</v>
      </c>
      <c r="J4" s="215">
        <f>IFERROR(__xludf.DUMMYFUNCTION("1/COS(RADIANS(REGEXEXTRACT(K4,""(\d+)"")))
"),1.0001523280439077)</f>
        <v>1.000152328</v>
      </c>
      <c r="K4" s="8" t="s">
        <v>971</v>
      </c>
      <c r="L4" s="126" t="s">
        <v>972</v>
      </c>
      <c r="M4" s="215">
        <v>1.0006</v>
      </c>
      <c r="N4" s="126" t="s">
        <v>102</v>
      </c>
      <c r="O4" s="126" t="s">
        <v>973</v>
      </c>
      <c r="P4" s="8"/>
      <c r="Q4" s="767" t="s">
        <v>51</v>
      </c>
      <c r="R4" s="701" t="s">
        <v>149</v>
      </c>
      <c r="S4" s="126" t="s">
        <v>302</v>
      </c>
      <c r="T4" s="8"/>
      <c r="U4" s="1365" t="s">
        <v>974</v>
      </c>
      <c r="V4" s="8"/>
      <c r="W4" s="8"/>
      <c r="X4" s="8"/>
      <c r="Y4" s="8"/>
      <c r="Z4" s="8"/>
      <c r="AA4" s="8"/>
    </row>
    <row r="5" ht="38.25" customHeight="1">
      <c r="A5" s="8"/>
      <c r="B5" s="1360" t="s">
        <v>975</v>
      </c>
      <c r="C5" s="1367" t="b">
        <v>1</v>
      </c>
      <c r="D5" s="8"/>
      <c r="E5" s="1367" t="b">
        <v>0</v>
      </c>
      <c r="F5" s="8"/>
      <c r="G5" s="8"/>
      <c r="H5" s="8"/>
      <c r="I5" s="8"/>
      <c r="J5" s="215">
        <f>IFERROR(__xludf.DUMMYFUNCTION("1/COS(RADIANS(REGEXEXTRACT(K5,""(\d+)"")))
"),1.0006095442988217)</f>
        <v>1.000609544</v>
      </c>
      <c r="K5" s="8" t="s">
        <v>972</v>
      </c>
      <c r="L5" s="126" t="s">
        <v>976</v>
      </c>
      <c r="M5" s="215">
        <v>1.0014</v>
      </c>
      <c r="N5" s="126" t="s">
        <v>977</v>
      </c>
      <c r="O5" s="126" t="s">
        <v>5</v>
      </c>
      <c r="P5" s="8"/>
      <c r="Q5" s="701" t="s">
        <v>306</v>
      </c>
      <c r="R5" s="701" t="s">
        <v>153</v>
      </c>
      <c r="S5" s="126" t="s">
        <v>304</v>
      </c>
      <c r="T5" s="8"/>
      <c r="U5" s="1365" t="s">
        <v>978</v>
      </c>
      <c r="V5" s="8"/>
      <c r="W5" s="8"/>
      <c r="X5" s="8"/>
      <c r="Y5" s="8"/>
      <c r="Z5" s="8"/>
      <c r="AA5" s="8"/>
    </row>
    <row r="6" ht="24.75" customHeight="1">
      <c r="A6" s="8"/>
      <c r="B6" s="1368" t="s">
        <v>979</v>
      </c>
      <c r="C6" s="1367" t="b">
        <v>0</v>
      </c>
      <c r="D6" s="8"/>
      <c r="E6" s="1367" t="b">
        <v>0</v>
      </c>
      <c r="F6" s="8"/>
      <c r="G6" s="8"/>
      <c r="H6" s="8"/>
      <c r="I6" s="8"/>
      <c r="J6" s="215">
        <f>IFERROR(__xludf.DUMMYFUNCTION("1/COS(RADIANS(REGEXEXTRACT(K6,""(\d+)"")))
"),1.0006095442988217)</f>
        <v>1.000609544</v>
      </c>
      <c r="K6" s="8" t="s">
        <v>980</v>
      </c>
      <c r="L6" s="126" t="s">
        <v>981</v>
      </c>
      <c r="M6" s="215">
        <v>1.0024</v>
      </c>
      <c r="N6" s="126" t="s">
        <v>982</v>
      </c>
      <c r="O6" s="8"/>
      <c r="P6" s="8"/>
      <c r="Q6" s="701" t="s">
        <v>308</v>
      </c>
      <c r="R6" s="701" t="s">
        <v>164</v>
      </c>
      <c r="S6" s="126" t="s">
        <v>305</v>
      </c>
      <c r="T6" s="8"/>
      <c r="U6" s="1365" t="s">
        <v>983</v>
      </c>
      <c r="V6" s="8"/>
      <c r="W6" s="8"/>
      <c r="X6" s="8"/>
      <c r="Y6" s="8"/>
      <c r="Z6" s="8"/>
      <c r="AA6" s="8"/>
    </row>
    <row r="7" ht="28.5" customHeight="1">
      <c r="A7" s="8"/>
      <c r="B7" s="1368" t="s">
        <v>984</v>
      </c>
      <c r="C7" s="1367" t="b">
        <v>0</v>
      </c>
      <c r="D7" s="8"/>
      <c r="E7" s="8"/>
      <c r="F7" s="8"/>
      <c r="G7" s="8"/>
      <c r="H7" s="8">
        <v>1.0</v>
      </c>
      <c r="I7" s="8"/>
      <c r="J7" s="215">
        <f>IFERROR(__xludf.DUMMYFUNCTION("1/COS(RADIANS(REGEXEXTRACT(K7,""(\d+)"")))
"),1.001372345997921)</f>
        <v>1.001372346</v>
      </c>
      <c r="K7" s="8" t="s">
        <v>976</v>
      </c>
      <c r="L7" s="126" t="s">
        <v>88</v>
      </c>
      <c r="M7" s="215">
        <v>1.0038</v>
      </c>
      <c r="N7" s="126" t="s">
        <v>78</v>
      </c>
      <c r="O7" s="8"/>
      <c r="P7" s="8"/>
      <c r="Q7" s="701" t="s">
        <v>310</v>
      </c>
      <c r="R7" s="701" t="s">
        <v>163</v>
      </c>
      <c r="S7" s="126" t="s">
        <v>307</v>
      </c>
      <c r="T7" s="8"/>
      <c r="U7" s="1365" t="s">
        <v>985</v>
      </c>
      <c r="V7" s="8"/>
      <c r="W7" s="8"/>
      <c r="X7" s="8"/>
      <c r="Y7" s="8"/>
      <c r="Z7" s="8"/>
      <c r="AA7" s="8"/>
    </row>
    <row r="8">
      <c r="A8" s="8"/>
      <c r="B8" s="1368" t="s">
        <v>986</v>
      </c>
      <c r="C8" s="1367" t="b">
        <v>0</v>
      </c>
      <c r="D8" s="8"/>
      <c r="E8" s="8"/>
      <c r="F8" s="8"/>
      <c r="G8" s="8"/>
      <c r="H8" s="8">
        <v>1.5</v>
      </c>
      <c r="I8" s="8"/>
      <c r="J8" s="215">
        <f>IFERROR(__xludf.DUMMYFUNCTION("1/COS(RADIANS(REGEXEXTRACT(K8,""(\d+)"")))
"),1.001372345997921)</f>
        <v>1.001372346</v>
      </c>
      <c r="K8" s="8" t="s">
        <v>987</v>
      </c>
      <c r="L8" s="126" t="s">
        <v>988</v>
      </c>
      <c r="M8" s="215">
        <v>1.0055</v>
      </c>
      <c r="N8" s="126" t="s">
        <v>989</v>
      </c>
      <c r="O8" s="8"/>
      <c r="P8" s="8"/>
      <c r="Q8" s="701" t="s">
        <v>313</v>
      </c>
      <c r="R8" s="701" t="s">
        <v>154</v>
      </c>
      <c r="S8" s="126" t="s">
        <v>309</v>
      </c>
      <c r="T8" s="8"/>
      <c r="U8" s="1359"/>
      <c r="V8" s="8"/>
      <c r="W8" s="8"/>
      <c r="X8" s="8"/>
      <c r="Y8" s="8"/>
      <c r="Z8" s="8"/>
      <c r="AA8" s="8"/>
    </row>
    <row r="9">
      <c r="A9" s="8"/>
      <c r="B9" s="1368" t="s">
        <v>990</v>
      </c>
      <c r="C9" s="1367" t="b">
        <v>0</v>
      </c>
      <c r="D9" s="8"/>
      <c r="E9" s="8"/>
      <c r="F9" s="8"/>
      <c r="G9" s="8"/>
      <c r="H9" s="8">
        <v>2.0</v>
      </c>
      <c r="I9" s="8"/>
      <c r="J9" s="215">
        <f>IFERROR(__xludf.DUMMYFUNCTION("1/COS(RADIANS(REGEXEXTRACT(K9,""(\d+)"")))
"),1.0024418980811722)</f>
        <v>1.002441898</v>
      </c>
      <c r="K9" s="8" t="s">
        <v>981</v>
      </c>
      <c r="L9" s="126" t="s">
        <v>991</v>
      </c>
      <c r="M9" s="215">
        <v>1.0075</v>
      </c>
      <c r="N9" s="126" t="s">
        <v>627</v>
      </c>
      <c r="O9" s="8"/>
      <c r="P9" s="8"/>
      <c r="Q9" s="701" t="s">
        <v>316</v>
      </c>
      <c r="R9" s="701" t="s">
        <v>155</v>
      </c>
      <c r="S9" s="126" t="s">
        <v>312</v>
      </c>
      <c r="T9" s="8"/>
      <c r="U9" s="1359"/>
      <c r="V9" s="8"/>
      <c r="W9" s="8"/>
      <c r="X9" s="8"/>
      <c r="Y9" s="8"/>
      <c r="Z9" s="8"/>
      <c r="AA9" s="8"/>
    </row>
    <row r="10">
      <c r="A10" s="8"/>
      <c r="B10" s="1368" t="s">
        <v>992</v>
      </c>
      <c r="C10" s="1367" t="b">
        <v>0</v>
      </c>
      <c r="D10" s="8"/>
      <c r="E10" s="8"/>
      <c r="F10" s="8"/>
      <c r="G10" s="8"/>
      <c r="H10" s="8">
        <v>2.5</v>
      </c>
      <c r="I10" s="8"/>
      <c r="J10" s="215">
        <f>IFERROR(__xludf.DUMMYFUNCTION("1/COS(RADIANS(REGEXEXTRACT(K10,""(\d+)"")))
"),1.0024418980811722)</f>
        <v>1.002441898</v>
      </c>
      <c r="K10" s="8" t="s">
        <v>993</v>
      </c>
      <c r="L10" s="126" t="s">
        <v>994</v>
      </c>
      <c r="M10" s="215">
        <v>1.0098</v>
      </c>
      <c r="N10" s="126" t="s">
        <v>995</v>
      </c>
      <c r="O10" s="8"/>
      <c r="P10" s="8"/>
      <c r="Q10" s="701" t="s">
        <v>130</v>
      </c>
      <c r="R10" s="701" t="s">
        <v>311</v>
      </c>
      <c r="S10" s="126" t="s">
        <v>315</v>
      </c>
      <c r="T10" s="8"/>
      <c r="U10" s="1359"/>
      <c r="V10" s="8"/>
      <c r="W10" s="8"/>
      <c r="X10" s="8"/>
      <c r="Y10" s="8"/>
      <c r="Z10" s="8"/>
      <c r="AA10" s="8"/>
    </row>
    <row r="11">
      <c r="A11" s="8"/>
      <c r="B11" s="8"/>
      <c r="C11" s="1367" t="b">
        <v>0</v>
      </c>
      <c r="D11" s="8"/>
      <c r="E11" s="8"/>
      <c r="F11" s="8"/>
      <c r="G11" s="8"/>
      <c r="H11" s="8">
        <v>3.0</v>
      </c>
      <c r="I11" s="8"/>
      <c r="J11" s="215">
        <f>IFERROR(__xludf.DUMMYFUNCTION("1/COS(RADIANS(REGEXEXTRACT(K11,""(\d+)"")))
"),1.0038198375433474)</f>
        <v>1.003819838</v>
      </c>
      <c r="K11" s="8" t="s">
        <v>88</v>
      </c>
      <c r="L11" s="126" t="s">
        <v>72</v>
      </c>
      <c r="M11" s="215">
        <v>1.0125</v>
      </c>
      <c r="N11" s="126" t="s">
        <v>996</v>
      </c>
      <c r="O11" s="8"/>
      <c r="P11" s="8"/>
      <c r="Q11" s="701" t="s">
        <v>130</v>
      </c>
      <c r="R11" s="701" t="s">
        <v>314</v>
      </c>
      <c r="S11" s="126" t="s">
        <v>318</v>
      </c>
      <c r="T11" s="8"/>
      <c r="U11" s="1359"/>
      <c r="V11" s="8"/>
      <c r="W11" s="8"/>
      <c r="X11" s="8"/>
      <c r="Y11" s="8"/>
      <c r="Z11" s="8"/>
      <c r="AA11" s="8"/>
    </row>
    <row r="12">
      <c r="A12" s="8"/>
      <c r="B12" s="8"/>
      <c r="C12" s="1367" t="b">
        <v>0</v>
      </c>
      <c r="D12" s="8"/>
      <c r="E12" s="8"/>
      <c r="F12" s="8"/>
      <c r="G12" s="8"/>
      <c r="H12" s="8">
        <v>3.5</v>
      </c>
      <c r="I12" s="8"/>
      <c r="J12" s="215">
        <f>IFERROR(__xludf.DUMMYFUNCTION("1/COS(RADIANS(REGEXEXTRACT(K12,""(\d+)"")))
"),1.0038198375433474)</f>
        <v>1.003819838</v>
      </c>
      <c r="K12" s="8" t="s">
        <v>997</v>
      </c>
      <c r="L12" s="126" t="s">
        <v>998</v>
      </c>
      <c r="M12" s="215">
        <v>1.0154</v>
      </c>
      <c r="N12" s="126" t="s">
        <v>999</v>
      </c>
      <c r="O12" s="8"/>
      <c r="P12" s="8"/>
      <c r="Q12" s="701" t="s">
        <v>321</v>
      </c>
      <c r="R12" s="701" t="s">
        <v>317</v>
      </c>
      <c r="S12" s="126" t="s">
        <v>320</v>
      </c>
      <c r="T12" s="8"/>
      <c r="U12" s="1359"/>
      <c r="V12" s="8"/>
      <c r="W12" s="8"/>
      <c r="X12" s="8"/>
      <c r="Y12" s="8"/>
      <c r="Z12" s="8"/>
      <c r="AA12" s="8"/>
    </row>
    <row r="13">
      <c r="A13" s="8"/>
      <c r="B13" s="8"/>
      <c r="C13" s="1367" t="b">
        <v>0</v>
      </c>
      <c r="D13" s="8"/>
      <c r="E13" s="8"/>
      <c r="F13" s="8"/>
      <c r="G13" s="8"/>
      <c r="H13" s="8">
        <v>4.0</v>
      </c>
      <c r="I13" s="8"/>
      <c r="J13" s="215">
        <f>IFERROR(__xludf.DUMMYFUNCTION("1/COS(RADIANS(REGEXEXTRACT(K13,""(\d+)"")))
"),1.0055082795635164)</f>
        <v>1.00550828</v>
      </c>
      <c r="K13" s="8" t="s">
        <v>988</v>
      </c>
      <c r="L13" s="126" t="s">
        <v>1000</v>
      </c>
      <c r="M13" s="215">
        <v>1.0187</v>
      </c>
      <c r="N13" s="126" t="s">
        <v>1001</v>
      </c>
      <c r="O13" s="8"/>
      <c r="P13" s="8"/>
      <c r="Q13" s="701" t="s">
        <v>324</v>
      </c>
      <c r="R13" s="701" t="s">
        <v>319</v>
      </c>
      <c r="S13" s="126" t="s">
        <v>323</v>
      </c>
      <c r="T13" s="8"/>
      <c r="U13" s="1359"/>
      <c r="V13" s="8"/>
      <c r="W13" s="8"/>
      <c r="X13" s="8"/>
      <c r="Y13" s="8"/>
      <c r="Z13" s="8"/>
      <c r="AA13" s="8"/>
    </row>
    <row r="14">
      <c r="A14" s="8"/>
      <c r="B14" s="8"/>
      <c r="C14" s="1367" t="b">
        <v>0</v>
      </c>
      <c r="D14" s="8"/>
      <c r="E14" s="8"/>
      <c r="F14" s="8"/>
      <c r="G14" s="8"/>
      <c r="H14" s="8">
        <v>4.5</v>
      </c>
      <c r="I14" s="8"/>
      <c r="J14" s="215">
        <f>IFERROR(__xludf.DUMMYFUNCTION("1/COS(RADIANS(REGEXEXTRACT(K14,""(\d+)"")))
"),1.0055082795635164)</f>
        <v>1.00550828</v>
      </c>
      <c r="K14" s="8" t="s">
        <v>1002</v>
      </c>
      <c r="L14" s="126" t="s">
        <v>1003</v>
      </c>
      <c r="M14" s="215">
        <v>1.0223</v>
      </c>
      <c r="N14" s="126" t="s">
        <v>1004</v>
      </c>
      <c r="O14" s="8"/>
      <c r="P14" s="8"/>
      <c r="Q14" s="701" t="s">
        <v>327</v>
      </c>
      <c r="R14" s="701" t="s">
        <v>322</v>
      </c>
      <c r="S14" s="126" t="s">
        <v>326</v>
      </c>
      <c r="T14" s="8"/>
      <c r="U14" s="1359"/>
      <c r="V14" s="8"/>
      <c r="W14" s="8"/>
      <c r="X14" s="8"/>
      <c r="Y14" s="8"/>
      <c r="Z14" s="8"/>
      <c r="AA14" s="8"/>
    </row>
    <row r="15">
      <c r="A15" s="8"/>
      <c r="B15" s="8"/>
      <c r="C15" s="1367" t="b">
        <v>0</v>
      </c>
      <c r="D15" s="8"/>
      <c r="E15" s="8"/>
      <c r="F15" s="8"/>
      <c r="G15" s="8"/>
      <c r="H15" s="8">
        <v>5.0</v>
      </c>
      <c r="I15" s="8"/>
      <c r="J15" s="215">
        <f>IFERROR(__xludf.DUMMYFUNCTION("1/COS(RADIANS(REGEXEXTRACT(K15,""(\d+)"")))
"),1.0075098254588484)</f>
        <v>1.007509825</v>
      </c>
      <c r="K15" s="8" t="s">
        <v>991</v>
      </c>
      <c r="L15" s="126" t="s">
        <v>1005</v>
      </c>
      <c r="M15" s="215">
        <v>1.0263</v>
      </c>
      <c r="N15" s="126" t="s">
        <v>1006</v>
      </c>
      <c r="O15" s="8"/>
      <c r="P15" s="8"/>
      <c r="Q15" s="701" t="s">
        <v>139</v>
      </c>
      <c r="R15" s="701" t="s">
        <v>325</v>
      </c>
      <c r="S15" s="126" t="s">
        <v>329</v>
      </c>
      <c r="T15" s="8"/>
      <c r="U15" s="1359"/>
      <c r="V15" s="8"/>
      <c r="W15" s="8"/>
      <c r="X15" s="8"/>
      <c r="Y15" s="8"/>
      <c r="Z15" s="8"/>
      <c r="AA15" s="8"/>
    </row>
    <row r="16">
      <c r="A16" s="8"/>
      <c r="B16" s="8"/>
      <c r="C16" s="1367" t="b">
        <v>0</v>
      </c>
      <c r="D16" s="8"/>
      <c r="E16" s="8"/>
      <c r="F16" s="8"/>
      <c r="G16" s="8"/>
      <c r="H16" s="8">
        <v>5.5</v>
      </c>
      <c r="I16" s="8"/>
      <c r="J16" s="215">
        <f>IFERROR(__xludf.DUMMYFUNCTION("1/COS(RADIANS(REGEXEXTRACT(K16,""(\d+)"")))
"),1.0075098254588484)</f>
        <v>1.007509825</v>
      </c>
      <c r="K16" s="8" t="s">
        <v>1007</v>
      </c>
      <c r="L16" s="126" t="s">
        <v>1008</v>
      </c>
      <c r="M16" s="215">
        <v>1.0306</v>
      </c>
      <c r="N16" s="126" t="s">
        <v>947</v>
      </c>
      <c r="O16" s="8"/>
      <c r="P16" s="8"/>
      <c r="Q16" s="767" t="s">
        <v>332</v>
      </c>
      <c r="R16" s="701" t="s">
        <v>328</v>
      </c>
      <c r="S16" s="126" t="s">
        <v>331</v>
      </c>
      <c r="T16" s="8"/>
      <c r="U16" s="1359"/>
      <c r="V16" s="8"/>
      <c r="W16" s="8"/>
      <c r="X16" s="8"/>
      <c r="Y16" s="8"/>
      <c r="Z16" s="8"/>
      <c r="AA16" s="8"/>
    </row>
    <row r="17">
      <c r="A17" s="8"/>
      <c r="B17" s="8"/>
      <c r="C17" s="1367" t="b">
        <v>0</v>
      </c>
      <c r="D17" s="8"/>
      <c r="E17" s="8"/>
      <c r="F17" s="8"/>
      <c r="G17" s="8"/>
      <c r="H17" s="8">
        <v>6.0</v>
      </c>
      <c r="I17" s="8"/>
      <c r="J17" s="215">
        <f>IFERROR(__xludf.DUMMYFUNCTION("1/COS(RADIANS(REGEXEXTRACT(K17,""(\d+)"")))
"),1.009827572518618)</f>
        <v>1.009827573</v>
      </c>
      <c r="K17" s="8" t="s">
        <v>994</v>
      </c>
      <c r="L17" s="126" t="s">
        <v>1009</v>
      </c>
      <c r="M17" s="215">
        <v>1.0353</v>
      </c>
      <c r="N17" s="126" t="s">
        <v>1010</v>
      </c>
      <c r="O17" s="8"/>
      <c r="P17" s="8"/>
      <c r="Q17" s="701" t="s">
        <v>141</v>
      </c>
      <c r="R17" s="701" t="s">
        <v>330</v>
      </c>
      <c r="S17" s="126" t="s">
        <v>334</v>
      </c>
      <c r="T17" s="8"/>
      <c r="U17" s="1359"/>
      <c r="V17" s="8"/>
      <c r="W17" s="8"/>
      <c r="X17" s="8"/>
      <c r="Y17" s="8"/>
      <c r="Z17" s="8"/>
      <c r="AA17" s="8"/>
    </row>
    <row r="18">
      <c r="A18" s="8"/>
      <c r="B18" s="1360" t="s">
        <v>1011</v>
      </c>
      <c r="C18" s="1367" t="b">
        <v>0</v>
      </c>
      <c r="D18" s="8"/>
      <c r="E18" s="8"/>
      <c r="F18" s="8"/>
      <c r="G18" s="8"/>
      <c r="H18" s="8">
        <v>6.5</v>
      </c>
      <c r="I18" s="8"/>
      <c r="J18" s="215">
        <f>IFERROR(__xludf.DUMMYFUNCTION("1/COS(RADIANS(REGEXEXTRACT(K18,""(\d+)"")))
"),1.009827572518618)</f>
        <v>1.009827573</v>
      </c>
      <c r="K18" s="8" t="s">
        <v>1012</v>
      </c>
      <c r="L18" s="126" t="s">
        <v>1013</v>
      </c>
      <c r="M18" s="215">
        <v>1.0403</v>
      </c>
      <c r="N18" s="126" t="s">
        <v>1014</v>
      </c>
      <c r="O18" s="8"/>
      <c r="P18" s="8"/>
      <c r="Q18" s="701" t="s">
        <v>337</v>
      </c>
      <c r="R18" s="701" t="s">
        <v>333</v>
      </c>
      <c r="S18" s="126" t="s">
        <v>336</v>
      </c>
      <c r="T18" s="8"/>
      <c r="U18" s="1359"/>
      <c r="V18" s="8"/>
      <c r="W18" s="8"/>
      <c r="X18" s="8"/>
      <c r="Y18" s="8"/>
      <c r="Z18" s="8"/>
      <c r="AA18" s="8"/>
    </row>
    <row r="19">
      <c r="A19" s="8"/>
      <c r="B19" s="8" t="s">
        <v>1015</v>
      </c>
      <c r="C19" s="1367" t="b">
        <v>0</v>
      </c>
      <c r="D19" s="8"/>
      <c r="E19" s="8"/>
      <c r="F19" s="8"/>
      <c r="G19" s="8"/>
      <c r="H19" s="8">
        <v>7.0</v>
      </c>
      <c r="I19" s="8"/>
      <c r="J19" s="215">
        <f>IFERROR(__xludf.DUMMYFUNCTION("1/COS(RADIANS(REGEXEXTRACT(K19,""(\d+)"")))
"),1.0124651257880029)</f>
        <v>1.012465126</v>
      </c>
      <c r="K19" s="8" t="s">
        <v>72</v>
      </c>
      <c r="L19" s="126" t="s">
        <v>1016</v>
      </c>
      <c r="M19" s="215">
        <v>1.0457</v>
      </c>
      <c r="N19" s="126" t="s">
        <v>100</v>
      </c>
      <c r="O19" s="8"/>
      <c r="P19" s="8"/>
      <c r="Q19" s="701" t="s">
        <v>120</v>
      </c>
      <c r="R19" s="701" t="s">
        <v>335</v>
      </c>
      <c r="S19" s="126" t="s">
        <v>339</v>
      </c>
      <c r="T19" s="8"/>
      <c r="U19" s="1359"/>
      <c r="V19" s="8"/>
      <c r="W19" s="8"/>
      <c r="X19" s="8"/>
      <c r="Y19" s="8"/>
      <c r="Z19" s="8"/>
      <c r="AA19" s="8"/>
    </row>
    <row r="20">
      <c r="A20" s="8"/>
      <c r="B20" s="8"/>
      <c r="C20" s="1367" t="b">
        <v>0</v>
      </c>
      <c r="D20" s="8"/>
      <c r="E20" s="8"/>
      <c r="F20" s="8"/>
      <c r="G20" s="8"/>
      <c r="H20" s="8">
        <v>7.5</v>
      </c>
      <c r="I20" s="8"/>
      <c r="J20" s="215">
        <f>IFERROR(__xludf.DUMMYFUNCTION("1/COS(RADIANS(REGEXEXTRACT(K20,""(\d+)"")))
"),1.0124651257880029)</f>
        <v>1.012465126</v>
      </c>
      <c r="K20" s="8" t="s">
        <v>1017</v>
      </c>
      <c r="L20" s="126" t="s">
        <v>1018</v>
      </c>
      <c r="M20" s="215">
        <v>1.0515</v>
      </c>
      <c r="N20" s="126" t="s">
        <v>1019</v>
      </c>
      <c r="O20" s="8"/>
      <c r="P20" s="8"/>
      <c r="Q20" s="701" t="s">
        <v>122</v>
      </c>
      <c r="R20" s="701" t="s">
        <v>338</v>
      </c>
      <c r="S20" s="126" t="s">
        <v>341</v>
      </c>
      <c r="T20" s="8"/>
      <c r="U20" s="1359"/>
      <c r="V20" s="8"/>
      <c r="W20" s="8"/>
      <c r="X20" s="8"/>
      <c r="Y20" s="8"/>
      <c r="Z20" s="8"/>
      <c r="AA20" s="8"/>
    </row>
    <row r="21">
      <c r="A21" s="8"/>
      <c r="B21" s="8"/>
      <c r="C21" s="1367" t="b">
        <v>0</v>
      </c>
      <c r="D21" s="8"/>
      <c r="E21" s="8"/>
      <c r="F21" s="8"/>
      <c r="G21" s="8"/>
      <c r="H21" s="8">
        <v>8.0</v>
      </c>
      <c r="I21" s="8"/>
      <c r="J21" s="215">
        <f>IFERROR(__xludf.DUMMYFUNCTION("1/COS(RADIANS(REGEXEXTRACT(K21,""(\d+)"")))
"),1.0154266118857451)</f>
        <v>1.015426612</v>
      </c>
      <c r="K21" s="8" t="s">
        <v>998</v>
      </c>
      <c r="L21" s="126" t="s">
        <v>1020</v>
      </c>
      <c r="M21" s="215">
        <v>1.0576</v>
      </c>
      <c r="N21" s="126" t="s">
        <v>632</v>
      </c>
      <c r="O21" s="8"/>
      <c r="P21" s="8"/>
      <c r="Q21" s="701" t="s">
        <v>123</v>
      </c>
      <c r="R21" s="701" t="s">
        <v>340</v>
      </c>
      <c r="S21" s="126" t="s">
        <v>342</v>
      </c>
      <c r="T21" s="8"/>
      <c r="U21" s="1359"/>
      <c r="V21" s="8"/>
      <c r="W21" s="8"/>
      <c r="X21" s="8"/>
      <c r="Y21" s="8"/>
      <c r="Z21" s="8"/>
      <c r="AA21" s="8"/>
    </row>
    <row r="22">
      <c r="A22" s="8"/>
      <c r="B22" s="8"/>
      <c r="C22" s="1367" t="b">
        <v>0</v>
      </c>
      <c r="D22" s="8"/>
      <c r="E22" s="8"/>
      <c r="F22" s="8"/>
      <c r="G22" s="8"/>
      <c r="H22" s="8">
        <v>8.5</v>
      </c>
      <c r="I22" s="8"/>
      <c r="J22" s="215">
        <f>IFERROR(__xludf.DUMMYFUNCTION("1/COS(RADIANS(REGEXEXTRACT(K22,""(\d+)"")))
"),1.0154266118857451)</f>
        <v>1.015426612</v>
      </c>
      <c r="K22" s="8" t="s">
        <v>1021</v>
      </c>
      <c r="L22" s="126" t="s">
        <v>1022</v>
      </c>
      <c r="M22" s="215">
        <v>1.0642</v>
      </c>
      <c r="N22" s="126" t="s">
        <v>1023</v>
      </c>
      <c r="O22" s="8"/>
      <c r="P22" s="8"/>
      <c r="Q22" s="701" t="s">
        <v>345</v>
      </c>
      <c r="R22" s="701" t="s">
        <v>173</v>
      </c>
      <c r="S22" s="126" t="s">
        <v>344</v>
      </c>
      <c r="T22" s="8"/>
      <c r="U22" s="1359"/>
      <c r="V22" s="8"/>
      <c r="W22" s="8"/>
      <c r="X22" s="8"/>
      <c r="Y22" s="8"/>
      <c r="Z22" s="8"/>
      <c r="AA22" s="8"/>
    </row>
    <row r="23">
      <c r="A23" s="8"/>
      <c r="B23" s="8"/>
      <c r="C23" s="1367" t="b">
        <v>0</v>
      </c>
      <c r="D23" s="8"/>
      <c r="E23" s="8"/>
      <c r="F23" s="8"/>
      <c r="G23" s="8"/>
      <c r="H23" s="8">
        <v>9.0</v>
      </c>
      <c r="I23" s="8"/>
      <c r="J23" s="215">
        <f>IFERROR(__xludf.DUMMYFUNCTION("1/COS(RADIANS(REGEXEXTRACT(K23,""(\d+)"")))
"),1.0187166949552142)</f>
        <v>1.018716695</v>
      </c>
      <c r="K23" s="8" t="s">
        <v>1000</v>
      </c>
      <c r="L23" s="126" t="s">
        <v>1024</v>
      </c>
      <c r="M23" s="215">
        <v>1.0711</v>
      </c>
      <c r="N23" s="126" t="s">
        <v>1025</v>
      </c>
      <c r="O23" s="8"/>
      <c r="P23" s="8"/>
      <c r="Q23" s="701" t="s">
        <v>348</v>
      </c>
      <c r="R23" s="701" t="s">
        <v>343</v>
      </c>
      <c r="S23" s="126" t="s">
        <v>347</v>
      </c>
      <c r="T23" s="8"/>
      <c r="U23" s="1359"/>
      <c r="V23" s="8"/>
      <c r="W23" s="8"/>
      <c r="X23" s="8"/>
      <c r="Y23" s="8"/>
      <c r="Z23" s="8"/>
      <c r="AA23" s="8"/>
    </row>
    <row r="24">
      <c r="A24" s="8"/>
      <c r="B24" s="8"/>
      <c r="C24" s="1367" t="b">
        <v>0</v>
      </c>
      <c r="D24" s="8"/>
      <c r="E24" s="8"/>
      <c r="F24" s="8"/>
      <c r="G24" s="8"/>
      <c r="H24" s="8">
        <v>9.5</v>
      </c>
      <c r="I24" s="8"/>
      <c r="J24" s="215">
        <f>IFERROR(__xludf.DUMMYFUNCTION("1/COS(RADIANS(REGEXEXTRACT(K24,""(\d+)"")))
"),1.0187166949552142)</f>
        <v>1.018716695</v>
      </c>
      <c r="K24" s="8" t="s">
        <v>1026</v>
      </c>
      <c r="L24" s="126" t="s">
        <v>1027</v>
      </c>
      <c r="M24" s="215">
        <v>1.0785</v>
      </c>
      <c r="N24" s="126" t="s">
        <v>1028</v>
      </c>
      <c r="O24" s="8"/>
      <c r="P24" s="8"/>
      <c r="Q24" s="701" t="s">
        <v>351</v>
      </c>
      <c r="R24" s="701" t="s">
        <v>346</v>
      </c>
      <c r="S24" s="126" t="s">
        <v>350</v>
      </c>
      <c r="T24" s="8"/>
      <c r="U24" s="1359"/>
      <c r="V24" s="8"/>
      <c r="W24" s="8"/>
      <c r="X24" s="8"/>
      <c r="Y24" s="8"/>
      <c r="Z24" s="8"/>
      <c r="AA24" s="8"/>
    </row>
    <row r="25">
      <c r="A25" s="8"/>
      <c r="B25" s="8"/>
      <c r="C25" s="1367" t="b">
        <v>0</v>
      </c>
      <c r="D25" s="8"/>
      <c r="E25" s="8"/>
      <c r="F25" s="8"/>
      <c r="G25" s="8"/>
      <c r="H25" s="8">
        <v>10.0</v>
      </c>
      <c r="I25" s="8"/>
      <c r="J25" s="215">
        <f>IFERROR(__xludf.DUMMYFUNCTION("1/COS(RADIANS(REGEXEXTRACT(K25,""(\d+)"")))
"),1.0223405948650293)</f>
        <v>1.022340595</v>
      </c>
      <c r="K25" s="8" t="s">
        <v>1003</v>
      </c>
      <c r="L25" s="126" t="s">
        <v>1029</v>
      </c>
      <c r="M25" s="215">
        <v>1.0864</v>
      </c>
      <c r="N25" s="126" t="s">
        <v>1030</v>
      </c>
      <c r="O25" s="8"/>
      <c r="P25" s="8"/>
      <c r="Q25" s="701" t="s">
        <v>353</v>
      </c>
      <c r="R25" s="701" t="s">
        <v>349</v>
      </c>
      <c r="S25" s="126" t="s">
        <v>336</v>
      </c>
      <c r="T25" s="8"/>
      <c r="U25" s="1359"/>
      <c r="V25" s="8"/>
      <c r="W25" s="8"/>
      <c r="X25" s="8"/>
      <c r="Y25" s="8"/>
      <c r="Z25" s="8"/>
      <c r="AA25" s="8"/>
    </row>
    <row r="26">
      <c r="A26" s="8"/>
      <c r="B26" s="8"/>
      <c r="C26" s="8"/>
      <c r="D26" s="8"/>
      <c r="E26" s="8"/>
      <c r="F26" s="8"/>
      <c r="G26" s="8"/>
      <c r="H26" s="8">
        <v>10.5</v>
      </c>
      <c r="I26" s="8"/>
      <c r="J26" s="215">
        <f>IFERROR(__xludf.DUMMYFUNCTION("1/COS(RADIANS(REGEXEXTRACT(K26,""(\d+)"")))
"),1.0223405948650293)</f>
        <v>1.022340595</v>
      </c>
      <c r="K26" s="8" t="s">
        <v>1031</v>
      </c>
      <c r="L26" s="126" t="s">
        <v>1032</v>
      </c>
      <c r="M26" s="215">
        <v>1.0946</v>
      </c>
      <c r="N26" s="126" t="s">
        <v>1033</v>
      </c>
      <c r="O26" s="8"/>
      <c r="P26" s="8"/>
      <c r="Q26" s="701" t="s">
        <v>126</v>
      </c>
      <c r="R26" s="701" t="s">
        <v>352</v>
      </c>
      <c r="S26" s="126" t="s">
        <v>354</v>
      </c>
      <c r="T26" s="8"/>
      <c r="U26" s="1359"/>
      <c r="V26" s="8"/>
      <c r="W26" s="8"/>
      <c r="X26" s="8"/>
      <c r="Y26" s="8"/>
      <c r="Z26" s="8"/>
      <c r="AA26" s="8"/>
    </row>
    <row r="27">
      <c r="A27" s="8"/>
      <c r="B27" s="8"/>
      <c r="C27" s="8"/>
      <c r="D27" s="8"/>
      <c r="E27" s="8"/>
      <c r="F27" s="8"/>
      <c r="G27" s="8"/>
      <c r="H27" s="8">
        <v>11.0</v>
      </c>
      <c r="I27" s="8"/>
      <c r="J27" s="215">
        <f>IFERROR(__xludf.DUMMYFUNCTION("1/COS(RADIANS(REGEXEXTRACT(K27,""(\d+)"")))
"),1.0263041077933917)</f>
        <v>1.026304108</v>
      </c>
      <c r="K27" s="8" t="s">
        <v>1005</v>
      </c>
      <c r="L27" s="126" t="s">
        <v>1034</v>
      </c>
      <c r="M27" s="215">
        <v>1.1034</v>
      </c>
      <c r="N27" s="126" t="s">
        <v>1035</v>
      </c>
      <c r="O27" s="8"/>
      <c r="P27" s="8"/>
      <c r="Q27" s="701" t="s">
        <v>111</v>
      </c>
      <c r="R27" s="701" t="s">
        <v>162</v>
      </c>
      <c r="S27" s="126" t="s">
        <v>356</v>
      </c>
      <c r="T27" s="8"/>
      <c r="U27" s="1359"/>
      <c r="V27" s="8"/>
      <c r="W27" s="8"/>
      <c r="X27" s="8"/>
      <c r="Y27" s="8"/>
      <c r="Z27" s="8"/>
      <c r="AA27" s="8"/>
    </row>
    <row r="28">
      <c r="A28" s="8" t="str">
        <f>IFERROR(__xludf.DUMMYFUNCTION("Filter(Pricing!B188:C286,Pricing!B188:B286=""P"")"),"P")</f>
        <v>P</v>
      </c>
      <c r="B28" s="1370" t="str">
        <f>IFERROR(__xludf.DUMMYFUNCTION("""COMPUTED_VALUE"""),"Pre-mobilisation documents")</f>
        <v>Pre-mobilisation documents</v>
      </c>
      <c r="C28" s="8"/>
      <c r="D28" s="8"/>
      <c r="E28" s="8"/>
      <c r="F28" s="8"/>
      <c r="G28" s="8"/>
      <c r="H28" s="8">
        <v>11.5</v>
      </c>
      <c r="I28" s="8"/>
      <c r="J28" s="215">
        <f>IFERROR(__xludf.DUMMYFUNCTION("1/COS(RADIANS(REGEXEXTRACT(K28,""(\d+)"")))
"),1.0263041077933917)</f>
        <v>1.026304108</v>
      </c>
      <c r="K28" s="8" t="s">
        <v>1036</v>
      </c>
      <c r="L28" s="126" t="s">
        <v>1037</v>
      </c>
      <c r="M28" s="215">
        <v>1.1126</v>
      </c>
      <c r="N28" s="126" t="s">
        <v>1038</v>
      </c>
      <c r="O28" s="8"/>
      <c r="P28" s="8"/>
      <c r="Q28" s="701" t="s">
        <v>105</v>
      </c>
      <c r="R28" s="701" t="s">
        <v>355</v>
      </c>
      <c r="S28" s="126" t="s">
        <v>357</v>
      </c>
      <c r="T28" s="8"/>
      <c r="U28" s="1359"/>
      <c r="V28" s="8"/>
      <c r="W28" s="8"/>
      <c r="X28" s="8"/>
      <c r="Y28" s="8"/>
      <c r="Z28" s="8"/>
      <c r="AA28" s="8"/>
    </row>
    <row r="29">
      <c r="A29" s="8" t="str">
        <f>IFERROR(__xludf.DUMMYFUNCTION("""COMPUTED_VALUE"""),"P")</f>
        <v>P</v>
      </c>
      <c r="B29" s="1370" t="str">
        <f>IFERROR(__xludf.DUMMYFUNCTION("""COMPUTED_VALUE"""),"Site Measure &amp; Order Materials")</f>
        <v>Site Measure &amp; Order Materials</v>
      </c>
      <c r="C29" s="8"/>
      <c r="D29" s="1371" t="s">
        <v>1039</v>
      </c>
      <c r="E29" s="8"/>
      <c r="F29" s="8"/>
      <c r="G29" s="8"/>
      <c r="H29" s="8">
        <v>12.0</v>
      </c>
      <c r="I29" s="8"/>
      <c r="J29" s="215">
        <f>IFERROR(__xludf.DUMMYFUNCTION("1/COS(RADIANS(REGEXEXTRACT(K29,""(\d+)"")))
"),1.0306136293498982)</f>
        <v>1.030613629</v>
      </c>
      <c r="K29" s="8" t="s">
        <v>1008</v>
      </c>
      <c r="L29" s="126" t="s">
        <v>1040</v>
      </c>
      <c r="M29" s="215">
        <v>1.1223</v>
      </c>
      <c r="N29" s="126" t="s">
        <v>715</v>
      </c>
      <c r="O29" s="8"/>
      <c r="P29" s="8"/>
      <c r="Q29" s="701" t="s">
        <v>360</v>
      </c>
      <c r="R29" s="701" t="s">
        <v>173</v>
      </c>
      <c r="S29" s="126" t="s">
        <v>359</v>
      </c>
      <c r="T29" s="8"/>
      <c r="U29" s="1359"/>
      <c r="V29" s="8"/>
      <c r="W29" s="8"/>
      <c r="X29" s="8"/>
      <c r="Y29" s="8"/>
      <c r="Z29" s="8"/>
      <c r="AA29" s="8"/>
    </row>
    <row r="30">
      <c r="A30" s="8" t="str">
        <f>IFERROR(__xludf.DUMMYFUNCTION("""COMPUTED_VALUE"""),"P")</f>
        <v>P</v>
      </c>
      <c r="B30" s="1370" t="str">
        <f>IFERROR(__xludf.DUMMYFUNCTION("""COMPUTED_VALUE"""),"Freight materials to site")</f>
        <v>Freight materials to site</v>
      </c>
      <c r="C30" s="8"/>
      <c r="D30" s="1371" t="s">
        <v>1041</v>
      </c>
      <c r="E30" s="8"/>
      <c r="F30" s="8"/>
      <c r="G30" s="8"/>
      <c r="H30" s="8">
        <v>12.5</v>
      </c>
      <c r="I30" s="8"/>
      <c r="J30" s="215">
        <f>IFERROR(__xludf.DUMMYFUNCTION("1/COS(RADIANS(REGEXEXTRACT(K30,""(\d+)"")))
"),1.0306136293498982)</f>
        <v>1.030613629</v>
      </c>
      <c r="K30" s="8" t="s">
        <v>1042</v>
      </c>
      <c r="L30" s="126" t="s">
        <v>1043</v>
      </c>
      <c r="M30" s="215">
        <v>1.1326</v>
      </c>
      <c r="N30" s="126" t="s">
        <v>55</v>
      </c>
      <c r="O30" s="8"/>
      <c r="P30" s="8"/>
      <c r="Q30" s="701" t="s">
        <v>96</v>
      </c>
      <c r="R30" s="701" t="s">
        <v>358</v>
      </c>
      <c r="S30" s="126" t="s">
        <v>362</v>
      </c>
      <c r="T30" s="8"/>
      <c r="U30" s="1359"/>
      <c r="V30" s="8"/>
      <c r="W30" s="8"/>
      <c r="X30" s="8"/>
      <c r="Y30" s="8"/>
      <c r="Z30" s="8"/>
      <c r="AA30" s="8"/>
    </row>
    <row r="31">
      <c r="A31" s="8" t="str">
        <f>IFERROR(__xludf.DUMMYFUNCTION("""COMPUTED_VALUE"""),"P")</f>
        <v>P</v>
      </c>
      <c r="B31" s="1370" t="str">
        <f>IFERROR(__xludf.DUMMYFUNCTION("""COMPUTED_VALUE"""),"Samples, warranties, maintenance manuals")</f>
        <v>Samples, warranties, maintenance manuals</v>
      </c>
      <c r="C31" s="8"/>
      <c r="D31" s="8"/>
      <c r="E31" s="8"/>
      <c r="F31" s="8"/>
      <c r="G31" s="8"/>
      <c r="H31" s="8">
        <v>13.0</v>
      </c>
      <c r="I31" s="8"/>
      <c r="J31" s="215">
        <f>IFERROR(__xludf.DUMMYFUNCTION("1/COS(RADIANS(REGEXEXTRACT(K31,""(\d+)"")))
"),1.035276180410083)</f>
        <v>1.03527618</v>
      </c>
      <c r="K31" s="8" t="s">
        <v>1009</v>
      </c>
      <c r="L31" s="126" t="s">
        <v>1044</v>
      </c>
      <c r="M31" s="215">
        <v>1.1434</v>
      </c>
      <c r="N31" s="126" t="s">
        <v>717</v>
      </c>
      <c r="O31" s="8"/>
      <c r="P31" s="8"/>
      <c r="Q31" s="701" t="s">
        <v>365</v>
      </c>
      <c r="R31" s="701" t="s">
        <v>361</v>
      </c>
      <c r="S31" s="126" t="s">
        <v>364</v>
      </c>
      <c r="T31" s="8"/>
      <c r="U31" s="1359"/>
      <c r="V31" s="8"/>
      <c r="W31" s="8"/>
      <c r="X31" s="8"/>
      <c r="Y31" s="8"/>
      <c r="Z31" s="8"/>
      <c r="AA31" s="8"/>
    </row>
    <row r="32">
      <c r="A32" s="8" t="str">
        <f>IFERROR(__xludf.DUMMYFUNCTION("""COMPUTED_VALUE"""),"P")</f>
        <v>P</v>
      </c>
      <c r="B32" s="1370" t="str">
        <f>IFERROR(__xludf.DUMMYFUNCTION("""COMPUTED_VALUE"""),"Site IndUCtions, PPE and safety meetings")</f>
        <v>Site IndUCtions, PPE and safety meetings</v>
      </c>
      <c r="C32" s="8"/>
      <c r="D32" s="8"/>
      <c r="E32" s="8"/>
      <c r="F32" s="8"/>
      <c r="G32" s="8"/>
      <c r="H32" s="8">
        <v>13.5</v>
      </c>
      <c r="I32" s="8"/>
      <c r="J32" s="215">
        <f>IFERROR(__xludf.DUMMYFUNCTION("1/COS(RADIANS(REGEXEXTRACT(K32,""(\d+)"")))
"),1.035276180410083)</f>
        <v>1.03527618</v>
      </c>
      <c r="K32" s="8" t="s">
        <v>1045</v>
      </c>
      <c r="L32" s="126" t="s">
        <v>1046</v>
      </c>
      <c r="M32" s="215">
        <v>1.1547</v>
      </c>
      <c r="N32" s="126" t="s">
        <v>716</v>
      </c>
      <c r="O32" s="8"/>
      <c r="P32" s="8"/>
      <c r="Q32" s="701" t="s">
        <v>103</v>
      </c>
      <c r="R32" s="701" t="s">
        <v>363</v>
      </c>
      <c r="S32" s="126" t="s">
        <v>367</v>
      </c>
      <c r="T32" s="8"/>
      <c r="U32" s="1359"/>
      <c r="V32" s="8"/>
      <c r="W32" s="8"/>
      <c r="X32" s="8"/>
      <c r="Y32" s="8"/>
      <c r="Z32" s="8"/>
      <c r="AA32" s="8"/>
    </row>
    <row r="33">
      <c r="A33" s="8" t="str">
        <f>IFERROR(__xludf.DUMMYFUNCTION("""COMPUTED_VALUE"""),"P")</f>
        <v>P</v>
      </c>
      <c r="B33" s="1370" t="str">
        <f>IFERROR(__xludf.DUMMYFUNCTION("""COMPUTED_VALUE"""),"Administration")</f>
        <v>Administration</v>
      </c>
      <c r="C33" s="8"/>
      <c r="D33" s="8"/>
      <c r="E33" s="8"/>
      <c r="F33" s="8"/>
      <c r="G33" s="8"/>
      <c r="H33" s="8">
        <v>14.0</v>
      </c>
      <c r="I33" s="8"/>
      <c r="J33" s="215">
        <f>IFERROR(__xludf.DUMMYFUNCTION("1/COS(RADIANS(REGEXEXTRACT(K33,""(\d+)"")))
"),1.040299435861602)</f>
        <v>1.040299436</v>
      </c>
      <c r="K33" s="8" t="s">
        <v>1013</v>
      </c>
      <c r="L33" s="126" t="s">
        <v>1047</v>
      </c>
      <c r="M33" s="215">
        <v>1.1666</v>
      </c>
      <c r="N33" s="126" t="s">
        <v>1048</v>
      </c>
      <c r="O33" s="8"/>
      <c r="P33" s="8"/>
      <c r="Q33" s="701" t="s">
        <v>370</v>
      </c>
      <c r="R33" s="701" t="s">
        <v>366</v>
      </c>
      <c r="S33" s="126" t="s">
        <v>369</v>
      </c>
      <c r="T33" s="8"/>
      <c r="U33" s="1359"/>
      <c r="V33" s="8"/>
      <c r="W33" s="8"/>
      <c r="X33" s="8"/>
      <c r="Y33" s="8"/>
      <c r="Z33" s="8"/>
      <c r="AA33" s="8"/>
    </row>
    <row r="34">
      <c r="A34" s="8" t="str">
        <f>IFERROR(__xludf.DUMMYFUNCTION("""COMPUTED_VALUE"""),"P")</f>
        <v>P</v>
      </c>
      <c r="B34" s="1370" t="str">
        <f>IFERROR(__xludf.DUMMYFUNCTION("""COMPUTED_VALUE"""),"Site Prelims")</f>
        <v>Site Prelims</v>
      </c>
      <c r="C34" s="8"/>
      <c r="D34" s="8"/>
      <c r="E34" s="8"/>
      <c r="F34" s="8"/>
      <c r="G34" s="8"/>
      <c r="H34" s="8">
        <v>14.5</v>
      </c>
      <c r="I34" s="8"/>
      <c r="J34" s="215">
        <f>IFERROR(__xludf.DUMMYFUNCTION("1/COS(RADIANS(REGEXEXTRACT(K34,""(\d+)"")))
"),1.040299435861602)</f>
        <v>1.040299436</v>
      </c>
      <c r="K34" s="8" t="s">
        <v>1049</v>
      </c>
      <c r="L34" s="126" t="s">
        <v>1050</v>
      </c>
      <c r="M34" s="215">
        <v>1.1792</v>
      </c>
      <c r="N34" s="126" t="s">
        <v>1051</v>
      </c>
      <c r="O34" s="8"/>
      <c r="P34" s="8"/>
      <c r="Q34" s="767" t="s">
        <v>45</v>
      </c>
      <c r="R34" s="701" t="s">
        <v>368</v>
      </c>
      <c r="S34" s="126" t="s">
        <v>372</v>
      </c>
      <c r="T34" s="8"/>
      <c r="U34" s="1359"/>
      <c r="V34" s="8"/>
      <c r="W34" s="8"/>
      <c r="X34" s="8"/>
      <c r="Y34" s="8"/>
      <c r="Z34" s="8"/>
      <c r="AA34" s="8"/>
    </row>
    <row r="35">
      <c r="A35" s="8" t="str">
        <f>IFERROR(__xludf.DUMMYFUNCTION("""COMPUTED_VALUE"""),"P")</f>
        <v>P</v>
      </c>
      <c r="B35" s="1370" t="str">
        <f>IFERROR(__xludf.DUMMYFUNCTION("""COMPUTED_VALUE"""),"Crane/Dogman/Handlift ")</f>
        <v>Crane/Dogman/Handlift </v>
      </c>
      <c r="C35" s="8"/>
      <c r="D35" s="8"/>
      <c r="E35" s="8"/>
      <c r="F35" s="8"/>
      <c r="G35" s="8"/>
      <c r="H35" s="8">
        <v>15.0</v>
      </c>
      <c r="I35" s="8"/>
      <c r="J35" s="215">
        <f>IFERROR(__xludf.DUMMYFUNCTION("1/COS(RADIANS(REGEXEXTRACT(K35,""(\d+)"")))
"),1.045691756487148)</f>
        <v>1.045691756</v>
      </c>
      <c r="K35" s="8" t="s">
        <v>1016</v>
      </c>
      <c r="L35" s="126" t="s">
        <v>1052</v>
      </c>
      <c r="M35" s="215">
        <v>1.1924</v>
      </c>
      <c r="N35" s="126" t="s">
        <v>1053</v>
      </c>
      <c r="O35" s="8"/>
      <c r="P35" s="8"/>
      <c r="Q35" s="701" t="s">
        <v>375</v>
      </c>
      <c r="R35" s="701" t="s">
        <v>371</v>
      </c>
      <c r="S35" s="126" t="s">
        <v>374</v>
      </c>
      <c r="T35" s="8"/>
      <c r="U35" s="1359"/>
      <c r="V35" s="8"/>
      <c r="W35" s="8"/>
      <c r="X35" s="8"/>
      <c r="Y35" s="8"/>
      <c r="Z35" s="8"/>
      <c r="AA35" s="8"/>
    </row>
    <row r="36">
      <c r="A36" s="8" t="str">
        <f>IFERROR(__xludf.DUMMYFUNCTION("""COMPUTED_VALUE"""),"P")</f>
        <v>P</v>
      </c>
      <c r="B36" s="1370" t="str">
        <f>IFERROR(__xludf.DUMMYFUNCTION("""COMPUTED_VALUE"""),"Counterweight")</f>
        <v>Counterweight</v>
      </c>
      <c r="C36" s="8"/>
      <c r="D36" s="8"/>
      <c r="E36" s="8"/>
      <c r="F36" s="8"/>
      <c r="G36" s="8"/>
      <c r="H36" s="8">
        <v>15.5</v>
      </c>
      <c r="I36" s="8"/>
      <c r="J36" s="215">
        <f>IFERROR(__xludf.DUMMYFUNCTION("1/COS(RADIANS(REGEXEXTRACT(K36,""(\d+)"")))
"),1.045691756487148)</f>
        <v>1.045691756</v>
      </c>
      <c r="K36" s="8" t="s">
        <v>1054</v>
      </c>
      <c r="L36" s="126" t="s">
        <v>1055</v>
      </c>
      <c r="M36" s="215">
        <v>1.2062</v>
      </c>
      <c r="N36" s="126" t="s">
        <v>136</v>
      </c>
      <c r="O36" s="8"/>
      <c r="P36" s="8"/>
      <c r="Q36" s="701" t="s">
        <v>377</v>
      </c>
      <c r="R36" s="701" t="s">
        <v>373</v>
      </c>
      <c r="S36" s="126"/>
      <c r="T36" s="8"/>
      <c r="U36" s="1359"/>
      <c r="V36" s="8"/>
      <c r="W36" s="8"/>
      <c r="X36" s="8"/>
      <c r="Y36" s="8"/>
      <c r="Z36" s="8"/>
      <c r="AA36" s="8"/>
    </row>
    <row r="37">
      <c r="A37" s="8" t="str">
        <f>IFERROR(__xludf.DUMMYFUNCTION("""COMPUTED_VALUE"""),"P")</f>
        <v>P</v>
      </c>
      <c r="B37" s="1370" t="str">
        <f>IFERROR(__xludf.DUMMYFUNCTION("""COMPUTED_VALUE"""),"Mob/Demob")</f>
        <v>Mob/Demob</v>
      </c>
      <c r="C37" s="8"/>
      <c r="D37" s="8"/>
      <c r="E37" s="8"/>
      <c r="F37" s="8"/>
      <c r="G37" s="8"/>
      <c r="H37" s="8">
        <v>16.0</v>
      </c>
      <c r="I37" s="8"/>
      <c r="J37" s="215">
        <f>IFERROR(__xludf.DUMMYFUNCTION("1/COS(RADIANS(REGEXEXTRACT(K37,""(\d+)"")))
"),1.0514622242382672)</f>
        <v>1.051462224</v>
      </c>
      <c r="K37" s="8" t="s">
        <v>1018</v>
      </c>
      <c r="L37" s="126" t="s">
        <v>1056</v>
      </c>
      <c r="M37" s="215">
        <v>1.2208</v>
      </c>
      <c r="N37" s="126" t="s">
        <v>1057</v>
      </c>
      <c r="O37" s="8"/>
      <c r="P37" s="8"/>
      <c r="Q37" s="701" t="s">
        <v>378</v>
      </c>
      <c r="R37" s="701" t="s">
        <v>376</v>
      </c>
      <c r="S37" s="126"/>
      <c r="T37" s="8"/>
      <c r="U37" s="1359"/>
      <c r="V37" s="8"/>
      <c r="W37" s="8"/>
      <c r="X37" s="8"/>
      <c r="Y37" s="8"/>
      <c r="Z37" s="8"/>
      <c r="AA37" s="8"/>
    </row>
    <row r="38">
      <c r="A38" s="8"/>
      <c r="B38" s="8"/>
      <c r="C38" s="8"/>
      <c r="D38" s="8"/>
      <c r="E38" s="8"/>
      <c r="F38" s="8"/>
      <c r="G38" s="8"/>
      <c r="H38" s="8">
        <v>16.5</v>
      </c>
      <c r="I38" s="8"/>
      <c r="J38" s="215">
        <f>IFERROR(__xludf.DUMMYFUNCTION("1/COS(RADIANS(REGEXEXTRACT(K38,""(\d+)"")))
"),1.0514622242382672)</f>
        <v>1.051462224</v>
      </c>
      <c r="K38" s="8" t="s">
        <v>1058</v>
      </c>
      <c r="L38" s="126" t="s">
        <v>1059</v>
      </c>
      <c r="M38" s="215">
        <v>1.2361</v>
      </c>
      <c r="N38" s="126" t="s">
        <v>1060</v>
      </c>
      <c r="O38" s="8"/>
      <c r="P38" s="8"/>
      <c r="Q38" s="701" t="s">
        <v>380</v>
      </c>
      <c r="R38" s="701" t="s">
        <v>161</v>
      </c>
      <c r="S38" s="126"/>
      <c r="T38" s="8"/>
      <c r="U38" s="1359"/>
      <c r="V38" s="8"/>
      <c r="W38" s="8"/>
      <c r="X38" s="8"/>
      <c r="Y38" s="8"/>
      <c r="Z38" s="8"/>
      <c r="AA38" s="8"/>
    </row>
    <row r="39">
      <c r="A39" s="8"/>
      <c r="B39" s="8"/>
      <c r="C39" s="8"/>
      <c r="D39" s="8"/>
      <c r="E39" s="8"/>
      <c r="F39" s="8"/>
      <c r="G39" s="8"/>
      <c r="H39" s="8">
        <v>17.0</v>
      </c>
      <c r="I39" s="8"/>
      <c r="J39" s="215">
        <f>IFERROR(__xludf.DUMMYFUNCTION("1/COS(RADIANS(REGEXEXTRACT(K39,""(\d+)"")))
"),1.0576206811866706)</f>
        <v>1.057620681</v>
      </c>
      <c r="K39" s="8" t="s">
        <v>1020</v>
      </c>
      <c r="L39" s="126" t="s">
        <v>1061</v>
      </c>
      <c r="M39" s="215">
        <v>1.2521</v>
      </c>
      <c r="N39" s="126" t="s">
        <v>1062</v>
      </c>
      <c r="O39" s="8"/>
      <c r="P39" s="8"/>
      <c r="Q39" s="701" t="s">
        <v>382</v>
      </c>
      <c r="R39" s="701" t="s">
        <v>379</v>
      </c>
      <c r="S39" s="126"/>
      <c r="T39" s="8"/>
      <c r="U39" s="1359"/>
      <c r="V39" s="8"/>
      <c r="W39" s="8"/>
      <c r="X39" s="8"/>
      <c r="Y39" s="8"/>
      <c r="Z39" s="8"/>
      <c r="AA39" s="8"/>
    </row>
    <row r="40">
      <c r="A40" s="8"/>
      <c r="B40" s="8"/>
      <c r="C40" s="8"/>
      <c r="D40" s="8"/>
      <c r="E40" s="8"/>
      <c r="F40" s="8"/>
      <c r="G40" s="8"/>
      <c r="H40" s="8">
        <v>17.5</v>
      </c>
      <c r="I40" s="8"/>
      <c r="J40" s="215">
        <f>IFERROR(__xludf.DUMMYFUNCTION("1/COS(RADIANS(REGEXEXTRACT(K40,""(\d+)"")))
"),1.0576206811866706)</f>
        <v>1.057620681</v>
      </c>
      <c r="K40" s="8" t="s">
        <v>1063</v>
      </c>
      <c r="L40" s="126" t="s">
        <v>1064</v>
      </c>
      <c r="M40" s="215">
        <v>1.269</v>
      </c>
      <c r="N40" s="126" t="s">
        <v>1065</v>
      </c>
      <c r="O40" s="8"/>
      <c r="P40" s="8"/>
      <c r="Q40" s="701" t="s">
        <v>383</v>
      </c>
      <c r="R40" s="701" t="s">
        <v>381</v>
      </c>
      <c r="S40" s="126"/>
      <c r="T40" s="8"/>
      <c r="U40" s="1359"/>
      <c r="V40" s="8"/>
      <c r="W40" s="8"/>
      <c r="X40" s="8"/>
      <c r="Y40" s="8"/>
      <c r="Z40" s="8"/>
      <c r="AA40" s="8"/>
    </row>
    <row r="41">
      <c r="A41" s="8"/>
      <c r="B41" s="8"/>
      <c r="C41" s="8"/>
      <c r="D41" s="8"/>
      <c r="E41" s="8"/>
      <c r="F41" s="8"/>
      <c r="G41" s="8"/>
      <c r="H41" s="8">
        <v>18.0</v>
      </c>
      <c r="I41" s="8"/>
      <c r="J41" s="215">
        <f>IFERROR(__xludf.DUMMYFUNCTION("1/COS(RADIANS(REGEXEXTRACT(K41,""(\d+)"")))
"),1.064177772475912)</f>
        <v>1.064177772</v>
      </c>
      <c r="K41" s="8" t="s">
        <v>1022</v>
      </c>
      <c r="L41" s="126" t="s">
        <v>1066</v>
      </c>
      <c r="M41" s="215">
        <v>1.2868</v>
      </c>
      <c r="N41" s="126" t="s">
        <v>1067</v>
      </c>
      <c r="O41" s="8"/>
      <c r="P41" s="8"/>
      <c r="Q41" s="701" t="s">
        <v>384</v>
      </c>
      <c r="R41" s="767" t="s">
        <v>584</v>
      </c>
      <c r="S41" s="126"/>
      <c r="T41" s="8"/>
      <c r="U41" s="1359"/>
      <c r="V41" s="8"/>
      <c r="W41" s="8"/>
      <c r="X41" s="8"/>
      <c r="Y41" s="8"/>
      <c r="Z41" s="8"/>
      <c r="AA41" s="8"/>
    </row>
    <row r="42">
      <c r="A42" s="8"/>
      <c r="B42" s="8"/>
      <c r="C42" s="8"/>
      <c r="D42" s="8"/>
      <c r="E42" s="8"/>
      <c r="F42" s="8"/>
      <c r="G42" s="8"/>
      <c r="H42" s="8">
        <v>18.5</v>
      </c>
      <c r="I42" s="8"/>
      <c r="J42" s="215">
        <f>IFERROR(__xludf.DUMMYFUNCTION("1/COS(RADIANS(REGEXEXTRACT(K42,""(\d+)"")))
"),1.064177772475912)</f>
        <v>1.064177772</v>
      </c>
      <c r="K42" s="8" t="s">
        <v>1068</v>
      </c>
      <c r="L42" s="126" t="s">
        <v>1069</v>
      </c>
      <c r="M42" s="215">
        <v>1.3054</v>
      </c>
      <c r="N42" s="126" t="s">
        <v>1070</v>
      </c>
      <c r="O42" s="8"/>
      <c r="P42" s="8"/>
      <c r="Q42" s="701" t="s">
        <v>143</v>
      </c>
      <c r="R42" s="767" t="s">
        <v>168</v>
      </c>
      <c r="S42" s="126"/>
      <c r="T42" s="8"/>
      <c r="U42" s="1359"/>
      <c r="V42" s="8"/>
      <c r="W42" s="8"/>
      <c r="X42" s="8"/>
      <c r="Y42" s="8"/>
      <c r="Z42" s="8"/>
      <c r="AA42" s="8"/>
    </row>
    <row r="43">
      <c r="A43" s="8"/>
      <c r="B43" s="8"/>
      <c r="C43" s="8"/>
      <c r="D43" s="8"/>
      <c r="E43" s="8"/>
      <c r="F43" s="8"/>
      <c r="G43" s="8"/>
      <c r="H43" s="8">
        <v>19.0</v>
      </c>
      <c r="I43" s="8"/>
      <c r="J43" s="215">
        <f>IFERROR(__xludf.DUMMYFUNCTION("1/COS(RADIANS(REGEXEXTRACT(K43,""(\d+)"")))
"),1.071144993637029)</f>
        <v>1.071144994</v>
      </c>
      <c r="K43" s="8" t="s">
        <v>1024</v>
      </c>
      <c r="L43" s="126" t="s">
        <v>1071</v>
      </c>
      <c r="M43" s="215">
        <v>1.325</v>
      </c>
      <c r="N43" s="126" t="s">
        <v>1072</v>
      </c>
      <c r="O43" s="8"/>
      <c r="P43" s="8"/>
      <c r="Q43" s="701" t="s">
        <v>144</v>
      </c>
      <c r="R43" s="767" t="s">
        <v>385</v>
      </c>
      <c r="S43" s="126"/>
      <c r="T43" s="8"/>
      <c r="U43" s="1359"/>
      <c r="V43" s="8"/>
      <c r="W43" s="8"/>
      <c r="X43" s="8"/>
      <c r="Y43" s="8"/>
      <c r="Z43" s="8"/>
      <c r="AA43" s="8"/>
    </row>
    <row r="44">
      <c r="A44" s="8"/>
      <c r="B44" s="8"/>
      <c r="C44" s="8"/>
      <c r="D44" s="8"/>
      <c r="E44" s="8"/>
      <c r="F44" s="8"/>
      <c r="G44" s="8"/>
      <c r="H44" s="8">
        <v>19.5</v>
      </c>
      <c r="I44" s="8"/>
      <c r="J44" s="215">
        <f>IFERROR(__xludf.DUMMYFUNCTION("1/COS(RADIANS(REGEXEXTRACT(K44,""(\d+)"")))
"),1.071144993637029)</f>
        <v>1.071144994</v>
      </c>
      <c r="K44" s="8" t="s">
        <v>1073</v>
      </c>
      <c r="L44" s="126" t="s">
        <v>1074</v>
      </c>
      <c r="M44" s="215">
        <v>1.3456</v>
      </c>
      <c r="N44" s="126" t="s">
        <v>1075</v>
      </c>
      <c r="O44" s="8"/>
      <c r="P44" s="8"/>
      <c r="Q44" s="701" t="s">
        <v>388</v>
      </c>
      <c r="R44" s="767" t="s">
        <v>386</v>
      </c>
      <c r="S44" s="126"/>
      <c r="T44" s="8"/>
      <c r="U44" s="1359"/>
      <c r="V44" s="8"/>
      <c r="W44" s="8"/>
      <c r="X44" s="8"/>
      <c r="Y44" s="8"/>
      <c r="Z44" s="8"/>
      <c r="AA44" s="8"/>
    </row>
    <row r="45">
      <c r="A45" s="8"/>
      <c r="B45" s="8"/>
      <c r="C45" s="8"/>
      <c r="D45" s="8"/>
      <c r="E45" s="8"/>
      <c r="F45" s="8"/>
      <c r="G45" s="8"/>
      <c r="H45" s="8">
        <v>20.0</v>
      </c>
      <c r="I45" s="8"/>
      <c r="J45" s="215">
        <f>IFERROR(__xludf.DUMMYFUNCTION("1/COS(RADIANS(REGEXEXTRACT(K45,""(\d+)"")))
"),1.0785347426775833)</f>
        <v>1.078534743</v>
      </c>
      <c r="K45" s="8" t="s">
        <v>1027</v>
      </c>
      <c r="L45" s="126" t="s">
        <v>1076</v>
      </c>
      <c r="M45" s="215">
        <v>1.3673</v>
      </c>
      <c r="N45" s="126" t="s">
        <v>1077</v>
      </c>
      <c r="O45" s="8"/>
      <c r="P45" s="8"/>
      <c r="Q45" s="701" t="s">
        <v>389</v>
      </c>
      <c r="R45" s="767" t="s">
        <v>387</v>
      </c>
      <c r="S45" s="126"/>
      <c r="T45" s="8"/>
      <c r="U45" s="1359"/>
      <c r="V45" s="8"/>
      <c r="W45" s="8"/>
      <c r="X45" s="8"/>
      <c r="Y45" s="8"/>
      <c r="Z45" s="8"/>
      <c r="AA45" s="8"/>
    </row>
    <row r="46">
      <c r="A46" s="8"/>
      <c r="B46" s="8"/>
      <c r="C46" s="8"/>
      <c r="D46" s="8"/>
      <c r="E46" s="8"/>
      <c r="F46" s="8"/>
      <c r="G46" s="8"/>
      <c r="H46" s="8">
        <v>20.5</v>
      </c>
      <c r="I46" s="8"/>
      <c r="J46" s="215">
        <f>IFERROR(__xludf.DUMMYFUNCTION("1/COS(RADIANS(REGEXEXTRACT(K46,""(\d+)"")))
"),1.0785347426775833)</f>
        <v>1.078534743</v>
      </c>
      <c r="K46" s="8" t="s">
        <v>1078</v>
      </c>
      <c r="L46" s="126" t="s">
        <v>1079</v>
      </c>
      <c r="M46" s="215">
        <v>1.3902</v>
      </c>
      <c r="N46" s="126" t="s">
        <v>1080</v>
      </c>
      <c r="O46" s="8"/>
      <c r="P46" s="8"/>
      <c r="Q46" s="701" t="s">
        <v>390</v>
      </c>
      <c r="R46" s="767" t="s">
        <v>346</v>
      </c>
      <c r="S46" s="126"/>
      <c r="T46" s="8"/>
      <c r="U46" s="1359"/>
      <c r="V46" s="8"/>
      <c r="W46" s="8"/>
      <c r="X46" s="8"/>
      <c r="Y46" s="8"/>
      <c r="Z46" s="8"/>
      <c r="AA46" s="8"/>
    </row>
    <row r="47">
      <c r="A47" s="8"/>
      <c r="B47" s="8"/>
      <c r="C47" s="8"/>
      <c r="D47" s="8"/>
      <c r="E47" s="8"/>
      <c r="F47" s="8"/>
      <c r="G47" s="8"/>
      <c r="H47" s="8">
        <v>21.0</v>
      </c>
      <c r="I47" s="8"/>
      <c r="J47" s="215">
        <f>IFERROR(__xludf.DUMMYFUNCTION("1/COS(RADIANS(REGEXEXTRACT(K47,""(\d+)"")))
"),1.0863603774052961)</f>
        <v>1.086360377</v>
      </c>
      <c r="K47" s="8" t="s">
        <v>1029</v>
      </c>
      <c r="L47" s="126" t="s">
        <v>1081</v>
      </c>
      <c r="M47" s="215">
        <v>1.4142</v>
      </c>
      <c r="N47" s="126" t="s">
        <v>1082</v>
      </c>
      <c r="O47" s="8"/>
      <c r="P47" s="8"/>
      <c r="Q47" s="701" t="s">
        <v>391</v>
      </c>
      <c r="R47" s="767" t="s">
        <v>170</v>
      </c>
      <c r="S47" s="126"/>
      <c r="T47" s="8"/>
      <c r="U47" s="1359"/>
      <c r="V47" s="8"/>
      <c r="W47" s="8"/>
      <c r="X47" s="8"/>
      <c r="Y47" s="8"/>
      <c r="Z47" s="8"/>
      <c r="AA47" s="8"/>
    </row>
    <row r="48">
      <c r="A48" s="8"/>
      <c r="B48" s="8"/>
      <c r="C48" s="8"/>
      <c r="D48" s="8"/>
      <c r="E48" s="8"/>
      <c r="F48" s="8"/>
      <c r="G48" s="8"/>
      <c r="H48" s="8">
        <v>21.5</v>
      </c>
      <c r="I48" s="8"/>
      <c r="J48" s="215">
        <f>IFERROR(__xludf.DUMMYFUNCTION("1/COS(RADIANS(REGEXEXTRACT(K48,""(\d+)"")))
"),1.0863603774052961)</f>
        <v>1.086360377</v>
      </c>
      <c r="K48" s="8" t="s">
        <v>1083</v>
      </c>
      <c r="L48" s="126" t="s">
        <v>1084</v>
      </c>
      <c r="M48" s="215"/>
      <c r="N48" s="126" t="s">
        <v>1085</v>
      </c>
      <c r="O48" s="8"/>
      <c r="P48" s="8"/>
      <c r="Q48" s="767" t="s">
        <v>63</v>
      </c>
      <c r="R48" s="129"/>
      <c r="S48" s="126"/>
      <c r="T48" s="8"/>
      <c r="U48" s="1359"/>
      <c r="V48" s="8"/>
      <c r="W48" s="8"/>
      <c r="X48" s="8"/>
      <c r="Y48" s="8"/>
      <c r="Z48" s="8"/>
      <c r="AA48" s="8"/>
    </row>
    <row r="49">
      <c r="A49" s="8"/>
      <c r="B49" s="8"/>
      <c r="C49" s="8"/>
      <c r="D49" s="8"/>
      <c r="E49" s="8"/>
      <c r="F49" s="8"/>
      <c r="G49" s="8"/>
      <c r="H49" s="8">
        <v>22.0</v>
      </c>
      <c r="I49" s="8"/>
      <c r="J49" s="215">
        <f>IFERROR(__xludf.DUMMYFUNCTION("1/COS(RADIANS(REGEXEXTRACT(K49,""(\d+)"")))
"),1.0946362785060468)</f>
        <v>1.094636279</v>
      </c>
      <c r="K49" s="8" t="s">
        <v>1032</v>
      </c>
      <c r="L49" s="126" t="s">
        <v>1086</v>
      </c>
      <c r="M49" s="215"/>
      <c r="N49" s="126" t="s">
        <v>1087</v>
      </c>
      <c r="O49" s="8"/>
      <c r="P49" s="8"/>
      <c r="Q49" s="767" t="s">
        <v>66</v>
      </c>
      <c r="R49" s="129"/>
      <c r="S49" s="126"/>
      <c r="T49" s="8"/>
      <c r="U49" s="1359"/>
      <c r="V49" s="8"/>
      <c r="W49" s="8"/>
      <c r="X49" s="8"/>
      <c r="Y49" s="8"/>
      <c r="Z49" s="8"/>
      <c r="AA49" s="8"/>
    </row>
    <row r="50">
      <c r="A50" s="8"/>
      <c r="B50" s="8"/>
      <c r="C50" s="8"/>
      <c r="D50" s="8"/>
      <c r="E50" s="8"/>
      <c r="F50" s="8"/>
      <c r="G50" s="8"/>
      <c r="H50" s="8">
        <v>22.5</v>
      </c>
      <c r="I50" s="8"/>
      <c r="J50" s="215">
        <f>IFERROR(__xludf.DUMMYFUNCTION("1/COS(RADIANS(REGEXEXTRACT(K50,""(\d+)"")))
"),1.0946362785060468)</f>
        <v>1.094636279</v>
      </c>
      <c r="K50" s="8" t="s">
        <v>1088</v>
      </c>
      <c r="L50" s="126" t="s">
        <v>1089</v>
      </c>
      <c r="M50" s="215"/>
      <c r="N50" s="126" t="s">
        <v>668</v>
      </c>
      <c r="O50" s="8"/>
      <c r="P50" s="8"/>
      <c r="Q50" s="701" t="s">
        <v>392</v>
      </c>
      <c r="R50" s="129"/>
      <c r="S50" s="126"/>
      <c r="T50" s="8"/>
      <c r="U50" s="1359"/>
      <c r="V50" s="8"/>
      <c r="W50" s="8"/>
      <c r="X50" s="8"/>
      <c r="Y50" s="8"/>
      <c r="Z50" s="8"/>
      <c r="AA50" s="8"/>
    </row>
    <row r="51">
      <c r="A51" s="8"/>
      <c r="B51" s="8"/>
      <c r="C51" s="8"/>
      <c r="D51" s="8"/>
      <c r="E51" s="8"/>
      <c r="F51" s="8"/>
      <c r="G51" s="8"/>
      <c r="H51" s="8">
        <v>23.0</v>
      </c>
      <c r="I51" s="8"/>
      <c r="J51" s="215">
        <f>IFERROR(__xludf.DUMMYFUNCTION("1/COS(RADIANS(REGEXEXTRACT(K51,""(\d+)"")))
"),1.1033779189624917)</f>
        <v>1.103377919</v>
      </c>
      <c r="K51" s="8" t="s">
        <v>1034</v>
      </c>
      <c r="L51" s="126" t="s">
        <v>1090</v>
      </c>
      <c r="M51" s="215"/>
      <c r="N51" s="126" t="s">
        <v>1091</v>
      </c>
      <c r="O51" s="8"/>
      <c r="P51" s="8"/>
      <c r="Q51" s="701" t="s">
        <v>393</v>
      </c>
      <c r="R51" s="129"/>
      <c r="S51" s="126"/>
      <c r="T51" s="8"/>
      <c r="U51" s="1359"/>
      <c r="V51" s="8"/>
      <c r="W51" s="8"/>
      <c r="X51" s="8"/>
      <c r="Y51" s="8"/>
      <c r="Z51" s="8"/>
      <c r="AA51" s="8"/>
    </row>
    <row r="52">
      <c r="A52" s="8"/>
      <c r="B52" s="8"/>
      <c r="C52" s="8"/>
      <c r="D52" s="8"/>
      <c r="E52" s="8"/>
      <c r="F52" s="8"/>
      <c r="G52" s="8"/>
      <c r="H52" s="8">
        <v>23.5</v>
      </c>
      <c r="I52" s="8"/>
      <c r="J52" s="215">
        <f>IFERROR(__xludf.DUMMYFUNCTION("1/COS(RADIANS(REGEXEXTRACT(K52,""(\d+)"")))
"),1.1033779189624917)</f>
        <v>1.103377919</v>
      </c>
      <c r="K52" s="8" t="s">
        <v>1092</v>
      </c>
      <c r="L52" s="126" t="s">
        <v>1093</v>
      </c>
      <c r="M52" s="215"/>
      <c r="N52" s="126" t="s">
        <v>1094</v>
      </c>
      <c r="O52" s="8"/>
      <c r="P52" s="8"/>
      <c r="Q52" s="767" t="s">
        <v>60</v>
      </c>
      <c r="R52" s="1369"/>
      <c r="S52" s="126"/>
      <c r="T52" s="8"/>
      <c r="U52" s="1359"/>
      <c r="V52" s="8"/>
      <c r="W52" s="8"/>
      <c r="X52" s="8"/>
      <c r="Y52" s="8"/>
      <c r="Z52" s="8"/>
      <c r="AA52" s="8"/>
    </row>
    <row r="53">
      <c r="A53" s="8"/>
      <c r="B53" s="8"/>
      <c r="C53" s="8"/>
      <c r="D53" s="8"/>
      <c r="E53" s="8"/>
      <c r="F53" s="8"/>
      <c r="G53" s="8"/>
      <c r="H53" s="8">
        <v>24.0</v>
      </c>
      <c r="I53" s="8"/>
      <c r="J53" s="215">
        <f>IFERROR(__xludf.DUMMYFUNCTION("1/COS(RADIANS(REGEXEXTRACT(K53,""(\d+)"")))
"),1.1126019404751888)</f>
        <v>1.11260194</v>
      </c>
      <c r="K53" s="8" t="s">
        <v>1037</v>
      </c>
      <c r="L53" s="126" t="s">
        <v>1095</v>
      </c>
      <c r="M53" s="215"/>
      <c r="N53" s="126" t="s">
        <v>1096</v>
      </c>
      <c r="O53" s="8"/>
      <c r="P53" s="8"/>
      <c r="Q53" s="701" t="s">
        <v>394</v>
      </c>
      <c r="R53" s="1369"/>
      <c r="S53" s="126"/>
      <c r="T53" s="8"/>
      <c r="U53" s="1359"/>
      <c r="V53" s="8"/>
      <c r="W53" s="8"/>
      <c r="X53" s="8"/>
      <c r="Y53" s="8"/>
      <c r="Z53" s="8"/>
      <c r="AA53" s="8"/>
    </row>
    <row r="54">
      <c r="A54" s="8"/>
      <c r="B54" s="8"/>
      <c r="C54" s="8"/>
      <c r="D54" s="8"/>
      <c r="E54" s="8"/>
      <c r="F54" s="8"/>
      <c r="G54" s="8"/>
      <c r="H54" s="8">
        <v>24.5</v>
      </c>
      <c r="I54" s="8"/>
      <c r="J54" s="215">
        <f>IFERROR(__xludf.DUMMYFUNCTION("1/COS(RADIANS(REGEXEXTRACT(K54,""(\d+)"")))
"),1.1126019404751888)</f>
        <v>1.11260194</v>
      </c>
      <c r="K54" s="8" t="s">
        <v>1097</v>
      </c>
      <c r="L54" s="126" t="s">
        <v>1098</v>
      </c>
      <c r="M54" s="215"/>
      <c r="N54" s="126" t="s">
        <v>1099</v>
      </c>
      <c r="O54" s="8"/>
      <c r="P54" s="8"/>
      <c r="Q54" s="701" t="s">
        <v>395</v>
      </c>
      <c r="R54" s="1369"/>
      <c r="S54" s="126"/>
      <c r="T54" s="8"/>
      <c r="U54" s="1359"/>
      <c r="V54" s="8"/>
      <c r="W54" s="8"/>
      <c r="X54" s="8"/>
      <c r="Y54" s="8"/>
      <c r="Z54" s="8"/>
      <c r="AA54" s="8"/>
    </row>
    <row r="55">
      <c r="A55" s="8"/>
      <c r="B55" s="8"/>
      <c r="C55" s="8"/>
      <c r="D55" s="8"/>
      <c r="E55" s="8"/>
      <c r="F55" s="8"/>
      <c r="G55" s="8"/>
      <c r="H55" s="8">
        <v>25.0</v>
      </c>
      <c r="I55" s="8"/>
      <c r="J55" s="215">
        <f>IFERROR(__xludf.DUMMYFUNCTION("1/COS(RADIANS(REGEXEXTRACT(K55,""(\d+)"")))
"),1.1223262376343608)</f>
        <v>1.122326238</v>
      </c>
      <c r="K55" s="8" t="s">
        <v>1040</v>
      </c>
      <c r="L55" s="126" t="s">
        <v>1100</v>
      </c>
      <c r="M55" s="215"/>
      <c r="N55" s="126" t="s">
        <v>1101</v>
      </c>
      <c r="O55" s="8"/>
      <c r="P55" s="8"/>
      <c r="Q55" s="701" t="s">
        <v>101</v>
      </c>
      <c r="R55" s="1369"/>
      <c r="S55" s="126"/>
      <c r="T55" s="8"/>
      <c r="U55" s="1359"/>
      <c r="V55" s="8"/>
      <c r="W55" s="8"/>
      <c r="X55" s="8"/>
      <c r="Y55" s="8"/>
      <c r="Z55" s="8"/>
      <c r="AA55" s="8"/>
    </row>
    <row r="56">
      <c r="A56" s="8"/>
      <c r="B56" s="8"/>
      <c r="C56" s="8"/>
      <c r="D56" s="8"/>
      <c r="E56" s="8"/>
      <c r="F56" s="8"/>
      <c r="G56" s="8"/>
      <c r="H56" s="8">
        <v>25.5</v>
      </c>
      <c r="I56" s="8"/>
      <c r="J56" s="215">
        <f>IFERROR(__xludf.DUMMYFUNCTION("1/COS(RADIANS(REGEXEXTRACT(K56,""(\d+)"")))
"),1.1223262376343608)</f>
        <v>1.122326238</v>
      </c>
      <c r="K56" s="8" t="s">
        <v>1102</v>
      </c>
      <c r="L56" s="126" t="s">
        <v>1103</v>
      </c>
      <c r="M56" s="215"/>
      <c r="N56" s="126" t="s">
        <v>1104</v>
      </c>
      <c r="O56" s="8"/>
      <c r="P56" s="8"/>
      <c r="Q56" s="767" t="s">
        <v>124</v>
      </c>
      <c r="R56" s="1369"/>
      <c r="S56" s="126"/>
      <c r="T56" s="8"/>
      <c r="U56" s="1359"/>
      <c r="V56" s="8"/>
      <c r="W56" s="8"/>
      <c r="X56" s="8"/>
      <c r="Y56" s="8"/>
      <c r="Z56" s="8"/>
      <c r="AA56" s="8"/>
    </row>
    <row r="57">
      <c r="A57" s="8"/>
      <c r="B57" s="8"/>
      <c r="C57" s="8"/>
      <c r="D57" s="8"/>
      <c r="E57" s="8"/>
      <c r="F57" s="8"/>
      <c r="G57" s="8"/>
      <c r="H57" s="8">
        <v>26.0</v>
      </c>
      <c r="I57" s="8"/>
      <c r="J57" s="215">
        <f>IFERROR(__xludf.DUMMYFUNCTION("1/COS(RADIANS(REGEXEXTRACT(K57,""(\d+)"")))
"),1.132570050689039)</f>
        <v>1.132570051</v>
      </c>
      <c r="K57" s="8" t="s">
        <v>1043</v>
      </c>
      <c r="L57" s="126" t="s">
        <v>1105</v>
      </c>
      <c r="M57" s="215"/>
      <c r="N57" s="126" t="s">
        <v>146</v>
      </c>
      <c r="O57" s="8"/>
      <c r="P57" s="8"/>
      <c r="Q57" s="701" t="s">
        <v>92</v>
      </c>
      <c r="R57" s="1369"/>
      <c r="S57" s="126"/>
      <c r="T57" s="8"/>
      <c r="U57" s="1359"/>
      <c r="V57" s="8"/>
      <c r="W57" s="8"/>
      <c r="X57" s="8"/>
      <c r="Y57" s="8"/>
      <c r="Z57" s="8"/>
      <c r="AA57" s="8"/>
    </row>
    <row r="58">
      <c r="A58" s="8"/>
      <c r="B58" s="8"/>
      <c r="C58" s="8"/>
      <c r="D58" s="8"/>
      <c r="E58" s="8"/>
      <c r="F58" s="8"/>
      <c r="G58" s="8"/>
      <c r="H58" s="8">
        <v>26.5</v>
      </c>
      <c r="I58" s="8"/>
      <c r="J58" s="215">
        <f>IFERROR(__xludf.DUMMYFUNCTION("1/COS(RADIANS(REGEXEXTRACT(K58,""(\d+)"")))
"),1.132570050689039)</f>
        <v>1.132570051</v>
      </c>
      <c r="K58" s="8" t="s">
        <v>1106</v>
      </c>
      <c r="L58" s="126" t="s">
        <v>1107</v>
      </c>
      <c r="M58" s="215"/>
      <c r="N58" s="126"/>
      <c r="O58" s="8"/>
      <c r="P58" s="8"/>
      <c r="Q58" s="701" t="s">
        <v>396</v>
      </c>
      <c r="R58" s="1369"/>
      <c r="S58" s="126"/>
      <c r="T58" s="8"/>
      <c r="U58" s="1359"/>
      <c r="V58" s="8"/>
      <c r="W58" s="8"/>
      <c r="X58" s="8"/>
      <c r="Y58" s="8"/>
      <c r="Z58" s="8"/>
      <c r="AA58" s="8"/>
    </row>
    <row r="59">
      <c r="A59" s="8"/>
      <c r="B59" s="8"/>
      <c r="C59" s="8"/>
      <c r="D59" s="8"/>
      <c r="E59" s="8"/>
      <c r="F59" s="8"/>
      <c r="G59" s="8"/>
      <c r="H59" s="8">
        <v>27.0</v>
      </c>
      <c r="I59" s="8"/>
      <c r="J59" s="215">
        <f>IFERROR(__xludf.DUMMYFUNCTION("1/COS(RADIANS(REGEXEXTRACT(K59,""(\d+)"")))
"),1.14335406787332)</f>
        <v>1.143354068</v>
      </c>
      <c r="K59" s="8" t="s">
        <v>1044</v>
      </c>
      <c r="L59" s="126" t="s">
        <v>1108</v>
      </c>
      <c r="M59" s="215"/>
      <c r="N59" s="126"/>
      <c r="O59" s="8"/>
      <c r="P59" s="8"/>
      <c r="Q59" s="701" t="s">
        <v>397</v>
      </c>
      <c r="R59" s="1369"/>
      <c r="S59" s="126"/>
      <c r="T59" s="8"/>
      <c r="U59" s="1359"/>
      <c r="V59" s="8"/>
      <c r="W59" s="8"/>
      <c r="X59" s="8"/>
      <c r="Y59" s="8"/>
      <c r="Z59" s="8"/>
      <c r="AA59" s="8"/>
    </row>
    <row r="60">
      <c r="A60" s="8"/>
      <c r="B60" s="8"/>
      <c r="C60" s="8"/>
      <c r="D60" s="8"/>
      <c r="E60" s="8"/>
      <c r="F60" s="8"/>
      <c r="G60" s="8"/>
      <c r="H60" s="8">
        <v>27.5</v>
      </c>
      <c r="I60" s="8"/>
      <c r="J60" s="215">
        <f>IFERROR(__xludf.DUMMYFUNCTION("1/COS(RADIANS(REGEXEXTRACT(K60,""(\d+)"")))
"),1.14335406787332)</f>
        <v>1.143354068</v>
      </c>
      <c r="K60" s="8" t="s">
        <v>1109</v>
      </c>
      <c r="L60" s="126" t="s">
        <v>1110</v>
      </c>
      <c r="M60" s="215"/>
      <c r="N60" s="126"/>
      <c r="O60" s="8"/>
      <c r="P60" s="8"/>
      <c r="Q60" s="701" t="s">
        <v>40</v>
      </c>
      <c r="R60" s="1369"/>
      <c r="S60" s="126"/>
      <c r="T60" s="8"/>
      <c r="U60" s="1359"/>
      <c r="V60" s="8"/>
      <c r="W60" s="8"/>
      <c r="X60" s="8"/>
      <c r="Y60" s="8"/>
      <c r="Z60" s="8"/>
      <c r="AA60" s="8"/>
    </row>
    <row r="61">
      <c r="A61" s="8"/>
      <c r="B61" s="8"/>
      <c r="C61" s="8"/>
      <c r="D61" s="8"/>
      <c r="E61" s="8"/>
      <c r="F61" s="8"/>
      <c r="G61" s="8"/>
      <c r="H61" s="8">
        <v>28.0</v>
      </c>
      <c r="I61" s="8"/>
      <c r="J61" s="215">
        <f>IFERROR(__xludf.DUMMYFUNCTION("1/COS(RADIANS(REGEXEXTRACT(K61,""(\d+)"")))
"),1.1547005383792515)</f>
        <v>1.154700538</v>
      </c>
      <c r="K61" s="8" t="s">
        <v>1046</v>
      </c>
      <c r="L61" s="126" t="s">
        <v>1111</v>
      </c>
      <c r="M61" s="215"/>
      <c r="N61" s="126"/>
      <c r="O61" s="8"/>
      <c r="P61" s="8"/>
      <c r="Q61" s="701" t="s">
        <v>99</v>
      </c>
      <c r="R61" s="1369"/>
      <c r="S61" s="126"/>
      <c r="T61" s="8"/>
      <c r="U61" s="1359"/>
      <c r="V61" s="8"/>
      <c r="W61" s="8"/>
      <c r="X61" s="8"/>
      <c r="Y61" s="8"/>
      <c r="Z61" s="8"/>
      <c r="AA61" s="8"/>
    </row>
    <row r="62">
      <c r="A62" s="8"/>
      <c r="B62" s="8"/>
      <c r="C62" s="8"/>
      <c r="D62" s="8"/>
      <c r="E62" s="8"/>
      <c r="F62" s="8"/>
      <c r="G62" s="8"/>
      <c r="H62" s="8">
        <v>28.5</v>
      </c>
      <c r="I62" s="8"/>
      <c r="J62" s="215">
        <f>IFERROR(__xludf.DUMMYFUNCTION("1/COS(RADIANS(REGEXEXTRACT(K62,""(\d+)"")))
"),1.1547005383792515)</f>
        <v>1.154700538</v>
      </c>
      <c r="K62" s="8" t="s">
        <v>1112</v>
      </c>
      <c r="L62" s="126" t="s">
        <v>1113</v>
      </c>
      <c r="M62" s="215"/>
      <c r="N62" s="126"/>
      <c r="O62" s="8"/>
      <c r="P62" s="8"/>
      <c r="Q62" s="701" t="s">
        <v>398</v>
      </c>
      <c r="R62" s="1369"/>
      <c r="S62" s="126"/>
      <c r="T62" s="8"/>
      <c r="U62" s="1359"/>
      <c r="V62" s="8"/>
      <c r="W62" s="8"/>
      <c r="X62" s="8"/>
      <c r="Y62" s="8"/>
      <c r="Z62" s="8"/>
      <c r="AA62" s="8"/>
    </row>
    <row r="63">
      <c r="A63" s="8"/>
      <c r="B63" s="8"/>
      <c r="C63" s="8"/>
      <c r="D63" s="8"/>
      <c r="E63" s="8"/>
      <c r="F63" s="8"/>
      <c r="G63" s="8"/>
      <c r="H63" s="8">
        <v>29.0</v>
      </c>
      <c r="I63" s="8"/>
      <c r="J63" s="215">
        <f>IFERROR(__xludf.DUMMYFUNCTION("1/COS(RADIANS(REGEXEXTRACT(K63,""(\d+)"")))
"),1.1666333972153304)</f>
        <v>1.166633397</v>
      </c>
      <c r="K63" s="8" t="s">
        <v>1047</v>
      </c>
      <c r="L63" s="126" t="s">
        <v>1114</v>
      </c>
      <c r="M63" s="215"/>
      <c r="N63" s="126"/>
      <c r="O63" s="8"/>
      <c r="P63" s="8"/>
      <c r="Q63" s="701" t="s">
        <v>399</v>
      </c>
      <c r="R63" s="1369"/>
      <c r="S63" s="126"/>
      <c r="T63" s="8"/>
      <c r="U63" s="1359"/>
      <c r="V63" s="8"/>
      <c r="W63" s="8"/>
      <c r="X63" s="8"/>
      <c r="Y63" s="8"/>
      <c r="Z63" s="8"/>
      <c r="AA63" s="8"/>
    </row>
    <row r="64">
      <c r="A64" s="8"/>
      <c r="B64" s="8"/>
      <c r="C64" s="8"/>
      <c r="D64" s="8"/>
      <c r="E64" s="8"/>
      <c r="F64" s="8"/>
      <c r="G64" s="8"/>
      <c r="H64" s="8">
        <v>29.5</v>
      </c>
      <c r="I64" s="8"/>
      <c r="J64" s="215">
        <f>IFERROR(__xludf.DUMMYFUNCTION("1/COS(RADIANS(REGEXEXTRACT(K64,""(\d+)"")))
"),1.1666333972153304)</f>
        <v>1.166633397</v>
      </c>
      <c r="K64" s="8" t="s">
        <v>1115</v>
      </c>
      <c r="L64" s="126" t="s">
        <v>1116</v>
      </c>
      <c r="M64" s="215"/>
      <c r="N64" s="126"/>
      <c r="O64" s="8"/>
      <c r="P64" s="8"/>
      <c r="Q64" s="701" t="s">
        <v>400</v>
      </c>
      <c r="R64" s="1369"/>
      <c r="S64" s="126"/>
      <c r="T64" s="8"/>
      <c r="U64" s="1359"/>
      <c r="V64" s="8"/>
      <c r="W64" s="8"/>
      <c r="X64" s="8"/>
      <c r="Y64" s="8"/>
      <c r="Z64" s="8"/>
      <c r="AA64" s="8"/>
    </row>
    <row r="65">
      <c r="A65" s="8"/>
      <c r="B65" s="8"/>
      <c r="C65" s="8"/>
      <c r="D65" s="8"/>
      <c r="E65" s="8"/>
      <c r="F65" s="8"/>
      <c r="G65" s="8"/>
      <c r="H65" s="8">
        <v>30.0</v>
      </c>
      <c r="I65" s="8"/>
      <c r="J65" s="215">
        <f>IFERROR(__xludf.DUMMYFUNCTION("1/COS(RADIANS(REGEXEXTRACT(K65,""(\d+)"")))
"),1.1791784033620965)</f>
        <v>1.179178403</v>
      </c>
      <c r="K65" s="8" t="s">
        <v>1050</v>
      </c>
      <c r="L65" s="126" t="s">
        <v>1117</v>
      </c>
      <c r="M65" s="215"/>
      <c r="N65" s="126"/>
      <c r="O65" s="8"/>
      <c r="P65" s="8"/>
      <c r="Q65" s="701" t="s">
        <v>401</v>
      </c>
      <c r="R65" s="1369"/>
      <c r="S65" s="126"/>
      <c r="T65" s="8"/>
      <c r="U65" s="1359"/>
      <c r="V65" s="8"/>
      <c r="W65" s="8"/>
      <c r="X65" s="8"/>
      <c r="Y65" s="8"/>
      <c r="Z65" s="8"/>
      <c r="AA65" s="8"/>
    </row>
    <row r="66">
      <c r="A66" s="8"/>
      <c r="B66" s="8"/>
      <c r="C66" s="8"/>
      <c r="D66" s="8"/>
      <c r="E66" s="8"/>
      <c r="F66" s="8"/>
      <c r="G66" s="8"/>
      <c r="H66" s="8">
        <v>30.5</v>
      </c>
      <c r="I66" s="8"/>
      <c r="J66" s="215">
        <f>IFERROR(__xludf.DUMMYFUNCTION("1/COS(RADIANS(REGEXEXTRACT(K66,""(\d+)"")))
"),1.1791784033620965)</f>
        <v>1.179178403</v>
      </c>
      <c r="K66" s="8" t="s">
        <v>1118</v>
      </c>
      <c r="L66" s="126" t="s">
        <v>1119</v>
      </c>
      <c r="M66" s="215"/>
      <c r="N66" s="126"/>
      <c r="O66" s="8"/>
      <c r="P66" s="8"/>
      <c r="Q66" s="701" t="s">
        <v>402</v>
      </c>
      <c r="R66" s="1369"/>
      <c r="S66" s="126"/>
      <c r="T66" s="8"/>
      <c r="U66" s="1359"/>
      <c r="V66" s="8"/>
      <c r="W66" s="8"/>
      <c r="X66" s="8"/>
      <c r="Y66" s="8"/>
      <c r="Z66" s="8"/>
      <c r="AA66" s="8"/>
    </row>
    <row r="67">
      <c r="A67" s="8"/>
      <c r="B67" s="8"/>
      <c r="C67" s="8"/>
      <c r="D67" s="8"/>
      <c r="E67" s="8"/>
      <c r="F67" s="8"/>
      <c r="G67" s="8"/>
      <c r="H67" s="8">
        <v>31.0</v>
      </c>
      <c r="I67" s="8"/>
      <c r="J67" s="215">
        <f>IFERROR(__xludf.DUMMYFUNCTION("1/COS(RADIANS(REGEXEXTRACT(K67,""(\d+)"")))
"),1.1923632928359473)</f>
        <v>1.192363293</v>
      </c>
      <c r="K67" s="8" t="s">
        <v>1052</v>
      </c>
      <c r="L67" s="126" t="s">
        <v>1120</v>
      </c>
      <c r="M67" s="215"/>
      <c r="N67" s="126"/>
      <c r="O67" s="8"/>
      <c r="P67" s="8"/>
      <c r="Q67" s="701" t="s">
        <v>133</v>
      </c>
      <c r="R67" s="1369"/>
      <c r="S67" s="126"/>
      <c r="T67" s="8"/>
      <c r="U67" s="1359"/>
      <c r="V67" s="8"/>
      <c r="W67" s="8"/>
      <c r="X67" s="8"/>
      <c r="Y67" s="8"/>
      <c r="Z67" s="8"/>
      <c r="AA67" s="8"/>
    </row>
    <row r="68">
      <c r="A68" s="8"/>
      <c r="B68" s="8"/>
      <c r="C68" s="8"/>
      <c r="D68" s="8"/>
      <c r="E68" s="8"/>
      <c r="F68" s="8"/>
      <c r="G68" s="8"/>
      <c r="H68" s="8">
        <v>31.5</v>
      </c>
      <c r="I68" s="8"/>
      <c r="J68" s="215">
        <f>IFERROR(__xludf.DUMMYFUNCTION("1/COS(RADIANS(REGEXEXTRACT(K68,""(\d+)"")))
"),1.1923632928359473)</f>
        <v>1.192363293</v>
      </c>
      <c r="K68" s="8" t="s">
        <v>1121</v>
      </c>
      <c r="L68" s="126" t="s">
        <v>1122</v>
      </c>
      <c r="M68" s="215"/>
      <c r="N68" s="126"/>
      <c r="O68" s="8"/>
      <c r="P68" s="8"/>
      <c r="Q68" s="701" t="s">
        <v>69</v>
      </c>
      <c r="R68" s="1369"/>
      <c r="S68" s="126"/>
      <c r="T68" s="8"/>
      <c r="U68" s="1359"/>
      <c r="V68" s="8"/>
      <c r="W68" s="8"/>
      <c r="X68" s="8"/>
      <c r="Y68" s="8"/>
      <c r="Z68" s="8"/>
      <c r="AA68" s="8"/>
    </row>
    <row r="69">
      <c r="A69" s="8"/>
      <c r="B69" s="8"/>
      <c r="C69" s="8"/>
      <c r="D69" s="8"/>
      <c r="E69" s="8"/>
      <c r="F69" s="8"/>
      <c r="G69" s="8"/>
      <c r="H69" s="8">
        <v>32.0</v>
      </c>
      <c r="I69" s="8"/>
      <c r="J69" s="215">
        <f>IFERROR(__xludf.DUMMYFUNCTION("1/COS(RADIANS(REGEXEXTRACT(K69,""(\d+)"")))
"),1.2062179485039055)</f>
        <v>1.206217949</v>
      </c>
      <c r="K69" s="8" t="s">
        <v>1055</v>
      </c>
      <c r="L69" s="126" t="s">
        <v>1123</v>
      </c>
      <c r="M69" s="215"/>
      <c r="N69" s="126"/>
      <c r="O69" s="8"/>
      <c r="P69" s="8"/>
      <c r="Q69" s="701" t="s">
        <v>403</v>
      </c>
      <c r="R69" s="1369"/>
      <c r="S69" s="126"/>
      <c r="T69" s="8"/>
      <c r="U69" s="1359"/>
      <c r="V69" s="8"/>
      <c r="W69" s="8"/>
      <c r="X69" s="8"/>
      <c r="Y69" s="8"/>
      <c r="Z69" s="8"/>
      <c r="AA69" s="8"/>
    </row>
    <row r="70">
      <c r="A70" s="8"/>
      <c r="B70" s="8"/>
      <c r="C70" s="8"/>
      <c r="D70" s="8"/>
      <c r="E70" s="8"/>
      <c r="F70" s="8"/>
      <c r="G70" s="8"/>
      <c r="H70" s="8">
        <v>32.5</v>
      </c>
      <c r="I70" s="8"/>
      <c r="J70" s="215">
        <f>IFERROR(__xludf.DUMMYFUNCTION("1/COS(RADIANS(REGEXEXTRACT(K70,""(\d+)"")))
"),1.2062179485039055)</f>
        <v>1.206217949</v>
      </c>
      <c r="K70" s="8" t="s">
        <v>1124</v>
      </c>
      <c r="L70" s="126" t="s">
        <v>1125</v>
      </c>
      <c r="M70" s="215"/>
      <c r="N70" s="126"/>
      <c r="O70" s="8"/>
      <c r="P70" s="8"/>
      <c r="Q70" s="701" t="s">
        <v>404</v>
      </c>
      <c r="R70" s="1369"/>
      <c r="S70" s="126"/>
      <c r="T70" s="8"/>
      <c r="U70" s="1359"/>
      <c r="V70" s="8"/>
      <c r="W70" s="8"/>
      <c r="X70" s="8"/>
      <c r="Y70" s="8"/>
      <c r="Z70" s="8"/>
      <c r="AA70" s="8"/>
    </row>
    <row r="71">
      <c r="A71" s="8"/>
      <c r="B71" s="8"/>
      <c r="C71" s="8"/>
      <c r="D71" s="8"/>
      <c r="E71" s="8"/>
      <c r="F71" s="8"/>
      <c r="G71" s="8"/>
      <c r="H71" s="8">
        <v>33.0</v>
      </c>
      <c r="I71" s="8"/>
      <c r="J71" s="215">
        <f>IFERROR(__xludf.DUMMYFUNCTION("1/COS(RADIANS(REGEXEXTRACT(K71,""(\d+)"")))
"),1.220774588761456)</f>
        <v>1.220774589</v>
      </c>
      <c r="K71" s="8" t="s">
        <v>1056</v>
      </c>
      <c r="L71" s="126" t="s">
        <v>1126</v>
      </c>
      <c r="M71" s="215"/>
      <c r="N71" s="126"/>
      <c r="O71" s="8"/>
      <c r="P71" s="8"/>
      <c r="Q71" s="701" t="s">
        <v>405</v>
      </c>
      <c r="R71" s="1369"/>
      <c r="S71" s="126"/>
      <c r="T71" s="8"/>
      <c r="U71" s="1359"/>
      <c r="V71" s="8"/>
      <c r="W71" s="8"/>
      <c r="X71" s="8"/>
      <c r="Y71" s="8"/>
      <c r="Z71" s="8"/>
      <c r="AA71" s="8"/>
    </row>
    <row r="72">
      <c r="A72" s="8"/>
      <c r="B72" s="8"/>
      <c r="C72" s="8"/>
      <c r="D72" s="8"/>
      <c r="E72" s="8"/>
      <c r="F72" s="8"/>
      <c r="G72" s="8"/>
      <c r="H72" s="8">
        <v>33.5</v>
      </c>
      <c r="I72" s="8"/>
      <c r="J72" s="215">
        <f>IFERROR(__xludf.DUMMYFUNCTION("1/COS(RADIANS(REGEXEXTRACT(K72,""(\d+)"")))
"),1.220774588761456)</f>
        <v>1.220774589</v>
      </c>
      <c r="K72" s="8" t="s">
        <v>1127</v>
      </c>
      <c r="L72" s="126" t="s">
        <v>1128</v>
      </c>
      <c r="M72" s="215"/>
      <c r="N72" s="126"/>
      <c r="O72" s="8"/>
      <c r="P72" s="8"/>
      <c r="Q72" s="701" t="s">
        <v>406</v>
      </c>
      <c r="R72" s="1369"/>
      <c r="S72" s="126"/>
      <c r="T72" s="8"/>
      <c r="U72" s="1359"/>
      <c r="V72" s="8"/>
      <c r="W72" s="8"/>
      <c r="X72" s="8"/>
      <c r="Y72" s="8"/>
      <c r="Z72" s="8"/>
      <c r="AA72" s="8"/>
    </row>
    <row r="73">
      <c r="A73" s="8"/>
      <c r="B73" s="8"/>
      <c r="C73" s="8"/>
      <c r="D73" s="8"/>
      <c r="E73" s="8"/>
      <c r="F73" s="8"/>
      <c r="G73" s="8"/>
      <c r="H73" s="8">
        <v>34.0</v>
      </c>
      <c r="I73" s="8"/>
      <c r="J73" s="215">
        <f>IFERROR(__xludf.DUMMYFUNCTION("1/COS(RADIANS(REGEXEXTRACT(K73,""(\d+)"")))
"),1.2360679774997896)</f>
        <v>1.236067977</v>
      </c>
      <c r="K73" s="8" t="s">
        <v>1059</v>
      </c>
      <c r="L73" s="126" t="s">
        <v>1129</v>
      </c>
      <c r="M73" s="215"/>
      <c r="N73" s="126"/>
      <c r="O73" s="8"/>
      <c r="P73" s="8"/>
      <c r="Q73" s="701" t="s">
        <v>407</v>
      </c>
      <c r="R73" s="1369"/>
      <c r="S73" s="126"/>
      <c r="T73" s="8"/>
      <c r="U73" s="1359"/>
      <c r="V73" s="8"/>
      <c r="W73" s="8"/>
      <c r="X73" s="8"/>
      <c r="Y73" s="8"/>
      <c r="Z73" s="8"/>
      <c r="AA73" s="8"/>
    </row>
    <row r="74">
      <c r="A74" s="8"/>
      <c r="B74" s="8"/>
      <c r="C74" s="8"/>
      <c r="D74" s="8"/>
      <c r="E74" s="8"/>
      <c r="F74" s="8"/>
      <c r="G74" s="8"/>
      <c r="H74" s="8">
        <v>34.5</v>
      </c>
      <c r="I74" s="8"/>
      <c r="J74" s="215">
        <f>IFERROR(__xludf.DUMMYFUNCTION("1/COS(RADIANS(REGEXEXTRACT(K74,""(\d+)"")))
"),1.2360679774997896)</f>
        <v>1.236067977</v>
      </c>
      <c r="K74" s="8" t="s">
        <v>1130</v>
      </c>
      <c r="L74" s="126" t="s">
        <v>1131</v>
      </c>
      <c r="M74" s="215"/>
      <c r="N74" s="126"/>
      <c r="O74" s="8"/>
      <c r="P74" s="8"/>
      <c r="Q74" s="701" t="s">
        <v>408</v>
      </c>
      <c r="R74" s="1369"/>
      <c r="S74" s="126"/>
      <c r="T74" s="8"/>
      <c r="U74" s="1359"/>
      <c r="V74" s="8"/>
      <c r="W74" s="8"/>
      <c r="X74" s="8"/>
      <c r="Y74" s="8"/>
      <c r="Z74" s="8"/>
      <c r="AA74" s="8"/>
    </row>
    <row r="75">
      <c r="A75" s="8"/>
      <c r="B75" s="8"/>
      <c r="C75" s="8"/>
      <c r="D75" s="8"/>
      <c r="E75" s="8"/>
      <c r="F75" s="8"/>
      <c r="G75" s="8"/>
      <c r="H75" s="8">
        <v>35.0</v>
      </c>
      <c r="I75" s="8"/>
      <c r="J75" s="215">
        <f>IFERROR(__xludf.DUMMYFUNCTION("1/COS(RADIANS(REGEXEXTRACT(K75,""(\d+)"")))
"),1.2521356581562257)</f>
        <v>1.252135658</v>
      </c>
      <c r="K75" s="8" t="s">
        <v>1061</v>
      </c>
      <c r="L75" s="126" t="s">
        <v>1132</v>
      </c>
      <c r="M75" s="215"/>
      <c r="N75" s="126"/>
      <c r="O75" s="8"/>
      <c r="P75" s="8"/>
      <c r="Q75" s="701" t="s">
        <v>409</v>
      </c>
      <c r="R75" s="1369"/>
      <c r="S75" s="126"/>
      <c r="T75" s="8"/>
      <c r="U75" s="1359"/>
      <c r="V75" s="8"/>
      <c r="W75" s="8"/>
      <c r="X75" s="8"/>
      <c r="Y75" s="8"/>
      <c r="Z75" s="8"/>
      <c r="AA75" s="8"/>
    </row>
    <row r="76">
      <c r="A76" s="8"/>
      <c r="B76" s="8"/>
      <c r="C76" s="8"/>
      <c r="D76" s="8"/>
      <c r="E76" s="8"/>
      <c r="F76" s="8"/>
      <c r="G76" s="8"/>
      <c r="H76" s="8">
        <v>35.5</v>
      </c>
      <c r="I76" s="8"/>
      <c r="J76" s="215">
        <f>IFERROR(__xludf.DUMMYFUNCTION("1/COS(RADIANS(REGEXEXTRACT(K76,""(\d+)"")))
"),1.2521356581562257)</f>
        <v>1.252135658</v>
      </c>
      <c r="K76" s="8" t="s">
        <v>1133</v>
      </c>
      <c r="L76" s="126" t="s">
        <v>1134</v>
      </c>
      <c r="M76" s="215"/>
      <c r="N76" s="126"/>
      <c r="O76" s="8"/>
      <c r="P76" s="8"/>
      <c r="Q76" s="701" t="s">
        <v>410</v>
      </c>
      <c r="R76" s="1369"/>
      <c r="S76" s="126"/>
      <c r="T76" s="8"/>
      <c r="U76" s="1359"/>
      <c r="V76" s="8"/>
      <c r="W76" s="8"/>
      <c r="X76" s="8"/>
      <c r="Y76" s="8"/>
      <c r="Z76" s="8"/>
      <c r="AA76" s="8"/>
    </row>
    <row r="77">
      <c r="A77" s="8"/>
      <c r="B77" s="8"/>
      <c r="C77" s="8"/>
      <c r="D77" s="8"/>
      <c r="E77" s="8"/>
      <c r="F77" s="8"/>
      <c r="G77" s="8"/>
      <c r="H77" s="8">
        <v>36.0</v>
      </c>
      <c r="I77" s="8"/>
      <c r="J77" s="215">
        <f>IFERROR(__xludf.DUMMYFUNCTION("1/COS(RADIANS(REGEXEXTRACT(K77,""(\d+)"")))
"),1.2690182150725788)</f>
        <v>1.269018215</v>
      </c>
      <c r="K77" s="8" t="s">
        <v>1064</v>
      </c>
      <c r="L77" s="126" t="s">
        <v>1135</v>
      </c>
      <c r="M77" s="215"/>
      <c r="N77" s="126"/>
      <c r="O77" s="8"/>
      <c r="P77" s="8"/>
      <c r="Q77" s="701" t="s">
        <v>411</v>
      </c>
      <c r="R77" s="1369"/>
      <c r="S77" s="126"/>
      <c r="T77" s="8"/>
      <c r="U77" s="1359"/>
      <c r="V77" s="8"/>
      <c r="W77" s="8"/>
      <c r="X77" s="8"/>
      <c r="Y77" s="8"/>
      <c r="Z77" s="8"/>
      <c r="AA77" s="8"/>
    </row>
    <row r="78">
      <c r="A78" s="8"/>
      <c r="B78" s="8"/>
      <c r="C78" s="8"/>
      <c r="D78" s="8"/>
      <c r="E78" s="8"/>
      <c r="F78" s="8"/>
      <c r="G78" s="8"/>
      <c r="H78" s="8">
        <v>36.5</v>
      </c>
      <c r="I78" s="8"/>
      <c r="J78" s="215">
        <f>IFERROR(__xludf.DUMMYFUNCTION("1/COS(RADIANS(REGEXEXTRACT(K78,""(\d+)"")))
"),1.2690182150725788)</f>
        <v>1.269018215</v>
      </c>
      <c r="K78" s="8" t="s">
        <v>1136</v>
      </c>
      <c r="L78" s="126" t="s">
        <v>1137</v>
      </c>
      <c r="M78" s="215"/>
      <c r="N78" s="126"/>
      <c r="O78" s="8"/>
      <c r="P78" s="8"/>
      <c r="Q78" s="701" t="s">
        <v>412</v>
      </c>
      <c r="R78" s="1369"/>
      <c r="S78" s="126"/>
      <c r="T78" s="8"/>
      <c r="U78" s="1359"/>
      <c r="V78" s="8"/>
      <c r="W78" s="8"/>
      <c r="X78" s="8"/>
      <c r="Y78" s="8"/>
      <c r="Z78" s="8"/>
      <c r="AA78" s="8"/>
    </row>
    <row r="79">
      <c r="A79" s="8"/>
      <c r="B79" s="8"/>
      <c r="C79" s="8"/>
      <c r="D79" s="8"/>
      <c r="E79" s="8"/>
      <c r="F79" s="8"/>
      <c r="G79" s="8"/>
      <c r="H79" s="8">
        <v>37.0</v>
      </c>
      <c r="I79" s="8"/>
      <c r="J79" s="215">
        <f>IFERROR(__xludf.DUMMYFUNCTION("1/COS(RADIANS(REGEXEXTRACT(K79,""(\d+)"")))
"),1.2867595658931672)</f>
        <v>1.286759566</v>
      </c>
      <c r="K79" s="8" t="s">
        <v>1066</v>
      </c>
      <c r="L79" s="126" t="s">
        <v>1138</v>
      </c>
      <c r="M79" s="215"/>
      <c r="N79" s="126"/>
      <c r="O79" s="8"/>
      <c r="P79" s="8"/>
      <c r="Q79" s="701" t="s">
        <v>413</v>
      </c>
      <c r="R79" s="1369"/>
      <c r="S79" s="126"/>
      <c r="T79" s="8"/>
      <c r="U79" s="1359"/>
      <c r="V79" s="8"/>
      <c r="W79" s="8"/>
      <c r="X79" s="8"/>
      <c r="Y79" s="8"/>
      <c r="Z79" s="8"/>
      <c r="AA79" s="8"/>
    </row>
    <row r="80">
      <c r="A80" s="8"/>
      <c r="B80" s="8"/>
      <c r="C80" s="8"/>
      <c r="D80" s="8"/>
      <c r="E80" s="8"/>
      <c r="F80" s="8"/>
      <c r="G80" s="8"/>
      <c r="H80" s="8">
        <v>37.5</v>
      </c>
      <c r="I80" s="8"/>
      <c r="J80" s="215">
        <f>IFERROR(__xludf.DUMMYFUNCTION("1/COS(RADIANS(REGEXEXTRACT(K80,""(\d+)"")))
"),1.2867595658931672)</f>
        <v>1.286759566</v>
      </c>
      <c r="K80" s="8" t="s">
        <v>1139</v>
      </c>
      <c r="L80" s="126" t="s">
        <v>1140</v>
      </c>
      <c r="M80" s="215"/>
      <c r="N80" s="126"/>
      <c r="O80" s="8"/>
      <c r="P80" s="8"/>
      <c r="Q80" s="701" t="s">
        <v>414</v>
      </c>
      <c r="R80" s="1369"/>
      <c r="S80" s="126"/>
      <c r="T80" s="8"/>
      <c r="U80" s="1359"/>
      <c r="V80" s="8"/>
      <c r="W80" s="8"/>
      <c r="X80" s="8"/>
      <c r="Y80" s="8"/>
      <c r="Z80" s="8"/>
      <c r="AA80" s="8"/>
    </row>
    <row r="81">
      <c r="A81" s="8"/>
      <c r="B81" s="8"/>
      <c r="C81" s="8"/>
      <c r="D81" s="8"/>
      <c r="E81" s="8"/>
      <c r="F81" s="8"/>
      <c r="G81" s="8"/>
      <c r="H81" s="8">
        <v>38.0</v>
      </c>
      <c r="I81" s="8"/>
      <c r="J81" s="215">
        <f>IFERROR(__xludf.DUMMYFUNCTION("1/COS(RADIANS(REGEXEXTRACT(K81,""(\d+)"")))
"),1.3054072893322786)</f>
        <v>1.305407289</v>
      </c>
      <c r="K81" s="8" t="s">
        <v>1069</v>
      </c>
      <c r="L81" s="126" t="s">
        <v>1141</v>
      </c>
      <c r="M81" s="215"/>
      <c r="N81" s="126"/>
      <c r="O81" s="8"/>
      <c r="P81" s="8"/>
      <c r="Q81" s="701" t="s">
        <v>415</v>
      </c>
      <c r="R81" s="1369"/>
      <c r="S81" s="126"/>
      <c r="T81" s="8"/>
      <c r="U81" s="1359"/>
      <c r="V81" s="8"/>
      <c r="W81" s="8"/>
      <c r="X81" s="8"/>
      <c r="Y81" s="8"/>
      <c r="Z81" s="8"/>
      <c r="AA81" s="8"/>
    </row>
    <row r="82">
      <c r="A82" s="8"/>
      <c r="B82" s="8"/>
      <c r="C82" s="8"/>
      <c r="D82" s="8"/>
      <c r="E82" s="8"/>
      <c r="F82" s="8"/>
      <c r="G82" s="8"/>
      <c r="H82" s="8">
        <v>38.5</v>
      </c>
      <c r="I82" s="8"/>
      <c r="J82" s="215">
        <f>IFERROR(__xludf.DUMMYFUNCTION("1/COS(RADIANS(REGEXEXTRACT(K82,""(\d+)"")))
"),1.3054072893322786)</f>
        <v>1.305407289</v>
      </c>
      <c r="K82" s="8" t="s">
        <v>1142</v>
      </c>
      <c r="L82" s="126" t="s">
        <v>1143</v>
      </c>
      <c r="M82" s="215"/>
      <c r="N82" s="126"/>
      <c r="O82" s="8"/>
      <c r="P82" s="8"/>
      <c r="Q82" s="701" t="s">
        <v>416</v>
      </c>
      <c r="R82" s="1369"/>
      <c r="S82" s="126"/>
      <c r="T82" s="8"/>
      <c r="U82" s="1359"/>
      <c r="V82" s="8"/>
      <c r="W82" s="8"/>
      <c r="X82" s="8"/>
      <c r="Y82" s="8"/>
      <c r="Z82" s="8"/>
      <c r="AA82" s="8"/>
    </row>
    <row r="83">
      <c r="A83" s="8"/>
      <c r="B83" s="8"/>
      <c r="C83" s="8"/>
      <c r="D83" s="8"/>
      <c r="E83" s="8"/>
      <c r="F83" s="8"/>
      <c r="G83" s="8"/>
      <c r="H83" s="8">
        <v>39.0</v>
      </c>
      <c r="I83" s="8"/>
      <c r="J83" s="215"/>
      <c r="K83" s="8" t="s">
        <v>1071</v>
      </c>
      <c r="L83" s="126"/>
      <c r="M83" s="126"/>
      <c r="N83" s="126"/>
      <c r="O83" s="8"/>
      <c r="P83" s="8"/>
      <c r="Q83" s="701" t="s">
        <v>107</v>
      </c>
      <c r="R83" s="1369"/>
      <c r="S83" s="126"/>
      <c r="T83" s="8"/>
      <c r="U83" s="1359"/>
      <c r="V83" s="8"/>
      <c r="W83" s="8"/>
      <c r="X83" s="8"/>
      <c r="Y83" s="8"/>
      <c r="Z83" s="8"/>
      <c r="AA83" s="8"/>
    </row>
    <row r="84">
      <c r="A84" s="8"/>
      <c r="B84" s="8"/>
      <c r="C84" s="8"/>
      <c r="D84" s="8"/>
      <c r="E84" s="8"/>
      <c r="F84" s="8"/>
      <c r="G84" s="8"/>
      <c r="H84" s="8">
        <v>39.5</v>
      </c>
      <c r="I84" s="8"/>
      <c r="J84" s="215"/>
      <c r="K84" s="8" t="s">
        <v>1144</v>
      </c>
      <c r="L84" s="126"/>
      <c r="M84" s="126"/>
      <c r="N84" s="126"/>
      <c r="O84" s="8"/>
      <c r="P84" s="8"/>
      <c r="Q84" s="701" t="s">
        <v>417</v>
      </c>
      <c r="R84" s="1369"/>
      <c r="S84" s="126"/>
      <c r="T84" s="8"/>
      <c r="U84" s="1359"/>
      <c r="V84" s="8"/>
      <c r="W84" s="8"/>
      <c r="X84" s="8"/>
      <c r="Y84" s="8"/>
      <c r="Z84" s="8"/>
      <c r="AA84" s="8"/>
    </row>
    <row r="85">
      <c r="A85" s="8"/>
      <c r="B85" s="8"/>
      <c r="C85" s="8"/>
      <c r="D85" s="8"/>
      <c r="E85" s="8"/>
      <c r="F85" s="8"/>
      <c r="G85" s="8"/>
      <c r="H85" s="8">
        <v>40.0</v>
      </c>
      <c r="I85" s="8"/>
      <c r="J85" s="215"/>
      <c r="K85" s="8" t="s">
        <v>1074</v>
      </c>
      <c r="L85" s="126"/>
      <c r="M85" s="126"/>
      <c r="N85" s="126"/>
      <c r="O85" s="8"/>
      <c r="P85" s="8"/>
      <c r="Q85" s="701" t="s">
        <v>418</v>
      </c>
      <c r="R85" s="1369"/>
      <c r="S85" s="126"/>
      <c r="T85" s="8"/>
      <c r="U85" s="1359"/>
      <c r="V85" s="8"/>
      <c r="W85" s="8"/>
      <c r="X85" s="8"/>
      <c r="Y85" s="8"/>
      <c r="Z85" s="8"/>
      <c r="AA85" s="8"/>
    </row>
    <row r="86">
      <c r="A86" s="8"/>
      <c r="B86" s="8"/>
      <c r="C86" s="8"/>
      <c r="D86" s="8"/>
      <c r="E86" s="8"/>
      <c r="F86" s="8"/>
      <c r="G86" s="8"/>
      <c r="H86" s="8">
        <v>40.5</v>
      </c>
      <c r="I86" s="8"/>
      <c r="J86" s="215"/>
      <c r="K86" s="8">
        <v>42.5</v>
      </c>
      <c r="L86" s="126"/>
      <c r="M86" s="126"/>
      <c r="N86" s="126"/>
      <c r="O86" s="8"/>
      <c r="P86" s="8"/>
      <c r="Q86" s="701" t="s">
        <v>82</v>
      </c>
      <c r="R86" s="1369"/>
      <c r="S86" s="126"/>
      <c r="T86" s="8"/>
      <c r="U86" s="1359"/>
      <c r="V86" s="8"/>
      <c r="W86" s="8"/>
      <c r="X86" s="8"/>
      <c r="Y86" s="8"/>
      <c r="Z86" s="8"/>
      <c r="AA86" s="8"/>
    </row>
    <row r="87">
      <c r="A87" s="8"/>
      <c r="B87" s="8"/>
      <c r="C87" s="8"/>
      <c r="D87" s="8"/>
      <c r="E87" s="8"/>
      <c r="F87" s="8"/>
      <c r="G87" s="1372"/>
      <c r="H87" s="8">
        <v>41.0</v>
      </c>
      <c r="I87" s="8"/>
      <c r="J87" s="215"/>
      <c r="K87" s="8">
        <v>43.0</v>
      </c>
      <c r="L87" s="126"/>
      <c r="M87" s="126"/>
      <c r="N87" s="126"/>
      <c r="O87" s="8"/>
      <c r="P87" s="8"/>
      <c r="Q87" s="701" t="s">
        <v>86</v>
      </c>
      <c r="R87" s="1369"/>
      <c r="S87" s="126"/>
      <c r="T87" s="8"/>
      <c r="U87" s="1359"/>
      <c r="V87" s="8"/>
      <c r="W87" s="8"/>
      <c r="X87" s="8"/>
      <c r="Y87" s="8"/>
      <c r="Z87" s="8"/>
      <c r="AA87" s="8"/>
    </row>
    <row r="88">
      <c r="A88" s="8"/>
      <c r="B88" s="8"/>
      <c r="C88" s="8"/>
      <c r="D88" s="8"/>
      <c r="E88" s="8"/>
      <c r="F88" s="8"/>
      <c r="G88" s="8"/>
      <c r="H88" s="8">
        <v>41.5</v>
      </c>
      <c r="I88" s="8"/>
      <c r="J88" s="215"/>
      <c r="K88" s="8">
        <v>43.5</v>
      </c>
      <c r="L88" s="126"/>
      <c r="M88" s="126"/>
      <c r="N88" s="126"/>
      <c r="O88" s="8"/>
      <c r="P88" s="8"/>
      <c r="Q88" s="701" t="s">
        <v>419</v>
      </c>
      <c r="R88" s="1369"/>
      <c r="S88" s="126"/>
      <c r="T88" s="8"/>
      <c r="U88" s="1359"/>
      <c r="V88" s="8"/>
      <c r="W88" s="8"/>
      <c r="X88" s="8"/>
      <c r="Y88" s="8"/>
      <c r="Z88" s="8"/>
      <c r="AA88" s="8"/>
    </row>
    <row r="89">
      <c r="A89" s="8"/>
      <c r="B89" s="8"/>
      <c r="C89" s="8"/>
      <c r="D89" s="8"/>
      <c r="E89" s="8"/>
      <c r="F89" s="8"/>
      <c r="G89" s="8"/>
      <c r="H89" s="8">
        <v>42.0</v>
      </c>
      <c r="I89" s="8"/>
      <c r="J89" s="215"/>
      <c r="K89" s="8">
        <v>44.0</v>
      </c>
      <c r="L89" s="126"/>
      <c r="M89" s="126"/>
      <c r="N89" s="126"/>
      <c r="O89" s="8"/>
      <c r="P89" s="8"/>
      <c r="Q89" s="701" t="s">
        <v>420</v>
      </c>
      <c r="R89" s="1369"/>
      <c r="S89" s="126"/>
      <c r="T89" s="8"/>
      <c r="U89" s="1359"/>
      <c r="V89" s="8"/>
      <c r="W89" s="8"/>
      <c r="X89" s="8"/>
      <c r="Y89" s="8"/>
      <c r="Z89" s="8"/>
      <c r="AA89" s="8"/>
    </row>
    <row r="90">
      <c r="A90" s="8"/>
      <c r="B90" s="8"/>
      <c r="C90" s="8"/>
      <c r="D90" s="8"/>
      <c r="E90" s="8"/>
      <c r="F90" s="8"/>
      <c r="G90" s="8"/>
      <c r="H90" s="8">
        <v>42.5</v>
      </c>
      <c r="I90" s="8"/>
      <c r="J90" s="215"/>
      <c r="K90" s="8">
        <v>44.5</v>
      </c>
      <c r="L90" s="126"/>
      <c r="M90" s="126"/>
      <c r="N90" s="126"/>
      <c r="O90" s="8"/>
      <c r="P90" s="8"/>
      <c r="Q90" s="701" t="s">
        <v>421</v>
      </c>
      <c r="R90" s="1369"/>
      <c r="S90" s="126"/>
      <c r="T90" s="8"/>
      <c r="U90" s="1359"/>
      <c r="V90" s="8"/>
      <c r="W90" s="8"/>
      <c r="X90" s="8"/>
      <c r="Y90" s="8"/>
      <c r="Z90" s="8"/>
      <c r="AA90" s="8"/>
    </row>
    <row r="91">
      <c r="A91" s="8"/>
      <c r="B91" s="8"/>
      <c r="C91" s="8"/>
      <c r="D91" s="8"/>
      <c r="E91" s="8"/>
      <c r="F91" s="8"/>
      <c r="G91" s="8"/>
      <c r="H91" s="8">
        <v>43.0</v>
      </c>
      <c r="I91" s="8"/>
      <c r="J91" s="215"/>
      <c r="K91" s="8">
        <v>45.0</v>
      </c>
      <c r="L91" s="126"/>
      <c r="M91" s="126"/>
      <c r="N91" s="126"/>
      <c r="O91" s="8"/>
      <c r="P91" s="8"/>
      <c r="Q91" s="767" t="s">
        <v>484</v>
      </c>
      <c r="R91" s="1369"/>
      <c r="S91" s="126"/>
      <c r="T91" s="8"/>
      <c r="U91" s="1359"/>
      <c r="V91" s="8"/>
      <c r="W91" s="8"/>
      <c r="X91" s="8"/>
      <c r="Y91" s="8"/>
      <c r="Z91" s="8"/>
      <c r="AA91" s="8"/>
    </row>
    <row r="92">
      <c r="A92" s="8"/>
      <c r="B92" s="8"/>
      <c r="C92" s="8"/>
      <c r="D92" s="8"/>
      <c r="E92" s="8"/>
      <c r="F92" s="8"/>
      <c r="G92" s="8"/>
      <c r="H92" s="8">
        <v>43.5</v>
      </c>
      <c r="I92" s="8"/>
      <c r="J92" s="215"/>
      <c r="K92" s="8">
        <v>45.5</v>
      </c>
      <c r="L92" s="126"/>
      <c r="M92" s="126"/>
      <c r="N92" s="126"/>
      <c r="O92" s="8"/>
      <c r="P92" s="8"/>
      <c r="Q92" s="767" t="s">
        <v>585</v>
      </c>
      <c r="R92" s="1369"/>
      <c r="S92" s="126"/>
      <c r="T92" s="8"/>
      <c r="U92" s="1359"/>
      <c r="V92" s="8"/>
      <c r="W92" s="8"/>
      <c r="X92" s="8"/>
      <c r="Y92" s="8"/>
      <c r="Z92" s="8"/>
      <c r="AA92" s="8"/>
    </row>
    <row r="93">
      <c r="A93" s="8"/>
      <c r="B93" s="8"/>
      <c r="C93" s="8"/>
      <c r="D93" s="8"/>
      <c r="E93" s="8"/>
      <c r="F93" s="8"/>
      <c r="G93" s="8"/>
      <c r="H93" s="8">
        <v>44.0</v>
      </c>
      <c r="I93" s="8"/>
      <c r="J93" s="215"/>
      <c r="K93" s="8">
        <v>46.0</v>
      </c>
      <c r="L93" s="126"/>
      <c r="M93" s="126"/>
      <c r="N93" s="126"/>
      <c r="O93" s="8"/>
      <c r="P93" s="8"/>
      <c r="Q93" s="701"/>
      <c r="R93" s="1369"/>
      <c r="S93" s="126"/>
      <c r="T93" s="8"/>
      <c r="U93" s="1359"/>
      <c r="V93" s="8"/>
      <c r="W93" s="8"/>
      <c r="X93" s="8"/>
      <c r="Y93" s="8"/>
      <c r="Z93" s="8"/>
      <c r="AA93" s="8"/>
    </row>
    <row r="94">
      <c r="A94" s="8"/>
      <c r="B94" s="8"/>
      <c r="C94" s="8"/>
      <c r="D94" s="8"/>
      <c r="E94" s="8"/>
      <c r="F94" s="8"/>
      <c r="G94" s="8"/>
      <c r="H94" s="8">
        <v>44.5</v>
      </c>
      <c r="I94" s="8"/>
      <c r="J94" s="215"/>
      <c r="K94" s="8">
        <v>46.5</v>
      </c>
      <c r="L94" s="126"/>
      <c r="M94" s="126"/>
      <c r="N94" s="126"/>
      <c r="O94" s="8"/>
      <c r="P94" s="8"/>
      <c r="Q94" s="1362" t="s">
        <v>237</v>
      </c>
      <c r="R94" s="1369"/>
      <c r="S94" s="126"/>
      <c r="T94" s="8"/>
      <c r="U94" s="1359"/>
      <c r="V94" s="8"/>
      <c r="W94" s="8"/>
      <c r="X94" s="8"/>
      <c r="Y94" s="8"/>
      <c r="Z94" s="8"/>
      <c r="AA94" s="8"/>
    </row>
    <row r="95">
      <c r="A95" s="8"/>
      <c r="B95" s="8"/>
      <c r="C95" s="8"/>
      <c r="D95" s="8"/>
      <c r="E95" s="8"/>
      <c r="F95" s="8"/>
      <c r="G95" s="8"/>
      <c r="H95" s="8">
        <v>45.0</v>
      </c>
      <c r="I95" s="8"/>
      <c r="J95" s="215"/>
      <c r="K95" s="8">
        <v>47.0</v>
      </c>
      <c r="L95" s="126"/>
      <c r="M95" s="126"/>
      <c r="N95" s="126"/>
      <c r="O95" s="8"/>
      <c r="P95" s="8"/>
      <c r="Q95" s="701" t="s">
        <v>149</v>
      </c>
      <c r="R95" s="1369"/>
      <c r="S95" s="126"/>
      <c r="T95" s="8"/>
      <c r="U95" s="1359"/>
      <c r="V95" s="8"/>
      <c r="W95" s="8"/>
      <c r="X95" s="8"/>
      <c r="Y95" s="8"/>
      <c r="Z95" s="8"/>
      <c r="AA95" s="8"/>
    </row>
    <row r="96">
      <c r="A96" s="8"/>
      <c r="B96" s="8"/>
      <c r="C96" s="8"/>
      <c r="D96" s="8"/>
      <c r="E96" s="8"/>
      <c r="F96" s="8"/>
      <c r="G96" s="8"/>
      <c r="H96" s="8">
        <v>45.5</v>
      </c>
      <c r="I96" s="8"/>
      <c r="J96" s="215"/>
      <c r="K96" s="8">
        <v>47.5</v>
      </c>
      <c r="L96" s="126"/>
      <c r="M96" s="126"/>
      <c r="N96" s="126"/>
      <c r="O96" s="8"/>
      <c r="P96" s="8"/>
      <c r="Q96" s="701" t="s">
        <v>153</v>
      </c>
      <c r="R96" s="1369"/>
      <c r="S96" s="126"/>
      <c r="T96" s="8"/>
      <c r="U96" s="1359"/>
      <c r="V96" s="8"/>
      <c r="W96" s="8"/>
      <c r="X96" s="8"/>
      <c r="Y96" s="8"/>
      <c r="Z96" s="8"/>
      <c r="AA96" s="8"/>
    </row>
    <row r="97">
      <c r="A97" s="8"/>
      <c r="B97" s="8"/>
      <c r="C97" s="8"/>
      <c r="D97" s="8"/>
      <c r="E97" s="8"/>
      <c r="F97" s="8"/>
      <c r="G97" s="8"/>
      <c r="H97" s="8">
        <v>46.0</v>
      </c>
      <c r="I97" s="8"/>
      <c r="J97" s="215"/>
      <c r="K97" s="8">
        <v>48.0</v>
      </c>
      <c r="L97" s="126"/>
      <c r="M97" s="126"/>
      <c r="N97" s="126"/>
      <c r="O97" s="8"/>
      <c r="P97" s="8"/>
      <c r="Q97" s="701" t="s">
        <v>164</v>
      </c>
      <c r="R97" s="1369"/>
      <c r="S97" s="126"/>
      <c r="T97" s="8"/>
      <c r="U97" s="1359"/>
      <c r="V97" s="8"/>
      <c r="W97" s="8"/>
      <c r="X97" s="8"/>
      <c r="Y97" s="8"/>
      <c r="Z97" s="8"/>
      <c r="AA97" s="8"/>
    </row>
    <row r="98">
      <c r="A98" s="8"/>
      <c r="B98" s="8"/>
      <c r="C98" s="8"/>
      <c r="D98" s="8"/>
      <c r="E98" s="8"/>
      <c r="F98" s="8"/>
      <c r="G98" s="8"/>
      <c r="H98" s="8">
        <v>46.5</v>
      </c>
      <c r="I98" s="8"/>
      <c r="J98" s="215"/>
      <c r="K98" s="8">
        <v>48.5</v>
      </c>
      <c r="L98" s="126"/>
      <c r="M98" s="126"/>
      <c r="N98" s="126"/>
      <c r="O98" s="8"/>
      <c r="P98" s="8"/>
      <c r="Q98" s="701" t="s">
        <v>163</v>
      </c>
      <c r="R98" s="1369"/>
      <c r="S98" s="126"/>
      <c r="T98" s="8"/>
      <c r="U98" s="1359"/>
      <c r="V98" s="8"/>
      <c r="W98" s="8"/>
      <c r="X98" s="8"/>
      <c r="Y98" s="8"/>
      <c r="Z98" s="8"/>
      <c r="AA98" s="8"/>
    </row>
    <row r="99">
      <c r="A99" s="8"/>
      <c r="B99" s="8"/>
      <c r="C99" s="8"/>
      <c r="D99" s="8"/>
      <c r="E99" s="8"/>
      <c r="F99" s="8"/>
      <c r="G99" s="8"/>
      <c r="H99" s="8">
        <v>47.0</v>
      </c>
      <c r="I99" s="8"/>
      <c r="J99" s="215"/>
      <c r="K99" s="8">
        <v>49.0</v>
      </c>
      <c r="L99" s="126"/>
      <c r="M99" s="126"/>
      <c r="N99" s="126"/>
      <c r="O99" s="8"/>
      <c r="P99" s="8"/>
      <c r="Q99" s="701" t="s">
        <v>154</v>
      </c>
      <c r="R99" s="1369"/>
      <c r="S99" s="126"/>
      <c r="T99" s="8"/>
      <c r="U99" s="1359"/>
      <c r="V99" s="8"/>
      <c r="W99" s="8"/>
      <c r="X99" s="8"/>
      <c r="Y99" s="8"/>
      <c r="Z99" s="8"/>
      <c r="AA99" s="8"/>
    </row>
    <row r="100">
      <c r="A100" s="8"/>
      <c r="B100" s="8"/>
      <c r="C100" s="8"/>
      <c r="D100" s="8"/>
      <c r="E100" s="8"/>
      <c r="F100" s="8"/>
      <c r="G100" s="8"/>
      <c r="H100" s="8">
        <v>47.5</v>
      </c>
      <c r="I100" s="8"/>
      <c r="J100" s="215"/>
      <c r="K100" s="8">
        <v>49.5</v>
      </c>
      <c r="L100" s="126"/>
      <c r="M100" s="126"/>
      <c r="N100" s="126"/>
      <c r="O100" s="8"/>
      <c r="P100" s="8"/>
      <c r="Q100" s="701" t="s">
        <v>155</v>
      </c>
      <c r="R100" s="1369"/>
      <c r="S100" s="126"/>
      <c r="T100" s="8"/>
      <c r="U100" s="1359"/>
      <c r="V100" s="8"/>
      <c r="W100" s="8"/>
      <c r="X100" s="8"/>
      <c r="Y100" s="8"/>
      <c r="Z100" s="8"/>
      <c r="AA100" s="8"/>
    </row>
    <row r="101">
      <c r="A101" s="8"/>
      <c r="B101" s="8"/>
      <c r="C101" s="8"/>
      <c r="D101" s="8"/>
      <c r="E101" s="8"/>
      <c r="F101" s="8"/>
      <c r="G101" s="8"/>
      <c r="H101" s="8">
        <v>48.0</v>
      </c>
      <c r="I101" s="8"/>
      <c r="J101" s="215"/>
      <c r="K101" s="8">
        <v>50.0</v>
      </c>
      <c r="L101" s="126"/>
      <c r="M101" s="126"/>
      <c r="N101" s="126"/>
      <c r="O101" s="8"/>
      <c r="P101" s="8"/>
      <c r="Q101" s="701" t="s">
        <v>311</v>
      </c>
      <c r="R101" s="1369"/>
      <c r="S101" s="126"/>
      <c r="T101" s="8"/>
      <c r="U101" s="1359"/>
      <c r="V101" s="8"/>
      <c r="W101" s="8"/>
      <c r="X101" s="8"/>
      <c r="Y101" s="8"/>
      <c r="Z101" s="8"/>
      <c r="AA101" s="8"/>
    </row>
    <row r="102">
      <c r="A102" s="8"/>
      <c r="B102" s="8"/>
      <c r="C102" s="8"/>
      <c r="D102" s="8"/>
      <c r="E102" s="8"/>
      <c r="F102" s="8"/>
      <c r="G102" s="8"/>
      <c r="H102" s="8">
        <v>48.5</v>
      </c>
      <c r="I102" s="8"/>
      <c r="J102" s="215"/>
      <c r="K102" s="8">
        <v>50.5</v>
      </c>
      <c r="L102" s="126"/>
      <c r="M102" s="126"/>
      <c r="N102" s="126"/>
      <c r="O102" s="8"/>
      <c r="P102" s="8"/>
      <c r="Q102" s="701" t="s">
        <v>314</v>
      </c>
      <c r="R102" s="1369"/>
      <c r="S102" s="126"/>
      <c r="T102" s="8"/>
      <c r="U102" s="1359"/>
      <c r="V102" s="8"/>
      <c r="W102" s="8"/>
      <c r="X102" s="8"/>
      <c r="Y102" s="8"/>
      <c r="Z102" s="8"/>
      <c r="AA102" s="8"/>
    </row>
    <row r="103">
      <c r="A103" s="8"/>
      <c r="B103" s="8"/>
      <c r="C103" s="8"/>
      <c r="D103" s="8"/>
      <c r="E103" s="8"/>
      <c r="F103" s="8"/>
      <c r="G103" s="8"/>
      <c r="H103" s="8">
        <v>49.0</v>
      </c>
      <c r="I103" s="8"/>
      <c r="J103" s="215"/>
      <c r="K103" s="8">
        <v>51.0</v>
      </c>
      <c r="L103" s="126"/>
      <c r="M103" s="126"/>
      <c r="N103" s="126"/>
      <c r="O103" s="8"/>
      <c r="P103" s="8"/>
      <c r="Q103" s="701" t="s">
        <v>317</v>
      </c>
      <c r="R103" s="1369"/>
      <c r="S103" s="126"/>
      <c r="T103" s="8"/>
      <c r="U103" s="1359"/>
      <c r="V103" s="8"/>
      <c r="W103" s="8"/>
      <c r="X103" s="8"/>
      <c r="Y103" s="8"/>
      <c r="Z103" s="8"/>
      <c r="AA103" s="8"/>
    </row>
    <row r="104">
      <c r="A104" s="8"/>
      <c r="B104" s="8"/>
      <c r="C104" s="8"/>
      <c r="D104" s="8"/>
      <c r="E104" s="8"/>
      <c r="F104" s="8"/>
      <c r="G104" s="8"/>
      <c r="H104" s="8">
        <v>49.5</v>
      </c>
      <c r="I104" s="8"/>
      <c r="J104" s="215"/>
      <c r="K104" s="8">
        <v>51.5</v>
      </c>
      <c r="L104" s="126"/>
      <c r="M104" s="126"/>
      <c r="N104" s="126"/>
      <c r="O104" s="8"/>
      <c r="P104" s="8"/>
      <c r="Q104" s="701" t="s">
        <v>319</v>
      </c>
      <c r="R104" s="1369"/>
      <c r="S104" s="126"/>
      <c r="T104" s="8"/>
      <c r="U104" s="1359"/>
      <c r="V104" s="8"/>
      <c r="W104" s="8"/>
      <c r="X104" s="8"/>
      <c r="Y104" s="8"/>
      <c r="Z104" s="8"/>
      <c r="AA104" s="8"/>
    </row>
    <row r="105">
      <c r="A105" s="8"/>
      <c r="B105" s="8"/>
      <c r="C105" s="8"/>
      <c r="D105" s="8"/>
      <c r="E105" s="8"/>
      <c r="F105" s="8"/>
      <c r="G105" s="8"/>
      <c r="H105" s="8">
        <v>50.0</v>
      </c>
      <c r="I105" s="8"/>
      <c r="J105" s="215"/>
      <c r="K105" s="8">
        <v>52.0</v>
      </c>
      <c r="L105" s="126"/>
      <c r="M105" s="126"/>
      <c r="N105" s="126"/>
      <c r="O105" s="8"/>
      <c r="P105" s="8"/>
      <c r="Q105" s="701" t="s">
        <v>322</v>
      </c>
      <c r="R105" s="1369"/>
      <c r="S105" s="126"/>
      <c r="T105" s="8"/>
      <c r="U105" s="1359"/>
      <c r="V105" s="8"/>
      <c r="W105" s="8"/>
      <c r="X105" s="8"/>
      <c r="Y105" s="8"/>
      <c r="Z105" s="8"/>
      <c r="AA105" s="8"/>
    </row>
    <row r="106">
      <c r="A106" s="8"/>
      <c r="B106" s="8"/>
      <c r="C106" s="8"/>
      <c r="D106" s="8"/>
      <c r="E106" s="8"/>
      <c r="F106" s="8"/>
      <c r="G106" s="8"/>
      <c r="H106" s="8">
        <v>50.5</v>
      </c>
      <c r="I106" s="8"/>
      <c r="J106" s="215"/>
      <c r="K106" s="8">
        <v>52.5</v>
      </c>
      <c r="L106" s="126"/>
      <c r="M106" s="126"/>
      <c r="N106" s="126"/>
      <c r="O106" s="8"/>
      <c r="P106" s="8"/>
      <c r="Q106" s="701" t="s">
        <v>325</v>
      </c>
      <c r="R106" s="1369"/>
      <c r="S106" s="126"/>
      <c r="T106" s="8"/>
      <c r="U106" s="1359"/>
      <c r="V106" s="8"/>
      <c r="W106" s="8"/>
      <c r="X106" s="8"/>
      <c r="Y106" s="8"/>
      <c r="Z106" s="8"/>
      <c r="AA106" s="8"/>
    </row>
    <row r="107">
      <c r="A107" s="8"/>
      <c r="B107" s="8"/>
      <c r="C107" s="8"/>
      <c r="D107" s="8"/>
      <c r="E107" s="8"/>
      <c r="F107" s="8"/>
      <c r="G107" s="8"/>
      <c r="H107" s="8">
        <v>51.0</v>
      </c>
      <c r="I107" s="8"/>
      <c r="J107" s="215"/>
      <c r="K107" s="8">
        <v>53.0</v>
      </c>
      <c r="L107" s="126"/>
      <c r="M107" s="126"/>
      <c r="N107" s="126"/>
      <c r="O107" s="8"/>
      <c r="P107" s="8"/>
      <c r="Q107" s="701" t="s">
        <v>328</v>
      </c>
      <c r="R107" s="1369"/>
      <c r="S107" s="126"/>
      <c r="T107" s="8"/>
      <c r="U107" s="1359"/>
      <c r="V107" s="8"/>
      <c r="W107" s="8"/>
      <c r="X107" s="8"/>
      <c r="Y107" s="8"/>
      <c r="Z107" s="8"/>
      <c r="AA107" s="8"/>
    </row>
    <row r="108">
      <c r="A108" s="8"/>
      <c r="B108" s="8"/>
      <c r="C108" s="8"/>
      <c r="D108" s="8"/>
      <c r="E108" s="8"/>
      <c r="F108" s="8"/>
      <c r="G108" s="8"/>
      <c r="H108" s="8">
        <v>51.5</v>
      </c>
      <c r="I108" s="8"/>
      <c r="J108" s="215"/>
      <c r="K108" s="8">
        <v>53.5</v>
      </c>
      <c r="L108" s="126"/>
      <c r="M108" s="126"/>
      <c r="N108" s="126"/>
      <c r="O108" s="8"/>
      <c r="P108" s="8"/>
      <c r="Q108" s="701" t="s">
        <v>330</v>
      </c>
      <c r="R108" s="1369"/>
      <c r="S108" s="126"/>
      <c r="T108" s="8"/>
      <c r="U108" s="1359"/>
      <c r="V108" s="8"/>
      <c r="W108" s="8"/>
      <c r="X108" s="8"/>
      <c r="Y108" s="8"/>
      <c r="Z108" s="8"/>
      <c r="AA108" s="8"/>
    </row>
    <row r="109">
      <c r="A109" s="8"/>
      <c r="B109" s="8"/>
      <c r="C109" s="8"/>
      <c r="D109" s="8"/>
      <c r="E109" s="8"/>
      <c r="F109" s="8"/>
      <c r="G109" s="8"/>
      <c r="H109" s="8">
        <v>52.0</v>
      </c>
      <c r="I109" s="8"/>
      <c r="J109" s="215"/>
      <c r="K109" s="8">
        <v>54.0</v>
      </c>
      <c r="L109" s="126"/>
      <c r="M109" s="126"/>
      <c r="N109" s="126"/>
      <c r="O109" s="8"/>
      <c r="P109" s="8"/>
      <c r="Q109" s="701" t="s">
        <v>333</v>
      </c>
      <c r="R109" s="1369"/>
      <c r="S109" s="126"/>
      <c r="T109" s="8"/>
      <c r="U109" s="1359"/>
      <c r="V109" s="8"/>
      <c r="W109" s="8"/>
      <c r="X109" s="8"/>
      <c r="Y109" s="8"/>
      <c r="Z109" s="8"/>
      <c r="AA109" s="8"/>
    </row>
    <row r="110">
      <c r="A110" s="8"/>
      <c r="B110" s="8"/>
      <c r="C110" s="8"/>
      <c r="D110" s="8"/>
      <c r="E110" s="8"/>
      <c r="F110" s="8"/>
      <c r="G110" s="8"/>
      <c r="H110" s="8">
        <v>52.5</v>
      </c>
      <c r="I110" s="8"/>
      <c r="J110" s="215"/>
      <c r="K110" s="8">
        <v>54.5</v>
      </c>
      <c r="L110" s="126"/>
      <c r="M110" s="126"/>
      <c r="N110" s="126"/>
      <c r="O110" s="8"/>
      <c r="P110" s="8"/>
      <c r="Q110" s="701" t="s">
        <v>335</v>
      </c>
      <c r="R110" s="1369"/>
      <c r="S110" s="126"/>
      <c r="T110" s="8"/>
      <c r="U110" s="1359"/>
      <c r="V110" s="8"/>
      <c r="W110" s="8"/>
      <c r="X110" s="8"/>
      <c r="Y110" s="8"/>
      <c r="Z110" s="8"/>
      <c r="AA110" s="8"/>
    </row>
    <row r="111">
      <c r="A111" s="8"/>
      <c r="B111" s="8"/>
      <c r="C111" s="8"/>
      <c r="D111" s="8"/>
      <c r="E111" s="8"/>
      <c r="F111" s="8"/>
      <c r="G111" s="8"/>
      <c r="H111" s="8">
        <v>53.0</v>
      </c>
      <c r="I111" s="8"/>
      <c r="J111" s="215"/>
      <c r="K111" s="8">
        <v>55.0</v>
      </c>
      <c r="L111" s="126"/>
      <c r="M111" s="126"/>
      <c r="N111" s="126"/>
      <c r="O111" s="8"/>
      <c r="P111" s="8"/>
      <c r="Q111" s="701" t="s">
        <v>338</v>
      </c>
      <c r="R111" s="1369"/>
      <c r="S111" s="126"/>
      <c r="T111" s="8"/>
      <c r="U111" s="1359"/>
      <c r="V111" s="8"/>
      <c r="W111" s="8"/>
      <c r="X111" s="8"/>
      <c r="Y111" s="8"/>
      <c r="Z111" s="8"/>
      <c r="AA111" s="8"/>
    </row>
    <row r="112">
      <c r="A112" s="8"/>
      <c r="B112" s="8"/>
      <c r="C112" s="8"/>
      <c r="D112" s="8"/>
      <c r="E112" s="8"/>
      <c r="F112" s="8"/>
      <c r="G112" s="8"/>
      <c r="H112" s="8">
        <v>53.5</v>
      </c>
      <c r="I112" s="8"/>
      <c r="J112" s="215"/>
      <c r="K112" s="8">
        <v>55.5</v>
      </c>
      <c r="L112" s="126"/>
      <c r="M112" s="126"/>
      <c r="N112" s="126"/>
      <c r="O112" s="8"/>
      <c r="P112" s="8"/>
      <c r="Q112" s="701" t="s">
        <v>340</v>
      </c>
      <c r="R112" s="1369"/>
      <c r="S112" s="126"/>
      <c r="T112" s="8"/>
      <c r="U112" s="1359"/>
      <c r="V112" s="8"/>
      <c r="W112" s="8"/>
      <c r="X112" s="8"/>
      <c r="Y112" s="8"/>
      <c r="Z112" s="8"/>
      <c r="AA112" s="8"/>
    </row>
    <row r="113">
      <c r="A113" s="8"/>
      <c r="B113" s="8"/>
      <c r="C113" s="8"/>
      <c r="D113" s="8"/>
      <c r="E113" s="8"/>
      <c r="F113" s="8"/>
      <c r="G113" s="8"/>
      <c r="H113" s="8">
        <v>54.0</v>
      </c>
      <c r="I113" s="8"/>
      <c r="J113" s="215"/>
      <c r="K113" s="126"/>
      <c r="L113" s="126"/>
      <c r="M113" s="126"/>
      <c r="N113" s="126"/>
      <c r="O113" s="8"/>
      <c r="P113" s="8"/>
      <c r="Q113" s="701" t="s">
        <v>173</v>
      </c>
      <c r="R113" s="1369"/>
      <c r="S113" s="126"/>
      <c r="T113" s="8"/>
      <c r="U113" s="1359"/>
      <c r="V113" s="8"/>
      <c r="W113" s="8"/>
      <c r="X113" s="8"/>
      <c r="Y113" s="8"/>
      <c r="Z113" s="8"/>
      <c r="AA113" s="8"/>
    </row>
    <row r="114">
      <c r="A114" s="8"/>
      <c r="B114" s="8"/>
      <c r="C114" s="8"/>
      <c r="D114" s="8"/>
      <c r="E114" s="8"/>
      <c r="F114" s="8"/>
      <c r="G114" s="8"/>
      <c r="H114" s="8">
        <v>54.5</v>
      </c>
      <c r="I114" s="8"/>
      <c r="J114" s="215"/>
      <c r="K114" s="126"/>
      <c r="L114" s="126"/>
      <c r="M114" s="126"/>
      <c r="N114" s="126"/>
      <c r="O114" s="8"/>
      <c r="P114" s="8"/>
      <c r="Q114" s="701" t="s">
        <v>343</v>
      </c>
      <c r="R114" s="1369"/>
      <c r="S114" s="126"/>
      <c r="T114" s="8"/>
      <c r="U114" s="1359"/>
      <c r="V114" s="8"/>
      <c r="W114" s="8"/>
      <c r="X114" s="8"/>
      <c r="Y114" s="8"/>
      <c r="Z114" s="8"/>
      <c r="AA114" s="8"/>
    </row>
    <row r="115">
      <c r="A115" s="8"/>
      <c r="B115" s="8"/>
      <c r="C115" s="8"/>
      <c r="D115" s="8"/>
      <c r="E115" s="8"/>
      <c r="F115" s="8"/>
      <c r="G115" s="8"/>
      <c r="H115" s="8">
        <v>55.0</v>
      </c>
      <c r="I115" s="8"/>
      <c r="J115" s="215"/>
      <c r="K115" s="126"/>
      <c r="L115" s="126"/>
      <c r="M115" s="126"/>
      <c r="N115" s="126"/>
      <c r="O115" s="8"/>
      <c r="P115" s="8"/>
      <c r="Q115" s="701" t="s">
        <v>346</v>
      </c>
      <c r="R115" s="1369"/>
      <c r="S115" s="126"/>
      <c r="T115" s="8"/>
      <c r="U115" s="1359"/>
      <c r="V115" s="8"/>
      <c r="W115" s="8"/>
      <c r="X115" s="8"/>
      <c r="Y115" s="8"/>
      <c r="Z115" s="8"/>
      <c r="AA115" s="8"/>
    </row>
    <row r="116">
      <c r="A116" s="8"/>
      <c r="B116" s="8"/>
      <c r="C116" s="8"/>
      <c r="D116" s="8"/>
      <c r="E116" s="8"/>
      <c r="F116" s="8"/>
      <c r="G116" s="8"/>
      <c r="H116" s="8">
        <v>55.5</v>
      </c>
      <c r="I116" s="8"/>
      <c r="J116" s="215"/>
      <c r="K116" s="126"/>
      <c r="L116" s="126"/>
      <c r="M116" s="126"/>
      <c r="N116" s="126"/>
      <c r="O116" s="8"/>
      <c r="P116" s="8"/>
      <c r="Q116" s="701" t="s">
        <v>349</v>
      </c>
      <c r="R116" s="1369"/>
      <c r="S116" s="126"/>
      <c r="T116" s="8"/>
      <c r="U116" s="1359"/>
      <c r="V116" s="8"/>
      <c r="W116" s="8"/>
      <c r="X116" s="8"/>
      <c r="Y116" s="8"/>
      <c r="Z116" s="8"/>
      <c r="AA116" s="8"/>
    </row>
    <row r="117">
      <c r="A117" s="8"/>
      <c r="B117" s="8"/>
      <c r="C117" s="8"/>
      <c r="D117" s="8"/>
      <c r="E117" s="8"/>
      <c r="F117" s="8"/>
      <c r="G117" s="8"/>
      <c r="H117" s="8"/>
      <c r="I117" s="8"/>
      <c r="J117" s="215"/>
      <c r="K117" s="126"/>
      <c r="L117" s="126"/>
      <c r="M117" s="126"/>
      <c r="N117" s="126"/>
      <c r="O117" s="8"/>
      <c r="P117" s="8"/>
      <c r="Q117" s="701" t="s">
        <v>352</v>
      </c>
      <c r="R117" s="1369"/>
      <c r="S117" s="126"/>
      <c r="T117" s="8"/>
      <c r="U117" s="1359"/>
      <c r="V117" s="8"/>
      <c r="W117" s="8"/>
      <c r="X117" s="8"/>
      <c r="Y117" s="8"/>
      <c r="Z117" s="8"/>
      <c r="AA117" s="8"/>
    </row>
    <row r="118">
      <c r="A118" s="8"/>
      <c r="B118" s="8"/>
      <c r="C118" s="8"/>
      <c r="D118" s="8"/>
      <c r="E118" s="8"/>
      <c r="F118" s="8"/>
      <c r="G118" s="8"/>
      <c r="H118" s="8"/>
      <c r="I118" s="8"/>
      <c r="J118" s="215"/>
      <c r="K118" s="126"/>
      <c r="L118" s="126"/>
      <c r="M118" s="126"/>
      <c r="N118" s="126"/>
      <c r="O118" s="8"/>
      <c r="P118" s="8"/>
      <c r="Q118" s="701" t="s">
        <v>162</v>
      </c>
      <c r="R118" s="1369"/>
      <c r="S118" s="126"/>
      <c r="T118" s="8"/>
      <c r="U118" s="1359"/>
      <c r="V118" s="8"/>
      <c r="W118" s="8"/>
      <c r="X118" s="8"/>
      <c r="Y118" s="8"/>
      <c r="Z118" s="8"/>
      <c r="AA118" s="8"/>
    </row>
    <row r="119">
      <c r="A119" s="8"/>
      <c r="B119" s="8"/>
      <c r="C119" s="8"/>
      <c r="D119" s="8"/>
      <c r="E119" s="8"/>
      <c r="F119" s="8"/>
      <c r="G119" s="8"/>
      <c r="H119" s="8"/>
      <c r="I119" s="8"/>
      <c r="J119" s="215"/>
      <c r="K119" s="126"/>
      <c r="L119" s="126"/>
      <c r="M119" s="126"/>
      <c r="N119" s="126"/>
      <c r="O119" s="8"/>
      <c r="P119" s="8"/>
      <c r="Q119" s="701" t="s">
        <v>355</v>
      </c>
      <c r="R119" s="1369"/>
      <c r="S119" s="126"/>
      <c r="T119" s="8"/>
      <c r="U119" s="1359"/>
      <c r="V119" s="8"/>
      <c r="W119" s="8"/>
      <c r="X119" s="8"/>
      <c r="Y119" s="8"/>
      <c r="Z119" s="8"/>
      <c r="AA119" s="8"/>
    </row>
    <row r="120">
      <c r="A120" s="8"/>
      <c r="B120" s="8"/>
      <c r="C120" s="8"/>
      <c r="D120" s="8"/>
      <c r="E120" s="8"/>
      <c r="F120" s="8"/>
      <c r="G120" s="8"/>
      <c r="H120" s="8"/>
      <c r="I120" s="8"/>
      <c r="J120" s="215"/>
      <c r="K120" s="126"/>
      <c r="L120" s="126"/>
      <c r="M120" s="126"/>
      <c r="N120" s="126"/>
      <c r="O120" s="8"/>
      <c r="P120" s="8"/>
      <c r="Q120" s="701" t="s">
        <v>173</v>
      </c>
      <c r="R120" s="1369"/>
      <c r="S120" s="126"/>
      <c r="T120" s="8"/>
      <c r="U120" s="1359"/>
      <c r="V120" s="8"/>
      <c r="W120" s="8"/>
      <c r="X120" s="8"/>
      <c r="Y120" s="8"/>
      <c r="Z120" s="8"/>
      <c r="AA120" s="8"/>
    </row>
    <row r="121">
      <c r="A121" s="8"/>
      <c r="B121" s="8"/>
      <c r="C121" s="8"/>
      <c r="D121" s="8"/>
      <c r="E121" s="8"/>
      <c r="F121" s="8"/>
      <c r="G121" s="8"/>
      <c r="H121" s="8"/>
      <c r="I121" s="8"/>
      <c r="J121" s="215"/>
      <c r="K121" s="126"/>
      <c r="L121" s="126"/>
      <c r="M121" s="126"/>
      <c r="N121" s="126"/>
      <c r="O121" s="8"/>
      <c r="P121" s="8"/>
      <c r="Q121" s="701" t="s">
        <v>358</v>
      </c>
      <c r="R121" s="1369"/>
      <c r="S121" s="126"/>
      <c r="T121" s="8"/>
      <c r="U121" s="1359"/>
      <c r="V121" s="8"/>
      <c r="W121" s="8"/>
      <c r="X121" s="8"/>
      <c r="Y121" s="8"/>
      <c r="Z121" s="8"/>
      <c r="AA121" s="8"/>
    </row>
    <row r="122">
      <c r="A122" s="8"/>
      <c r="B122" s="8"/>
      <c r="C122" s="8"/>
      <c r="D122" s="8"/>
      <c r="E122" s="8"/>
      <c r="F122" s="8"/>
      <c r="G122" s="8"/>
      <c r="H122" s="8"/>
      <c r="I122" s="8"/>
      <c r="J122" s="215"/>
      <c r="K122" s="126"/>
      <c r="L122" s="126"/>
      <c r="M122" s="126"/>
      <c r="N122" s="126"/>
      <c r="O122" s="8"/>
      <c r="P122" s="8"/>
      <c r="Q122" s="701" t="s">
        <v>361</v>
      </c>
      <c r="R122" s="1369"/>
      <c r="S122" s="126"/>
      <c r="T122" s="8"/>
      <c r="U122" s="1359"/>
      <c r="V122" s="8"/>
      <c r="W122" s="8"/>
      <c r="X122" s="8"/>
      <c r="Y122" s="8"/>
      <c r="Z122" s="8"/>
      <c r="AA122" s="8"/>
    </row>
    <row r="123">
      <c r="A123" s="8"/>
      <c r="B123" s="8"/>
      <c r="C123" s="8"/>
      <c r="D123" s="8"/>
      <c r="E123" s="8"/>
      <c r="F123" s="8"/>
      <c r="G123" s="8"/>
      <c r="H123" s="8"/>
      <c r="I123" s="8"/>
      <c r="J123" s="215"/>
      <c r="K123" s="126"/>
      <c r="L123" s="126"/>
      <c r="M123" s="126"/>
      <c r="N123" s="126"/>
      <c r="O123" s="8"/>
      <c r="P123" s="8"/>
      <c r="Q123" s="701" t="s">
        <v>363</v>
      </c>
      <c r="R123" s="1369"/>
      <c r="S123" s="126"/>
      <c r="T123" s="8"/>
      <c r="U123" s="1359"/>
      <c r="V123" s="8"/>
      <c r="W123" s="8"/>
      <c r="X123" s="8"/>
      <c r="Y123" s="8"/>
      <c r="Z123" s="8"/>
      <c r="AA123" s="8"/>
    </row>
    <row r="124">
      <c r="A124" s="8"/>
      <c r="B124" s="8"/>
      <c r="C124" s="8"/>
      <c r="D124" s="8"/>
      <c r="E124" s="8"/>
      <c r="F124" s="8"/>
      <c r="G124" s="8"/>
      <c r="H124" s="8"/>
      <c r="I124" s="8"/>
      <c r="J124" s="215"/>
      <c r="K124" s="126"/>
      <c r="L124" s="126"/>
      <c r="M124" s="126"/>
      <c r="N124" s="126"/>
      <c r="O124" s="8"/>
      <c r="P124" s="8"/>
      <c r="Q124" s="701" t="s">
        <v>366</v>
      </c>
      <c r="R124" s="1369"/>
      <c r="S124" s="126"/>
      <c r="T124" s="8"/>
      <c r="U124" s="1359"/>
      <c r="V124" s="8"/>
      <c r="W124" s="8"/>
      <c r="X124" s="8"/>
      <c r="Y124" s="8"/>
      <c r="Z124" s="8"/>
      <c r="AA124" s="8"/>
    </row>
    <row r="125">
      <c r="A125" s="8"/>
      <c r="B125" s="8"/>
      <c r="C125" s="8"/>
      <c r="D125" s="8"/>
      <c r="E125" s="8"/>
      <c r="F125" s="8"/>
      <c r="G125" s="8"/>
      <c r="H125" s="8"/>
      <c r="I125" s="8"/>
      <c r="J125" s="215"/>
      <c r="K125" s="126"/>
      <c r="L125" s="126"/>
      <c r="M125" s="126"/>
      <c r="N125" s="126"/>
      <c r="O125" s="8"/>
      <c r="P125" s="8"/>
      <c r="Q125" s="701" t="s">
        <v>368</v>
      </c>
      <c r="R125" s="1369"/>
      <c r="S125" s="126"/>
      <c r="T125" s="8"/>
      <c r="U125" s="1359"/>
      <c r="V125" s="8"/>
      <c r="W125" s="8"/>
      <c r="X125" s="8"/>
      <c r="Y125" s="8"/>
      <c r="Z125" s="8"/>
      <c r="AA125" s="8"/>
    </row>
    <row r="126">
      <c r="A126" s="8"/>
      <c r="B126" s="8"/>
      <c r="C126" s="8"/>
      <c r="D126" s="8"/>
      <c r="E126" s="8"/>
      <c r="F126" s="8"/>
      <c r="G126" s="8"/>
      <c r="H126" s="8"/>
      <c r="I126" s="8"/>
      <c r="J126" s="215"/>
      <c r="K126" s="126"/>
      <c r="L126" s="126"/>
      <c r="M126" s="126"/>
      <c r="N126" s="126"/>
      <c r="O126" s="8"/>
      <c r="P126" s="8"/>
      <c r="Q126" s="701" t="s">
        <v>371</v>
      </c>
      <c r="R126" s="1369"/>
      <c r="S126" s="126"/>
      <c r="T126" s="8"/>
      <c r="U126" s="1359"/>
      <c r="V126" s="8"/>
      <c r="W126" s="8"/>
      <c r="X126" s="8"/>
      <c r="Y126" s="8"/>
      <c r="Z126" s="8"/>
      <c r="AA126" s="8"/>
    </row>
    <row r="127">
      <c r="A127" s="8"/>
      <c r="B127" s="8"/>
      <c r="C127" s="8"/>
      <c r="D127" s="8"/>
      <c r="E127" s="8"/>
      <c r="F127" s="8"/>
      <c r="G127" s="8"/>
      <c r="H127" s="8"/>
      <c r="I127" s="8"/>
      <c r="J127" s="215"/>
      <c r="K127" s="126"/>
      <c r="L127" s="126"/>
      <c r="M127" s="126"/>
      <c r="N127" s="126"/>
      <c r="O127" s="8"/>
      <c r="P127" s="8"/>
      <c r="Q127" s="701" t="s">
        <v>373</v>
      </c>
      <c r="R127" s="1369"/>
      <c r="S127" s="126"/>
      <c r="T127" s="8"/>
      <c r="U127" s="1359"/>
      <c r="V127" s="8"/>
      <c r="W127" s="8"/>
      <c r="X127" s="8"/>
      <c r="Y127" s="8"/>
      <c r="Z127" s="8"/>
      <c r="AA127" s="8"/>
    </row>
    <row r="128">
      <c r="A128" s="8"/>
      <c r="B128" s="8"/>
      <c r="C128" s="8"/>
      <c r="D128" s="8"/>
      <c r="E128" s="8"/>
      <c r="F128" s="8"/>
      <c r="G128" s="8"/>
      <c r="H128" s="8"/>
      <c r="I128" s="8"/>
      <c r="J128" s="215"/>
      <c r="K128" s="126"/>
      <c r="L128" s="126"/>
      <c r="M128" s="126"/>
      <c r="N128" s="126"/>
      <c r="O128" s="8"/>
      <c r="P128" s="8"/>
      <c r="Q128" s="701" t="s">
        <v>376</v>
      </c>
      <c r="R128" s="1369"/>
      <c r="S128" s="126"/>
      <c r="T128" s="8"/>
      <c r="U128" s="1359"/>
      <c r="V128" s="8"/>
      <c r="W128" s="8"/>
      <c r="X128" s="8"/>
      <c r="Y128" s="8"/>
      <c r="Z128" s="8"/>
      <c r="AA128" s="8"/>
    </row>
    <row r="129">
      <c r="A129" s="8"/>
      <c r="B129" s="8"/>
      <c r="C129" s="8"/>
      <c r="D129" s="8"/>
      <c r="E129" s="8"/>
      <c r="F129" s="8"/>
      <c r="G129" s="8"/>
      <c r="H129" s="8"/>
      <c r="I129" s="8"/>
      <c r="J129" s="215"/>
      <c r="K129" s="126"/>
      <c r="L129" s="126"/>
      <c r="M129" s="126"/>
      <c r="N129" s="126"/>
      <c r="O129" s="8"/>
      <c r="P129" s="8"/>
      <c r="Q129" s="701" t="s">
        <v>161</v>
      </c>
      <c r="R129" s="1369"/>
      <c r="S129" s="126"/>
      <c r="T129" s="8"/>
      <c r="U129" s="1359"/>
      <c r="V129" s="8"/>
      <c r="W129" s="8"/>
      <c r="X129" s="8"/>
      <c r="Y129" s="8"/>
      <c r="Z129" s="8"/>
      <c r="AA129" s="8"/>
    </row>
    <row r="130">
      <c r="A130" s="8"/>
      <c r="B130" s="8"/>
      <c r="C130" s="8"/>
      <c r="D130" s="8"/>
      <c r="E130" s="8"/>
      <c r="F130" s="8"/>
      <c r="G130" s="8"/>
      <c r="H130" s="8"/>
      <c r="I130" s="8"/>
      <c r="J130" s="215"/>
      <c r="K130" s="126"/>
      <c r="L130" s="126"/>
      <c r="M130" s="126"/>
      <c r="N130" s="126"/>
      <c r="O130" s="8"/>
      <c r="P130" s="8"/>
      <c r="Q130" s="701" t="s">
        <v>379</v>
      </c>
      <c r="R130" s="1369"/>
      <c r="S130" s="126"/>
      <c r="T130" s="8"/>
      <c r="U130" s="1359"/>
      <c r="V130" s="8"/>
      <c r="W130" s="8"/>
      <c r="X130" s="8"/>
      <c r="Y130" s="8"/>
      <c r="Z130" s="8"/>
      <c r="AA130" s="8"/>
    </row>
    <row r="131">
      <c r="A131" s="8"/>
      <c r="B131" s="8"/>
      <c r="C131" s="8"/>
      <c r="D131" s="8"/>
      <c r="E131" s="8"/>
      <c r="F131" s="8"/>
      <c r="G131" s="8"/>
      <c r="H131" s="8"/>
      <c r="I131" s="8"/>
      <c r="J131" s="215"/>
      <c r="K131" s="126"/>
      <c r="L131" s="126"/>
      <c r="M131" s="126"/>
      <c r="N131" s="126"/>
      <c r="O131" s="8"/>
      <c r="P131" s="8"/>
      <c r="Q131" s="701" t="s">
        <v>381</v>
      </c>
      <c r="R131" s="1369"/>
      <c r="S131" s="126"/>
      <c r="T131" s="8"/>
      <c r="U131" s="1359"/>
      <c r="V131" s="8"/>
      <c r="W131" s="8"/>
      <c r="X131" s="8"/>
      <c r="Y131" s="8"/>
      <c r="Z131" s="8"/>
      <c r="AA131" s="8"/>
    </row>
    <row r="132">
      <c r="A132" s="8"/>
      <c r="B132" s="8"/>
      <c r="C132" s="8"/>
      <c r="D132" s="8"/>
      <c r="E132" s="8"/>
      <c r="F132" s="8"/>
      <c r="G132" s="8"/>
      <c r="H132" s="8"/>
      <c r="I132" s="8"/>
      <c r="J132" s="215"/>
      <c r="K132" s="126"/>
      <c r="L132" s="126"/>
      <c r="M132" s="126"/>
      <c r="N132" s="126"/>
      <c r="O132" s="8"/>
      <c r="P132" s="8"/>
      <c r="Q132" s="767" t="s">
        <v>584</v>
      </c>
      <c r="R132" s="1369"/>
      <c r="S132" s="126"/>
      <c r="T132" s="8"/>
      <c r="U132" s="1359"/>
      <c r="V132" s="8"/>
      <c r="W132" s="8"/>
      <c r="X132" s="8"/>
      <c r="Y132" s="8"/>
      <c r="Z132" s="8"/>
      <c r="AA132" s="8"/>
    </row>
    <row r="133">
      <c r="A133" s="8"/>
      <c r="B133" s="8"/>
      <c r="C133" s="8"/>
      <c r="D133" s="8"/>
      <c r="E133" s="8"/>
      <c r="F133" s="8"/>
      <c r="G133" s="8"/>
      <c r="H133" s="8"/>
      <c r="I133" s="8"/>
      <c r="J133" s="215"/>
      <c r="K133" s="126"/>
      <c r="L133" s="126"/>
      <c r="M133" s="126"/>
      <c r="N133" s="126"/>
      <c r="O133" s="8"/>
      <c r="P133" s="8"/>
      <c r="Q133" s="767" t="s">
        <v>168</v>
      </c>
      <c r="R133" s="1369"/>
      <c r="S133" s="126"/>
      <c r="T133" s="8"/>
      <c r="U133" s="1359"/>
      <c r="V133" s="8"/>
      <c r="W133" s="8"/>
      <c r="X133" s="8"/>
      <c r="Y133" s="8"/>
      <c r="Z133" s="8"/>
      <c r="AA133" s="8"/>
    </row>
    <row r="134">
      <c r="A134" s="8"/>
      <c r="B134" s="8"/>
      <c r="C134" s="8"/>
      <c r="D134" s="8"/>
      <c r="E134" s="8"/>
      <c r="F134" s="8"/>
      <c r="G134" s="8"/>
      <c r="H134" s="8"/>
      <c r="I134" s="8"/>
      <c r="J134" s="215"/>
      <c r="K134" s="126"/>
      <c r="L134" s="126"/>
      <c r="M134" s="126"/>
      <c r="N134" s="126"/>
      <c r="O134" s="8"/>
      <c r="P134" s="8"/>
      <c r="Q134" s="767" t="s">
        <v>385</v>
      </c>
      <c r="R134" s="1369"/>
      <c r="S134" s="126"/>
      <c r="T134" s="8"/>
      <c r="U134" s="1359"/>
      <c r="V134" s="8"/>
      <c r="W134" s="8"/>
      <c r="X134" s="8"/>
      <c r="Y134" s="8"/>
      <c r="Z134" s="8"/>
      <c r="AA134" s="8"/>
    </row>
    <row r="135">
      <c r="A135" s="8"/>
      <c r="B135" s="8"/>
      <c r="C135" s="8"/>
      <c r="D135" s="8"/>
      <c r="E135" s="8"/>
      <c r="F135" s="8"/>
      <c r="G135" s="8"/>
      <c r="H135" s="8"/>
      <c r="I135" s="8"/>
      <c r="J135" s="215"/>
      <c r="K135" s="126"/>
      <c r="L135" s="126"/>
      <c r="M135" s="126"/>
      <c r="N135" s="126"/>
      <c r="O135" s="8"/>
      <c r="P135" s="8"/>
      <c r="Q135" s="767" t="s">
        <v>386</v>
      </c>
      <c r="R135" s="1369"/>
      <c r="S135" s="126"/>
      <c r="T135" s="8"/>
      <c r="U135" s="1359"/>
      <c r="V135" s="8"/>
      <c r="W135" s="8"/>
      <c r="X135" s="8"/>
      <c r="Y135" s="8"/>
      <c r="Z135" s="8"/>
      <c r="AA135" s="8"/>
    </row>
    <row r="136">
      <c r="A136" s="8"/>
      <c r="B136" s="8"/>
      <c r="C136" s="8"/>
      <c r="D136" s="8"/>
      <c r="E136" s="8"/>
      <c r="F136" s="8"/>
      <c r="G136" s="8"/>
      <c r="H136" s="8"/>
      <c r="I136" s="8"/>
      <c r="J136" s="215"/>
      <c r="K136" s="126"/>
      <c r="L136" s="126"/>
      <c r="M136" s="126"/>
      <c r="N136" s="126"/>
      <c r="O136" s="8"/>
      <c r="P136" s="8"/>
      <c r="Q136" s="767" t="s">
        <v>387</v>
      </c>
      <c r="R136" s="1369"/>
      <c r="S136" s="126"/>
      <c r="T136" s="8"/>
      <c r="U136" s="1359"/>
      <c r="V136" s="8"/>
      <c r="W136" s="8"/>
      <c r="X136" s="8"/>
      <c r="Y136" s="8"/>
      <c r="Z136" s="8"/>
      <c r="AA136" s="8"/>
    </row>
    <row r="137">
      <c r="A137" s="8"/>
      <c r="B137" s="8"/>
      <c r="C137" s="8"/>
      <c r="D137" s="8"/>
      <c r="E137" s="8"/>
      <c r="F137" s="8"/>
      <c r="G137" s="8"/>
      <c r="H137" s="8"/>
      <c r="I137" s="8"/>
      <c r="J137" s="215"/>
      <c r="K137" s="126"/>
      <c r="L137" s="126"/>
      <c r="M137" s="126"/>
      <c r="N137" s="126"/>
      <c r="O137" s="8"/>
      <c r="P137" s="8"/>
      <c r="Q137" s="767" t="s">
        <v>346</v>
      </c>
      <c r="R137" s="1369"/>
      <c r="S137" s="126"/>
      <c r="T137" s="8"/>
      <c r="U137" s="1359"/>
      <c r="V137" s="8"/>
      <c r="W137" s="8"/>
      <c r="X137" s="8"/>
      <c r="Y137" s="8"/>
      <c r="Z137" s="8"/>
      <c r="AA137" s="8"/>
    </row>
    <row r="138">
      <c r="A138" s="8"/>
      <c r="B138" s="8"/>
      <c r="C138" s="8"/>
      <c r="D138" s="8"/>
      <c r="E138" s="8"/>
      <c r="F138" s="8"/>
      <c r="G138" s="8"/>
      <c r="H138" s="8"/>
      <c r="I138" s="8"/>
      <c r="J138" s="215"/>
      <c r="K138" s="126"/>
      <c r="L138" s="126"/>
      <c r="M138" s="126"/>
      <c r="N138" s="126"/>
      <c r="O138" s="8"/>
      <c r="P138" s="8"/>
      <c r="Q138" s="767" t="s">
        <v>170</v>
      </c>
      <c r="R138" s="1369"/>
      <c r="S138" s="126"/>
      <c r="T138" s="8"/>
      <c r="U138" s="1359"/>
      <c r="V138" s="8"/>
      <c r="W138" s="8"/>
      <c r="X138" s="8"/>
      <c r="Y138" s="8"/>
      <c r="Z138" s="8"/>
      <c r="AA138" s="8"/>
    </row>
    <row r="139">
      <c r="A139" s="8"/>
      <c r="B139" s="8"/>
      <c r="C139" s="8"/>
      <c r="D139" s="8"/>
      <c r="E139" s="8"/>
      <c r="F139" s="8"/>
      <c r="G139" s="8"/>
      <c r="H139" s="8"/>
      <c r="I139" s="8"/>
      <c r="J139" s="215"/>
      <c r="K139" s="126"/>
      <c r="L139" s="126"/>
      <c r="M139" s="126"/>
      <c r="N139" s="126"/>
      <c r="O139" s="8"/>
      <c r="P139" s="8"/>
      <c r="Q139" s="129"/>
      <c r="R139" s="1369"/>
      <c r="S139" s="126"/>
      <c r="T139" s="8"/>
      <c r="U139" s="1359"/>
      <c r="V139" s="8"/>
      <c r="W139" s="8"/>
      <c r="X139" s="8"/>
      <c r="Y139" s="8"/>
      <c r="Z139" s="8"/>
      <c r="AA139" s="8"/>
    </row>
    <row r="140">
      <c r="A140" s="8"/>
      <c r="B140" s="8"/>
      <c r="C140" s="8"/>
      <c r="D140" s="8"/>
      <c r="E140" s="8"/>
      <c r="F140" s="8"/>
      <c r="G140" s="8"/>
      <c r="H140" s="8"/>
      <c r="I140" s="8"/>
      <c r="J140" s="215"/>
      <c r="K140" s="126"/>
      <c r="L140" s="126"/>
      <c r="M140" s="126"/>
      <c r="N140" s="126"/>
      <c r="O140" s="8"/>
      <c r="P140" s="8"/>
      <c r="Q140" s="129"/>
      <c r="R140" s="1369"/>
      <c r="S140" s="126"/>
      <c r="T140" s="8"/>
      <c r="U140" s="1359"/>
      <c r="V140" s="8"/>
      <c r="W140" s="8"/>
      <c r="X140" s="8"/>
      <c r="Y140" s="8"/>
      <c r="Z140" s="8"/>
      <c r="AA140" s="8"/>
    </row>
    <row r="141">
      <c r="A141" s="8"/>
      <c r="B141" s="8"/>
      <c r="C141" s="8"/>
      <c r="D141" s="8"/>
      <c r="E141" s="8"/>
      <c r="F141" s="8"/>
      <c r="G141" s="8"/>
      <c r="H141" s="8"/>
      <c r="I141" s="8"/>
      <c r="J141" s="215"/>
      <c r="K141" s="126"/>
      <c r="L141" s="126"/>
      <c r="M141" s="126"/>
      <c r="N141" s="126"/>
      <c r="O141" s="8"/>
      <c r="P141" s="8"/>
      <c r="Q141" s="129"/>
      <c r="R141" s="1369"/>
      <c r="S141" s="126"/>
      <c r="T141" s="8"/>
      <c r="U141" s="1359"/>
      <c r="V141" s="8"/>
      <c r="W141" s="8"/>
      <c r="X141" s="8"/>
      <c r="Y141" s="8"/>
      <c r="Z141" s="8"/>
      <c r="AA141" s="8"/>
    </row>
    <row r="142">
      <c r="A142" s="8"/>
      <c r="B142" s="8"/>
      <c r="C142" s="8"/>
      <c r="D142" s="8"/>
      <c r="E142" s="8"/>
      <c r="F142" s="8"/>
      <c r="G142" s="8"/>
      <c r="H142" s="8"/>
      <c r="I142" s="8"/>
      <c r="J142" s="215"/>
      <c r="K142" s="126"/>
      <c r="L142" s="126"/>
      <c r="M142" s="126"/>
      <c r="N142" s="126"/>
      <c r="O142" s="8"/>
      <c r="P142" s="8"/>
      <c r="Q142" s="129"/>
      <c r="R142" s="1369"/>
      <c r="S142" s="126"/>
      <c r="T142" s="8"/>
      <c r="U142" s="1359"/>
      <c r="V142" s="8"/>
      <c r="W142" s="8"/>
      <c r="X142" s="8"/>
      <c r="Y142" s="8"/>
      <c r="Z142" s="8"/>
      <c r="AA142" s="8"/>
    </row>
    <row r="143">
      <c r="A143" s="8"/>
      <c r="B143" s="8"/>
      <c r="C143" s="8"/>
      <c r="D143" s="8"/>
      <c r="E143" s="8"/>
      <c r="F143" s="8"/>
      <c r="G143" s="8"/>
      <c r="H143" s="8"/>
      <c r="I143" s="8"/>
      <c r="J143" s="215"/>
      <c r="K143" s="126"/>
      <c r="L143" s="126"/>
      <c r="M143" s="126"/>
      <c r="N143" s="126"/>
      <c r="O143" s="8"/>
      <c r="P143" s="8"/>
      <c r="Q143" s="129"/>
      <c r="R143" s="1369"/>
      <c r="S143" s="126"/>
      <c r="T143" s="8"/>
      <c r="U143" s="1359"/>
      <c r="V143" s="8"/>
      <c r="W143" s="8"/>
      <c r="X143" s="8"/>
      <c r="Y143" s="8"/>
      <c r="Z143" s="8"/>
      <c r="AA143" s="8"/>
    </row>
    <row r="144">
      <c r="A144" s="8"/>
      <c r="B144" s="8"/>
      <c r="C144" s="8"/>
      <c r="D144" s="8"/>
      <c r="E144" s="8"/>
      <c r="F144" s="8"/>
      <c r="G144" s="8"/>
      <c r="H144" s="8"/>
      <c r="I144" s="8"/>
      <c r="J144" s="215"/>
      <c r="K144" s="126"/>
      <c r="L144" s="126"/>
      <c r="M144" s="126"/>
      <c r="N144" s="126"/>
      <c r="O144" s="8"/>
      <c r="P144" s="8"/>
      <c r="Q144" s="129"/>
      <c r="R144" s="1369"/>
      <c r="S144" s="126"/>
      <c r="T144" s="8"/>
      <c r="U144" s="1359"/>
      <c r="V144" s="8"/>
      <c r="W144" s="8"/>
      <c r="X144" s="8"/>
      <c r="Y144" s="8"/>
      <c r="Z144" s="8"/>
      <c r="AA144" s="8"/>
    </row>
    <row r="145">
      <c r="A145" s="8"/>
      <c r="B145" s="8"/>
      <c r="C145" s="8"/>
      <c r="D145" s="8"/>
      <c r="E145" s="8"/>
      <c r="F145" s="8"/>
      <c r="G145" s="8"/>
      <c r="H145" s="8"/>
      <c r="I145" s="8"/>
      <c r="J145" s="215"/>
      <c r="K145" s="126"/>
      <c r="L145" s="126"/>
      <c r="M145" s="126"/>
      <c r="N145" s="126"/>
      <c r="O145" s="8"/>
      <c r="P145" s="8"/>
      <c r="Q145" s="129"/>
      <c r="R145" s="1369"/>
      <c r="S145" s="126"/>
      <c r="T145" s="8"/>
      <c r="U145" s="1359"/>
      <c r="V145" s="8"/>
      <c r="W145" s="8"/>
      <c r="X145" s="8"/>
      <c r="Y145" s="8"/>
      <c r="Z145" s="8"/>
      <c r="AA145" s="8"/>
    </row>
    <row r="146">
      <c r="A146" s="8"/>
      <c r="B146" s="8"/>
      <c r="C146" s="8"/>
      <c r="D146" s="8"/>
      <c r="E146" s="8"/>
      <c r="F146" s="8"/>
      <c r="G146" s="8"/>
      <c r="H146" s="8"/>
      <c r="I146" s="8"/>
      <c r="J146" s="215"/>
      <c r="K146" s="126"/>
      <c r="L146" s="126"/>
      <c r="M146" s="126"/>
      <c r="N146" s="126"/>
      <c r="O146" s="8"/>
      <c r="P146" s="8"/>
      <c r="Q146" s="129"/>
      <c r="R146" s="1369"/>
      <c r="S146" s="126"/>
      <c r="T146" s="8"/>
      <c r="U146" s="1359"/>
      <c r="V146" s="8"/>
      <c r="W146" s="8"/>
      <c r="X146" s="8"/>
      <c r="Y146" s="8"/>
      <c r="Z146" s="8"/>
      <c r="AA146" s="8"/>
    </row>
    <row r="147">
      <c r="A147" s="8"/>
      <c r="B147" s="8"/>
      <c r="C147" s="8"/>
      <c r="D147" s="8"/>
      <c r="E147" s="8"/>
      <c r="F147" s="8"/>
      <c r="G147" s="8"/>
      <c r="H147" s="8"/>
      <c r="I147" s="8"/>
      <c r="J147" s="215"/>
      <c r="K147" s="126"/>
      <c r="L147" s="126"/>
      <c r="M147" s="126"/>
      <c r="N147" s="126"/>
      <c r="O147" s="8"/>
      <c r="P147" s="8"/>
      <c r="Q147" s="129"/>
      <c r="R147" s="1369"/>
      <c r="S147" s="126"/>
      <c r="T147" s="8"/>
      <c r="U147" s="1359"/>
      <c r="V147" s="8"/>
      <c r="W147" s="8"/>
      <c r="X147" s="8"/>
      <c r="Y147" s="8"/>
      <c r="Z147" s="8"/>
      <c r="AA147" s="8"/>
    </row>
    <row r="148">
      <c r="A148" s="8"/>
      <c r="B148" s="8"/>
      <c r="C148" s="8"/>
      <c r="D148" s="8"/>
      <c r="E148" s="8"/>
      <c r="F148" s="8"/>
      <c r="G148" s="8"/>
      <c r="H148" s="8"/>
      <c r="I148" s="8"/>
      <c r="J148" s="215"/>
      <c r="K148" s="126"/>
      <c r="L148" s="126"/>
      <c r="M148" s="126"/>
      <c r="N148" s="126"/>
      <c r="O148" s="8"/>
      <c r="P148" s="8"/>
      <c r="Q148" s="129"/>
      <c r="R148" s="1369"/>
      <c r="S148" s="126"/>
      <c r="T148" s="8"/>
      <c r="U148" s="1359"/>
      <c r="V148" s="8"/>
      <c r="W148" s="8"/>
      <c r="X148" s="8"/>
      <c r="Y148" s="8"/>
      <c r="Z148" s="8"/>
      <c r="AA148" s="8"/>
    </row>
    <row r="149">
      <c r="A149" s="8"/>
      <c r="B149" s="8"/>
      <c r="C149" s="8"/>
      <c r="D149" s="8"/>
      <c r="E149" s="8"/>
      <c r="F149" s="8"/>
      <c r="G149" s="8"/>
      <c r="H149" s="8"/>
      <c r="I149" s="8"/>
      <c r="J149" s="215"/>
      <c r="K149" s="126"/>
      <c r="L149" s="126"/>
      <c r="M149" s="126"/>
      <c r="N149" s="126"/>
      <c r="O149" s="8"/>
      <c r="P149" s="8"/>
      <c r="Q149" s="129"/>
      <c r="R149" s="1369"/>
      <c r="S149" s="126"/>
      <c r="T149" s="8"/>
      <c r="U149" s="1359"/>
      <c r="V149" s="8"/>
      <c r="W149" s="8"/>
      <c r="X149" s="8"/>
      <c r="Y149" s="8"/>
      <c r="Z149" s="8"/>
      <c r="AA149" s="8"/>
    </row>
    <row r="150">
      <c r="A150" s="8"/>
      <c r="B150" s="8"/>
      <c r="C150" s="8"/>
      <c r="D150" s="8"/>
      <c r="E150" s="8"/>
      <c r="F150" s="8"/>
      <c r="G150" s="8"/>
      <c r="H150" s="8"/>
      <c r="I150" s="8"/>
      <c r="J150" s="215"/>
      <c r="K150" s="126"/>
      <c r="L150" s="126"/>
      <c r="M150" s="126"/>
      <c r="N150" s="126"/>
      <c r="O150" s="8"/>
      <c r="P150" s="8"/>
      <c r="Q150" s="129"/>
      <c r="R150" s="1369"/>
      <c r="S150" s="126"/>
      <c r="T150" s="8"/>
      <c r="U150" s="1359"/>
      <c r="V150" s="8"/>
      <c r="W150" s="8"/>
      <c r="X150" s="8"/>
      <c r="Y150" s="8"/>
      <c r="Z150" s="8"/>
      <c r="AA150" s="8"/>
    </row>
    <row r="151">
      <c r="A151" s="8"/>
      <c r="B151" s="8"/>
      <c r="C151" s="8"/>
      <c r="D151" s="8"/>
      <c r="E151" s="8"/>
      <c r="F151" s="8"/>
      <c r="G151" s="8"/>
      <c r="H151" s="8"/>
      <c r="I151" s="8"/>
      <c r="J151" s="215"/>
      <c r="K151" s="126"/>
      <c r="L151" s="126"/>
      <c r="M151" s="126"/>
      <c r="N151" s="126"/>
      <c r="O151" s="8"/>
      <c r="P151" s="8"/>
      <c r="Q151" s="129"/>
      <c r="R151" s="1369"/>
      <c r="S151" s="126"/>
      <c r="T151" s="8"/>
      <c r="U151" s="1359"/>
      <c r="V151" s="8"/>
      <c r="W151" s="8"/>
      <c r="X151" s="8"/>
      <c r="Y151" s="8"/>
      <c r="Z151" s="8"/>
      <c r="AA151" s="8"/>
    </row>
    <row r="152">
      <c r="A152" s="8"/>
      <c r="B152" s="8"/>
      <c r="C152" s="8"/>
      <c r="D152" s="8"/>
      <c r="E152" s="8"/>
      <c r="F152" s="8"/>
      <c r="G152" s="8"/>
      <c r="H152" s="8"/>
      <c r="I152" s="8"/>
      <c r="J152" s="215"/>
      <c r="K152" s="126"/>
      <c r="L152" s="126"/>
      <c r="M152" s="126"/>
      <c r="N152" s="126"/>
      <c r="O152" s="8"/>
      <c r="P152" s="8"/>
      <c r="Q152" s="129"/>
      <c r="R152" s="1369"/>
      <c r="S152" s="126"/>
      <c r="T152" s="8"/>
      <c r="U152" s="1359"/>
      <c r="V152" s="8"/>
      <c r="W152" s="8"/>
      <c r="X152" s="8"/>
      <c r="Y152" s="8"/>
      <c r="Z152" s="8"/>
      <c r="AA152" s="8"/>
    </row>
    <row r="153">
      <c r="A153" s="8"/>
      <c r="B153" s="8"/>
      <c r="C153" s="8"/>
      <c r="D153" s="8"/>
      <c r="E153" s="8"/>
      <c r="F153" s="8"/>
      <c r="G153" s="8"/>
      <c r="H153" s="8"/>
      <c r="I153" s="8"/>
      <c r="J153" s="215"/>
      <c r="K153" s="126"/>
      <c r="L153" s="126"/>
      <c r="M153" s="126"/>
      <c r="N153" s="126"/>
      <c r="O153" s="8"/>
      <c r="P153" s="8"/>
      <c r="Q153" s="129"/>
      <c r="R153" s="1369"/>
      <c r="S153" s="126"/>
      <c r="T153" s="8"/>
      <c r="U153" s="1359"/>
      <c r="V153" s="8"/>
      <c r="W153" s="8"/>
      <c r="X153" s="8"/>
      <c r="Y153" s="8"/>
      <c r="Z153" s="8"/>
      <c r="AA153" s="8"/>
    </row>
    <row r="154">
      <c r="A154" s="8"/>
      <c r="B154" s="8"/>
      <c r="C154" s="8"/>
      <c r="D154" s="8"/>
      <c r="E154" s="8"/>
      <c r="F154" s="8"/>
      <c r="G154" s="8"/>
      <c r="H154" s="8"/>
      <c r="I154" s="8"/>
      <c r="J154" s="215"/>
      <c r="K154" s="126"/>
      <c r="L154" s="126"/>
      <c r="M154" s="126"/>
      <c r="N154" s="126"/>
      <c r="O154" s="8"/>
      <c r="P154" s="8"/>
      <c r="Q154" s="129"/>
      <c r="R154" s="1369"/>
      <c r="S154" s="126"/>
      <c r="T154" s="8"/>
      <c r="U154" s="1359"/>
      <c r="V154" s="8"/>
      <c r="W154" s="8"/>
      <c r="X154" s="8"/>
      <c r="Y154" s="8"/>
      <c r="Z154" s="8"/>
      <c r="AA154" s="8"/>
    </row>
    <row r="155">
      <c r="A155" s="8"/>
      <c r="B155" s="8"/>
      <c r="C155" s="8"/>
      <c r="D155" s="8"/>
      <c r="E155" s="8"/>
      <c r="F155" s="8"/>
      <c r="G155" s="8"/>
      <c r="H155" s="8"/>
      <c r="I155" s="8"/>
      <c r="J155" s="215"/>
      <c r="K155" s="126"/>
      <c r="L155" s="126"/>
      <c r="M155" s="126"/>
      <c r="N155" s="126"/>
      <c r="O155" s="8"/>
      <c r="P155" s="8"/>
      <c r="Q155" s="129"/>
      <c r="R155" s="1369"/>
      <c r="S155" s="126"/>
      <c r="T155" s="8"/>
      <c r="U155" s="1359"/>
      <c r="V155" s="8"/>
      <c r="W155" s="8"/>
      <c r="X155" s="8"/>
      <c r="Y155" s="8"/>
      <c r="Z155" s="8"/>
      <c r="AA155" s="8"/>
    </row>
    <row r="156">
      <c r="A156" s="8"/>
      <c r="B156" s="8"/>
      <c r="C156" s="8"/>
      <c r="D156" s="8"/>
      <c r="E156" s="8"/>
      <c r="F156" s="8"/>
      <c r="G156" s="8"/>
      <c r="H156" s="8"/>
      <c r="I156" s="8"/>
      <c r="J156" s="215"/>
      <c r="K156" s="126"/>
      <c r="L156" s="126"/>
      <c r="M156" s="126"/>
      <c r="N156" s="126"/>
      <c r="O156" s="8"/>
      <c r="P156" s="8"/>
      <c r="Q156" s="129"/>
      <c r="R156" s="1369"/>
      <c r="S156" s="126"/>
      <c r="T156" s="8"/>
      <c r="U156" s="1359"/>
      <c r="V156" s="8"/>
      <c r="W156" s="8"/>
      <c r="X156" s="8"/>
      <c r="Y156" s="8"/>
      <c r="Z156" s="8"/>
      <c r="AA156" s="8"/>
    </row>
    <row r="157">
      <c r="A157" s="8"/>
      <c r="B157" s="8"/>
      <c r="C157" s="8"/>
      <c r="D157" s="8"/>
      <c r="E157" s="8"/>
      <c r="F157" s="8"/>
      <c r="G157" s="8"/>
      <c r="H157" s="8"/>
      <c r="I157" s="8"/>
      <c r="J157" s="215"/>
      <c r="K157" s="126"/>
      <c r="L157" s="126"/>
      <c r="M157" s="126"/>
      <c r="N157" s="126"/>
      <c r="O157" s="8"/>
      <c r="P157" s="8"/>
      <c r="Q157" s="129"/>
      <c r="R157" s="1369"/>
      <c r="S157" s="126"/>
      <c r="T157" s="8"/>
      <c r="U157" s="1359"/>
      <c r="V157" s="8"/>
      <c r="W157" s="8"/>
      <c r="X157" s="8"/>
      <c r="Y157" s="8"/>
      <c r="Z157" s="8"/>
      <c r="AA157" s="8"/>
    </row>
    <row r="158">
      <c r="A158" s="8"/>
      <c r="B158" s="8"/>
      <c r="C158" s="8"/>
      <c r="D158" s="8"/>
      <c r="E158" s="8"/>
      <c r="F158" s="8"/>
      <c r="G158" s="8"/>
      <c r="H158" s="8"/>
      <c r="I158" s="8"/>
      <c r="J158" s="215"/>
      <c r="K158" s="126"/>
      <c r="L158" s="126"/>
      <c r="M158" s="126"/>
      <c r="N158" s="126"/>
      <c r="O158" s="8"/>
      <c r="P158" s="8"/>
      <c r="Q158" s="129"/>
      <c r="R158" s="1369"/>
      <c r="S158" s="126"/>
      <c r="T158" s="8"/>
      <c r="U158" s="1359"/>
      <c r="V158" s="8"/>
      <c r="W158" s="8"/>
      <c r="X158" s="8"/>
      <c r="Y158" s="8"/>
      <c r="Z158" s="8"/>
      <c r="AA158" s="8"/>
    </row>
    <row r="159">
      <c r="A159" s="8"/>
      <c r="B159" s="8"/>
      <c r="C159" s="8"/>
      <c r="D159" s="8"/>
      <c r="E159" s="8"/>
      <c r="F159" s="8"/>
      <c r="G159" s="8"/>
      <c r="H159" s="8"/>
      <c r="I159" s="8"/>
      <c r="J159" s="215"/>
      <c r="K159" s="126"/>
      <c r="L159" s="126"/>
      <c r="M159" s="126"/>
      <c r="N159" s="126"/>
      <c r="O159" s="8"/>
      <c r="P159" s="8"/>
      <c r="Q159" s="129"/>
      <c r="R159" s="1369"/>
      <c r="S159" s="126"/>
      <c r="T159" s="8"/>
      <c r="U159" s="1359"/>
      <c r="V159" s="8"/>
      <c r="W159" s="8"/>
      <c r="X159" s="8"/>
      <c r="Y159" s="8"/>
      <c r="Z159" s="8"/>
      <c r="AA159" s="8"/>
    </row>
    <row r="160">
      <c r="A160" s="8"/>
      <c r="B160" s="8"/>
      <c r="C160" s="8"/>
      <c r="D160" s="8"/>
      <c r="E160" s="8"/>
      <c r="F160" s="8"/>
      <c r="G160" s="8"/>
      <c r="H160" s="8"/>
      <c r="I160" s="8"/>
      <c r="J160" s="215"/>
      <c r="K160" s="126"/>
      <c r="L160" s="126"/>
      <c r="M160" s="126"/>
      <c r="N160" s="126"/>
      <c r="O160" s="8"/>
      <c r="P160" s="8"/>
      <c r="Q160" s="129"/>
      <c r="R160" s="1369"/>
      <c r="S160" s="126"/>
      <c r="T160" s="8"/>
      <c r="U160" s="1359"/>
      <c r="V160" s="8"/>
      <c r="W160" s="8"/>
      <c r="X160" s="8"/>
      <c r="Y160" s="8"/>
      <c r="Z160" s="8"/>
      <c r="AA160" s="8"/>
    </row>
    <row r="161">
      <c r="A161" s="8"/>
      <c r="B161" s="8"/>
      <c r="C161" s="8"/>
      <c r="D161" s="8"/>
      <c r="E161" s="8"/>
      <c r="F161" s="8"/>
      <c r="G161" s="8"/>
      <c r="H161" s="8"/>
      <c r="I161" s="8"/>
      <c r="J161" s="215"/>
      <c r="K161" s="126"/>
      <c r="L161" s="126"/>
      <c r="M161" s="126"/>
      <c r="N161" s="126"/>
      <c r="O161" s="8"/>
      <c r="P161" s="8"/>
      <c r="Q161" s="129"/>
      <c r="R161" s="1369"/>
      <c r="S161" s="126"/>
      <c r="T161" s="8"/>
      <c r="U161" s="1359"/>
      <c r="V161" s="8"/>
      <c r="W161" s="8"/>
      <c r="X161" s="8"/>
      <c r="Y161" s="8"/>
      <c r="Z161" s="8"/>
      <c r="AA161" s="8"/>
    </row>
    <row r="162">
      <c r="A162" s="8"/>
      <c r="B162" s="8"/>
      <c r="C162" s="8"/>
      <c r="D162" s="8"/>
      <c r="E162" s="8"/>
      <c r="F162" s="8"/>
      <c r="G162" s="8"/>
      <c r="H162" s="8"/>
      <c r="I162" s="8"/>
      <c r="J162" s="215"/>
      <c r="K162" s="126"/>
      <c r="L162" s="126"/>
      <c r="M162" s="126"/>
      <c r="N162" s="126"/>
      <c r="O162" s="8"/>
      <c r="P162" s="8"/>
      <c r="Q162" s="129"/>
      <c r="R162" s="1369"/>
      <c r="S162" s="126"/>
      <c r="T162" s="8"/>
      <c r="U162" s="1359"/>
      <c r="V162" s="8"/>
      <c r="W162" s="8"/>
      <c r="X162" s="8"/>
      <c r="Y162" s="8"/>
      <c r="Z162" s="8"/>
      <c r="AA162" s="8"/>
    </row>
    <row r="163">
      <c r="A163" s="8"/>
      <c r="B163" s="8"/>
      <c r="C163" s="8"/>
      <c r="D163" s="8"/>
      <c r="E163" s="8"/>
      <c r="F163" s="8"/>
      <c r="G163" s="8"/>
      <c r="H163" s="8"/>
      <c r="I163" s="8"/>
      <c r="J163" s="215"/>
      <c r="K163" s="126"/>
      <c r="L163" s="126"/>
      <c r="M163" s="126"/>
      <c r="N163" s="126"/>
      <c r="O163" s="8"/>
      <c r="P163" s="8"/>
      <c r="Q163" s="129"/>
      <c r="R163" s="1369"/>
      <c r="S163" s="126"/>
      <c r="T163" s="8"/>
      <c r="U163" s="1359"/>
      <c r="V163" s="8"/>
      <c r="W163" s="8"/>
      <c r="X163" s="8"/>
      <c r="Y163" s="8"/>
      <c r="Z163" s="8"/>
      <c r="AA163" s="8"/>
    </row>
    <row r="164">
      <c r="A164" s="8"/>
      <c r="B164" s="8"/>
      <c r="C164" s="8"/>
      <c r="D164" s="8"/>
      <c r="E164" s="8"/>
      <c r="F164" s="8"/>
      <c r="G164" s="8"/>
      <c r="H164" s="8"/>
      <c r="I164" s="8"/>
      <c r="J164" s="215"/>
      <c r="K164" s="126"/>
      <c r="L164" s="126"/>
      <c r="M164" s="126"/>
      <c r="N164" s="126"/>
      <c r="O164" s="8"/>
      <c r="P164" s="8"/>
      <c r="Q164" s="129"/>
      <c r="R164" s="1369"/>
      <c r="S164" s="126"/>
      <c r="T164" s="8"/>
      <c r="U164" s="1359"/>
      <c r="V164" s="8"/>
      <c r="W164" s="8"/>
      <c r="X164" s="8"/>
      <c r="Y164" s="8"/>
      <c r="Z164" s="8"/>
      <c r="AA164" s="8"/>
    </row>
    <row r="165">
      <c r="A165" s="8"/>
      <c r="B165" s="8"/>
      <c r="C165" s="8"/>
      <c r="D165" s="8"/>
      <c r="E165" s="8"/>
      <c r="F165" s="8"/>
      <c r="G165" s="8"/>
      <c r="H165" s="8"/>
      <c r="I165" s="8"/>
      <c r="J165" s="215"/>
      <c r="K165" s="126"/>
      <c r="L165" s="126"/>
      <c r="M165" s="126"/>
      <c r="N165" s="126"/>
      <c r="O165" s="8"/>
      <c r="P165" s="8"/>
      <c r="Q165" s="129"/>
      <c r="R165" s="1369"/>
      <c r="S165" s="126"/>
      <c r="T165" s="8"/>
      <c r="U165" s="1359"/>
      <c r="V165" s="8"/>
      <c r="W165" s="8"/>
      <c r="X165" s="8"/>
      <c r="Y165" s="8"/>
      <c r="Z165" s="8"/>
      <c r="AA165" s="8"/>
    </row>
    <row r="166">
      <c r="A166" s="8"/>
      <c r="B166" s="8"/>
      <c r="C166" s="8"/>
      <c r="D166" s="8"/>
      <c r="E166" s="8"/>
      <c r="F166" s="8"/>
      <c r="G166" s="8"/>
      <c r="H166" s="8"/>
      <c r="I166" s="8"/>
      <c r="J166" s="215"/>
      <c r="K166" s="126"/>
      <c r="L166" s="126"/>
      <c r="M166" s="126"/>
      <c r="N166" s="126"/>
      <c r="O166" s="8"/>
      <c r="P166" s="8"/>
      <c r="Q166" s="129"/>
      <c r="R166" s="1369"/>
      <c r="S166" s="126"/>
      <c r="T166" s="8"/>
      <c r="U166" s="1359"/>
      <c r="V166" s="8"/>
      <c r="W166" s="8"/>
      <c r="X166" s="8"/>
      <c r="Y166" s="8"/>
      <c r="Z166" s="8"/>
      <c r="AA166" s="8"/>
    </row>
    <row r="167">
      <c r="A167" s="8"/>
      <c r="B167" s="8"/>
      <c r="C167" s="8"/>
      <c r="D167" s="8"/>
      <c r="E167" s="8"/>
      <c r="F167" s="8"/>
      <c r="G167" s="8"/>
      <c r="H167" s="8"/>
      <c r="I167" s="8"/>
      <c r="J167" s="215"/>
      <c r="K167" s="126"/>
      <c r="L167" s="126"/>
      <c r="M167" s="126"/>
      <c r="N167" s="126"/>
      <c r="O167" s="8"/>
      <c r="P167" s="8"/>
      <c r="Q167" s="129"/>
      <c r="R167" s="1369"/>
      <c r="S167" s="126"/>
      <c r="T167" s="8"/>
      <c r="U167" s="1359"/>
      <c r="V167" s="8"/>
      <c r="W167" s="8"/>
      <c r="X167" s="8"/>
      <c r="Y167" s="8"/>
      <c r="Z167" s="8"/>
      <c r="AA167" s="8"/>
    </row>
    <row r="168">
      <c r="A168" s="8"/>
      <c r="B168" s="8"/>
      <c r="C168" s="8"/>
      <c r="D168" s="8"/>
      <c r="E168" s="8"/>
      <c r="F168" s="8"/>
      <c r="G168" s="8"/>
      <c r="H168" s="8"/>
      <c r="I168" s="8"/>
      <c r="J168" s="215"/>
      <c r="K168" s="126"/>
      <c r="L168" s="126"/>
      <c r="M168" s="126"/>
      <c r="N168" s="126"/>
      <c r="O168" s="8"/>
      <c r="P168" s="8"/>
      <c r="Q168" s="129"/>
      <c r="R168" s="1369"/>
      <c r="S168" s="126"/>
      <c r="T168" s="8"/>
      <c r="U168" s="1359"/>
      <c r="V168" s="8"/>
      <c r="W168" s="8"/>
      <c r="X168" s="8"/>
      <c r="Y168" s="8"/>
      <c r="Z168" s="8"/>
      <c r="AA168" s="8"/>
    </row>
    <row r="169">
      <c r="A169" s="8"/>
      <c r="B169" s="8"/>
      <c r="C169" s="8"/>
      <c r="D169" s="8"/>
      <c r="E169" s="8"/>
      <c r="F169" s="8"/>
      <c r="G169" s="8"/>
      <c r="H169" s="8"/>
      <c r="I169" s="8"/>
      <c r="J169" s="215"/>
      <c r="K169" s="126"/>
      <c r="L169" s="126"/>
      <c r="M169" s="126"/>
      <c r="N169" s="126"/>
      <c r="O169" s="8"/>
      <c r="P169" s="8"/>
      <c r="Q169" s="129"/>
      <c r="R169" s="1369"/>
      <c r="S169" s="126"/>
      <c r="T169" s="8"/>
      <c r="U169" s="1359"/>
      <c r="V169" s="8"/>
      <c r="W169" s="8"/>
      <c r="X169" s="8"/>
      <c r="Y169" s="8"/>
      <c r="Z169" s="8"/>
      <c r="AA169" s="8"/>
    </row>
    <row r="170">
      <c r="A170" s="8"/>
      <c r="B170" s="8"/>
      <c r="C170" s="8"/>
      <c r="D170" s="8"/>
      <c r="E170" s="8"/>
      <c r="F170" s="8"/>
      <c r="G170" s="8"/>
      <c r="H170" s="8"/>
      <c r="I170" s="8"/>
      <c r="J170" s="215"/>
      <c r="K170" s="126"/>
      <c r="L170" s="126"/>
      <c r="M170" s="126"/>
      <c r="N170" s="126"/>
      <c r="O170" s="8"/>
      <c r="P170" s="8"/>
      <c r="Q170" s="129"/>
      <c r="R170" s="1369"/>
      <c r="S170" s="126"/>
      <c r="T170" s="8"/>
      <c r="U170" s="1359"/>
      <c r="V170" s="8"/>
      <c r="W170" s="8"/>
      <c r="X170" s="8"/>
      <c r="Y170" s="8"/>
      <c r="Z170" s="8"/>
      <c r="AA170" s="8"/>
    </row>
    <row r="171">
      <c r="A171" s="8"/>
      <c r="B171" s="8"/>
      <c r="C171" s="8"/>
      <c r="D171" s="8"/>
      <c r="E171" s="8"/>
      <c r="F171" s="8"/>
      <c r="G171" s="8"/>
      <c r="H171" s="8"/>
      <c r="I171" s="8"/>
      <c r="J171" s="215"/>
      <c r="K171" s="126"/>
      <c r="L171" s="126"/>
      <c r="M171" s="126"/>
      <c r="N171" s="126"/>
      <c r="O171" s="8"/>
      <c r="P171" s="8"/>
      <c r="Q171" s="129"/>
      <c r="R171" s="1369"/>
      <c r="S171" s="126"/>
      <c r="T171" s="8"/>
      <c r="U171" s="1359"/>
      <c r="V171" s="8"/>
      <c r="W171" s="8"/>
      <c r="X171" s="8"/>
      <c r="Y171" s="8"/>
      <c r="Z171" s="8"/>
      <c r="AA171" s="8"/>
    </row>
    <row r="172">
      <c r="A172" s="8"/>
      <c r="B172" s="8"/>
      <c r="C172" s="8"/>
      <c r="D172" s="8"/>
      <c r="E172" s="8"/>
      <c r="F172" s="8"/>
      <c r="G172" s="8"/>
      <c r="H172" s="8"/>
      <c r="I172" s="8"/>
      <c r="J172" s="215"/>
      <c r="K172" s="126"/>
      <c r="L172" s="126"/>
      <c r="M172" s="126"/>
      <c r="N172" s="126"/>
      <c r="O172" s="8"/>
      <c r="P172" s="8"/>
      <c r="Q172" s="129"/>
      <c r="R172" s="1369"/>
      <c r="S172" s="126"/>
      <c r="T172" s="8"/>
      <c r="U172" s="1359"/>
      <c r="V172" s="8"/>
      <c r="W172" s="8"/>
      <c r="X172" s="8"/>
      <c r="Y172" s="8"/>
      <c r="Z172" s="8"/>
      <c r="AA172" s="8"/>
    </row>
    <row r="173">
      <c r="A173" s="8"/>
      <c r="B173" s="8"/>
      <c r="C173" s="8"/>
      <c r="D173" s="8"/>
      <c r="E173" s="8"/>
      <c r="F173" s="8"/>
      <c r="G173" s="8"/>
      <c r="H173" s="8"/>
      <c r="I173" s="8"/>
      <c r="J173" s="215"/>
      <c r="K173" s="126"/>
      <c r="L173" s="126"/>
      <c r="M173" s="126"/>
      <c r="N173" s="126"/>
      <c r="O173" s="8"/>
      <c r="P173" s="8"/>
      <c r="Q173" s="129"/>
      <c r="R173" s="1369"/>
      <c r="S173" s="126"/>
      <c r="T173" s="8"/>
      <c r="U173" s="1359"/>
      <c r="V173" s="8"/>
      <c r="W173" s="8"/>
      <c r="X173" s="8"/>
      <c r="Y173" s="8"/>
      <c r="Z173" s="8"/>
      <c r="AA173" s="8"/>
    </row>
    <row r="174">
      <c r="A174" s="8"/>
      <c r="B174" s="8"/>
      <c r="C174" s="8"/>
      <c r="D174" s="8"/>
      <c r="E174" s="8"/>
      <c r="F174" s="8"/>
      <c r="G174" s="8"/>
      <c r="H174" s="8"/>
      <c r="I174" s="8"/>
      <c r="J174" s="215"/>
      <c r="K174" s="126"/>
      <c r="L174" s="126"/>
      <c r="M174" s="126"/>
      <c r="N174" s="126"/>
      <c r="O174" s="8"/>
      <c r="P174" s="8"/>
      <c r="Q174" s="129"/>
      <c r="R174" s="1369"/>
      <c r="S174" s="126"/>
      <c r="T174" s="8"/>
      <c r="U174" s="1359"/>
      <c r="V174" s="8"/>
      <c r="W174" s="8"/>
      <c r="X174" s="8"/>
      <c r="Y174" s="8"/>
      <c r="Z174" s="8"/>
      <c r="AA174" s="8"/>
    </row>
    <row r="175">
      <c r="A175" s="8"/>
      <c r="B175" s="8"/>
      <c r="C175" s="8"/>
      <c r="D175" s="8"/>
      <c r="E175" s="8"/>
      <c r="F175" s="8"/>
      <c r="G175" s="8"/>
      <c r="H175" s="8"/>
      <c r="I175" s="8"/>
      <c r="J175" s="215"/>
      <c r="K175" s="126"/>
      <c r="L175" s="126"/>
      <c r="M175" s="126"/>
      <c r="N175" s="126"/>
      <c r="O175" s="8"/>
      <c r="P175" s="8"/>
      <c r="Q175" s="129"/>
      <c r="R175" s="1369"/>
      <c r="S175" s="126"/>
      <c r="T175" s="8"/>
      <c r="U175" s="1359"/>
      <c r="V175" s="8"/>
      <c r="W175" s="8"/>
      <c r="X175" s="8"/>
      <c r="Y175" s="8"/>
      <c r="Z175" s="8"/>
      <c r="AA175" s="8"/>
    </row>
    <row r="176">
      <c r="A176" s="8"/>
      <c r="B176" s="8"/>
      <c r="C176" s="8"/>
      <c r="D176" s="8"/>
      <c r="E176" s="8"/>
      <c r="F176" s="8"/>
      <c r="G176" s="8"/>
      <c r="H176" s="8"/>
      <c r="I176" s="8"/>
      <c r="J176" s="215"/>
      <c r="K176" s="126"/>
      <c r="L176" s="126"/>
      <c r="M176" s="126"/>
      <c r="N176" s="126"/>
      <c r="O176" s="8"/>
      <c r="P176" s="8"/>
      <c r="Q176" s="129"/>
      <c r="R176" s="1369"/>
      <c r="S176" s="126"/>
      <c r="T176" s="8"/>
      <c r="U176" s="1359"/>
      <c r="V176" s="8"/>
      <c r="W176" s="8"/>
      <c r="X176" s="8"/>
      <c r="Y176" s="8"/>
      <c r="Z176" s="8"/>
      <c r="AA176" s="8"/>
    </row>
    <row r="177">
      <c r="A177" s="8"/>
      <c r="B177" s="8"/>
      <c r="C177" s="8"/>
      <c r="D177" s="8"/>
      <c r="E177" s="8"/>
      <c r="F177" s="8"/>
      <c r="G177" s="8"/>
      <c r="H177" s="8"/>
      <c r="I177" s="8"/>
      <c r="J177" s="215"/>
      <c r="K177" s="126"/>
      <c r="L177" s="126"/>
      <c r="M177" s="126"/>
      <c r="N177" s="126"/>
      <c r="O177" s="8"/>
      <c r="P177" s="8"/>
      <c r="Q177" s="129"/>
      <c r="R177" s="1369"/>
      <c r="S177" s="126"/>
      <c r="T177" s="8"/>
      <c r="U177" s="1359"/>
      <c r="V177" s="8"/>
      <c r="W177" s="8"/>
      <c r="X177" s="8"/>
      <c r="Y177" s="8"/>
      <c r="Z177" s="8"/>
      <c r="AA177" s="8"/>
    </row>
    <row r="178">
      <c r="A178" s="8"/>
      <c r="B178" s="8"/>
      <c r="C178" s="8"/>
      <c r="D178" s="8"/>
      <c r="E178" s="8"/>
      <c r="F178" s="8"/>
      <c r="G178" s="8"/>
      <c r="H178" s="8"/>
      <c r="I178" s="8"/>
      <c r="J178" s="215"/>
      <c r="K178" s="126"/>
      <c r="L178" s="126"/>
      <c r="M178" s="126"/>
      <c r="N178" s="126"/>
      <c r="O178" s="8"/>
      <c r="P178" s="8"/>
      <c r="Q178" s="129"/>
      <c r="R178" s="1369"/>
      <c r="S178" s="126"/>
      <c r="T178" s="8"/>
      <c r="U178" s="1359"/>
      <c r="V178" s="8"/>
      <c r="W178" s="8"/>
      <c r="X178" s="8"/>
      <c r="Y178" s="8"/>
      <c r="Z178" s="8"/>
      <c r="AA178" s="8"/>
    </row>
    <row r="179">
      <c r="A179" s="8"/>
      <c r="B179" s="8"/>
      <c r="C179" s="8"/>
      <c r="D179" s="8"/>
      <c r="E179" s="8"/>
      <c r="F179" s="8"/>
      <c r="G179" s="8"/>
      <c r="H179" s="8"/>
      <c r="I179" s="8"/>
      <c r="J179" s="215"/>
      <c r="K179" s="126"/>
      <c r="L179" s="126"/>
      <c r="M179" s="126"/>
      <c r="N179" s="126"/>
      <c r="O179" s="8"/>
      <c r="P179" s="8"/>
      <c r="Q179" s="129"/>
      <c r="R179" s="1369"/>
      <c r="S179" s="126"/>
      <c r="T179" s="8"/>
      <c r="U179" s="1359"/>
      <c r="V179" s="8"/>
      <c r="W179" s="8"/>
      <c r="X179" s="8"/>
      <c r="Y179" s="8"/>
      <c r="Z179" s="8"/>
      <c r="AA179" s="8"/>
    </row>
    <row r="180">
      <c r="A180" s="8"/>
      <c r="B180" s="8"/>
      <c r="C180" s="8"/>
      <c r="D180" s="8"/>
      <c r="E180" s="8"/>
      <c r="F180" s="8"/>
      <c r="G180" s="8"/>
      <c r="H180" s="8"/>
      <c r="I180" s="8"/>
      <c r="J180" s="215"/>
      <c r="K180" s="126"/>
      <c r="L180" s="126"/>
      <c r="M180" s="126"/>
      <c r="N180" s="126"/>
      <c r="O180" s="8"/>
      <c r="P180" s="8"/>
      <c r="Q180" s="129"/>
      <c r="R180" s="1369"/>
      <c r="S180" s="126"/>
      <c r="T180" s="8"/>
      <c r="U180" s="1359"/>
      <c r="V180" s="8"/>
      <c r="W180" s="8"/>
      <c r="X180" s="8"/>
      <c r="Y180" s="8"/>
      <c r="Z180" s="8"/>
      <c r="AA180" s="8"/>
    </row>
    <row r="181">
      <c r="A181" s="8"/>
      <c r="B181" s="8"/>
      <c r="C181" s="8"/>
      <c r="D181" s="8"/>
      <c r="E181" s="8"/>
      <c r="F181" s="8"/>
      <c r="G181" s="8"/>
      <c r="H181" s="8"/>
      <c r="I181" s="8"/>
      <c r="J181" s="215"/>
      <c r="K181" s="126"/>
      <c r="L181" s="126"/>
      <c r="M181" s="126"/>
      <c r="N181" s="126"/>
      <c r="O181" s="8"/>
      <c r="P181" s="8"/>
      <c r="Q181" s="129"/>
      <c r="R181" s="1369"/>
      <c r="S181" s="126"/>
      <c r="T181" s="8"/>
      <c r="U181" s="1359"/>
      <c r="V181" s="8"/>
      <c r="W181" s="8"/>
      <c r="X181" s="8"/>
      <c r="Y181" s="8"/>
      <c r="Z181" s="8"/>
      <c r="AA181" s="8"/>
    </row>
    <row r="182">
      <c r="A182" s="8"/>
      <c r="B182" s="8"/>
      <c r="C182" s="8"/>
      <c r="D182" s="8"/>
      <c r="E182" s="8"/>
      <c r="F182" s="8"/>
      <c r="G182" s="8"/>
      <c r="H182" s="8"/>
      <c r="I182" s="8"/>
      <c r="J182" s="215"/>
      <c r="K182" s="126"/>
      <c r="L182" s="126"/>
      <c r="M182" s="126"/>
      <c r="N182" s="126"/>
      <c r="O182" s="8"/>
      <c r="P182" s="8"/>
      <c r="Q182" s="129"/>
      <c r="R182" s="1369"/>
      <c r="S182" s="126"/>
      <c r="T182" s="8"/>
      <c r="U182" s="1359"/>
      <c r="V182" s="8"/>
      <c r="W182" s="8"/>
      <c r="X182" s="8"/>
      <c r="Y182" s="8"/>
      <c r="Z182" s="8"/>
      <c r="AA182" s="8"/>
    </row>
    <row r="183">
      <c r="A183" s="8"/>
      <c r="B183" s="8"/>
      <c r="C183" s="8"/>
      <c r="D183" s="8"/>
      <c r="E183" s="8"/>
      <c r="F183" s="8"/>
      <c r="G183" s="8"/>
      <c r="H183" s="8"/>
      <c r="I183" s="8"/>
      <c r="J183" s="215"/>
      <c r="K183" s="126"/>
      <c r="L183" s="126"/>
      <c r="M183" s="126"/>
      <c r="N183" s="126"/>
      <c r="O183" s="8"/>
      <c r="P183" s="8"/>
      <c r="Q183" s="129"/>
      <c r="R183" s="1369"/>
      <c r="S183" s="126"/>
      <c r="T183" s="8"/>
      <c r="U183" s="1359"/>
      <c r="V183" s="8"/>
      <c r="W183" s="8"/>
      <c r="X183" s="8"/>
      <c r="Y183" s="8"/>
      <c r="Z183" s="8"/>
      <c r="AA183" s="8"/>
    </row>
    <row r="184">
      <c r="A184" s="8"/>
      <c r="B184" s="8"/>
      <c r="C184" s="8"/>
      <c r="D184" s="8"/>
      <c r="E184" s="8"/>
      <c r="F184" s="8"/>
      <c r="G184" s="8"/>
      <c r="H184" s="8"/>
      <c r="I184" s="8"/>
      <c r="J184" s="215"/>
      <c r="K184" s="126"/>
      <c r="L184" s="126"/>
      <c r="M184" s="126"/>
      <c r="N184" s="126"/>
      <c r="O184" s="8"/>
      <c r="P184" s="8"/>
      <c r="Q184" s="129"/>
      <c r="R184" s="1369"/>
      <c r="S184" s="126"/>
      <c r="T184" s="8"/>
      <c r="U184" s="1359"/>
      <c r="V184" s="8"/>
      <c r="W184" s="8"/>
      <c r="X184" s="8"/>
      <c r="Y184" s="8"/>
      <c r="Z184" s="8"/>
      <c r="AA184" s="8"/>
    </row>
    <row r="185">
      <c r="A185" s="8"/>
      <c r="B185" s="8"/>
      <c r="C185" s="8"/>
      <c r="D185" s="8"/>
      <c r="E185" s="8"/>
      <c r="F185" s="8"/>
      <c r="G185" s="8"/>
      <c r="H185" s="8"/>
      <c r="I185" s="8"/>
      <c r="J185" s="215"/>
      <c r="K185" s="126"/>
      <c r="L185" s="126"/>
      <c r="M185" s="126"/>
      <c r="N185" s="126"/>
      <c r="O185" s="8"/>
      <c r="P185" s="8"/>
      <c r="Q185" s="129"/>
      <c r="R185" s="1369"/>
      <c r="S185" s="126"/>
      <c r="T185" s="8"/>
      <c r="U185" s="1359"/>
      <c r="V185" s="8"/>
      <c r="W185" s="8"/>
      <c r="X185" s="8"/>
      <c r="Y185" s="8"/>
      <c r="Z185" s="8"/>
      <c r="AA185" s="8"/>
    </row>
    <row r="186">
      <c r="A186" s="8"/>
      <c r="B186" s="8"/>
      <c r="C186" s="8"/>
      <c r="D186" s="8"/>
      <c r="E186" s="8"/>
      <c r="F186" s="8"/>
      <c r="G186" s="8"/>
      <c r="H186" s="8"/>
      <c r="I186" s="8"/>
      <c r="J186" s="215"/>
      <c r="K186" s="126"/>
      <c r="L186" s="126"/>
      <c r="M186" s="126"/>
      <c r="N186" s="126"/>
      <c r="O186" s="8"/>
      <c r="P186" s="8"/>
      <c r="Q186" s="129"/>
      <c r="R186" s="1369"/>
      <c r="S186" s="126"/>
      <c r="T186" s="8"/>
      <c r="U186" s="1359"/>
      <c r="V186" s="8"/>
      <c r="W186" s="8"/>
      <c r="X186" s="8"/>
      <c r="Y186" s="8"/>
      <c r="Z186" s="8"/>
      <c r="AA186" s="8"/>
    </row>
    <row r="187">
      <c r="A187" s="8"/>
      <c r="B187" s="8"/>
      <c r="C187" s="8"/>
      <c r="D187" s="8"/>
      <c r="E187" s="8"/>
      <c r="F187" s="8"/>
      <c r="G187" s="8"/>
      <c r="H187" s="8"/>
      <c r="I187" s="8"/>
      <c r="J187" s="215"/>
      <c r="K187" s="126"/>
      <c r="L187" s="126"/>
      <c r="M187" s="126"/>
      <c r="N187" s="126"/>
      <c r="O187" s="8"/>
      <c r="P187" s="8"/>
      <c r="Q187" s="129"/>
      <c r="R187" s="1369"/>
      <c r="S187" s="126"/>
      <c r="T187" s="8"/>
      <c r="U187" s="1359"/>
      <c r="V187" s="8"/>
      <c r="W187" s="8"/>
      <c r="X187" s="8"/>
      <c r="Y187" s="8"/>
      <c r="Z187" s="8"/>
      <c r="AA187" s="8"/>
    </row>
    <row r="188">
      <c r="A188" s="8"/>
      <c r="B188" s="8"/>
      <c r="C188" s="8"/>
      <c r="D188" s="8"/>
      <c r="E188" s="8"/>
      <c r="F188" s="8"/>
      <c r="G188" s="8"/>
      <c r="H188" s="8"/>
      <c r="I188" s="8"/>
      <c r="J188" s="215"/>
      <c r="K188" s="126"/>
      <c r="L188" s="126"/>
      <c r="M188" s="126"/>
      <c r="N188" s="126"/>
      <c r="O188" s="8"/>
      <c r="P188" s="8"/>
      <c r="Q188" s="129"/>
      <c r="R188" s="1369"/>
      <c r="S188" s="126"/>
      <c r="T188" s="8"/>
      <c r="U188" s="1359"/>
      <c r="V188" s="8"/>
      <c r="W188" s="8"/>
      <c r="X188" s="8"/>
      <c r="Y188" s="8"/>
      <c r="Z188" s="8"/>
      <c r="AA188" s="8"/>
    </row>
    <row r="189">
      <c r="A189" s="8"/>
      <c r="B189" s="8"/>
      <c r="C189" s="8"/>
      <c r="D189" s="8"/>
      <c r="E189" s="8"/>
      <c r="F189" s="8"/>
      <c r="G189" s="8"/>
      <c r="H189" s="8"/>
      <c r="I189" s="8"/>
      <c r="J189" s="215"/>
      <c r="K189" s="126"/>
      <c r="L189" s="126"/>
      <c r="M189" s="126"/>
      <c r="N189" s="126"/>
      <c r="O189" s="8"/>
      <c r="P189" s="8"/>
      <c r="Q189" s="129"/>
      <c r="R189" s="1369"/>
      <c r="S189" s="126"/>
      <c r="T189" s="8"/>
      <c r="U189" s="1359"/>
      <c r="V189" s="8"/>
      <c r="W189" s="8"/>
      <c r="X189" s="8"/>
      <c r="Y189" s="8"/>
      <c r="Z189" s="8"/>
      <c r="AA189" s="8"/>
    </row>
    <row r="190">
      <c r="A190" s="8"/>
      <c r="B190" s="8"/>
      <c r="C190" s="8"/>
      <c r="D190" s="8"/>
      <c r="E190" s="8"/>
      <c r="F190" s="8"/>
      <c r="G190" s="8"/>
      <c r="H190" s="8"/>
      <c r="I190" s="8"/>
      <c r="J190" s="215"/>
      <c r="K190" s="126"/>
      <c r="L190" s="126"/>
      <c r="M190" s="126"/>
      <c r="N190" s="126"/>
      <c r="O190" s="8"/>
      <c r="P190" s="8"/>
      <c r="Q190" s="129"/>
      <c r="R190" s="1369"/>
      <c r="S190" s="126"/>
      <c r="T190" s="8"/>
      <c r="U190" s="1359"/>
      <c r="V190" s="8"/>
      <c r="W190" s="8"/>
      <c r="X190" s="8"/>
      <c r="Y190" s="8"/>
      <c r="Z190" s="8"/>
      <c r="AA190" s="8"/>
    </row>
    <row r="191">
      <c r="A191" s="8"/>
      <c r="B191" s="8"/>
      <c r="C191" s="8"/>
      <c r="D191" s="8"/>
      <c r="E191" s="8"/>
      <c r="F191" s="8"/>
      <c r="G191" s="8"/>
      <c r="H191" s="8"/>
      <c r="I191" s="8"/>
      <c r="J191" s="215"/>
      <c r="K191" s="126"/>
      <c r="L191" s="126"/>
      <c r="M191" s="126"/>
      <c r="N191" s="126"/>
      <c r="O191" s="8"/>
      <c r="P191" s="8"/>
      <c r="Q191" s="129"/>
      <c r="R191" s="1369"/>
      <c r="S191" s="126"/>
      <c r="T191" s="8"/>
      <c r="U191" s="1359"/>
      <c r="V191" s="8"/>
      <c r="W191" s="8"/>
      <c r="X191" s="8"/>
      <c r="Y191" s="8"/>
      <c r="Z191" s="8"/>
      <c r="AA191" s="8"/>
    </row>
    <row r="192">
      <c r="A192" s="8"/>
      <c r="B192" s="8"/>
      <c r="C192" s="8"/>
      <c r="D192" s="8"/>
      <c r="E192" s="8"/>
      <c r="F192" s="8"/>
      <c r="G192" s="8"/>
      <c r="H192" s="8"/>
      <c r="I192" s="8"/>
      <c r="J192" s="215"/>
      <c r="K192" s="126"/>
      <c r="L192" s="126"/>
      <c r="M192" s="126"/>
      <c r="N192" s="126"/>
      <c r="O192" s="8"/>
      <c r="P192" s="8"/>
      <c r="Q192" s="129"/>
      <c r="R192" s="1369"/>
      <c r="S192" s="126"/>
      <c r="T192" s="8"/>
      <c r="U192" s="1359"/>
      <c r="V192" s="8"/>
      <c r="W192" s="8"/>
      <c r="X192" s="8"/>
      <c r="Y192" s="8"/>
      <c r="Z192" s="8"/>
      <c r="AA192" s="8"/>
    </row>
    <row r="193">
      <c r="A193" s="8"/>
      <c r="B193" s="8"/>
      <c r="C193" s="8"/>
      <c r="D193" s="8"/>
      <c r="E193" s="8"/>
      <c r="F193" s="8"/>
      <c r="G193" s="8"/>
      <c r="H193" s="8"/>
      <c r="I193" s="8"/>
      <c r="J193" s="215"/>
      <c r="K193" s="126"/>
      <c r="L193" s="126"/>
      <c r="M193" s="126"/>
      <c r="N193" s="126"/>
      <c r="O193" s="8"/>
      <c r="P193" s="8"/>
      <c r="Q193" s="129"/>
      <c r="R193" s="1369"/>
      <c r="S193" s="126"/>
      <c r="T193" s="8"/>
      <c r="U193" s="1359"/>
      <c r="V193" s="8"/>
      <c r="W193" s="8"/>
      <c r="X193" s="8"/>
      <c r="Y193" s="8"/>
      <c r="Z193" s="8"/>
      <c r="AA193" s="8"/>
    </row>
    <row r="194">
      <c r="A194" s="8"/>
      <c r="B194" s="8"/>
      <c r="C194" s="8"/>
      <c r="D194" s="8"/>
      <c r="E194" s="8"/>
      <c r="F194" s="8"/>
      <c r="G194" s="8"/>
      <c r="H194" s="8"/>
      <c r="I194" s="8"/>
      <c r="J194" s="215"/>
      <c r="K194" s="126"/>
      <c r="L194" s="126"/>
      <c r="M194" s="126"/>
      <c r="N194" s="126"/>
      <c r="O194" s="8"/>
      <c r="P194" s="8"/>
      <c r="Q194" s="129"/>
      <c r="R194" s="1369"/>
      <c r="S194" s="126"/>
      <c r="T194" s="8"/>
      <c r="U194" s="1359"/>
      <c r="V194" s="8"/>
      <c r="W194" s="8"/>
      <c r="X194" s="8"/>
      <c r="Y194" s="8"/>
      <c r="Z194" s="8"/>
      <c r="AA194" s="8"/>
    </row>
    <row r="195">
      <c r="A195" s="8"/>
      <c r="B195" s="8"/>
      <c r="C195" s="8"/>
      <c r="D195" s="8"/>
      <c r="E195" s="8"/>
      <c r="F195" s="8"/>
      <c r="G195" s="8"/>
      <c r="H195" s="8"/>
      <c r="I195" s="8"/>
      <c r="J195" s="215"/>
      <c r="K195" s="126"/>
      <c r="L195" s="126"/>
      <c r="M195" s="126"/>
      <c r="N195" s="126"/>
      <c r="O195" s="8"/>
      <c r="P195" s="8"/>
      <c r="Q195" s="129"/>
      <c r="R195" s="1369"/>
      <c r="S195" s="126"/>
      <c r="T195" s="8"/>
      <c r="U195" s="1359"/>
      <c r="V195" s="8"/>
      <c r="W195" s="8"/>
      <c r="X195" s="8"/>
      <c r="Y195" s="8"/>
      <c r="Z195" s="8"/>
      <c r="AA195" s="8"/>
    </row>
    <row r="196">
      <c r="A196" s="8"/>
      <c r="B196" s="8"/>
      <c r="C196" s="8"/>
      <c r="D196" s="8"/>
      <c r="E196" s="8"/>
      <c r="F196" s="8"/>
      <c r="G196" s="8"/>
      <c r="H196" s="8"/>
      <c r="I196" s="8"/>
      <c r="J196" s="215"/>
      <c r="K196" s="126"/>
      <c r="L196" s="126"/>
      <c r="M196" s="126"/>
      <c r="N196" s="126"/>
      <c r="O196" s="8"/>
      <c r="P196" s="8"/>
      <c r="Q196" s="129"/>
      <c r="R196" s="1369"/>
      <c r="S196" s="126"/>
      <c r="T196" s="8"/>
      <c r="U196" s="1359"/>
      <c r="V196" s="8"/>
      <c r="W196" s="8"/>
      <c r="X196" s="8"/>
      <c r="Y196" s="8"/>
      <c r="Z196" s="8"/>
      <c r="AA196" s="8"/>
    </row>
    <row r="197">
      <c r="A197" s="8"/>
      <c r="B197" s="8"/>
      <c r="C197" s="8"/>
      <c r="D197" s="8"/>
      <c r="E197" s="8"/>
      <c r="F197" s="8"/>
      <c r="G197" s="8"/>
      <c r="H197" s="8"/>
      <c r="I197" s="8"/>
      <c r="J197" s="215"/>
      <c r="K197" s="126"/>
      <c r="L197" s="126"/>
      <c r="M197" s="126"/>
      <c r="N197" s="126"/>
      <c r="O197" s="8"/>
      <c r="P197" s="8"/>
      <c r="Q197" s="129"/>
      <c r="R197" s="1369"/>
      <c r="S197" s="126"/>
      <c r="T197" s="8"/>
      <c r="U197" s="1359"/>
      <c r="V197" s="8"/>
      <c r="W197" s="8"/>
      <c r="X197" s="8"/>
      <c r="Y197" s="8"/>
      <c r="Z197" s="8"/>
      <c r="AA197" s="8"/>
    </row>
    <row r="198">
      <c r="A198" s="8"/>
      <c r="B198" s="8"/>
      <c r="C198" s="8"/>
      <c r="D198" s="8"/>
      <c r="E198" s="8"/>
      <c r="F198" s="8"/>
      <c r="G198" s="8"/>
      <c r="H198" s="8"/>
      <c r="I198" s="8"/>
      <c r="J198" s="215"/>
      <c r="K198" s="126"/>
      <c r="L198" s="126"/>
      <c r="M198" s="126"/>
      <c r="N198" s="126"/>
      <c r="O198" s="8"/>
      <c r="P198" s="8"/>
      <c r="Q198" s="129"/>
      <c r="R198" s="1369"/>
      <c r="S198" s="126"/>
      <c r="T198" s="8"/>
      <c r="U198" s="1359"/>
      <c r="V198" s="8"/>
      <c r="W198" s="8"/>
      <c r="X198" s="8"/>
      <c r="Y198" s="8"/>
      <c r="Z198" s="8"/>
      <c r="AA198" s="8"/>
    </row>
    <row r="199">
      <c r="A199" s="8"/>
      <c r="B199" s="8"/>
      <c r="C199" s="8"/>
      <c r="D199" s="8"/>
      <c r="E199" s="8"/>
      <c r="F199" s="8"/>
      <c r="G199" s="8"/>
      <c r="H199" s="8"/>
      <c r="I199" s="8"/>
      <c r="J199" s="215"/>
      <c r="K199" s="126"/>
      <c r="L199" s="126"/>
      <c r="M199" s="126"/>
      <c r="N199" s="126"/>
      <c r="O199" s="8"/>
      <c r="P199" s="8"/>
      <c r="Q199" s="129"/>
      <c r="R199" s="1369"/>
      <c r="S199" s="126"/>
      <c r="T199" s="8"/>
      <c r="U199" s="1359"/>
      <c r="V199" s="8"/>
      <c r="W199" s="8"/>
      <c r="X199" s="8"/>
      <c r="Y199" s="8"/>
      <c r="Z199" s="8"/>
      <c r="AA199" s="8"/>
    </row>
    <row r="200">
      <c r="A200" s="8"/>
      <c r="B200" s="8"/>
      <c r="C200" s="8"/>
      <c r="D200" s="8"/>
      <c r="E200" s="8"/>
      <c r="F200" s="8"/>
      <c r="G200" s="8"/>
      <c r="H200" s="8"/>
      <c r="I200" s="8"/>
      <c r="J200" s="215"/>
      <c r="K200" s="126"/>
      <c r="L200" s="126"/>
      <c r="M200" s="126"/>
      <c r="N200" s="126"/>
      <c r="O200" s="8"/>
      <c r="P200" s="8"/>
      <c r="Q200" s="129"/>
      <c r="R200" s="1369"/>
      <c r="S200" s="126"/>
      <c r="T200" s="8"/>
      <c r="U200" s="1359"/>
      <c r="V200" s="8"/>
      <c r="W200" s="8"/>
      <c r="X200" s="8"/>
      <c r="Y200" s="8"/>
      <c r="Z200" s="8"/>
      <c r="AA200" s="8"/>
    </row>
    <row r="201">
      <c r="A201" s="8"/>
      <c r="B201" s="8"/>
      <c r="C201" s="8"/>
      <c r="D201" s="8"/>
      <c r="E201" s="8"/>
      <c r="F201" s="8"/>
      <c r="G201" s="8"/>
      <c r="H201" s="8"/>
      <c r="I201" s="8"/>
      <c r="J201" s="215"/>
      <c r="K201" s="126"/>
      <c r="L201" s="126"/>
      <c r="M201" s="126"/>
      <c r="N201" s="126"/>
      <c r="O201" s="8"/>
      <c r="P201" s="8"/>
      <c r="Q201" s="129"/>
      <c r="R201" s="1369"/>
      <c r="S201" s="126"/>
      <c r="T201" s="8"/>
      <c r="U201" s="1359"/>
      <c r="V201" s="8"/>
      <c r="W201" s="8"/>
      <c r="X201" s="8"/>
      <c r="Y201" s="8"/>
      <c r="Z201" s="8"/>
      <c r="AA201" s="8"/>
    </row>
    <row r="202">
      <c r="A202" s="8"/>
      <c r="B202" s="8"/>
      <c r="C202" s="8"/>
      <c r="D202" s="8"/>
      <c r="E202" s="8"/>
      <c r="F202" s="8"/>
      <c r="G202" s="8"/>
      <c r="H202" s="8"/>
      <c r="I202" s="8"/>
      <c r="J202" s="215"/>
      <c r="K202" s="126"/>
      <c r="L202" s="126"/>
      <c r="M202" s="126"/>
      <c r="N202" s="126"/>
      <c r="O202" s="8"/>
      <c r="P202" s="8"/>
      <c r="Q202" s="129"/>
      <c r="R202" s="1369"/>
      <c r="S202" s="126"/>
      <c r="T202" s="8"/>
      <c r="U202" s="1359"/>
      <c r="V202" s="8"/>
      <c r="W202" s="8"/>
      <c r="X202" s="8"/>
      <c r="Y202" s="8"/>
      <c r="Z202" s="8"/>
      <c r="AA202" s="8"/>
    </row>
    <row r="203">
      <c r="A203" s="8"/>
      <c r="B203" s="8"/>
      <c r="C203" s="8"/>
      <c r="D203" s="8"/>
      <c r="E203" s="8"/>
      <c r="F203" s="8"/>
      <c r="G203" s="8"/>
      <c r="H203" s="8"/>
      <c r="I203" s="8"/>
      <c r="J203" s="215"/>
      <c r="K203" s="126"/>
      <c r="L203" s="126"/>
      <c r="M203" s="126"/>
      <c r="N203" s="126"/>
      <c r="O203" s="8"/>
      <c r="P203" s="8"/>
      <c r="Q203" s="129"/>
      <c r="R203" s="1369"/>
      <c r="S203" s="126"/>
      <c r="T203" s="8"/>
      <c r="U203" s="1359"/>
      <c r="V203" s="8"/>
      <c r="W203" s="8"/>
      <c r="X203" s="8"/>
      <c r="Y203" s="8"/>
      <c r="Z203" s="8"/>
      <c r="AA203" s="8"/>
    </row>
    <row r="204">
      <c r="A204" s="8"/>
      <c r="B204" s="8"/>
      <c r="C204" s="8"/>
      <c r="D204" s="8"/>
      <c r="E204" s="8"/>
      <c r="F204" s="8"/>
      <c r="G204" s="8"/>
      <c r="H204" s="8"/>
      <c r="I204" s="8"/>
      <c r="J204" s="215"/>
      <c r="K204" s="126"/>
      <c r="L204" s="126"/>
      <c r="M204" s="126"/>
      <c r="N204" s="126"/>
      <c r="O204" s="8"/>
      <c r="P204" s="8"/>
      <c r="Q204" s="129"/>
      <c r="R204" s="1369"/>
      <c r="S204" s="126"/>
      <c r="T204" s="8"/>
      <c r="U204" s="1359"/>
      <c r="V204" s="8"/>
      <c r="W204" s="8"/>
      <c r="X204" s="8"/>
      <c r="Y204" s="8"/>
      <c r="Z204" s="8"/>
      <c r="AA204" s="8"/>
    </row>
    <row r="205">
      <c r="A205" s="8"/>
      <c r="B205" s="8"/>
      <c r="C205" s="8"/>
      <c r="D205" s="8"/>
      <c r="E205" s="8"/>
      <c r="F205" s="8"/>
      <c r="G205" s="8"/>
      <c r="H205" s="8"/>
      <c r="I205" s="8"/>
      <c r="J205" s="215"/>
      <c r="K205" s="126"/>
      <c r="L205" s="126"/>
      <c r="M205" s="126"/>
      <c r="N205" s="126"/>
      <c r="O205" s="8"/>
      <c r="P205" s="8"/>
      <c r="Q205" s="129"/>
      <c r="R205" s="1369"/>
      <c r="S205" s="126"/>
      <c r="T205" s="8"/>
      <c r="U205" s="1359"/>
      <c r="V205" s="8"/>
      <c r="W205" s="8"/>
      <c r="X205" s="8"/>
      <c r="Y205" s="8"/>
      <c r="Z205" s="8"/>
      <c r="AA205" s="8"/>
    </row>
    <row r="206">
      <c r="A206" s="8"/>
      <c r="B206" s="8"/>
      <c r="C206" s="8"/>
      <c r="D206" s="8"/>
      <c r="E206" s="8"/>
      <c r="F206" s="8"/>
      <c r="G206" s="8"/>
      <c r="H206" s="8"/>
      <c r="I206" s="8"/>
      <c r="J206" s="215"/>
      <c r="K206" s="126"/>
      <c r="L206" s="126"/>
      <c r="M206" s="126"/>
      <c r="N206" s="126"/>
      <c r="O206" s="8"/>
      <c r="P206" s="8"/>
      <c r="Q206" s="129"/>
      <c r="R206" s="1369"/>
      <c r="S206" s="126"/>
      <c r="T206" s="8"/>
      <c r="U206" s="1359"/>
      <c r="V206" s="8"/>
      <c r="W206" s="8"/>
      <c r="X206" s="8"/>
      <c r="Y206" s="8"/>
      <c r="Z206" s="8"/>
      <c r="AA206" s="8"/>
    </row>
    <row r="207">
      <c r="A207" s="8"/>
      <c r="B207" s="8"/>
      <c r="C207" s="8"/>
      <c r="D207" s="8"/>
      <c r="E207" s="8"/>
      <c r="F207" s="8"/>
      <c r="G207" s="8"/>
      <c r="H207" s="8"/>
      <c r="I207" s="8"/>
      <c r="J207" s="215"/>
      <c r="K207" s="126"/>
      <c r="L207" s="126"/>
      <c r="M207" s="126"/>
      <c r="N207" s="126"/>
      <c r="O207" s="8"/>
      <c r="P207" s="8"/>
      <c r="Q207" s="129"/>
      <c r="R207" s="1369"/>
      <c r="S207" s="126"/>
      <c r="T207" s="8"/>
      <c r="U207" s="1359"/>
      <c r="V207" s="8"/>
      <c r="W207" s="8"/>
      <c r="X207" s="8"/>
      <c r="Y207" s="8"/>
      <c r="Z207" s="8"/>
      <c r="AA207" s="8"/>
    </row>
    <row r="208">
      <c r="A208" s="8"/>
      <c r="B208" s="8"/>
      <c r="C208" s="8"/>
      <c r="D208" s="8"/>
      <c r="E208" s="8"/>
      <c r="F208" s="8"/>
      <c r="G208" s="8"/>
      <c r="H208" s="8"/>
      <c r="I208" s="8"/>
      <c r="J208" s="215"/>
      <c r="K208" s="126"/>
      <c r="L208" s="126"/>
      <c r="M208" s="126"/>
      <c r="N208" s="126"/>
      <c r="O208" s="8"/>
      <c r="P208" s="8"/>
      <c r="Q208" s="129"/>
      <c r="R208" s="1369"/>
      <c r="S208" s="126"/>
      <c r="T208" s="8"/>
      <c r="U208" s="1359"/>
      <c r="V208" s="8"/>
      <c r="W208" s="8"/>
      <c r="X208" s="8"/>
      <c r="Y208" s="8"/>
      <c r="Z208" s="8"/>
      <c r="AA208" s="8"/>
    </row>
    <row r="209">
      <c r="A209" s="8"/>
      <c r="B209" s="8"/>
      <c r="C209" s="8"/>
      <c r="D209" s="8"/>
      <c r="E209" s="8"/>
      <c r="F209" s="8"/>
      <c r="G209" s="8"/>
      <c r="H209" s="8"/>
      <c r="I209" s="8"/>
      <c r="J209" s="215"/>
      <c r="K209" s="126"/>
      <c r="L209" s="126"/>
      <c r="M209" s="126"/>
      <c r="N209" s="126"/>
      <c r="O209" s="8"/>
      <c r="P209" s="8"/>
      <c r="Q209" s="129"/>
      <c r="R209" s="1369"/>
      <c r="S209" s="126"/>
      <c r="T209" s="8"/>
      <c r="U209" s="1359"/>
      <c r="V209" s="8"/>
      <c r="W209" s="8"/>
      <c r="X209" s="8"/>
      <c r="Y209" s="8"/>
      <c r="Z209" s="8"/>
      <c r="AA209" s="8"/>
    </row>
    <row r="210">
      <c r="A210" s="8"/>
      <c r="B210" s="8"/>
      <c r="C210" s="8"/>
      <c r="D210" s="8"/>
      <c r="E210" s="8"/>
      <c r="F210" s="8"/>
      <c r="G210" s="8"/>
      <c r="H210" s="8"/>
      <c r="I210" s="8"/>
      <c r="J210" s="215"/>
      <c r="K210" s="126"/>
      <c r="L210" s="126"/>
      <c r="M210" s="126"/>
      <c r="N210" s="126"/>
      <c r="O210" s="8"/>
      <c r="P210" s="8"/>
      <c r="Q210" s="129"/>
      <c r="R210" s="1369"/>
      <c r="S210" s="126"/>
      <c r="T210" s="8"/>
      <c r="U210" s="1359"/>
      <c r="V210" s="8"/>
      <c r="W210" s="8"/>
      <c r="X210" s="8"/>
      <c r="Y210" s="8"/>
      <c r="Z210" s="8"/>
      <c r="AA210" s="8"/>
    </row>
    <row r="211">
      <c r="A211" s="8"/>
      <c r="B211" s="8"/>
      <c r="C211" s="8"/>
      <c r="D211" s="8"/>
      <c r="E211" s="8"/>
      <c r="F211" s="8"/>
      <c r="G211" s="8"/>
      <c r="H211" s="8"/>
      <c r="I211" s="8"/>
      <c r="J211" s="215"/>
      <c r="K211" s="126"/>
      <c r="L211" s="126"/>
      <c r="M211" s="126"/>
      <c r="N211" s="126"/>
      <c r="O211" s="8"/>
      <c r="P211" s="8"/>
      <c r="Q211" s="129"/>
      <c r="R211" s="1369"/>
      <c r="S211" s="126"/>
      <c r="T211" s="8"/>
      <c r="U211" s="1359"/>
      <c r="V211" s="8"/>
      <c r="W211" s="8"/>
      <c r="X211" s="8"/>
      <c r="Y211" s="8"/>
      <c r="Z211" s="8"/>
      <c r="AA211" s="8"/>
    </row>
    <row r="212">
      <c r="A212" s="8"/>
      <c r="B212" s="8"/>
      <c r="C212" s="8"/>
      <c r="D212" s="8"/>
      <c r="E212" s="8"/>
      <c r="F212" s="8"/>
      <c r="G212" s="8"/>
      <c r="H212" s="8"/>
      <c r="I212" s="8"/>
      <c r="J212" s="215"/>
      <c r="K212" s="126"/>
      <c r="L212" s="126"/>
      <c r="M212" s="126"/>
      <c r="N212" s="126"/>
      <c r="O212" s="8"/>
      <c r="P212" s="8"/>
      <c r="Q212" s="129"/>
      <c r="R212" s="1369"/>
      <c r="S212" s="126"/>
      <c r="T212" s="8"/>
      <c r="U212" s="1359"/>
      <c r="V212" s="8"/>
      <c r="W212" s="8"/>
      <c r="X212" s="8"/>
      <c r="Y212" s="8"/>
      <c r="Z212" s="8"/>
      <c r="AA212" s="8"/>
    </row>
    <row r="213">
      <c r="A213" s="8"/>
      <c r="B213" s="8"/>
      <c r="C213" s="8"/>
      <c r="D213" s="8"/>
      <c r="E213" s="8"/>
      <c r="F213" s="8"/>
      <c r="G213" s="8"/>
      <c r="H213" s="8"/>
      <c r="I213" s="8"/>
      <c r="J213" s="215"/>
      <c r="K213" s="126"/>
      <c r="L213" s="126"/>
      <c r="M213" s="126"/>
      <c r="N213" s="126"/>
      <c r="O213" s="8"/>
      <c r="P213" s="8"/>
      <c r="Q213" s="129"/>
      <c r="R213" s="1369"/>
      <c r="S213" s="126"/>
      <c r="T213" s="8"/>
      <c r="U213" s="1359"/>
      <c r="V213" s="8"/>
      <c r="W213" s="8"/>
      <c r="X213" s="8"/>
      <c r="Y213" s="8"/>
      <c r="Z213" s="8"/>
      <c r="AA213" s="8"/>
    </row>
    <row r="214">
      <c r="A214" s="8"/>
      <c r="B214" s="8"/>
      <c r="C214" s="8"/>
      <c r="D214" s="8"/>
      <c r="E214" s="8"/>
      <c r="F214" s="8"/>
      <c r="G214" s="8"/>
      <c r="H214" s="8"/>
      <c r="I214" s="8"/>
      <c r="J214" s="215"/>
      <c r="K214" s="126"/>
      <c r="L214" s="126"/>
      <c r="M214" s="126"/>
      <c r="N214" s="126"/>
      <c r="O214" s="8"/>
      <c r="P214" s="8"/>
      <c r="Q214" s="129"/>
      <c r="R214" s="1369"/>
      <c r="S214" s="126"/>
      <c r="T214" s="8"/>
      <c r="U214" s="1359"/>
      <c r="V214" s="8"/>
      <c r="W214" s="8"/>
      <c r="X214" s="8"/>
      <c r="Y214" s="8"/>
      <c r="Z214" s="8"/>
      <c r="AA214" s="8"/>
    </row>
    <row r="215">
      <c r="A215" s="8"/>
      <c r="B215" s="8"/>
      <c r="C215" s="8"/>
      <c r="D215" s="8"/>
      <c r="E215" s="8"/>
      <c r="F215" s="8"/>
      <c r="G215" s="8"/>
      <c r="H215" s="8"/>
      <c r="I215" s="8"/>
      <c r="J215" s="215"/>
      <c r="K215" s="126"/>
      <c r="L215" s="126"/>
      <c r="M215" s="126"/>
      <c r="N215" s="126"/>
      <c r="O215" s="8"/>
      <c r="P215" s="8"/>
      <c r="Q215" s="129"/>
      <c r="R215" s="1369"/>
      <c r="S215" s="126"/>
      <c r="T215" s="8"/>
      <c r="U215" s="1359"/>
      <c r="V215" s="8"/>
      <c r="W215" s="8"/>
      <c r="X215" s="8"/>
      <c r="Y215" s="8"/>
      <c r="Z215" s="8"/>
      <c r="AA215" s="8"/>
    </row>
    <row r="216">
      <c r="A216" s="8"/>
      <c r="B216" s="8"/>
      <c r="C216" s="8"/>
      <c r="D216" s="8"/>
      <c r="E216" s="8"/>
      <c r="F216" s="8"/>
      <c r="G216" s="8"/>
      <c r="H216" s="8"/>
      <c r="I216" s="8"/>
      <c r="J216" s="215"/>
      <c r="K216" s="126"/>
      <c r="L216" s="126"/>
      <c r="M216" s="126"/>
      <c r="N216" s="126"/>
      <c r="O216" s="8"/>
      <c r="P216" s="8"/>
      <c r="Q216" s="129"/>
      <c r="R216" s="1369"/>
      <c r="S216" s="126"/>
      <c r="T216" s="8"/>
      <c r="U216" s="1359"/>
      <c r="V216" s="8"/>
      <c r="W216" s="8"/>
      <c r="X216" s="8"/>
      <c r="Y216" s="8"/>
      <c r="Z216" s="8"/>
      <c r="AA216" s="8"/>
    </row>
    <row r="217">
      <c r="A217" s="8"/>
      <c r="B217" s="8"/>
      <c r="C217" s="8"/>
      <c r="D217" s="8"/>
      <c r="E217" s="8"/>
      <c r="F217" s="8"/>
      <c r="G217" s="8"/>
      <c r="H217" s="8"/>
      <c r="I217" s="8"/>
      <c r="J217" s="215"/>
      <c r="K217" s="126"/>
      <c r="L217" s="126"/>
      <c r="M217" s="126"/>
      <c r="N217" s="126"/>
      <c r="O217" s="8"/>
      <c r="P217" s="8"/>
      <c r="Q217" s="129"/>
      <c r="R217" s="1369"/>
      <c r="S217" s="126"/>
      <c r="T217" s="8"/>
      <c r="U217" s="1359"/>
      <c r="V217" s="8"/>
      <c r="W217" s="8"/>
      <c r="X217" s="8"/>
      <c r="Y217" s="8"/>
      <c r="Z217" s="8"/>
      <c r="AA217" s="8"/>
    </row>
    <row r="218">
      <c r="A218" s="8"/>
      <c r="B218" s="8"/>
      <c r="C218" s="8"/>
      <c r="D218" s="8"/>
      <c r="E218" s="8"/>
      <c r="F218" s="8"/>
      <c r="G218" s="8"/>
      <c r="H218" s="8"/>
      <c r="I218" s="8"/>
      <c r="J218" s="215"/>
      <c r="K218" s="126"/>
      <c r="L218" s="126"/>
      <c r="M218" s="126"/>
      <c r="N218" s="126"/>
      <c r="O218" s="8"/>
      <c r="P218" s="8"/>
      <c r="Q218" s="129"/>
      <c r="R218" s="1369"/>
      <c r="S218" s="126"/>
      <c r="T218" s="8"/>
      <c r="U218" s="1359"/>
      <c r="V218" s="8"/>
      <c r="W218" s="8"/>
      <c r="X218" s="8"/>
      <c r="Y218" s="8"/>
      <c r="Z218" s="8"/>
      <c r="AA218" s="8"/>
    </row>
    <row r="219">
      <c r="A219" s="8"/>
      <c r="B219" s="8"/>
      <c r="C219" s="8"/>
      <c r="D219" s="8"/>
      <c r="E219" s="8"/>
      <c r="F219" s="8"/>
      <c r="G219" s="8"/>
      <c r="H219" s="8"/>
      <c r="I219" s="8"/>
      <c r="J219" s="215"/>
      <c r="K219" s="126"/>
      <c r="L219" s="126"/>
      <c r="M219" s="126"/>
      <c r="N219" s="126"/>
      <c r="O219" s="8"/>
      <c r="P219" s="8"/>
      <c r="Q219" s="129"/>
      <c r="R219" s="1369"/>
      <c r="S219" s="126"/>
      <c r="T219" s="8"/>
      <c r="U219" s="1359"/>
      <c r="V219" s="8"/>
      <c r="W219" s="8"/>
      <c r="X219" s="8"/>
      <c r="Y219" s="8"/>
      <c r="Z219" s="8"/>
      <c r="AA219" s="8"/>
    </row>
    <row r="220">
      <c r="A220" s="8"/>
      <c r="B220" s="8"/>
      <c r="C220" s="8"/>
      <c r="D220" s="8"/>
      <c r="E220" s="8"/>
      <c r="F220" s="8"/>
      <c r="G220" s="8"/>
      <c r="H220" s="8"/>
      <c r="I220" s="8"/>
      <c r="J220" s="215"/>
      <c r="K220" s="126"/>
      <c r="L220" s="126"/>
      <c r="M220" s="126"/>
      <c r="N220" s="126"/>
      <c r="O220" s="8"/>
      <c r="P220" s="8"/>
      <c r="Q220" s="129"/>
      <c r="R220" s="1369"/>
      <c r="S220" s="126"/>
      <c r="T220" s="8"/>
      <c r="U220" s="1359"/>
      <c r="V220" s="8"/>
      <c r="W220" s="8"/>
      <c r="X220" s="8"/>
      <c r="Y220" s="8"/>
      <c r="Z220" s="8"/>
      <c r="AA220" s="8"/>
    </row>
    <row r="221">
      <c r="A221" s="8"/>
      <c r="B221" s="8"/>
      <c r="C221" s="8"/>
      <c r="D221" s="8"/>
      <c r="E221" s="8"/>
      <c r="F221" s="8"/>
      <c r="G221" s="8"/>
      <c r="H221" s="8"/>
      <c r="I221" s="8"/>
      <c r="J221" s="215"/>
      <c r="K221" s="126"/>
      <c r="L221" s="126"/>
      <c r="M221" s="126"/>
      <c r="N221" s="126"/>
      <c r="O221" s="8"/>
      <c r="P221" s="8"/>
      <c r="Q221" s="129"/>
      <c r="R221" s="1369"/>
      <c r="S221" s="126"/>
      <c r="T221" s="8"/>
      <c r="U221" s="1359"/>
      <c r="V221" s="8"/>
      <c r="W221" s="8"/>
      <c r="X221" s="8"/>
      <c r="Y221" s="8"/>
      <c r="Z221" s="8"/>
      <c r="AA221" s="8"/>
    </row>
    <row r="222">
      <c r="A222" s="8"/>
      <c r="B222" s="8"/>
      <c r="C222" s="8"/>
      <c r="D222" s="8"/>
      <c r="E222" s="8"/>
      <c r="F222" s="8"/>
      <c r="G222" s="8"/>
      <c r="H222" s="8"/>
      <c r="I222" s="8"/>
      <c r="J222" s="215"/>
      <c r="K222" s="126"/>
      <c r="L222" s="126"/>
      <c r="M222" s="126"/>
      <c r="N222" s="126"/>
      <c r="O222" s="8"/>
      <c r="P222" s="8"/>
      <c r="Q222" s="129"/>
      <c r="R222" s="1369"/>
      <c r="S222" s="126"/>
      <c r="T222" s="8"/>
      <c r="U222" s="1359"/>
      <c r="V222" s="8"/>
      <c r="W222" s="8"/>
      <c r="X222" s="8"/>
      <c r="Y222" s="8"/>
      <c r="Z222" s="8"/>
      <c r="AA222" s="8"/>
    </row>
    <row r="223">
      <c r="A223" s="8"/>
      <c r="B223" s="8"/>
      <c r="C223" s="8"/>
      <c r="D223" s="8"/>
      <c r="E223" s="8"/>
      <c r="F223" s="8"/>
      <c r="G223" s="8"/>
      <c r="H223" s="8"/>
      <c r="I223" s="8"/>
      <c r="J223" s="215"/>
      <c r="K223" s="126"/>
      <c r="L223" s="126"/>
      <c r="M223" s="126"/>
      <c r="N223" s="126"/>
      <c r="O223" s="8"/>
      <c r="P223" s="8"/>
      <c r="Q223" s="129"/>
      <c r="R223" s="1369"/>
      <c r="S223" s="126"/>
      <c r="T223" s="8"/>
      <c r="U223" s="1359"/>
      <c r="V223" s="8"/>
      <c r="W223" s="8"/>
      <c r="X223" s="8"/>
      <c r="Y223" s="8"/>
      <c r="Z223" s="8"/>
      <c r="AA223" s="8"/>
    </row>
    <row r="224">
      <c r="A224" s="8"/>
      <c r="B224" s="8"/>
      <c r="C224" s="8"/>
      <c r="D224" s="8"/>
      <c r="E224" s="8"/>
      <c r="F224" s="8"/>
      <c r="G224" s="8"/>
      <c r="H224" s="8"/>
      <c r="I224" s="8"/>
      <c r="J224" s="215"/>
      <c r="K224" s="126"/>
      <c r="L224" s="126"/>
      <c r="M224" s="126"/>
      <c r="N224" s="126"/>
      <c r="O224" s="8"/>
      <c r="P224" s="8"/>
      <c r="Q224" s="129"/>
      <c r="R224" s="1369"/>
      <c r="S224" s="126"/>
      <c r="T224" s="8"/>
      <c r="U224" s="1359"/>
      <c r="V224" s="8"/>
      <c r="W224" s="8"/>
      <c r="X224" s="8"/>
      <c r="Y224" s="8"/>
      <c r="Z224" s="8"/>
      <c r="AA224" s="8"/>
    </row>
    <row r="225">
      <c r="A225" s="8"/>
      <c r="B225" s="8"/>
      <c r="C225" s="8"/>
      <c r="D225" s="8"/>
      <c r="E225" s="8"/>
      <c r="F225" s="8"/>
      <c r="G225" s="8"/>
      <c r="H225" s="8"/>
      <c r="I225" s="8"/>
      <c r="J225" s="215"/>
      <c r="K225" s="126"/>
      <c r="L225" s="126"/>
      <c r="M225" s="126"/>
      <c r="N225" s="126"/>
      <c r="O225" s="8"/>
      <c r="P225" s="8"/>
      <c r="Q225" s="129"/>
      <c r="R225" s="1369"/>
      <c r="S225" s="126"/>
      <c r="T225" s="8"/>
      <c r="U225" s="1359"/>
      <c r="V225" s="8"/>
      <c r="W225" s="8"/>
      <c r="X225" s="8"/>
      <c r="Y225" s="8"/>
      <c r="Z225" s="8"/>
      <c r="AA225" s="8"/>
    </row>
    <row r="226">
      <c r="A226" s="8"/>
      <c r="B226" s="8"/>
      <c r="C226" s="8"/>
      <c r="D226" s="8"/>
      <c r="E226" s="8"/>
      <c r="F226" s="8"/>
      <c r="G226" s="8"/>
      <c r="H226" s="8"/>
      <c r="I226" s="8"/>
      <c r="J226" s="215"/>
      <c r="K226" s="126"/>
      <c r="L226" s="126"/>
      <c r="M226" s="126"/>
      <c r="N226" s="126"/>
      <c r="O226" s="8"/>
      <c r="P226" s="8"/>
      <c r="Q226" s="129"/>
      <c r="R226" s="1369"/>
      <c r="S226" s="126"/>
      <c r="T226" s="8"/>
      <c r="U226" s="1359"/>
      <c r="V226" s="8"/>
      <c r="W226" s="8"/>
      <c r="X226" s="8"/>
      <c r="Y226" s="8"/>
      <c r="Z226" s="8"/>
      <c r="AA226" s="8"/>
    </row>
    <row r="227">
      <c r="A227" s="8"/>
      <c r="B227" s="8"/>
      <c r="C227" s="8"/>
      <c r="D227" s="8"/>
      <c r="E227" s="8"/>
      <c r="F227" s="8"/>
      <c r="G227" s="8"/>
      <c r="H227" s="8"/>
      <c r="I227" s="8"/>
      <c r="J227" s="215"/>
      <c r="K227" s="126"/>
      <c r="L227" s="126"/>
      <c r="M227" s="126"/>
      <c r="N227" s="126"/>
      <c r="O227" s="8"/>
      <c r="P227" s="8"/>
      <c r="Q227" s="129"/>
      <c r="R227" s="1369"/>
      <c r="S227" s="126"/>
      <c r="T227" s="8"/>
      <c r="U227" s="1359"/>
      <c r="V227" s="8"/>
      <c r="W227" s="8"/>
      <c r="X227" s="8"/>
      <c r="Y227" s="8"/>
      <c r="Z227" s="8"/>
      <c r="AA227" s="8"/>
    </row>
    <row r="228">
      <c r="A228" s="8"/>
      <c r="B228" s="8"/>
      <c r="C228" s="8"/>
      <c r="D228" s="8"/>
      <c r="E228" s="8"/>
      <c r="F228" s="8"/>
      <c r="G228" s="8"/>
      <c r="H228" s="8"/>
      <c r="I228" s="8"/>
      <c r="J228" s="215"/>
      <c r="K228" s="126"/>
      <c r="L228" s="126"/>
      <c r="M228" s="126"/>
      <c r="N228" s="126"/>
      <c r="O228" s="8"/>
      <c r="P228" s="8"/>
      <c r="Q228" s="129"/>
      <c r="R228" s="1369"/>
      <c r="S228" s="126"/>
      <c r="T228" s="8"/>
      <c r="U228" s="1359"/>
      <c r="V228" s="8"/>
      <c r="W228" s="8"/>
      <c r="X228" s="8"/>
      <c r="Y228" s="8"/>
      <c r="Z228" s="8"/>
      <c r="AA228" s="8"/>
    </row>
    <row r="229">
      <c r="A229" s="8"/>
      <c r="B229" s="8"/>
      <c r="C229" s="8"/>
      <c r="D229" s="8"/>
      <c r="E229" s="8"/>
      <c r="F229" s="8"/>
      <c r="G229" s="8"/>
      <c r="H229" s="8"/>
      <c r="I229" s="8"/>
      <c r="J229" s="215"/>
      <c r="K229" s="126"/>
      <c r="L229" s="126"/>
      <c r="M229" s="126"/>
      <c r="N229" s="126"/>
      <c r="O229" s="8"/>
      <c r="P229" s="8"/>
      <c r="Q229" s="129"/>
      <c r="R229" s="1369"/>
      <c r="S229" s="126"/>
      <c r="T229" s="8"/>
      <c r="U229" s="1359"/>
      <c r="V229" s="8"/>
      <c r="W229" s="8"/>
      <c r="X229" s="8"/>
      <c r="Y229" s="8"/>
      <c r="Z229" s="8"/>
      <c r="AA229" s="8"/>
    </row>
    <row r="230">
      <c r="A230" s="8"/>
      <c r="B230" s="8"/>
      <c r="C230" s="8"/>
      <c r="D230" s="8"/>
      <c r="E230" s="8"/>
      <c r="F230" s="8"/>
      <c r="G230" s="8"/>
      <c r="H230" s="8"/>
      <c r="I230" s="8"/>
      <c r="J230" s="215"/>
      <c r="K230" s="126"/>
      <c r="L230" s="126"/>
      <c r="M230" s="126"/>
      <c r="N230" s="126"/>
      <c r="O230" s="8"/>
      <c r="P230" s="8"/>
      <c r="Q230" s="129"/>
      <c r="R230" s="1369"/>
      <c r="S230" s="126"/>
      <c r="T230" s="8"/>
      <c r="U230" s="1359"/>
      <c r="V230" s="8"/>
      <c r="W230" s="8"/>
      <c r="X230" s="8"/>
      <c r="Y230" s="8"/>
      <c r="Z230" s="8"/>
      <c r="AA230" s="8"/>
    </row>
    <row r="231">
      <c r="A231" s="8"/>
      <c r="B231" s="8"/>
      <c r="C231" s="8"/>
      <c r="D231" s="8"/>
      <c r="E231" s="8"/>
      <c r="F231" s="8"/>
      <c r="G231" s="8"/>
      <c r="H231" s="8"/>
      <c r="I231" s="8"/>
      <c r="J231" s="215"/>
      <c r="K231" s="126"/>
      <c r="L231" s="126"/>
      <c r="M231" s="126"/>
      <c r="N231" s="126"/>
      <c r="O231" s="8"/>
      <c r="P231" s="8"/>
      <c r="Q231" s="129"/>
      <c r="R231" s="1369"/>
      <c r="S231" s="126"/>
      <c r="T231" s="8"/>
      <c r="U231" s="1359"/>
      <c r="V231" s="8"/>
      <c r="W231" s="8"/>
      <c r="X231" s="8"/>
      <c r="Y231" s="8"/>
      <c r="Z231" s="8"/>
      <c r="AA231" s="8"/>
    </row>
    <row r="232">
      <c r="A232" s="8"/>
      <c r="B232" s="8"/>
      <c r="C232" s="8"/>
      <c r="D232" s="8"/>
      <c r="E232" s="8"/>
      <c r="F232" s="8"/>
      <c r="G232" s="8"/>
      <c r="H232" s="8"/>
      <c r="I232" s="8"/>
      <c r="J232" s="215"/>
      <c r="K232" s="126"/>
      <c r="L232" s="126"/>
      <c r="M232" s="126"/>
      <c r="N232" s="126"/>
      <c r="O232" s="8"/>
      <c r="P232" s="8"/>
      <c r="Q232" s="129"/>
      <c r="R232" s="1369"/>
      <c r="S232" s="126"/>
      <c r="T232" s="8"/>
      <c r="U232" s="1359"/>
      <c r="V232" s="8"/>
      <c r="W232" s="8"/>
      <c r="X232" s="8"/>
      <c r="Y232" s="8"/>
      <c r="Z232" s="8"/>
      <c r="AA232" s="8"/>
    </row>
    <row r="233">
      <c r="A233" s="8"/>
      <c r="B233" s="8"/>
      <c r="C233" s="8"/>
      <c r="D233" s="8"/>
      <c r="E233" s="8"/>
      <c r="F233" s="8"/>
      <c r="G233" s="8"/>
      <c r="H233" s="8"/>
      <c r="I233" s="8"/>
      <c r="J233" s="215"/>
      <c r="K233" s="126"/>
      <c r="L233" s="126"/>
      <c r="M233" s="126"/>
      <c r="N233" s="126"/>
      <c r="O233" s="8"/>
      <c r="P233" s="8"/>
      <c r="Q233" s="129"/>
      <c r="R233" s="1369"/>
      <c r="S233" s="126"/>
      <c r="T233" s="8"/>
      <c r="U233" s="1359"/>
      <c r="V233" s="8"/>
      <c r="W233" s="8"/>
      <c r="X233" s="8"/>
      <c r="Y233" s="8"/>
      <c r="Z233" s="8"/>
      <c r="AA233" s="8"/>
    </row>
    <row r="234">
      <c r="A234" s="8"/>
      <c r="B234" s="8"/>
      <c r="C234" s="8"/>
      <c r="D234" s="8"/>
      <c r="E234" s="8"/>
      <c r="F234" s="8"/>
      <c r="G234" s="8"/>
      <c r="H234" s="8"/>
      <c r="I234" s="8"/>
      <c r="J234" s="215"/>
      <c r="K234" s="126"/>
      <c r="L234" s="126"/>
      <c r="M234" s="126"/>
      <c r="N234" s="126"/>
      <c r="O234" s="8"/>
      <c r="P234" s="8"/>
      <c r="Q234" s="129"/>
      <c r="R234" s="1369"/>
      <c r="S234" s="126"/>
      <c r="T234" s="8"/>
      <c r="U234" s="1359"/>
      <c r="V234" s="8"/>
      <c r="W234" s="8"/>
      <c r="X234" s="8"/>
      <c r="Y234" s="8"/>
      <c r="Z234" s="8"/>
      <c r="AA234" s="8"/>
    </row>
    <row r="235">
      <c r="A235" s="8"/>
      <c r="B235" s="8"/>
      <c r="C235" s="8"/>
      <c r="D235" s="8"/>
      <c r="E235" s="8"/>
      <c r="F235" s="8"/>
      <c r="G235" s="8"/>
      <c r="H235" s="8"/>
      <c r="I235" s="8"/>
      <c r="J235" s="215"/>
      <c r="K235" s="126"/>
      <c r="L235" s="126"/>
      <c r="M235" s="126"/>
      <c r="N235" s="126"/>
      <c r="O235" s="8"/>
      <c r="P235" s="8"/>
      <c r="Q235" s="129"/>
      <c r="R235" s="1369"/>
      <c r="S235" s="126"/>
      <c r="T235" s="8"/>
      <c r="U235" s="1359"/>
      <c r="V235" s="8"/>
      <c r="W235" s="8"/>
      <c r="X235" s="8"/>
      <c r="Y235" s="8"/>
      <c r="Z235" s="8"/>
      <c r="AA235" s="8"/>
    </row>
    <row r="236">
      <c r="A236" s="8"/>
      <c r="B236" s="8"/>
      <c r="C236" s="8"/>
      <c r="D236" s="8"/>
      <c r="E236" s="8"/>
      <c r="F236" s="8"/>
      <c r="G236" s="8"/>
      <c r="H236" s="8"/>
      <c r="I236" s="8"/>
      <c r="J236" s="215"/>
      <c r="K236" s="126"/>
      <c r="L236" s="126"/>
      <c r="M236" s="126"/>
      <c r="N236" s="126"/>
      <c r="O236" s="8"/>
      <c r="P236" s="8"/>
      <c r="Q236" s="129"/>
      <c r="R236" s="1369"/>
      <c r="S236" s="126"/>
      <c r="T236" s="8"/>
      <c r="U236" s="1359"/>
      <c r="V236" s="8"/>
      <c r="W236" s="8"/>
      <c r="X236" s="8"/>
      <c r="Y236" s="8"/>
      <c r="Z236" s="8"/>
      <c r="AA236" s="8"/>
    </row>
    <row r="237">
      <c r="A237" s="8"/>
      <c r="B237" s="8"/>
      <c r="C237" s="8"/>
      <c r="D237" s="8"/>
      <c r="E237" s="8"/>
      <c r="F237" s="8"/>
      <c r="G237" s="8"/>
      <c r="H237" s="8"/>
      <c r="I237" s="8"/>
      <c r="J237" s="215"/>
      <c r="K237" s="126"/>
      <c r="L237" s="126"/>
      <c r="M237" s="126"/>
      <c r="N237" s="126"/>
      <c r="O237" s="8"/>
      <c r="P237" s="8"/>
      <c r="Q237" s="129"/>
      <c r="R237" s="1369"/>
      <c r="S237" s="126"/>
      <c r="T237" s="8"/>
      <c r="U237" s="1359"/>
      <c r="V237" s="8"/>
      <c r="W237" s="8"/>
      <c r="X237" s="8"/>
      <c r="Y237" s="8"/>
      <c r="Z237" s="8"/>
      <c r="AA237" s="8"/>
    </row>
    <row r="238">
      <c r="A238" s="8"/>
      <c r="B238" s="8"/>
      <c r="C238" s="8"/>
      <c r="D238" s="8"/>
      <c r="E238" s="8"/>
      <c r="F238" s="8"/>
      <c r="G238" s="8"/>
      <c r="H238" s="8"/>
      <c r="I238" s="8"/>
      <c r="J238" s="215"/>
      <c r="K238" s="126"/>
      <c r="L238" s="126"/>
      <c r="M238" s="126"/>
      <c r="N238" s="126"/>
      <c r="O238" s="8"/>
      <c r="P238" s="8"/>
      <c r="Q238" s="129"/>
      <c r="R238" s="1369"/>
      <c r="S238" s="126"/>
      <c r="T238" s="8"/>
      <c r="U238" s="1359"/>
      <c r="V238" s="8"/>
      <c r="W238" s="8"/>
      <c r="X238" s="8"/>
      <c r="Y238" s="8"/>
      <c r="Z238" s="8"/>
      <c r="AA238" s="8"/>
    </row>
    <row r="239">
      <c r="A239" s="8"/>
      <c r="B239" s="8"/>
      <c r="C239" s="8"/>
      <c r="D239" s="8"/>
      <c r="E239" s="8"/>
      <c r="F239" s="8"/>
      <c r="G239" s="8"/>
      <c r="H239" s="8"/>
      <c r="I239" s="8"/>
      <c r="J239" s="215"/>
      <c r="K239" s="126"/>
      <c r="L239" s="126"/>
      <c r="M239" s="126"/>
      <c r="N239" s="126"/>
      <c r="O239" s="8"/>
      <c r="P239" s="8"/>
      <c r="Q239" s="129"/>
      <c r="R239" s="1369"/>
      <c r="S239" s="126"/>
      <c r="T239" s="8"/>
      <c r="U239" s="1359"/>
      <c r="V239" s="8"/>
      <c r="W239" s="8"/>
      <c r="X239" s="8"/>
      <c r="Y239" s="8"/>
      <c r="Z239" s="8"/>
      <c r="AA239" s="8"/>
    </row>
    <row r="240">
      <c r="A240" s="8"/>
      <c r="B240" s="8"/>
      <c r="C240" s="8"/>
      <c r="D240" s="8"/>
      <c r="E240" s="8"/>
      <c r="F240" s="8"/>
      <c r="G240" s="8"/>
      <c r="H240" s="8"/>
      <c r="I240" s="8"/>
      <c r="J240" s="215"/>
      <c r="K240" s="126"/>
      <c r="L240" s="126"/>
      <c r="M240" s="126"/>
      <c r="N240" s="126"/>
      <c r="O240" s="8"/>
      <c r="P240" s="8"/>
      <c r="Q240" s="129"/>
      <c r="R240" s="1369"/>
      <c r="S240" s="126"/>
      <c r="T240" s="8"/>
      <c r="U240" s="1359"/>
      <c r="V240" s="8"/>
      <c r="W240" s="8"/>
      <c r="X240" s="8"/>
      <c r="Y240" s="8"/>
      <c r="Z240" s="8"/>
      <c r="AA240" s="8"/>
    </row>
    <row r="241">
      <c r="A241" s="8"/>
      <c r="B241" s="8"/>
      <c r="C241" s="8"/>
      <c r="D241" s="8"/>
      <c r="E241" s="8"/>
      <c r="F241" s="8"/>
      <c r="G241" s="8"/>
      <c r="H241" s="8"/>
      <c r="I241" s="8"/>
      <c r="J241" s="215"/>
      <c r="K241" s="126"/>
      <c r="L241" s="126"/>
      <c r="M241" s="126"/>
      <c r="N241" s="126"/>
      <c r="O241" s="8"/>
      <c r="P241" s="8"/>
      <c r="Q241" s="129"/>
      <c r="R241" s="1369"/>
      <c r="S241" s="126"/>
      <c r="T241" s="8"/>
      <c r="U241" s="1359"/>
      <c r="V241" s="8"/>
      <c r="W241" s="8"/>
      <c r="X241" s="8"/>
      <c r="Y241" s="8"/>
      <c r="Z241" s="8"/>
      <c r="AA241" s="8"/>
    </row>
    <row r="242">
      <c r="A242" s="8"/>
      <c r="B242" s="8"/>
      <c r="C242" s="8"/>
      <c r="D242" s="8"/>
      <c r="E242" s="8"/>
      <c r="F242" s="8"/>
      <c r="G242" s="8"/>
      <c r="H242" s="8"/>
      <c r="I242" s="8"/>
      <c r="J242" s="215"/>
      <c r="K242" s="126"/>
      <c r="L242" s="126"/>
      <c r="M242" s="126"/>
      <c r="N242" s="126"/>
      <c r="O242" s="8"/>
      <c r="P242" s="8"/>
      <c r="Q242" s="129"/>
      <c r="R242" s="1369"/>
      <c r="S242" s="126"/>
      <c r="T242" s="8"/>
      <c r="U242" s="1359"/>
      <c r="V242" s="8"/>
      <c r="W242" s="8"/>
      <c r="X242" s="8"/>
      <c r="Y242" s="8"/>
      <c r="Z242" s="8"/>
      <c r="AA242" s="8"/>
    </row>
    <row r="243">
      <c r="A243" s="8"/>
      <c r="B243" s="8"/>
      <c r="C243" s="8"/>
      <c r="D243" s="8"/>
      <c r="E243" s="8"/>
      <c r="F243" s="8"/>
      <c r="G243" s="8"/>
      <c r="H243" s="8"/>
      <c r="I243" s="8"/>
      <c r="J243" s="215"/>
      <c r="K243" s="126"/>
      <c r="L243" s="126"/>
      <c r="M243" s="126"/>
      <c r="N243" s="126"/>
      <c r="O243" s="8"/>
      <c r="P243" s="8"/>
      <c r="Q243" s="129"/>
      <c r="R243" s="1369"/>
      <c r="S243" s="126"/>
      <c r="T243" s="8"/>
      <c r="U243" s="1359"/>
      <c r="V243" s="8"/>
      <c r="W243" s="8"/>
      <c r="X243" s="8"/>
      <c r="Y243" s="8"/>
      <c r="Z243" s="8"/>
      <c r="AA243" s="8"/>
    </row>
    <row r="244">
      <c r="A244" s="8"/>
      <c r="B244" s="8"/>
      <c r="C244" s="8"/>
      <c r="D244" s="8"/>
      <c r="E244" s="8"/>
      <c r="F244" s="8"/>
      <c r="G244" s="8"/>
      <c r="H244" s="8"/>
      <c r="I244" s="8"/>
      <c r="J244" s="215"/>
      <c r="K244" s="126"/>
      <c r="L244" s="126"/>
      <c r="M244" s="126"/>
      <c r="N244" s="126"/>
      <c r="O244" s="8"/>
      <c r="P244" s="8"/>
      <c r="Q244" s="129"/>
      <c r="R244" s="1369"/>
      <c r="S244" s="126"/>
      <c r="T244" s="8"/>
      <c r="U244" s="1359"/>
      <c r="V244" s="8"/>
      <c r="W244" s="8"/>
      <c r="X244" s="8"/>
      <c r="Y244" s="8"/>
      <c r="Z244" s="8"/>
      <c r="AA244" s="8"/>
    </row>
    <row r="245">
      <c r="A245" s="8"/>
      <c r="B245" s="8"/>
      <c r="C245" s="8"/>
      <c r="D245" s="8"/>
      <c r="E245" s="8"/>
      <c r="F245" s="8"/>
      <c r="G245" s="8"/>
      <c r="H245" s="8"/>
      <c r="I245" s="8"/>
      <c r="J245" s="215"/>
      <c r="K245" s="126"/>
      <c r="L245" s="126"/>
      <c r="M245" s="126"/>
      <c r="N245" s="126"/>
      <c r="O245" s="8"/>
      <c r="P245" s="8"/>
      <c r="Q245" s="129"/>
      <c r="R245" s="1369"/>
      <c r="S245" s="126"/>
      <c r="T245" s="8"/>
      <c r="U245" s="1359"/>
      <c r="V245" s="8"/>
      <c r="W245" s="8"/>
      <c r="X245" s="8"/>
      <c r="Y245" s="8"/>
      <c r="Z245" s="8"/>
      <c r="AA245" s="8"/>
    </row>
    <row r="246">
      <c r="A246" s="8"/>
      <c r="B246" s="8"/>
      <c r="C246" s="8"/>
      <c r="D246" s="8"/>
      <c r="E246" s="8"/>
      <c r="F246" s="8"/>
      <c r="G246" s="8"/>
      <c r="H246" s="8"/>
      <c r="I246" s="8"/>
      <c r="J246" s="215"/>
      <c r="K246" s="126"/>
      <c r="L246" s="126"/>
      <c r="M246" s="126"/>
      <c r="N246" s="126"/>
      <c r="O246" s="8"/>
      <c r="P246" s="8"/>
      <c r="Q246" s="129"/>
      <c r="R246" s="1369"/>
      <c r="S246" s="126"/>
      <c r="T246" s="8"/>
      <c r="U246" s="1359"/>
      <c r="V246" s="8"/>
      <c r="W246" s="8"/>
      <c r="X246" s="8"/>
      <c r="Y246" s="8"/>
      <c r="Z246" s="8"/>
      <c r="AA246" s="8"/>
    </row>
    <row r="247">
      <c r="A247" s="8"/>
      <c r="B247" s="8"/>
      <c r="C247" s="8"/>
      <c r="D247" s="8"/>
      <c r="E247" s="8"/>
      <c r="F247" s="8"/>
      <c r="G247" s="8"/>
      <c r="H247" s="8"/>
      <c r="I247" s="8"/>
      <c r="J247" s="215"/>
      <c r="K247" s="126"/>
      <c r="L247" s="126"/>
      <c r="M247" s="126"/>
      <c r="N247" s="126"/>
      <c r="O247" s="8"/>
      <c r="P247" s="8"/>
      <c r="Q247" s="129"/>
      <c r="R247" s="1369"/>
      <c r="S247" s="126"/>
      <c r="T247" s="8"/>
      <c r="U247" s="1359"/>
      <c r="V247" s="8"/>
      <c r="W247" s="8"/>
      <c r="X247" s="8"/>
      <c r="Y247" s="8"/>
      <c r="Z247" s="8"/>
      <c r="AA247" s="8"/>
    </row>
    <row r="248">
      <c r="A248" s="8"/>
      <c r="B248" s="8"/>
      <c r="C248" s="8"/>
      <c r="D248" s="8"/>
      <c r="E248" s="8"/>
      <c r="F248" s="8"/>
      <c r="G248" s="8"/>
      <c r="H248" s="8"/>
      <c r="I248" s="8"/>
      <c r="J248" s="215"/>
      <c r="K248" s="126"/>
      <c r="L248" s="126"/>
      <c r="M248" s="126"/>
      <c r="N248" s="126"/>
      <c r="O248" s="8"/>
      <c r="P248" s="8"/>
      <c r="Q248" s="129"/>
      <c r="R248" s="1369"/>
      <c r="S248" s="126"/>
      <c r="T248" s="8"/>
      <c r="U248" s="1359"/>
      <c r="V248" s="8"/>
      <c r="W248" s="8"/>
      <c r="X248" s="8"/>
      <c r="Y248" s="8"/>
      <c r="Z248" s="8"/>
      <c r="AA248" s="8"/>
    </row>
    <row r="249">
      <c r="A249" s="8"/>
      <c r="B249" s="8"/>
      <c r="C249" s="8"/>
      <c r="D249" s="8"/>
      <c r="E249" s="8"/>
      <c r="F249" s="8"/>
      <c r="G249" s="8"/>
      <c r="H249" s="8"/>
      <c r="I249" s="8"/>
      <c r="J249" s="215"/>
      <c r="K249" s="126"/>
      <c r="L249" s="126"/>
      <c r="M249" s="126"/>
      <c r="N249" s="126"/>
      <c r="O249" s="8"/>
      <c r="P249" s="8"/>
      <c r="Q249" s="129"/>
      <c r="R249" s="1369"/>
      <c r="S249" s="126"/>
      <c r="T249" s="8"/>
      <c r="U249" s="1359"/>
      <c r="V249" s="8"/>
      <c r="W249" s="8"/>
      <c r="X249" s="8"/>
      <c r="Y249" s="8"/>
      <c r="Z249" s="8"/>
      <c r="AA249" s="8"/>
    </row>
    <row r="250">
      <c r="A250" s="8"/>
      <c r="B250" s="8"/>
      <c r="C250" s="8"/>
      <c r="D250" s="8"/>
      <c r="E250" s="8"/>
      <c r="F250" s="8"/>
      <c r="G250" s="8"/>
      <c r="H250" s="8"/>
      <c r="I250" s="8"/>
      <c r="J250" s="215"/>
      <c r="K250" s="126"/>
      <c r="L250" s="126"/>
      <c r="M250" s="126"/>
      <c r="N250" s="126"/>
      <c r="O250" s="8"/>
      <c r="P250" s="8"/>
      <c r="Q250" s="129"/>
      <c r="R250" s="1369"/>
      <c r="S250" s="126"/>
      <c r="T250" s="8"/>
      <c r="U250" s="1359"/>
      <c r="V250" s="8"/>
      <c r="W250" s="8"/>
      <c r="X250" s="8"/>
      <c r="Y250" s="8"/>
      <c r="Z250" s="8"/>
      <c r="AA250" s="8"/>
    </row>
    <row r="251">
      <c r="A251" s="8"/>
      <c r="B251" s="8"/>
      <c r="C251" s="8"/>
      <c r="D251" s="8"/>
      <c r="E251" s="8"/>
      <c r="F251" s="8"/>
      <c r="G251" s="8"/>
      <c r="H251" s="8"/>
      <c r="I251" s="8"/>
      <c r="J251" s="215"/>
      <c r="K251" s="126"/>
      <c r="L251" s="126"/>
      <c r="M251" s="126"/>
      <c r="N251" s="126"/>
      <c r="O251" s="8"/>
      <c r="P251" s="8"/>
      <c r="Q251" s="129"/>
      <c r="R251" s="1369"/>
      <c r="S251" s="126"/>
      <c r="T251" s="8"/>
      <c r="U251" s="1359"/>
      <c r="V251" s="8"/>
      <c r="W251" s="8"/>
      <c r="X251" s="8"/>
      <c r="Y251" s="8"/>
      <c r="Z251" s="8"/>
      <c r="AA251" s="8"/>
    </row>
    <row r="252">
      <c r="A252" s="8"/>
      <c r="B252" s="8"/>
      <c r="C252" s="8"/>
      <c r="D252" s="8"/>
      <c r="E252" s="8"/>
      <c r="F252" s="8"/>
      <c r="G252" s="8"/>
      <c r="H252" s="8"/>
      <c r="I252" s="8"/>
      <c r="J252" s="215"/>
      <c r="K252" s="126"/>
      <c r="L252" s="126"/>
      <c r="M252" s="126"/>
      <c r="N252" s="126"/>
      <c r="O252" s="8"/>
      <c r="P252" s="8"/>
      <c r="Q252" s="129"/>
      <c r="R252" s="1369"/>
      <c r="S252" s="126"/>
      <c r="T252" s="8"/>
      <c r="U252" s="1359"/>
      <c r="V252" s="8"/>
      <c r="W252" s="8"/>
      <c r="X252" s="8"/>
      <c r="Y252" s="8"/>
      <c r="Z252" s="8"/>
      <c r="AA252" s="8"/>
    </row>
    <row r="253">
      <c r="A253" s="8"/>
      <c r="B253" s="8"/>
      <c r="C253" s="8"/>
      <c r="D253" s="8"/>
      <c r="E253" s="8"/>
      <c r="F253" s="8"/>
      <c r="G253" s="8"/>
      <c r="H253" s="8"/>
      <c r="I253" s="8"/>
      <c r="J253" s="215"/>
      <c r="K253" s="126"/>
      <c r="L253" s="126"/>
      <c r="M253" s="126"/>
      <c r="N253" s="126"/>
      <c r="O253" s="8"/>
      <c r="P253" s="8"/>
      <c r="Q253" s="129"/>
      <c r="R253" s="1369"/>
      <c r="S253" s="126"/>
      <c r="T253" s="8"/>
      <c r="U253" s="1359"/>
      <c r="V253" s="8"/>
      <c r="W253" s="8"/>
      <c r="X253" s="8"/>
      <c r="Y253" s="8"/>
      <c r="Z253" s="8"/>
      <c r="AA253" s="8"/>
    </row>
    <row r="254">
      <c r="A254" s="8"/>
      <c r="B254" s="8"/>
      <c r="C254" s="8"/>
      <c r="D254" s="8"/>
      <c r="E254" s="8"/>
      <c r="F254" s="8"/>
      <c r="G254" s="8"/>
      <c r="H254" s="8"/>
      <c r="I254" s="8"/>
      <c r="J254" s="215"/>
      <c r="K254" s="126"/>
      <c r="L254" s="126"/>
      <c r="M254" s="126"/>
      <c r="N254" s="126"/>
      <c r="O254" s="8"/>
      <c r="P254" s="8"/>
      <c r="Q254" s="129"/>
      <c r="R254" s="1369"/>
      <c r="S254" s="126"/>
      <c r="T254" s="8"/>
      <c r="U254" s="1359"/>
      <c r="V254" s="8"/>
      <c r="W254" s="8"/>
      <c r="X254" s="8"/>
      <c r="Y254" s="8"/>
      <c r="Z254" s="8"/>
      <c r="AA254" s="8"/>
    </row>
    <row r="255">
      <c r="A255" s="8"/>
      <c r="B255" s="8"/>
      <c r="C255" s="8"/>
      <c r="D255" s="8"/>
      <c r="E255" s="8"/>
      <c r="F255" s="8"/>
      <c r="G255" s="8"/>
      <c r="H255" s="8"/>
      <c r="I255" s="8"/>
      <c r="J255" s="215"/>
      <c r="K255" s="126"/>
      <c r="L255" s="126"/>
      <c r="M255" s="126"/>
      <c r="N255" s="126"/>
      <c r="O255" s="8"/>
      <c r="P255" s="8"/>
      <c r="Q255" s="129"/>
      <c r="R255" s="1369"/>
      <c r="S255" s="126"/>
      <c r="T255" s="8"/>
      <c r="U255" s="1359"/>
      <c r="V255" s="8"/>
      <c r="W255" s="8"/>
      <c r="X255" s="8"/>
      <c r="Y255" s="8"/>
      <c r="Z255" s="8"/>
      <c r="AA255" s="8"/>
    </row>
    <row r="256">
      <c r="A256" s="8"/>
      <c r="B256" s="8"/>
      <c r="C256" s="8"/>
      <c r="D256" s="8"/>
      <c r="E256" s="8"/>
      <c r="F256" s="8"/>
      <c r="G256" s="8"/>
      <c r="H256" s="8"/>
      <c r="I256" s="8"/>
      <c r="J256" s="215"/>
      <c r="K256" s="126"/>
      <c r="L256" s="126"/>
      <c r="M256" s="126"/>
      <c r="N256" s="126"/>
      <c r="O256" s="8"/>
      <c r="P256" s="8"/>
      <c r="Q256" s="129"/>
      <c r="R256" s="1369"/>
      <c r="S256" s="126"/>
      <c r="T256" s="8"/>
      <c r="U256" s="1359"/>
      <c r="V256" s="8"/>
      <c r="W256" s="8"/>
      <c r="X256" s="8"/>
      <c r="Y256" s="8"/>
      <c r="Z256" s="8"/>
      <c r="AA256" s="8"/>
    </row>
    <row r="257">
      <c r="A257" s="8"/>
      <c r="B257" s="8"/>
      <c r="C257" s="8"/>
      <c r="D257" s="8"/>
      <c r="E257" s="8"/>
      <c r="F257" s="8"/>
      <c r="G257" s="8"/>
      <c r="H257" s="8"/>
      <c r="I257" s="8"/>
      <c r="J257" s="215"/>
      <c r="K257" s="126"/>
      <c r="L257" s="126"/>
      <c r="M257" s="126"/>
      <c r="N257" s="126"/>
      <c r="O257" s="8"/>
      <c r="P257" s="8"/>
      <c r="Q257" s="129"/>
      <c r="R257" s="1369"/>
      <c r="S257" s="126"/>
      <c r="T257" s="8"/>
      <c r="U257" s="1359"/>
      <c r="V257" s="8"/>
      <c r="W257" s="8"/>
      <c r="X257" s="8"/>
      <c r="Y257" s="8"/>
      <c r="Z257" s="8"/>
      <c r="AA257" s="8"/>
    </row>
    <row r="258">
      <c r="A258" s="8"/>
      <c r="B258" s="8"/>
      <c r="C258" s="8"/>
      <c r="D258" s="8"/>
      <c r="E258" s="8"/>
      <c r="F258" s="8"/>
      <c r="G258" s="8"/>
      <c r="H258" s="8"/>
      <c r="I258" s="8"/>
      <c r="J258" s="215"/>
      <c r="K258" s="126"/>
      <c r="L258" s="126"/>
      <c r="M258" s="126"/>
      <c r="N258" s="126"/>
      <c r="O258" s="8"/>
      <c r="P258" s="8"/>
      <c r="Q258" s="129"/>
      <c r="R258" s="1369"/>
      <c r="S258" s="126"/>
      <c r="T258" s="8"/>
      <c r="U258" s="1359"/>
      <c r="V258" s="8"/>
      <c r="W258" s="8"/>
      <c r="X258" s="8"/>
      <c r="Y258" s="8"/>
      <c r="Z258" s="8"/>
      <c r="AA258" s="8"/>
    </row>
    <row r="259">
      <c r="A259" s="8"/>
      <c r="B259" s="8"/>
      <c r="C259" s="8"/>
      <c r="D259" s="8"/>
      <c r="E259" s="8"/>
      <c r="F259" s="8"/>
      <c r="G259" s="8"/>
      <c r="H259" s="8"/>
      <c r="I259" s="8"/>
      <c r="J259" s="215"/>
      <c r="K259" s="126"/>
      <c r="L259" s="126"/>
      <c r="M259" s="126"/>
      <c r="N259" s="126"/>
      <c r="O259" s="8"/>
      <c r="P259" s="8"/>
      <c r="Q259" s="129"/>
      <c r="R259" s="1369"/>
      <c r="S259" s="126"/>
      <c r="T259" s="8"/>
      <c r="U259" s="1359"/>
      <c r="V259" s="8"/>
      <c r="W259" s="8"/>
      <c r="X259" s="8"/>
      <c r="Y259" s="8"/>
      <c r="Z259" s="8"/>
      <c r="AA259" s="8"/>
    </row>
    <row r="260">
      <c r="A260" s="8"/>
      <c r="B260" s="8"/>
      <c r="C260" s="8"/>
      <c r="D260" s="8"/>
      <c r="E260" s="8"/>
      <c r="F260" s="8"/>
      <c r="G260" s="8"/>
      <c r="H260" s="8"/>
      <c r="I260" s="8"/>
      <c r="J260" s="215"/>
      <c r="K260" s="126"/>
      <c r="L260" s="126"/>
      <c r="M260" s="126"/>
      <c r="N260" s="126"/>
      <c r="O260" s="8"/>
      <c r="P260" s="8"/>
      <c r="Q260" s="129"/>
      <c r="R260" s="1369"/>
      <c r="S260" s="126"/>
      <c r="T260" s="8"/>
      <c r="U260" s="1359"/>
      <c r="V260" s="8"/>
      <c r="W260" s="8"/>
      <c r="X260" s="8"/>
      <c r="Y260" s="8"/>
      <c r="Z260" s="8"/>
      <c r="AA260" s="8"/>
    </row>
    <row r="261">
      <c r="A261" s="8"/>
      <c r="B261" s="8"/>
      <c r="C261" s="8"/>
      <c r="D261" s="8"/>
      <c r="E261" s="8"/>
      <c r="F261" s="8"/>
      <c r="G261" s="8"/>
      <c r="H261" s="8"/>
      <c r="I261" s="8"/>
      <c r="J261" s="215"/>
      <c r="K261" s="126"/>
      <c r="L261" s="126"/>
      <c r="M261" s="126"/>
      <c r="N261" s="126"/>
      <c r="O261" s="8"/>
      <c r="P261" s="8"/>
      <c r="Q261" s="129"/>
      <c r="R261" s="1369"/>
      <c r="S261" s="126"/>
      <c r="T261" s="8"/>
      <c r="U261" s="1359"/>
      <c r="V261" s="8"/>
      <c r="W261" s="8"/>
      <c r="X261" s="8"/>
      <c r="Y261" s="8"/>
      <c r="Z261" s="8"/>
      <c r="AA261" s="8"/>
    </row>
    <row r="262">
      <c r="A262" s="8"/>
      <c r="B262" s="8"/>
      <c r="C262" s="8"/>
      <c r="D262" s="8"/>
      <c r="E262" s="8"/>
      <c r="F262" s="8"/>
      <c r="G262" s="8"/>
      <c r="H262" s="8"/>
      <c r="I262" s="8"/>
      <c r="J262" s="215"/>
      <c r="K262" s="126"/>
      <c r="L262" s="126"/>
      <c r="M262" s="126"/>
      <c r="N262" s="126"/>
      <c r="O262" s="8"/>
      <c r="P262" s="8"/>
      <c r="Q262" s="129"/>
      <c r="R262" s="1369"/>
      <c r="S262" s="126"/>
      <c r="T262" s="8"/>
      <c r="U262" s="1359"/>
      <c r="V262" s="8"/>
      <c r="W262" s="8"/>
      <c r="X262" s="8"/>
      <c r="Y262" s="8"/>
      <c r="Z262" s="8"/>
      <c r="AA262" s="8"/>
    </row>
    <row r="263">
      <c r="A263" s="8"/>
      <c r="B263" s="8"/>
      <c r="C263" s="8"/>
      <c r="D263" s="8"/>
      <c r="E263" s="8"/>
      <c r="F263" s="8"/>
      <c r="G263" s="8"/>
      <c r="H263" s="8"/>
      <c r="I263" s="8"/>
      <c r="J263" s="215"/>
      <c r="K263" s="126"/>
      <c r="L263" s="126"/>
      <c r="M263" s="126"/>
      <c r="N263" s="126"/>
      <c r="O263" s="8"/>
      <c r="P263" s="8"/>
      <c r="Q263" s="129"/>
      <c r="R263" s="1369"/>
      <c r="S263" s="126"/>
      <c r="T263" s="8"/>
      <c r="U263" s="1359"/>
      <c r="V263" s="8"/>
      <c r="W263" s="8"/>
      <c r="X263" s="8"/>
      <c r="Y263" s="8"/>
      <c r="Z263" s="8"/>
      <c r="AA263" s="8"/>
    </row>
    <row r="264">
      <c r="A264" s="8"/>
      <c r="B264" s="8"/>
      <c r="C264" s="8"/>
      <c r="D264" s="8"/>
      <c r="E264" s="8"/>
      <c r="F264" s="8"/>
      <c r="G264" s="8"/>
      <c r="H264" s="8"/>
      <c r="I264" s="8"/>
      <c r="J264" s="215"/>
      <c r="K264" s="126"/>
      <c r="L264" s="126"/>
      <c r="M264" s="126"/>
      <c r="N264" s="126"/>
      <c r="O264" s="8"/>
      <c r="P264" s="8"/>
      <c r="Q264" s="129"/>
      <c r="R264" s="1369"/>
      <c r="S264" s="126"/>
      <c r="T264" s="8"/>
      <c r="U264" s="1359"/>
      <c r="V264" s="8"/>
      <c r="W264" s="8"/>
      <c r="X264" s="8"/>
      <c r="Y264" s="8"/>
      <c r="Z264" s="8"/>
      <c r="AA264" s="8"/>
    </row>
    <row r="265">
      <c r="A265" s="8"/>
      <c r="B265" s="8"/>
      <c r="C265" s="8"/>
      <c r="D265" s="8"/>
      <c r="E265" s="8"/>
      <c r="F265" s="8"/>
      <c r="G265" s="8"/>
      <c r="H265" s="8"/>
      <c r="I265" s="8"/>
      <c r="J265" s="215"/>
      <c r="K265" s="126"/>
      <c r="L265" s="126"/>
      <c r="M265" s="126"/>
      <c r="N265" s="126"/>
      <c r="O265" s="8"/>
      <c r="P265" s="8"/>
      <c r="Q265" s="129"/>
      <c r="R265" s="1369"/>
      <c r="S265" s="126"/>
      <c r="T265" s="8"/>
      <c r="U265" s="1359"/>
      <c r="V265" s="8"/>
      <c r="W265" s="8"/>
      <c r="X265" s="8"/>
      <c r="Y265" s="8"/>
      <c r="Z265" s="8"/>
      <c r="AA265" s="8"/>
    </row>
    <row r="266">
      <c r="A266" s="8"/>
      <c r="B266" s="8"/>
      <c r="C266" s="8"/>
      <c r="D266" s="8"/>
      <c r="E266" s="8"/>
      <c r="F266" s="8"/>
      <c r="G266" s="8"/>
      <c r="H266" s="8"/>
      <c r="I266" s="8"/>
      <c r="J266" s="215"/>
      <c r="K266" s="126"/>
      <c r="L266" s="126"/>
      <c r="M266" s="126"/>
      <c r="N266" s="126"/>
      <c r="O266" s="8"/>
      <c r="P266" s="8"/>
      <c r="Q266" s="129"/>
      <c r="R266" s="1369"/>
      <c r="S266" s="126"/>
      <c r="T266" s="8"/>
      <c r="U266" s="1359"/>
      <c r="V266" s="8"/>
      <c r="W266" s="8"/>
      <c r="X266" s="8"/>
      <c r="Y266" s="8"/>
      <c r="Z266" s="8"/>
      <c r="AA266" s="8"/>
    </row>
    <row r="267">
      <c r="A267" s="8"/>
      <c r="B267" s="8"/>
      <c r="C267" s="8"/>
      <c r="D267" s="8"/>
      <c r="E267" s="8"/>
      <c r="F267" s="8"/>
      <c r="G267" s="8"/>
      <c r="H267" s="8"/>
      <c r="I267" s="8"/>
      <c r="J267" s="215"/>
      <c r="K267" s="126"/>
      <c r="L267" s="126"/>
      <c r="M267" s="126"/>
      <c r="N267" s="126"/>
      <c r="O267" s="8"/>
      <c r="P267" s="8"/>
      <c r="Q267" s="129"/>
      <c r="R267" s="1369"/>
      <c r="S267" s="126"/>
      <c r="T267" s="8"/>
      <c r="U267" s="1359"/>
      <c r="V267" s="8"/>
      <c r="W267" s="8"/>
      <c r="X267" s="8"/>
      <c r="Y267" s="8"/>
      <c r="Z267" s="8"/>
      <c r="AA267" s="8"/>
    </row>
    <row r="268">
      <c r="A268" s="8"/>
      <c r="B268" s="8"/>
      <c r="C268" s="8"/>
      <c r="D268" s="8"/>
      <c r="E268" s="8"/>
      <c r="F268" s="8"/>
      <c r="G268" s="8"/>
      <c r="H268" s="8"/>
      <c r="I268" s="8"/>
      <c r="J268" s="215"/>
      <c r="K268" s="126"/>
      <c r="L268" s="126"/>
      <c r="M268" s="126"/>
      <c r="N268" s="126"/>
      <c r="O268" s="8"/>
      <c r="P268" s="8"/>
      <c r="Q268" s="129"/>
      <c r="R268" s="1369"/>
      <c r="S268" s="126"/>
      <c r="T268" s="8"/>
      <c r="U268" s="1359"/>
      <c r="V268" s="8"/>
      <c r="W268" s="8"/>
      <c r="X268" s="8"/>
      <c r="Y268" s="8"/>
      <c r="Z268" s="8"/>
      <c r="AA268" s="8"/>
    </row>
    <row r="269">
      <c r="A269" s="8"/>
      <c r="B269" s="8"/>
      <c r="C269" s="8"/>
      <c r="D269" s="8"/>
      <c r="E269" s="8"/>
      <c r="F269" s="8"/>
      <c r="G269" s="8"/>
      <c r="H269" s="8"/>
      <c r="I269" s="8"/>
      <c r="J269" s="215"/>
      <c r="K269" s="126"/>
      <c r="L269" s="126"/>
      <c r="M269" s="126"/>
      <c r="N269" s="126"/>
      <c r="O269" s="8"/>
      <c r="P269" s="8"/>
      <c r="Q269" s="129"/>
      <c r="R269" s="1369"/>
      <c r="S269" s="126"/>
      <c r="T269" s="8"/>
      <c r="U269" s="1359"/>
      <c r="V269" s="8"/>
      <c r="W269" s="8"/>
      <c r="X269" s="8"/>
      <c r="Y269" s="8"/>
      <c r="Z269" s="8"/>
      <c r="AA269" s="8"/>
    </row>
    <row r="270">
      <c r="A270" s="8"/>
      <c r="B270" s="8"/>
      <c r="C270" s="8"/>
      <c r="D270" s="8"/>
      <c r="E270" s="8"/>
      <c r="F270" s="8"/>
      <c r="G270" s="8"/>
      <c r="H270" s="8"/>
      <c r="I270" s="8"/>
      <c r="J270" s="215"/>
      <c r="K270" s="126"/>
      <c r="L270" s="126"/>
      <c r="M270" s="126"/>
      <c r="N270" s="126"/>
      <c r="O270" s="8"/>
      <c r="P270" s="8"/>
      <c r="Q270" s="129"/>
      <c r="R270" s="1369"/>
      <c r="S270" s="126"/>
      <c r="T270" s="8"/>
      <c r="U270" s="1359"/>
      <c r="V270" s="8"/>
      <c r="W270" s="8"/>
      <c r="X270" s="8"/>
      <c r="Y270" s="8"/>
      <c r="Z270" s="8"/>
      <c r="AA270" s="8"/>
    </row>
    <row r="271">
      <c r="A271" s="8"/>
      <c r="B271" s="8"/>
      <c r="C271" s="8"/>
      <c r="D271" s="8"/>
      <c r="E271" s="8"/>
      <c r="F271" s="8"/>
      <c r="G271" s="8"/>
      <c r="H271" s="8"/>
      <c r="I271" s="8"/>
      <c r="J271" s="215"/>
      <c r="K271" s="126"/>
      <c r="L271" s="126"/>
      <c r="M271" s="126"/>
      <c r="N271" s="126"/>
      <c r="O271" s="8"/>
      <c r="P271" s="8"/>
      <c r="Q271" s="129"/>
      <c r="R271" s="1369"/>
      <c r="S271" s="126"/>
      <c r="T271" s="8"/>
      <c r="U271" s="1359"/>
      <c r="V271" s="8"/>
      <c r="W271" s="8"/>
      <c r="X271" s="8"/>
      <c r="Y271" s="8"/>
      <c r="Z271" s="8"/>
      <c r="AA271" s="8"/>
    </row>
    <row r="272">
      <c r="A272" s="8"/>
      <c r="B272" s="8"/>
      <c r="C272" s="8"/>
      <c r="D272" s="8"/>
      <c r="E272" s="8"/>
      <c r="F272" s="8"/>
      <c r="G272" s="8"/>
      <c r="H272" s="8"/>
      <c r="I272" s="8"/>
      <c r="J272" s="215"/>
      <c r="K272" s="126"/>
      <c r="L272" s="126"/>
      <c r="M272" s="126"/>
      <c r="N272" s="126"/>
      <c r="O272" s="8"/>
      <c r="P272" s="8"/>
      <c r="Q272" s="129"/>
      <c r="R272" s="1369"/>
      <c r="S272" s="126"/>
      <c r="T272" s="8"/>
      <c r="U272" s="1359"/>
      <c r="V272" s="8"/>
      <c r="W272" s="8"/>
      <c r="X272" s="8"/>
      <c r="Y272" s="8"/>
      <c r="Z272" s="8"/>
      <c r="AA272" s="8"/>
    </row>
    <row r="273">
      <c r="A273" s="8"/>
      <c r="B273" s="8"/>
      <c r="C273" s="8"/>
      <c r="D273" s="8"/>
      <c r="E273" s="8"/>
      <c r="F273" s="8"/>
      <c r="G273" s="8"/>
      <c r="H273" s="8"/>
      <c r="I273" s="8"/>
      <c r="J273" s="215"/>
      <c r="K273" s="126"/>
      <c r="L273" s="126"/>
      <c r="M273" s="126"/>
      <c r="N273" s="126"/>
      <c r="O273" s="8"/>
      <c r="P273" s="8"/>
      <c r="Q273" s="129"/>
      <c r="R273" s="1369"/>
      <c r="S273" s="126"/>
      <c r="T273" s="8"/>
      <c r="U273" s="1359"/>
      <c r="V273" s="8"/>
      <c r="W273" s="8"/>
      <c r="X273" s="8"/>
      <c r="Y273" s="8"/>
      <c r="Z273" s="8"/>
      <c r="AA273" s="8"/>
    </row>
    <row r="274">
      <c r="A274" s="8"/>
      <c r="B274" s="8"/>
      <c r="C274" s="8"/>
      <c r="D274" s="8"/>
      <c r="E274" s="8"/>
      <c r="F274" s="8"/>
      <c r="G274" s="8"/>
      <c r="H274" s="8"/>
      <c r="I274" s="8"/>
      <c r="J274" s="215"/>
      <c r="K274" s="126"/>
      <c r="L274" s="126"/>
      <c r="M274" s="126"/>
      <c r="N274" s="126"/>
      <c r="O274" s="8"/>
      <c r="P274" s="8"/>
      <c r="Q274" s="129"/>
      <c r="R274" s="1369"/>
      <c r="S274" s="126"/>
      <c r="T274" s="8"/>
      <c r="U274" s="1359"/>
      <c r="V274" s="8"/>
      <c r="W274" s="8"/>
      <c r="X274" s="8"/>
      <c r="Y274" s="8"/>
      <c r="Z274" s="8"/>
      <c r="AA274" s="8"/>
    </row>
    <row r="275">
      <c r="A275" s="8"/>
      <c r="B275" s="8"/>
      <c r="C275" s="8"/>
      <c r="D275" s="8"/>
      <c r="E275" s="8"/>
      <c r="F275" s="8"/>
      <c r="G275" s="8"/>
      <c r="H275" s="8"/>
      <c r="I275" s="8"/>
      <c r="J275" s="215"/>
      <c r="K275" s="126"/>
      <c r="L275" s="126"/>
      <c r="M275" s="126"/>
      <c r="N275" s="126"/>
      <c r="O275" s="8"/>
      <c r="P275" s="8"/>
      <c r="Q275" s="129"/>
      <c r="R275" s="1369"/>
      <c r="S275" s="126"/>
      <c r="T275" s="8"/>
      <c r="U275" s="1359"/>
      <c r="V275" s="8"/>
      <c r="W275" s="8"/>
      <c r="X275" s="8"/>
      <c r="Y275" s="8"/>
      <c r="Z275" s="8"/>
      <c r="AA275" s="8"/>
    </row>
    <row r="276">
      <c r="A276" s="8"/>
      <c r="B276" s="8"/>
      <c r="C276" s="8"/>
      <c r="D276" s="8"/>
      <c r="E276" s="8"/>
      <c r="F276" s="8"/>
      <c r="G276" s="8"/>
      <c r="H276" s="8"/>
      <c r="I276" s="8"/>
      <c r="J276" s="215"/>
      <c r="K276" s="126"/>
      <c r="L276" s="126"/>
      <c r="M276" s="126"/>
      <c r="N276" s="126"/>
      <c r="O276" s="8"/>
      <c r="P276" s="8"/>
      <c r="Q276" s="129"/>
      <c r="R276" s="1369"/>
      <c r="S276" s="126"/>
      <c r="T276" s="8"/>
      <c r="U276" s="1359"/>
      <c r="V276" s="8"/>
      <c r="W276" s="8"/>
      <c r="X276" s="8"/>
      <c r="Y276" s="8"/>
      <c r="Z276" s="8"/>
      <c r="AA276" s="8"/>
    </row>
    <row r="277">
      <c r="A277" s="8"/>
      <c r="B277" s="8"/>
      <c r="C277" s="8"/>
      <c r="D277" s="8"/>
      <c r="E277" s="8"/>
      <c r="F277" s="8"/>
      <c r="G277" s="8"/>
      <c r="H277" s="8"/>
      <c r="I277" s="8"/>
      <c r="J277" s="215"/>
      <c r="K277" s="126"/>
      <c r="L277" s="126"/>
      <c r="M277" s="126"/>
      <c r="N277" s="126"/>
      <c r="O277" s="8"/>
      <c r="P277" s="8"/>
      <c r="Q277" s="129"/>
      <c r="R277" s="1369"/>
      <c r="S277" s="126"/>
      <c r="T277" s="8"/>
      <c r="U277" s="1359"/>
      <c r="V277" s="8"/>
      <c r="W277" s="8"/>
      <c r="X277" s="8"/>
      <c r="Y277" s="8"/>
      <c r="Z277" s="8"/>
      <c r="AA277" s="8"/>
    </row>
    <row r="278">
      <c r="A278" s="8"/>
      <c r="B278" s="8"/>
      <c r="C278" s="8"/>
      <c r="D278" s="8"/>
      <c r="E278" s="8"/>
      <c r="F278" s="8"/>
      <c r="G278" s="8"/>
      <c r="H278" s="8"/>
      <c r="I278" s="8"/>
      <c r="J278" s="215"/>
      <c r="K278" s="126"/>
      <c r="L278" s="126"/>
      <c r="M278" s="126"/>
      <c r="N278" s="126"/>
      <c r="O278" s="8"/>
      <c r="P278" s="8"/>
      <c r="Q278" s="129"/>
      <c r="R278" s="1369"/>
      <c r="S278" s="126"/>
      <c r="T278" s="8"/>
      <c r="U278" s="1359"/>
      <c r="V278" s="8"/>
      <c r="W278" s="8"/>
      <c r="X278" s="8"/>
      <c r="Y278" s="8"/>
      <c r="Z278" s="8"/>
      <c r="AA278" s="8"/>
    </row>
    <row r="279">
      <c r="A279" s="8"/>
      <c r="B279" s="8"/>
      <c r="C279" s="8"/>
      <c r="D279" s="8"/>
      <c r="E279" s="8"/>
      <c r="F279" s="8"/>
      <c r="G279" s="8"/>
      <c r="H279" s="8"/>
      <c r="I279" s="8"/>
      <c r="J279" s="215"/>
      <c r="K279" s="126"/>
      <c r="L279" s="126"/>
      <c r="M279" s="126"/>
      <c r="N279" s="126"/>
      <c r="O279" s="8"/>
      <c r="P279" s="8"/>
      <c r="Q279" s="129"/>
      <c r="R279" s="1369"/>
      <c r="S279" s="126"/>
      <c r="T279" s="8"/>
      <c r="U279" s="1359"/>
      <c r="V279" s="8"/>
      <c r="W279" s="8"/>
      <c r="X279" s="8"/>
      <c r="Y279" s="8"/>
      <c r="Z279" s="8"/>
      <c r="AA279" s="8"/>
    </row>
    <row r="280">
      <c r="A280" s="8"/>
      <c r="B280" s="8"/>
      <c r="C280" s="8"/>
      <c r="D280" s="8"/>
      <c r="E280" s="8"/>
      <c r="F280" s="8"/>
      <c r="G280" s="8"/>
      <c r="H280" s="8"/>
      <c r="I280" s="8"/>
      <c r="J280" s="215"/>
      <c r="K280" s="126"/>
      <c r="L280" s="126"/>
      <c r="M280" s="126"/>
      <c r="N280" s="126"/>
      <c r="O280" s="8"/>
      <c r="P280" s="8"/>
      <c r="Q280" s="129"/>
      <c r="R280" s="1369"/>
      <c r="S280" s="126"/>
      <c r="T280" s="8"/>
      <c r="U280" s="1359"/>
      <c r="V280" s="8"/>
      <c r="W280" s="8"/>
      <c r="X280" s="8"/>
      <c r="Y280" s="8"/>
      <c r="Z280" s="8"/>
      <c r="AA280" s="8"/>
    </row>
    <row r="281">
      <c r="A281" s="8"/>
      <c r="B281" s="8"/>
      <c r="C281" s="8"/>
      <c r="D281" s="8"/>
      <c r="E281" s="8"/>
      <c r="F281" s="8"/>
      <c r="G281" s="8"/>
      <c r="H281" s="8"/>
      <c r="I281" s="8"/>
      <c r="J281" s="215"/>
      <c r="K281" s="126"/>
      <c r="L281" s="126"/>
      <c r="M281" s="126"/>
      <c r="N281" s="126"/>
      <c r="O281" s="8"/>
      <c r="P281" s="8"/>
      <c r="Q281" s="129"/>
      <c r="R281" s="1369"/>
      <c r="S281" s="126"/>
      <c r="T281" s="8"/>
      <c r="U281" s="1359"/>
      <c r="V281" s="8"/>
      <c r="W281" s="8"/>
      <c r="X281" s="8"/>
      <c r="Y281" s="8"/>
      <c r="Z281" s="8"/>
      <c r="AA281" s="8"/>
    </row>
    <row r="282">
      <c r="A282" s="8"/>
      <c r="B282" s="8"/>
      <c r="C282" s="8"/>
      <c r="D282" s="8"/>
      <c r="E282" s="8"/>
      <c r="F282" s="8"/>
      <c r="G282" s="8"/>
      <c r="H282" s="8"/>
      <c r="I282" s="8"/>
      <c r="J282" s="215"/>
      <c r="K282" s="126"/>
      <c r="L282" s="126"/>
      <c r="M282" s="126"/>
      <c r="N282" s="126"/>
      <c r="O282" s="8"/>
      <c r="P282" s="8"/>
      <c r="Q282" s="129"/>
      <c r="R282" s="1369"/>
      <c r="S282" s="126"/>
      <c r="T282" s="8"/>
      <c r="U282" s="1359"/>
      <c r="V282" s="8"/>
      <c r="W282" s="8"/>
      <c r="X282" s="8"/>
      <c r="Y282" s="8"/>
      <c r="Z282" s="8"/>
      <c r="AA282" s="8"/>
    </row>
    <row r="283">
      <c r="A283" s="8"/>
      <c r="B283" s="8"/>
      <c r="C283" s="8"/>
      <c r="D283" s="8"/>
      <c r="E283" s="8"/>
      <c r="F283" s="8"/>
      <c r="G283" s="8"/>
      <c r="H283" s="8"/>
      <c r="I283" s="8"/>
      <c r="J283" s="215"/>
      <c r="K283" s="126"/>
      <c r="L283" s="126"/>
      <c r="M283" s="126"/>
      <c r="N283" s="126"/>
      <c r="O283" s="8"/>
      <c r="P283" s="8"/>
      <c r="Q283" s="129"/>
      <c r="R283" s="1369"/>
      <c r="S283" s="126"/>
      <c r="T283" s="8"/>
      <c r="U283" s="1359"/>
      <c r="V283" s="8"/>
      <c r="W283" s="8"/>
      <c r="X283" s="8"/>
      <c r="Y283" s="8"/>
      <c r="Z283" s="8"/>
      <c r="AA283" s="8"/>
    </row>
    <row r="284">
      <c r="A284" s="8"/>
      <c r="B284" s="8"/>
      <c r="C284" s="8"/>
      <c r="D284" s="8"/>
      <c r="E284" s="8"/>
      <c r="F284" s="8"/>
      <c r="G284" s="8"/>
      <c r="H284" s="8"/>
      <c r="I284" s="8"/>
      <c r="J284" s="215"/>
      <c r="K284" s="126"/>
      <c r="L284" s="126"/>
      <c r="M284" s="126"/>
      <c r="N284" s="126"/>
      <c r="O284" s="8"/>
      <c r="P284" s="8"/>
      <c r="Q284" s="129"/>
      <c r="R284" s="1369"/>
      <c r="S284" s="126"/>
      <c r="T284" s="8"/>
      <c r="U284" s="1359"/>
      <c r="V284" s="8"/>
      <c r="W284" s="8"/>
      <c r="X284" s="8"/>
      <c r="Y284" s="8"/>
      <c r="Z284" s="8"/>
      <c r="AA284" s="8"/>
    </row>
    <row r="285">
      <c r="A285" s="8"/>
      <c r="B285" s="8"/>
      <c r="C285" s="8"/>
      <c r="D285" s="8"/>
      <c r="E285" s="8"/>
      <c r="F285" s="8"/>
      <c r="G285" s="8"/>
      <c r="H285" s="8"/>
      <c r="I285" s="8"/>
      <c r="J285" s="215"/>
      <c r="K285" s="126"/>
      <c r="L285" s="126"/>
      <c r="M285" s="126"/>
      <c r="N285" s="126"/>
      <c r="O285" s="8"/>
      <c r="P285" s="8"/>
      <c r="Q285" s="129"/>
      <c r="R285" s="1369"/>
      <c r="S285" s="126"/>
      <c r="T285" s="8"/>
      <c r="U285" s="1359"/>
      <c r="V285" s="8"/>
      <c r="W285" s="8"/>
      <c r="X285" s="8"/>
      <c r="Y285" s="8"/>
      <c r="Z285" s="8"/>
      <c r="AA285" s="8"/>
    </row>
    <row r="286">
      <c r="A286" s="8"/>
      <c r="B286" s="8"/>
      <c r="C286" s="8"/>
      <c r="D286" s="8"/>
      <c r="E286" s="8"/>
      <c r="F286" s="8"/>
      <c r="G286" s="8"/>
      <c r="H286" s="8"/>
      <c r="I286" s="8"/>
      <c r="J286" s="215"/>
      <c r="K286" s="126"/>
      <c r="L286" s="126"/>
      <c r="M286" s="126"/>
      <c r="N286" s="126"/>
      <c r="O286" s="8"/>
      <c r="P286" s="8"/>
      <c r="Q286" s="129"/>
      <c r="R286" s="1369"/>
      <c r="S286" s="126"/>
      <c r="T286" s="8"/>
      <c r="U286" s="1359"/>
      <c r="V286" s="8"/>
      <c r="W286" s="8"/>
      <c r="X286" s="8"/>
      <c r="Y286" s="8"/>
      <c r="Z286" s="8"/>
      <c r="AA286" s="8"/>
    </row>
    <row r="287">
      <c r="A287" s="8"/>
      <c r="B287" s="8"/>
      <c r="C287" s="8"/>
      <c r="D287" s="8"/>
      <c r="E287" s="8"/>
      <c r="F287" s="8"/>
      <c r="G287" s="8"/>
      <c r="H287" s="8"/>
      <c r="I287" s="8"/>
      <c r="J287" s="215"/>
      <c r="K287" s="126"/>
      <c r="L287" s="126"/>
      <c r="M287" s="126"/>
      <c r="N287" s="126"/>
      <c r="O287" s="8"/>
      <c r="P287" s="8"/>
      <c r="Q287" s="129"/>
      <c r="R287" s="1369"/>
      <c r="S287" s="126"/>
      <c r="T287" s="8"/>
      <c r="U287" s="1359"/>
      <c r="V287" s="8"/>
      <c r="W287" s="8"/>
      <c r="X287" s="8"/>
      <c r="Y287" s="8"/>
      <c r="Z287" s="8"/>
      <c r="AA287" s="8"/>
    </row>
    <row r="288">
      <c r="A288" s="8"/>
      <c r="B288" s="8"/>
      <c r="C288" s="8"/>
      <c r="D288" s="8"/>
      <c r="E288" s="8"/>
      <c r="F288" s="8"/>
      <c r="G288" s="8"/>
      <c r="H288" s="8"/>
      <c r="I288" s="8"/>
      <c r="J288" s="215"/>
      <c r="K288" s="126"/>
      <c r="L288" s="126"/>
      <c r="M288" s="126"/>
      <c r="N288" s="126"/>
      <c r="O288" s="8"/>
      <c r="P288" s="8"/>
      <c r="Q288" s="129"/>
      <c r="R288" s="1369"/>
      <c r="S288" s="126"/>
      <c r="T288" s="8"/>
      <c r="U288" s="1359"/>
      <c r="V288" s="8"/>
      <c r="W288" s="8"/>
      <c r="X288" s="8"/>
      <c r="Y288" s="8"/>
      <c r="Z288" s="8"/>
      <c r="AA288" s="8"/>
    </row>
    <row r="289">
      <c r="A289" s="8"/>
      <c r="B289" s="8"/>
      <c r="C289" s="8"/>
      <c r="D289" s="8"/>
      <c r="E289" s="8"/>
      <c r="F289" s="8"/>
      <c r="G289" s="8"/>
      <c r="H289" s="8"/>
      <c r="I289" s="8"/>
      <c r="J289" s="215"/>
      <c r="K289" s="126"/>
      <c r="L289" s="126"/>
      <c r="M289" s="126"/>
      <c r="N289" s="126"/>
      <c r="O289" s="8"/>
      <c r="P289" s="8"/>
      <c r="Q289" s="129"/>
      <c r="R289" s="1369"/>
      <c r="S289" s="126"/>
      <c r="T289" s="8"/>
      <c r="U289" s="1359"/>
      <c r="V289" s="8"/>
      <c r="W289" s="8"/>
      <c r="X289" s="8"/>
      <c r="Y289" s="8"/>
      <c r="Z289" s="8"/>
      <c r="AA289" s="8"/>
    </row>
    <row r="290">
      <c r="A290" s="8"/>
      <c r="B290" s="8"/>
      <c r="C290" s="8"/>
      <c r="D290" s="8"/>
      <c r="E290" s="8"/>
      <c r="F290" s="8"/>
      <c r="G290" s="8"/>
      <c r="H290" s="8"/>
      <c r="I290" s="8"/>
      <c r="J290" s="215"/>
      <c r="K290" s="126"/>
      <c r="L290" s="126"/>
      <c r="M290" s="126"/>
      <c r="N290" s="126"/>
      <c r="O290" s="8"/>
      <c r="P290" s="8"/>
      <c r="Q290" s="129"/>
      <c r="R290" s="1369"/>
      <c r="S290" s="126"/>
      <c r="T290" s="8"/>
      <c r="U290" s="1359"/>
      <c r="V290" s="8"/>
      <c r="W290" s="8"/>
      <c r="X290" s="8"/>
      <c r="Y290" s="8"/>
      <c r="Z290" s="8"/>
      <c r="AA290" s="8"/>
    </row>
    <row r="291">
      <c r="A291" s="8"/>
      <c r="B291" s="8"/>
      <c r="C291" s="8"/>
      <c r="D291" s="8"/>
      <c r="E291" s="8"/>
      <c r="F291" s="8"/>
      <c r="G291" s="8"/>
      <c r="H291" s="8"/>
      <c r="I291" s="8"/>
      <c r="J291" s="215"/>
      <c r="K291" s="126"/>
      <c r="L291" s="126"/>
      <c r="M291" s="126"/>
      <c r="N291" s="126"/>
      <c r="O291" s="8"/>
      <c r="P291" s="8"/>
      <c r="Q291" s="129"/>
      <c r="R291" s="1369"/>
      <c r="S291" s="126"/>
      <c r="T291" s="8"/>
      <c r="U291" s="1359"/>
      <c r="V291" s="8"/>
      <c r="W291" s="8"/>
      <c r="X291" s="8"/>
      <c r="Y291" s="8"/>
      <c r="Z291" s="8"/>
      <c r="AA291" s="8"/>
    </row>
    <row r="292">
      <c r="A292" s="8"/>
      <c r="B292" s="8"/>
      <c r="C292" s="8"/>
      <c r="D292" s="8"/>
      <c r="E292" s="8"/>
      <c r="F292" s="8"/>
      <c r="G292" s="8"/>
      <c r="H292" s="8"/>
      <c r="I292" s="8"/>
      <c r="J292" s="215"/>
      <c r="K292" s="126"/>
      <c r="L292" s="126"/>
      <c r="M292" s="126"/>
      <c r="N292" s="126"/>
      <c r="O292" s="8"/>
      <c r="P292" s="8"/>
      <c r="Q292" s="129"/>
      <c r="R292" s="1369"/>
      <c r="S292" s="126"/>
      <c r="T292" s="8"/>
      <c r="U292" s="1359"/>
      <c r="V292" s="8"/>
      <c r="W292" s="8"/>
      <c r="X292" s="8"/>
      <c r="Y292" s="8"/>
      <c r="Z292" s="8"/>
      <c r="AA292" s="8"/>
    </row>
    <row r="293">
      <c r="A293" s="8"/>
      <c r="B293" s="8"/>
      <c r="C293" s="8"/>
      <c r="D293" s="8"/>
      <c r="E293" s="8"/>
      <c r="F293" s="8"/>
      <c r="G293" s="8"/>
      <c r="H293" s="8"/>
      <c r="I293" s="8"/>
      <c r="J293" s="215"/>
      <c r="K293" s="126"/>
      <c r="L293" s="126"/>
      <c r="M293" s="126"/>
      <c r="N293" s="126"/>
      <c r="O293" s="8"/>
      <c r="P293" s="8"/>
      <c r="Q293" s="129"/>
      <c r="R293" s="1369"/>
      <c r="S293" s="126"/>
      <c r="T293" s="8"/>
      <c r="U293" s="1359"/>
      <c r="V293" s="8"/>
      <c r="W293" s="8"/>
      <c r="X293" s="8"/>
      <c r="Y293" s="8"/>
      <c r="Z293" s="8"/>
      <c r="AA293" s="8"/>
    </row>
    <row r="294">
      <c r="A294" s="8"/>
      <c r="B294" s="8"/>
      <c r="C294" s="8"/>
      <c r="D294" s="8"/>
      <c r="E294" s="8"/>
      <c r="F294" s="8"/>
      <c r="G294" s="8"/>
      <c r="H294" s="8"/>
      <c r="I294" s="8"/>
      <c r="J294" s="215"/>
      <c r="K294" s="126"/>
      <c r="L294" s="126"/>
      <c r="M294" s="126"/>
      <c r="N294" s="126"/>
      <c r="O294" s="8"/>
      <c r="P294" s="8"/>
      <c r="Q294" s="129"/>
      <c r="R294" s="1369"/>
      <c r="S294" s="126"/>
      <c r="T294" s="8"/>
      <c r="U294" s="1359"/>
      <c r="V294" s="8"/>
      <c r="W294" s="8"/>
      <c r="X294" s="8"/>
      <c r="Y294" s="8"/>
      <c r="Z294" s="8"/>
      <c r="AA294" s="8"/>
    </row>
    <row r="295">
      <c r="A295" s="8"/>
      <c r="B295" s="8"/>
      <c r="C295" s="8"/>
      <c r="D295" s="8"/>
      <c r="E295" s="8"/>
      <c r="F295" s="8"/>
      <c r="G295" s="8"/>
      <c r="H295" s="8"/>
      <c r="I295" s="8"/>
      <c r="J295" s="215"/>
      <c r="K295" s="126"/>
      <c r="L295" s="126"/>
      <c r="M295" s="126"/>
      <c r="N295" s="126"/>
      <c r="O295" s="8"/>
      <c r="P295" s="8"/>
      <c r="Q295" s="129"/>
      <c r="R295" s="1369"/>
      <c r="S295" s="126"/>
      <c r="T295" s="8"/>
      <c r="U295" s="1359"/>
      <c r="V295" s="8"/>
      <c r="W295" s="8"/>
      <c r="X295" s="8"/>
      <c r="Y295" s="8"/>
      <c r="Z295" s="8"/>
      <c r="AA295" s="8"/>
    </row>
    <row r="296">
      <c r="A296" s="8"/>
      <c r="B296" s="8"/>
      <c r="C296" s="8"/>
      <c r="D296" s="8"/>
      <c r="E296" s="8"/>
      <c r="F296" s="8"/>
      <c r="G296" s="8"/>
      <c r="H296" s="8"/>
      <c r="I296" s="8"/>
      <c r="J296" s="215"/>
      <c r="K296" s="126"/>
      <c r="L296" s="126"/>
      <c r="M296" s="126"/>
      <c r="N296" s="126"/>
      <c r="O296" s="8"/>
      <c r="P296" s="8"/>
      <c r="Q296" s="129"/>
      <c r="R296" s="1369"/>
      <c r="S296" s="126"/>
      <c r="T296" s="8"/>
      <c r="U296" s="1359"/>
      <c r="V296" s="8"/>
      <c r="W296" s="8"/>
      <c r="X296" s="8"/>
      <c r="Y296" s="8"/>
      <c r="Z296" s="8"/>
      <c r="AA296" s="8"/>
    </row>
    <row r="297">
      <c r="A297" s="8"/>
      <c r="B297" s="8"/>
      <c r="C297" s="8"/>
      <c r="D297" s="8"/>
      <c r="E297" s="8"/>
      <c r="F297" s="8"/>
      <c r="G297" s="8"/>
      <c r="H297" s="8"/>
      <c r="I297" s="8"/>
      <c r="J297" s="215"/>
      <c r="K297" s="126"/>
      <c r="L297" s="126"/>
      <c r="M297" s="126"/>
      <c r="N297" s="126"/>
      <c r="O297" s="8"/>
      <c r="P297" s="8"/>
      <c r="Q297" s="129"/>
      <c r="R297" s="1369"/>
      <c r="S297" s="126"/>
      <c r="T297" s="8"/>
      <c r="U297" s="1359"/>
      <c r="V297" s="8"/>
      <c r="W297" s="8"/>
      <c r="X297" s="8"/>
      <c r="Y297" s="8"/>
      <c r="Z297" s="8"/>
      <c r="AA297" s="8"/>
    </row>
    <row r="298">
      <c r="A298" s="8"/>
      <c r="B298" s="8"/>
      <c r="C298" s="8"/>
      <c r="D298" s="8"/>
      <c r="E298" s="8"/>
      <c r="F298" s="8"/>
      <c r="G298" s="8"/>
      <c r="H298" s="8"/>
      <c r="I298" s="8"/>
      <c r="J298" s="215"/>
      <c r="K298" s="126"/>
      <c r="L298" s="126"/>
      <c r="M298" s="126"/>
      <c r="N298" s="126"/>
      <c r="O298" s="8"/>
      <c r="P298" s="8"/>
      <c r="Q298" s="129"/>
      <c r="R298" s="1369"/>
      <c r="S298" s="126"/>
      <c r="T298" s="8"/>
      <c r="U298" s="1359"/>
      <c r="V298" s="8"/>
      <c r="W298" s="8"/>
      <c r="X298" s="8"/>
      <c r="Y298" s="8"/>
      <c r="Z298" s="8"/>
      <c r="AA298" s="8"/>
    </row>
    <row r="299">
      <c r="A299" s="8"/>
      <c r="B299" s="8"/>
      <c r="C299" s="8"/>
      <c r="D299" s="8"/>
      <c r="E299" s="8"/>
      <c r="F299" s="8"/>
      <c r="G299" s="8"/>
      <c r="H299" s="8"/>
      <c r="I299" s="8"/>
      <c r="J299" s="215"/>
      <c r="K299" s="126"/>
      <c r="L299" s="126"/>
      <c r="M299" s="126"/>
      <c r="N299" s="126"/>
      <c r="O299" s="8"/>
      <c r="P299" s="8"/>
      <c r="Q299" s="129"/>
      <c r="R299" s="1369"/>
      <c r="S299" s="126"/>
      <c r="T299" s="8"/>
      <c r="U299" s="1359"/>
      <c r="V299" s="8"/>
      <c r="W299" s="8"/>
      <c r="X299" s="8"/>
      <c r="Y299" s="8"/>
      <c r="Z299" s="8"/>
      <c r="AA299" s="8"/>
    </row>
    <row r="300">
      <c r="A300" s="8"/>
      <c r="B300" s="8"/>
      <c r="C300" s="8"/>
      <c r="D300" s="8"/>
      <c r="E300" s="8"/>
      <c r="F300" s="8"/>
      <c r="G300" s="8"/>
      <c r="H300" s="8"/>
      <c r="I300" s="8"/>
      <c r="J300" s="215"/>
      <c r="K300" s="126"/>
      <c r="L300" s="126"/>
      <c r="M300" s="126"/>
      <c r="N300" s="126"/>
      <c r="O300" s="8"/>
      <c r="P300" s="8"/>
      <c r="Q300" s="129"/>
      <c r="R300" s="1369"/>
      <c r="S300" s="126"/>
      <c r="T300" s="8"/>
      <c r="U300" s="1359"/>
      <c r="V300" s="8"/>
      <c r="W300" s="8"/>
      <c r="X300" s="8"/>
      <c r="Y300" s="8"/>
      <c r="Z300" s="8"/>
      <c r="AA300" s="8"/>
    </row>
    <row r="301">
      <c r="A301" s="8"/>
      <c r="B301" s="8"/>
      <c r="C301" s="8"/>
      <c r="D301" s="8"/>
      <c r="E301" s="8"/>
      <c r="F301" s="8"/>
      <c r="G301" s="8"/>
      <c r="H301" s="8"/>
      <c r="I301" s="8"/>
      <c r="J301" s="215"/>
      <c r="K301" s="126"/>
      <c r="L301" s="126"/>
      <c r="M301" s="126"/>
      <c r="N301" s="126"/>
      <c r="O301" s="8"/>
      <c r="P301" s="8"/>
      <c r="Q301" s="129"/>
      <c r="R301" s="1369"/>
      <c r="S301" s="126"/>
      <c r="T301" s="8"/>
      <c r="U301" s="1359"/>
      <c r="V301" s="8"/>
      <c r="W301" s="8"/>
      <c r="X301" s="8"/>
      <c r="Y301" s="8"/>
      <c r="Z301" s="8"/>
      <c r="AA301" s="8"/>
    </row>
    <row r="302">
      <c r="A302" s="8"/>
      <c r="B302" s="8"/>
      <c r="C302" s="8"/>
      <c r="D302" s="8"/>
      <c r="E302" s="8"/>
      <c r="F302" s="8"/>
      <c r="G302" s="8"/>
      <c r="H302" s="8"/>
      <c r="I302" s="8"/>
      <c r="J302" s="215"/>
      <c r="K302" s="126"/>
      <c r="L302" s="126"/>
      <c r="M302" s="126"/>
      <c r="N302" s="126"/>
      <c r="O302" s="8"/>
      <c r="P302" s="8"/>
      <c r="Q302" s="129"/>
      <c r="R302" s="1369"/>
      <c r="S302" s="126"/>
      <c r="T302" s="8"/>
      <c r="U302" s="1359"/>
      <c r="V302" s="8"/>
      <c r="W302" s="8"/>
      <c r="X302" s="8"/>
      <c r="Y302" s="8"/>
      <c r="Z302" s="8"/>
      <c r="AA302" s="8"/>
    </row>
    <row r="303">
      <c r="A303" s="8"/>
      <c r="B303" s="8"/>
      <c r="C303" s="8"/>
      <c r="D303" s="8"/>
      <c r="E303" s="8"/>
      <c r="F303" s="8"/>
      <c r="G303" s="8"/>
      <c r="H303" s="8"/>
      <c r="I303" s="8"/>
      <c r="J303" s="215"/>
      <c r="K303" s="126"/>
      <c r="L303" s="126"/>
      <c r="M303" s="126"/>
      <c r="N303" s="126"/>
      <c r="O303" s="8"/>
      <c r="P303" s="8"/>
      <c r="Q303" s="129"/>
      <c r="R303" s="1369"/>
      <c r="S303" s="126"/>
      <c r="T303" s="8"/>
      <c r="U303" s="1359"/>
      <c r="V303" s="8"/>
      <c r="W303" s="8"/>
      <c r="X303" s="8"/>
      <c r="Y303" s="8"/>
      <c r="Z303" s="8"/>
      <c r="AA303" s="8"/>
    </row>
    <row r="304">
      <c r="A304" s="8"/>
      <c r="B304" s="8"/>
      <c r="C304" s="8"/>
      <c r="D304" s="8"/>
      <c r="E304" s="8"/>
      <c r="F304" s="8"/>
      <c r="G304" s="8"/>
      <c r="H304" s="8"/>
      <c r="I304" s="8"/>
      <c r="J304" s="215"/>
      <c r="K304" s="126"/>
      <c r="L304" s="126"/>
      <c r="M304" s="126"/>
      <c r="N304" s="126"/>
      <c r="O304" s="8"/>
      <c r="P304" s="8"/>
      <c r="Q304" s="129"/>
      <c r="R304" s="1369"/>
      <c r="S304" s="126"/>
      <c r="T304" s="8"/>
      <c r="U304" s="1359"/>
      <c r="V304" s="8"/>
      <c r="W304" s="8"/>
      <c r="X304" s="8"/>
      <c r="Y304" s="8"/>
      <c r="Z304" s="8"/>
      <c r="AA304" s="8"/>
    </row>
    <row r="305">
      <c r="A305" s="8"/>
      <c r="B305" s="8"/>
      <c r="C305" s="8"/>
      <c r="D305" s="8"/>
      <c r="E305" s="8"/>
      <c r="F305" s="8"/>
      <c r="G305" s="8"/>
      <c r="H305" s="8"/>
      <c r="I305" s="8"/>
      <c r="J305" s="215"/>
      <c r="K305" s="126"/>
      <c r="L305" s="126"/>
      <c r="M305" s="126"/>
      <c r="N305" s="126"/>
      <c r="O305" s="8"/>
      <c r="P305" s="8"/>
      <c r="Q305" s="129"/>
      <c r="R305" s="1369"/>
      <c r="S305" s="126"/>
      <c r="T305" s="8"/>
      <c r="U305" s="1359"/>
      <c r="V305" s="8"/>
      <c r="W305" s="8"/>
      <c r="X305" s="8"/>
      <c r="Y305" s="8"/>
      <c r="Z305" s="8"/>
      <c r="AA305" s="8"/>
    </row>
    <row r="306">
      <c r="A306" s="8"/>
      <c r="B306" s="8"/>
      <c r="C306" s="8"/>
      <c r="D306" s="8"/>
      <c r="E306" s="8"/>
      <c r="F306" s="8"/>
      <c r="G306" s="8"/>
      <c r="H306" s="8"/>
      <c r="I306" s="8"/>
      <c r="J306" s="215"/>
      <c r="K306" s="126"/>
      <c r="L306" s="126"/>
      <c r="M306" s="126"/>
      <c r="N306" s="126"/>
      <c r="O306" s="8"/>
      <c r="P306" s="8"/>
      <c r="Q306" s="129"/>
      <c r="R306" s="1369"/>
      <c r="S306" s="126"/>
      <c r="T306" s="8"/>
      <c r="U306" s="1359"/>
      <c r="V306" s="8"/>
      <c r="W306" s="8"/>
      <c r="X306" s="8"/>
      <c r="Y306" s="8"/>
      <c r="Z306" s="8"/>
      <c r="AA306" s="8"/>
    </row>
    <row r="307">
      <c r="A307" s="8"/>
      <c r="B307" s="8"/>
      <c r="C307" s="8"/>
      <c r="D307" s="8"/>
      <c r="E307" s="8"/>
      <c r="F307" s="8"/>
      <c r="G307" s="8"/>
      <c r="H307" s="8"/>
      <c r="I307" s="8"/>
      <c r="J307" s="215"/>
      <c r="K307" s="126"/>
      <c r="L307" s="126"/>
      <c r="M307" s="126"/>
      <c r="N307" s="126"/>
      <c r="O307" s="8"/>
      <c r="P307" s="8"/>
      <c r="Q307" s="129"/>
      <c r="R307" s="1369"/>
      <c r="S307" s="126"/>
      <c r="T307" s="8"/>
      <c r="U307" s="1359"/>
      <c r="V307" s="8"/>
      <c r="W307" s="8"/>
      <c r="X307" s="8"/>
      <c r="Y307" s="8"/>
      <c r="Z307" s="8"/>
      <c r="AA307" s="8"/>
    </row>
    <row r="308">
      <c r="A308" s="8"/>
      <c r="B308" s="8"/>
      <c r="C308" s="8"/>
      <c r="D308" s="8"/>
      <c r="E308" s="8"/>
      <c r="F308" s="8"/>
      <c r="G308" s="8"/>
      <c r="H308" s="8"/>
      <c r="I308" s="8"/>
      <c r="J308" s="215"/>
      <c r="K308" s="126"/>
      <c r="L308" s="126"/>
      <c r="M308" s="126"/>
      <c r="N308" s="126"/>
      <c r="O308" s="8"/>
      <c r="P308" s="8"/>
      <c r="Q308" s="129"/>
      <c r="R308" s="1369"/>
      <c r="S308" s="126"/>
      <c r="T308" s="8"/>
      <c r="U308" s="1359"/>
      <c r="V308" s="8"/>
      <c r="W308" s="8"/>
      <c r="X308" s="8"/>
      <c r="Y308" s="8"/>
      <c r="Z308" s="8"/>
      <c r="AA308" s="8"/>
    </row>
    <row r="309">
      <c r="A309" s="8"/>
      <c r="B309" s="8"/>
      <c r="C309" s="8"/>
      <c r="D309" s="8"/>
      <c r="E309" s="8"/>
      <c r="F309" s="8"/>
      <c r="G309" s="8"/>
      <c r="H309" s="8"/>
      <c r="I309" s="8"/>
      <c r="J309" s="215"/>
      <c r="K309" s="126"/>
      <c r="L309" s="126"/>
      <c r="M309" s="126"/>
      <c r="N309" s="126"/>
      <c r="O309" s="8"/>
      <c r="P309" s="8"/>
      <c r="Q309" s="129"/>
      <c r="R309" s="1369"/>
      <c r="S309" s="126"/>
      <c r="T309" s="8"/>
      <c r="U309" s="1359"/>
      <c r="V309" s="8"/>
      <c r="W309" s="8"/>
      <c r="X309" s="8"/>
      <c r="Y309" s="8"/>
      <c r="Z309" s="8"/>
      <c r="AA309" s="8"/>
    </row>
    <row r="310">
      <c r="A310" s="8"/>
      <c r="B310" s="8"/>
      <c r="C310" s="8"/>
      <c r="D310" s="8"/>
      <c r="E310" s="8"/>
      <c r="F310" s="8"/>
      <c r="G310" s="8"/>
      <c r="H310" s="8"/>
      <c r="I310" s="8"/>
      <c r="J310" s="215"/>
      <c r="K310" s="126"/>
      <c r="L310" s="126"/>
      <c r="M310" s="126"/>
      <c r="N310" s="126"/>
      <c r="O310" s="8"/>
      <c r="P310" s="8"/>
      <c r="Q310" s="129"/>
      <c r="R310" s="1369"/>
      <c r="S310" s="126"/>
      <c r="T310" s="8"/>
      <c r="U310" s="1359"/>
      <c r="V310" s="8"/>
      <c r="W310" s="8"/>
      <c r="X310" s="8"/>
      <c r="Y310" s="8"/>
      <c r="Z310" s="8"/>
      <c r="AA310" s="8"/>
    </row>
    <row r="311">
      <c r="A311" s="8"/>
      <c r="B311" s="8"/>
      <c r="C311" s="8"/>
      <c r="D311" s="8"/>
      <c r="E311" s="8"/>
      <c r="F311" s="8"/>
      <c r="G311" s="8"/>
      <c r="H311" s="8"/>
      <c r="I311" s="8"/>
      <c r="J311" s="215"/>
      <c r="K311" s="126"/>
      <c r="L311" s="126"/>
      <c r="M311" s="126"/>
      <c r="N311" s="126"/>
      <c r="O311" s="8"/>
      <c r="P311" s="8"/>
      <c r="Q311" s="129"/>
      <c r="R311" s="1369"/>
      <c r="S311" s="126"/>
      <c r="T311" s="8"/>
      <c r="U311" s="1359"/>
      <c r="V311" s="8"/>
      <c r="W311" s="8"/>
      <c r="X311" s="8"/>
      <c r="Y311" s="8"/>
      <c r="Z311" s="8"/>
      <c r="AA311" s="8"/>
    </row>
    <row r="312">
      <c r="A312" s="8"/>
      <c r="B312" s="8"/>
      <c r="C312" s="8"/>
      <c r="D312" s="8"/>
      <c r="E312" s="8"/>
      <c r="F312" s="8"/>
      <c r="G312" s="8"/>
      <c r="H312" s="8"/>
      <c r="I312" s="8"/>
      <c r="J312" s="215"/>
      <c r="K312" s="126"/>
      <c r="L312" s="126"/>
      <c r="M312" s="126"/>
      <c r="N312" s="126"/>
      <c r="O312" s="8"/>
      <c r="P312" s="8"/>
      <c r="Q312" s="129"/>
      <c r="R312" s="1369"/>
      <c r="S312" s="126"/>
      <c r="T312" s="8"/>
      <c r="U312" s="1359"/>
      <c r="V312" s="8"/>
      <c r="W312" s="8"/>
      <c r="X312" s="8"/>
      <c r="Y312" s="8"/>
      <c r="Z312" s="8"/>
      <c r="AA312" s="8"/>
    </row>
    <row r="313">
      <c r="A313" s="8"/>
      <c r="B313" s="8"/>
      <c r="C313" s="8"/>
      <c r="D313" s="8"/>
      <c r="E313" s="8"/>
      <c r="F313" s="8"/>
      <c r="G313" s="8"/>
      <c r="H313" s="8"/>
      <c r="I313" s="8"/>
      <c r="J313" s="215"/>
      <c r="K313" s="126"/>
      <c r="L313" s="126"/>
      <c r="M313" s="126"/>
      <c r="N313" s="126"/>
      <c r="O313" s="8"/>
      <c r="P313" s="8"/>
      <c r="Q313" s="129"/>
      <c r="R313" s="1369"/>
      <c r="S313" s="126"/>
      <c r="T313" s="8"/>
      <c r="U313" s="1359"/>
      <c r="V313" s="8"/>
      <c r="W313" s="8"/>
      <c r="X313" s="8"/>
      <c r="Y313" s="8"/>
      <c r="Z313" s="8"/>
      <c r="AA313" s="8"/>
    </row>
    <row r="314">
      <c r="A314" s="8"/>
      <c r="B314" s="8"/>
      <c r="C314" s="8"/>
      <c r="D314" s="8"/>
      <c r="E314" s="8"/>
      <c r="F314" s="8"/>
      <c r="G314" s="8"/>
      <c r="H314" s="8"/>
      <c r="I314" s="8"/>
      <c r="J314" s="215"/>
      <c r="K314" s="126"/>
      <c r="L314" s="126"/>
      <c r="M314" s="126"/>
      <c r="N314" s="126"/>
      <c r="O314" s="8"/>
      <c r="P314" s="8"/>
      <c r="Q314" s="129"/>
      <c r="R314" s="1369"/>
      <c r="S314" s="126"/>
      <c r="T314" s="8"/>
      <c r="U314" s="1359"/>
      <c r="V314" s="8"/>
      <c r="W314" s="8"/>
      <c r="X314" s="8"/>
      <c r="Y314" s="8"/>
      <c r="Z314" s="8"/>
      <c r="AA314" s="8"/>
    </row>
    <row r="315">
      <c r="A315" s="8"/>
      <c r="B315" s="8"/>
      <c r="C315" s="8"/>
      <c r="D315" s="8"/>
      <c r="E315" s="8"/>
      <c r="F315" s="8"/>
      <c r="G315" s="8"/>
      <c r="H315" s="8"/>
      <c r="I315" s="8"/>
      <c r="J315" s="215"/>
      <c r="K315" s="126"/>
      <c r="L315" s="126"/>
      <c r="M315" s="126"/>
      <c r="N315" s="126"/>
      <c r="O315" s="8"/>
      <c r="P315" s="8"/>
      <c r="Q315" s="129"/>
      <c r="R315" s="1369"/>
      <c r="S315" s="126"/>
      <c r="T315" s="8"/>
      <c r="U315" s="1359"/>
      <c r="V315" s="8"/>
      <c r="W315" s="8"/>
      <c r="X315" s="8"/>
      <c r="Y315" s="8"/>
      <c r="Z315" s="8"/>
      <c r="AA315" s="8"/>
    </row>
    <row r="316">
      <c r="A316" s="8"/>
      <c r="B316" s="8"/>
      <c r="C316" s="8"/>
      <c r="D316" s="8"/>
      <c r="E316" s="8"/>
      <c r="F316" s="8"/>
      <c r="G316" s="8"/>
      <c r="H316" s="8"/>
      <c r="I316" s="8"/>
      <c r="J316" s="215"/>
      <c r="K316" s="126"/>
      <c r="L316" s="126"/>
      <c r="M316" s="126"/>
      <c r="N316" s="126"/>
      <c r="O316" s="8"/>
      <c r="P316" s="8"/>
      <c r="Q316" s="129"/>
      <c r="R316" s="1369"/>
      <c r="S316" s="126"/>
      <c r="T316" s="8"/>
      <c r="U316" s="1359"/>
      <c r="V316" s="8"/>
      <c r="W316" s="8"/>
      <c r="X316" s="8"/>
      <c r="Y316" s="8"/>
      <c r="Z316" s="8"/>
      <c r="AA316" s="8"/>
    </row>
    <row r="317">
      <c r="A317" s="8"/>
      <c r="B317" s="8"/>
      <c r="C317" s="8"/>
      <c r="D317" s="8"/>
      <c r="E317" s="8"/>
      <c r="F317" s="8"/>
      <c r="G317" s="8"/>
      <c r="H317" s="8"/>
      <c r="I317" s="8"/>
      <c r="J317" s="215"/>
      <c r="K317" s="126"/>
      <c r="L317" s="126"/>
      <c r="M317" s="126"/>
      <c r="N317" s="126"/>
      <c r="O317" s="8"/>
      <c r="P317" s="8"/>
      <c r="Q317" s="129"/>
      <c r="R317" s="1369"/>
      <c r="S317" s="126"/>
      <c r="T317" s="8"/>
      <c r="U317" s="1359"/>
      <c r="V317" s="8"/>
      <c r="W317" s="8"/>
      <c r="X317" s="8"/>
      <c r="Y317" s="8"/>
      <c r="Z317" s="8"/>
      <c r="AA317" s="8"/>
    </row>
    <row r="318">
      <c r="A318" s="8"/>
      <c r="B318" s="8"/>
      <c r="C318" s="8"/>
      <c r="D318" s="8"/>
      <c r="E318" s="8"/>
      <c r="F318" s="8"/>
      <c r="G318" s="8"/>
      <c r="H318" s="8"/>
      <c r="I318" s="8"/>
      <c r="J318" s="215"/>
      <c r="K318" s="126"/>
      <c r="L318" s="126"/>
      <c r="M318" s="126"/>
      <c r="N318" s="126"/>
      <c r="O318" s="8"/>
      <c r="P318" s="8"/>
      <c r="Q318" s="129"/>
      <c r="R318" s="1369"/>
      <c r="S318" s="126"/>
      <c r="T318" s="8"/>
      <c r="U318" s="1359"/>
      <c r="V318" s="8"/>
      <c r="W318" s="8"/>
      <c r="X318" s="8"/>
      <c r="Y318" s="8"/>
      <c r="Z318" s="8"/>
      <c r="AA318" s="8"/>
    </row>
    <row r="319">
      <c r="A319" s="8"/>
      <c r="B319" s="8"/>
      <c r="C319" s="8"/>
      <c r="D319" s="8"/>
      <c r="E319" s="8"/>
      <c r="F319" s="8"/>
      <c r="G319" s="8"/>
      <c r="H319" s="8"/>
      <c r="I319" s="8"/>
      <c r="J319" s="215"/>
      <c r="K319" s="126"/>
      <c r="L319" s="126"/>
      <c r="M319" s="126"/>
      <c r="N319" s="126"/>
      <c r="O319" s="8"/>
      <c r="P319" s="8"/>
      <c r="Q319" s="129"/>
      <c r="R319" s="1369"/>
      <c r="S319" s="126"/>
      <c r="T319" s="8"/>
      <c r="U319" s="1359"/>
      <c r="V319" s="8"/>
      <c r="W319" s="8"/>
      <c r="X319" s="8"/>
      <c r="Y319" s="8"/>
      <c r="Z319" s="8"/>
      <c r="AA319" s="8"/>
    </row>
    <row r="320">
      <c r="A320" s="8"/>
      <c r="B320" s="8"/>
      <c r="C320" s="8"/>
      <c r="D320" s="8"/>
      <c r="E320" s="8"/>
      <c r="F320" s="8"/>
      <c r="G320" s="8"/>
      <c r="H320" s="8"/>
      <c r="I320" s="8"/>
      <c r="J320" s="215"/>
      <c r="K320" s="126"/>
      <c r="L320" s="126"/>
      <c r="M320" s="126"/>
      <c r="N320" s="126"/>
      <c r="O320" s="8"/>
      <c r="P320" s="8"/>
      <c r="Q320" s="129"/>
      <c r="R320" s="1369"/>
      <c r="S320" s="126"/>
      <c r="T320" s="8"/>
      <c r="U320" s="1359"/>
      <c r="V320" s="8"/>
      <c r="W320" s="8"/>
      <c r="X320" s="8"/>
      <c r="Y320" s="8"/>
      <c r="Z320" s="8"/>
      <c r="AA320" s="8"/>
    </row>
    <row r="321">
      <c r="A321" s="8"/>
      <c r="B321" s="8"/>
      <c r="C321" s="8"/>
      <c r="D321" s="8"/>
      <c r="E321" s="8"/>
      <c r="F321" s="8"/>
      <c r="G321" s="8"/>
      <c r="H321" s="8"/>
      <c r="I321" s="8"/>
      <c r="J321" s="215"/>
      <c r="K321" s="126"/>
      <c r="L321" s="126"/>
      <c r="M321" s="126"/>
      <c r="N321" s="126"/>
      <c r="O321" s="8"/>
      <c r="P321" s="8"/>
      <c r="Q321" s="129"/>
      <c r="R321" s="1369"/>
      <c r="S321" s="126"/>
      <c r="T321" s="8"/>
      <c r="U321" s="1359"/>
      <c r="V321" s="8"/>
      <c r="W321" s="8"/>
      <c r="X321" s="8"/>
      <c r="Y321" s="8"/>
      <c r="Z321" s="8"/>
      <c r="AA321" s="8"/>
    </row>
    <row r="322">
      <c r="A322" s="8"/>
      <c r="B322" s="8"/>
      <c r="C322" s="8"/>
      <c r="D322" s="8"/>
      <c r="E322" s="8"/>
      <c r="F322" s="8"/>
      <c r="G322" s="8"/>
      <c r="H322" s="8"/>
      <c r="I322" s="8"/>
      <c r="J322" s="215"/>
      <c r="K322" s="126"/>
      <c r="L322" s="126"/>
      <c r="M322" s="126"/>
      <c r="N322" s="126"/>
      <c r="O322" s="8"/>
      <c r="P322" s="8"/>
      <c r="Q322" s="129"/>
      <c r="R322" s="1369"/>
      <c r="S322" s="126"/>
      <c r="T322" s="8"/>
      <c r="U322" s="1359"/>
      <c r="V322" s="8"/>
      <c r="W322" s="8"/>
      <c r="X322" s="8"/>
      <c r="Y322" s="8"/>
      <c r="Z322" s="8"/>
      <c r="AA322" s="8"/>
    </row>
    <row r="323">
      <c r="A323" s="8"/>
      <c r="B323" s="8"/>
      <c r="C323" s="8"/>
      <c r="D323" s="8"/>
      <c r="E323" s="8"/>
      <c r="F323" s="8"/>
      <c r="G323" s="8"/>
      <c r="H323" s="8"/>
      <c r="I323" s="8"/>
      <c r="J323" s="215"/>
      <c r="K323" s="126"/>
      <c r="L323" s="126"/>
      <c r="M323" s="126"/>
      <c r="N323" s="126"/>
      <c r="O323" s="8"/>
      <c r="P323" s="8"/>
      <c r="Q323" s="129"/>
      <c r="R323" s="1369"/>
      <c r="S323" s="126"/>
      <c r="T323" s="8"/>
      <c r="U323" s="1359"/>
      <c r="V323" s="8"/>
      <c r="W323" s="8"/>
      <c r="X323" s="8"/>
      <c r="Y323" s="8"/>
      <c r="Z323" s="8"/>
      <c r="AA323" s="8"/>
    </row>
    <row r="324">
      <c r="A324" s="8"/>
      <c r="B324" s="8"/>
      <c r="C324" s="8"/>
      <c r="D324" s="8"/>
      <c r="E324" s="8"/>
      <c r="F324" s="8"/>
      <c r="G324" s="8"/>
      <c r="H324" s="8"/>
      <c r="I324" s="8"/>
      <c r="J324" s="215"/>
      <c r="K324" s="126"/>
      <c r="L324" s="126"/>
      <c r="M324" s="126"/>
      <c r="N324" s="126"/>
      <c r="O324" s="8"/>
      <c r="P324" s="8"/>
      <c r="Q324" s="129"/>
      <c r="R324" s="1369"/>
      <c r="S324" s="126"/>
      <c r="T324" s="8"/>
      <c r="U324" s="1359"/>
      <c r="V324" s="8"/>
      <c r="W324" s="8"/>
      <c r="X324" s="8"/>
      <c r="Y324" s="8"/>
      <c r="Z324" s="8"/>
      <c r="AA324" s="8"/>
    </row>
    <row r="325">
      <c r="A325" s="8"/>
      <c r="B325" s="8"/>
      <c r="C325" s="8"/>
      <c r="D325" s="8"/>
      <c r="E325" s="8"/>
      <c r="F325" s="8"/>
      <c r="G325" s="8"/>
      <c r="H325" s="8"/>
      <c r="I325" s="8"/>
      <c r="J325" s="215"/>
      <c r="K325" s="126"/>
      <c r="L325" s="126"/>
      <c r="M325" s="126"/>
      <c r="N325" s="126"/>
      <c r="O325" s="8"/>
      <c r="P325" s="8"/>
      <c r="Q325" s="129"/>
      <c r="R325" s="1369"/>
      <c r="S325" s="126"/>
      <c r="T325" s="8"/>
      <c r="U325" s="1359"/>
      <c r="V325" s="8"/>
      <c r="W325" s="8"/>
      <c r="X325" s="8"/>
      <c r="Y325" s="8"/>
      <c r="Z325" s="8"/>
      <c r="AA325" s="8"/>
    </row>
    <row r="326">
      <c r="A326" s="8"/>
      <c r="B326" s="8"/>
      <c r="C326" s="8"/>
      <c r="D326" s="8"/>
      <c r="E326" s="8"/>
      <c r="F326" s="8"/>
      <c r="G326" s="8"/>
      <c r="H326" s="8"/>
      <c r="I326" s="8"/>
      <c r="J326" s="215"/>
      <c r="K326" s="126"/>
      <c r="L326" s="126"/>
      <c r="M326" s="126"/>
      <c r="N326" s="126"/>
      <c r="O326" s="8"/>
      <c r="P326" s="8"/>
      <c r="Q326" s="129"/>
      <c r="R326" s="1369"/>
      <c r="S326" s="126"/>
      <c r="T326" s="8"/>
      <c r="U326" s="1359"/>
      <c r="V326" s="8"/>
      <c r="W326" s="8"/>
      <c r="X326" s="8"/>
      <c r="Y326" s="8"/>
      <c r="Z326" s="8"/>
      <c r="AA326" s="8"/>
    </row>
    <row r="327">
      <c r="A327" s="8"/>
      <c r="B327" s="8"/>
      <c r="C327" s="8"/>
      <c r="D327" s="8"/>
      <c r="E327" s="8"/>
      <c r="F327" s="8"/>
      <c r="G327" s="8"/>
      <c r="H327" s="8"/>
      <c r="I327" s="8"/>
      <c r="J327" s="215"/>
      <c r="K327" s="126"/>
      <c r="L327" s="126"/>
      <c r="M327" s="126"/>
      <c r="N327" s="126"/>
      <c r="O327" s="8"/>
      <c r="P327" s="8"/>
      <c r="Q327" s="129"/>
      <c r="R327" s="1369"/>
      <c r="S327" s="126"/>
      <c r="T327" s="8"/>
      <c r="U327" s="1359"/>
      <c r="V327" s="8"/>
      <c r="W327" s="8"/>
      <c r="X327" s="8"/>
      <c r="Y327" s="8"/>
      <c r="Z327" s="8"/>
      <c r="AA327" s="8"/>
    </row>
    <row r="328">
      <c r="A328" s="8"/>
      <c r="B328" s="8"/>
      <c r="C328" s="8"/>
      <c r="D328" s="8"/>
      <c r="E328" s="8"/>
      <c r="F328" s="8"/>
      <c r="G328" s="8"/>
      <c r="H328" s="8"/>
      <c r="I328" s="8"/>
      <c r="J328" s="215"/>
      <c r="K328" s="126"/>
      <c r="L328" s="126"/>
      <c r="M328" s="126"/>
      <c r="N328" s="126"/>
      <c r="O328" s="8"/>
      <c r="P328" s="8"/>
      <c r="Q328" s="129"/>
      <c r="R328" s="1369"/>
      <c r="S328" s="126"/>
      <c r="T328" s="8"/>
      <c r="U328" s="1359"/>
      <c r="V328" s="8"/>
      <c r="W328" s="8"/>
      <c r="X328" s="8"/>
      <c r="Y328" s="8"/>
      <c r="Z328" s="8"/>
      <c r="AA328" s="8"/>
    </row>
    <row r="329">
      <c r="A329" s="8"/>
      <c r="B329" s="8"/>
      <c r="C329" s="8"/>
      <c r="D329" s="8"/>
      <c r="E329" s="8"/>
      <c r="F329" s="8"/>
      <c r="G329" s="8"/>
      <c r="H329" s="8"/>
      <c r="I329" s="8"/>
      <c r="J329" s="215"/>
      <c r="K329" s="126"/>
      <c r="L329" s="126"/>
      <c r="M329" s="126"/>
      <c r="N329" s="126"/>
      <c r="O329" s="8"/>
      <c r="P329" s="8"/>
      <c r="Q329" s="129"/>
      <c r="R329" s="1369"/>
      <c r="S329" s="126"/>
      <c r="T329" s="8"/>
      <c r="U329" s="1359"/>
      <c r="V329" s="8"/>
      <c r="W329" s="8"/>
      <c r="X329" s="8"/>
      <c r="Y329" s="8"/>
      <c r="Z329" s="8"/>
      <c r="AA329" s="8"/>
    </row>
    <row r="330">
      <c r="A330" s="8"/>
      <c r="B330" s="8"/>
      <c r="C330" s="8"/>
      <c r="D330" s="8"/>
      <c r="E330" s="8"/>
      <c r="F330" s="8"/>
      <c r="G330" s="8"/>
      <c r="H330" s="8"/>
      <c r="I330" s="8"/>
      <c r="J330" s="215"/>
      <c r="K330" s="126"/>
      <c r="L330" s="126"/>
      <c r="M330" s="126"/>
      <c r="N330" s="126"/>
      <c r="O330" s="8"/>
      <c r="P330" s="8"/>
      <c r="Q330" s="129"/>
      <c r="R330" s="1369"/>
      <c r="S330" s="126"/>
      <c r="T330" s="8"/>
      <c r="U330" s="1359"/>
      <c r="V330" s="8"/>
      <c r="W330" s="8"/>
      <c r="X330" s="8"/>
      <c r="Y330" s="8"/>
      <c r="Z330" s="8"/>
      <c r="AA330" s="8"/>
    </row>
    <row r="331">
      <c r="A331" s="8"/>
      <c r="B331" s="8"/>
      <c r="C331" s="8"/>
      <c r="D331" s="8"/>
      <c r="E331" s="8"/>
      <c r="F331" s="8"/>
      <c r="G331" s="8"/>
      <c r="H331" s="8"/>
      <c r="I331" s="8"/>
      <c r="J331" s="215"/>
      <c r="K331" s="126"/>
      <c r="L331" s="126"/>
      <c r="M331" s="126"/>
      <c r="N331" s="126"/>
      <c r="O331" s="8"/>
      <c r="P331" s="8"/>
      <c r="Q331" s="129"/>
      <c r="R331" s="1369"/>
      <c r="S331" s="126"/>
      <c r="T331" s="8"/>
      <c r="U331" s="1359"/>
      <c r="V331" s="8"/>
      <c r="W331" s="8"/>
      <c r="X331" s="8"/>
      <c r="Y331" s="8"/>
      <c r="Z331" s="8"/>
      <c r="AA331" s="8"/>
    </row>
    <row r="332">
      <c r="A332" s="8"/>
      <c r="B332" s="8"/>
      <c r="C332" s="8"/>
      <c r="D332" s="8"/>
      <c r="E332" s="8"/>
      <c r="F332" s="8"/>
      <c r="G332" s="8"/>
      <c r="H332" s="8"/>
      <c r="I332" s="8"/>
      <c r="J332" s="215"/>
      <c r="K332" s="126"/>
      <c r="L332" s="126"/>
      <c r="M332" s="126"/>
      <c r="N332" s="126"/>
      <c r="O332" s="8"/>
      <c r="P332" s="8"/>
      <c r="Q332" s="129"/>
      <c r="R332" s="1369"/>
      <c r="S332" s="126"/>
      <c r="T332" s="8"/>
      <c r="U332" s="1359"/>
      <c r="V332" s="8"/>
      <c r="W332" s="8"/>
      <c r="X332" s="8"/>
      <c r="Y332" s="8"/>
      <c r="Z332" s="8"/>
      <c r="AA332" s="8"/>
    </row>
    <row r="333">
      <c r="A333" s="8"/>
      <c r="B333" s="8"/>
      <c r="C333" s="8"/>
      <c r="D333" s="8"/>
      <c r="E333" s="8"/>
      <c r="F333" s="8"/>
      <c r="G333" s="8"/>
      <c r="H333" s="8"/>
      <c r="I333" s="8"/>
      <c r="J333" s="215"/>
      <c r="K333" s="126"/>
      <c r="L333" s="126"/>
      <c r="M333" s="126"/>
      <c r="N333" s="126"/>
      <c r="O333" s="8"/>
      <c r="P333" s="8"/>
      <c r="Q333" s="129"/>
      <c r="R333" s="1369"/>
      <c r="S333" s="126"/>
      <c r="T333" s="8"/>
      <c r="U333" s="1359"/>
      <c r="V333" s="8"/>
      <c r="W333" s="8"/>
      <c r="X333" s="8"/>
      <c r="Y333" s="8"/>
      <c r="Z333" s="8"/>
      <c r="AA333" s="8"/>
    </row>
    <row r="334">
      <c r="A334" s="8"/>
      <c r="B334" s="8"/>
      <c r="C334" s="8"/>
      <c r="D334" s="8"/>
      <c r="E334" s="8"/>
      <c r="F334" s="8"/>
      <c r="G334" s="8"/>
      <c r="H334" s="8"/>
      <c r="I334" s="8"/>
      <c r="J334" s="215"/>
      <c r="K334" s="126"/>
      <c r="L334" s="126"/>
      <c r="M334" s="126"/>
      <c r="N334" s="126"/>
      <c r="O334" s="8"/>
      <c r="P334" s="8"/>
      <c r="Q334" s="129"/>
      <c r="R334" s="1369"/>
      <c r="S334" s="126"/>
      <c r="T334" s="8"/>
      <c r="U334" s="1359"/>
      <c r="V334" s="8"/>
      <c r="W334" s="8"/>
      <c r="X334" s="8"/>
      <c r="Y334" s="8"/>
      <c r="Z334" s="8"/>
      <c r="AA334" s="8"/>
    </row>
    <row r="335">
      <c r="A335" s="8"/>
      <c r="B335" s="8"/>
      <c r="C335" s="8"/>
      <c r="D335" s="8"/>
      <c r="E335" s="8"/>
      <c r="F335" s="8"/>
      <c r="G335" s="8"/>
      <c r="H335" s="8"/>
      <c r="I335" s="8"/>
      <c r="J335" s="215"/>
      <c r="K335" s="126"/>
      <c r="L335" s="126"/>
      <c r="M335" s="126"/>
      <c r="N335" s="126"/>
      <c r="O335" s="8"/>
      <c r="P335" s="8"/>
      <c r="Q335" s="129"/>
      <c r="R335" s="1369"/>
      <c r="S335" s="126"/>
      <c r="T335" s="8"/>
      <c r="U335" s="1359"/>
      <c r="V335" s="8"/>
      <c r="W335" s="8"/>
      <c r="X335" s="8"/>
      <c r="Y335" s="8"/>
      <c r="Z335" s="8"/>
      <c r="AA335" s="8"/>
    </row>
    <row r="336">
      <c r="A336" s="8"/>
      <c r="B336" s="8"/>
      <c r="C336" s="8"/>
      <c r="D336" s="8"/>
      <c r="E336" s="8"/>
      <c r="F336" s="8"/>
      <c r="G336" s="8"/>
      <c r="H336" s="8"/>
      <c r="I336" s="8"/>
      <c r="J336" s="215"/>
      <c r="K336" s="126"/>
      <c r="L336" s="126"/>
      <c r="M336" s="126"/>
      <c r="N336" s="126"/>
      <c r="O336" s="8"/>
      <c r="P336" s="8"/>
      <c r="Q336" s="129"/>
      <c r="R336" s="1369"/>
      <c r="S336" s="126"/>
      <c r="T336" s="8"/>
      <c r="U336" s="1359"/>
      <c r="V336" s="8"/>
      <c r="W336" s="8"/>
      <c r="X336" s="8"/>
      <c r="Y336" s="8"/>
      <c r="Z336" s="8"/>
      <c r="AA336" s="8"/>
    </row>
    <row r="337">
      <c r="A337" s="8"/>
      <c r="B337" s="8"/>
      <c r="C337" s="8"/>
      <c r="D337" s="8"/>
      <c r="E337" s="8"/>
      <c r="F337" s="8"/>
      <c r="G337" s="8"/>
      <c r="H337" s="8"/>
      <c r="I337" s="8"/>
      <c r="J337" s="215"/>
      <c r="K337" s="126"/>
      <c r="L337" s="126"/>
      <c r="M337" s="126"/>
      <c r="N337" s="126"/>
      <c r="O337" s="8"/>
      <c r="P337" s="8"/>
      <c r="Q337" s="129"/>
      <c r="R337" s="1369"/>
      <c r="S337" s="126"/>
      <c r="T337" s="8"/>
      <c r="U337" s="1359"/>
      <c r="V337" s="8"/>
      <c r="W337" s="8"/>
      <c r="X337" s="8"/>
      <c r="Y337" s="8"/>
      <c r="Z337" s="8"/>
      <c r="AA337" s="8"/>
    </row>
    <row r="338">
      <c r="A338" s="8"/>
      <c r="B338" s="8"/>
      <c r="C338" s="8"/>
      <c r="D338" s="8"/>
      <c r="E338" s="8"/>
      <c r="F338" s="8"/>
      <c r="G338" s="8"/>
      <c r="H338" s="8"/>
      <c r="I338" s="8"/>
      <c r="J338" s="215"/>
      <c r="K338" s="126"/>
      <c r="L338" s="126"/>
      <c r="M338" s="126"/>
      <c r="N338" s="126"/>
      <c r="O338" s="8"/>
      <c r="P338" s="8"/>
      <c r="Q338" s="129"/>
      <c r="R338" s="1369"/>
      <c r="S338" s="126"/>
      <c r="T338" s="8"/>
      <c r="U338" s="1359"/>
      <c r="V338" s="8"/>
      <c r="W338" s="8"/>
      <c r="X338" s="8"/>
      <c r="Y338" s="8"/>
      <c r="Z338" s="8"/>
      <c r="AA338" s="8"/>
    </row>
    <row r="339">
      <c r="A339" s="8"/>
      <c r="B339" s="8"/>
      <c r="C339" s="8"/>
      <c r="D339" s="8"/>
      <c r="E339" s="8"/>
      <c r="F339" s="8"/>
      <c r="G339" s="8"/>
      <c r="H339" s="8"/>
      <c r="I339" s="8"/>
      <c r="J339" s="215"/>
      <c r="K339" s="126"/>
      <c r="L339" s="126"/>
      <c r="M339" s="126"/>
      <c r="N339" s="126"/>
      <c r="O339" s="8"/>
      <c r="P339" s="8"/>
      <c r="Q339" s="129"/>
      <c r="R339" s="1369"/>
      <c r="S339" s="126"/>
      <c r="T339" s="8"/>
      <c r="U339" s="1359"/>
      <c r="V339" s="8"/>
      <c r="W339" s="8"/>
      <c r="X339" s="8"/>
      <c r="Y339" s="8"/>
      <c r="Z339" s="8"/>
      <c r="AA339" s="8"/>
    </row>
    <row r="340">
      <c r="A340" s="8"/>
      <c r="B340" s="8"/>
      <c r="C340" s="8"/>
      <c r="D340" s="8"/>
      <c r="E340" s="8"/>
      <c r="F340" s="8"/>
      <c r="G340" s="8"/>
      <c r="H340" s="8"/>
      <c r="I340" s="8"/>
      <c r="J340" s="215"/>
      <c r="K340" s="126"/>
      <c r="L340" s="126"/>
      <c r="M340" s="126"/>
      <c r="N340" s="126"/>
      <c r="O340" s="8"/>
      <c r="P340" s="8"/>
      <c r="Q340" s="129"/>
      <c r="R340" s="1369"/>
      <c r="S340" s="126"/>
      <c r="T340" s="8"/>
      <c r="U340" s="1359"/>
      <c r="V340" s="8"/>
      <c r="W340" s="8"/>
      <c r="X340" s="8"/>
      <c r="Y340" s="8"/>
      <c r="Z340" s="8"/>
      <c r="AA340" s="8"/>
    </row>
    <row r="341">
      <c r="A341" s="8"/>
      <c r="B341" s="8"/>
      <c r="C341" s="8"/>
      <c r="D341" s="8"/>
      <c r="E341" s="8"/>
      <c r="F341" s="8"/>
      <c r="G341" s="8"/>
      <c r="H341" s="8"/>
      <c r="I341" s="8"/>
      <c r="J341" s="215"/>
      <c r="K341" s="126"/>
      <c r="L341" s="126"/>
      <c r="M341" s="126"/>
      <c r="N341" s="126"/>
      <c r="O341" s="8"/>
      <c r="P341" s="8"/>
      <c r="Q341" s="129"/>
      <c r="R341" s="1369"/>
      <c r="S341" s="126"/>
      <c r="T341" s="8"/>
      <c r="U341" s="1359"/>
      <c r="V341" s="8"/>
      <c r="W341" s="8"/>
      <c r="X341" s="8"/>
      <c r="Y341" s="8"/>
      <c r="Z341" s="8"/>
      <c r="AA341" s="8"/>
    </row>
    <row r="342">
      <c r="A342" s="8"/>
      <c r="B342" s="8"/>
      <c r="C342" s="8"/>
      <c r="D342" s="8"/>
      <c r="E342" s="8"/>
      <c r="F342" s="8"/>
      <c r="G342" s="8"/>
      <c r="H342" s="8"/>
      <c r="I342" s="8"/>
      <c r="J342" s="215"/>
      <c r="K342" s="126"/>
      <c r="L342" s="126"/>
      <c r="M342" s="126"/>
      <c r="N342" s="126"/>
      <c r="O342" s="8"/>
      <c r="P342" s="8"/>
      <c r="Q342" s="129"/>
      <c r="R342" s="1369"/>
      <c r="S342" s="126"/>
      <c r="T342" s="8"/>
      <c r="U342" s="1359"/>
      <c r="V342" s="8"/>
      <c r="W342" s="8"/>
      <c r="X342" s="8"/>
      <c r="Y342" s="8"/>
      <c r="Z342" s="8"/>
      <c r="AA342" s="8"/>
    </row>
    <row r="343">
      <c r="A343" s="8"/>
      <c r="B343" s="8"/>
      <c r="C343" s="8"/>
      <c r="D343" s="8"/>
      <c r="E343" s="8"/>
      <c r="F343" s="8"/>
      <c r="G343" s="8"/>
      <c r="H343" s="8"/>
      <c r="I343" s="8"/>
      <c r="J343" s="215"/>
      <c r="K343" s="126"/>
      <c r="L343" s="126"/>
      <c r="M343" s="126"/>
      <c r="N343" s="126"/>
      <c r="O343" s="8"/>
      <c r="P343" s="8"/>
      <c r="Q343" s="129"/>
      <c r="R343" s="1369"/>
      <c r="S343" s="126"/>
      <c r="T343" s="8"/>
      <c r="U343" s="1359"/>
      <c r="V343" s="8"/>
      <c r="W343" s="8"/>
      <c r="X343" s="8"/>
      <c r="Y343" s="8"/>
      <c r="Z343" s="8"/>
      <c r="AA343" s="8"/>
    </row>
    <row r="344">
      <c r="A344" s="8"/>
      <c r="B344" s="8"/>
      <c r="C344" s="8"/>
      <c r="D344" s="8"/>
      <c r="E344" s="8"/>
      <c r="F344" s="8"/>
      <c r="G344" s="8"/>
      <c r="H344" s="8"/>
      <c r="I344" s="8"/>
      <c r="J344" s="215"/>
      <c r="K344" s="126"/>
      <c r="L344" s="126"/>
      <c r="M344" s="126"/>
      <c r="N344" s="126"/>
      <c r="O344" s="8"/>
      <c r="P344" s="8"/>
      <c r="Q344" s="129"/>
      <c r="R344" s="1369"/>
      <c r="S344" s="126"/>
      <c r="T344" s="8"/>
      <c r="U344" s="1359"/>
      <c r="V344" s="8"/>
      <c r="W344" s="8"/>
      <c r="X344" s="8"/>
      <c r="Y344" s="8"/>
      <c r="Z344" s="8"/>
      <c r="AA344" s="8"/>
    </row>
    <row r="345">
      <c r="A345" s="8"/>
      <c r="B345" s="8"/>
      <c r="C345" s="8"/>
      <c r="D345" s="8"/>
      <c r="E345" s="8"/>
      <c r="F345" s="8"/>
      <c r="G345" s="8"/>
      <c r="H345" s="8"/>
      <c r="I345" s="8"/>
      <c r="J345" s="215"/>
      <c r="K345" s="126"/>
      <c r="L345" s="126"/>
      <c r="M345" s="126"/>
      <c r="N345" s="126"/>
      <c r="O345" s="8"/>
      <c r="P345" s="8"/>
      <c r="Q345" s="129"/>
      <c r="R345" s="1369"/>
      <c r="S345" s="126"/>
      <c r="T345" s="8"/>
      <c r="U345" s="1359"/>
      <c r="V345" s="8"/>
      <c r="W345" s="8"/>
      <c r="X345" s="8"/>
      <c r="Y345" s="8"/>
      <c r="Z345" s="8"/>
      <c r="AA345" s="8"/>
    </row>
    <row r="346">
      <c r="A346" s="8"/>
      <c r="B346" s="8"/>
      <c r="C346" s="8"/>
      <c r="D346" s="8"/>
      <c r="E346" s="8"/>
      <c r="F346" s="8"/>
      <c r="G346" s="8"/>
      <c r="H346" s="8"/>
      <c r="I346" s="8"/>
      <c r="J346" s="215"/>
      <c r="K346" s="126"/>
      <c r="L346" s="126"/>
      <c r="M346" s="126"/>
      <c r="N346" s="126"/>
      <c r="O346" s="8"/>
      <c r="P346" s="8"/>
      <c r="Q346" s="129"/>
      <c r="R346" s="1369"/>
      <c r="S346" s="126"/>
      <c r="T346" s="8"/>
      <c r="U346" s="1359"/>
      <c r="V346" s="8"/>
      <c r="W346" s="8"/>
      <c r="X346" s="8"/>
      <c r="Y346" s="8"/>
      <c r="Z346" s="8"/>
      <c r="AA346" s="8"/>
    </row>
    <row r="347">
      <c r="A347" s="8"/>
      <c r="B347" s="8"/>
      <c r="C347" s="8"/>
      <c r="D347" s="8"/>
      <c r="E347" s="8"/>
      <c r="F347" s="8"/>
      <c r="G347" s="8"/>
      <c r="H347" s="8"/>
      <c r="I347" s="8"/>
      <c r="J347" s="215"/>
      <c r="K347" s="126"/>
      <c r="L347" s="126"/>
      <c r="M347" s="126"/>
      <c r="N347" s="126"/>
      <c r="O347" s="8"/>
      <c r="P347" s="8"/>
      <c r="Q347" s="129"/>
      <c r="R347" s="1369"/>
      <c r="S347" s="126"/>
      <c r="T347" s="8"/>
      <c r="U347" s="1359"/>
      <c r="V347" s="8"/>
      <c r="W347" s="8"/>
      <c r="X347" s="8"/>
      <c r="Y347" s="8"/>
      <c r="Z347" s="8"/>
      <c r="AA347" s="8"/>
    </row>
    <row r="348">
      <c r="A348" s="8"/>
      <c r="B348" s="8"/>
      <c r="C348" s="8"/>
      <c r="D348" s="8"/>
      <c r="E348" s="8"/>
      <c r="F348" s="8"/>
      <c r="G348" s="8"/>
      <c r="H348" s="8"/>
      <c r="I348" s="8"/>
      <c r="J348" s="215"/>
      <c r="K348" s="126"/>
      <c r="L348" s="126"/>
      <c r="M348" s="126"/>
      <c r="N348" s="126"/>
      <c r="O348" s="8"/>
      <c r="P348" s="8"/>
      <c r="Q348" s="129"/>
      <c r="R348" s="1369"/>
      <c r="S348" s="126"/>
      <c r="T348" s="8"/>
      <c r="U348" s="1359"/>
      <c r="V348" s="8"/>
      <c r="W348" s="8"/>
      <c r="X348" s="8"/>
      <c r="Y348" s="8"/>
      <c r="Z348" s="8"/>
      <c r="AA348" s="8"/>
    </row>
    <row r="349">
      <c r="A349" s="8"/>
      <c r="B349" s="8"/>
      <c r="C349" s="8"/>
      <c r="D349" s="8"/>
      <c r="E349" s="8"/>
      <c r="F349" s="8"/>
      <c r="G349" s="8"/>
      <c r="H349" s="8"/>
      <c r="I349" s="8"/>
      <c r="J349" s="215"/>
      <c r="K349" s="126"/>
      <c r="L349" s="126"/>
      <c r="M349" s="126"/>
      <c r="N349" s="126"/>
      <c r="O349" s="8"/>
      <c r="P349" s="8"/>
      <c r="Q349" s="129"/>
      <c r="R349" s="1369"/>
      <c r="S349" s="126"/>
      <c r="T349" s="8"/>
      <c r="U349" s="1359"/>
      <c r="V349" s="8"/>
      <c r="W349" s="8"/>
      <c r="X349" s="8"/>
      <c r="Y349" s="8"/>
      <c r="Z349" s="8"/>
      <c r="AA349" s="8"/>
    </row>
    <row r="350">
      <c r="A350" s="8"/>
      <c r="B350" s="8"/>
      <c r="C350" s="8"/>
      <c r="D350" s="8"/>
      <c r="E350" s="8"/>
      <c r="F350" s="8"/>
      <c r="G350" s="8"/>
      <c r="H350" s="8"/>
      <c r="I350" s="8"/>
      <c r="J350" s="215"/>
      <c r="K350" s="126"/>
      <c r="L350" s="126"/>
      <c r="M350" s="126"/>
      <c r="N350" s="126"/>
      <c r="O350" s="8"/>
      <c r="P350" s="8"/>
      <c r="Q350" s="129"/>
      <c r="R350" s="1369"/>
      <c r="S350" s="126"/>
      <c r="T350" s="8"/>
      <c r="U350" s="1359"/>
      <c r="V350" s="8"/>
      <c r="W350" s="8"/>
      <c r="X350" s="8"/>
      <c r="Y350" s="8"/>
      <c r="Z350" s="8"/>
      <c r="AA350" s="8"/>
    </row>
    <row r="351">
      <c r="A351" s="8"/>
      <c r="B351" s="8"/>
      <c r="C351" s="8"/>
      <c r="D351" s="8"/>
      <c r="E351" s="8"/>
      <c r="F351" s="8"/>
      <c r="G351" s="8"/>
      <c r="H351" s="8"/>
      <c r="I351" s="8"/>
      <c r="J351" s="215"/>
      <c r="K351" s="126"/>
      <c r="L351" s="126"/>
      <c r="M351" s="126"/>
      <c r="N351" s="126"/>
      <c r="O351" s="8"/>
      <c r="P351" s="8"/>
      <c r="Q351" s="129"/>
      <c r="R351" s="1369"/>
      <c r="S351" s="126"/>
      <c r="T351" s="8"/>
      <c r="U351" s="1359"/>
      <c r="V351" s="8"/>
      <c r="W351" s="8"/>
      <c r="X351" s="8"/>
      <c r="Y351" s="8"/>
      <c r="Z351" s="8"/>
      <c r="AA351" s="8"/>
    </row>
    <row r="352">
      <c r="A352" s="8"/>
      <c r="B352" s="8"/>
      <c r="C352" s="8"/>
      <c r="D352" s="8"/>
      <c r="E352" s="8"/>
      <c r="F352" s="8"/>
      <c r="G352" s="8"/>
      <c r="H352" s="8"/>
      <c r="I352" s="8"/>
      <c r="J352" s="215"/>
      <c r="K352" s="126"/>
      <c r="L352" s="126"/>
      <c r="M352" s="126"/>
      <c r="N352" s="126"/>
      <c r="O352" s="8"/>
      <c r="P352" s="8"/>
      <c r="Q352" s="129"/>
      <c r="R352" s="1369"/>
      <c r="S352" s="126"/>
      <c r="T352" s="8"/>
      <c r="U352" s="1359"/>
      <c r="V352" s="8"/>
      <c r="W352" s="8"/>
      <c r="X352" s="8"/>
      <c r="Y352" s="8"/>
      <c r="Z352" s="8"/>
      <c r="AA352" s="8"/>
    </row>
    <row r="353">
      <c r="A353" s="8"/>
      <c r="B353" s="8"/>
      <c r="C353" s="8"/>
      <c r="D353" s="8"/>
      <c r="E353" s="8"/>
      <c r="F353" s="8"/>
      <c r="G353" s="8"/>
      <c r="H353" s="8"/>
      <c r="I353" s="8"/>
      <c r="J353" s="215"/>
      <c r="K353" s="126"/>
      <c r="L353" s="126"/>
      <c r="M353" s="126"/>
      <c r="N353" s="126"/>
      <c r="O353" s="8"/>
      <c r="P353" s="8"/>
      <c r="Q353" s="129"/>
      <c r="R353" s="1369"/>
      <c r="S353" s="126"/>
      <c r="T353" s="8"/>
      <c r="U353" s="1359"/>
      <c r="V353" s="8"/>
      <c r="W353" s="8"/>
      <c r="X353" s="8"/>
      <c r="Y353" s="8"/>
      <c r="Z353" s="8"/>
      <c r="AA353" s="8"/>
    </row>
    <row r="354">
      <c r="A354" s="8"/>
      <c r="B354" s="8"/>
      <c r="C354" s="8"/>
      <c r="D354" s="8"/>
      <c r="E354" s="8"/>
      <c r="F354" s="8"/>
      <c r="G354" s="8"/>
      <c r="H354" s="8"/>
      <c r="I354" s="8"/>
      <c r="J354" s="215"/>
      <c r="K354" s="126"/>
      <c r="L354" s="126"/>
      <c r="M354" s="126"/>
      <c r="N354" s="126"/>
      <c r="O354" s="8"/>
      <c r="P354" s="8"/>
      <c r="Q354" s="129"/>
      <c r="R354" s="1369"/>
      <c r="S354" s="126"/>
      <c r="T354" s="8"/>
      <c r="U354" s="1359"/>
      <c r="V354" s="8"/>
      <c r="W354" s="8"/>
      <c r="X354" s="8"/>
      <c r="Y354" s="8"/>
      <c r="Z354" s="8"/>
      <c r="AA354" s="8"/>
    </row>
    <row r="355">
      <c r="A355" s="8"/>
      <c r="B355" s="8"/>
      <c r="C355" s="8"/>
      <c r="D355" s="8"/>
      <c r="E355" s="8"/>
      <c r="F355" s="8"/>
      <c r="G355" s="8"/>
      <c r="H355" s="8"/>
      <c r="I355" s="8"/>
      <c r="J355" s="215"/>
      <c r="K355" s="126"/>
      <c r="L355" s="126"/>
      <c r="M355" s="126"/>
      <c r="N355" s="126"/>
      <c r="O355" s="8"/>
      <c r="P355" s="8"/>
      <c r="Q355" s="129"/>
      <c r="R355" s="1369"/>
      <c r="S355" s="126"/>
      <c r="T355" s="8"/>
      <c r="U355" s="1359"/>
      <c r="V355" s="8"/>
      <c r="W355" s="8"/>
      <c r="X355" s="8"/>
      <c r="Y355" s="8"/>
      <c r="Z355" s="8"/>
      <c r="AA355" s="8"/>
    </row>
    <row r="356">
      <c r="A356" s="8"/>
      <c r="B356" s="8"/>
      <c r="C356" s="8"/>
      <c r="D356" s="8"/>
      <c r="E356" s="8"/>
      <c r="F356" s="8"/>
      <c r="G356" s="8"/>
      <c r="H356" s="8"/>
      <c r="I356" s="8"/>
      <c r="J356" s="215"/>
      <c r="K356" s="126"/>
      <c r="L356" s="126"/>
      <c r="M356" s="126"/>
      <c r="N356" s="126"/>
      <c r="O356" s="8"/>
      <c r="P356" s="8"/>
      <c r="Q356" s="129"/>
      <c r="R356" s="1369"/>
      <c r="S356" s="126"/>
      <c r="T356" s="8"/>
      <c r="U356" s="1359"/>
      <c r="V356" s="8"/>
      <c r="W356" s="8"/>
      <c r="X356" s="8"/>
      <c r="Y356" s="8"/>
      <c r="Z356" s="8"/>
      <c r="AA356" s="8"/>
    </row>
    <row r="357">
      <c r="A357" s="8"/>
      <c r="B357" s="8"/>
      <c r="C357" s="8"/>
      <c r="D357" s="8"/>
      <c r="E357" s="8"/>
      <c r="F357" s="8"/>
      <c r="G357" s="8"/>
      <c r="H357" s="8"/>
      <c r="I357" s="8"/>
      <c r="J357" s="215"/>
      <c r="K357" s="126"/>
      <c r="L357" s="126"/>
      <c r="M357" s="126"/>
      <c r="N357" s="126"/>
      <c r="O357" s="8"/>
      <c r="P357" s="8"/>
      <c r="Q357" s="129"/>
      <c r="R357" s="1369"/>
      <c r="S357" s="126"/>
      <c r="T357" s="8"/>
      <c r="U357" s="1359"/>
      <c r="V357" s="8"/>
      <c r="W357" s="8"/>
      <c r="X357" s="8"/>
      <c r="Y357" s="8"/>
      <c r="Z357" s="8"/>
      <c r="AA357" s="8"/>
    </row>
    <row r="358">
      <c r="A358" s="8"/>
      <c r="B358" s="8"/>
      <c r="C358" s="8"/>
      <c r="D358" s="8"/>
      <c r="E358" s="8"/>
      <c r="F358" s="8"/>
      <c r="G358" s="8"/>
      <c r="H358" s="8"/>
      <c r="I358" s="8"/>
      <c r="J358" s="215"/>
      <c r="K358" s="126"/>
      <c r="L358" s="126"/>
      <c r="M358" s="126"/>
      <c r="N358" s="126"/>
      <c r="O358" s="8"/>
      <c r="P358" s="8"/>
      <c r="Q358" s="129"/>
      <c r="R358" s="1369"/>
      <c r="S358" s="126"/>
      <c r="T358" s="8"/>
      <c r="U358" s="1359"/>
      <c r="V358" s="8"/>
      <c r="W358" s="8"/>
      <c r="X358" s="8"/>
      <c r="Y358" s="8"/>
      <c r="Z358" s="8"/>
      <c r="AA358" s="8"/>
    </row>
    <row r="359">
      <c r="A359" s="8"/>
      <c r="B359" s="8"/>
      <c r="C359" s="8"/>
      <c r="D359" s="8"/>
      <c r="E359" s="8"/>
      <c r="F359" s="8"/>
      <c r="G359" s="8"/>
      <c r="H359" s="8"/>
      <c r="I359" s="8"/>
      <c r="J359" s="215"/>
      <c r="K359" s="126"/>
      <c r="L359" s="126"/>
      <c r="M359" s="126"/>
      <c r="N359" s="126"/>
      <c r="O359" s="8"/>
      <c r="P359" s="8"/>
      <c r="Q359" s="129"/>
      <c r="R359" s="1369"/>
      <c r="S359" s="126"/>
      <c r="T359" s="8"/>
      <c r="U359" s="1359"/>
      <c r="V359" s="8"/>
      <c r="W359" s="8"/>
      <c r="X359" s="8"/>
      <c r="Y359" s="8"/>
      <c r="Z359" s="8"/>
      <c r="AA359" s="8"/>
    </row>
    <row r="360">
      <c r="A360" s="8"/>
      <c r="B360" s="8"/>
      <c r="C360" s="8"/>
      <c r="D360" s="8"/>
      <c r="E360" s="8"/>
      <c r="F360" s="8"/>
      <c r="G360" s="8"/>
      <c r="H360" s="8"/>
      <c r="I360" s="8"/>
      <c r="J360" s="215"/>
      <c r="K360" s="126"/>
      <c r="L360" s="126"/>
      <c r="M360" s="126"/>
      <c r="N360" s="126"/>
      <c r="O360" s="8"/>
      <c r="P360" s="8"/>
      <c r="Q360" s="129"/>
      <c r="R360" s="1369"/>
      <c r="S360" s="126"/>
      <c r="T360" s="8"/>
      <c r="U360" s="1359"/>
      <c r="V360" s="8"/>
      <c r="W360" s="8"/>
      <c r="X360" s="8"/>
      <c r="Y360" s="8"/>
      <c r="Z360" s="8"/>
      <c r="AA360" s="8"/>
    </row>
    <row r="361">
      <c r="A361" s="8"/>
      <c r="B361" s="8"/>
      <c r="C361" s="8"/>
      <c r="D361" s="8"/>
      <c r="E361" s="8"/>
      <c r="F361" s="8"/>
      <c r="G361" s="8"/>
      <c r="H361" s="8"/>
      <c r="I361" s="8"/>
      <c r="J361" s="215"/>
      <c r="K361" s="126"/>
      <c r="L361" s="126"/>
      <c r="M361" s="126"/>
      <c r="N361" s="126"/>
      <c r="O361" s="8"/>
      <c r="P361" s="8"/>
      <c r="Q361" s="129"/>
      <c r="R361" s="1369"/>
      <c r="S361" s="126"/>
      <c r="T361" s="8"/>
      <c r="U361" s="1359"/>
      <c r="V361" s="8"/>
      <c r="W361" s="8"/>
      <c r="X361" s="8"/>
      <c r="Y361" s="8"/>
      <c r="Z361" s="8"/>
      <c r="AA361" s="8"/>
    </row>
    <row r="362">
      <c r="A362" s="8"/>
      <c r="B362" s="8"/>
      <c r="C362" s="8"/>
      <c r="D362" s="8"/>
      <c r="E362" s="8"/>
      <c r="F362" s="8"/>
      <c r="G362" s="8"/>
      <c r="H362" s="8"/>
      <c r="I362" s="8"/>
      <c r="J362" s="215"/>
      <c r="K362" s="126"/>
      <c r="L362" s="126"/>
      <c r="M362" s="126"/>
      <c r="N362" s="126"/>
      <c r="O362" s="8"/>
      <c r="P362" s="8"/>
      <c r="Q362" s="129"/>
      <c r="R362" s="1369"/>
      <c r="S362" s="126"/>
      <c r="T362" s="8"/>
      <c r="U362" s="1359"/>
      <c r="V362" s="8"/>
      <c r="W362" s="8"/>
      <c r="X362" s="8"/>
      <c r="Y362" s="8"/>
      <c r="Z362" s="8"/>
      <c r="AA362" s="8"/>
    </row>
    <row r="363">
      <c r="A363" s="8"/>
      <c r="B363" s="8"/>
      <c r="C363" s="8"/>
      <c r="D363" s="8"/>
      <c r="E363" s="8"/>
      <c r="F363" s="8"/>
      <c r="G363" s="8"/>
      <c r="H363" s="8"/>
      <c r="I363" s="8"/>
      <c r="J363" s="215"/>
      <c r="K363" s="126"/>
      <c r="L363" s="126"/>
      <c r="M363" s="126"/>
      <c r="N363" s="126"/>
      <c r="O363" s="8"/>
      <c r="P363" s="8"/>
      <c r="Q363" s="129"/>
      <c r="R363" s="1369"/>
      <c r="S363" s="126"/>
      <c r="T363" s="8"/>
      <c r="U363" s="1359"/>
      <c r="V363" s="8"/>
      <c r="W363" s="8"/>
      <c r="X363" s="8"/>
      <c r="Y363" s="8"/>
      <c r="Z363" s="8"/>
      <c r="AA363" s="8"/>
    </row>
    <row r="364">
      <c r="A364" s="8"/>
      <c r="B364" s="8"/>
      <c r="C364" s="8"/>
      <c r="D364" s="8"/>
      <c r="E364" s="8"/>
      <c r="F364" s="8"/>
      <c r="G364" s="8"/>
      <c r="H364" s="8"/>
      <c r="I364" s="8"/>
      <c r="J364" s="215"/>
      <c r="K364" s="126"/>
      <c r="L364" s="126"/>
      <c r="M364" s="126"/>
      <c r="N364" s="126"/>
      <c r="O364" s="8"/>
      <c r="P364" s="8"/>
      <c r="Q364" s="129"/>
      <c r="R364" s="1369"/>
      <c r="S364" s="126"/>
      <c r="T364" s="8"/>
      <c r="U364" s="1359"/>
      <c r="V364" s="8"/>
      <c r="W364" s="8"/>
      <c r="X364" s="8"/>
      <c r="Y364" s="8"/>
      <c r="Z364" s="8"/>
      <c r="AA364" s="8"/>
    </row>
    <row r="365">
      <c r="A365" s="8"/>
      <c r="B365" s="8"/>
      <c r="C365" s="8"/>
      <c r="D365" s="8"/>
      <c r="E365" s="8"/>
      <c r="F365" s="8"/>
      <c r="G365" s="8"/>
      <c r="H365" s="8"/>
      <c r="I365" s="8"/>
      <c r="J365" s="215"/>
      <c r="K365" s="126"/>
      <c r="L365" s="126"/>
      <c r="M365" s="126"/>
      <c r="N365" s="126"/>
      <c r="O365" s="8"/>
      <c r="P365" s="8"/>
      <c r="Q365" s="129"/>
      <c r="R365" s="1369"/>
      <c r="S365" s="126"/>
      <c r="T365" s="8"/>
      <c r="U365" s="1359"/>
      <c r="V365" s="8"/>
      <c r="W365" s="8"/>
      <c r="X365" s="8"/>
      <c r="Y365" s="8"/>
      <c r="Z365" s="8"/>
      <c r="AA365" s="8"/>
    </row>
    <row r="366">
      <c r="A366" s="8"/>
      <c r="B366" s="8"/>
      <c r="C366" s="8"/>
      <c r="D366" s="8"/>
      <c r="E366" s="8"/>
      <c r="F366" s="8"/>
      <c r="G366" s="8"/>
      <c r="H366" s="8"/>
      <c r="I366" s="8"/>
      <c r="J366" s="215"/>
      <c r="K366" s="126"/>
      <c r="L366" s="126"/>
      <c r="M366" s="126"/>
      <c r="N366" s="126"/>
      <c r="O366" s="8"/>
      <c r="P366" s="8"/>
      <c r="Q366" s="129"/>
      <c r="R366" s="1369"/>
      <c r="S366" s="126"/>
      <c r="T366" s="8"/>
      <c r="U366" s="1359"/>
      <c r="V366" s="8"/>
      <c r="W366" s="8"/>
      <c r="X366" s="8"/>
      <c r="Y366" s="8"/>
      <c r="Z366" s="8"/>
      <c r="AA366" s="8"/>
    </row>
    <row r="367">
      <c r="A367" s="8"/>
      <c r="B367" s="8"/>
      <c r="C367" s="8"/>
      <c r="D367" s="8"/>
      <c r="E367" s="8"/>
      <c r="F367" s="8"/>
      <c r="G367" s="8"/>
      <c r="H367" s="8"/>
      <c r="I367" s="8"/>
      <c r="J367" s="215"/>
      <c r="K367" s="126"/>
      <c r="L367" s="126"/>
      <c r="M367" s="126"/>
      <c r="N367" s="126"/>
      <c r="O367" s="8"/>
      <c r="P367" s="8"/>
      <c r="Q367" s="129"/>
      <c r="R367" s="1369"/>
      <c r="S367" s="126"/>
      <c r="T367" s="8"/>
      <c r="U367" s="1359"/>
      <c r="V367" s="8"/>
      <c r="W367" s="8"/>
      <c r="X367" s="8"/>
      <c r="Y367" s="8"/>
      <c r="Z367" s="8"/>
      <c r="AA367" s="8"/>
    </row>
    <row r="368">
      <c r="A368" s="8"/>
      <c r="B368" s="8"/>
      <c r="C368" s="8"/>
      <c r="D368" s="8"/>
      <c r="E368" s="8"/>
      <c r="F368" s="8"/>
      <c r="G368" s="8"/>
      <c r="H368" s="8"/>
      <c r="I368" s="8"/>
      <c r="J368" s="215"/>
      <c r="K368" s="126"/>
      <c r="L368" s="126"/>
      <c r="M368" s="126"/>
      <c r="N368" s="126"/>
      <c r="O368" s="8"/>
      <c r="P368" s="8"/>
      <c r="Q368" s="129"/>
      <c r="R368" s="1369"/>
      <c r="S368" s="126"/>
      <c r="T368" s="8"/>
      <c r="U368" s="1359"/>
      <c r="V368" s="8"/>
      <c r="W368" s="8"/>
      <c r="X368" s="8"/>
      <c r="Y368" s="8"/>
      <c r="Z368" s="8"/>
      <c r="AA368" s="8"/>
    </row>
    <row r="369">
      <c r="A369" s="8"/>
      <c r="B369" s="8"/>
      <c r="C369" s="8"/>
      <c r="D369" s="8"/>
      <c r="E369" s="8"/>
      <c r="F369" s="8"/>
      <c r="G369" s="8"/>
      <c r="H369" s="8"/>
      <c r="I369" s="8"/>
      <c r="J369" s="215"/>
      <c r="K369" s="126"/>
      <c r="L369" s="126"/>
      <c r="M369" s="126"/>
      <c r="N369" s="126"/>
      <c r="O369" s="8"/>
      <c r="P369" s="8"/>
      <c r="Q369" s="129"/>
      <c r="R369" s="1369"/>
      <c r="S369" s="126"/>
      <c r="T369" s="8"/>
      <c r="U369" s="1359"/>
      <c r="V369" s="8"/>
      <c r="W369" s="8"/>
      <c r="X369" s="8"/>
      <c r="Y369" s="8"/>
      <c r="Z369" s="8"/>
      <c r="AA369" s="8"/>
    </row>
    <row r="370">
      <c r="A370" s="8"/>
      <c r="B370" s="8"/>
      <c r="C370" s="8"/>
      <c r="D370" s="8"/>
      <c r="E370" s="8"/>
      <c r="F370" s="8"/>
      <c r="G370" s="8"/>
      <c r="H370" s="8"/>
      <c r="I370" s="8"/>
      <c r="J370" s="215"/>
      <c r="K370" s="126"/>
      <c r="L370" s="126"/>
      <c r="M370" s="126"/>
      <c r="N370" s="126"/>
      <c r="O370" s="8"/>
      <c r="P370" s="8"/>
      <c r="Q370" s="129"/>
      <c r="R370" s="1369"/>
      <c r="S370" s="126"/>
      <c r="T370" s="8"/>
      <c r="U370" s="1359"/>
      <c r="V370" s="8"/>
      <c r="W370" s="8"/>
      <c r="X370" s="8"/>
      <c r="Y370" s="8"/>
      <c r="Z370" s="8"/>
      <c r="AA370" s="8"/>
    </row>
    <row r="371">
      <c r="A371" s="8"/>
      <c r="B371" s="8"/>
      <c r="C371" s="8"/>
      <c r="D371" s="8"/>
      <c r="E371" s="8"/>
      <c r="F371" s="8"/>
      <c r="G371" s="8"/>
      <c r="H371" s="8"/>
      <c r="I371" s="8"/>
      <c r="J371" s="215"/>
      <c r="K371" s="126"/>
      <c r="L371" s="126"/>
      <c r="M371" s="126"/>
      <c r="N371" s="126"/>
      <c r="O371" s="8"/>
      <c r="P371" s="8"/>
      <c r="Q371" s="129"/>
      <c r="R371" s="1369"/>
      <c r="S371" s="126"/>
      <c r="T371" s="8"/>
      <c r="U371" s="1359"/>
      <c r="V371" s="8"/>
      <c r="W371" s="8"/>
      <c r="X371" s="8"/>
      <c r="Y371" s="8"/>
      <c r="Z371" s="8"/>
      <c r="AA371" s="8"/>
    </row>
    <row r="372">
      <c r="A372" s="8"/>
      <c r="B372" s="8"/>
      <c r="C372" s="8"/>
      <c r="D372" s="8"/>
      <c r="E372" s="8"/>
      <c r="F372" s="8"/>
      <c r="G372" s="8"/>
      <c r="H372" s="8"/>
      <c r="I372" s="8"/>
      <c r="J372" s="215"/>
      <c r="K372" s="126"/>
      <c r="L372" s="126"/>
      <c r="M372" s="126"/>
      <c r="N372" s="126"/>
      <c r="O372" s="8"/>
      <c r="P372" s="8"/>
      <c r="Q372" s="129"/>
      <c r="R372" s="1369"/>
      <c r="S372" s="126"/>
      <c r="T372" s="8"/>
      <c r="U372" s="1359"/>
      <c r="V372" s="8"/>
      <c r="W372" s="8"/>
      <c r="X372" s="8"/>
      <c r="Y372" s="8"/>
      <c r="Z372" s="8"/>
      <c r="AA372" s="8"/>
    </row>
    <row r="373">
      <c r="A373" s="8"/>
      <c r="B373" s="8"/>
      <c r="C373" s="8"/>
      <c r="D373" s="8"/>
      <c r="E373" s="8"/>
      <c r="F373" s="8"/>
      <c r="G373" s="8"/>
      <c r="H373" s="8"/>
      <c r="I373" s="8"/>
      <c r="J373" s="215"/>
      <c r="K373" s="126"/>
      <c r="L373" s="126"/>
      <c r="M373" s="126"/>
      <c r="N373" s="126"/>
      <c r="O373" s="8"/>
      <c r="P373" s="8"/>
      <c r="Q373" s="129"/>
      <c r="R373" s="1369"/>
      <c r="S373" s="126"/>
      <c r="T373" s="8"/>
      <c r="U373" s="1359"/>
      <c r="V373" s="8"/>
      <c r="W373" s="8"/>
      <c r="X373" s="8"/>
      <c r="Y373" s="8"/>
      <c r="Z373" s="8"/>
      <c r="AA373" s="8"/>
    </row>
    <row r="374">
      <c r="A374" s="8"/>
      <c r="B374" s="8"/>
      <c r="C374" s="8"/>
      <c r="D374" s="8"/>
      <c r="E374" s="8"/>
      <c r="F374" s="8"/>
      <c r="G374" s="8"/>
      <c r="H374" s="8"/>
      <c r="I374" s="8"/>
      <c r="J374" s="215"/>
      <c r="K374" s="126"/>
      <c r="L374" s="126"/>
      <c r="M374" s="126"/>
      <c r="N374" s="126"/>
      <c r="O374" s="8"/>
      <c r="P374" s="8"/>
      <c r="Q374" s="129"/>
      <c r="R374" s="1369"/>
      <c r="S374" s="126"/>
      <c r="T374" s="8"/>
      <c r="U374" s="1359"/>
      <c r="V374" s="8"/>
      <c r="W374" s="8"/>
      <c r="X374" s="8"/>
      <c r="Y374" s="8"/>
      <c r="Z374" s="8"/>
      <c r="AA374" s="8"/>
    </row>
    <row r="375">
      <c r="A375" s="8"/>
      <c r="B375" s="8"/>
      <c r="C375" s="8"/>
      <c r="D375" s="8"/>
      <c r="E375" s="8"/>
      <c r="F375" s="8"/>
      <c r="G375" s="8"/>
      <c r="H375" s="8"/>
      <c r="I375" s="8"/>
      <c r="J375" s="215"/>
      <c r="K375" s="126"/>
      <c r="L375" s="126"/>
      <c r="M375" s="126"/>
      <c r="N375" s="126"/>
      <c r="O375" s="8"/>
      <c r="P375" s="8"/>
      <c r="Q375" s="129"/>
      <c r="R375" s="1369"/>
      <c r="S375" s="126"/>
      <c r="T375" s="8"/>
      <c r="U375" s="1359"/>
      <c r="V375" s="8"/>
      <c r="W375" s="8"/>
      <c r="X375" s="8"/>
      <c r="Y375" s="8"/>
      <c r="Z375" s="8"/>
      <c r="AA375" s="8"/>
    </row>
    <row r="376">
      <c r="A376" s="8"/>
      <c r="B376" s="8"/>
      <c r="C376" s="8"/>
      <c r="D376" s="8"/>
      <c r="E376" s="8"/>
      <c r="F376" s="8"/>
      <c r="G376" s="8"/>
      <c r="H376" s="8"/>
      <c r="I376" s="8"/>
      <c r="J376" s="215"/>
      <c r="K376" s="126"/>
      <c r="L376" s="126"/>
      <c r="M376" s="126"/>
      <c r="N376" s="126"/>
      <c r="O376" s="8"/>
      <c r="P376" s="8"/>
      <c r="Q376" s="129"/>
      <c r="R376" s="1369"/>
      <c r="S376" s="126"/>
      <c r="T376" s="8"/>
      <c r="U376" s="1359"/>
      <c r="V376" s="8"/>
      <c r="W376" s="8"/>
      <c r="X376" s="8"/>
      <c r="Y376" s="8"/>
      <c r="Z376" s="8"/>
      <c r="AA376" s="8"/>
    </row>
    <row r="377">
      <c r="A377" s="8"/>
      <c r="B377" s="8"/>
      <c r="C377" s="8"/>
      <c r="D377" s="8"/>
      <c r="E377" s="8"/>
      <c r="F377" s="8"/>
      <c r="G377" s="8"/>
      <c r="H377" s="8"/>
      <c r="I377" s="8"/>
      <c r="J377" s="215"/>
      <c r="K377" s="126"/>
      <c r="L377" s="126"/>
      <c r="M377" s="126"/>
      <c r="N377" s="126"/>
      <c r="O377" s="8"/>
      <c r="P377" s="8"/>
      <c r="Q377" s="129"/>
      <c r="R377" s="1369"/>
      <c r="S377" s="126"/>
      <c r="T377" s="8"/>
      <c r="U377" s="1359"/>
      <c r="V377" s="8"/>
      <c r="W377" s="8"/>
      <c r="X377" s="8"/>
      <c r="Y377" s="8"/>
      <c r="Z377" s="8"/>
      <c r="AA377" s="8"/>
    </row>
    <row r="378">
      <c r="A378" s="8"/>
      <c r="B378" s="8"/>
      <c r="C378" s="8"/>
      <c r="D378" s="8"/>
      <c r="E378" s="8"/>
      <c r="F378" s="8"/>
      <c r="G378" s="8"/>
      <c r="H378" s="8"/>
      <c r="I378" s="8"/>
      <c r="J378" s="215"/>
      <c r="K378" s="126"/>
      <c r="L378" s="126"/>
      <c r="M378" s="126"/>
      <c r="N378" s="126"/>
      <c r="O378" s="8"/>
      <c r="P378" s="8"/>
      <c r="Q378" s="129"/>
      <c r="R378" s="1369"/>
      <c r="S378" s="126"/>
      <c r="T378" s="8"/>
      <c r="U378" s="1359"/>
      <c r="V378" s="8"/>
      <c r="W378" s="8"/>
      <c r="X378" s="8"/>
      <c r="Y378" s="8"/>
      <c r="Z378" s="8"/>
      <c r="AA378" s="8"/>
    </row>
    <row r="379">
      <c r="A379" s="8"/>
      <c r="B379" s="8"/>
      <c r="C379" s="8"/>
      <c r="D379" s="8"/>
      <c r="E379" s="8"/>
      <c r="F379" s="8"/>
      <c r="G379" s="8"/>
      <c r="H379" s="8"/>
      <c r="I379" s="8"/>
      <c r="J379" s="215"/>
      <c r="K379" s="126"/>
      <c r="L379" s="126"/>
      <c r="M379" s="126"/>
      <c r="N379" s="126"/>
      <c r="O379" s="8"/>
      <c r="P379" s="8"/>
      <c r="Q379" s="129"/>
      <c r="R379" s="1369"/>
      <c r="S379" s="126"/>
      <c r="T379" s="8"/>
      <c r="U379" s="1359"/>
      <c r="V379" s="8"/>
      <c r="W379" s="8"/>
      <c r="X379" s="8"/>
      <c r="Y379" s="8"/>
      <c r="Z379" s="8"/>
      <c r="AA379" s="8"/>
    </row>
    <row r="380">
      <c r="A380" s="8"/>
      <c r="B380" s="8"/>
      <c r="C380" s="8"/>
      <c r="D380" s="8"/>
      <c r="E380" s="8"/>
      <c r="F380" s="8"/>
      <c r="G380" s="8"/>
      <c r="H380" s="8"/>
      <c r="I380" s="8"/>
      <c r="J380" s="215"/>
      <c r="K380" s="126"/>
      <c r="L380" s="126"/>
      <c r="M380" s="126"/>
      <c r="N380" s="126"/>
      <c r="O380" s="8"/>
      <c r="P380" s="8"/>
      <c r="Q380" s="129"/>
      <c r="R380" s="1369"/>
      <c r="S380" s="126"/>
      <c r="T380" s="8"/>
      <c r="U380" s="1359"/>
      <c r="V380" s="8"/>
      <c r="W380" s="8"/>
      <c r="X380" s="8"/>
      <c r="Y380" s="8"/>
      <c r="Z380" s="8"/>
      <c r="AA380" s="8"/>
    </row>
    <row r="381">
      <c r="A381" s="8"/>
      <c r="B381" s="8"/>
      <c r="C381" s="8"/>
      <c r="D381" s="8"/>
      <c r="E381" s="8"/>
      <c r="F381" s="8"/>
      <c r="G381" s="8"/>
      <c r="H381" s="8"/>
      <c r="I381" s="8"/>
      <c r="J381" s="215"/>
      <c r="K381" s="126"/>
      <c r="L381" s="126"/>
      <c r="M381" s="126"/>
      <c r="N381" s="126"/>
      <c r="O381" s="8"/>
      <c r="P381" s="8"/>
      <c r="Q381" s="129"/>
      <c r="R381" s="1369"/>
      <c r="S381" s="126"/>
      <c r="T381" s="8"/>
      <c r="U381" s="1359"/>
      <c r="V381" s="8"/>
      <c r="W381" s="8"/>
      <c r="X381" s="8"/>
      <c r="Y381" s="8"/>
      <c r="Z381" s="8"/>
      <c r="AA381" s="8"/>
    </row>
    <row r="382">
      <c r="A382" s="8"/>
      <c r="B382" s="8"/>
      <c r="C382" s="8"/>
      <c r="D382" s="8"/>
      <c r="E382" s="8"/>
      <c r="F382" s="8"/>
      <c r="G382" s="8"/>
      <c r="H382" s="8"/>
      <c r="I382" s="8"/>
      <c r="J382" s="215"/>
      <c r="K382" s="126"/>
      <c r="L382" s="126"/>
      <c r="M382" s="126"/>
      <c r="N382" s="126"/>
      <c r="O382" s="8"/>
      <c r="P382" s="8"/>
      <c r="Q382" s="129"/>
      <c r="R382" s="1369"/>
      <c r="S382" s="126"/>
      <c r="T382" s="8"/>
      <c r="U382" s="1359"/>
      <c r="V382" s="8"/>
      <c r="W382" s="8"/>
      <c r="X382" s="8"/>
      <c r="Y382" s="8"/>
      <c r="Z382" s="8"/>
      <c r="AA382" s="8"/>
    </row>
    <row r="383">
      <c r="A383" s="8"/>
      <c r="B383" s="8"/>
      <c r="C383" s="8"/>
      <c r="D383" s="8"/>
      <c r="E383" s="8"/>
      <c r="F383" s="8"/>
      <c r="G383" s="8"/>
      <c r="H383" s="8"/>
      <c r="I383" s="8"/>
      <c r="J383" s="215"/>
      <c r="K383" s="126"/>
      <c r="L383" s="126"/>
      <c r="M383" s="126"/>
      <c r="N383" s="126"/>
      <c r="O383" s="8"/>
      <c r="P383" s="8"/>
      <c r="Q383" s="129"/>
      <c r="R383" s="1369"/>
      <c r="S383" s="126"/>
      <c r="T383" s="8"/>
      <c r="U383" s="1359"/>
      <c r="V383" s="8"/>
      <c r="W383" s="8"/>
      <c r="X383" s="8"/>
      <c r="Y383" s="8"/>
      <c r="Z383" s="8"/>
      <c r="AA383" s="8"/>
    </row>
    <row r="384">
      <c r="A384" s="8"/>
      <c r="B384" s="8"/>
      <c r="C384" s="8"/>
      <c r="D384" s="8"/>
      <c r="E384" s="8"/>
      <c r="F384" s="8"/>
      <c r="G384" s="8"/>
      <c r="H384" s="8"/>
      <c r="I384" s="8"/>
      <c r="J384" s="215"/>
      <c r="K384" s="126"/>
      <c r="L384" s="126"/>
      <c r="M384" s="126"/>
      <c r="N384" s="126"/>
      <c r="O384" s="8"/>
      <c r="P384" s="8"/>
      <c r="Q384" s="129"/>
      <c r="R384" s="1369"/>
      <c r="S384" s="126"/>
      <c r="T384" s="8"/>
      <c r="U384" s="1359"/>
      <c r="V384" s="8"/>
      <c r="W384" s="8"/>
      <c r="X384" s="8"/>
      <c r="Y384" s="8"/>
      <c r="Z384" s="8"/>
      <c r="AA384" s="8"/>
    </row>
    <row r="385">
      <c r="A385" s="8"/>
      <c r="B385" s="8"/>
      <c r="C385" s="8"/>
      <c r="D385" s="8"/>
      <c r="E385" s="8"/>
      <c r="F385" s="8"/>
      <c r="G385" s="8"/>
      <c r="H385" s="8"/>
      <c r="I385" s="8"/>
      <c r="J385" s="215"/>
      <c r="K385" s="126"/>
      <c r="L385" s="126"/>
      <c r="M385" s="126"/>
      <c r="N385" s="126"/>
      <c r="O385" s="8"/>
      <c r="P385" s="8"/>
      <c r="Q385" s="129"/>
      <c r="R385" s="1369"/>
      <c r="S385" s="126"/>
      <c r="T385" s="8"/>
      <c r="U385" s="1359"/>
      <c r="V385" s="8"/>
      <c r="W385" s="8"/>
      <c r="X385" s="8"/>
      <c r="Y385" s="8"/>
      <c r="Z385" s="8"/>
      <c r="AA385" s="8"/>
    </row>
    <row r="386">
      <c r="A386" s="8"/>
      <c r="B386" s="8"/>
      <c r="C386" s="8"/>
      <c r="D386" s="8"/>
      <c r="E386" s="8"/>
      <c r="F386" s="8"/>
      <c r="G386" s="8"/>
      <c r="H386" s="8"/>
      <c r="I386" s="8"/>
      <c r="J386" s="215"/>
      <c r="K386" s="126"/>
      <c r="L386" s="126"/>
      <c r="M386" s="126"/>
      <c r="N386" s="126"/>
      <c r="O386" s="8"/>
      <c r="P386" s="8"/>
      <c r="Q386" s="129"/>
      <c r="R386" s="1369"/>
      <c r="S386" s="126"/>
      <c r="T386" s="8"/>
      <c r="U386" s="1359"/>
      <c r="V386" s="8"/>
      <c r="W386" s="8"/>
      <c r="X386" s="8"/>
      <c r="Y386" s="8"/>
      <c r="Z386" s="8"/>
      <c r="AA386" s="8"/>
    </row>
    <row r="387">
      <c r="A387" s="8"/>
      <c r="B387" s="8"/>
      <c r="C387" s="8"/>
      <c r="D387" s="8"/>
      <c r="E387" s="8"/>
      <c r="F387" s="8"/>
      <c r="G387" s="8"/>
      <c r="H387" s="8"/>
      <c r="I387" s="8"/>
      <c r="J387" s="215"/>
      <c r="K387" s="126"/>
      <c r="L387" s="126"/>
      <c r="M387" s="126"/>
      <c r="N387" s="126"/>
      <c r="O387" s="8"/>
      <c r="P387" s="8"/>
      <c r="Q387" s="129"/>
      <c r="R387" s="1369"/>
      <c r="S387" s="126"/>
      <c r="T387" s="8"/>
      <c r="U387" s="1359"/>
      <c r="V387" s="8"/>
      <c r="W387" s="8"/>
      <c r="X387" s="8"/>
      <c r="Y387" s="8"/>
      <c r="Z387" s="8"/>
      <c r="AA387" s="8"/>
    </row>
    <row r="388">
      <c r="A388" s="8"/>
      <c r="B388" s="8"/>
      <c r="C388" s="8"/>
      <c r="D388" s="8"/>
      <c r="E388" s="8"/>
      <c r="F388" s="8"/>
      <c r="G388" s="8"/>
      <c r="H388" s="8"/>
      <c r="I388" s="8"/>
      <c r="J388" s="215"/>
      <c r="K388" s="126"/>
      <c r="L388" s="126"/>
      <c r="M388" s="126"/>
      <c r="N388" s="126"/>
      <c r="O388" s="8"/>
      <c r="P388" s="8"/>
      <c r="Q388" s="129"/>
      <c r="R388" s="1369"/>
      <c r="S388" s="126"/>
      <c r="T388" s="8"/>
      <c r="U388" s="1359"/>
      <c r="V388" s="8"/>
      <c r="W388" s="8"/>
      <c r="X388" s="8"/>
      <c r="Y388" s="8"/>
      <c r="Z388" s="8"/>
      <c r="AA388" s="8"/>
    </row>
    <row r="389">
      <c r="A389" s="8"/>
      <c r="B389" s="8"/>
      <c r="C389" s="8"/>
      <c r="D389" s="8"/>
      <c r="E389" s="8"/>
      <c r="F389" s="8"/>
      <c r="G389" s="8"/>
      <c r="H389" s="8"/>
      <c r="I389" s="8"/>
      <c r="J389" s="215"/>
      <c r="K389" s="126"/>
      <c r="L389" s="126"/>
      <c r="M389" s="126"/>
      <c r="N389" s="126"/>
      <c r="O389" s="8"/>
      <c r="P389" s="8"/>
      <c r="Q389" s="129"/>
      <c r="R389" s="1369"/>
      <c r="S389" s="126"/>
      <c r="T389" s="8"/>
      <c r="U389" s="1359"/>
      <c r="V389" s="8"/>
      <c r="W389" s="8"/>
      <c r="X389" s="8"/>
      <c r="Y389" s="8"/>
      <c r="Z389" s="8"/>
      <c r="AA389" s="8"/>
    </row>
    <row r="390">
      <c r="A390" s="8"/>
      <c r="B390" s="8"/>
      <c r="C390" s="8"/>
      <c r="D390" s="8"/>
      <c r="E390" s="8"/>
      <c r="F390" s="8"/>
      <c r="G390" s="8"/>
      <c r="H390" s="8"/>
      <c r="I390" s="8"/>
      <c r="J390" s="215"/>
      <c r="K390" s="126"/>
      <c r="L390" s="126"/>
      <c r="M390" s="126"/>
      <c r="N390" s="126"/>
      <c r="O390" s="8"/>
      <c r="P390" s="8"/>
      <c r="Q390" s="129"/>
      <c r="R390" s="1369"/>
      <c r="S390" s="126"/>
      <c r="T390" s="8"/>
      <c r="U390" s="1359"/>
      <c r="V390" s="8"/>
      <c r="W390" s="8"/>
      <c r="X390" s="8"/>
      <c r="Y390" s="8"/>
      <c r="Z390" s="8"/>
      <c r="AA390" s="8"/>
    </row>
    <row r="391">
      <c r="A391" s="8"/>
      <c r="B391" s="8"/>
      <c r="C391" s="8"/>
      <c r="D391" s="8"/>
      <c r="E391" s="8"/>
      <c r="F391" s="8"/>
      <c r="G391" s="8"/>
      <c r="H391" s="8"/>
      <c r="I391" s="8"/>
      <c r="J391" s="215"/>
      <c r="K391" s="126"/>
      <c r="L391" s="126"/>
      <c r="M391" s="126"/>
      <c r="N391" s="126"/>
      <c r="O391" s="8"/>
      <c r="P391" s="8"/>
      <c r="Q391" s="129"/>
      <c r="R391" s="1369"/>
      <c r="S391" s="126"/>
      <c r="T391" s="8"/>
      <c r="U391" s="1359"/>
      <c r="V391" s="8"/>
      <c r="W391" s="8"/>
      <c r="X391" s="8"/>
      <c r="Y391" s="8"/>
      <c r="Z391" s="8"/>
      <c r="AA391" s="8"/>
    </row>
    <row r="392">
      <c r="A392" s="8"/>
      <c r="B392" s="8"/>
      <c r="C392" s="8"/>
      <c r="D392" s="8"/>
      <c r="E392" s="8"/>
      <c r="F392" s="8"/>
      <c r="G392" s="8"/>
      <c r="H392" s="8"/>
      <c r="I392" s="8"/>
      <c r="J392" s="215"/>
      <c r="K392" s="126"/>
      <c r="L392" s="126"/>
      <c r="M392" s="126"/>
      <c r="N392" s="126"/>
      <c r="O392" s="8"/>
      <c r="P392" s="8"/>
      <c r="Q392" s="129"/>
      <c r="R392" s="1369"/>
      <c r="S392" s="126"/>
      <c r="T392" s="8"/>
      <c r="U392" s="1359"/>
      <c r="V392" s="8"/>
      <c r="W392" s="8"/>
      <c r="X392" s="8"/>
      <c r="Y392" s="8"/>
      <c r="Z392" s="8"/>
      <c r="AA392" s="8"/>
    </row>
    <row r="393">
      <c r="A393" s="8"/>
      <c r="B393" s="8"/>
      <c r="C393" s="8"/>
      <c r="D393" s="8"/>
      <c r="E393" s="8"/>
      <c r="F393" s="8"/>
      <c r="G393" s="8"/>
      <c r="H393" s="8"/>
      <c r="I393" s="8"/>
      <c r="J393" s="215"/>
      <c r="K393" s="126"/>
      <c r="L393" s="126"/>
      <c r="M393" s="126"/>
      <c r="N393" s="126"/>
      <c r="O393" s="8"/>
      <c r="P393" s="8"/>
      <c r="Q393" s="129"/>
      <c r="R393" s="1369"/>
      <c r="S393" s="126"/>
      <c r="T393" s="8"/>
      <c r="U393" s="1359"/>
      <c r="V393" s="8"/>
      <c r="W393" s="8"/>
      <c r="X393" s="8"/>
      <c r="Y393" s="8"/>
      <c r="Z393" s="8"/>
      <c r="AA393" s="8"/>
    </row>
    <row r="394">
      <c r="A394" s="8"/>
      <c r="B394" s="8"/>
      <c r="C394" s="8"/>
      <c r="D394" s="8"/>
      <c r="E394" s="8"/>
      <c r="F394" s="8"/>
      <c r="G394" s="8"/>
      <c r="H394" s="8"/>
      <c r="I394" s="8"/>
      <c r="J394" s="215"/>
      <c r="K394" s="126"/>
      <c r="L394" s="126"/>
      <c r="M394" s="126"/>
      <c r="N394" s="126"/>
      <c r="O394" s="8"/>
      <c r="P394" s="8"/>
      <c r="Q394" s="129"/>
      <c r="R394" s="1369"/>
      <c r="S394" s="126"/>
      <c r="T394" s="8"/>
      <c r="U394" s="1359"/>
      <c r="V394" s="8"/>
      <c r="W394" s="8"/>
      <c r="X394" s="8"/>
      <c r="Y394" s="8"/>
      <c r="Z394" s="8"/>
      <c r="AA394" s="8"/>
    </row>
    <row r="395">
      <c r="A395" s="8"/>
      <c r="B395" s="8"/>
      <c r="C395" s="8"/>
      <c r="D395" s="8"/>
      <c r="E395" s="8"/>
      <c r="F395" s="8"/>
      <c r="G395" s="8"/>
      <c r="H395" s="8"/>
      <c r="I395" s="8"/>
      <c r="J395" s="215"/>
      <c r="K395" s="126"/>
      <c r="L395" s="126"/>
      <c r="M395" s="126"/>
      <c r="N395" s="126"/>
      <c r="O395" s="8"/>
      <c r="P395" s="8"/>
      <c r="Q395" s="129"/>
      <c r="R395" s="1369"/>
      <c r="S395" s="126"/>
      <c r="T395" s="8"/>
      <c r="U395" s="1359"/>
      <c r="V395" s="8"/>
      <c r="W395" s="8"/>
      <c r="X395" s="8"/>
      <c r="Y395" s="8"/>
      <c r="Z395" s="8"/>
      <c r="AA395" s="8"/>
    </row>
    <row r="396">
      <c r="A396" s="8"/>
      <c r="B396" s="8"/>
      <c r="C396" s="8"/>
      <c r="D396" s="8"/>
      <c r="E396" s="8"/>
      <c r="F396" s="8"/>
      <c r="G396" s="8"/>
      <c r="H396" s="8"/>
      <c r="I396" s="8"/>
      <c r="J396" s="215"/>
      <c r="K396" s="126"/>
      <c r="L396" s="126"/>
      <c r="M396" s="126"/>
      <c r="N396" s="126"/>
      <c r="O396" s="8"/>
      <c r="P396" s="8"/>
      <c r="Q396" s="129"/>
      <c r="R396" s="1369"/>
      <c r="S396" s="126"/>
      <c r="T396" s="8"/>
      <c r="U396" s="1359"/>
      <c r="V396" s="8"/>
      <c r="W396" s="8"/>
      <c r="X396" s="8"/>
      <c r="Y396" s="8"/>
      <c r="Z396" s="8"/>
      <c r="AA396" s="8"/>
    </row>
    <row r="397">
      <c r="A397" s="8"/>
      <c r="B397" s="8"/>
      <c r="C397" s="8"/>
      <c r="D397" s="8"/>
      <c r="E397" s="8"/>
      <c r="F397" s="8"/>
      <c r="G397" s="8"/>
      <c r="H397" s="8"/>
      <c r="I397" s="8"/>
      <c r="J397" s="215"/>
      <c r="K397" s="126"/>
      <c r="L397" s="126"/>
      <c r="M397" s="126"/>
      <c r="N397" s="126"/>
      <c r="O397" s="8"/>
      <c r="P397" s="8"/>
      <c r="Q397" s="129"/>
      <c r="R397" s="1369"/>
      <c r="S397" s="126"/>
      <c r="T397" s="8"/>
      <c r="U397" s="1359"/>
      <c r="V397" s="8"/>
      <c r="W397" s="8"/>
      <c r="X397" s="8"/>
      <c r="Y397" s="8"/>
      <c r="Z397" s="8"/>
      <c r="AA397" s="8"/>
    </row>
    <row r="398">
      <c r="A398" s="8"/>
      <c r="B398" s="8"/>
      <c r="C398" s="8"/>
      <c r="D398" s="8"/>
      <c r="E398" s="8"/>
      <c r="F398" s="8"/>
      <c r="G398" s="8"/>
      <c r="H398" s="8"/>
      <c r="I398" s="8"/>
      <c r="J398" s="215"/>
      <c r="K398" s="126"/>
      <c r="L398" s="126"/>
      <c r="M398" s="126"/>
      <c r="N398" s="126"/>
      <c r="O398" s="8"/>
      <c r="P398" s="8"/>
      <c r="Q398" s="129"/>
      <c r="R398" s="1369"/>
      <c r="S398" s="126"/>
      <c r="T398" s="8"/>
      <c r="U398" s="1359"/>
      <c r="V398" s="8"/>
      <c r="W398" s="8"/>
      <c r="X398" s="8"/>
      <c r="Y398" s="8"/>
      <c r="Z398" s="8"/>
      <c r="AA398" s="8"/>
    </row>
    <row r="399">
      <c r="A399" s="8"/>
      <c r="B399" s="8"/>
      <c r="C399" s="8"/>
      <c r="D399" s="8"/>
      <c r="E399" s="8"/>
      <c r="F399" s="8"/>
      <c r="G399" s="8"/>
      <c r="H399" s="8"/>
      <c r="I399" s="8"/>
      <c r="J399" s="215"/>
      <c r="K399" s="126"/>
      <c r="L399" s="126"/>
      <c r="M399" s="126"/>
      <c r="N399" s="126"/>
      <c r="O399" s="8"/>
      <c r="P399" s="8"/>
      <c r="Q399" s="129"/>
      <c r="R399" s="1369"/>
      <c r="S399" s="126"/>
      <c r="T399" s="8"/>
      <c r="U399" s="1359"/>
      <c r="V399" s="8"/>
      <c r="W399" s="8"/>
      <c r="X399" s="8"/>
      <c r="Y399" s="8"/>
      <c r="Z399" s="8"/>
      <c r="AA399" s="8"/>
    </row>
    <row r="400">
      <c r="A400" s="8"/>
      <c r="B400" s="8"/>
      <c r="C400" s="8"/>
      <c r="D400" s="8"/>
      <c r="E400" s="8"/>
      <c r="F400" s="8"/>
      <c r="G400" s="8"/>
      <c r="H400" s="8"/>
      <c r="I400" s="8"/>
      <c r="J400" s="215"/>
      <c r="K400" s="126"/>
      <c r="L400" s="126"/>
      <c r="M400" s="126"/>
      <c r="N400" s="126"/>
      <c r="O400" s="8"/>
      <c r="P400" s="8"/>
      <c r="Q400" s="129"/>
      <c r="R400" s="1369"/>
      <c r="S400" s="126"/>
      <c r="T400" s="8"/>
      <c r="U400" s="1359"/>
      <c r="V400" s="8"/>
      <c r="W400" s="8"/>
      <c r="X400" s="8"/>
      <c r="Y400" s="8"/>
      <c r="Z400" s="8"/>
      <c r="AA400" s="8"/>
    </row>
    <row r="401">
      <c r="A401" s="8"/>
      <c r="B401" s="8"/>
      <c r="C401" s="8"/>
      <c r="D401" s="8"/>
      <c r="E401" s="8"/>
      <c r="F401" s="8"/>
      <c r="G401" s="8"/>
      <c r="H401" s="8"/>
      <c r="I401" s="8"/>
      <c r="J401" s="215"/>
      <c r="K401" s="126"/>
      <c r="L401" s="126"/>
      <c r="M401" s="126"/>
      <c r="N401" s="126"/>
      <c r="O401" s="8"/>
      <c r="P401" s="8"/>
      <c r="Q401" s="129"/>
      <c r="R401" s="1369"/>
      <c r="S401" s="126"/>
      <c r="T401" s="8"/>
      <c r="U401" s="1359"/>
      <c r="V401" s="8"/>
      <c r="W401" s="8"/>
      <c r="X401" s="8"/>
      <c r="Y401" s="8"/>
      <c r="Z401" s="8"/>
      <c r="AA401" s="8"/>
    </row>
    <row r="402">
      <c r="A402" s="8"/>
      <c r="B402" s="8"/>
      <c r="C402" s="8"/>
      <c r="D402" s="8"/>
      <c r="E402" s="8"/>
      <c r="F402" s="8"/>
      <c r="G402" s="8"/>
      <c r="H402" s="8"/>
      <c r="I402" s="8"/>
      <c r="J402" s="215"/>
      <c r="K402" s="126"/>
      <c r="L402" s="126"/>
      <c r="M402" s="126"/>
      <c r="N402" s="126"/>
      <c r="O402" s="8"/>
      <c r="P402" s="8"/>
      <c r="Q402" s="129"/>
      <c r="R402" s="1369"/>
      <c r="S402" s="126"/>
      <c r="T402" s="8"/>
      <c r="U402" s="1359"/>
      <c r="V402" s="8"/>
      <c r="W402" s="8"/>
      <c r="X402" s="8"/>
      <c r="Y402" s="8"/>
      <c r="Z402" s="8"/>
      <c r="AA402" s="8"/>
    </row>
    <row r="403">
      <c r="A403" s="8"/>
      <c r="B403" s="8"/>
      <c r="C403" s="8"/>
      <c r="D403" s="8"/>
      <c r="E403" s="8"/>
      <c r="F403" s="8"/>
      <c r="G403" s="8"/>
      <c r="H403" s="8"/>
      <c r="I403" s="8"/>
      <c r="J403" s="215"/>
      <c r="K403" s="126"/>
      <c r="L403" s="126"/>
      <c r="M403" s="126"/>
      <c r="N403" s="126"/>
      <c r="O403" s="8"/>
      <c r="P403" s="8"/>
      <c r="Q403" s="129"/>
      <c r="R403" s="1369"/>
      <c r="S403" s="126"/>
      <c r="T403" s="8"/>
      <c r="U403" s="1359"/>
      <c r="V403" s="8"/>
      <c r="W403" s="8"/>
      <c r="X403" s="8"/>
      <c r="Y403" s="8"/>
      <c r="Z403" s="8"/>
      <c r="AA403" s="8"/>
    </row>
    <row r="404">
      <c r="A404" s="8"/>
      <c r="B404" s="8"/>
      <c r="C404" s="8"/>
      <c r="D404" s="8"/>
      <c r="E404" s="8"/>
      <c r="F404" s="8"/>
      <c r="G404" s="8"/>
      <c r="H404" s="8"/>
      <c r="I404" s="8"/>
      <c r="J404" s="215"/>
      <c r="K404" s="126"/>
      <c r="L404" s="126"/>
      <c r="M404" s="126"/>
      <c r="N404" s="126"/>
      <c r="O404" s="8"/>
      <c r="P404" s="8"/>
      <c r="Q404" s="129"/>
      <c r="R404" s="1369"/>
      <c r="S404" s="126"/>
      <c r="T404" s="8"/>
      <c r="U404" s="1359"/>
      <c r="V404" s="8"/>
      <c r="W404" s="8"/>
      <c r="X404" s="8"/>
      <c r="Y404" s="8"/>
      <c r="Z404" s="8"/>
      <c r="AA404" s="8"/>
    </row>
    <row r="405">
      <c r="A405" s="8"/>
      <c r="B405" s="8"/>
      <c r="C405" s="8"/>
      <c r="D405" s="8"/>
      <c r="E405" s="8"/>
      <c r="F405" s="8"/>
      <c r="G405" s="8"/>
      <c r="H405" s="8"/>
      <c r="I405" s="8"/>
      <c r="J405" s="215"/>
      <c r="K405" s="126"/>
      <c r="L405" s="126"/>
      <c r="M405" s="126"/>
      <c r="N405" s="126"/>
      <c r="O405" s="8"/>
      <c r="P405" s="8"/>
      <c r="Q405" s="129"/>
      <c r="R405" s="1369"/>
      <c r="S405" s="126"/>
      <c r="T405" s="8"/>
      <c r="U405" s="1359"/>
      <c r="V405" s="8"/>
      <c r="W405" s="8"/>
      <c r="X405" s="8"/>
      <c r="Y405" s="8"/>
      <c r="Z405" s="8"/>
      <c r="AA405" s="8"/>
    </row>
    <row r="406">
      <c r="A406" s="8"/>
      <c r="B406" s="8"/>
      <c r="C406" s="8"/>
      <c r="D406" s="8"/>
      <c r="E406" s="8"/>
      <c r="F406" s="8"/>
      <c r="G406" s="8"/>
      <c r="H406" s="8"/>
      <c r="I406" s="8"/>
      <c r="J406" s="215"/>
      <c r="K406" s="126"/>
      <c r="L406" s="126"/>
      <c r="M406" s="126"/>
      <c r="N406" s="126"/>
      <c r="O406" s="8"/>
      <c r="P406" s="8"/>
      <c r="Q406" s="129"/>
      <c r="R406" s="1369"/>
      <c r="S406" s="126"/>
      <c r="T406" s="8"/>
      <c r="U406" s="1359"/>
      <c r="V406" s="8"/>
      <c r="W406" s="8"/>
      <c r="X406" s="8"/>
      <c r="Y406" s="8"/>
      <c r="Z406" s="8"/>
      <c r="AA406" s="8"/>
    </row>
    <row r="407">
      <c r="A407" s="8"/>
      <c r="B407" s="8"/>
      <c r="C407" s="8"/>
      <c r="D407" s="8"/>
      <c r="E407" s="8"/>
      <c r="F407" s="8"/>
      <c r="G407" s="8"/>
      <c r="H407" s="8"/>
      <c r="I407" s="8"/>
      <c r="J407" s="215"/>
      <c r="K407" s="126"/>
      <c r="L407" s="126"/>
      <c r="M407" s="126"/>
      <c r="N407" s="126"/>
      <c r="O407" s="8"/>
      <c r="P407" s="8"/>
      <c r="Q407" s="129"/>
      <c r="R407" s="1369"/>
      <c r="S407" s="126"/>
      <c r="T407" s="8"/>
      <c r="U407" s="1359"/>
      <c r="V407" s="8"/>
      <c r="W407" s="8"/>
      <c r="X407" s="8"/>
      <c r="Y407" s="8"/>
      <c r="Z407" s="8"/>
      <c r="AA407" s="8"/>
    </row>
    <row r="408">
      <c r="A408" s="8"/>
      <c r="B408" s="8"/>
      <c r="C408" s="8"/>
      <c r="D408" s="8"/>
      <c r="E408" s="8"/>
      <c r="F408" s="8"/>
      <c r="G408" s="8"/>
      <c r="H408" s="8"/>
      <c r="I408" s="8"/>
      <c r="J408" s="215"/>
      <c r="K408" s="126"/>
      <c r="L408" s="126"/>
      <c r="M408" s="126"/>
      <c r="N408" s="126"/>
      <c r="O408" s="8"/>
      <c r="P408" s="8"/>
      <c r="Q408" s="129"/>
      <c r="R408" s="1369"/>
      <c r="S408" s="126"/>
      <c r="T408" s="8"/>
      <c r="U408" s="1359"/>
      <c r="V408" s="8"/>
      <c r="W408" s="8"/>
      <c r="X408" s="8"/>
      <c r="Y408" s="8"/>
      <c r="Z408" s="8"/>
      <c r="AA408" s="8"/>
    </row>
    <row r="409">
      <c r="A409" s="8"/>
      <c r="B409" s="8"/>
      <c r="C409" s="8"/>
      <c r="D409" s="8"/>
      <c r="E409" s="8"/>
      <c r="F409" s="8"/>
      <c r="G409" s="8"/>
      <c r="H409" s="8"/>
      <c r="I409" s="8"/>
      <c r="J409" s="215"/>
      <c r="K409" s="126"/>
      <c r="L409" s="126"/>
      <c r="M409" s="126"/>
      <c r="N409" s="126"/>
      <c r="O409" s="8"/>
      <c r="P409" s="8"/>
      <c r="Q409" s="129"/>
      <c r="R409" s="1369"/>
      <c r="S409" s="126"/>
      <c r="T409" s="8"/>
      <c r="U409" s="1359"/>
      <c r="V409" s="8"/>
      <c r="W409" s="8"/>
      <c r="X409" s="8"/>
      <c r="Y409" s="8"/>
      <c r="Z409" s="8"/>
      <c r="AA409" s="8"/>
    </row>
    <row r="410">
      <c r="A410" s="8"/>
      <c r="B410" s="8"/>
      <c r="C410" s="8"/>
      <c r="D410" s="8"/>
      <c r="E410" s="8"/>
      <c r="F410" s="8"/>
      <c r="G410" s="8"/>
      <c r="H410" s="8"/>
      <c r="I410" s="8"/>
      <c r="J410" s="215"/>
      <c r="K410" s="126"/>
      <c r="L410" s="126"/>
      <c r="M410" s="126"/>
      <c r="N410" s="126"/>
      <c r="O410" s="8"/>
      <c r="P410" s="8"/>
      <c r="Q410" s="129"/>
      <c r="R410" s="1369"/>
      <c r="S410" s="126"/>
      <c r="T410" s="8"/>
      <c r="U410" s="1359"/>
      <c r="V410" s="8"/>
      <c r="W410" s="8"/>
      <c r="X410" s="8"/>
      <c r="Y410" s="8"/>
      <c r="Z410" s="8"/>
      <c r="AA410" s="8"/>
    </row>
    <row r="411">
      <c r="A411" s="8"/>
      <c r="B411" s="8"/>
      <c r="C411" s="8"/>
      <c r="D411" s="8"/>
      <c r="E411" s="8"/>
      <c r="F411" s="8"/>
      <c r="G411" s="8"/>
      <c r="H411" s="8"/>
      <c r="I411" s="8"/>
      <c r="J411" s="215"/>
      <c r="K411" s="126"/>
      <c r="L411" s="126"/>
      <c r="M411" s="126"/>
      <c r="N411" s="126"/>
      <c r="O411" s="8"/>
      <c r="P411" s="8"/>
      <c r="Q411" s="129"/>
      <c r="R411" s="1369"/>
      <c r="S411" s="126"/>
      <c r="T411" s="8"/>
      <c r="U411" s="1359"/>
      <c r="V411" s="8"/>
      <c r="W411" s="8"/>
      <c r="X411" s="8"/>
      <c r="Y411" s="8"/>
      <c r="Z411" s="8"/>
      <c r="AA411" s="8"/>
    </row>
    <row r="412">
      <c r="A412" s="8"/>
      <c r="B412" s="8"/>
      <c r="C412" s="8"/>
      <c r="D412" s="8"/>
      <c r="E412" s="8"/>
      <c r="F412" s="8"/>
      <c r="G412" s="8"/>
      <c r="H412" s="8"/>
      <c r="I412" s="8"/>
      <c r="J412" s="215"/>
      <c r="K412" s="126"/>
      <c r="L412" s="126"/>
      <c r="M412" s="126"/>
      <c r="N412" s="126"/>
      <c r="O412" s="8"/>
      <c r="P412" s="8"/>
      <c r="Q412" s="129"/>
      <c r="R412" s="1369"/>
      <c r="S412" s="126"/>
      <c r="T412" s="8"/>
      <c r="U412" s="1359"/>
      <c r="V412" s="8"/>
      <c r="W412" s="8"/>
      <c r="X412" s="8"/>
      <c r="Y412" s="8"/>
      <c r="Z412" s="8"/>
      <c r="AA412" s="8"/>
    </row>
    <row r="413">
      <c r="A413" s="8"/>
      <c r="B413" s="8"/>
      <c r="C413" s="8"/>
      <c r="D413" s="8"/>
      <c r="E413" s="8"/>
      <c r="F413" s="8"/>
      <c r="G413" s="8"/>
      <c r="H413" s="8"/>
      <c r="I413" s="8"/>
      <c r="J413" s="215"/>
      <c r="K413" s="126"/>
      <c r="L413" s="126"/>
      <c r="M413" s="126"/>
      <c r="N413" s="126"/>
      <c r="O413" s="8"/>
      <c r="P413" s="8"/>
      <c r="Q413" s="129"/>
      <c r="R413" s="1369"/>
      <c r="S413" s="126"/>
      <c r="T413" s="8"/>
      <c r="U413" s="1359"/>
      <c r="V413" s="8"/>
      <c r="W413" s="8"/>
      <c r="X413" s="8"/>
      <c r="Y413" s="8"/>
      <c r="Z413" s="8"/>
      <c r="AA413" s="8"/>
    </row>
    <row r="414">
      <c r="A414" s="8"/>
      <c r="B414" s="8"/>
      <c r="C414" s="8"/>
      <c r="D414" s="8"/>
      <c r="E414" s="8"/>
      <c r="F414" s="8"/>
      <c r="G414" s="8"/>
      <c r="H414" s="8"/>
      <c r="I414" s="8"/>
      <c r="J414" s="215"/>
      <c r="K414" s="126"/>
      <c r="L414" s="126"/>
      <c r="M414" s="126"/>
      <c r="N414" s="126"/>
      <c r="O414" s="8"/>
      <c r="P414" s="8"/>
      <c r="Q414" s="129"/>
      <c r="R414" s="1369"/>
      <c r="S414" s="126"/>
      <c r="T414" s="8"/>
      <c r="U414" s="1359"/>
      <c r="V414" s="8"/>
      <c r="W414" s="8"/>
      <c r="X414" s="8"/>
      <c r="Y414" s="8"/>
      <c r="Z414" s="8"/>
      <c r="AA414" s="8"/>
    </row>
    <row r="415">
      <c r="A415" s="8"/>
      <c r="B415" s="8"/>
      <c r="C415" s="8"/>
      <c r="D415" s="8"/>
      <c r="E415" s="8"/>
      <c r="F415" s="8"/>
      <c r="G415" s="8"/>
      <c r="H415" s="8"/>
      <c r="I415" s="8"/>
      <c r="J415" s="215"/>
      <c r="K415" s="126"/>
      <c r="L415" s="126"/>
      <c r="M415" s="126"/>
      <c r="N415" s="126"/>
      <c r="O415" s="8"/>
      <c r="P415" s="8"/>
      <c r="Q415" s="129"/>
      <c r="R415" s="1369"/>
      <c r="S415" s="126"/>
      <c r="T415" s="8"/>
      <c r="U415" s="1359"/>
      <c r="V415" s="8"/>
      <c r="W415" s="8"/>
      <c r="X415" s="8"/>
      <c r="Y415" s="8"/>
      <c r="Z415" s="8"/>
      <c r="AA415" s="8"/>
    </row>
    <row r="416">
      <c r="A416" s="8"/>
      <c r="B416" s="8"/>
      <c r="C416" s="8"/>
      <c r="D416" s="8"/>
      <c r="E416" s="8"/>
      <c r="F416" s="8"/>
      <c r="G416" s="8"/>
      <c r="H416" s="8"/>
      <c r="I416" s="8"/>
      <c r="J416" s="215"/>
      <c r="K416" s="126"/>
      <c r="L416" s="126"/>
      <c r="M416" s="126"/>
      <c r="N416" s="126"/>
      <c r="O416" s="8"/>
      <c r="P416" s="8"/>
      <c r="Q416" s="129"/>
      <c r="R416" s="1369"/>
      <c r="S416" s="126"/>
      <c r="T416" s="8"/>
      <c r="U416" s="1359"/>
      <c r="V416" s="8"/>
      <c r="W416" s="8"/>
      <c r="X416" s="8"/>
      <c r="Y416" s="8"/>
      <c r="Z416" s="8"/>
      <c r="AA416" s="8"/>
    </row>
    <row r="417">
      <c r="A417" s="8"/>
      <c r="B417" s="8"/>
      <c r="C417" s="8"/>
      <c r="D417" s="8"/>
      <c r="E417" s="8"/>
      <c r="F417" s="8"/>
      <c r="G417" s="8"/>
      <c r="H417" s="8"/>
      <c r="I417" s="8"/>
      <c r="J417" s="215"/>
      <c r="K417" s="126"/>
      <c r="L417" s="126"/>
      <c r="M417" s="126"/>
      <c r="N417" s="126"/>
      <c r="O417" s="8"/>
      <c r="P417" s="8"/>
      <c r="Q417" s="129"/>
      <c r="R417" s="1369"/>
      <c r="S417" s="126"/>
      <c r="T417" s="8"/>
      <c r="U417" s="1359"/>
      <c r="V417" s="8"/>
      <c r="W417" s="8"/>
      <c r="X417" s="8"/>
      <c r="Y417" s="8"/>
      <c r="Z417" s="8"/>
      <c r="AA417" s="8"/>
    </row>
    <row r="418">
      <c r="A418" s="8"/>
      <c r="B418" s="8"/>
      <c r="C418" s="8"/>
      <c r="D418" s="8"/>
      <c r="E418" s="8"/>
      <c r="F418" s="8"/>
      <c r="G418" s="8"/>
      <c r="H418" s="8"/>
      <c r="I418" s="8"/>
      <c r="J418" s="215"/>
      <c r="K418" s="126"/>
      <c r="L418" s="126"/>
      <c r="M418" s="126"/>
      <c r="N418" s="126"/>
      <c r="O418" s="8"/>
      <c r="P418" s="8"/>
      <c r="Q418" s="129"/>
      <c r="R418" s="1369"/>
      <c r="S418" s="126"/>
      <c r="T418" s="8"/>
      <c r="U418" s="1359"/>
      <c r="V418" s="8"/>
      <c r="W418" s="8"/>
      <c r="X418" s="8"/>
      <c r="Y418" s="8"/>
      <c r="Z418" s="8"/>
      <c r="AA418" s="8"/>
    </row>
    <row r="419">
      <c r="A419" s="8"/>
      <c r="B419" s="8"/>
      <c r="C419" s="8"/>
      <c r="D419" s="8"/>
      <c r="E419" s="8"/>
      <c r="F419" s="8"/>
      <c r="G419" s="8"/>
      <c r="H419" s="8"/>
      <c r="I419" s="8"/>
      <c r="J419" s="215"/>
      <c r="K419" s="126"/>
      <c r="L419" s="126"/>
      <c r="M419" s="126"/>
      <c r="N419" s="126"/>
      <c r="O419" s="8"/>
      <c r="P419" s="8"/>
      <c r="Q419" s="129"/>
      <c r="R419" s="1369"/>
      <c r="S419" s="126"/>
      <c r="T419" s="8"/>
      <c r="U419" s="1359"/>
      <c r="V419" s="8"/>
      <c r="W419" s="8"/>
      <c r="X419" s="8"/>
      <c r="Y419" s="8"/>
      <c r="Z419" s="8"/>
      <c r="AA419" s="8"/>
    </row>
    <row r="420">
      <c r="A420" s="8"/>
      <c r="B420" s="8"/>
      <c r="C420" s="8"/>
      <c r="D420" s="8"/>
      <c r="E420" s="8"/>
      <c r="F420" s="8"/>
      <c r="G420" s="8"/>
      <c r="H420" s="8"/>
      <c r="I420" s="8"/>
      <c r="J420" s="215"/>
      <c r="K420" s="126"/>
      <c r="L420" s="126"/>
      <c r="M420" s="126"/>
      <c r="N420" s="126"/>
      <c r="O420" s="8"/>
      <c r="P420" s="8"/>
      <c r="Q420" s="129"/>
      <c r="R420" s="1369"/>
      <c r="S420" s="126"/>
      <c r="T420" s="8"/>
      <c r="U420" s="1359"/>
      <c r="V420" s="8"/>
      <c r="W420" s="8"/>
      <c r="X420" s="8"/>
      <c r="Y420" s="8"/>
      <c r="Z420" s="8"/>
      <c r="AA420" s="8"/>
    </row>
    <row r="421">
      <c r="A421" s="8"/>
      <c r="B421" s="8"/>
      <c r="C421" s="8"/>
      <c r="D421" s="8"/>
      <c r="E421" s="8"/>
      <c r="F421" s="8"/>
      <c r="G421" s="8"/>
      <c r="H421" s="8"/>
      <c r="I421" s="8"/>
      <c r="J421" s="215"/>
      <c r="K421" s="126"/>
      <c r="L421" s="126"/>
      <c r="M421" s="126"/>
      <c r="N421" s="126"/>
      <c r="O421" s="8"/>
      <c r="P421" s="8"/>
      <c r="Q421" s="129"/>
      <c r="R421" s="1369"/>
      <c r="S421" s="126"/>
      <c r="T421" s="8"/>
      <c r="U421" s="1359"/>
      <c r="V421" s="8"/>
      <c r="W421" s="8"/>
      <c r="X421" s="8"/>
      <c r="Y421" s="8"/>
      <c r="Z421" s="8"/>
      <c r="AA421" s="8"/>
    </row>
    <row r="422">
      <c r="A422" s="8"/>
      <c r="B422" s="8"/>
      <c r="C422" s="8"/>
      <c r="D422" s="8"/>
      <c r="E422" s="8"/>
      <c r="F422" s="8"/>
      <c r="G422" s="8"/>
      <c r="H422" s="8"/>
      <c r="I422" s="8"/>
      <c r="J422" s="215"/>
      <c r="K422" s="126"/>
      <c r="L422" s="126"/>
      <c r="M422" s="126"/>
      <c r="N422" s="126"/>
      <c r="O422" s="8"/>
      <c r="P422" s="8"/>
      <c r="Q422" s="129"/>
      <c r="R422" s="1369"/>
      <c r="S422" s="126"/>
      <c r="T422" s="8"/>
      <c r="U422" s="1359"/>
      <c r="V422" s="8"/>
      <c r="W422" s="8"/>
      <c r="X422" s="8"/>
      <c r="Y422" s="8"/>
      <c r="Z422" s="8"/>
      <c r="AA422" s="8"/>
    </row>
    <row r="423">
      <c r="A423" s="8"/>
      <c r="B423" s="8"/>
      <c r="C423" s="8"/>
      <c r="D423" s="8"/>
      <c r="E423" s="8"/>
      <c r="F423" s="8"/>
      <c r="G423" s="8"/>
      <c r="H423" s="8"/>
      <c r="I423" s="8"/>
      <c r="J423" s="215"/>
      <c r="K423" s="126"/>
      <c r="L423" s="126"/>
      <c r="M423" s="126"/>
      <c r="N423" s="126"/>
      <c r="O423" s="8"/>
      <c r="P423" s="8"/>
      <c r="Q423" s="129"/>
      <c r="R423" s="1369"/>
      <c r="S423" s="126"/>
      <c r="T423" s="8"/>
      <c r="U423" s="1359"/>
      <c r="V423" s="8"/>
      <c r="W423" s="8"/>
      <c r="X423" s="8"/>
      <c r="Y423" s="8"/>
      <c r="Z423" s="8"/>
      <c r="AA423" s="8"/>
    </row>
    <row r="424">
      <c r="A424" s="8"/>
      <c r="B424" s="8"/>
      <c r="C424" s="8"/>
      <c r="D424" s="8"/>
      <c r="E424" s="8"/>
      <c r="F424" s="8"/>
      <c r="G424" s="8"/>
      <c r="H424" s="8"/>
      <c r="I424" s="8"/>
      <c r="J424" s="215"/>
      <c r="K424" s="126"/>
      <c r="L424" s="126"/>
      <c r="M424" s="126"/>
      <c r="N424" s="126"/>
      <c r="O424" s="8"/>
      <c r="P424" s="8"/>
      <c r="Q424" s="129"/>
      <c r="R424" s="1369"/>
      <c r="S424" s="126"/>
      <c r="T424" s="8"/>
      <c r="U424" s="1359"/>
      <c r="V424" s="8"/>
      <c r="W424" s="8"/>
      <c r="X424" s="8"/>
      <c r="Y424" s="8"/>
      <c r="Z424" s="8"/>
      <c r="AA424" s="8"/>
    </row>
    <row r="425">
      <c r="A425" s="8"/>
      <c r="B425" s="8"/>
      <c r="C425" s="8"/>
      <c r="D425" s="8"/>
      <c r="E425" s="8"/>
      <c r="F425" s="8"/>
      <c r="G425" s="8"/>
      <c r="H425" s="8"/>
      <c r="I425" s="8"/>
      <c r="J425" s="215"/>
      <c r="K425" s="126"/>
      <c r="L425" s="126"/>
      <c r="M425" s="126"/>
      <c r="N425" s="126"/>
      <c r="O425" s="8"/>
      <c r="P425" s="8"/>
      <c r="Q425" s="129"/>
      <c r="R425" s="1369"/>
      <c r="S425" s="126"/>
      <c r="T425" s="8"/>
      <c r="U425" s="1359"/>
      <c r="V425" s="8"/>
      <c r="W425" s="8"/>
      <c r="X425" s="8"/>
      <c r="Y425" s="8"/>
      <c r="Z425" s="8"/>
      <c r="AA425" s="8"/>
    </row>
    <row r="426">
      <c r="A426" s="8"/>
      <c r="B426" s="8"/>
      <c r="C426" s="8"/>
      <c r="D426" s="8"/>
      <c r="E426" s="8"/>
      <c r="F426" s="8"/>
      <c r="G426" s="8"/>
      <c r="H426" s="8"/>
      <c r="I426" s="8"/>
      <c r="J426" s="215"/>
      <c r="K426" s="126"/>
      <c r="L426" s="126"/>
      <c r="M426" s="126"/>
      <c r="N426" s="126"/>
      <c r="O426" s="8"/>
      <c r="P426" s="8"/>
      <c r="Q426" s="129"/>
      <c r="R426" s="1369"/>
      <c r="S426" s="126"/>
      <c r="T426" s="8"/>
      <c r="U426" s="1359"/>
      <c r="V426" s="8"/>
      <c r="W426" s="8"/>
      <c r="X426" s="8"/>
      <c r="Y426" s="8"/>
      <c r="Z426" s="8"/>
      <c r="AA426" s="8"/>
    </row>
    <row r="427">
      <c r="A427" s="8"/>
      <c r="B427" s="8"/>
      <c r="C427" s="8"/>
      <c r="D427" s="8"/>
      <c r="E427" s="8"/>
      <c r="F427" s="8"/>
      <c r="G427" s="8"/>
      <c r="H427" s="8"/>
      <c r="I427" s="8"/>
      <c r="J427" s="215"/>
      <c r="K427" s="126"/>
      <c r="L427" s="126"/>
      <c r="M427" s="126"/>
      <c r="N427" s="126"/>
      <c r="O427" s="8"/>
      <c r="P427" s="8"/>
      <c r="Q427" s="129"/>
      <c r="R427" s="1369"/>
      <c r="S427" s="126"/>
      <c r="T427" s="8"/>
      <c r="U427" s="1359"/>
      <c r="V427" s="8"/>
      <c r="W427" s="8"/>
      <c r="X427" s="8"/>
      <c r="Y427" s="8"/>
      <c r="Z427" s="8"/>
      <c r="AA427" s="8"/>
    </row>
    <row r="428">
      <c r="A428" s="8"/>
      <c r="B428" s="8"/>
      <c r="C428" s="8"/>
      <c r="D428" s="8"/>
      <c r="E428" s="8"/>
      <c r="F428" s="8"/>
      <c r="G428" s="8"/>
      <c r="H428" s="8"/>
      <c r="I428" s="8"/>
      <c r="J428" s="215"/>
      <c r="K428" s="126"/>
      <c r="L428" s="126"/>
      <c r="M428" s="126"/>
      <c r="N428" s="126"/>
      <c r="O428" s="8"/>
      <c r="P428" s="8"/>
      <c r="Q428" s="129"/>
      <c r="R428" s="1369"/>
      <c r="S428" s="126"/>
      <c r="T428" s="8"/>
      <c r="U428" s="1359"/>
      <c r="V428" s="8"/>
      <c r="W428" s="8"/>
      <c r="X428" s="8"/>
      <c r="Y428" s="8"/>
      <c r="Z428" s="8"/>
      <c r="AA428" s="8"/>
    </row>
    <row r="429">
      <c r="A429" s="8"/>
      <c r="B429" s="8"/>
      <c r="C429" s="8"/>
      <c r="D429" s="8"/>
      <c r="E429" s="8"/>
      <c r="F429" s="8"/>
      <c r="G429" s="8"/>
      <c r="H429" s="8"/>
      <c r="I429" s="8"/>
      <c r="J429" s="215"/>
      <c r="K429" s="126"/>
      <c r="L429" s="126"/>
      <c r="M429" s="126"/>
      <c r="N429" s="126"/>
      <c r="O429" s="8"/>
      <c r="P429" s="8"/>
      <c r="Q429" s="129"/>
      <c r="R429" s="1369"/>
      <c r="S429" s="126"/>
      <c r="T429" s="8"/>
      <c r="U429" s="1359"/>
      <c r="V429" s="8"/>
      <c r="W429" s="8"/>
      <c r="X429" s="8"/>
      <c r="Y429" s="8"/>
      <c r="Z429" s="8"/>
      <c r="AA429" s="8"/>
    </row>
    <row r="430">
      <c r="A430" s="8"/>
      <c r="B430" s="8"/>
      <c r="C430" s="8"/>
      <c r="D430" s="8"/>
      <c r="E430" s="8"/>
      <c r="F430" s="8"/>
      <c r="G430" s="8"/>
      <c r="H430" s="8"/>
      <c r="I430" s="8"/>
      <c r="J430" s="215"/>
      <c r="K430" s="126"/>
      <c r="L430" s="126"/>
      <c r="M430" s="126"/>
      <c r="N430" s="126"/>
      <c r="O430" s="8"/>
      <c r="P430" s="8"/>
      <c r="Q430" s="129"/>
      <c r="R430" s="1369"/>
      <c r="S430" s="126"/>
      <c r="T430" s="8"/>
      <c r="U430" s="1359"/>
      <c r="V430" s="8"/>
      <c r="W430" s="8"/>
      <c r="X430" s="8"/>
      <c r="Y430" s="8"/>
      <c r="Z430" s="8"/>
      <c r="AA430" s="8"/>
    </row>
    <row r="431">
      <c r="A431" s="8"/>
      <c r="B431" s="8"/>
      <c r="C431" s="8"/>
      <c r="D431" s="8"/>
      <c r="E431" s="8"/>
      <c r="F431" s="8"/>
      <c r="G431" s="8"/>
      <c r="H431" s="8"/>
      <c r="I431" s="8"/>
      <c r="J431" s="215"/>
      <c r="K431" s="126"/>
      <c r="L431" s="126"/>
      <c r="M431" s="126"/>
      <c r="N431" s="126"/>
      <c r="O431" s="8"/>
      <c r="P431" s="8"/>
      <c r="Q431" s="129"/>
      <c r="R431" s="1369"/>
      <c r="S431" s="126"/>
      <c r="T431" s="8"/>
      <c r="U431" s="1359"/>
      <c r="V431" s="8"/>
      <c r="W431" s="8"/>
      <c r="X431" s="8"/>
      <c r="Y431" s="8"/>
      <c r="Z431" s="8"/>
      <c r="AA431" s="8"/>
    </row>
    <row r="432">
      <c r="A432" s="8"/>
      <c r="B432" s="8"/>
      <c r="C432" s="8"/>
      <c r="D432" s="8"/>
      <c r="E432" s="8"/>
      <c r="F432" s="8"/>
      <c r="G432" s="8"/>
      <c r="H432" s="8"/>
      <c r="I432" s="8"/>
      <c r="J432" s="215"/>
      <c r="K432" s="126"/>
      <c r="L432" s="126"/>
      <c r="M432" s="126"/>
      <c r="N432" s="126"/>
      <c r="O432" s="8"/>
      <c r="P432" s="8"/>
      <c r="Q432" s="129"/>
      <c r="R432" s="1369"/>
      <c r="S432" s="126"/>
      <c r="T432" s="8"/>
      <c r="U432" s="1359"/>
      <c r="V432" s="8"/>
      <c r="W432" s="8"/>
      <c r="X432" s="8"/>
      <c r="Y432" s="8"/>
      <c r="Z432" s="8"/>
      <c r="AA432" s="8"/>
    </row>
    <row r="433">
      <c r="A433" s="8"/>
      <c r="B433" s="8"/>
      <c r="C433" s="8"/>
      <c r="D433" s="8"/>
      <c r="E433" s="8"/>
      <c r="F433" s="8"/>
      <c r="G433" s="8"/>
      <c r="H433" s="8"/>
      <c r="I433" s="8"/>
      <c r="J433" s="215"/>
      <c r="K433" s="126"/>
      <c r="L433" s="126"/>
      <c r="M433" s="126"/>
      <c r="N433" s="126"/>
      <c r="O433" s="8"/>
      <c r="P433" s="8"/>
      <c r="Q433" s="129"/>
      <c r="R433" s="1369"/>
      <c r="S433" s="126"/>
      <c r="T433" s="8"/>
      <c r="U433" s="1359"/>
      <c r="V433" s="8"/>
      <c r="W433" s="8"/>
      <c r="X433" s="8"/>
      <c r="Y433" s="8"/>
      <c r="Z433" s="8"/>
      <c r="AA433" s="8"/>
    </row>
    <row r="434">
      <c r="A434" s="8"/>
      <c r="B434" s="8"/>
      <c r="C434" s="8"/>
      <c r="D434" s="8"/>
      <c r="E434" s="8"/>
      <c r="F434" s="8"/>
      <c r="G434" s="8"/>
      <c r="H434" s="8"/>
      <c r="I434" s="8"/>
      <c r="J434" s="215"/>
      <c r="K434" s="126"/>
      <c r="L434" s="126"/>
      <c r="M434" s="126"/>
      <c r="N434" s="126"/>
      <c r="O434" s="8"/>
      <c r="P434" s="8"/>
      <c r="Q434" s="129"/>
      <c r="R434" s="1369"/>
      <c r="S434" s="126"/>
      <c r="T434" s="8"/>
      <c r="U434" s="1359"/>
      <c r="V434" s="8"/>
      <c r="W434" s="8"/>
      <c r="X434" s="8"/>
      <c r="Y434" s="8"/>
      <c r="Z434" s="8"/>
      <c r="AA434" s="8"/>
    </row>
    <row r="435">
      <c r="A435" s="8"/>
      <c r="B435" s="8"/>
      <c r="C435" s="8"/>
      <c r="D435" s="8"/>
      <c r="E435" s="8"/>
      <c r="F435" s="8"/>
      <c r="G435" s="8"/>
      <c r="H435" s="8"/>
      <c r="I435" s="8"/>
      <c r="J435" s="215"/>
      <c r="K435" s="126"/>
      <c r="L435" s="126"/>
      <c r="M435" s="126"/>
      <c r="N435" s="126"/>
      <c r="O435" s="8"/>
      <c r="P435" s="8"/>
      <c r="Q435" s="129"/>
      <c r="R435" s="1369"/>
      <c r="S435" s="126"/>
      <c r="T435" s="8"/>
      <c r="U435" s="1359"/>
      <c r="V435" s="8"/>
      <c r="W435" s="8"/>
      <c r="X435" s="8"/>
      <c r="Y435" s="8"/>
      <c r="Z435" s="8"/>
      <c r="AA435" s="8"/>
    </row>
    <row r="436">
      <c r="A436" s="8"/>
      <c r="B436" s="8"/>
      <c r="C436" s="8"/>
      <c r="D436" s="8"/>
      <c r="E436" s="8"/>
      <c r="F436" s="8"/>
      <c r="G436" s="8"/>
      <c r="H436" s="8"/>
      <c r="I436" s="8"/>
      <c r="J436" s="215"/>
      <c r="K436" s="126"/>
      <c r="L436" s="126"/>
      <c r="M436" s="126"/>
      <c r="N436" s="126"/>
      <c r="O436" s="8"/>
      <c r="P436" s="8"/>
      <c r="Q436" s="129"/>
      <c r="R436" s="1369"/>
      <c r="S436" s="126"/>
      <c r="T436" s="8"/>
      <c r="U436" s="1359"/>
      <c r="V436" s="8"/>
      <c r="W436" s="8"/>
      <c r="X436" s="8"/>
      <c r="Y436" s="8"/>
      <c r="Z436" s="8"/>
      <c r="AA436" s="8"/>
    </row>
    <row r="437">
      <c r="A437" s="8"/>
      <c r="B437" s="8"/>
      <c r="C437" s="8"/>
      <c r="D437" s="8"/>
      <c r="E437" s="8"/>
      <c r="F437" s="8"/>
      <c r="G437" s="8"/>
      <c r="H437" s="8"/>
      <c r="I437" s="8"/>
      <c r="J437" s="215"/>
      <c r="K437" s="126"/>
      <c r="L437" s="126"/>
      <c r="M437" s="126"/>
      <c r="N437" s="126"/>
      <c r="O437" s="8"/>
      <c r="P437" s="8"/>
      <c r="Q437" s="129"/>
      <c r="R437" s="1369"/>
      <c r="S437" s="126"/>
      <c r="T437" s="8"/>
      <c r="U437" s="1359"/>
      <c r="V437" s="8"/>
      <c r="W437" s="8"/>
      <c r="X437" s="8"/>
      <c r="Y437" s="8"/>
      <c r="Z437" s="8"/>
      <c r="AA437" s="8"/>
    </row>
    <row r="438">
      <c r="A438" s="8"/>
      <c r="B438" s="8"/>
      <c r="C438" s="8"/>
      <c r="D438" s="8"/>
      <c r="E438" s="8"/>
      <c r="F438" s="8"/>
      <c r="G438" s="8"/>
      <c r="H438" s="8"/>
      <c r="I438" s="8"/>
      <c r="J438" s="215"/>
      <c r="K438" s="126"/>
      <c r="L438" s="126"/>
      <c r="M438" s="126"/>
      <c r="N438" s="126"/>
      <c r="O438" s="8"/>
      <c r="P438" s="8"/>
      <c r="Q438" s="129"/>
      <c r="R438" s="1369"/>
      <c r="S438" s="126"/>
      <c r="T438" s="8"/>
      <c r="U438" s="1359"/>
      <c r="V438" s="8"/>
      <c r="W438" s="8"/>
      <c r="X438" s="8"/>
      <c r="Y438" s="8"/>
      <c r="Z438" s="8"/>
      <c r="AA438" s="8"/>
    </row>
    <row r="439">
      <c r="A439" s="8"/>
      <c r="B439" s="8"/>
      <c r="C439" s="8"/>
      <c r="D439" s="8"/>
      <c r="E439" s="8"/>
      <c r="F439" s="8"/>
      <c r="G439" s="8"/>
      <c r="H439" s="8"/>
      <c r="I439" s="8"/>
      <c r="J439" s="215"/>
      <c r="K439" s="126"/>
      <c r="L439" s="126"/>
      <c r="M439" s="126"/>
      <c r="N439" s="126"/>
      <c r="O439" s="8"/>
      <c r="P439" s="8"/>
      <c r="Q439" s="129"/>
      <c r="R439" s="1369"/>
      <c r="S439" s="126"/>
      <c r="T439" s="8"/>
      <c r="U439" s="1359"/>
      <c r="V439" s="8"/>
      <c r="W439" s="8"/>
      <c r="X439" s="8"/>
      <c r="Y439" s="8"/>
      <c r="Z439" s="8"/>
      <c r="AA439" s="8"/>
    </row>
    <row r="440">
      <c r="A440" s="8"/>
      <c r="B440" s="8"/>
      <c r="C440" s="8"/>
      <c r="D440" s="8"/>
      <c r="E440" s="8"/>
      <c r="F440" s="8"/>
      <c r="G440" s="8"/>
      <c r="H440" s="8"/>
      <c r="I440" s="8"/>
      <c r="J440" s="215"/>
      <c r="K440" s="126"/>
      <c r="L440" s="126"/>
      <c r="M440" s="126"/>
      <c r="N440" s="126"/>
      <c r="O440" s="8"/>
      <c r="P440" s="8"/>
      <c r="Q440" s="129"/>
      <c r="R440" s="1369"/>
      <c r="S440" s="126"/>
      <c r="T440" s="8"/>
      <c r="U440" s="1359"/>
      <c r="V440" s="8"/>
      <c r="W440" s="8"/>
      <c r="X440" s="8"/>
      <c r="Y440" s="8"/>
      <c r="Z440" s="8"/>
      <c r="AA440" s="8"/>
    </row>
    <row r="441">
      <c r="A441" s="8"/>
      <c r="B441" s="8"/>
      <c r="C441" s="8"/>
      <c r="D441" s="8"/>
      <c r="E441" s="8"/>
      <c r="F441" s="8"/>
      <c r="G441" s="8"/>
      <c r="H441" s="8"/>
      <c r="I441" s="8"/>
      <c r="J441" s="215"/>
      <c r="K441" s="126"/>
      <c r="L441" s="126"/>
      <c r="M441" s="126"/>
      <c r="N441" s="126"/>
      <c r="O441" s="8"/>
      <c r="P441" s="8"/>
      <c r="Q441" s="129"/>
      <c r="R441" s="1369"/>
      <c r="S441" s="126"/>
      <c r="T441" s="8"/>
      <c r="U441" s="1359"/>
      <c r="V441" s="8"/>
      <c r="W441" s="8"/>
      <c r="X441" s="8"/>
      <c r="Y441" s="8"/>
      <c r="Z441" s="8"/>
      <c r="AA441" s="8"/>
    </row>
    <row r="442">
      <c r="A442" s="8"/>
      <c r="B442" s="8"/>
      <c r="C442" s="8"/>
      <c r="D442" s="8"/>
      <c r="E442" s="8"/>
      <c r="F442" s="8"/>
      <c r="G442" s="8"/>
      <c r="H442" s="8"/>
      <c r="I442" s="8"/>
      <c r="J442" s="215"/>
      <c r="K442" s="126"/>
      <c r="L442" s="126"/>
      <c r="M442" s="126"/>
      <c r="N442" s="126"/>
      <c r="O442" s="8"/>
      <c r="P442" s="8"/>
      <c r="Q442" s="129"/>
      <c r="R442" s="1369"/>
      <c r="S442" s="126"/>
      <c r="T442" s="8"/>
      <c r="U442" s="1359"/>
      <c r="V442" s="8"/>
      <c r="W442" s="8"/>
      <c r="X442" s="8"/>
      <c r="Y442" s="8"/>
      <c r="Z442" s="8"/>
      <c r="AA442" s="8"/>
    </row>
    <row r="443">
      <c r="A443" s="8"/>
      <c r="B443" s="8"/>
      <c r="C443" s="8"/>
      <c r="D443" s="8"/>
      <c r="E443" s="8"/>
      <c r="F443" s="8"/>
      <c r="G443" s="8"/>
      <c r="H443" s="8"/>
      <c r="I443" s="8"/>
      <c r="J443" s="215"/>
      <c r="K443" s="126"/>
      <c r="L443" s="126"/>
      <c r="M443" s="126"/>
      <c r="N443" s="126"/>
      <c r="O443" s="8"/>
      <c r="P443" s="8"/>
      <c r="Q443" s="129"/>
      <c r="R443" s="1369"/>
      <c r="S443" s="126"/>
      <c r="T443" s="8"/>
      <c r="U443" s="1359"/>
      <c r="V443" s="8"/>
      <c r="W443" s="8"/>
      <c r="X443" s="8"/>
      <c r="Y443" s="8"/>
      <c r="Z443" s="8"/>
      <c r="AA443" s="8"/>
    </row>
    <row r="444">
      <c r="A444" s="8"/>
      <c r="B444" s="8"/>
      <c r="C444" s="8"/>
      <c r="D444" s="8"/>
      <c r="E444" s="8"/>
      <c r="F444" s="8"/>
      <c r="G444" s="8"/>
      <c r="H444" s="8"/>
      <c r="I444" s="8"/>
      <c r="J444" s="215"/>
      <c r="K444" s="126"/>
      <c r="L444" s="126"/>
      <c r="M444" s="126"/>
      <c r="N444" s="126"/>
      <c r="O444" s="8"/>
      <c r="P444" s="8"/>
      <c r="Q444" s="129"/>
      <c r="R444" s="1369"/>
      <c r="S444" s="126"/>
      <c r="T444" s="8"/>
      <c r="U444" s="1359"/>
      <c r="V444" s="8"/>
      <c r="W444" s="8"/>
      <c r="X444" s="8"/>
      <c r="Y444" s="8"/>
      <c r="Z444" s="8"/>
      <c r="AA444" s="8"/>
    </row>
    <row r="445">
      <c r="A445" s="8"/>
      <c r="B445" s="8"/>
      <c r="C445" s="8"/>
      <c r="D445" s="8"/>
      <c r="E445" s="8"/>
      <c r="F445" s="8"/>
      <c r="G445" s="8"/>
      <c r="H445" s="8"/>
      <c r="I445" s="8"/>
      <c r="J445" s="215"/>
      <c r="K445" s="126"/>
      <c r="L445" s="126"/>
      <c r="M445" s="126"/>
      <c r="N445" s="126"/>
      <c r="O445" s="8"/>
      <c r="P445" s="8"/>
      <c r="Q445" s="129"/>
      <c r="R445" s="1369"/>
      <c r="S445" s="126"/>
      <c r="T445" s="8"/>
      <c r="U445" s="1359"/>
      <c r="V445" s="8"/>
      <c r="W445" s="8"/>
      <c r="X445" s="8"/>
      <c r="Y445" s="8"/>
      <c r="Z445" s="8"/>
      <c r="AA445" s="8"/>
    </row>
    <row r="446">
      <c r="A446" s="8"/>
      <c r="B446" s="8"/>
      <c r="C446" s="8"/>
      <c r="D446" s="8"/>
      <c r="E446" s="8"/>
      <c r="F446" s="8"/>
      <c r="G446" s="8"/>
      <c r="H446" s="8"/>
      <c r="I446" s="8"/>
      <c r="J446" s="215"/>
      <c r="K446" s="126"/>
      <c r="L446" s="126"/>
      <c r="M446" s="126"/>
      <c r="N446" s="126"/>
      <c r="O446" s="8"/>
      <c r="P446" s="8"/>
      <c r="Q446" s="129"/>
      <c r="R446" s="1369"/>
      <c r="S446" s="126"/>
      <c r="T446" s="8"/>
      <c r="U446" s="1359"/>
      <c r="V446" s="8"/>
      <c r="W446" s="8"/>
      <c r="X446" s="8"/>
      <c r="Y446" s="8"/>
      <c r="Z446" s="8"/>
      <c r="AA446" s="8"/>
    </row>
    <row r="447">
      <c r="A447" s="8"/>
      <c r="B447" s="8"/>
      <c r="C447" s="8"/>
      <c r="D447" s="8"/>
      <c r="E447" s="8"/>
      <c r="F447" s="8"/>
      <c r="G447" s="8"/>
      <c r="H447" s="8"/>
      <c r="I447" s="8"/>
      <c r="J447" s="215"/>
      <c r="K447" s="126"/>
      <c r="L447" s="126"/>
      <c r="M447" s="126"/>
      <c r="N447" s="126"/>
      <c r="O447" s="8"/>
      <c r="P447" s="8"/>
      <c r="Q447" s="129"/>
      <c r="R447" s="1369"/>
      <c r="S447" s="126"/>
      <c r="T447" s="8"/>
      <c r="U447" s="1359"/>
      <c r="V447" s="8"/>
      <c r="W447" s="8"/>
      <c r="X447" s="8"/>
      <c r="Y447" s="8"/>
      <c r="Z447" s="8"/>
      <c r="AA447" s="8"/>
    </row>
    <row r="448">
      <c r="A448" s="8"/>
      <c r="B448" s="8"/>
      <c r="C448" s="8"/>
      <c r="D448" s="8"/>
      <c r="E448" s="8"/>
      <c r="F448" s="8"/>
      <c r="G448" s="8"/>
      <c r="H448" s="8"/>
      <c r="I448" s="8"/>
      <c r="J448" s="215"/>
      <c r="K448" s="126"/>
      <c r="L448" s="126"/>
      <c r="M448" s="126"/>
      <c r="N448" s="126"/>
      <c r="O448" s="8"/>
      <c r="P448" s="8"/>
      <c r="Q448" s="129"/>
      <c r="R448" s="1369"/>
      <c r="S448" s="126"/>
      <c r="T448" s="8"/>
      <c r="U448" s="1359"/>
      <c r="V448" s="8"/>
      <c r="W448" s="8"/>
      <c r="X448" s="8"/>
      <c r="Y448" s="8"/>
      <c r="Z448" s="8"/>
      <c r="AA448" s="8"/>
    </row>
    <row r="449">
      <c r="A449" s="8"/>
      <c r="B449" s="8"/>
      <c r="C449" s="8"/>
      <c r="D449" s="8"/>
      <c r="E449" s="8"/>
      <c r="F449" s="8"/>
      <c r="G449" s="8"/>
      <c r="H449" s="8"/>
      <c r="I449" s="8"/>
      <c r="J449" s="215"/>
      <c r="K449" s="126"/>
      <c r="L449" s="126"/>
      <c r="M449" s="126"/>
      <c r="N449" s="126"/>
      <c r="O449" s="8"/>
      <c r="P449" s="8"/>
      <c r="Q449" s="129"/>
      <c r="R449" s="1369"/>
      <c r="S449" s="126"/>
      <c r="T449" s="8"/>
      <c r="U449" s="1359"/>
      <c r="V449" s="8"/>
      <c r="W449" s="8"/>
      <c r="X449" s="8"/>
      <c r="Y449" s="8"/>
      <c r="Z449" s="8"/>
      <c r="AA449" s="8"/>
    </row>
    <row r="450">
      <c r="A450" s="8"/>
      <c r="B450" s="8"/>
      <c r="C450" s="8"/>
      <c r="D450" s="8"/>
      <c r="E450" s="8"/>
      <c r="F450" s="8"/>
      <c r="G450" s="8"/>
      <c r="H450" s="8"/>
      <c r="I450" s="8"/>
      <c r="J450" s="215"/>
      <c r="K450" s="126"/>
      <c r="L450" s="126"/>
      <c r="M450" s="126"/>
      <c r="N450" s="126"/>
      <c r="O450" s="8"/>
      <c r="P450" s="8"/>
      <c r="Q450" s="129"/>
      <c r="R450" s="1369"/>
      <c r="S450" s="126"/>
      <c r="T450" s="8"/>
      <c r="U450" s="1359"/>
      <c r="V450" s="8"/>
      <c r="W450" s="8"/>
      <c r="X450" s="8"/>
      <c r="Y450" s="8"/>
      <c r="Z450" s="8"/>
      <c r="AA450" s="8"/>
    </row>
    <row r="451">
      <c r="A451" s="8"/>
      <c r="B451" s="8"/>
      <c r="C451" s="8"/>
      <c r="D451" s="8"/>
      <c r="E451" s="8"/>
      <c r="F451" s="8"/>
      <c r="G451" s="8"/>
      <c r="H451" s="8"/>
      <c r="I451" s="8"/>
      <c r="J451" s="215"/>
      <c r="K451" s="126"/>
      <c r="L451" s="126"/>
      <c r="M451" s="126"/>
      <c r="N451" s="126"/>
      <c r="O451" s="8"/>
      <c r="P451" s="8"/>
      <c r="Q451" s="129"/>
      <c r="R451" s="1369"/>
      <c r="S451" s="126"/>
      <c r="T451" s="8"/>
      <c r="U451" s="1359"/>
      <c r="V451" s="8"/>
      <c r="W451" s="8"/>
      <c r="X451" s="8"/>
      <c r="Y451" s="8"/>
      <c r="Z451" s="8"/>
      <c r="AA451" s="8"/>
    </row>
    <row r="452">
      <c r="A452" s="8"/>
      <c r="B452" s="8"/>
      <c r="C452" s="8"/>
      <c r="D452" s="8"/>
      <c r="E452" s="8"/>
      <c r="F452" s="8"/>
      <c r="G452" s="8"/>
      <c r="H452" s="8"/>
      <c r="I452" s="8"/>
      <c r="J452" s="215"/>
      <c r="K452" s="126"/>
      <c r="L452" s="126"/>
      <c r="M452" s="126"/>
      <c r="N452" s="126"/>
      <c r="O452" s="8"/>
      <c r="P452" s="8"/>
      <c r="Q452" s="129"/>
      <c r="R452" s="1369"/>
      <c r="S452" s="126"/>
      <c r="T452" s="8"/>
      <c r="U452" s="1359"/>
      <c r="V452" s="8"/>
      <c r="W452" s="8"/>
      <c r="X452" s="8"/>
      <c r="Y452" s="8"/>
      <c r="Z452" s="8"/>
      <c r="AA452" s="8"/>
    </row>
    <row r="453">
      <c r="A453" s="8"/>
      <c r="B453" s="8"/>
      <c r="C453" s="8"/>
      <c r="D453" s="8"/>
      <c r="E453" s="8"/>
      <c r="F453" s="8"/>
      <c r="G453" s="8"/>
      <c r="H453" s="8"/>
      <c r="I453" s="8"/>
      <c r="J453" s="215"/>
      <c r="K453" s="126"/>
      <c r="L453" s="126"/>
      <c r="M453" s="126"/>
      <c r="N453" s="126"/>
      <c r="O453" s="8"/>
      <c r="P453" s="8"/>
      <c r="Q453" s="129"/>
      <c r="R453" s="1369"/>
      <c r="S453" s="126"/>
      <c r="T453" s="8"/>
      <c r="U453" s="1359"/>
      <c r="V453" s="8"/>
      <c r="W453" s="8"/>
      <c r="X453" s="8"/>
      <c r="Y453" s="8"/>
      <c r="Z453" s="8"/>
      <c r="AA453" s="8"/>
    </row>
    <row r="454">
      <c r="A454" s="8"/>
      <c r="B454" s="8"/>
      <c r="C454" s="8"/>
      <c r="D454" s="8"/>
      <c r="E454" s="8"/>
      <c r="F454" s="8"/>
      <c r="G454" s="8"/>
      <c r="H454" s="8"/>
      <c r="I454" s="8"/>
      <c r="J454" s="215"/>
      <c r="K454" s="126"/>
      <c r="L454" s="126"/>
      <c r="M454" s="126"/>
      <c r="N454" s="126"/>
      <c r="O454" s="8"/>
      <c r="P454" s="8"/>
      <c r="Q454" s="129"/>
      <c r="R454" s="1369"/>
      <c r="S454" s="126"/>
      <c r="T454" s="8"/>
      <c r="U454" s="1359"/>
      <c r="V454" s="8"/>
      <c r="W454" s="8"/>
      <c r="X454" s="8"/>
      <c r="Y454" s="8"/>
      <c r="Z454" s="8"/>
      <c r="AA454" s="8"/>
    </row>
    <row r="455">
      <c r="A455" s="8"/>
      <c r="B455" s="8"/>
      <c r="C455" s="8"/>
      <c r="D455" s="8"/>
      <c r="E455" s="8"/>
      <c r="F455" s="8"/>
      <c r="G455" s="8"/>
      <c r="H455" s="8"/>
      <c r="I455" s="8"/>
      <c r="J455" s="215"/>
      <c r="K455" s="126"/>
      <c r="L455" s="126"/>
      <c r="M455" s="126"/>
      <c r="N455" s="126"/>
      <c r="O455" s="8"/>
      <c r="P455" s="8"/>
      <c r="Q455" s="129"/>
      <c r="R455" s="1369"/>
      <c r="S455" s="126"/>
      <c r="T455" s="8"/>
      <c r="U455" s="1359"/>
      <c r="V455" s="8"/>
      <c r="W455" s="8"/>
      <c r="X455" s="8"/>
      <c r="Y455" s="8"/>
      <c r="Z455" s="8"/>
      <c r="AA455" s="8"/>
    </row>
    <row r="456">
      <c r="A456" s="8"/>
      <c r="B456" s="8"/>
      <c r="C456" s="8"/>
      <c r="D456" s="8"/>
      <c r="E456" s="8"/>
      <c r="F456" s="8"/>
      <c r="G456" s="8"/>
      <c r="H456" s="8"/>
      <c r="I456" s="8"/>
      <c r="J456" s="215"/>
      <c r="K456" s="126"/>
      <c r="L456" s="126"/>
      <c r="M456" s="126"/>
      <c r="N456" s="126"/>
      <c r="O456" s="8"/>
      <c r="P456" s="8"/>
      <c r="Q456" s="129"/>
      <c r="R456" s="1369"/>
      <c r="S456" s="126"/>
      <c r="T456" s="8"/>
      <c r="U456" s="1359"/>
      <c r="V456" s="8"/>
      <c r="W456" s="8"/>
      <c r="X456" s="8"/>
      <c r="Y456" s="8"/>
      <c r="Z456" s="8"/>
      <c r="AA456" s="8"/>
    </row>
    <row r="457">
      <c r="A457" s="8"/>
      <c r="B457" s="8"/>
      <c r="C457" s="8"/>
      <c r="D457" s="8"/>
      <c r="E457" s="8"/>
      <c r="F457" s="8"/>
      <c r="G457" s="8"/>
      <c r="H457" s="8"/>
      <c r="I457" s="8"/>
      <c r="J457" s="215"/>
      <c r="K457" s="126"/>
      <c r="L457" s="126"/>
      <c r="M457" s="126"/>
      <c r="N457" s="126"/>
      <c r="O457" s="8"/>
      <c r="P457" s="8"/>
      <c r="Q457" s="129"/>
      <c r="R457" s="1369"/>
      <c r="S457" s="126"/>
      <c r="T457" s="8"/>
      <c r="U457" s="1359"/>
      <c r="V457" s="8"/>
      <c r="W457" s="8"/>
      <c r="X457" s="8"/>
      <c r="Y457" s="8"/>
      <c r="Z457" s="8"/>
      <c r="AA457" s="8"/>
    </row>
    <row r="458">
      <c r="A458" s="8"/>
      <c r="B458" s="8"/>
      <c r="C458" s="8"/>
      <c r="D458" s="8"/>
      <c r="E458" s="8"/>
      <c r="F458" s="8"/>
      <c r="G458" s="8"/>
      <c r="H458" s="8"/>
      <c r="I458" s="8"/>
      <c r="J458" s="215"/>
      <c r="K458" s="126"/>
      <c r="L458" s="126"/>
      <c r="M458" s="126"/>
      <c r="N458" s="126"/>
      <c r="O458" s="8"/>
      <c r="P458" s="8"/>
      <c r="Q458" s="129"/>
      <c r="R458" s="1369"/>
      <c r="S458" s="126"/>
      <c r="T458" s="8"/>
      <c r="U458" s="1359"/>
      <c r="V458" s="8"/>
      <c r="W458" s="8"/>
      <c r="X458" s="8"/>
      <c r="Y458" s="8"/>
      <c r="Z458" s="8"/>
      <c r="AA458" s="8"/>
    </row>
    <row r="459">
      <c r="A459" s="8"/>
      <c r="B459" s="8"/>
      <c r="C459" s="8"/>
      <c r="D459" s="8"/>
      <c r="E459" s="8"/>
      <c r="F459" s="8"/>
      <c r="G459" s="8"/>
      <c r="H459" s="8"/>
      <c r="I459" s="8"/>
      <c r="J459" s="215"/>
      <c r="K459" s="126"/>
      <c r="L459" s="126"/>
      <c r="M459" s="126"/>
      <c r="N459" s="126"/>
      <c r="O459" s="8"/>
      <c r="P459" s="8"/>
      <c r="Q459" s="129"/>
      <c r="R459" s="1369"/>
      <c r="S459" s="126"/>
      <c r="T459" s="8"/>
      <c r="U459" s="1359"/>
      <c r="V459" s="8"/>
      <c r="W459" s="8"/>
      <c r="X459" s="8"/>
      <c r="Y459" s="8"/>
      <c r="Z459" s="8"/>
      <c r="AA459" s="8"/>
    </row>
    <row r="460">
      <c r="A460" s="8"/>
      <c r="B460" s="8"/>
      <c r="C460" s="8"/>
      <c r="D460" s="8"/>
      <c r="E460" s="8"/>
      <c r="F460" s="8"/>
      <c r="G460" s="8"/>
      <c r="H460" s="8"/>
      <c r="I460" s="8"/>
      <c r="J460" s="215"/>
      <c r="K460" s="126"/>
      <c r="L460" s="126"/>
      <c r="M460" s="126"/>
      <c r="N460" s="126"/>
      <c r="O460" s="8"/>
      <c r="P460" s="8"/>
      <c r="Q460" s="129"/>
      <c r="R460" s="1369"/>
      <c r="S460" s="126"/>
      <c r="T460" s="8"/>
      <c r="U460" s="1359"/>
      <c r="V460" s="8"/>
      <c r="W460" s="8"/>
      <c r="X460" s="8"/>
      <c r="Y460" s="8"/>
      <c r="Z460" s="8"/>
      <c r="AA460" s="8"/>
    </row>
    <row r="461">
      <c r="A461" s="8"/>
      <c r="B461" s="8"/>
      <c r="C461" s="8"/>
      <c r="D461" s="8"/>
      <c r="E461" s="8"/>
      <c r="F461" s="8"/>
      <c r="G461" s="8"/>
      <c r="H461" s="8"/>
      <c r="I461" s="8"/>
      <c r="J461" s="215"/>
      <c r="K461" s="126"/>
      <c r="L461" s="126"/>
      <c r="M461" s="126"/>
      <c r="N461" s="126"/>
      <c r="O461" s="8"/>
      <c r="P461" s="8"/>
      <c r="Q461" s="129"/>
      <c r="R461" s="1369"/>
      <c r="S461" s="126"/>
      <c r="T461" s="8"/>
      <c r="U461" s="1359"/>
      <c r="V461" s="8"/>
      <c r="W461" s="8"/>
      <c r="X461" s="8"/>
      <c r="Y461" s="8"/>
      <c r="Z461" s="8"/>
      <c r="AA461" s="8"/>
    </row>
    <row r="462">
      <c r="A462" s="8"/>
      <c r="B462" s="8"/>
      <c r="C462" s="8"/>
      <c r="D462" s="8"/>
      <c r="E462" s="8"/>
      <c r="F462" s="8"/>
      <c r="G462" s="8"/>
      <c r="H462" s="8"/>
      <c r="I462" s="8"/>
      <c r="J462" s="215"/>
      <c r="K462" s="126"/>
      <c r="L462" s="126"/>
      <c r="M462" s="126"/>
      <c r="N462" s="126"/>
      <c r="O462" s="8"/>
      <c r="P462" s="8"/>
      <c r="Q462" s="129"/>
      <c r="R462" s="1369"/>
      <c r="S462" s="126"/>
      <c r="T462" s="8"/>
      <c r="U462" s="1359"/>
      <c r="V462" s="8"/>
      <c r="W462" s="8"/>
      <c r="X462" s="8"/>
      <c r="Y462" s="8"/>
      <c r="Z462" s="8"/>
      <c r="AA462" s="8"/>
    </row>
    <row r="463">
      <c r="A463" s="8"/>
      <c r="B463" s="8"/>
      <c r="C463" s="8"/>
      <c r="D463" s="8"/>
      <c r="E463" s="8"/>
      <c r="F463" s="8"/>
      <c r="G463" s="8"/>
      <c r="H463" s="8"/>
      <c r="I463" s="8"/>
      <c r="J463" s="215"/>
      <c r="K463" s="126"/>
      <c r="L463" s="126"/>
      <c r="M463" s="126"/>
      <c r="N463" s="126"/>
      <c r="O463" s="8"/>
      <c r="P463" s="8"/>
      <c r="Q463" s="129"/>
      <c r="R463" s="1369"/>
      <c r="S463" s="126"/>
      <c r="T463" s="8"/>
      <c r="U463" s="1359"/>
      <c r="V463" s="8"/>
      <c r="W463" s="8"/>
      <c r="X463" s="8"/>
      <c r="Y463" s="8"/>
      <c r="Z463" s="8"/>
      <c r="AA463" s="8"/>
    </row>
    <row r="464">
      <c r="A464" s="8"/>
      <c r="B464" s="8"/>
      <c r="C464" s="8"/>
      <c r="D464" s="8"/>
      <c r="E464" s="8"/>
      <c r="F464" s="8"/>
      <c r="G464" s="8"/>
      <c r="H464" s="8"/>
      <c r="I464" s="8"/>
      <c r="J464" s="215"/>
      <c r="K464" s="126"/>
      <c r="L464" s="126"/>
      <c r="M464" s="126"/>
      <c r="N464" s="126"/>
      <c r="O464" s="8"/>
      <c r="P464" s="8"/>
      <c r="Q464" s="129"/>
      <c r="R464" s="1369"/>
      <c r="S464" s="126"/>
      <c r="T464" s="8"/>
      <c r="U464" s="1359"/>
      <c r="V464" s="8"/>
      <c r="W464" s="8"/>
      <c r="X464" s="8"/>
      <c r="Y464" s="8"/>
      <c r="Z464" s="8"/>
      <c r="AA464" s="8"/>
    </row>
    <row r="465">
      <c r="A465" s="8"/>
      <c r="B465" s="8"/>
      <c r="C465" s="8"/>
      <c r="D465" s="8"/>
      <c r="E465" s="8"/>
      <c r="F465" s="8"/>
      <c r="G465" s="8"/>
      <c r="H465" s="8"/>
      <c r="I465" s="8"/>
      <c r="J465" s="215"/>
      <c r="K465" s="126"/>
      <c r="L465" s="126"/>
      <c r="M465" s="126"/>
      <c r="N465" s="126"/>
      <c r="O465" s="8"/>
      <c r="P465" s="8"/>
      <c r="Q465" s="129"/>
      <c r="R465" s="1369"/>
      <c r="S465" s="126"/>
      <c r="T465" s="8"/>
      <c r="U465" s="1359"/>
      <c r="V465" s="8"/>
      <c r="W465" s="8"/>
      <c r="X465" s="8"/>
      <c r="Y465" s="8"/>
      <c r="Z465" s="8"/>
      <c r="AA465" s="8"/>
    </row>
    <row r="466">
      <c r="A466" s="8"/>
      <c r="B466" s="8"/>
      <c r="C466" s="8"/>
      <c r="D466" s="8"/>
      <c r="E466" s="8"/>
      <c r="F466" s="8"/>
      <c r="G466" s="8"/>
      <c r="H466" s="8"/>
      <c r="I466" s="8"/>
      <c r="J466" s="215"/>
      <c r="K466" s="126"/>
      <c r="L466" s="126"/>
      <c r="M466" s="126"/>
      <c r="N466" s="126"/>
      <c r="O466" s="8"/>
      <c r="P466" s="8"/>
      <c r="Q466" s="129"/>
      <c r="R466" s="1369"/>
      <c r="S466" s="126"/>
      <c r="T466" s="8"/>
      <c r="U466" s="1359"/>
      <c r="V466" s="8"/>
      <c r="W466" s="8"/>
      <c r="X466" s="8"/>
      <c r="Y466" s="8"/>
      <c r="Z466" s="8"/>
      <c r="AA466" s="8"/>
    </row>
    <row r="467">
      <c r="A467" s="8"/>
      <c r="B467" s="8"/>
      <c r="C467" s="8"/>
      <c r="D467" s="8"/>
      <c r="E467" s="8"/>
      <c r="F467" s="8"/>
      <c r="G467" s="8"/>
      <c r="H467" s="8"/>
      <c r="I467" s="8"/>
      <c r="J467" s="215"/>
      <c r="K467" s="126"/>
      <c r="L467" s="126"/>
      <c r="M467" s="126"/>
      <c r="N467" s="126"/>
      <c r="O467" s="8"/>
      <c r="P467" s="8"/>
      <c r="Q467" s="129"/>
      <c r="R467" s="1369"/>
      <c r="S467" s="126"/>
      <c r="T467" s="8"/>
      <c r="U467" s="1359"/>
      <c r="V467" s="8"/>
      <c r="W467" s="8"/>
      <c r="X467" s="8"/>
      <c r="Y467" s="8"/>
      <c r="Z467" s="8"/>
      <c r="AA467" s="8"/>
    </row>
    <row r="468">
      <c r="A468" s="8"/>
      <c r="B468" s="8"/>
      <c r="C468" s="8"/>
      <c r="D468" s="8"/>
      <c r="E468" s="8"/>
      <c r="F468" s="8"/>
      <c r="G468" s="8"/>
      <c r="H468" s="8"/>
      <c r="I468" s="8"/>
      <c r="J468" s="215"/>
      <c r="K468" s="126"/>
      <c r="L468" s="126"/>
      <c r="M468" s="126"/>
      <c r="N468" s="126"/>
      <c r="O468" s="8"/>
      <c r="P468" s="8"/>
      <c r="Q468" s="129"/>
      <c r="R468" s="1369"/>
      <c r="S468" s="126"/>
      <c r="T468" s="8"/>
      <c r="U468" s="1359"/>
      <c r="V468" s="8"/>
      <c r="W468" s="8"/>
      <c r="X468" s="8"/>
      <c r="Y468" s="8"/>
      <c r="Z468" s="8"/>
      <c r="AA468" s="8"/>
    </row>
    <row r="469">
      <c r="A469" s="8"/>
      <c r="B469" s="8"/>
      <c r="C469" s="8"/>
      <c r="D469" s="8"/>
      <c r="E469" s="8"/>
      <c r="F469" s="8"/>
      <c r="G469" s="8"/>
      <c r="H469" s="8"/>
      <c r="I469" s="8"/>
      <c r="J469" s="215"/>
      <c r="K469" s="126"/>
      <c r="L469" s="126"/>
      <c r="M469" s="126"/>
      <c r="N469" s="126"/>
      <c r="O469" s="8"/>
      <c r="P469" s="8"/>
      <c r="Q469" s="129"/>
      <c r="R469" s="1369"/>
      <c r="S469" s="126"/>
      <c r="T469" s="8"/>
      <c r="U469" s="1359"/>
      <c r="V469" s="8"/>
      <c r="W469" s="8"/>
      <c r="X469" s="8"/>
      <c r="Y469" s="8"/>
      <c r="Z469" s="8"/>
      <c r="AA469" s="8"/>
    </row>
    <row r="470">
      <c r="A470" s="8"/>
      <c r="B470" s="8"/>
      <c r="C470" s="8"/>
      <c r="D470" s="8"/>
      <c r="E470" s="8"/>
      <c r="F470" s="8"/>
      <c r="G470" s="8"/>
      <c r="H470" s="8"/>
      <c r="I470" s="8"/>
      <c r="J470" s="215"/>
      <c r="K470" s="126"/>
      <c r="L470" s="126"/>
      <c r="M470" s="126"/>
      <c r="N470" s="126"/>
      <c r="O470" s="8"/>
      <c r="P470" s="8"/>
      <c r="Q470" s="129"/>
      <c r="R470" s="1369"/>
      <c r="S470" s="126"/>
      <c r="T470" s="8"/>
      <c r="U470" s="1359"/>
      <c r="V470" s="8"/>
      <c r="W470" s="8"/>
      <c r="X470" s="8"/>
      <c r="Y470" s="8"/>
      <c r="Z470" s="8"/>
      <c r="AA470" s="8"/>
    </row>
    <row r="471">
      <c r="A471" s="8"/>
      <c r="B471" s="8"/>
      <c r="C471" s="8"/>
      <c r="D471" s="8"/>
      <c r="E471" s="8"/>
      <c r="F471" s="8"/>
      <c r="G471" s="8"/>
      <c r="H471" s="8"/>
      <c r="I471" s="8"/>
      <c r="J471" s="215"/>
      <c r="K471" s="126"/>
      <c r="L471" s="126"/>
      <c r="M471" s="126"/>
      <c r="N471" s="126"/>
      <c r="O471" s="8"/>
      <c r="P471" s="8"/>
      <c r="Q471" s="129"/>
      <c r="R471" s="1369"/>
      <c r="S471" s="126"/>
      <c r="T471" s="8"/>
      <c r="U471" s="1359"/>
      <c r="V471" s="8"/>
      <c r="W471" s="8"/>
      <c r="X471" s="8"/>
      <c r="Y471" s="8"/>
      <c r="Z471" s="8"/>
      <c r="AA471" s="8"/>
    </row>
    <row r="472">
      <c r="A472" s="8"/>
      <c r="B472" s="8"/>
      <c r="C472" s="8"/>
      <c r="D472" s="8"/>
      <c r="E472" s="8"/>
      <c r="F472" s="8"/>
      <c r="G472" s="8"/>
      <c r="H472" s="8"/>
      <c r="I472" s="8"/>
      <c r="J472" s="215"/>
      <c r="K472" s="126"/>
      <c r="L472" s="126"/>
      <c r="M472" s="126"/>
      <c r="N472" s="126"/>
      <c r="O472" s="8"/>
      <c r="P472" s="8"/>
      <c r="Q472" s="129"/>
      <c r="R472" s="1369"/>
      <c r="S472" s="126"/>
      <c r="T472" s="8"/>
      <c r="U472" s="1359"/>
      <c r="V472" s="8"/>
      <c r="W472" s="8"/>
      <c r="X472" s="8"/>
      <c r="Y472" s="8"/>
      <c r="Z472" s="8"/>
      <c r="AA472" s="8"/>
    </row>
    <row r="473">
      <c r="A473" s="8"/>
      <c r="B473" s="8"/>
      <c r="C473" s="8"/>
      <c r="D473" s="8"/>
      <c r="E473" s="8"/>
      <c r="F473" s="8"/>
      <c r="G473" s="8"/>
      <c r="H473" s="8"/>
      <c r="I473" s="8"/>
      <c r="J473" s="215"/>
      <c r="K473" s="126"/>
      <c r="L473" s="126"/>
      <c r="M473" s="126"/>
      <c r="N473" s="126"/>
      <c r="O473" s="8"/>
      <c r="P473" s="8"/>
      <c r="Q473" s="129"/>
      <c r="R473" s="1369"/>
      <c r="S473" s="126"/>
      <c r="T473" s="8"/>
      <c r="U473" s="1359"/>
      <c r="V473" s="8"/>
      <c r="W473" s="8"/>
      <c r="X473" s="8"/>
      <c r="Y473" s="8"/>
      <c r="Z473" s="8"/>
      <c r="AA473" s="8"/>
    </row>
    <row r="474">
      <c r="A474" s="8"/>
      <c r="B474" s="8"/>
      <c r="C474" s="8"/>
      <c r="D474" s="8"/>
      <c r="E474" s="8"/>
      <c r="F474" s="8"/>
      <c r="G474" s="8"/>
      <c r="H474" s="8"/>
      <c r="I474" s="8"/>
      <c r="J474" s="215"/>
      <c r="K474" s="126"/>
      <c r="L474" s="126"/>
      <c r="M474" s="126"/>
      <c r="N474" s="126"/>
      <c r="O474" s="8"/>
      <c r="P474" s="8"/>
      <c r="Q474" s="129"/>
      <c r="R474" s="1369"/>
      <c r="S474" s="126"/>
      <c r="T474" s="8"/>
      <c r="U474" s="1359"/>
      <c r="V474" s="8"/>
      <c r="W474" s="8"/>
      <c r="X474" s="8"/>
      <c r="Y474" s="8"/>
      <c r="Z474" s="8"/>
      <c r="AA474" s="8"/>
    </row>
    <row r="475">
      <c r="A475" s="8"/>
      <c r="B475" s="8"/>
      <c r="C475" s="8"/>
      <c r="D475" s="8"/>
      <c r="E475" s="8"/>
      <c r="F475" s="8"/>
      <c r="G475" s="8"/>
      <c r="H475" s="8"/>
      <c r="I475" s="8"/>
      <c r="J475" s="215"/>
      <c r="K475" s="126"/>
      <c r="L475" s="126"/>
      <c r="M475" s="126"/>
      <c r="N475" s="126"/>
      <c r="O475" s="8"/>
      <c r="P475" s="8"/>
      <c r="Q475" s="129"/>
      <c r="R475" s="1369"/>
      <c r="S475" s="126"/>
      <c r="T475" s="8"/>
      <c r="U475" s="1359"/>
      <c r="V475" s="8"/>
      <c r="W475" s="8"/>
      <c r="X475" s="8"/>
      <c r="Y475" s="8"/>
      <c r="Z475" s="8"/>
      <c r="AA475" s="8"/>
    </row>
    <row r="476">
      <c r="A476" s="8"/>
      <c r="B476" s="8"/>
      <c r="C476" s="8"/>
      <c r="D476" s="8"/>
      <c r="E476" s="8"/>
      <c r="F476" s="8"/>
      <c r="G476" s="8"/>
      <c r="H476" s="8"/>
      <c r="I476" s="8"/>
      <c r="J476" s="215"/>
      <c r="K476" s="126"/>
      <c r="L476" s="126"/>
      <c r="M476" s="126"/>
      <c r="N476" s="126"/>
      <c r="O476" s="8"/>
      <c r="P476" s="8"/>
      <c r="Q476" s="129"/>
      <c r="R476" s="1369"/>
      <c r="S476" s="126"/>
      <c r="T476" s="8"/>
      <c r="U476" s="1359"/>
      <c r="V476" s="8"/>
      <c r="W476" s="8"/>
      <c r="X476" s="8"/>
      <c r="Y476" s="8"/>
      <c r="Z476" s="8"/>
      <c r="AA476" s="8"/>
    </row>
    <row r="477">
      <c r="A477" s="8"/>
      <c r="B477" s="8"/>
      <c r="C477" s="8"/>
      <c r="D477" s="8"/>
      <c r="E477" s="8"/>
      <c r="F477" s="8"/>
      <c r="G477" s="8"/>
      <c r="H477" s="8"/>
      <c r="I477" s="8"/>
      <c r="J477" s="215"/>
      <c r="K477" s="126"/>
      <c r="L477" s="126"/>
      <c r="M477" s="126"/>
      <c r="N477" s="126"/>
      <c r="O477" s="8"/>
      <c r="P477" s="8"/>
      <c r="Q477" s="129"/>
      <c r="R477" s="1369"/>
      <c r="S477" s="126"/>
      <c r="T477" s="8"/>
      <c r="U477" s="1359"/>
      <c r="V477" s="8"/>
      <c r="W477" s="8"/>
      <c r="X477" s="8"/>
      <c r="Y477" s="8"/>
      <c r="Z477" s="8"/>
      <c r="AA477" s="8"/>
    </row>
    <row r="478">
      <c r="A478" s="8"/>
      <c r="B478" s="8"/>
      <c r="C478" s="8"/>
      <c r="D478" s="8"/>
      <c r="E478" s="8"/>
      <c r="F478" s="8"/>
      <c r="G478" s="8"/>
      <c r="H478" s="8"/>
      <c r="I478" s="8"/>
      <c r="J478" s="215"/>
      <c r="K478" s="126"/>
      <c r="L478" s="126"/>
      <c r="M478" s="126"/>
      <c r="N478" s="126"/>
      <c r="O478" s="8"/>
      <c r="P478" s="8"/>
      <c r="Q478" s="129"/>
      <c r="R478" s="1369"/>
      <c r="S478" s="126"/>
      <c r="T478" s="8"/>
      <c r="U478" s="1359"/>
      <c r="V478" s="8"/>
      <c r="W478" s="8"/>
      <c r="X478" s="8"/>
      <c r="Y478" s="8"/>
      <c r="Z478" s="8"/>
      <c r="AA478" s="8"/>
    </row>
    <row r="479">
      <c r="A479" s="8"/>
      <c r="B479" s="8"/>
      <c r="C479" s="8"/>
      <c r="D479" s="8"/>
      <c r="E479" s="8"/>
      <c r="F479" s="8"/>
      <c r="G479" s="8"/>
      <c r="H479" s="8"/>
      <c r="I479" s="8"/>
      <c r="J479" s="215"/>
      <c r="K479" s="126"/>
      <c r="L479" s="126"/>
      <c r="M479" s="126"/>
      <c r="N479" s="126"/>
      <c r="O479" s="8"/>
      <c r="P479" s="8"/>
      <c r="Q479" s="129"/>
      <c r="R479" s="1369"/>
      <c r="S479" s="126"/>
      <c r="T479" s="8"/>
      <c r="U479" s="1359"/>
      <c r="V479" s="8"/>
      <c r="W479" s="8"/>
      <c r="X479" s="8"/>
      <c r="Y479" s="8"/>
      <c r="Z479" s="8"/>
      <c r="AA479" s="8"/>
    </row>
    <row r="480">
      <c r="A480" s="8"/>
      <c r="B480" s="8"/>
      <c r="C480" s="8"/>
      <c r="D480" s="8"/>
      <c r="E480" s="8"/>
      <c r="F480" s="8"/>
      <c r="G480" s="8"/>
      <c r="H480" s="8"/>
      <c r="I480" s="8"/>
      <c r="J480" s="215"/>
      <c r="K480" s="126"/>
      <c r="L480" s="126"/>
      <c r="M480" s="126"/>
      <c r="N480" s="126"/>
      <c r="O480" s="8"/>
      <c r="P480" s="8"/>
      <c r="Q480" s="129"/>
      <c r="R480" s="1369"/>
      <c r="S480" s="126"/>
      <c r="T480" s="8"/>
      <c r="U480" s="1359"/>
      <c r="V480" s="8"/>
      <c r="W480" s="8"/>
      <c r="X480" s="8"/>
      <c r="Y480" s="8"/>
      <c r="Z480" s="8"/>
      <c r="AA480" s="8"/>
    </row>
    <row r="481">
      <c r="A481" s="8"/>
      <c r="B481" s="8"/>
      <c r="C481" s="8"/>
      <c r="D481" s="8"/>
      <c r="E481" s="8"/>
      <c r="F481" s="8"/>
      <c r="G481" s="8"/>
      <c r="H481" s="8"/>
      <c r="I481" s="8"/>
      <c r="J481" s="215"/>
      <c r="K481" s="126"/>
      <c r="L481" s="126"/>
      <c r="M481" s="126"/>
      <c r="N481" s="126"/>
      <c r="O481" s="8"/>
      <c r="P481" s="8"/>
      <c r="Q481" s="129"/>
      <c r="R481" s="1369"/>
      <c r="S481" s="126"/>
      <c r="T481" s="8"/>
      <c r="U481" s="1359"/>
      <c r="V481" s="8"/>
      <c r="W481" s="8"/>
      <c r="X481" s="8"/>
      <c r="Y481" s="8"/>
      <c r="Z481" s="8"/>
      <c r="AA481" s="8"/>
    </row>
    <row r="482">
      <c r="A482" s="8"/>
      <c r="B482" s="8"/>
      <c r="C482" s="8"/>
      <c r="D482" s="8"/>
      <c r="E482" s="8"/>
      <c r="F482" s="8"/>
      <c r="G482" s="8"/>
      <c r="H482" s="8"/>
      <c r="I482" s="8"/>
      <c r="J482" s="215"/>
      <c r="K482" s="126"/>
      <c r="L482" s="126"/>
      <c r="M482" s="126"/>
      <c r="N482" s="126"/>
      <c r="O482" s="8"/>
      <c r="P482" s="8"/>
      <c r="Q482" s="129"/>
      <c r="R482" s="1369"/>
      <c r="S482" s="126"/>
      <c r="T482" s="8"/>
      <c r="U482" s="1359"/>
      <c r="V482" s="8"/>
      <c r="W482" s="8"/>
      <c r="X482" s="8"/>
      <c r="Y482" s="8"/>
      <c r="Z482" s="8"/>
      <c r="AA482" s="8"/>
    </row>
    <row r="483">
      <c r="A483" s="8"/>
      <c r="B483" s="8"/>
      <c r="C483" s="8"/>
      <c r="D483" s="8"/>
      <c r="E483" s="8"/>
      <c r="F483" s="8"/>
      <c r="G483" s="8"/>
      <c r="H483" s="8"/>
      <c r="I483" s="8"/>
      <c r="J483" s="215"/>
      <c r="K483" s="126"/>
      <c r="L483" s="126"/>
      <c r="M483" s="126"/>
      <c r="N483" s="126"/>
      <c r="O483" s="8"/>
      <c r="P483" s="8"/>
      <c r="Q483" s="129"/>
      <c r="R483" s="1369"/>
      <c r="S483" s="126"/>
      <c r="T483" s="8"/>
      <c r="U483" s="1359"/>
      <c r="V483" s="8"/>
      <c r="W483" s="8"/>
      <c r="X483" s="8"/>
      <c r="Y483" s="8"/>
      <c r="Z483" s="8"/>
      <c r="AA483" s="8"/>
    </row>
    <row r="484">
      <c r="A484" s="8"/>
      <c r="B484" s="8"/>
      <c r="C484" s="8"/>
      <c r="D484" s="8"/>
      <c r="E484" s="8"/>
      <c r="F484" s="8"/>
      <c r="G484" s="8"/>
      <c r="H484" s="8"/>
      <c r="I484" s="8"/>
      <c r="J484" s="215"/>
      <c r="K484" s="126"/>
      <c r="L484" s="126"/>
      <c r="M484" s="126"/>
      <c r="N484" s="126"/>
      <c r="O484" s="8"/>
      <c r="P484" s="8"/>
      <c r="Q484" s="129"/>
      <c r="R484" s="1369"/>
      <c r="S484" s="126"/>
      <c r="T484" s="8"/>
      <c r="U484" s="1359"/>
      <c r="V484" s="8"/>
      <c r="W484" s="8"/>
      <c r="X484" s="8"/>
      <c r="Y484" s="8"/>
      <c r="Z484" s="8"/>
      <c r="AA484" s="8"/>
    </row>
    <row r="485">
      <c r="A485" s="8"/>
      <c r="B485" s="8"/>
      <c r="C485" s="8"/>
      <c r="D485" s="8"/>
      <c r="E485" s="8"/>
      <c r="F485" s="8"/>
      <c r="G485" s="8"/>
      <c r="H485" s="8"/>
      <c r="I485" s="8"/>
      <c r="J485" s="215"/>
      <c r="K485" s="126"/>
      <c r="L485" s="126"/>
      <c r="M485" s="126"/>
      <c r="N485" s="126"/>
      <c r="O485" s="8"/>
      <c r="P485" s="8"/>
      <c r="Q485" s="129"/>
      <c r="R485" s="1369"/>
      <c r="S485" s="126"/>
      <c r="T485" s="8"/>
      <c r="U485" s="1359"/>
      <c r="V485" s="8"/>
      <c r="W485" s="8"/>
      <c r="X485" s="8"/>
      <c r="Y485" s="8"/>
      <c r="Z485" s="8"/>
      <c r="AA485" s="8"/>
    </row>
    <row r="486">
      <c r="A486" s="8"/>
      <c r="B486" s="8"/>
      <c r="C486" s="8"/>
      <c r="D486" s="8"/>
      <c r="E486" s="8"/>
      <c r="F486" s="8"/>
      <c r="G486" s="8"/>
      <c r="H486" s="8"/>
      <c r="I486" s="8"/>
      <c r="J486" s="215"/>
      <c r="K486" s="126"/>
      <c r="L486" s="126"/>
      <c r="M486" s="126"/>
      <c r="N486" s="126"/>
      <c r="O486" s="8"/>
      <c r="P486" s="8"/>
      <c r="Q486" s="129"/>
      <c r="R486" s="1369"/>
      <c r="S486" s="126"/>
      <c r="T486" s="8"/>
      <c r="U486" s="1359"/>
      <c r="V486" s="8"/>
      <c r="W486" s="8"/>
      <c r="X486" s="8"/>
      <c r="Y486" s="8"/>
      <c r="Z486" s="8"/>
      <c r="AA486" s="8"/>
    </row>
    <row r="487">
      <c r="A487" s="8"/>
      <c r="B487" s="8"/>
      <c r="C487" s="8"/>
      <c r="D487" s="8"/>
      <c r="E487" s="8"/>
      <c r="F487" s="8"/>
      <c r="G487" s="8"/>
      <c r="H487" s="8"/>
      <c r="I487" s="8"/>
      <c r="J487" s="215"/>
      <c r="K487" s="126"/>
      <c r="L487" s="126"/>
      <c r="M487" s="126"/>
      <c r="N487" s="126"/>
      <c r="O487" s="8"/>
      <c r="P487" s="8"/>
      <c r="Q487" s="129"/>
      <c r="R487" s="1369"/>
      <c r="S487" s="126"/>
      <c r="T487" s="8"/>
      <c r="U487" s="1359"/>
      <c r="V487" s="8"/>
      <c r="W487" s="8"/>
      <c r="X487" s="8"/>
      <c r="Y487" s="8"/>
      <c r="Z487" s="8"/>
      <c r="AA487" s="8"/>
    </row>
    <row r="488">
      <c r="A488" s="8"/>
      <c r="B488" s="8"/>
      <c r="C488" s="8"/>
      <c r="D488" s="8"/>
      <c r="E488" s="8"/>
      <c r="F488" s="8"/>
      <c r="G488" s="8"/>
      <c r="H488" s="8"/>
      <c r="I488" s="8"/>
      <c r="J488" s="215"/>
      <c r="K488" s="126"/>
      <c r="L488" s="126"/>
      <c r="M488" s="126"/>
      <c r="N488" s="126"/>
      <c r="O488" s="8"/>
      <c r="P488" s="8"/>
      <c r="Q488" s="129"/>
      <c r="R488" s="1369"/>
      <c r="S488" s="126"/>
      <c r="T488" s="8"/>
      <c r="U488" s="1359"/>
      <c r="V488" s="8"/>
      <c r="W488" s="8"/>
      <c r="X488" s="8"/>
      <c r="Y488" s="8"/>
      <c r="Z488" s="8"/>
      <c r="AA488" s="8"/>
    </row>
    <row r="489">
      <c r="A489" s="8"/>
      <c r="B489" s="8"/>
      <c r="C489" s="8"/>
      <c r="D489" s="8"/>
      <c r="E489" s="8"/>
      <c r="F489" s="8"/>
      <c r="G489" s="8"/>
      <c r="H489" s="8"/>
      <c r="I489" s="8"/>
      <c r="J489" s="215"/>
      <c r="K489" s="126"/>
      <c r="L489" s="126"/>
      <c r="M489" s="126"/>
      <c r="N489" s="126"/>
      <c r="O489" s="8"/>
      <c r="P489" s="8"/>
      <c r="Q489" s="129"/>
      <c r="R489" s="1369"/>
      <c r="S489" s="126"/>
      <c r="T489" s="8"/>
      <c r="U489" s="1359"/>
      <c r="V489" s="8"/>
      <c r="W489" s="8"/>
      <c r="X489" s="8"/>
      <c r="Y489" s="8"/>
      <c r="Z489" s="8"/>
      <c r="AA489" s="8"/>
    </row>
    <row r="490">
      <c r="A490" s="8"/>
      <c r="B490" s="8"/>
      <c r="C490" s="8"/>
      <c r="D490" s="8"/>
      <c r="E490" s="8"/>
      <c r="F490" s="8"/>
      <c r="G490" s="8"/>
      <c r="H490" s="8"/>
      <c r="I490" s="8"/>
      <c r="J490" s="215"/>
      <c r="K490" s="126"/>
      <c r="L490" s="126"/>
      <c r="M490" s="126"/>
      <c r="N490" s="126"/>
      <c r="O490" s="8"/>
      <c r="P490" s="8"/>
      <c r="Q490" s="129"/>
      <c r="R490" s="1369"/>
      <c r="S490" s="126"/>
      <c r="T490" s="8"/>
      <c r="U490" s="1359"/>
      <c r="V490" s="8"/>
      <c r="W490" s="8"/>
      <c r="X490" s="8"/>
      <c r="Y490" s="8"/>
      <c r="Z490" s="8"/>
      <c r="AA490" s="8"/>
    </row>
    <row r="491">
      <c r="A491" s="8"/>
      <c r="B491" s="8"/>
      <c r="C491" s="8"/>
      <c r="D491" s="8"/>
      <c r="E491" s="8"/>
      <c r="F491" s="8"/>
      <c r="G491" s="8"/>
      <c r="H491" s="8"/>
      <c r="I491" s="8"/>
      <c r="J491" s="215"/>
      <c r="K491" s="126"/>
      <c r="L491" s="126"/>
      <c r="M491" s="126"/>
      <c r="N491" s="126"/>
      <c r="O491" s="8"/>
      <c r="P491" s="8"/>
      <c r="Q491" s="129"/>
      <c r="R491" s="1369"/>
      <c r="S491" s="126"/>
      <c r="T491" s="8"/>
      <c r="U491" s="1359"/>
      <c r="V491" s="8"/>
      <c r="W491" s="8"/>
      <c r="X491" s="8"/>
      <c r="Y491" s="8"/>
      <c r="Z491" s="8"/>
      <c r="AA491" s="8"/>
    </row>
    <row r="492">
      <c r="A492" s="8"/>
      <c r="B492" s="8"/>
      <c r="C492" s="8"/>
      <c r="D492" s="8"/>
      <c r="E492" s="8"/>
      <c r="F492" s="8"/>
      <c r="G492" s="8"/>
      <c r="H492" s="8"/>
      <c r="I492" s="8"/>
      <c r="J492" s="215"/>
      <c r="K492" s="126"/>
      <c r="L492" s="126"/>
      <c r="M492" s="126"/>
      <c r="N492" s="126"/>
      <c r="O492" s="8"/>
      <c r="P492" s="8"/>
      <c r="Q492" s="129"/>
      <c r="R492" s="1369"/>
      <c r="S492" s="126"/>
      <c r="T492" s="8"/>
      <c r="U492" s="1359"/>
      <c r="V492" s="8"/>
      <c r="W492" s="8"/>
      <c r="X492" s="8"/>
      <c r="Y492" s="8"/>
      <c r="Z492" s="8"/>
      <c r="AA492" s="8"/>
    </row>
    <row r="493">
      <c r="A493" s="8"/>
      <c r="B493" s="8"/>
      <c r="C493" s="8"/>
      <c r="D493" s="8"/>
      <c r="E493" s="8"/>
      <c r="F493" s="8"/>
      <c r="G493" s="8"/>
      <c r="H493" s="8"/>
      <c r="I493" s="8"/>
      <c r="J493" s="215"/>
      <c r="K493" s="126"/>
      <c r="L493" s="126"/>
      <c r="M493" s="126"/>
      <c r="N493" s="126"/>
      <c r="O493" s="8"/>
      <c r="P493" s="8"/>
      <c r="Q493" s="129"/>
      <c r="R493" s="1369"/>
      <c r="S493" s="126"/>
      <c r="T493" s="8"/>
      <c r="U493" s="1359"/>
      <c r="V493" s="8"/>
      <c r="W493" s="8"/>
      <c r="X493" s="8"/>
      <c r="Y493" s="8"/>
      <c r="Z493" s="8"/>
      <c r="AA493" s="8"/>
    </row>
    <row r="494">
      <c r="A494" s="8"/>
      <c r="B494" s="8"/>
      <c r="C494" s="8"/>
      <c r="D494" s="8"/>
      <c r="E494" s="8"/>
      <c r="F494" s="8"/>
      <c r="G494" s="8"/>
      <c r="H494" s="8"/>
      <c r="I494" s="8"/>
      <c r="J494" s="215"/>
      <c r="K494" s="126"/>
      <c r="L494" s="126"/>
      <c r="M494" s="126"/>
      <c r="N494" s="126"/>
      <c r="O494" s="8"/>
      <c r="P494" s="8"/>
      <c r="Q494" s="129"/>
      <c r="R494" s="1369"/>
      <c r="S494" s="126"/>
      <c r="T494" s="8"/>
      <c r="U494" s="1359"/>
      <c r="V494" s="8"/>
      <c r="W494" s="8"/>
      <c r="X494" s="8"/>
      <c r="Y494" s="8"/>
      <c r="Z494" s="8"/>
      <c r="AA494" s="8"/>
    </row>
    <row r="495">
      <c r="A495" s="8"/>
      <c r="B495" s="8"/>
      <c r="C495" s="8"/>
      <c r="D495" s="8"/>
      <c r="E495" s="8"/>
      <c r="F495" s="8"/>
      <c r="G495" s="8"/>
      <c r="H495" s="8"/>
      <c r="I495" s="8"/>
      <c r="J495" s="215"/>
      <c r="K495" s="126"/>
      <c r="L495" s="126"/>
      <c r="M495" s="126"/>
      <c r="N495" s="126"/>
      <c r="O495" s="8"/>
      <c r="P495" s="8"/>
      <c r="Q495" s="129"/>
      <c r="R495" s="1369"/>
      <c r="S495" s="126"/>
      <c r="T495" s="8"/>
      <c r="U495" s="1359"/>
      <c r="V495" s="8"/>
      <c r="W495" s="8"/>
      <c r="X495" s="8"/>
      <c r="Y495" s="8"/>
      <c r="Z495" s="8"/>
      <c r="AA495" s="8"/>
    </row>
    <row r="496">
      <c r="A496" s="8"/>
      <c r="B496" s="8"/>
      <c r="C496" s="8"/>
      <c r="D496" s="8"/>
      <c r="E496" s="8"/>
      <c r="F496" s="8"/>
      <c r="G496" s="8"/>
      <c r="H496" s="8"/>
      <c r="I496" s="8"/>
      <c r="J496" s="215"/>
      <c r="K496" s="126"/>
      <c r="L496" s="126"/>
      <c r="M496" s="126"/>
      <c r="N496" s="126"/>
      <c r="O496" s="8"/>
      <c r="P496" s="8"/>
      <c r="Q496" s="129"/>
      <c r="R496" s="1369"/>
      <c r="S496" s="126"/>
      <c r="T496" s="8"/>
      <c r="U496" s="1359"/>
      <c r="V496" s="8"/>
      <c r="W496" s="8"/>
      <c r="X496" s="8"/>
      <c r="Y496" s="8"/>
      <c r="Z496" s="8"/>
      <c r="AA496" s="8"/>
    </row>
    <row r="497">
      <c r="A497" s="8"/>
      <c r="B497" s="8"/>
      <c r="C497" s="8"/>
      <c r="D497" s="8"/>
      <c r="E497" s="8"/>
      <c r="F497" s="8"/>
      <c r="G497" s="8"/>
      <c r="H497" s="8"/>
      <c r="I497" s="8"/>
      <c r="J497" s="215"/>
      <c r="K497" s="126"/>
      <c r="L497" s="126"/>
      <c r="M497" s="126"/>
      <c r="N497" s="126"/>
      <c r="O497" s="8"/>
      <c r="P497" s="8"/>
      <c r="Q497" s="129"/>
      <c r="R497" s="1369"/>
      <c r="S497" s="126"/>
      <c r="T497" s="8"/>
      <c r="U497" s="1359"/>
      <c r="V497" s="8"/>
      <c r="W497" s="8"/>
      <c r="X497" s="8"/>
      <c r="Y497" s="8"/>
      <c r="Z497" s="8"/>
      <c r="AA497" s="8"/>
    </row>
    <row r="498">
      <c r="A498" s="8"/>
      <c r="B498" s="8"/>
      <c r="C498" s="8"/>
      <c r="D498" s="8"/>
      <c r="E498" s="8"/>
      <c r="F498" s="8"/>
      <c r="G498" s="8"/>
      <c r="H498" s="8"/>
      <c r="I498" s="8"/>
      <c r="J498" s="215"/>
      <c r="K498" s="126"/>
      <c r="L498" s="126"/>
      <c r="M498" s="126"/>
      <c r="N498" s="126"/>
      <c r="O498" s="8"/>
      <c r="P498" s="8"/>
      <c r="Q498" s="129"/>
      <c r="R498" s="1369"/>
      <c r="S498" s="126"/>
      <c r="T498" s="8"/>
      <c r="U498" s="1359"/>
      <c r="V498" s="8"/>
      <c r="W498" s="8"/>
      <c r="X498" s="8"/>
      <c r="Y498" s="8"/>
      <c r="Z498" s="8"/>
      <c r="AA498" s="8"/>
    </row>
    <row r="499">
      <c r="A499" s="8"/>
      <c r="B499" s="8"/>
      <c r="C499" s="8"/>
      <c r="D499" s="8"/>
      <c r="E499" s="8"/>
      <c r="F499" s="8"/>
      <c r="G499" s="8"/>
      <c r="H499" s="8"/>
      <c r="I499" s="8"/>
      <c r="J499" s="215"/>
      <c r="K499" s="126"/>
      <c r="L499" s="126"/>
      <c r="M499" s="126"/>
      <c r="N499" s="126"/>
      <c r="O499" s="8"/>
      <c r="P499" s="8"/>
      <c r="Q499" s="129"/>
      <c r="R499" s="1369"/>
      <c r="S499" s="126"/>
      <c r="T499" s="8"/>
      <c r="U499" s="1359"/>
      <c r="V499" s="8"/>
      <c r="W499" s="8"/>
      <c r="X499" s="8"/>
      <c r="Y499" s="8"/>
      <c r="Z499" s="8"/>
      <c r="AA499" s="8"/>
    </row>
    <row r="500">
      <c r="A500" s="8"/>
      <c r="B500" s="8"/>
      <c r="C500" s="8"/>
      <c r="D500" s="8"/>
      <c r="E500" s="8"/>
      <c r="F500" s="8"/>
      <c r="G500" s="8"/>
      <c r="H500" s="8"/>
      <c r="I500" s="8"/>
      <c r="J500" s="215"/>
      <c r="K500" s="126"/>
      <c r="L500" s="126"/>
      <c r="M500" s="126"/>
      <c r="N500" s="126"/>
      <c r="O500" s="8"/>
      <c r="P500" s="8"/>
      <c r="Q500" s="129"/>
      <c r="R500" s="1369"/>
      <c r="S500" s="126"/>
      <c r="T500" s="8"/>
      <c r="U500" s="1359"/>
      <c r="V500" s="8"/>
      <c r="W500" s="8"/>
      <c r="X500" s="8"/>
      <c r="Y500" s="8"/>
      <c r="Z500" s="8"/>
      <c r="AA500" s="8"/>
    </row>
    <row r="501">
      <c r="A501" s="8"/>
      <c r="B501" s="8"/>
      <c r="C501" s="8"/>
      <c r="D501" s="8"/>
      <c r="E501" s="8"/>
      <c r="F501" s="8"/>
      <c r="G501" s="8"/>
      <c r="H501" s="8"/>
      <c r="I501" s="8"/>
      <c r="J501" s="215"/>
      <c r="K501" s="126"/>
      <c r="L501" s="126"/>
      <c r="M501" s="126"/>
      <c r="N501" s="126"/>
      <c r="O501" s="8"/>
      <c r="P501" s="8"/>
      <c r="Q501" s="129"/>
      <c r="R501" s="1369"/>
      <c r="S501" s="126"/>
      <c r="T501" s="8"/>
      <c r="U501" s="1359"/>
      <c r="V501" s="8"/>
      <c r="W501" s="8"/>
      <c r="X501" s="8"/>
      <c r="Y501" s="8"/>
      <c r="Z501" s="8"/>
      <c r="AA501" s="8"/>
    </row>
    <row r="502">
      <c r="A502" s="8"/>
      <c r="B502" s="8"/>
      <c r="C502" s="8"/>
      <c r="D502" s="8"/>
      <c r="E502" s="8"/>
      <c r="F502" s="8"/>
      <c r="G502" s="8"/>
      <c r="H502" s="8"/>
      <c r="I502" s="8"/>
      <c r="J502" s="215"/>
      <c r="K502" s="126"/>
      <c r="L502" s="126"/>
      <c r="M502" s="126"/>
      <c r="N502" s="126"/>
      <c r="O502" s="8"/>
      <c r="P502" s="8"/>
      <c r="Q502" s="129"/>
      <c r="R502" s="1369"/>
      <c r="S502" s="126"/>
      <c r="T502" s="8"/>
      <c r="U502" s="1359"/>
      <c r="V502" s="8"/>
      <c r="W502" s="8"/>
      <c r="X502" s="8"/>
      <c r="Y502" s="8"/>
      <c r="Z502" s="8"/>
      <c r="AA502" s="8"/>
    </row>
    <row r="503">
      <c r="A503" s="8"/>
      <c r="B503" s="8"/>
      <c r="C503" s="8"/>
      <c r="D503" s="8"/>
      <c r="E503" s="8"/>
      <c r="F503" s="8"/>
      <c r="G503" s="8"/>
      <c r="H503" s="8"/>
      <c r="I503" s="8"/>
      <c r="J503" s="215"/>
      <c r="K503" s="126"/>
      <c r="L503" s="126"/>
      <c r="M503" s="126"/>
      <c r="N503" s="126"/>
      <c r="O503" s="8"/>
      <c r="P503" s="8"/>
      <c r="Q503" s="129"/>
      <c r="R503" s="1369"/>
      <c r="S503" s="126"/>
      <c r="T503" s="8"/>
      <c r="U503" s="1359"/>
      <c r="V503" s="8"/>
      <c r="W503" s="8"/>
      <c r="X503" s="8"/>
      <c r="Y503" s="8"/>
      <c r="Z503" s="8"/>
      <c r="AA503" s="8"/>
    </row>
    <row r="504">
      <c r="A504" s="8"/>
      <c r="B504" s="8"/>
      <c r="C504" s="8"/>
      <c r="D504" s="8"/>
      <c r="E504" s="8"/>
      <c r="F504" s="8"/>
      <c r="G504" s="8"/>
      <c r="H504" s="8"/>
      <c r="I504" s="8"/>
      <c r="J504" s="215"/>
      <c r="K504" s="126"/>
      <c r="L504" s="126"/>
      <c r="M504" s="126"/>
      <c r="N504" s="126"/>
      <c r="O504" s="8"/>
      <c r="P504" s="8"/>
      <c r="Q504" s="129"/>
      <c r="R504" s="1369"/>
      <c r="S504" s="126"/>
      <c r="T504" s="8"/>
      <c r="U504" s="1359"/>
      <c r="V504" s="8"/>
      <c r="W504" s="8"/>
      <c r="X504" s="8"/>
      <c r="Y504" s="8"/>
      <c r="Z504" s="8"/>
      <c r="AA504" s="8"/>
    </row>
    <row r="505">
      <c r="A505" s="8"/>
      <c r="B505" s="8"/>
      <c r="C505" s="8"/>
      <c r="D505" s="8"/>
      <c r="E505" s="8"/>
      <c r="F505" s="8"/>
      <c r="G505" s="8"/>
      <c r="H505" s="8"/>
      <c r="I505" s="8"/>
      <c r="J505" s="215"/>
      <c r="K505" s="126"/>
      <c r="L505" s="126"/>
      <c r="M505" s="126"/>
      <c r="N505" s="126"/>
      <c r="O505" s="8"/>
      <c r="P505" s="8"/>
      <c r="Q505" s="129"/>
      <c r="R505" s="1369"/>
      <c r="S505" s="126"/>
      <c r="T505" s="8"/>
      <c r="U505" s="1359"/>
      <c r="V505" s="8"/>
      <c r="W505" s="8"/>
      <c r="X505" s="8"/>
      <c r="Y505" s="8"/>
      <c r="Z505" s="8"/>
      <c r="AA505" s="8"/>
    </row>
    <row r="506">
      <c r="A506" s="8"/>
      <c r="B506" s="8"/>
      <c r="C506" s="8"/>
      <c r="D506" s="8"/>
      <c r="E506" s="8"/>
      <c r="F506" s="8"/>
      <c r="G506" s="8"/>
      <c r="H506" s="8"/>
      <c r="I506" s="8"/>
      <c r="J506" s="215"/>
      <c r="K506" s="126"/>
      <c r="L506" s="126"/>
      <c r="M506" s="126"/>
      <c r="N506" s="126"/>
      <c r="O506" s="8"/>
      <c r="P506" s="8"/>
      <c r="Q506" s="129"/>
      <c r="R506" s="1369"/>
      <c r="S506" s="126"/>
      <c r="T506" s="8"/>
      <c r="U506" s="1359"/>
      <c r="V506" s="8"/>
      <c r="W506" s="8"/>
      <c r="X506" s="8"/>
      <c r="Y506" s="8"/>
      <c r="Z506" s="8"/>
      <c r="AA506" s="8"/>
    </row>
    <row r="507">
      <c r="A507" s="8"/>
      <c r="B507" s="8"/>
      <c r="C507" s="8"/>
      <c r="D507" s="8"/>
      <c r="E507" s="8"/>
      <c r="F507" s="8"/>
      <c r="G507" s="8"/>
      <c r="H507" s="8"/>
      <c r="I507" s="8"/>
      <c r="J507" s="215"/>
      <c r="K507" s="126"/>
      <c r="L507" s="126"/>
      <c r="M507" s="126"/>
      <c r="N507" s="126"/>
      <c r="O507" s="8"/>
      <c r="P507" s="8"/>
      <c r="Q507" s="129"/>
      <c r="R507" s="1369"/>
      <c r="S507" s="126"/>
      <c r="T507" s="8"/>
      <c r="U507" s="1359"/>
      <c r="V507" s="8"/>
      <c r="W507" s="8"/>
      <c r="X507" s="8"/>
      <c r="Y507" s="8"/>
      <c r="Z507" s="8"/>
      <c r="AA507" s="8"/>
    </row>
    <row r="508">
      <c r="A508" s="8"/>
      <c r="B508" s="8"/>
      <c r="C508" s="8"/>
      <c r="D508" s="8"/>
      <c r="E508" s="8"/>
      <c r="F508" s="8"/>
      <c r="G508" s="8"/>
      <c r="H508" s="8"/>
      <c r="I508" s="8"/>
      <c r="J508" s="215"/>
      <c r="K508" s="126"/>
      <c r="L508" s="126"/>
      <c r="M508" s="126"/>
      <c r="N508" s="126"/>
      <c r="O508" s="8"/>
      <c r="P508" s="8"/>
      <c r="Q508" s="129"/>
      <c r="R508" s="1369"/>
      <c r="S508" s="126"/>
      <c r="T508" s="8"/>
      <c r="U508" s="1359"/>
      <c r="V508" s="8"/>
      <c r="W508" s="8"/>
      <c r="X508" s="8"/>
      <c r="Y508" s="8"/>
      <c r="Z508" s="8"/>
      <c r="AA508" s="8"/>
    </row>
    <row r="509">
      <c r="A509" s="8"/>
      <c r="B509" s="8"/>
      <c r="C509" s="8"/>
      <c r="D509" s="8"/>
      <c r="E509" s="8"/>
      <c r="F509" s="8"/>
      <c r="G509" s="8"/>
      <c r="H509" s="8"/>
      <c r="I509" s="8"/>
      <c r="J509" s="215"/>
      <c r="K509" s="126"/>
      <c r="L509" s="126"/>
      <c r="M509" s="126"/>
      <c r="N509" s="126"/>
      <c r="O509" s="8"/>
      <c r="P509" s="8"/>
      <c r="Q509" s="129"/>
      <c r="R509" s="1369"/>
      <c r="S509" s="126"/>
      <c r="T509" s="8"/>
      <c r="U509" s="1359"/>
      <c r="V509" s="8"/>
      <c r="W509" s="8"/>
      <c r="X509" s="8"/>
      <c r="Y509" s="8"/>
      <c r="Z509" s="8"/>
      <c r="AA509" s="8"/>
    </row>
    <row r="510">
      <c r="A510" s="8"/>
      <c r="B510" s="8"/>
      <c r="C510" s="8"/>
      <c r="D510" s="8"/>
      <c r="E510" s="8"/>
      <c r="F510" s="8"/>
      <c r="G510" s="8"/>
      <c r="H510" s="8"/>
      <c r="I510" s="8"/>
      <c r="J510" s="215"/>
      <c r="K510" s="126"/>
      <c r="L510" s="126"/>
      <c r="M510" s="126"/>
      <c r="N510" s="126"/>
      <c r="O510" s="8"/>
      <c r="P510" s="8"/>
      <c r="Q510" s="129"/>
      <c r="R510" s="1369"/>
      <c r="S510" s="126"/>
      <c r="T510" s="8"/>
      <c r="U510" s="1359"/>
      <c r="V510" s="8"/>
      <c r="W510" s="8"/>
      <c r="X510" s="8"/>
      <c r="Y510" s="8"/>
      <c r="Z510" s="8"/>
      <c r="AA510" s="8"/>
    </row>
    <row r="511">
      <c r="A511" s="8"/>
      <c r="B511" s="8"/>
      <c r="C511" s="8"/>
      <c r="D511" s="8"/>
      <c r="E511" s="8"/>
      <c r="F511" s="8"/>
      <c r="G511" s="8"/>
      <c r="H511" s="8"/>
      <c r="I511" s="8"/>
      <c r="J511" s="215"/>
      <c r="K511" s="126"/>
      <c r="L511" s="126"/>
      <c r="M511" s="126"/>
      <c r="N511" s="126"/>
      <c r="O511" s="8"/>
      <c r="P511" s="8"/>
      <c r="Q511" s="129"/>
      <c r="R511" s="1369"/>
      <c r="S511" s="126"/>
      <c r="T511" s="8"/>
      <c r="U511" s="1359"/>
      <c r="V511" s="8"/>
      <c r="W511" s="8"/>
      <c r="X511" s="8"/>
      <c r="Y511" s="8"/>
      <c r="Z511" s="8"/>
      <c r="AA511" s="8"/>
    </row>
    <row r="512">
      <c r="A512" s="8"/>
      <c r="B512" s="8"/>
      <c r="C512" s="8"/>
      <c r="D512" s="8"/>
      <c r="E512" s="8"/>
      <c r="F512" s="8"/>
      <c r="G512" s="8"/>
      <c r="H512" s="8"/>
      <c r="I512" s="8"/>
      <c r="J512" s="215"/>
      <c r="K512" s="126"/>
      <c r="L512" s="126"/>
      <c r="M512" s="126"/>
      <c r="N512" s="126"/>
      <c r="O512" s="8"/>
      <c r="P512" s="8"/>
      <c r="Q512" s="129"/>
      <c r="R512" s="1369"/>
      <c r="S512" s="126"/>
      <c r="T512" s="8"/>
      <c r="U512" s="1359"/>
      <c r="V512" s="8"/>
      <c r="W512" s="8"/>
      <c r="X512" s="8"/>
      <c r="Y512" s="8"/>
      <c r="Z512" s="8"/>
      <c r="AA512" s="8"/>
    </row>
    <row r="513">
      <c r="A513" s="8"/>
      <c r="B513" s="8"/>
      <c r="C513" s="8"/>
      <c r="D513" s="8"/>
      <c r="E513" s="8"/>
      <c r="F513" s="8"/>
      <c r="G513" s="8"/>
      <c r="H513" s="8"/>
      <c r="I513" s="8"/>
      <c r="J513" s="215"/>
      <c r="K513" s="126"/>
      <c r="L513" s="126"/>
      <c r="M513" s="126"/>
      <c r="N513" s="126"/>
      <c r="O513" s="8"/>
      <c r="P513" s="8"/>
      <c r="Q513" s="129"/>
      <c r="R513" s="1369"/>
      <c r="S513" s="126"/>
      <c r="T513" s="8"/>
      <c r="U513" s="1359"/>
      <c r="V513" s="8"/>
      <c r="W513" s="8"/>
      <c r="X513" s="8"/>
      <c r="Y513" s="8"/>
      <c r="Z513" s="8"/>
      <c r="AA513" s="8"/>
    </row>
    <row r="514">
      <c r="A514" s="8"/>
      <c r="B514" s="8"/>
      <c r="C514" s="8"/>
      <c r="D514" s="8"/>
      <c r="E514" s="8"/>
      <c r="F514" s="8"/>
      <c r="G514" s="8"/>
      <c r="H514" s="8"/>
      <c r="I514" s="8"/>
      <c r="J514" s="215"/>
      <c r="K514" s="126"/>
      <c r="L514" s="126"/>
      <c r="M514" s="126"/>
      <c r="N514" s="126"/>
      <c r="O514" s="8"/>
      <c r="P514" s="8"/>
      <c r="Q514" s="129"/>
      <c r="R514" s="1369"/>
      <c r="S514" s="126"/>
      <c r="T514" s="8"/>
      <c r="U514" s="1359"/>
      <c r="V514" s="8"/>
      <c r="W514" s="8"/>
      <c r="X514" s="8"/>
      <c r="Y514" s="8"/>
      <c r="Z514" s="8"/>
      <c r="AA514" s="8"/>
    </row>
    <row r="515">
      <c r="A515" s="8"/>
      <c r="B515" s="8"/>
      <c r="C515" s="8"/>
      <c r="D515" s="8"/>
      <c r="E515" s="8"/>
      <c r="F515" s="8"/>
      <c r="G515" s="8"/>
      <c r="H515" s="8"/>
      <c r="I515" s="8"/>
      <c r="J515" s="215"/>
      <c r="K515" s="126"/>
      <c r="L515" s="126"/>
      <c r="M515" s="126"/>
      <c r="N515" s="126"/>
      <c r="O515" s="8"/>
      <c r="P515" s="8"/>
      <c r="Q515" s="129"/>
      <c r="R515" s="1369"/>
      <c r="S515" s="126"/>
      <c r="T515" s="8"/>
      <c r="U515" s="1359"/>
      <c r="V515" s="8"/>
      <c r="W515" s="8"/>
      <c r="X515" s="8"/>
      <c r="Y515" s="8"/>
      <c r="Z515" s="8"/>
      <c r="AA515" s="8"/>
    </row>
    <row r="516">
      <c r="A516" s="8"/>
      <c r="B516" s="8"/>
      <c r="C516" s="8"/>
      <c r="D516" s="8"/>
      <c r="E516" s="8"/>
      <c r="F516" s="8"/>
      <c r="G516" s="8"/>
      <c r="H516" s="8"/>
      <c r="I516" s="8"/>
      <c r="J516" s="215"/>
      <c r="K516" s="126"/>
      <c r="L516" s="126"/>
      <c r="M516" s="126"/>
      <c r="N516" s="126"/>
      <c r="O516" s="8"/>
      <c r="P516" s="8"/>
      <c r="Q516" s="129"/>
      <c r="R516" s="1369"/>
      <c r="S516" s="126"/>
      <c r="T516" s="8"/>
      <c r="U516" s="1359"/>
      <c r="V516" s="8"/>
      <c r="W516" s="8"/>
      <c r="X516" s="8"/>
      <c r="Y516" s="8"/>
      <c r="Z516" s="8"/>
      <c r="AA516" s="8"/>
    </row>
    <row r="517">
      <c r="A517" s="8"/>
      <c r="B517" s="8"/>
      <c r="C517" s="8"/>
      <c r="D517" s="8"/>
      <c r="E517" s="8"/>
      <c r="F517" s="8"/>
      <c r="G517" s="8"/>
      <c r="H517" s="8"/>
      <c r="I517" s="8"/>
      <c r="J517" s="215"/>
      <c r="K517" s="126"/>
      <c r="L517" s="126"/>
      <c r="M517" s="126"/>
      <c r="N517" s="126"/>
      <c r="O517" s="8"/>
      <c r="P517" s="8"/>
      <c r="Q517" s="129"/>
      <c r="R517" s="1369"/>
      <c r="S517" s="126"/>
      <c r="T517" s="8"/>
      <c r="U517" s="1359"/>
      <c r="V517" s="8"/>
      <c r="W517" s="8"/>
      <c r="X517" s="8"/>
      <c r="Y517" s="8"/>
      <c r="Z517" s="8"/>
      <c r="AA517" s="8"/>
    </row>
    <row r="518">
      <c r="A518" s="8"/>
      <c r="B518" s="8"/>
      <c r="C518" s="8"/>
      <c r="D518" s="8"/>
      <c r="E518" s="8"/>
      <c r="F518" s="8"/>
      <c r="G518" s="8"/>
      <c r="H518" s="8"/>
      <c r="I518" s="8"/>
      <c r="J518" s="215"/>
      <c r="K518" s="126"/>
      <c r="L518" s="126"/>
      <c r="M518" s="126"/>
      <c r="N518" s="126"/>
      <c r="O518" s="8"/>
      <c r="P518" s="8"/>
      <c r="Q518" s="129"/>
      <c r="R518" s="1369"/>
      <c r="S518" s="126"/>
      <c r="T518" s="8"/>
      <c r="U518" s="1359"/>
      <c r="V518" s="8"/>
      <c r="W518" s="8"/>
      <c r="X518" s="8"/>
      <c r="Y518" s="8"/>
      <c r="Z518" s="8"/>
      <c r="AA518" s="8"/>
    </row>
    <row r="519">
      <c r="A519" s="8"/>
      <c r="B519" s="8"/>
      <c r="C519" s="8"/>
      <c r="D519" s="8"/>
      <c r="E519" s="8"/>
      <c r="F519" s="8"/>
      <c r="G519" s="8"/>
      <c r="H519" s="8"/>
      <c r="I519" s="8"/>
      <c r="J519" s="215"/>
      <c r="K519" s="126"/>
      <c r="L519" s="126"/>
      <c r="M519" s="126"/>
      <c r="N519" s="126"/>
      <c r="O519" s="8"/>
      <c r="P519" s="8"/>
      <c r="Q519" s="129"/>
      <c r="R519" s="1369"/>
      <c r="S519" s="126"/>
      <c r="T519" s="8"/>
      <c r="U519" s="1359"/>
      <c r="V519" s="8"/>
      <c r="W519" s="8"/>
      <c r="X519" s="8"/>
      <c r="Y519" s="8"/>
      <c r="Z519" s="8"/>
      <c r="AA519" s="8"/>
    </row>
    <row r="520">
      <c r="A520" s="8"/>
      <c r="B520" s="8"/>
      <c r="C520" s="8"/>
      <c r="D520" s="8"/>
      <c r="E520" s="8"/>
      <c r="F520" s="8"/>
      <c r="G520" s="8"/>
      <c r="H520" s="8"/>
      <c r="I520" s="8"/>
      <c r="J520" s="215"/>
      <c r="K520" s="126"/>
      <c r="L520" s="126"/>
      <c r="M520" s="126"/>
      <c r="N520" s="126"/>
      <c r="O520" s="8"/>
      <c r="P520" s="8"/>
      <c r="Q520" s="129"/>
      <c r="R520" s="1369"/>
      <c r="S520" s="126"/>
      <c r="T520" s="8"/>
      <c r="U520" s="1359"/>
      <c r="V520" s="8"/>
      <c r="W520" s="8"/>
      <c r="X520" s="8"/>
      <c r="Y520" s="8"/>
      <c r="Z520" s="8"/>
      <c r="AA520" s="8"/>
    </row>
    <row r="521">
      <c r="A521" s="8"/>
      <c r="B521" s="8"/>
      <c r="C521" s="8"/>
      <c r="D521" s="8"/>
      <c r="E521" s="8"/>
      <c r="F521" s="8"/>
      <c r="G521" s="8"/>
      <c r="H521" s="8"/>
      <c r="I521" s="8"/>
      <c r="J521" s="215"/>
      <c r="K521" s="126"/>
      <c r="L521" s="126"/>
      <c r="M521" s="126"/>
      <c r="N521" s="126"/>
      <c r="O521" s="8"/>
      <c r="P521" s="8"/>
      <c r="Q521" s="129"/>
      <c r="R521" s="1369"/>
      <c r="S521" s="126"/>
      <c r="T521" s="8"/>
      <c r="U521" s="1359"/>
      <c r="V521" s="8"/>
      <c r="W521" s="8"/>
      <c r="X521" s="8"/>
      <c r="Y521" s="8"/>
      <c r="Z521" s="8"/>
      <c r="AA521" s="8"/>
    </row>
    <row r="522">
      <c r="A522" s="8"/>
      <c r="B522" s="8"/>
      <c r="C522" s="8"/>
      <c r="D522" s="8"/>
      <c r="E522" s="8"/>
      <c r="F522" s="8"/>
      <c r="G522" s="8"/>
      <c r="H522" s="8"/>
      <c r="I522" s="8"/>
      <c r="J522" s="215"/>
      <c r="K522" s="126"/>
      <c r="L522" s="126"/>
      <c r="M522" s="126"/>
      <c r="N522" s="126"/>
      <c r="O522" s="8"/>
      <c r="P522" s="8"/>
      <c r="Q522" s="129"/>
      <c r="R522" s="1369"/>
      <c r="S522" s="126"/>
      <c r="T522" s="8"/>
      <c r="U522" s="1359"/>
      <c r="V522" s="8"/>
      <c r="W522" s="8"/>
      <c r="X522" s="8"/>
      <c r="Y522" s="8"/>
      <c r="Z522" s="8"/>
      <c r="AA522" s="8"/>
    </row>
    <row r="523">
      <c r="A523" s="8"/>
      <c r="B523" s="8"/>
      <c r="C523" s="8"/>
      <c r="D523" s="8"/>
      <c r="E523" s="8"/>
      <c r="F523" s="8"/>
      <c r="G523" s="8"/>
      <c r="H523" s="8"/>
      <c r="I523" s="8"/>
      <c r="J523" s="215"/>
      <c r="K523" s="126"/>
      <c r="L523" s="126"/>
      <c r="M523" s="126"/>
      <c r="N523" s="126"/>
      <c r="O523" s="8"/>
      <c r="P523" s="8"/>
      <c r="Q523" s="129"/>
      <c r="R523" s="1369"/>
      <c r="S523" s="126"/>
      <c r="T523" s="8"/>
      <c r="U523" s="1359"/>
      <c r="V523" s="8"/>
      <c r="W523" s="8"/>
      <c r="X523" s="8"/>
      <c r="Y523" s="8"/>
      <c r="Z523" s="8"/>
      <c r="AA523" s="8"/>
    </row>
    <row r="524">
      <c r="A524" s="8"/>
      <c r="B524" s="8"/>
      <c r="C524" s="8"/>
      <c r="D524" s="8"/>
      <c r="E524" s="8"/>
      <c r="F524" s="8"/>
      <c r="G524" s="8"/>
      <c r="H524" s="8"/>
      <c r="I524" s="8"/>
      <c r="J524" s="215"/>
      <c r="K524" s="126"/>
      <c r="L524" s="126"/>
      <c r="M524" s="126"/>
      <c r="N524" s="126"/>
      <c r="O524" s="8"/>
      <c r="P524" s="8"/>
      <c r="Q524" s="129"/>
      <c r="R524" s="1369"/>
      <c r="S524" s="126"/>
      <c r="T524" s="8"/>
      <c r="U524" s="1359"/>
      <c r="V524" s="8"/>
      <c r="W524" s="8"/>
      <c r="X524" s="8"/>
      <c r="Y524" s="8"/>
      <c r="Z524" s="8"/>
      <c r="AA524" s="8"/>
    </row>
    <row r="525">
      <c r="A525" s="8"/>
      <c r="B525" s="8"/>
      <c r="C525" s="8"/>
      <c r="D525" s="8"/>
      <c r="E525" s="8"/>
      <c r="F525" s="8"/>
      <c r="G525" s="8"/>
      <c r="H525" s="8"/>
      <c r="I525" s="8"/>
      <c r="J525" s="215"/>
      <c r="K525" s="126"/>
      <c r="L525" s="126"/>
      <c r="M525" s="126"/>
      <c r="N525" s="126"/>
      <c r="O525" s="8"/>
      <c r="P525" s="8"/>
      <c r="Q525" s="129"/>
      <c r="R525" s="1369"/>
      <c r="S525" s="126"/>
      <c r="T525" s="8"/>
      <c r="U525" s="1359"/>
      <c r="V525" s="8"/>
      <c r="W525" s="8"/>
      <c r="X525" s="8"/>
      <c r="Y525" s="8"/>
      <c r="Z525" s="8"/>
      <c r="AA525" s="8"/>
    </row>
    <row r="526">
      <c r="A526" s="8"/>
      <c r="B526" s="8"/>
      <c r="C526" s="8"/>
      <c r="D526" s="8"/>
      <c r="E526" s="8"/>
      <c r="F526" s="8"/>
      <c r="G526" s="8"/>
      <c r="H526" s="8"/>
      <c r="I526" s="8"/>
      <c r="J526" s="215"/>
      <c r="K526" s="126"/>
      <c r="L526" s="126"/>
      <c r="M526" s="126"/>
      <c r="N526" s="126"/>
      <c r="O526" s="8"/>
      <c r="P526" s="8"/>
      <c r="Q526" s="129"/>
      <c r="R526" s="1369"/>
      <c r="S526" s="126"/>
      <c r="T526" s="8"/>
      <c r="U526" s="1359"/>
      <c r="V526" s="8"/>
      <c r="W526" s="8"/>
      <c r="X526" s="8"/>
      <c r="Y526" s="8"/>
      <c r="Z526" s="8"/>
      <c r="AA526" s="8"/>
    </row>
    <row r="527">
      <c r="A527" s="8"/>
      <c r="B527" s="8"/>
      <c r="C527" s="8"/>
      <c r="D527" s="8"/>
      <c r="E527" s="8"/>
      <c r="F527" s="8"/>
      <c r="G527" s="8"/>
      <c r="H527" s="8"/>
      <c r="I527" s="8"/>
      <c r="J527" s="215"/>
      <c r="K527" s="126"/>
      <c r="L527" s="126"/>
      <c r="M527" s="126"/>
      <c r="N527" s="126"/>
      <c r="O527" s="8"/>
      <c r="P527" s="8"/>
      <c r="Q527" s="129"/>
      <c r="R527" s="1369"/>
      <c r="S527" s="126"/>
      <c r="T527" s="8"/>
      <c r="U527" s="1359"/>
      <c r="V527" s="8"/>
      <c r="W527" s="8"/>
      <c r="X527" s="8"/>
      <c r="Y527" s="8"/>
      <c r="Z527" s="8"/>
      <c r="AA527" s="8"/>
    </row>
    <row r="528">
      <c r="A528" s="8"/>
      <c r="B528" s="8"/>
      <c r="C528" s="8"/>
      <c r="D528" s="8"/>
      <c r="E528" s="8"/>
      <c r="F528" s="8"/>
      <c r="G528" s="8"/>
      <c r="H528" s="8"/>
      <c r="I528" s="8"/>
      <c r="J528" s="215"/>
      <c r="K528" s="126"/>
      <c r="L528" s="126"/>
      <c r="M528" s="126"/>
      <c r="N528" s="126"/>
      <c r="O528" s="8"/>
      <c r="P528" s="8"/>
      <c r="Q528" s="129"/>
      <c r="R528" s="1369"/>
      <c r="S528" s="126"/>
      <c r="T528" s="8"/>
      <c r="U528" s="1359"/>
      <c r="V528" s="8"/>
      <c r="W528" s="8"/>
      <c r="X528" s="8"/>
      <c r="Y528" s="8"/>
      <c r="Z528" s="8"/>
      <c r="AA528" s="8"/>
    </row>
    <row r="529">
      <c r="A529" s="8"/>
      <c r="B529" s="8"/>
      <c r="C529" s="8"/>
      <c r="D529" s="8"/>
      <c r="E529" s="8"/>
      <c r="F529" s="8"/>
      <c r="G529" s="8"/>
      <c r="H529" s="8"/>
      <c r="I529" s="8"/>
      <c r="J529" s="215"/>
      <c r="K529" s="126"/>
      <c r="L529" s="126"/>
      <c r="M529" s="126"/>
      <c r="N529" s="126"/>
      <c r="O529" s="8"/>
      <c r="P529" s="8"/>
      <c r="Q529" s="129"/>
      <c r="R529" s="1369"/>
      <c r="S529" s="126"/>
      <c r="T529" s="8"/>
      <c r="U529" s="1359"/>
      <c r="V529" s="8"/>
      <c r="W529" s="8"/>
      <c r="X529" s="8"/>
      <c r="Y529" s="8"/>
      <c r="Z529" s="8"/>
      <c r="AA529" s="8"/>
    </row>
    <row r="530">
      <c r="A530" s="8"/>
      <c r="B530" s="8"/>
      <c r="C530" s="8"/>
      <c r="D530" s="8"/>
      <c r="E530" s="8"/>
      <c r="F530" s="8"/>
      <c r="G530" s="8"/>
      <c r="H530" s="8"/>
      <c r="I530" s="8"/>
      <c r="J530" s="215"/>
      <c r="K530" s="126"/>
      <c r="L530" s="126"/>
      <c r="M530" s="126"/>
      <c r="N530" s="126"/>
      <c r="O530" s="8"/>
      <c r="P530" s="8"/>
      <c r="Q530" s="129"/>
      <c r="R530" s="1369"/>
      <c r="S530" s="126"/>
      <c r="T530" s="8"/>
      <c r="U530" s="1359"/>
      <c r="V530" s="8"/>
      <c r="W530" s="8"/>
      <c r="X530" s="8"/>
      <c r="Y530" s="8"/>
      <c r="Z530" s="8"/>
      <c r="AA530" s="8"/>
    </row>
    <row r="531">
      <c r="A531" s="8"/>
      <c r="B531" s="8"/>
      <c r="C531" s="8"/>
      <c r="D531" s="8"/>
      <c r="E531" s="8"/>
      <c r="F531" s="8"/>
      <c r="G531" s="8"/>
      <c r="H531" s="8"/>
      <c r="I531" s="8"/>
      <c r="J531" s="215"/>
      <c r="K531" s="126"/>
      <c r="L531" s="126"/>
      <c r="M531" s="126"/>
      <c r="N531" s="126"/>
      <c r="O531" s="8"/>
      <c r="P531" s="8"/>
      <c r="Q531" s="129"/>
      <c r="R531" s="1369"/>
      <c r="S531" s="126"/>
      <c r="T531" s="8"/>
      <c r="U531" s="1359"/>
      <c r="V531" s="8"/>
      <c r="W531" s="8"/>
      <c r="X531" s="8"/>
      <c r="Y531" s="8"/>
      <c r="Z531" s="8"/>
      <c r="AA531" s="8"/>
    </row>
    <row r="532">
      <c r="A532" s="8"/>
      <c r="B532" s="8"/>
      <c r="C532" s="8"/>
      <c r="D532" s="8"/>
      <c r="E532" s="8"/>
      <c r="F532" s="8"/>
      <c r="G532" s="8"/>
      <c r="H532" s="8"/>
      <c r="I532" s="8"/>
      <c r="J532" s="215"/>
      <c r="K532" s="126"/>
      <c r="L532" s="126"/>
      <c r="M532" s="126"/>
      <c r="N532" s="126"/>
      <c r="O532" s="8"/>
      <c r="P532" s="8"/>
      <c r="Q532" s="129"/>
      <c r="R532" s="1369"/>
      <c r="S532" s="126"/>
      <c r="T532" s="8"/>
      <c r="U532" s="1359"/>
      <c r="V532" s="8"/>
      <c r="W532" s="8"/>
      <c r="X532" s="8"/>
      <c r="Y532" s="8"/>
      <c r="Z532" s="8"/>
      <c r="AA532" s="8"/>
    </row>
    <row r="533">
      <c r="A533" s="8"/>
      <c r="B533" s="8"/>
      <c r="C533" s="8"/>
      <c r="D533" s="8"/>
      <c r="E533" s="8"/>
      <c r="F533" s="8"/>
      <c r="G533" s="8"/>
      <c r="H533" s="8"/>
      <c r="I533" s="8"/>
      <c r="J533" s="215"/>
      <c r="K533" s="126"/>
      <c r="L533" s="126"/>
      <c r="M533" s="126"/>
      <c r="N533" s="126"/>
      <c r="O533" s="8"/>
      <c r="P533" s="8"/>
      <c r="Q533" s="129"/>
      <c r="R533" s="1369"/>
      <c r="S533" s="126"/>
      <c r="T533" s="8"/>
      <c r="U533" s="1359"/>
      <c r="V533" s="8"/>
      <c r="W533" s="8"/>
      <c r="X533" s="8"/>
      <c r="Y533" s="8"/>
      <c r="Z533" s="8"/>
      <c r="AA533" s="8"/>
    </row>
    <row r="534">
      <c r="A534" s="8"/>
      <c r="B534" s="8"/>
      <c r="C534" s="8"/>
      <c r="D534" s="8"/>
      <c r="E534" s="8"/>
      <c r="F534" s="8"/>
      <c r="G534" s="8"/>
      <c r="H534" s="8"/>
      <c r="I534" s="8"/>
      <c r="J534" s="215"/>
      <c r="K534" s="126"/>
      <c r="L534" s="126"/>
      <c r="M534" s="126"/>
      <c r="N534" s="126"/>
      <c r="O534" s="8"/>
      <c r="P534" s="8"/>
      <c r="Q534" s="129"/>
      <c r="R534" s="1369"/>
      <c r="S534" s="126"/>
      <c r="T534" s="8"/>
      <c r="U534" s="1359"/>
      <c r="V534" s="8"/>
      <c r="W534" s="8"/>
      <c r="X534" s="8"/>
      <c r="Y534" s="8"/>
      <c r="Z534" s="8"/>
      <c r="AA534" s="8"/>
    </row>
    <row r="535">
      <c r="A535" s="8"/>
      <c r="B535" s="8"/>
      <c r="C535" s="8"/>
      <c r="D535" s="8"/>
      <c r="E535" s="8"/>
      <c r="F535" s="8"/>
      <c r="G535" s="8"/>
      <c r="H535" s="8"/>
      <c r="I535" s="8"/>
      <c r="J535" s="215"/>
      <c r="K535" s="126"/>
      <c r="L535" s="126"/>
      <c r="M535" s="126"/>
      <c r="N535" s="126"/>
      <c r="O535" s="8"/>
      <c r="P535" s="8"/>
      <c r="Q535" s="129"/>
      <c r="R535" s="1369"/>
      <c r="S535" s="126"/>
      <c r="T535" s="8"/>
      <c r="U535" s="1359"/>
      <c r="V535" s="8"/>
      <c r="W535" s="8"/>
      <c r="X535" s="8"/>
      <c r="Y535" s="8"/>
      <c r="Z535" s="8"/>
      <c r="AA535" s="8"/>
    </row>
    <row r="536">
      <c r="A536" s="8"/>
      <c r="B536" s="8"/>
      <c r="C536" s="8"/>
      <c r="D536" s="8"/>
      <c r="E536" s="8"/>
      <c r="F536" s="8"/>
      <c r="G536" s="8"/>
      <c r="H536" s="8"/>
      <c r="I536" s="8"/>
      <c r="J536" s="215"/>
      <c r="K536" s="126"/>
      <c r="L536" s="126"/>
      <c r="M536" s="126"/>
      <c r="N536" s="126"/>
      <c r="O536" s="8"/>
      <c r="P536" s="8"/>
      <c r="Q536" s="129"/>
      <c r="R536" s="1369"/>
      <c r="S536" s="126"/>
      <c r="T536" s="8"/>
      <c r="U536" s="1359"/>
      <c r="V536" s="8"/>
      <c r="W536" s="8"/>
      <c r="X536" s="8"/>
      <c r="Y536" s="8"/>
      <c r="Z536" s="8"/>
      <c r="AA536" s="8"/>
    </row>
    <row r="537">
      <c r="A537" s="8"/>
      <c r="B537" s="8"/>
      <c r="C537" s="8"/>
      <c r="D537" s="8"/>
      <c r="E537" s="8"/>
      <c r="F537" s="8"/>
      <c r="G537" s="8"/>
      <c r="H537" s="8"/>
      <c r="I537" s="8"/>
      <c r="J537" s="215"/>
      <c r="K537" s="126"/>
      <c r="L537" s="126"/>
      <c r="M537" s="126"/>
      <c r="N537" s="126"/>
      <c r="O537" s="8"/>
      <c r="P537" s="8"/>
      <c r="Q537" s="129"/>
      <c r="R537" s="1369"/>
      <c r="S537" s="126"/>
      <c r="T537" s="8"/>
      <c r="U537" s="1359"/>
      <c r="V537" s="8"/>
      <c r="W537" s="8"/>
      <c r="X537" s="8"/>
      <c r="Y537" s="8"/>
      <c r="Z537" s="8"/>
      <c r="AA537" s="8"/>
    </row>
    <row r="538">
      <c r="A538" s="8"/>
      <c r="B538" s="8"/>
      <c r="C538" s="8"/>
      <c r="D538" s="8"/>
      <c r="E538" s="8"/>
      <c r="F538" s="8"/>
      <c r="G538" s="8"/>
      <c r="H538" s="8"/>
      <c r="I538" s="8"/>
      <c r="J538" s="215"/>
      <c r="K538" s="126"/>
      <c r="L538" s="126"/>
      <c r="M538" s="126"/>
      <c r="N538" s="126"/>
      <c r="O538" s="8"/>
      <c r="P538" s="8"/>
      <c r="Q538" s="129"/>
      <c r="R538" s="1369"/>
      <c r="S538" s="126"/>
      <c r="T538" s="8"/>
      <c r="U538" s="1359"/>
      <c r="V538" s="8"/>
      <c r="W538" s="8"/>
      <c r="X538" s="8"/>
      <c r="Y538" s="8"/>
      <c r="Z538" s="8"/>
      <c r="AA538" s="8"/>
    </row>
    <row r="539">
      <c r="A539" s="8"/>
      <c r="B539" s="8"/>
      <c r="C539" s="8"/>
      <c r="D539" s="8"/>
      <c r="E539" s="8"/>
      <c r="F539" s="8"/>
      <c r="G539" s="8"/>
      <c r="H539" s="8"/>
      <c r="I539" s="8"/>
      <c r="J539" s="215"/>
      <c r="K539" s="126"/>
      <c r="L539" s="126"/>
      <c r="M539" s="126"/>
      <c r="N539" s="126"/>
      <c r="O539" s="8"/>
      <c r="P539" s="8"/>
      <c r="Q539" s="129"/>
      <c r="R539" s="1369"/>
      <c r="S539" s="126"/>
      <c r="T539" s="8"/>
      <c r="U539" s="1359"/>
      <c r="V539" s="8"/>
      <c r="W539" s="8"/>
      <c r="X539" s="8"/>
      <c r="Y539" s="8"/>
      <c r="Z539" s="8"/>
      <c r="AA539" s="8"/>
    </row>
    <row r="540">
      <c r="A540" s="8"/>
      <c r="B540" s="8"/>
      <c r="C540" s="8"/>
      <c r="D540" s="8"/>
      <c r="E540" s="8"/>
      <c r="F540" s="8"/>
      <c r="G540" s="8"/>
      <c r="H540" s="8"/>
      <c r="I540" s="8"/>
      <c r="J540" s="215"/>
      <c r="K540" s="126"/>
      <c r="L540" s="126"/>
      <c r="M540" s="126"/>
      <c r="N540" s="126"/>
      <c r="O540" s="8"/>
      <c r="P540" s="8"/>
      <c r="Q540" s="129"/>
      <c r="R540" s="1369"/>
      <c r="S540" s="126"/>
      <c r="T540" s="8"/>
      <c r="U540" s="1359"/>
      <c r="V540" s="8"/>
      <c r="W540" s="8"/>
      <c r="X540" s="8"/>
      <c r="Y540" s="8"/>
      <c r="Z540" s="8"/>
      <c r="AA540" s="8"/>
    </row>
    <row r="541">
      <c r="A541" s="8"/>
      <c r="B541" s="8"/>
      <c r="C541" s="8"/>
      <c r="D541" s="8"/>
      <c r="E541" s="8"/>
      <c r="F541" s="8"/>
      <c r="G541" s="8"/>
      <c r="H541" s="8"/>
      <c r="I541" s="8"/>
      <c r="J541" s="215"/>
      <c r="K541" s="126"/>
      <c r="L541" s="126"/>
      <c r="M541" s="126"/>
      <c r="N541" s="126"/>
      <c r="O541" s="8"/>
      <c r="P541" s="8"/>
      <c r="Q541" s="129"/>
      <c r="R541" s="1369"/>
      <c r="S541" s="126"/>
      <c r="T541" s="8"/>
      <c r="U541" s="1359"/>
      <c r="V541" s="8"/>
      <c r="W541" s="8"/>
      <c r="X541" s="8"/>
      <c r="Y541" s="8"/>
      <c r="Z541" s="8"/>
      <c r="AA541" s="8"/>
    </row>
    <row r="542">
      <c r="A542" s="8"/>
      <c r="B542" s="8"/>
      <c r="C542" s="8"/>
      <c r="D542" s="8"/>
      <c r="E542" s="8"/>
      <c r="F542" s="8"/>
      <c r="G542" s="8"/>
      <c r="H542" s="8"/>
      <c r="I542" s="8"/>
      <c r="J542" s="215"/>
      <c r="K542" s="126"/>
      <c r="L542" s="126"/>
      <c r="M542" s="126"/>
      <c r="N542" s="126"/>
      <c r="O542" s="8"/>
      <c r="P542" s="8"/>
      <c r="Q542" s="129"/>
      <c r="R542" s="1369"/>
      <c r="S542" s="126"/>
      <c r="T542" s="8"/>
      <c r="U542" s="1359"/>
      <c r="V542" s="8"/>
      <c r="W542" s="8"/>
      <c r="X542" s="8"/>
      <c r="Y542" s="8"/>
      <c r="Z542" s="8"/>
      <c r="AA542" s="8"/>
    </row>
    <row r="543">
      <c r="A543" s="8"/>
      <c r="B543" s="8"/>
      <c r="C543" s="8"/>
      <c r="D543" s="8"/>
      <c r="E543" s="8"/>
      <c r="F543" s="8"/>
      <c r="G543" s="8"/>
      <c r="H543" s="8"/>
      <c r="I543" s="8"/>
      <c r="J543" s="215"/>
      <c r="K543" s="126"/>
      <c r="L543" s="126"/>
      <c r="M543" s="126"/>
      <c r="N543" s="126"/>
      <c r="O543" s="8"/>
      <c r="P543" s="8"/>
      <c r="Q543" s="129"/>
      <c r="R543" s="1369"/>
      <c r="S543" s="126"/>
      <c r="T543" s="8"/>
      <c r="U543" s="1359"/>
      <c r="V543" s="8"/>
      <c r="W543" s="8"/>
      <c r="X543" s="8"/>
      <c r="Y543" s="8"/>
      <c r="Z543" s="8"/>
      <c r="AA543" s="8"/>
    </row>
    <row r="544">
      <c r="A544" s="8"/>
      <c r="B544" s="8"/>
      <c r="C544" s="8"/>
      <c r="D544" s="8"/>
      <c r="E544" s="8"/>
      <c r="F544" s="8"/>
      <c r="G544" s="8"/>
      <c r="H544" s="8"/>
      <c r="I544" s="8"/>
      <c r="J544" s="215"/>
      <c r="K544" s="126"/>
      <c r="L544" s="126"/>
      <c r="M544" s="126"/>
      <c r="N544" s="126"/>
      <c r="O544" s="8"/>
      <c r="P544" s="8"/>
      <c r="Q544" s="129"/>
      <c r="R544" s="1369"/>
      <c r="S544" s="126"/>
      <c r="T544" s="8"/>
      <c r="U544" s="1359"/>
      <c r="V544" s="8"/>
      <c r="W544" s="8"/>
      <c r="X544" s="8"/>
      <c r="Y544" s="8"/>
      <c r="Z544" s="8"/>
      <c r="AA544" s="8"/>
    </row>
    <row r="545">
      <c r="A545" s="8"/>
      <c r="B545" s="8"/>
      <c r="C545" s="8"/>
      <c r="D545" s="8"/>
      <c r="E545" s="8"/>
      <c r="F545" s="8"/>
      <c r="G545" s="8"/>
      <c r="H545" s="8"/>
      <c r="I545" s="8"/>
      <c r="J545" s="215"/>
      <c r="K545" s="126"/>
      <c r="L545" s="126"/>
      <c r="M545" s="126"/>
      <c r="N545" s="126"/>
      <c r="O545" s="8"/>
      <c r="P545" s="8"/>
      <c r="Q545" s="129"/>
      <c r="R545" s="1369"/>
      <c r="S545" s="126"/>
      <c r="T545" s="8"/>
      <c r="U545" s="1359"/>
      <c r="V545" s="8"/>
      <c r="W545" s="8"/>
      <c r="X545" s="8"/>
      <c r="Y545" s="8"/>
      <c r="Z545" s="8"/>
      <c r="AA545" s="8"/>
    </row>
    <row r="546">
      <c r="A546" s="8"/>
      <c r="B546" s="8"/>
      <c r="C546" s="8"/>
      <c r="D546" s="8"/>
      <c r="E546" s="8"/>
      <c r="F546" s="8"/>
      <c r="G546" s="8"/>
      <c r="H546" s="8"/>
      <c r="I546" s="8"/>
      <c r="J546" s="215"/>
      <c r="K546" s="126"/>
      <c r="L546" s="126"/>
      <c r="M546" s="126"/>
      <c r="N546" s="126"/>
      <c r="O546" s="8"/>
      <c r="P546" s="8"/>
      <c r="Q546" s="129"/>
      <c r="R546" s="1369"/>
      <c r="S546" s="126"/>
      <c r="T546" s="8"/>
      <c r="U546" s="1359"/>
      <c r="V546" s="8"/>
      <c r="W546" s="8"/>
      <c r="X546" s="8"/>
      <c r="Y546" s="8"/>
      <c r="Z546" s="8"/>
      <c r="AA546" s="8"/>
    </row>
    <row r="547">
      <c r="A547" s="8"/>
      <c r="B547" s="8"/>
      <c r="C547" s="8"/>
      <c r="D547" s="8"/>
      <c r="E547" s="8"/>
      <c r="F547" s="8"/>
      <c r="G547" s="8"/>
      <c r="H547" s="8"/>
      <c r="I547" s="8"/>
      <c r="J547" s="215"/>
      <c r="K547" s="126"/>
      <c r="L547" s="126"/>
      <c r="M547" s="126"/>
      <c r="N547" s="126"/>
      <c r="O547" s="8"/>
      <c r="P547" s="8"/>
      <c r="Q547" s="129"/>
      <c r="R547" s="1369"/>
      <c r="S547" s="126"/>
      <c r="T547" s="8"/>
      <c r="U547" s="1359"/>
      <c r="V547" s="8"/>
      <c r="W547" s="8"/>
      <c r="X547" s="8"/>
      <c r="Y547" s="8"/>
      <c r="Z547" s="8"/>
      <c r="AA547" s="8"/>
    </row>
    <row r="548">
      <c r="A548" s="8"/>
      <c r="B548" s="8"/>
      <c r="C548" s="8"/>
      <c r="D548" s="8"/>
      <c r="E548" s="8"/>
      <c r="F548" s="8"/>
      <c r="G548" s="8"/>
      <c r="H548" s="8"/>
      <c r="I548" s="8"/>
      <c r="J548" s="215"/>
      <c r="K548" s="126"/>
      <c r="L548" s="126"/>
      <c r="M548" s="126"/>
      <c r="N548" s="126"/>
      <c r="O548" s="8"/>
      <c r="P548" s="8"/>
      <c r="Q548" s="129"/>
      <c r="R548" s="1369"/>
      <c r="S548" s="126"/>
      <c r="T548" s="8"/>
      <c r="U548" s="1359"/>
      <c r="V548" s="8"/>
      <c r="W548" s="8"/>
      <c r="X548" s="8"/>
      <c r="Y548" s="8"/>
      <c r="Z548" s="8"/>
      <c r="AA548" s="8"/>
    </row>
    <row r="549">
      <c r="A549" s="8"/>
      <c r="B549" s="8"/>
      <c r="C549" s="8"/>
      <c r="D549" s="8"/>
      <c r="E549" s="8"/>
      <c r="F549" s="8"/>
      <c r="G549" s="8"/>
      <c r="H549" s="8"/>
      <c r="I549" s="8"/>
      <c r="J549" s="215"/>
      <c r="K549" s="126"/>
      <c r="L549" s="126"/>
      <c r="M549" s="126"/>
      <c r="N549" s="126"/>
      <c r="O549" s="8"/>
      <c r="P549" s="8"/>
      <c r="Q549" s="129"/>
      <c r="R549" s="1369"/>
      <c r="S549" s="126"/>
      <c r="T549" s="8"/>
      <c r="U549" s="1359"/>
      <c r="V549" s="8"/>
      <c r="W549" s="8"/>
      <c r="X549" s="8"/>
      <c r="Y549" s="8"/>
      <c r="Z549" s="8"/>
      <c r="AA549" s="8"/>
    </row>
    <row r="550">
      <c r="A550" s="8"/>
      <c r="B550" s="8"/>
      <c r="C550" s="8"/>
      <c r="D550" s="8"/>
      <c r="E550" s="8"/>
      <c r="F550" s="8"/>
      <c r="G550" s="8"/>
      <c r="H550" s="8"/>
      <c r="I550" s="8"/>
      <c r="J550" s="215"/>
      <c r="K550" s="126"/>
      <c r="L550" s="126"/>
      <c r="M550" s="126"/>
      <c r="N550" s="126"/>
      <c r="O550" s="8"/>
      <c r="P550" s="8"/>
      <c r="Q550" s="129"/>
      <c r="R550" s="1369"/>
      <c r="S550" s="126"/>
      <c r="T550" s="8"/>
      <c r="U550" s="1359"/>
      <c r="V550" s="8"/>
      <c r="W550" s="8"/>
      <c r="X550" s="8"/>
      <c r="Y550" s="8"/>
      <c r="Z550" s="8"/>
      <c r="AA550" s="8"/>
    </row>
    <row r="551">
      <c r="A551" s="8"/>
      <c r="B551" s="8"/>
      <c r="C551" s="8"/>
      <c r="D551" s="8"/>
      <c r="E551" s="8"/>
      <c r="F551" s="8"/>
      <c r="G551" s="8"/>
      <c r="H551" s="8"/>
      <c r="I551" s="8"/>
      <c r="J551" s="215"/>
      <c r="K551" s="126"/>
      <c r="L551" s="126"/>
      <c r="M551" s="126"/>
      <c r="N551" s="126"/>
      <c r="O551" s="8"/>
      <c r="P551" s="8"/>
      <c r="Q551" s="129"/>
      <c r="R551" s="1369"/>
      <c r="S551" s="126"/>
      <c r="T551" s="8"/>
      <c r="U551" s="1359"/>
      <c r="V551" s="8"/>
      <c r="W551" s="8"/>
      <c r="X551" s="8"/>
      <c r="Y551" s="8"/>
      <c r="Z551" s="8"/>
      <c r="AA551" s="8"/>
    </row>
    <row r="552">
      <c r="A552" s="8"/>
      <c r="B552" s="8"/>
      <c r="C552" s="8"/>
      <c r="D552" s="8"/>
      <c r="E552" s="8"/>
      <c r="F552" s="8"/>
      <c r="G552" s="8"/>
      <c r="H552" s="8"/>
      <c r="I552" s="8"/>
      <c r="J552" s="215"/>
      <c r="K552" s="126"/>
      <c r="L552" s="126"/>
      <c r="M552" s="126"/>
      <c r="N552" s="126"/>
      <c r="O552" s="8"/>
      <c r="P552" s="8"/>
      <c r="Q552" s="129"/>
      <c r="R552" s="1369"/>
      <c r="S552" s="126"/>
      <c r="T552" s="8"/>
      <c r="U552" s="1359"/>
      <c r="V552" s="8"/>
      <c r="W552" s="8"/>
      <c r="X552" s="8"/>
      <c r="Y552" s="8"/>
      <c r="Z552" s="8"/>
      <c r="AA552" s="8"/>
    </row>
    <row r="553">
      <c r="A553" s="8"/>
      <c r="B553" s="8"/>
      <c r="C553" s="8"/>
      <c r="D553" s="8"/>
      <c r="E553" s="8"/>
      <c r="F553" s="8"/>
      <c r="G553" s="8"/>
      <c r="H553" s="8"/>
      <c r="I553" s="8"/>
      <c r="J553" s="215"/>
      <c r="K553" s="126"/>
      <c r="L553" s="126"/>
      <c r="M553" s="126"/>
      <c r="N553" s="126"/>
      <c r="O553" s="8"/>
      <c r="P553" s="8"/>
      <c r="Q553" s="129"/>
      <c r="R553" s="1369"/>
      <c r="S553" s="126"/>
      <c r="T553" s="8"/>
      <c r="U553" s="1359"/>
      <c r="V553" s="8"/>
      <c r="W553" s="8"/>
      <c r="X553" s="8"/>
      <c r="Y553" s="8"/>
      <c r="Z553" s="8"/>
      <c r="AA553" s="8"/>
    </row>
    <row r="554">
      <c r="A554" s="8"/>
      <c r="B554" s="8"/>
      <c r="C554" s="8"/>
      <c r="D554" s="8"/>
      <c r="E554" s="8"/>
      <c r="F554" s="8"/>
      <c r="G554" s="8"/>
      <c r="H554" s="8"/>
      <c r="I554" s="8"/>
      <c r="J554" s="215"/>
      <c r="K554" s="126"/>
      <c r="L554" s="126"/>
      <c r="M554" s="126"/>
      <c r="N554" s="126"/>
      <c r="O554" s="8"/>
      <c r="P554" s="8"/>
      <c r="Q554" s="129"/>
      <c r="R554" s="1369"/>
      <c r="S554" s="126"/>
      <c r="T554" s="8"/>
      <c r="U554" s="1359"/>
      <c r="V554" s="8"/>
      <c r="W554" s="8"/>
      <c r="X554" s="8"/>
      <c r="Y554" s="8"/>
      <c r="Z554" s="8"/>
      <c r="AA554" s="8"/>
    </row>
    <row r="555">
      <c r="A555" s="8"/>
      <c r="B555" s="8"/>
      <c r="C555" s="8"/>
      <c r="D555" s="8"/>
      <c r="E555" s="8"/>
      <c r="F555" s="8"/>
      <c r="G555" s="8"/>
      <c r="H555" s="8"/>
      <c r="I555" s="8"/>
      <c r="J555" s="215"/>
      <c r="K555" s="126"/>
      <c r="L555" s="126"/>
      <c r="M555" s="126"/>
      <c r="N555" s="126"/>
      <c r="O555" s="8"/>
      <c r="P555" s="8"/>
      <c r="Q555" s="129"/>
      <c r="R555" s="1369"/>
      <c r="S555" s="126"/>
      <c r="T555" s="8"/>
      <c r="U555" s="1359"/>
      <c r="V555" s="8"/>
      <c r="W555" s="8"/>
      <c r="X555" s="8"/>
      <c r="Y555" s="8"/>
      <c r="Z555" s="8"/>
      <c r="AA555" s="8"/>
    </row>
    <row r="556">
      <c r="A556" s="8"/>
      <c r="B556" s="8"/>
      <c r="C556" s="8"/>
      <c r="D556" s="8"/>
      <c r="E556" s="8"/>
      <c r="F556" s="8"/>
      <c r="G556" s="8"/>
      <c r="H556" s="8"/>
      <c r="I556" s="8"/>
      <c r="J556" s="215"/>
      <c r="K556" s="126"/>
      <c r="L556" s="126"/>
      <c r="M556" s="126"/>
      <c r="N556" s="126"/>
      <c r="O556" s="8"/>
      <c r="P556" s="8"/>
      <c r="Q556" s="129"/>
      <c r="R556" s="1369"/>
      <c r="S556" s="126"/>
      <c r="T556" s="8"/>
      <c r="U556" s="1359"/>
      <c r="V556" s="8"/>
      <c r="W556" s="8"/>
      <c r="X556" s="8"/>
      <c r="Y556" s="8"/>
      <c r="Z556" s="8"/>
      <c r="AA556" s="8"/>
    </row>
    <row r="557">
      <c r="A557" s="8"/>
      <c r="B557" s="8"/>
      <c r="C557" s="8"/>
      <c r="D557" s="8"/>
      <c r="E557" s="8"/>
      <c r="F557" s="8"/>
      <c r="G557" s="8"/>
      <c r="H557" s="8"/>
      <c r="I557" s="8"/>
      <c r="J557" s="215"/>
      <c r="K557" s="126"/>
      <c r="L557" s="126"/>
      <c r="M557" s="126"/>
      <c r="N557" s="126"/>
      <c r="O557" s="8"/>
      <c r="P557" s="8"/>
      <c r="Q557" s="129"/>
      <c r="R557" s="1369"/>
      <c r="S557" s="126"/>
      <c r="T557" s="8"/>
      <c r="U557" s="1359"/>
      <c r="V557" s="8"/>
      <c r="W557" s="8"/>
      <c r="X557" s="8"/>
      <c r="Y557" s="8"/>
      <c r="Z557" s="8"/>
      <c r="AA557" s="8"/>
    </row>
    <row r="558">
      <c r="A558" s="8"/>
      <c r="B558" s="8"/>
      <c r="C558" s="8"/>
      <c r="D558" s="8"/>
      <c r="E558" s="8"/>
      <c r="F558" s="8"/>
      <c r="G558" s="8"/>
      <c r="H558" s="8"/>
      <c r="I558" s="8"/>
      <c r="J558" s="215"/>
      <c r="K558" s="126"/>
      <c r="L558" s="126"/>
      <c r="M558" s="126"/>
      <c r="N558" s="126"/>
      <c r="O558" s="8"/>
      <c r="P558" s="8"/>
      <c r="Q558" s="129"/>
      <c r="R558" s="1369"/>
      <c r="S558" s="126"/>
      <c r="T558" s="8"/>
      <c r="U558" s="1359"/>
      <c r="V558" s="8"/>
      <c r="W558" s="8"/>
      <c r="X558" s="8"/>
      <c r="Y558" s="8"/>
      <c r="Z558" s="8"/>
      <c r="AA558" s="8"/>
    </row>
    <row r="559">
      <c r="A559" s="8"/>
      <c r="B559" s="8"/>
      <c r="C559" s="8"/>
      <c r="D559" s="8"/>
      <c r="E559" s="8"/>
      <c r="F559" s="8"/>
      <c r="G559" s="8"/>
      <c r="H559" s="8"/>
      <c r="I559" s="8"/>
      <c r="J559" s="215"/>
      <c r="K559" s="126"/>
      <c r="L559" s="126"/>
      <c r="M559" s="126"/>
      <c r="N559" s="126"/>
      <c r="O559" s="8"/>
      <c r="P559" s="8"/>
      <c r="Q559" s="129"/>
      <c r="R559" s="1369"/>
      <c r="S559" s="126"/>
      <c r="T559" s="8"/>
      <c r="U559" s="1359"/>
      <c r="V559" s="8"/>
      <c r="W559" s="8"/>
      <c r="X559" s="8"/>
      <c r="Y559" s="8"/>
      <c r="Z559" s="8"/>
      <c r="AA559" s="8"/>
    </row>
    <row r="560">
      <c r="A560" s="8"/>
      <c r="B560" s="8"/>
      <c r="C560" s="8"/>
      <c r="D560" s="8"/>
      <c r="E560" s="8"/>
      <c r="F560" s="8"/>
      <c r="G560" s="8"/>
      <c r="H560" s="8"/>
      <c r="I560" s="8"/>
      <c r="J560" s="215"/>
      <c r="K560" s="126"/>
      <c r="L560" s="126"/>
      <c r="M560" s="126"/>
      <c r="N560" s="126"/>
      <c r="O560" s="8"/>
      <c r="P560" s="8"/>
      <c r="Q560" s="129"/>
      <c r="R560" s="1369"/>
      <c r="S560" s="126"/>
      <c r="T560" s="8"/>
      <c r="U560" s="1359"/>
      <c r="V560" s="8"/>
      <c r="W560" s="8"/>
      <c r="X560" s="8"/>
      <c r="Y560" s="8"/>
      <c r="Z560" s="8"/>
      <c r="AA560" s="8"/>
    </row>
    <row r="561">
      <c r="A561" s="8"/>
      <c r="B561" s="8"/>
      <c r="C561" s="8"/>
      <c r="D561" s="8"/>
      <c r="E561" s="8"/>
      <c r="F561" s="8"/>
      <c r="G561" s="8"/>
      <c r="H561" s="8"/>
      <c r="I561" s="8"/>
      <c r="J561" s="215"/>
      <c r="K561" s="126"/>
      <c r="L561" s="126"/>
      <c r="M561" s="126"/>
      <c r="N561" s="126"/>
      <c r="O561" s="8"/>
      <c r="P561" s="8"/>
      <c r="Q561" s="129"/>
      <c r="R561" s="1369"/>
      <c r="S561" s="126"/>
      <c r="T561" s="8"/>
      <c r="U561" s="1359"/>
      <c r="V561" s="8"/>
      <c r="W561" s="8"/>
      <c r="X561" s="8"/>
      <c r="Y561" s="8"/>
      <c r="Z561" s="8"/>
      <c r="AA561" s="8"/>
    </row>
    <row r="562">
      <c r="A562" s="8"/>
      <c r="B562" s="8"/>
      <c r="C562" s="8"/>
      <c r="D562" s="8"/>
      <c r="E562" s="8"/>
      <c r="F562" s="8"/>
      <c r="G562" s="8"/>
      <c r="H562" s="8"/>
      <c r="I562" s="8"/>
      <c r="J562" s="215"/>
      <c r="K562" s="126"/>
      <c r="L562" s="126"/>
      <c r="M562" s="126"/>
      <c r="N562" s="126"/>
      <c r="O562" s="8"/>
      <c r="P562" s="8"/>
      <c r="Q562" s="129"/>
      <c r="R562" s="1369"/>
      <c r="S562" s="126"/>
      <c r="T562" s="8"/>
      <c r="U562" s="1359"/>
      <c r="V562" s="8"/>
      <c r="W562" s="8"/>
      <c r="X562" s="8"/>
      <c r="Y562" s="8"/>
      <c r="Z562" s="8"/>
      <c r="AA562" s="8"/>
    </row>
    <row r="563">
      <c r="A563" s="8"/>
      <c r="B563" s="8"/>
      <c r="C563" s="8"/>
      <c r="D563" s="8"/>
      <c r="E563" s="8"/>
      <c r="F563" s="8"/>
      <c r="G563" s="8"/>
      <c r="H563" s="8"/>
      <c r="I563" s="8"/>
      <c r="J563" s="215"/>
      <c r="K563" s="126"/>
      <c r="L563" s="126"/>
      <c r="M563" s="126"/>
      <c r="N563" s="126"/>
      <c r="O563" s="8"/>
      <c r="P563" s="8"/>
      <c r="Q563" s="129"/>
      <c r="R563" s="1369"/>
      <c r="S563" s="126"/>
      <c r="T563" s="8"/>
      <c r="U563" s="1359"/>
      <c r="V563" s="8"/>
      <c r="W563" s="8"/>
      <c r="X563" s="8"/>
      <c r="Y563" s="8"/>
      <c r="Z563" s="8"/>
      <c r="AA563" s="8"/>
    </row>
    <row r="564">
      <c r="A564" s="8"/>
      <c r="B564" s="8"/>
      <c r="C564" s="8"/>
      <c r="D564" s="8"/>
      <c r="E564" s="8"/>
      <c r="F564" s="8"/>
      <c r="G564" s="8"/>
      <c r="H564" s="8"/>
      <c r="I564" s="8"/>
      <c r="J564" s="215"/>
      <c r="K564" s="126"/>
      <c r="L564" s="126"/>
      <c r="M564" s="126"/>
      <c r="N564" s="126"/>
      <c r="O564" s="8"/>
      <c r="P564" s="8"/>
      <c r="Q564" s="129"/>
      <c r="R564" s="1369"/>
      <c r="S564" s="126"/>
      <c r="T564" s="8"/>
      <c r="U564" s="1359"/>
      <c r="V564" s="8"/>
      <c r="W564" s="8"/>
      <c r="X564" s="8"/>
      <c r="Y564" s="8"/>
      <c r="Z564" s="8"/>
      <c r="AA564" s="8"/>
    </row>
    <row r="565">
      <c r="A565" s="8"/>
      <c r="B565" s="8"/>
      <c r="C565" s="8"/>
      <c r="D565" s="8"/>
      <c r="E565" s="8"/>
      <c r="F565" s="8"/>
      <c r="G565" s="8"/>
      <c r="H565" s="8"/>
      <c r="I565" s="8"/>
      <c r="J565" s="215"/>
      <c r="K565" s="126"/>
      <c r="L565" s="126"/>
      <c r="M565" s="126"/>
      <c r="N565" s="126"/>
      <c r="O565" s="8"/>
      <c r="P565" s="8"/>
      <c r="Q565" s="129"/>
      <c r="R565" s="1369"/>
      <c r="S565" s="126"/>
      <c r="T565" s="8"/>
      <c r="U565" s="1359"/>
      <c r="V565" s="8"/>
      <c r="W565" s="8"/>
      <c r="X565" s="8"/>
      <c r="Y565" s="8"/>
      <c r="Z565" s="8"/>
      <c r="AA565" s="8"/>
    </row>
    <row r="566">
      <c r="A566" s="8"/>
      <c r="B566" s="8"/>
      <c r="C566" s="8"/>
      <c r="D566" s="8"/>
      <c r="E566" s="8"/>
      <c r="F566" s="8"/>
      <c r="G566" s="8"/>
      <c r="H566" s="8"/>
      <c r="I566" s="8"/>
      <c r="J566" s="215"/>
      <c r="K566" s="126"/>
      <c r="L566" s="126"/>
      <c r="M566" s="126"/>
      <c r="N566" s="126"/>
      <c r="O566" s="8"/>
      <c r="P566" s="8"/>
      <c r="Q566" s="129"/>
      <c r="R566" s="1369"/>
      <c r="S566" s="126"/>
      <c r="T566" s="8"/>
      <c r="U566" s="1359"/>
      <c r="V566" s="8"/>
      <c r="W566" s="8"/>
      <c r="X566" s="8"/>
      <c r="Y566" s="8"/>
      <c r="Z566" s="8"/>
      <c r="AA566" s="8"/>
    </row>
    <row r="567">
      <c r="A567" s="8"/>
      <c r="B567" s="8"/>
      <c r="C567" s="8"/>
      <c r="D567" s="8"/>
      <c r="E567" s="8"/>
      <c r="F567" s="8"/>
      <c r="G567" s="8"/>
      <c r="H567" s="8"/>
      <c r="I567" s="8"/>
      <c r="J567" s="215"/>
      <c r="K567" s="126"/>
      <c r="L567" s="126"/>
      <c r="M567" s="126"/>
      <c r="N567" s="126"/>
      <c r="O567" s="8"/>
      <c r="P567" s="8"/>
      <c r="Q567" s="129"/>
      <c r="R567" s="1369"/>
      <c r="S567" s="126"/>
      <c r="T567" s="8"/>
      <c r="U567" s="1359"/>
      <c r="V567" s="8"/>
      <c r="W567" s="8"/>
      <c r="X567" s="8"/>
      <c r="Y567" s="8"/>
      <c r="Z567" s="8"/>
      <c r="AA567" s="8"/>
    </row>
    <row r="568">
      <c r="A568" s="8"/>
      <c r="B568" s="8"/>
      <c r="C568" s="8"/>
      <c r="D568" s="8"/>
      <c r="E568" s="8"/>
      <c r="F568" s="8"/>
      <c r="G568" s="8"/>
      <c r="H568" s="8"/>
      <c r="I568" s="8"/>
      <c r="J568" s="215"/>
      <c r="K568" s="126"/>
      <c r="L568" s="126"/>
      <c r="M568" s="126"/>
      <c r="N568" s="126"/>
      <c r="O568" s="8"/>
      <c r="P568" s="8"/>
      <c r="Q568" s="129"/>
      <c r="R568" s="1369"/>
      <c r="S568" s="126"/>
      <c r="T568" s="8"/>
      <c r="U568" s="1359"/>
      <c r="V568" s="8"/>
      <c r="W568" s="8"/>
      <c r="X568" s="8"/>
      <c r="Y568" s="8"/>
      <c r="Z568" s="8"/>
      <c r="AA568" s="8"/>
    </row>
    <row r="569">
      <c r="A569" s="8"/>
      <c r="B569" s="8"/>
      <c r="C569" s="8"/>
      <c r="D569" s="8"/>
      <c r="E569" s="8"/>
      <c r="F569" s="8"/>
      <c r="G569" s="8"/>
      <c r="H569" s="8"/>
      <c r="I569" s="8"/>
      <c r="J569" s="215"/>
      <c r="K569" s="126"/>
      <c r="L569" s="126"/>
      <c r="M569" s="126"/>
      <c r="N569" s="126"/>
      <c r="O569" s="8"/>
      <c r="P569" s="8"/>
      <c r="Q569" s="129"/>
      <c r="R569" s="1369"/>
      <c r="S569" s="126"/>
      <c r="T569" s="8"/>
      <c r="U569" s="1359"/>
      <c r="V569" s="8"/>
      <c r="W569" s="8"/>
      <c r="X569" s="8"/>
      <c r="Y569" s="8"/>
      <c r="Z569" s="8"/>
      <c r="AA569" s="8"/>
    </row>
    <row r="570">
      <c r="A570" s="8"/>
      <c r="B570" s="8"/>
      <c r="C570" s="8"/>
      <c r="D570" s="8"/>
      <c r="E570" s="8"/>
      <c r="F570" s="8"/>
      <c r="G570" s="8"/>
      <c r="H570" s="8"/>
      <c r="I570" s="8"/>
      <c r="J570" s="215"/>
      <c r="K570" s="126"/>
      <c r="L570" s="126"/>
      <c r="M570" s="126"/>
      <c r="N570" s="126"/>
      <c r="O570" s="8"/>
      <c r="P570" s="8"/>
      <c r="Q570" s="129"/>
      <c r="R570" s="1369"/>
      <c r="S570" s="126"/>
      <c r="T570" s="8"/>
      <c r="U570" s="1359"/>
      <c r="V570" s="8"/>
      <c r="W570" s="8"/>
      <c r="X570" s="8"/>
      <c r="Y570" s="8"/>
      <c r="Z570" s="8"/>
      <c r="AA570" s="8"/>
    </row>
    <row r="571">
      <c r="A571" s="8"/>
      <c r="B571" s="8"/>
      <c r="C571" s="8"/>
      <c r="D571" s="8"/>
      <c r="E571" s="8"/>
      <c r="F571" s="8"/>
      <c r="G571" s="8"/>
      <c r="H571" s="8"/>
      <c r="I571" s="8"/>
      <c r="J571" s="215"/>
      <c r="K571" s="126"/>
      <c r="L571" s="126"/>
      <c r="M571" s="126"/>
      <c r="N571" s="126"/>
      <c r="O571" s="8"/>
      <c r="P571" s="8"/>
      <c r="Q571" s="129"/>
      <c r="R571" s="1369"/>
      <c r="S571" s="126"/>
      <c r="T571" s="8"/>
      <c r="U571" s="1359"/>
      <c r="V571" s="8"/>
      <c r="W571" s="8"/>
      <c r="X571" s="8"/>
      <c r="Y571" s="8"/>
      <c r="Z571" s="8"/>
      <c r="AA571" s="8"/>
    </row>
    <row r="572">
      <c r="A572" s="8"/>
      <c r="B572" s="8"/>
      <c r="C572" s="8"/>
      <c r="D572" s="8"/>
      <c r="E572" s="8"/>
      <c r="F572" s="8"/>
      <c r="G572" s="8"/>
      <c r="H572" s="8"/>
      <c r="I572" s="8"/>
      <c r="J572" s="215"/>
      <c r="K572" s="126"/>
      <c r="L572" s="126"/>
      <c r="M572" s="126"/>
      <c r="N572" s="126"/>
      <c r="O572" s="8"/>
      <c r="P572" s="8"/>
      <c r="Q572" s="129"/>
      <c r="R572" s="1369"/>
      <c r="S572" s="126"/>
      <c r="T572" s="8"/>
      <c r="U572" s="1359"/>
      <c r="V572" s="8"/>
      <c r="W572" s="8"/>
      <c r="X572" s="8"/>
      <c r="Y572" s="8"/>
      <c r="Z572" s="8"/>
      <c r="AA572" s="8"/>
    </row>
    <row r="573">
      <c r="A573" s="8"/>
      <c r="B573" s="8"/>
      <c r="C573" s="8"/>
      <c r="D573" s="8"/>
      <c r="E573" s="8"/>
      <c r="F573" s="8"/>
      <c r="G573" s="8"/>
      <c r="H573" s="8"/>
      <c r="I573" s="8"/>
      <c r="J573" s="215"/>
      <c r="K573" s="126"/>
      <c r="L573" s="126"/>
      <c r="M573" s="126"/>
      <c r="N573" s="126"/>
      <c r="O573" s="8"/>
      <c r="P573" s="8"/>
      <c r="Q573" s="129"/>
      <c r="R573" s="1369"/>
      <c r="S573" s="126"/>
      <c r="T573" s="8"/>
      <c r="U573" s="1359"/>
      <c r="V573" s="8"/>
      <c r="W573" s="8"/>
      <c r="X573" s="8"/>
      <c r="Y573" s="8"/>
      <c r="Z573" s="8"/>
      <c r="AA573" s="8"/>
    </row>
    <row r="574">
      <c r="A574" s="8"/>
      <c r="B574" s="8"/>
      <c r="C574" s="8"/>
      <c r="D574" s="8"/>
      <c r="E574" s="8"/>
      <c r="F574" s="8"/>
      <c r="G574" s="8"/>
      <c r="H574" s="8"/>
      <c r="I574" s="8"/>
      <c r="J574" s="215"/>
      <c r="K574" s="126"/>
      <c r="L574" s="126"/>
      <c r="M574" s="126"/>
      <c r="N574" s="126"/>
      <c r="O574" s="8"/>
      <c r="P574" s="8"/>
      <c r="Q574" s="129"/>
      <c r="R574" s="1369"/>
      <c r="S574" s="126"/>
      <c r="T574" s="8"/>
      <c r="U574" s="1359"/>
      <c r="V574" s="8"/>
      <c r="W574" s="8"/>
      <c r="X574" s="8"/>
      <c r="Y574" s="8"/>
      <c r="Z574" s="8"/>
      <c r="AA574" s="8"/>
    </row>
    <row r="575">
      <c r="A575" s="8"/>
      <c r="B575" s="8"/>
      <c r="C575" s="8"/>
      <c r="D575" s="8"/>
      <c r="E575" s="8"/>
      <c r="F575" s="8"/>
      <c r="G575" s="8"/>
      <c r="H575" s="8"/>
      <c r="I575" s="8"/>
      <c r="J575" s="215"/>
      <c r="K575" s="126"/>
      <c r="L575" s="126"/>
      <c r="M575" s="126"/>
      <c r="N575" s="126"/>
      <c r="O575" s="8"/>
      <c r="P575" s="8"/>
      <c r="Q575" s="129"/>
      <c r="R575" s="1369"/>
      <c r="S575" s="126"/>
      <c r="T575" s="8"/>
      <c r="U575" s="1359"/>
      <c r="V575" s="8"/>
      <c r="W575" s="8"/>
      <c r="X575" s="8"/>
      <c r="Y575" s="8"/>
      <c r="Z575" s="8"/>
      <c r="AA575" s="8"/>
    </row>
    <row r="576">
      <c r="A576" s="8"/>
      <c r="B576" s="8"/>
      <c r="C576" s="8"/>
      <c r="D576" s="8"/>
      <c r="E576" s="8"/>
      <c r="F576" s="8"/>
      <c r="G576" s="8"/>
      <c r="H576" s="8"/>
      <c r="I576" s="8"/>
      <c r="J576" s="215"/>
      <c r="K576" s="126"/>
      <c r="L576" s="126"/>
      <c r="M576" s="126"/>
      <c r="N576" s="126"/>
      <c r="O576" s="8"/>
      <c r="P576" s="8"/>
      <c r="Q576" s="129"/>
      <c r="R576" s="1369"/>
      <c r="S576" s="126"/>
      <c r="T576" s="8"/>
      <c r="U576" s="1359"/>
      <c r="V576" s="8"/>
      <c r="W576" s="8"/>
      <c r="X576" s="8"/>
      <c r="Y576" s="8"/>
      <c r="Z576" s="8"/>
      <c r="AA576" s="8"/>
    </row>
    <row r="577">
      <c r="A577" s="8"/>
      <c r="B577" s="8"/>
      <c r="C577" s="8"/>
      <c r="D577" s="8"/>
      <c r="E577" s="8"/>
      <c r="F577" s="8"/>
      <c r="G577" s="8"/>
      <c r="H577" s="8"/>
      <c r="I577" s="8"/>
      <c r="J577" s="215"/>
      <c r="K577" s="126"/>
      <c r="L577" s="126"/>
      <c r="M577" s="126"/>
      <c r="N577" s="126"/>
      <c r="O577" s="8"/>
      <c r="P577" s="8"/>
      <c r="Q577" s="129"/>
      <c r="R577" s="1369"/>
      <c r="S577" s="126"/>
      <c r="T577" s="8"/>
      <c r="U577" s="1359"/>
      <c r="V577" s="8"/>
      <c r="W577" s="8"/>
      <c r="X577" s="8"/>
      <c r="Y577" s="8"/>
      <c r="Z577" s="8"/>
      <c r="AA577" s="8"/>
    </row>
    <row r="578">
      <c r="A578" s="8"/>
      <c r="B578" s="8"/>
      <c r="C578" s="8"/>
      <c r="D578" s="8"/>
      <c r="E578" s="8"/>
      <c r="F578" s="8"/>
      <c r="G578" s="8"/>
      <c r="H578" s="8"/>
      <c r="I578" s="8"/>
      <c r="J578" s="215"/>
      <c r="K578" s="126"/>
      <c r="L578" s="126"/>
      <c r="M578" s="126"/>
      <c r="N578" s="126"/>
      <c r="O578" s="8"/>
      <c r="P578" s="8"/>
      <c r="Q578" s="129"/>
      <c r="R578" s="1369"/>
      <c r="S578" s="126"/>
      <c r="T578" s="8"/>
      <c r="U578" s="1359"/>
      <c r="V578" s="8"/>
      <c r="W578" s="8"/>
      <c r="X578" s="8"/>
      <c r="Y578" s="8"/>
      <c r="Z578" s="8"/>
      <c r="AA578" s="8"/>
    </row>
    <row r="579">
      <c r="A579" s="8"/>
      <c r="B579" s="8"/>
      <c r="C579" s="8"/>
      <c r="D579" s="8"/>
      <c r="E579" s="8"/>
      <c r="F579" s="8"/>
      <c r="G579" s="8"/>
      <c r="H579" s="8"/>
      <c r="I579" s="8"/>
      <c r="J579" s="215"/>
      <c r="K579" s="126"/>
      <c r="L579" s="126"/>
      <c r="M579" s="126"/>
      <c r="N579" s="126"/>
      <c r="O579" s="8"/>
      <c r="P579" s="8"/>
      <c r="Q579" s="129"/>
      <c r="R579" s="1369"/>
      <c r="S579" s="126"/>
      <c r="T579" s="8"/>
      <c r="U579" s="1359"/>
      <c r="V579" s="8"/>
      <c r="W579" s="8"/>
      <c r="X579" s="8"/>
      <c r="Y579" s="8"/>
      <c r="Z579" s="8"/>
      <c r="AA579" s="8"/>
    </row>
    <row r="580">
      <c r="A580" s="8"/>
      <c r="B580" s="8"/>
      <c r="C580" s="8"/>
      <c r="D580" s="8"/>
      <c r="E580" s="8"/>
      <c r="F580" s="8"/>
      <c r="G580" s="8"/>
      <c r="H580" s="8"/>
      <c r="I580" s="8"/>
      <c r="J580" s="215"/>
      <c r="K580" s="126"/>
      <c r="L580" s="126"/>
      <c r="M580" s="126"/>
      <c r="N580" s="126"/>
      <c r="O580" s="8"/>
      <c r="P580" s="8"/>
      <c r="Q580" s="129"/>
      <c r="R580" s="1369"/>
      <c r="S580" s="126"/>
      <c r="T580" s="8"/>
      <c r="U580" s="1359"/>
      <c r="V580" s="8"/>
      <c r="W580" s="8"/>
      <c r="X580" s="8"/>
      <c r="Y580" s="8"/>
      <c r="Z580" s="8"/>
      <c r="AA580" s="8"/>
    </row>
    <row r="581">
      <c r="A581" s="8"/>
      <c r="B581" s="8"/>
      <c r="C581" s="8"/>
      <c r="D581" s="8"/>
      <c r="E581" s="8"/>
      <c r="F581" s="8"/>
      <c r="G581" s="8"/>
      <c r="H581" s="8"/>
      <c r="I581" s="8"/>
      <c r="J581" s="215"/>
      <c r="K581" s="126"/>
      <c r="L581" s="126"/>
      <c r="M581" s="126"/>
      <c r="N581" s="126"/>
      <c r="O581" s="8"/>
      <c r="P581" s="8"/>
      <c r="Q581" s="129"/>
      <c r="R581" s="1369"/>
      <c r="S581" s="126"/>
      <c r="T581" s="8"/>
      <c r="U581" s="1359"/>
      <c r="V581" s="8"/>
      <c r="W581" s="8"/>
      <c r="X581" s="8"/>
      <c r="Y581" s="8"/>
      <c r="Z581" s="8"/>
      <c r="AA581" s="8"/>
    </row>
    <row r="582">
      <c r="A582" s="8"/>
      <c r="B582" s="8"/>
      <c r="C582" s="8"/>
      <c r="D582" s="8"/>
      <c r="E582" s="8"/>
      <c r="F582" s="8"/>
      <c r="G582" s="8"/>
      <c r="H582" s="8"/>
      <c r="I582" s="8"/>
      <c r="J582" s="215"/>
      <c r="K582" s="126"/>
      <c r="L582" s="126"/>
      <c r="M582" s="126"/>
      <c r="N582" s="126"/>
      <c r="O582" s="8"/>
      <c r="P582" s="8"/>
      <c r="Q582" s="129"/>
      <c r="R582" s="1369"/>
      <c r="S582" s="126"/>
      <c r="T582" s="8"/>
      <c r="U582" s="1359"/>
      <c r="V582" s="8"/>
      <c r="W582" s="8"/>
      <c r="X582" s="8"/>
      <c r="Y582" s="8"/>
      <c r="Z582" s="8"/>
      <c r="AA582" s="8"/>
    </row>
    <row r="583">
      <c r="A583" s="8"/>
      <c r="B583" s="8"/>
      <c r="C583" s="8"/>
      <c r="D583" s="8"/>
      <c r="E583" s="8"/>
      <c r="F583" s="8"/>
      <c r="G583" s="8"/>
      <c r="H583" s="8"/>
      <c r="I583" s="8"/>
      <c r="J583" s="215"/>
      <c r="K583" s="126"/>
      <c r="L583" s="126"/>
      <c r="M583" s="126"/>
      <c r="N583" s="126"/>
      <c r="O583" s="8"/>
      <c r="P583" s="8"/>
      <c r="Q583" s="129"/>
      <c r="R583" s="1369"/>
      <c r="S583" s="126"/>
      <c r="T583" s="8"/>
      <c r="U583" s="1359"/>
      <c r="V583" s="8"/>
      <c r="W583" s="8"/>
      <c r="X583" s="8"/>
      <c r="Y583" s="8"/>
      <c r="Z583" s="8"/>
      <c r="AA583" s="8"/>
    </row>
    <row r="584">
      <c r="A584" s="8"/>
      <c r="B584" s="8"/>
      <c r="C584" s="8"/>
      <c r="D584" s="8"/>
      <c r="E584" s="8"/>
      <c r="F584" s="8"/>
      <c r="G584" s="8"/>
      <c r="H584" s="8"/>
      <c r="I584" s="8"/>
      <c r="J584" s="215"/>
      <c r="K584" s="126"/>
      <c r="L584" s="126"/>
      <c r="M584" s="126"/>
      <c r="N584" s="126"/>
      <c r="O584" s="8"/>
      <c r="P584" s="8"/>
      <c r="Q584" s="129"/>
      <c r="R584" s="1369"/>
      <c r="S584" s="126"/>
      <c r="T584" s="8"/>
      <c r="U584" s="1359"/>
      <c r="V584" s="8"/>
      <c r="W584" s="8"/>
      <c r="X584" s="8"/>
      <c r="Y584" s="8"/>
      <c r="Z584" s="8"/>
      <c r="AA584" s="8"/>
    </row>
    <row r="585">
      <c r="A585" s="8"/>
      <c r="B585" s="8"/>
      <c r="C585" s="8"/>
      <c r="D585" s="8"/>
      <c r="E585" s="8"/>
      <c r="F585" s="8"/>
      <c r="G585" s="8"/>
      <c r="H585" s="8"/>
      <c r="I585" s="8"/>
      <c r="J585" s="215"/>
      <c r="K585" s="126"/>
      <c r="L585" s="126"/>
      <c r="M585" s="126"/>
      <c r="N585" s="126"/>
      <c r="O585" s="8"/>
      <c r="P585" s="8"/>
      <c r="Q585" s="129"/>
      <c r="R585" s="1369"/>
      <c r="S585" s="126"/>
      <c r="T585" s="8"/>
      <c r="U585" s="1359"/>
      <c r="V585" s="8"/>
      <c r="W585" s="8"/>
      <c r="X585" s="8"/>
      <c r="Y585" s="8"/>
      <c r="Z585" s="8"/>
      <c r="AA585" s="8"/>
    </row>
    <row r="586">
      <c r="A586" s="8"/>
      <c r="B586" s="8"/>
      <c r="C586" s="8"/>
      <c r="D586" s="8"/>
      <c r="E586" s="8"/>
      <c r="F586" s="8"/>
      <c r="G586" s="8"/>
      <c r="H586" s="8"/>
      <c r="I586" s="8"/>
      <c r="J586" s="215"/>
      <c r="K586" s="126"/>
      <c r="L586" s="126"/>
      <c r="M586" s="126"/>
      <c r="N586" s="126"/>
      <c r="O586" s="8"/>
      <c r="P586" s="8"/>
      <c r="Q586" s="129"/>
      <c r="R586" s="1369"/>
      <c r="S586" s="126"/>
      <c r="T586" s="8"/>
      <c r="U586" s="1359"/>
      <c r="V586" s="8"/>
      <c r="W586" s="8"/>
      <c r="X586" s="8"/>
      <c r="Y586" s="8"/>
      <c r="Z586" s="8"/>
      <c r="AA586" s="8"/>
    </row>
    <row r="587">
      <c r="A587" s="8"/>
      <c r="B587" s="8"/>
      <c r="C587" s="8"/>
      <c r="D587" s="8"/>
      <c r="E587" s="8"/>
      <c r="F587" s="8"/>
      <c r="G587" s="8"/>
      <c r="H587" s="8"/>
      <c r="I587" s="8"/>
      <c r="J587" s="215"/>
      <c r="K587" s="126"/>
      <c r="L587" s="126"/>
      <c r="M587" s="126"/>
      <c r="N587" s="126"/>
      <c r="O587" s="8"/>
      <c r="P587" s="8"/>
      <c r="Q587" s="129"/>
      <c r="R587" s="1369"/>
      <c r="S587" s="126"/>
      <c r="T587" s="8"/>
      <c r="U587" s="1359"/>
      <c r="V587" s="8"/>
      <c r="W587" s="8"/>
      <c r="X587" s="8"/>
      <c r="Y587" s="8"/>
      <c r="Z587" s="8"/>
      <c r="AA587" s="8"/>
    </row>
    <row r="588">
      <c r="A588" s="8"/>
      <c r="B588" s="8"/>
      <c r="C588" s="8"/>
      <c r="D588" s="8"/>
      <c r="E588" s="8"/>
      <c r="F588" s="8"/>
      <c r="G588" s="8"/>
      <c r="H588" s="8"/>
      <c r="I588" s="8"/>
      <c r="J588" s="215"/>
      <c r="K588" s="126"/>
      <c r="L588" s="126"/>
      <c r="M588" s="126"/>
      <c r="N588" s="126"/>
      <c r="O588" s="8"/>
      <c r="P588" s="8"/>
      <c r="Q588" s="129"/>
      <c r="R588" s="1369"/>
      <c r="S588" s="126"/>
      <c r="T588" s="8"/>
      <c r="U588" s="1359"/>
      <c r="V588" s="8"/>
      <c r="W588" s="8"/>
      <c r="X588" s="8"/>
      <c r="Y588" s="8"/>
      <c r="Z588" s="8"/>
      <c r="AA588" s="8"/>
    </row>
    <row r="589">
      <c r="A589" s="8"/>
      <c r="B589" s="8"/>
      <c r="C589" s="8"/>
      <c r="D589" s="8"/>
      <c r="E589" s="8"/>
      <c r="F589" s="8"/>
      <c r="G589" s="8"/>
      <c r="H589" s="8"/>
      <c r="I589" s="8"/>
      <c r="J589" s="215"/>
      <c r="K589" s="126"/>
      <c r="L589" s="126"/>
      <c r="M589" s="126"/>
      <c r="N589" s="126"/>
      <c r="O589" s="8"/>
      <c r="P589" s="8"/>
      <c r="Q589" s="129"/>
      <c r="R589" s="1369"/>
      <c r="S589" s="126"/>
      <c r="T589" s="8"/>
      <c r="U589" s="1359"/>
      <c r="V589" s="8"/>
      <c r="W589" s="8"/>
      <c r="X589" s="8"/>
      <c r="Y589" s="8"/>
      <c r="Z589" s="8"/>
      <c r="AA589" s="8"/>
    </row>
    <row r="590">
      <c r="A590" s="8"/>
      <c r="B590" s="8"/>
      <c r="C590" s="8"/>
      <c r="D590" s="8"/>
      <c r="E590" s="8"/>
      <c r="F590" s="8"/>
      <c r="G590" s="8"/>
      <c r="H590" s="8"/>
      <c r="I590" s="8"/>
      <c r="J590" s="215"/>
      <c r="K590" s="126"/>
      <c r="L590" s="126"/>
      <c r="M590" s="126"/>
      <c r="N590" s="126"/>
      <c r="O590" s="8"/>
      <c r="P590" s="8"/>
      <c r="Q590" s="129"/>
      <c r="R590" s="1369"/>
      <c r="S590" s="126"/>
      <c r="T590" s="8"/>
      <c r="U590" s="1359"/>
      <c r="V590" s="8"/>
      <c r="W590" s="8"/>
      <c r="X590" s="8"/>
      <c r="Y590" s="8"/>
      <c r="Z590" s="8"/>
      <c r="AA590" s="8"/>
    </row>
    <row r="591">
      <c r="A591" s="8"/>
      <c r="B591" s="8"/>
      <c r="C591" s="8"/>
      <c r="D591" s="8"/>
      <c r="E591" s="8"/>
      <c r="F591" s="8"/>
      <c r="G591" s="8"/>
      <c r="H591" s="8"/>
      <c r="I591" s="8"/>
      <c r="J591" s="215"/>
      <c r="K591" s="126"/>
      <c r="L591" s="126"/>
      <c r="M591" s="126"/>
      <c r="N591" s="126"/>
      <c r="O591" s="8"/>
      <c r="P591" s="8"/>
      <c r="Q591" s="129"/>
      <c r="R591" s="1369"/>
      <c r="S591" s="126"/>
      <c r="T591" s="8"/>
      <c r="U591" s="1359"/>
      <c r="V591" s="8"/>
      <c r="W591" s="8"/>
      <c r="X591" s="8"/>
      <c r="Y591" s="8"/>
      <c r="Z591" s="8"/>
      <c r="AA591" s="8"/>
    </row>
    <row r="592">
      <c r="A592" s="8"/>
      <c r="B592" s="8"/>
      <c r="C592" s="8"/>
      <c r="D592" s="8"/>
      <c r="E592" s="8"/>
      <c r="F592" s="8"/>
      <c r="G592" s="8"/>
      <c r="H592" s="8"/>
      <c r="I592" s="8"/>
      <c r="J592" s="215"/>
      <c r="K592" s="126"/>
      <c r="L592" s="126"/>
      <c r="M592" s="126"/>
      <c r="N592" s="126"/>
      <c r="O592" s="8"/>
      <c r="P592" s="8"/>
      <c r="Q592" s="129"/>
      <c r="R592" s="1369"/>
      <c r="S592" s="126"/>
      <c r="T592" s="8"/>
      <c r="U592" s="1359"/>
      <c r="V592" s="8"/>
      <c r="W592" s="8"/>
      <c r="X592" s="8"/>
      <c r="Y592" s="8"/>
      <c r="Z592" s="8"/>
      <c r="AA592" s="8"/>
    </row>
    <row r="593">
      <c r="A593" s="8"/>
      <c r="B593" s="8"/>
      <c r="C593" s="8"/>
      <c r="D593" s="8"/>
      <c r="E593" s="8"/>
      <c r="F593" s="8"/>
      <c r="G593" s="8"/>
      <c r="H593" s="8"/>
      <c r="I593" s="8"/>
      <c r="J593" s="215"/>
      <c r="K593" s="126"/>
      <c r="L593" s="126"/>
      <c r="M593" s="126"/>
      <c r="N593" s="126"/>
      <c r="O593" s="8"/>
      <c r="P593" s="8"/>
      <c r="Q593" s="129"/>
      <c r="R593" s="1369"/>
      <c r="S593" s="126"/>
      <c r="T593" s="8"/>
      <c r="U593" s="1359"/>
      <c r="V593" s="8"/>
      <c r="W593" s="8"/>
      <c r="X593" s="8"/>
      <c r="Y593" s="8"/>
      <c r="Z593" s="8"/>
      <c r="AA593" s="8"/>
    </row>
    <row r="594">
      <c r="A594" s="8"/>
      <c r="B594" s="8"/>
      <c r="C594" s="8"/>
      <c r="D594" s="8"/>
      <c r="E594" s="8"/>
      <c r="F594" s="8"/>
      <c r="G594" s="8"/>
      <c r="H594" s="8"/>
      <c r="I594" s="8"/>
      <c r="J594" s="215"/>
      <c r="K594" s="126"/>
      <c r="L594" s="126"/>
      <c r="M594" s="126"/>
      <c r="N594" s="126"/>
      <c r="O594" s="8"/>
      <c r="P594" s="8"/>
      <c r="Q594" s="129"/>
      <c r="R594" s="1369"/>
      <c r="S594" s="126"/>
      <c r="T594" s="8"/>
      <c r="U594" s="1359"/>
      <c r="V594" s="8"/>
      <c r="W594" s="8"/>
      <c r="X594" s="8"/>
      <c r="Y594" s="8"/>
      <c r="Z594" s="8"/>
      <c r="AA594" s="8"/>
    </row>
    <row r="595">
      <c r="A595" s="8"/>
      <c r="B595" s="8"/>
      <c r="C595" s="8"/>
      <c r="D595" s="8"/>
      <c r="E595" s="8"/>
      <c r="F595" s="8"/>
      <c r="G595" s="8"/>
      <c r="H595" s="8"/>
      <c r="I595" s="8"/>
      <c r="J595" s="215"/>
      <c r="K595" s="126"/>
      <c r="L595" s="126"/>
      <c r="M595" s="126"/>
      <c r="N595" s="126"/>
      <c r="O595" s="8"/>
      <c r="P595" s="8"/>
      <c r="Q595" s="129"/>
      <c r="R595" s="1369"/>
      <c r="S595" s="126"/>
      <c r="T595" s="8"/>
      <c r="U595" s="1359"/>
      <c r="V595" s="8"/>
      <c r="W595" s="8"/>
      <c r="X595" s="8"/>
      <c r="Y595" s="8"/>
      <c r="Z595" s="8"/>
      <c r="AA595" s="8"/>
    </row>
    <row r="596">
      <c r="A596" s="8"/>
      <c r="B596" s="8"/>
      <c r="C596" s="8"/>
      <c r="D596" s="8"/>
      <c r="E596" s="8"/>
      <c r="F596" s="8"/>
      <c r="G596" s="8"/>
      <c r="H596" s="8"/>
      <c r="I596" s="8"/>
      <c r="J596" s="215"/>
      <c r="K596" s="126"/>
      <c r="L596" s="126"/>
      <c r="M596" s="126"/>
      <c r="N596" s="126"/>
      <c r="O596" s="8"/>
      <c r="P596" s="8"/>
      <c r="Q596" s="129"/>
      <c r="R596" s="1369"/>
      <c r="S596" s="126"/>
      <c r="T596" s="8"/>
      <c r="U596" s="1359"/>
      <c r="V596" s="8"/>
      <c r="W596" s="8"/>
      <c r="X596" s="8"/>
      <c r="Y596" s="8"/>
      <c r="Z596" s="8"/>
      <c r="AA596" s="8"/>
    </row>
    <row r="597">
      <c r="A597" s="8"/>
      <c r="B597" s="8"/>
      <c r="C597" s="8"/>
      <c r="D597" s="8"/>
      <c r="E597" s="8"/>
      <c r="F597" s="8"/>
      <c r="G597" s="8"/>
      <c r="H597" s="8"/>
      <c r="I597" s="8"/>
      <c r="J597" s="215"/>
      <c r="K597" s="126"/>
      <c r="L597" s="126"/>
      <c r="M597" s="126"/>
      <c r="N597" s="126"/>
      <c r="O597" s="8"/>
      <c r="P597" s="8"/>
      <c r="Q597" s="129"/>
      <c r="R597" s="1369"/>
      <c r="S597" s="126"/>
      <c r="T597" s="8"/>
      <c r="U597" s="1359"/>
      <c r="V597" s="8"/>
      <c r="W597" s="8"/>
      <c r="X597" s="8"/>
      <c r="Y597" s="8"/>
      <c r="Z597" s="8"/>
      <c r="AA597" s="8"/>
    </row>
    <row r="598">
      <c r="A598" s="8"/>
      <c r="B598" s="8"/>
      <c r="C598" s="8"/>
      <c r="D598" s="8"/>
      <c r="E598" s="8"/>
      <c r="F598" s="8"/>
      <c r="G598" s="8"/>
      <c r="H598" s="8"/>
      <c r="I598" s="8"/>
      <c r="J598" s="215"/>
      <c r="K598" s="126"/>
      <c r="L598" s="126"/>
      <c r="M598" s="126"/>
      <c r="N598" s="126"/>
      <c r="O598" s="8"/>
      <c r="P598" s="8"/>
      <c r="Q598" s="129"/>
      <c r="R598" s="1369"/>
      <c r="S598" s="126"/>
      <c r="T598" s="8"/>
      <c r="U598" s="1359"/>
      <c r="V598" s="8"/>
      <c r="W598" s="8"/>
      <c r="X598" s="8"/>
      <c r="Y598" s="8"/>
      <c r="Z598" s="8"/>
      <c r="AA598" s="8"/>
    </row>
    <row r="599">
      <c r="A599" s="8"/>
      <c r="B599" s="8"/>
      <c r="C599" s="8"/>
      <c r="D599" s="8"/>
      <c r="E599" s="8"/>
      <c r="F599" s="8"/>
      <c r="G599" s="8"/>
      <c r="H599" s="8"/>
      <c r="I599" s="8"/>
      <c r="J599" s="215"/>
      <c r="K599" s="126"/>
      <c r="L599" s="126"/>
      <c r="M599" s="126"/>
      <c r="N599" s="126"/>
      <c r="O599" s="8"/>
      <c r="P599" s="8"/>
      <c r="Q599" s="129"/>
      <c r="R599" s="1369"/>
      <c r="S599" s="126"/>
      <c r="T599" s="8"/>
      <c r="U599" s="1359"/>
      <c r="V599" s="8"/>
      <c r="W599" s="8"/>
      <c r="X599" s="8"/>
      <c r="Y599" s="8"/>
      <c r="Z599" s="8"/>
      <c r="AA599" s="8"/>
    </row>
    <row r="600">
      <c r="A600" s="8"/>
      <c r="B600" s="8"/>
      <c r="C600" s="8"/>
      <c r="D600" s="8"/>
      <c r="E600" s="8"/>
      <c r="F600" s="8"/>
      <c r="G600" s="8"/>
      <c r="H600" s="8"/>
      <c r="I600" s="8"/>
      <c r="J600" s="215"/>
      <c r="K600" s="126"/>
      <c r="L600" s="126"/>
      <c r="M600" s="126"/>
      <c r="N600" s="126"/>
      <c r="O600" s="8"/>
      <c r="P600" s="8"/>
      <c r="Q600" s="129"/>
      <c r="R600" s="1369"/>
      <c r="S600" s="126"/>
      <c r="T600" s="8"/>
      <c r="U600" s="1359"/>
      <c r="V600" s="8"/>
      <c r="W600" s="8"/>
      <c r="X600" s="8"/>
      <c r="Y600" s="8"/>
      <c r="Z600" s="8"/>
      <c r="AA600" s="8"/>
    </row>
    <row r="601">
      <c r="A601" s="8"/>
      <c r="B601" s="8"/>
      <c r="C601" s="8"/>
      <c r="D601" s="8"/>
      <c r="E601" s="8"/>
      <c r="F601" s="8"/>
      <c r="G601" s="8"/>
      <c r="H601" s="8"/>
      <c r="I601" s="8"/>
      <c r="J601" s="215"/>
      <c r="K601" s="126"/>
      <c r="L601" s="126"/>
      <c r="M601" s="126"/>
      <c r="N601" s="126"/>
      <c r="O601" s="8"/>
      <c r="P601" s="8"/>
      <c r="Q601" s="129"/>
      <c r="R601" s="1369"/>
      <c r="S601" s="126"/>
      <c r="T601" s="8"/>
      <c r="U601" s="1359"/>
      <c r="V601" s="8"/>
      <c r="W601" s="8"/>
      <c r="X601" s="8"/>
      <c r="Y601" s="8"/>
      <c r="Z601" s="8"/>
      <c r="AA601" s="8"/>
    </row>
    <row r="602">
      <c r="A602" s="8"/>
      <c r="B602" s="8"/>
      <c r="C602" s="8"/>
      <c r="D602" s="8"/>
      <c r="E602" s="8"/>
      <c r="F602" s="8"/>
      <c r="G602" s="8"/>
      <c r="H602" s="8"/>
      <c r="I602" s="8"/>
      <c r="J602" s="215"/>
      <c r="K602" s="126"/>
      <c r="L602" s="126"/>
      <c r="M602" s="126"/>
      <c r="N602" s="126"/>
      <c r="O602" s="8"/>
      <c r="P602" s="8"/>
      <c r="Q602" s="129"/>
      <c r="R602" s="1369"/>
      <c r="S602" s="126"/>
      <c r="T602" s="8"/>
      <c r="U602" s="1359"/>
      <c r="V602" s="8"/>
      <c r="W602" s="8"/>
      <c r="X602" s="8"/>
      <c r="Y602" s="8"/>
      <c r="Z602" s="8"/>
      <c r="AA602" s="8"/>
    </row>
    <row r="603">
      <c r="A603" s="8"/>
      <c r="B603" s="8"/>
      <c r="C603" s="8"/>
      <c r="D603" s="8"/>
      <c r="E603" s="8"/>
      <c r="F603" s="8"/>
      <c r="G603" s="8"/>
      <c r="H603" s="8"/>
      <c r="I603" s="8"/>
      <c r="J603" s="215"/>
      <c r="K603" s="126"/>
      <c r="L603" s="126"/>
      <c r="M603" s="126"/>
      <c r="N603" s="126"/>
      <c r="O603" s="8"/>
      <c r="P603" s="8"/>
      <c r="Q603" s="129"/>
      <c r="R603" s="1369"/>
      <c r="S603" s="126"/>
      <c r="T603" s="8"/>
      <c r="U603" s="1359"/>
      <c r="V603" s="8"/>
      <c r="W603" s="8"/>
      <c r="X603" s="8"/>
      <c r="Y603" s="8"/>
      <c r="Z603" s="8"/>
      <c r="AA603" s="8"/>
    </row>
    <row r="604">
      <c r="A604" s="8"/>
      <c r="B604" s="8"/>
      <c r="C604" s="8"/>
      <c r="D604" s="8"/>
      <c r="E604" s="8"/>
      <c r="F604" s="8"/>
      <c r="G604" s="8"/>
      <c r="H604" s="8"/>
      <c r="I604" s="8"/>
      <c r="J604" s="215"/>
      <c r="K604" s="126"/>
      <c r="L604" s="126"/>
      <c r="M604" s="126"/>
      <c r="N604" s="126"/>
      <c r="O604" s="8"/>
      <c r="P604" s="8"/>
      <c r="Q604" s="129"/>
      <c r="R604" s="1369"/>
      <c r="S604" s="126"/>
      <c r="T604" s="8"/>
      <c r="U604" s="1359"/>
      <c r="V604" s="8"/>
      <c r="W604" s="8"/>
      <c r="X604" s="8"/>
      <c r="Y604" s="8"/>
      <c r="Z604" s="8"/>
      <c r="AA604" s="8"/>
    </row>
    <row r="605">
      <c r="A605" s="8"/>
      <c r="B605" s="8"/>
      <c r="C605" s="8"/>
      <c r="D605" s="8"/>
      <c r="E605" s="8"/>
      <c r="F605" s="8"/>
      <c r="G605" s="8"/>
      <c r="H605" s="8"/>
      <c r="I605" s="8"/>
      <c r="J605" s="215"/>
      <c r="K605" s="126"/>
      <c r="L605" s="126"/>
      <c r="M605" s="126"/>
      <c r="N605" s="126"/>
      <c r="O605" s="8"/>
      <c r="P605" s="8"/>
      <c r="Q605" s="129"/>
      <c r="R605" s="1369"/>
      <c r="S605" s="126"/>
      <c r="T605" s="8"/>
      <c r="U605" s="1359"/>
      <c r="V605" s="8"/>
      <c r="W605" s="8"/>
      <c r="X605" s="8"/>
      <c r="Y605" s="8"/>
      <c r="Z605" s="8"/>
      <c r="AA605" s="8"/>
    </row>
    <row r="606">
      <c r="A606" s="8"/>
      <c r="B606" s="8"/>
      <c r="C606" s="8"/>
      <c r="D606" s="8"/>
      <c r="E606" s="8"/>
      <c r="F606" s="8"/>
      <c r="G606" s="8"/>
      <c r="H606" s="8"/>
      <c r="I606" s="8"/>
      <c r="J606" s="215"/>
      <c r="K606" s="126"/>
      <c r="L606" s="126"/>
      <c r="M606" s="126"/>
      <c r="N606" s="126"/>
      <c r="O606" s="8"/>
      <c r="P606" s="8"/>
      <c r="Q606" s="129"/>
      <c r="R606" s="1369"/>
      <c r="S606" s="126"/>
      <c r="T606" s="8"/>
      <c r="U606" s="1359"/>
      <c r="V606" s="8"/>
      <c r="W606" s="8"/>
      <c r="X606" s="8"/>
      <c r="Y606" s="8"/>
      <c r="Z606" s="8"/>
      <c r="AA606" s="8"/>
    </row>
    <row r="607">
      <c r="A607" s="8"/>
      <c r="B607" s="8"/>
      <c r="C607" s="8"/>
      <c r="D607" s="8"/>
      <c r="E607" s="8"/>
      <c r="F607" s="8"/>
      <c r="G607" s="8"/>
      <c r="H607" s="8"/>
      <c r="I607" s="8"/>
      <c r="J607" s="215"/>
      <c r="K607" s="126"/>
      <c r="L607" s="126"/>
      <c r="M607" s="126"/>
      <c r="N607" s="126"/>
      <c r="O607" s="8"/>
      <c r="P607" s="8"/>
      <c r="Q607" s="129"/>
      <c r="R607" s="1369"/>
      <c r="S607" s="126"/>
      <c r="T607" s="8"/>
      <c r="U607" s="1359"/>
      <c r="V607" s="8"/>
      <c r="W607" s="8"/>
      <c r="X607" s="8"/>
      <c r="Y607" s="8"/>
      <c r="Z607" s="8"/>
      <c r="AA607" s="8"/>
    </row>
    <row r="608">
      <c r="A608" s="8"/>
      <c r="B608" s="8"/>
      <c r="C608" s="8"/>
      <c r="D608" s="8"/>
      <c r="E608" s="8"/>
      <c r="F608" s="8"/>
      <c r="G608" s="8"/>
      <c r="H608" s="8"/>
      <c r="I608" s="8"/>
      <c r="J608" s="215"/>
      <c r="K608" s="126"/>
      <c r="L608" s="126"/>
      <c r="M608" s="126"/>
      <c r="N608" s="126"/>
      <c r="O608" s="8"/>
      <c r="P608" s="8"/>
      <c r="Q608" s="129"/>
      <c r="R608" s="1369"/>
      <c r="S608" s="126"/>
      <c r="T608" s="8"/>
      <c r="U608" s="1359"/>
      <c r="V608" s="8"/>
      <c r="W608" s="8"/>
      <c r="X608" s="8"/>
      <c r="Y608" s="8"/>
      <c r="Z608" s="8"/>
      <c r="AA608" s="8"/>
    </row>
    <row r="609">
      <c r="A609" s="8"/>
      <c r="B609" s="8"/>
      <c r="C609" s="8"/>
      <c r="D609" s="8"/>
      <c r="E609" s="8"/>
      <c r="F609" s="8"/>
      <c r="G609" s="8"/>
      <c r="H609" s="8"/>
      <c r="I609" s="8"/>
      <c r="J609" s="215"/>
      <c r="K609" s="126"/>
      <c r="L609" s="126"/>
      <c r="M609" s="126"/>
      <c r="N609" s="126"/>
      <c r="O609" s="8"/>
      <c r="P609" s="8"/>
      <c r="Q609" s="129"/>
      <c r="R609" s="1369"/>
      <c r="S609" s="126"/>
      <c r="T609" s="8"/>
      <c r="U609" s="1359"/>
      <c r="V609" s="8"/>
      <c r="W609" s="8"/>
      <c r="X609" s="8"/>
      <c r="Y609" s="8"/>
      <c r="Z609" s="8"/>
      <c r="AA609" s="8"/>
    </row>
    <row r="610">
      <c r="A610" s="8"/>
      <c r="B610" s="8"/>
      <c r="C610" s="8"/>
      <c r="D610" s="8"/>
      <c r="E610" s="8"/>
      <c r="F610" s="8"/>
      <c r="G610" s="8"/>
      <c r="H610" s="8"/>
      <c r="I610" s="8"/>
      <c r="J610" s="215"/>
      <c r="K610" s="126"/>
      <c r="L610" s="126"/>
      <c r="M610" s="126"/>
      <c r="N610" s="126"/>
      <c r="O610" s="8"/>
      <c r="P610" s="8"/>
      <c r="Q610" s="129"/>
      <c r="R610" s="1369"/>
      <c r="S610" s="126"/>
      <c r="T610" s="8"/>
      <c r="U610" s="1359"/>
      <c r="V610" s="8"/>
      <c r="W610" s="8"/>
      <c r="X610" s="8"/>
      <c r="Y610" s="8"/>
      <c r="Z610" s="8"/>
      <c r="AA610" s="8"/>
    </row>
    <row r="611">
      <c r="A611" s="8"/>
      <c r="B611" s="8"/>
      <c r="C611" s="8"/>
      <c r="D611" s="8"/>
      <c r="E611" s="8"/>
      <c r="F611" s="8"/>
      <c r="G611" s="8"/>
      <c r="H611" s="8"/>
      <c r="I611" s="8"/>
      <c r="J611" s="215"/>
      <c r="K611" s="126"/>
      <c r="L611" s="126"/>
      <c r="M611" s="126"/>
      <c r="N611" s="126"/>
      <c r="O611" s="8"/>
      <c r="P611" s="8"/>
      <c r="Q611" s="129"/>
      <c r="R611" s="1369"/>
      <c r="S611" s="126"/>
      <c r="T611" s="8"/>
      <c r="U611" s="1359"/>
      <c r="V611" s="8"/>
      <c r="W611" s="8"/>
      <c r="X611" s="8"/>
      <c r="Y611" s="8"/>
      <c r="Z611" s="8"/>
      <c r="AA611" s="8"/>
    </row>
    <row r="612">
      <c r="A612" s="8"/>
      <c r="B612" s="8"/>
      <c r="C612" s="8"/>
      <c r="D612" s="8"/>
      <c r="E612" s="8"/>
      <c r="F612" s="8"/>
      <c r="G612" s="8"/>
      <c r="H612" s="8"/>
      <c r="I612" s="8"/>
      <c r="J612" s="215"/>
      <c r="K612" s="126"/>
      <c r="L612" s="126"/>
      <c r="M612" s="126"/>
      <c r="N612" s="126"/>
      <c r="O612" s="8"/>
      <c r="P612" s="8"/>
      <c r="Q612" s="129"/>
      <c r="R612" s="1369"/>
      <c r="S612" s="126"/>
      <c r="T612" s="8"/>
      <c r="U612" s="1359"/>
      <c r="V612" s="8"/>
      <c r="W612" s="8"/>
      <c r="X612" s="8"/>
      <c r="Y612" s="8"/>
      <c r="Z612" s="8"/>
      <c r="AA612" s="8"/>
    </row>
    <row r="613">
      <c r="A613" s="8"/>
      <c r="B613" s="8"/>
      <c r="C613" s="8"/>
      <c r="D613" s="8"/>
      <c r="E613" s="8"/>
      <c r="F613" s="8"/>
      <c r="G613" s="8"/>
      <c r="H613" s="8"/>
      <c r="I613" s="8"/>
      <c r="J613" s="215"/>
      <c r="K613" s="126"/>
      <c r="L613" s="126"/>
      <c r="M613" s="126"/>
      <c r="N613" s="126"/>
      <c r="O613" s="8"/>
      <c r="P613" s="8"/>
      <c r="Q613" s="129"/>
      <c r="R613" s="1369"/>
      <c r="S613" s="126"/>
      <c r="T613" s="8"/>
      <c r="U613" s="1359"/>
      <c r="V613" s="8"/>
      <c r="W613" s="8"/>
      <c r="X613" s="8"/>
      <c r="Y613" s="8"/>
      <c r="Z613" s="8"/>
      <c r="AA613" s="8"/>
    </row>
    <row r="614">
      <c r="A614" s="8"/>
      <c r="B614" s="8"/>
      <c r="C614" s="8"/>
      <c r="D614" s="8"/>
      <c r="E614" s="8"/>
      <c r="F614" s="8"/>
      <c r="G614" s="8"/>
      <c r="H614" s="8"/>
      <c r="I614" s="8"/>
      <c r="J614" s="215"/>
      <c r="K614" s="126"/>
      <c r="L614" s="126"/>
      <c r="M614" s="126"/>
      <c r="N614" s="126"/>
      <c r="O614" s="8"/>
      <c r="P614" s="8"/>
      <c r="Q614" s="129"/>
      <c r="R614" s="1369"/>
      <c r="S614" s="126"/>
      <c r="T614" s="8"/>
      <c r="U614" s="1359"/>
      <c r="V614" s="8"/>
      <c r="W614" s="8"/>
      <c r="X614" s="8"/>
      <c r="Y614" s="8"/>
      <c r="Z614" s="8"/>
      <c r="AA614" s="8"/>
    </row>
    <row r="615">
      <c r="A615" s="8"/>
      <c r="B615" s="8"/>
      <c r="C615" s="8"/>
      <c r="D615" s="8"/>
      <c r="E615" s="8"/>
      <c r="F615" s="8"/>
      <c r="G615" s="8"/>
      <c r="H615" s="8"/>
      <c r="I615" s="8"/>
      <c r="J615" s="215"/>
      <c r="K615" s="126"/>
      <c r="L615" s="126"/>
      <c r="M615" s="126"/>
      <c r="N615" s="126"/>
      <c r="O615" s="8"/>
      <c r="P615" s="8"/>
      <c r="Q615" s="129"/>
      <c r="R615" s="1369"/>
      <c r="S615" s="126"/>
      <c r="T615" s="8"/>
      <c r="U615" s="1359"/>
      <c r="V615" s="8"/>
      <c r="W615" s="8"/>
      <c r="X615" s="8"/>
      <c r="Y615" s="8"/>
      <c r="Z615" s="8"/>
      <c r="AA615" s="8"/>
    </row>
    <row r="616">
      <c r="A616" s="8"/>
      <c r="B616" s="8"/>
      <c r="C616" s="8"/>
      <c r="D616" s="8"/>
      <c r="E616" s="8"/>
      <c r="F616" s="8"/>
      <c r="G616" s="8"/>
      <c r="H616" s="8"/>
      <c r="I616" s="8"/>
      <c r="J616" s="215"/>
      <c r="K616" s="126"/>
      <c r="L616" s="126"/>
      <c r="M616" s="126"/>
      <c r="N616" s="126"/>
      <c r="O616" s="8"/>
      <c r="P616" s="8"/>
      <c r="Q616" s="129"/>
      <c r="R616" s="1369"/>
      <c r="S616" s="126"/>
      <c r="T616" s="8"/>
      <c r="U616" s="1359"/>
      <c r="V616" s="8"/>
      <c r="W616" s="8"/>
      <c r="X616" s="8"/>
      <c r="Y616" s="8"/>
      <c r="Z616" s="8"/>
      <c r="AA616" s="8"/>
    </row>
    <row r="617">
      <c r="A617" s="8"/>
      <c r="B617" s="8"/>
      <c r="C617" s="8"/>
      <c r="D617" s="8"/>
      <c r="E617" s="8"/>
      <c r="F617" s="8"/>
      <c r="G617" s="8"/>
      <c r="H617" s="8"/>
      <c r="I617" s="8"/>
      <c r="J617" s="215"/>
      <c r="K617" s="126"/>
      <c r="L617" s="126"/>
      <c r="M617" s="126"/>
      <c r="N617" s="126"/>
      <c r="O617" s="8"/>
      <c r="P617" s="8"/>
      <c r="Q617" s="129"/>
      <c r="R617" s="1369"/>
      <c r="S617" s="126"/>
      <c r="T617" s="8"/>
      <c r="U617" s="1359"/>
      <c r="V617" s="8"/>
      <c r="W617" s="8"/>
      <c r="X617" s="8"/>
      <c r="Y617" s="8"/>
      <c r="Z617" s="8"/>
      <c r="AA617" s="8"/>
    </row>
    <row r="618">
      <c r="A618" s="8"/>
      <c r="B618" s="8"/>
      <c r="C618" s="8"/>
      <c r="D618" s="8"/>
      <c r="E618" s="8"/>
      <c r="F618" s="8"/>
      <c r="G618" s="8"/>
      <c r="H618" s="8"/>
      <c r="I618" s="8"/>
      <c r="J618" s="215"/>
      <c r="K618" s="126"/>
      <c r="L618" s="126"/>
      <c r="M618" s="126"/>
      <c r="N618" s="126"/>
      <c r="O618" s="8"/>
      <c r="P618" s="8"/>
      <c r="Q618" s="129"/>
      <c r="R618" s="1369"/>
      <c r="S618" s="126"/>
      <c r="T618" s="8"/>
      <c r="U618" s="1359"/>
      <c r="V618" s="8"/>
      <c r="W618" s="8"/>
      <c r="X618" s="8"/>
      <c r="Y618" s="8"/>
      <c r="Z618" s="8"/>
      <c r="AA618" s="8"/>
    </row>
    <row r="619">
      <c r="A619" s="8"/>
      <c r="B619" s="8"/>
      <c r="C619" s="8"/>
      <c r="D619" s="8"/>
      <c r="E619" s="8"/>
      <c r="F619" s="8"/>
      <c r="G619" s="8"/>
      <c r="H619" s="8"/>
      <c r="I619" s="8"/>
      <c r="J619" s="215"/>
      <c r="K619" s="126"/>
      <c r="L619" s="126"/>
      <c r="M619" s="126"/>
      <c r="N619" s="126"/>
      <c r="O619" s="8"/>
      <c r="P619" s="8"/>
      <c r="Q619" s="129"/>
      <c r="R619" s="1369"/>
      <c r="S619" s="126"/>
      <c r="T619" s="8"/>
      <c r="U619" s="1359"/>
      <c r="V619" s="8"/>
      <c r="W619" s="8"/>
      <c r="X619" s="8"/>
      <c r="Y619" s="8"/>
      <c r="Z619" s="8"/>
      <c r="AA619" s="8"/>
    </row>
    <row r="620">
      <c r="A620" s="8"/>
      <c r="B620" s="8"/>
      <c r="C620" s="8"/>
      <c r="D620" s="8"/>
      <c r="E620" s="8"/>
      <c r="F620" s="8"/>
      <c r="G620" s="8"/>
      <c r="H620" s="8"/>
      <c r="I620" s="8"/>
      <c r="J620" s="215"/>
      <c r="K620" s="126"/>
      <c r="L620" s="126"/>
      <c r="M620" s="126"/>
      <c r="N620" s="126"/>
      <c r="O620" s="8"/>
      <c r="P620" s="8"/>
      <c r="Q620" s="129"/>
      <c r="R620" s="1369"/>
      <c r="S620" s="126"/>
      <c r="T620" s="8"/>
      <c r="U620" s="1359"/>
      <c r="V620" s="8"/>
      <c r="W620" s="8"/>
      <c r="X620" s="8"/>
      <c r="Y620" s="8"/>
      <c r="Z620" s="8"/>
      <c r="AA620" s="8"/>
    </row>
    <row r="621">
      <c r="A621" s="8"/>
      <c r="B621" s="8"/>
      <c r="C621" s="8"/>
      <c r="D621" s="8"/>
      <c r="E621" s="8"/>
      <c r="F621" s="8"/>
      <c r="G621" s="8"/>
      <c r="H621" s="8"/>
      <c r="I621" s="8"/>
      <c r="J621" s="215"/>
      <c r="K621" s="126"/>
      <c r="L621" s="126"/>
      <c r="M621" s="126"/>
      <c r="N621" s="126"/>
      <c r="O621" s="8"/>
      <c r="P621" s="8"/>
      <c r="Q621" s="129"/>
      <c r="R621" s="1369"/>
      <c r="S621" s="126"/>
      <c r="T621" s="8"/>
      <c r="U621" s="1359"/>
      <c r="V621" s="8"/>
      <c r="W621" s="8"/>
      <c r="X621" s="8"/>
      <c r="Y621" s="8"/>
      <c r="Z621" s="8"/>
      <c r="AA621" s="8"/>
    </row>
    <row r="622">
      <c r="A622" s="8"/>
      <c r="B622" s="8"/>
      <c r="C622" s="8"/>
      <c r="D622" s="8"/>
      <c r="E622" s="8"/>
      <c r="F622" s="8"/>
      <c r="G622" s="8"/>
      <c r="H622" s="8"/>
      <c r="I622" s="8"/>
      <c r="J622" s="215"/>
      <c r="K622" s="126"/>
      <c r="L622" s="126"/>
      <c r="M622" s="126"/>
      <c r="N622" s="126"/>
      <c r="O622" s="8"/>
      <c r="P622" s="8"/>
      <c r="Q622" s="129"/>
      <c r="R622" s="1369"/>
      <c r="S622" s="126"/>
      <c r="T622" s="8"/>
      <c r="U622" s="1359"/>
      <c r="V622" s="8"/>
      <c r="W622" s="8"/>
      <c r="X622" s="8"/>
      <c r="Y622" s="8"/>
      <c r="Z622" s="8"/>
      <c r="AA622" s="8"/>
    </row>
    <row r="623">
      <c r="A623" s="8"/>
      <c r="B623" s="8"/>
      <c r="C623" s="8"/>
      <c r="D623" s="8"/>
      <c r="E623" s="8"/>
      <c r="F623" s="8"/>
      <c r="G623" s="8"/>
      <c r="H623" s="8"/>
      <c r="I623" s="8"/>
      <c r="J623" s="215"/>
      <c r="K623" s="126"/>
      <c r="L623" s="126"/>
      <c r="M623" s="126"/>
      <c r="N623" s="126"/>
      <c r="O623" s="8"/>
      <c r="P623" s="8"/>
      <c r="Q623" s="129"/>
      <c r="R623" s="1369"/>
      <c r="S623" s="126"/>
      <c r="T623" s="8"/>
      <c r="U623" s="1359"/>
      <c r="V623" s="8"/>
      <c r="W623" s="8"/>
      <c r="X623" s="8"/>
      <c r="Y623" s="8"/>
      <c r="Z623" s="8"/>
      <c r="AA623" s="8"/>
    </row>
    <row r="624">
      <c r="A624" s="8"/>
      <c r="B624" s="8"/>
      <c r="C624" s="8"/>
      <c r="D624" s="8"/>
      <c r="E624" s="8"/>
      <c r="F624" s="8"/>
      <c r="G624" s="8"/>
      <c r="H624" s="8"/>
      <c r="I624" s="8"/>
      <c r="J624" s="215"/>
      <c r="K624" s="126"/>
      <c r="L624" s="126"/>
      <c r="M624" s="126"/>
      <c r="N624" s="126"/>
      <c r="O624" s="8"/>
      <c r="P624" s="8"/>
      <c r="Q624" s="129"/>
      <c r="R624" s="1369"/>
      <c r="S624" s="126"/>
      <c r="T624" s="8"/>
      <c r="U624" s="1359"/>
      <c r="V624" s="8"/>
      <c r="W624" s="8"/>
      <c r="X624" s="8"/>
      <c r="Y624" s="8"/>
      <c r="Z624" s="8"/>
      <c r="AA624" s="8"/>
    </row>
    <row r="625">
      <c r="A625" s="8"/>
      <c r="B625" s="8"/>
      <c r="C625" s="8"/>
      <c r="D625" s="8"/>
      <c r="E625" s="8"/>
      <c r="F625" s="8"/>
      <c r="G625" s="8"/>
      <c r="H625" s="8"/>
      <c r="I625" s="8"/>
      <c r="J625" s="215"/>
      <c r="K625" s="126"/>
      <c r="L625" s="126"/>
      <c r="M625" s="126"/>
      <c r="N625" s="126"/>
      <c r="O625" s="8"/>
      <c r="P625" s="8"/>
      <c r="Q625" s="129"/>
      <c r="R625" s="1369"/>
      <c r="S625" s="126"/>
      <c r="T625" s="8"/>
      <c r="U625" s="1359"/>
      <c r="V625" s="8"/>
      <c r="W625" s="8"/>
      <c r="X625" s="8"/>
      <c r="Y625" s="8"/>
      <c r="Z625" s="8"/>
      <c r="AA625" s="8"/>
    </row>
    <row r="626">
      <c r="A626" s="8"/>
      <c r="B626" s="8"/>
      <c r="C626" s="8"/>
      <c r="D626" s="8"/>
      <c r="E626" s="8"/>
      <c r="F626" s="8"/>
      <c r="G626" s="8"/>
      <c r="H626" s="8"/>
      <c r="I626" s="8"/>
      <c r="J626" s="215"/>
      <c r="K626" s="126"/>
      <c r="L626" s="126"/>
      <c r="M626" s="126"/>
      <c r="N626" s="126"/>
      <c r="O626" s="8"/>
      <c r="P626" s="8"/>
      <c r="Q626" s="129"/>
      <c r="R626" s="1369"/>
      <c r="S626" s="126"/>
      <c r="T626" s="8"/>
      <c r="U626" s="1359"/>
      <c r="V626" s="8"/>
      <c r="W626" s="8"/>
      <c r="X626" s="8"/>
      <c r="Y626" s="8"/>
      <c r="Z626" s="8"/>
      <c r="AA626" s="8"/>
    </row>
    <row r="627">
      <c r="A627" s="8"/>
      <c r="B627" s="8"/>
      <c r="C627" s="8"/>
      <c r="D627" s="8"/>
      <c r="E627" s="8"/>
      <c r="F627" s="8"/>
      <c r="G627" s="8"/>
      <c r="H627" s="8"/>
      <c r="I627" s="8"/>
      <c r="J627" s="215"/>
      <c r="K627" s="126"/>
      <c r="L627" s="126"/>
      <c r="M627" s="126"/>
      <c r="N627" s="126"/>
      <c r="O627" s="8"/>
      <c r="P627" s="8"/>
      <c r="Q627" s="129"/>
      <c r="R627" s="1369"/>
      <c r="S627" s="126"/>
      <c r="T627" s="8"/>
      <c r="U627" s="1359"/>
      <c r="V627" s="8"/>
      <c r="W627" s="8"/>
      <c r="X627" s="8"/>
      <c r="Y627" s="8"/>
      <c r="Z627" s="8"/>
      <c r="AA627" s="8"/>
    </row>
    <row r="628">
      <c r="A628" s="8"/>
      <c r="B628" s="8"/>
      <c r="C628" s="8"/>
      <c r="D628" s="8"/>
      <c r="E628" s="8"/>
      <c r="F628" s="8"/>
      <c r="G628" s="8"/>
      <c r="H628" s="8"/>
      <c r="I628" s="8"/>
      <c r="J628" s="215"/>
      <c r="K628" s="126"/>
      <c r="L628" s="126"/>
      <c r="M628" s="126"/>
      <c r="N628" s="126"/>
      <c r="O628" s="8"/>
      <c r="P628" s="8"/>
      <c r="Q628" s="129"/>
      <c r="R628" s="1369"/>
      <c r="S628" s="126"/>
      <c r="T628" s="8"/>
      <c r="U628" s="1359"/>
      <c r="V628" s="8"/>
      <c r="W628" s="8"/>
      <c r="X628" s="8"/>
      <c r="Y628" s="8"/>
      <c r="Z628" s="8"/>
      <c r="AA628" s="8"/>
    </row>
    <row r="629">
      <c r="A629" s="8"/>
      <c r="B629" s="8"/>
      <c r="C629" s="8"/>
      <c r="D629" s="8"/>
      <c r="E629" s="8"/>
      <c r="F629" s="8"/>
      <c r="G629" s="8"/>
      <c r="H629" s="8"/>
      <c r="I629" s="8"/>
      <c r="J629" s="215"/>
      <c r="K629" s="126"/>
      <c r="L629" s="126"/>
      <c r="M629" s="126"/>
      <c r="N629" s="126"/>
      <c r="O629" s="8"/>
      <c r="P629" s="8"/>
      <c r="Q629" s="129"/>
      <c r="R629" s="1369"/>
      <c r="S629" s="126"/>
      <c r="T629" s="8"/>
      <c r="U629" s="1359"/>
      <c r="V629" s="8"/>
      <c r="W629" s="8"/>
      <c r="X629" s="8"/>
      <c r="Y629" s="8"/>
      <c r="Z629" s="8"/>
      <c r="AA629" s="8"/>
    </row>
    <row r="630">
      <c r="A630" s="8"/>
      <c r="B630" s="8"/>
      <c r="C630" s="8"/>
      <c r="D630" s="8"/>
      <c r="E630" s="8"/>
      <c r="F630" s="8"/>
      <c r="G630" s="8"/>
      <c r="H630" s="8"/>
      <c r="I630" s="8"/>
      <c r="J630" s="215"/>
      <c r="K630" s="126"/>
      <c r="L630" s="126"/>
      <c r="M630" s="126"/>
      <c r="N630" s="126"/>
      <c r="O630" s="8"/>
      <c r="P630" s="8"/>
      <c r="Q630" s="129"/>
      <c r="R630" s="1369"/>
      <c r="S630" s="126"/>
      <c r="T630" s="8"/>
      <c r="U630" s="1359"/>
      <c r="V630" s="8"/>
      <c r="W630" s="8"/>
      <c r="X630" s="8"/>
      <c r="Y630" s="8"/>
      <c r="Z630" s="8"/>
      <c r="AA630" s="8"/>
    </row>
    <row r="631">
      <c r="A631" s="8"/>
      <c r="B631" s="8"/>
      <c r="C631" s="8"/>
      <c r="D631" s="8"/>
      <c r="E631" s="8"/>
      <c r="F631" s="8"/>
      <c r="G631" s="8"/>
      <c r="H631" s="8"/>
      <c r="I631" s="8"/>
      <c r="J631" s="215"/>
      <c r="K631" s="126"/>
      <c r="L631" s="126"/>
      <c r="M631" s="126"/>
      <c r="N631" s="126"/>
      <c r="O631" s="8"/>
      <c r="P631" s="8"/>
      <c r="Q631" s="129"/>
      <c r="R631" s="1369"/>
      <c r="S631" s="126"/>
      <c r="T631" s="8"/>
      <c r="U631" s="1359"/>
      <c r="V631" s="8"/>
      <c r="W631" s="8"/>
      <c r="X631" s="8"/>
      <c r="Y631" s="8"/>
      <c r="Z631" s="8"/>
      <c r="AA631" s="8"/>
    </row>
    <row r="632">
      <c r="A632" s="8"/>
      <c r="B632" s="8"/>
      <c r="C632" s="8"/>
      <c r="D632" s="8"/>
      <c r="E632" s="8"/>
      <c r="F632" s="8"/>
      <c r="G632" s="8"/>
      <c r="H632" s="8"/>
      <c r="I632" s="8"/>
      <c r="J632" s="215"/>
      <c r="K632" s="126"/>
      <c r="L632" s="126"/>
      <c r="M632" s="126"/>
      <c r="N632" s="126"/>
      <c r="O632" s="8"/>
      <c r="P632" s="8"/>
      <c r="Q632" s="129"/>
      <c r="R632" s="1369"/>
      <c r="S632" s="126"/>
      <c r="T632" s="8"/>
      <c r="U632" s="1359"/>
      <c r="V632" s="8"/>
      <c r="W632" s="8"/>
      <c r="X632" s="8"/>
      <c r="Y632" s="8"/>
      <c r="Z632" s="8"/>
      <c r="AA632" s="8"/>
    </row>
    <row r="633">
      <c r="A633" s="8"/>
      <c r="B633" s="8"/>
      <c r="C633" s="8"/>
      <c r="D633" s="8"/>
      <c r="E633" s="8"/>
      <c r="F633" s="8"/>
      <c r="G633" s="8"/>
      <c r="H633" s="8"/>
      <c r="I633" s="8"/>
      <c r="J633" s="215"/>
      <c r="K633" s="126"/>
      <c r="L633" s="126"/>
      <c r="M633" s="126"/>
      <c r="N633" s="126"/>
      <c r="O633" s="8"/>
      <c r="P633" s="8"/>
      <c r="Q633" s="129"/>
      <c r="R633" s="1369"/>
      <c r="S633" s="126"/>
      <c r="T633" s="8"/>
      <c r="U633" s="1359"/>
      <c r="V633" s="8"/>
      <c r="W633" s="8"/>
      <c r="X633" s="8"/>
      <c r="Y633" s="8"/>
      <c r="Z633" s="8"/>
      <c r="AA633" s="8"/>
    </row>
    <row r="634">
      <c r="A634" s="8"/>
      <c r="B634" s="8"/>
      <c r="C634" s="8"/>
      <c r="D634" s="8"/>
      <c r="E634" s="8"/>
      <c r="F634" s="8"/>
      <c r="G634" s="8"/>
      <c r="H634" s="8"/>
      <c r="I634" s="8"/>
      <c r="J634" s="215"/>
      <c r="K634" s="126"/>
      <c r="L634" s="126"/>
      <c r="M634" s="126"/>
      <c r="N634" s="126"/>
      <c r="O634" s="8"/>
      <c r="P634" s="8"/>
      <c r="Q634" s="129"/>
      <c r="R634" s="1369"/>
      <c r="S634" s="126"/>
      <c r="T634" s="8"/>
      <c r="U634" s="1359"/>
      <c r="V634" s="8"/>
      <c r="W634" s="8"/>
      <c r="X634" s="8"/>
      <c r="Y634" s="8"/>
      <c r="Z634" s="8"/>
      <c r="AA634" s="8"/>
    </row>
    <row r="635">
      <c r="A635" s="8"/>
      <c r="B635" s="8"/>
      <c r="C635" s="8"/>
      <c r="D635" s="8"/>
      <c r="E635" s="8"/>
      <c r="F635" s="8"/>
      <c r="G635" s="8"/>
      <c r="H635" s="8"/>
      <c r="I635" s="8"/>
      <c r="J635" s="215"/>
      <c r="K635" s="126"/>
      <c r="L635" s="126"/>
      <c r="M635" s="126"/>
      <c r="N635" s="126"/>
      <c r="O635" s="8"/>
      <c r="P635" s="8"/>
      <c r="Q635" s="129"/>
      <c r="R635" s="1369"/>
      <c r="S635" s="126"/>
      <c r="T635" s="8"/>
      <c r="U635" s="1359"/>
      <c r="V635" s="8"/>
      <c r="W635" s="8"/>
      <c r="X635" s="8"/>
      <c r="Y635" s="8"/>
      <c r="Z635" s="8"/>
      <c r="AA635" s="8"/>
    </row>
    <row r="636">
      <c r="A636" s="8"/>
      <c r="B636" s="8"/>
      <c r="C636" s="8"/>
      <c r="D636" s="8"/>
      <c r="E636" s="8"/>
      <c r="F636" s="8"/>
      <c r="G636" s="8"/>
      <c r="H636" s="8"/>
      <c r="I636" s="8"/>
      <c r="J636" s="215"/>
      <c r="K636" s="126"/>
      <c r="L636" s="126"/>
      <c r="M636" s="126"/>
      <c r="N636" s="126"/>
      <c r="O636" s="8"/>
      <c r="P636" s="8"/>
      <c r="Q636" s="129"/>
      <c r="R636" s="1369"/>
      <c r="S636" s="126"/>
      <c r="T636" s="8"/>
      <c r="U636" s="1359"/>
      <c r="V636" s="8"/>
      <c r="W636" s="8"/>
      <c r="X636" s="8"/>
      <c r="Y636" s="8"/>
      <c r="Z636" s="8"/>
      <c r="AA636" s="8"/>
    </row>
    <row r="637">
      <c r="A637" s="8"/>
      <c r="B637" s="8"/>
      <c r="C637" s="8"/>
      <c r="D637" s="8"/>
      <c r="E637" s="8"/>
      <c r="F637" s="8"/>
      <c r="G637" s="8"/>
      <c r="H637" s="8"/>
      <c r="I637" s="8"/>
      <c r="J637" s="215"/>
      <c r="K637" s="126"/>
      <c r="L637" s="126"/>
      <c r="M637" s="126"/>
      <c r="N637" s="126"/>
      <c r="O637" s="8"/>
      <c r="P637" s="8"/>
      <c r="Q637" s="129"/>
      <c r="R637" s="1369"/>
      <c r="S637" s="126"/>
      <c r="T637" s="8"/>
      <c r="U637" s="1359"/>
      <c r="V637" s="8"/>
      <c r="W637" s="8"/>
      <c r="X637" s="8"/>
      <c r="Y637" s="8"/>
      <c r="Z637" s="8"/>
      <c r="AA637" s="8"/>
    </row>
    <row r="638">
      <c r="A638" s="8"/>
      <c r="B638" s="8"/>
      <c r="C638" s="8"/>
      <c r="D638" s="8"/>
      <c r="E638" s="8"/>
      <c r="F638" s="8"/>
      <c r="G638" s="8"/>
      <c r="H638" s="8"/>
      <c r="I638" s="8"/>
      <c r="J638" s="215"/>
      <c r="K638" s="126"/>
      <c r="L638" s="126"/>
      <c r="M638" s="126"/>
      <c r="N638" s="126"/>
      <c r="O638" s="8"/>
      <c r="P638" s="8"/>
      <c r="Q638" s="129"/>
      <c r="R638" s="1369"/>
      <c r="S638" s="126"/>
      <c r="T638" s="8"/>
      <c r="U638" s="1359"/>
      <c r="V638" s="8"/>
      <c r="W638" s="8"/>
      <c r="X638" s="8"/>
      <c r="Y638" s="8"/>
      <c r="Z638" s="8"/>
      <c r="AA638" s="8"/>
    </row>
    <row r="639">
      <c r="A639" s="8"/>
      <c r="B639" s="8"/>
      <c r="C639" s="8"/>
      <c r="D639" s="8"/>
      <c r="E639" s="8"/>
      <c r="F639" s="8"/>
      <c r="G639" s="8"/>
      <c r="H639" s="8"/>
      <c r="I639" s="8"/>
      <c r="J639" s="215"/>
      <c r="K639" s="126"/>
      <c r="L639" s="126"/>
      <c r="M639" s="126"/>
      <c r="N639" s="126"/>
      <c r="O639" s="8"/>
      <c r="P639" s="8"/>
      <c r="Q639" s="129"/>
      <c r="R639" s="1369"/>
      <c r="S639" s="126"/>
      <c r="T639" s="8"/>
      <c r="U639" s="1359"/>
      <c r="V639" s="8"/>
      <c r="W639" s="8"/>
      <c r="X639" s="8"/>
      <c r="Y639" s="8"/>
      <c r="Z639" s="8"/>
      <c r="AA639" s="8"/>
    </row>
    <row r="640">
      <c r="A640" s="8"/>
      <c r="B640" s="8"/>
      <c r="C640" s="8"/>
      <c r="D640" s="8"/>
      <c r="E640" s="8"/>
      <c r="F640" s="8"/>
      <c r="G640" s="8"/>
      <c r="H640" s="8"/>
      <c r="I640" s="8"/>
      <c r="J640" s="215"/>
      <c r="K640" s="126"/>
      <c r="L640" s="126"/>
      <c r="M640" s="126"/>
      <c r="N640" s="126"/>
      <c r="O640" s="8"/>
      <c r="P640" s="8"/>
      <c r="Q640" s="129"/>
      <c r="R640" s="1369"/>
      <c r="S640" s="126"/>
      <c r="T640" s="8"/>
      <c r="U640" s="1359"/>
      <c r="V640" s="8"/>
      <c r="W640" s="8"/>
      <c r="X640" s="8"/>
      <c r="Y640" s="8"/>
      <c r="Z640" s="8"/>
      <c r="AA640" s="8"/>
    </row>
    <row r="641">
      <c r="A641" s="8"/>
      <c r="B641" s="8"/>
      <c r="C641" s="8"/>
      <c r="D641" s="8"/>
      <c r="E641" s="8"/>
      <c r="F641" s="8"/>
      <c r="G641" s="8"/>
      <c r="H641" s="8"/>
      <c r="I641" s="8"/>
      <c r="J641" s="215"/>
      <c r="K641" s="126"/>
      <c r="L641" s="126"/>
      <c r="M641" s="126"/>
      <c r="N641" s="126"/>
      <c r="O641" s="8"/>
      <c r="P641" s="8"/>
      <c r="Q641" s="129"/>
      <c r="R641" s="1369"/>
      <c r="S641" s="126"/>
      <c r="T641" s="8"/>
      <c r="U641" s="1359"/>
      <c r="V641" s="8"/>
      <c r="W641" s="8"/>
      <c r="X641" s="8"/>
      <c r="Y641" s="8"/>
      <c r="Z641" s="8"/>
      <c r="AA641" s="8"/>
    </row>
    <row r="642">
      <c r="A642" s="8"/>
      <c r="B642" s="8"/>
      <c r="C642" s="8"/>
      <c r="D642" s="8"/>
      <c r="E642" s="8"/>
      <c r="F642" s="8"/>
      <c r="G642" s="8"/>
      <c r="H642" s="8"/>
      <c r="I642" s="8"/>
      <c r="J642" s="215"/>
      <c r="K642" s="126"/>
      <c r="L642" s="126"/>
      <c r="M642" s="126"/>
      <c r="N642" s="126"/>
      <c r="O642" s="8"/>
      <c r="P642" s="8"/>
      <c r="Q642" s="129"/>
      <c r="R642" s="1369"/>
      <c r="S642" s="126"/>
      <c r="T642" s="8"/>
      <c r="U642" s="1359"/>
      <c r="V642" s="8"/>
      <c r="W642" s="8"/>
      <c r="X642" s="8"/>
      <c r="Y642" s="8"/>
      <c r="Z642" s="8"/>
      <c r="AA642" s="8"/>
    </row>
    <row r="643">
      <c r="A643" s="8"/>
      <c r="B643" s="8"/>
      <c r="C643" s="8"/>
      <c r="D643" s="8"/>
      <c r="E643" s="8"/>
      <c r="F643" s="8"/>
      <c r="G643" s="8"/>
      <c r="H643" s="8"/>
      <c r="I643" s="8"/>
      <c r="J643" s="215"/>
      <c r="K643" s="126"/>
      <c r="L643" s="126"/>
      <c r="M643" s="126"/>
      <c r="N643" s="126"/>
      <c r="O643" s="8"/>
      <c r="P643" s="8"/>
      <c r="Q643" s="129"/>
      <c r="R643" s="1369"/>
      <c r="S643" s="126"/>
      <c r="T643" s="8"/>
      <c r="U643" s="1359"/>
      <c r="V643" s="8"/>
      <c r="W643" s="8"/>
      <c r="X643" s="8"/>
      <c r="Y643" s="8"/>
      <c r="Z643" s="8"/>
      <c r="AA643" s="8"/>
    </row>
    <row r="644">
      <c r="A644" s="8"/>
      <c r="B644" s="8"/>
      <c r="C644" s="8"/>
      <c r="D644" s="8"/>
      <c r="E644" s="8"/>
      <c r="F644" s="8"/>
      <c r="G644" s="8"/>
      <c r="H644" s="8"/>
      <c r="I644" s="8"/>
      <c r="J644" s="215"/>
      <c r="K644" s="126"/>
      <c r="L644" s="126"/>
      <c r="M644" s="126"/>
      <c r="N644" s="126"/>
      <c r="O644" s="8"/>
      <c r="P644" s="8"/>
      <c r="Q644" s="129"/>
      <c r="R644" s="1369"/>
      <c r="S644" s="126"/>
      <c r="T644" s="8"/>
      <c r="U644" s="1359"/>
      <c r="V644" s="8"/>
      <c r="W644" s="8"/>
      <c r="X644" s="8"/>
      <c r="Y644" s="8"/>
      <c r="Z644" s="8"/>
      <c r="AA644" s="8"/>
    </row>
    <row r="645">
      <c r="A645" s="8"/>
      <c r="B645" s="8"/>
      <c r="C645" s="8"/>
      <c r="D645" s="8"/>
      <c r="E645" s="8"/>
      <c r="F645" s="8"/>
      <c r="G645" s="8"/>
      <c r="H645" s="8"/>
      <c r="I645" s="8"/>
      <c r="J645" s="215"/>
      <c r="K645" s="126"/>
      <c r="L645" s="126"/>
      <c r="M645" s="126"/>
      <c r="N645" s="126"/>
      <c r="O645" s="8"/>
      <c r="P645" s="8"/>
      <c r="Q645" s="129"/>
      <c r="R645" s="1369"/>
      <c r="S645" s="126"/>
      <c r="T645" s="8"/>
      <c r="U645" s="1359"/>
      <c r="V645" s="8"/>
      <c r="W645" s="8"/>
      <c r="X645" s="8"/>
      <c r="Y645" s="8"/>
      <c r="Z645" s="8"/>
      <c r="AA645" s="8"/>
    </row>
    <row r="646">
      <c r="A646" s="8"/>
      <c r="B646" s="8"/>
      <c r="C646" s="8"/>
      <c r="D646" s="8"/>
      <c r="E646" s="8"/>
      <c r="F646" s="8"/>
      <c r="G646" s="8"/>
      <c r="H646" s="8"/>
      <c r="I646" s="8"/>
      <c r="J646" s="215"/>
      <c r="K646" s="126"/>
      <c r="L646" s="126"/>
      <c r="M646" s="126"/>
      <c r="N646" s="126"/>
      <c r="O646" s="8"/>
      <c r="P646" s="8"/>
      <c r="Q646" s="129"/>
      <c r="R646" s="1369"/>
      <c r="S646" s="126"/>
      <c r="T646" s="8"/>
      <c r="U646" s="1359"/>
      <c r="V646" s="8"/>
      <c r="W646" s="8"/>
      <c r="X646" s="8"/>
      <c r="Y646" s="8"/>
      <c r="Z646" s="8"/>
      <c r="AA646" s="8"/>
    </row>
    <row r="647">
      <c r="A647" s="8"/>
      <c r="B647" s="8"/>
      <c r="C647" s="8"/>
      <c r="D647" s="8"/>
      <c r="E647" s="8"/>
      <c r="F647" s="8"/>
      <c r="G647" s="8"/>
      <c r="H647" s="8"/>
      <c r="I647" s="8"/>
      <c r="J647" s="215"/>
      <c r="K647" s="126"/>
      <c r="L647" s="126"/>
      <c r="M647" s="126"/>
      <c r="N647" s="126"/>
      <c r="O647" s="8"/>
      <c r="P647" s="8"/>
      <c r="Q647" s="129"/>
      <c r="R647" s="1369"/>
      <c r="S647" s="126"/>
      <c r="T647" s="8"/>
      <c r="U647" s="1359"/>
      <c r="V647" s="8"/>
      <c r="W647" s="8"/>
      <c r="X647" s="8"/>
      <c r="Y647" s="8"/>
      <c r="Z647" s="8"/>
      <c r="AA647" s="8"/>
    </row>
    <row r="648">
      <c r="A648" s="8"/>
      <c r="B648" s="8"/>
      <c r="C648" s="8"/>
      <c r="D648" s="8"/>
      <c r="E648" s="8"/>
      <c r="F648" s="8"/>
      <c r="G648" s="8"/>
      <c r="H648" s="8"/>
      <c r="I648" s="8"/>
      <c r="J648" s="215"/>
      <c r="K648" s="126"/>
      <c r="L648" s="126"/>
      <c r="M648" s="126"/>
      <c r="N648" s="126"/>
      <c r="O648" s="8"/>
      <c r="P648" s="8"/>
      <c r="Q648" s="129"/>
      <c r="R648" s="1369"/>
      <c r="S648" s="126"/>
      <c r="T648" s="8"/>
      <c r="U648" s="1359"/>
      <c r="V648" s="8"/>
      <c r="W648" s="8"/>
      <c r="X648" s="8"/>
      <c r="Y648" s="8"/>
      <c r="Z648" s="8"/>
      <c r="AA648" s="8"/>
    </row>
    <row r="649">
      <c r="A649" s="8"/>
      <c r="B649" s="8"/>
      <c r="C649" s="8"/>
      <c r="D649" s="8"/>
      <c r="E649" s="8"/>
      <c r="F649" s="8"/>
      <c r="G649" s="8"/>
      <c r="H649" s="8"/>
      <c r="I649" s="8"/>
      <c r="J649" s="215"/>
      <c r="K649" s="126"/>
      <c r="L649" s="126"/>
      <c r="M649" s="126"/>
      <c r="N649" s="126"/>
      <c r="O649" s="8"/>
      <c r="P649" s="8"/>
      <c r="Q649" s="129"/>
      <c r="R649" s="1369"/>
      <c r="S649" s="126"/>
      <c r="T649" s="8"/>
      <c r="U649" s="1359"/>
      <c r="V649" s="8"/>
      <c r="W649" s="8"/>
      <c r="X649" s="8"/>
      <c r="Y649" s="8"/>
      <c r="Z649" s="8"/>
      <c r="AA649" s="8"/>
    </row>
    <row r="650">
      <c r="A650" s="8"/>
      <c r="B650" s="8"/>
      <c r="C650" s="8"/>
      <c r="D650" s="8"/>
      <c r="E650" s="8"/>
      <c r="F650" s="8"/>
      <c r="G650" s="8"/>
      <c r="H650" s="8"/>
      <c r="I650" s="8"/>
      <c r="J650" s="215"/>
      <c r="K650" s="126"/>
      <c r="L650" s="126"/>
      <c r="M650" s="126"/>
      <c r="N650" s="126"/>
      <c r="O650" s="8"/>
      <c r="P650" s="8"/>
      <c r="Q650" s="129"/>
      <c r="R650" s="1369"/>
      <c r="S650" s="126"/>
      <c r="T650" s="8"/>
      <c r="U650" s="1359"/>
      <c r="V650" s="8"/>
      <c r="W650" s="8"/>
      <c r="X650" s="8"/>
      <c r="Y650" s="8"/>
      <c r="Z650" s="8"/>
      <c r="AA650" s="8"/>
    </row>
    <row r="651">
      <c r="A651" s="8"/>
      <c r="B651" s="8"/>
      <c r="C651" s="8"/>
      <c r="D651" s="8"/>
      <c r="E651" s="8"/>
      <c r="F651" s="8"/>
      <c r="G651" s="8"/>
      <c r="H651" s="8"/>
      <c r="I651" s="8"/>
      <c r="J651" s="215"/>
      <c r="K651" s="126"/>
      <c r="L651" s="126"/>
      <c r="M651" s="126"/>
      <c r="N651" s="126"/>
      <c r="O651" s="8"/>
      <c r="P651" s="8"/>
      <c r="Q651" s="129"/>
      <c r="R651" s="1369"/>
      <c r="S651" s="126"/>
      <c r="T651" s="8"/>
      <c r="U651" s="1359"/>
      <c r="V651" s="8"/>
      <c r="W651" s="8"/>
      <c r="X651" s="8"/>
      <c r="Y651" s="8"/>
      <c r="Z651" s="8"/>
      <c r="AA651" s="8"/>
    </row>
    <row r="652">
      <c r="A652" s="8"/>
      <c r="B652" s="8"/>
      <c r="C652" s="8"/>
      <c r="D652" s="8"/>
      <c r="E652" s="8"/>
      <c r="F652" s="8"/>
      <c r="G652" s="8"/>
      <c r="H652" s="8"/>
      <c r="I652" s="8"/>
      <c r="J652" s="215"/>
      <c r="K652" s="126"/>
      <c r="L652" s="126"/>
      <c r="M652" s="126"/>
      <c r="N652" s="126"/>
      <c r="O652" s="8"/>
      <c r="P652" s="8"/>
      <c r="Q652" s="129"/>
      <c r="R652" s="1369"/>
      <c r="S652" s="126"/>
      <c r="T652" s="8"/>
      <c r="U652" s="1359"/>
      <c r="V652" s="8"/>
      <c r="W652" s="8"/>
      <c r="X652" s="8"/>
      <c r="Y652" s="8"/>
      <c r="Z652" s="8"/>
      <c r="AA652" s="8"/>
    </row>
    <row r="653">
      <c r="A653" s="8"/>
      <c r="B653" s="8"/>
      <c r="C653" s="8"/>
      <c r="D653" s="8"/>
      <c r="E653" s="8"/>
      <c r="F653" s="8"/>
      <c r="G653" s="8"/>
      <c r="H653" s="8"/>
      <c r="I653" s="8"/>
      <c r="J653" s="215"/>
      <c r="K653" s="126"/>
      <c r="L653" s="126"/>
      <c r="M653" s="126"/>
      <c r="N653" s="126"/>
      <c r="O653" s="8"/>
      <c r="P653" s="8"/>
      <c r="Q653" s="129"/>
      <c r="R653" s="1369"/>
      <c r="S653" s="126"/>
      <c r="T653" s="8"/>
      <c r="U653" s="1359"/>
      <c r="V653" s="8"/>
      <c r="W653" s="8"/>
      <c r="X653" s="8"/>
      <c r="Y653" s="8"/>
      <c r="Z653" s="8"/>
      <c r="AA653" s="8"/>
    </row>
    <row r="654">
      <c r="A654" s="8"/>
      <c r="B654" s="8"/>
      <c r="C654" s="8"/>
      <c r="D654" s="8"/>
      <c r="E654" s="8"/>
      <c r="F654" s="8"/>
      <c r="G654" s="8"/>
      <c r="H654" s="8"/>
      <c r="I654" s="8"/>
      <c r="J654" s="215"/>
      <c r="K654" s="126"/>
      <c r="L654" s="126"/>
      <c r="M654" s="126"/>
      <c r="N654" s="126"/>
      <c r="O654" s="8"/>
      <c r="P654" s="8"/>
      <c r="Q654" s="129"/>
      <c r="R654" s="1369"/>
      <c r="S654" s="126"/>
      <c r="T654" s="8"/>
      <c r="U654" s="1359"/>
      <c r="V654" s="8"/>
      <c r="W654" s="8"/>
      <c r="X654" s="8"/>
      <c r="Y654" s="8"/>
      <c r="Z654" s="8"/>
      <c r="AA654" s="8"/>
    </row>
    <row r="655">
      <c r="A655" s="8"/>
      <c r="B655" s="8"/>
      <c r="C655" s="8"/>
      <c r="D655" s="8"/>
      <c r="E655" s="8"/>
      <c r="F655" s="8"/>
      <c r="G655" s="8"/>
      <c r="H655" s="8"/>
      <c r="I655" s="8"/>
      <c r="J655" s="215"/>
      <c r="K655" s="126"/>
      <c r="L655" s="126"/>
      <c r="M655" s="126"/>
      <c r="N655" s="126"/>
      <c r="O655" s="8"/>
      <c r="P655" s="8"/>
      <c r="Q655" s="129"/>
      <c r="R655" s="1369"/>
      <c r="S655" s="126"/>
      <c r="T655" s="8"/>
      <c r="U655" s="1359"/>
      <c r="V655" s="8"/>
      <c r="W655" s="8"/>
      <c r="X655" s="8"/>
      <c r="Y655" s="8"/>
      <c r="Z655" s="8"/>
      <c r="AA655" s="8"/>
    </row>
    <row r="656">
      <c r="A656" s="8"/>
      <c r="B656" s="8"/>
      <c r="C656" s="8"/>
      <c r="D656" s="8"/>
      <c r="E656" s="8"/>
      <c r="F656" s="8"/>
      <c r="G656" s="8"/>
      <c r="H656" s="8"/>
      <c r="I656" s="8"/>
      <c r="J656" s="215"/>
      <c r="K656" s="126"/>
      <c r="L656" s="126"/>
      <c r="M656" s="126"/>
      <c r="N656" s="126"/>
      <c r="O656" s="8"/>
      <c r="P656" s="8"/>
      <c r="Q656" s="129"/>
      <c r="R656" s="1369"/>
      <c r="S656" s="126"/>
      <c r="T656" s="8"/>
      <c r="U656" s="1359"/>
      <c r="V656" s="8"/>
      <c r="W656" s="8"/>
      <c r="X656" s="8"/>
      <c r="Y656" s="8"/>
      <c r="Z656" s="8"/>
      <c r="AA656" s="8"/>
    </row>
    <row r="657">
      <c r="A657" s="8"/>
      <c r="B657" s="8"/>
      <c r="C657" s="8"/>
      <c r="D657" s="8"/>
      <c r="E657" s="8"/>
      <c r="F657" s="8"/>
      <c r="G657" s="8"/>
      <c r="H657" s="8"/>
      <c r="I657" s="8"/>
      <c r="J657" s="215"/>
      <c r="K657" s="126"/>
      <c r="L657" s="126"/>
      <c r="M657" s="126"/>
      <c r="N657" s="126"/>
      <c r="O657" s="8"/>
      <c r="P657" s="8"/>
      <c r="Q657" s="129"/>
      <c r="R657" s="1369"/>
      <c r="S657" s="126"/>
      <c r="T657" s="8"/>
      <c r="U657" s="1359"/>
      <c r="V657" s="8"/>
      <c r="W657" s="8"/>
      <c r="X657" s="8"/>
      <c r="Y657" s="8"/>
      <c r="Z657" s="8"/>
      <c r="AA657" s="8"/>
    </row>
    <row r="658">
      <c r="A658" s="8"/>
      <c r="B658" s="8"/>
      <c r="C658" s="8"/>
      <c r="D658" s="8"/>
      <c r="E658" s="8"/>
      <c r="F658" s="8"/>
      <c r="G658" s="8"/>
      <c r="H658" s="8"/>
      <c r="I658" s="8"/>
      <c r="J658" s="215"/>
      <c r="K658" s="126"/>
      <c r="L658" s="126"/>
      <c r="M658" s="126"/>
      <c r="N658" s="126"/>
      <c r="O658" s="8"/>
      <c r="P658" s="8"/>
      <c r="Q658" s="129"/>
      <c r="R658" s="1369"/>
      <c r="S658" s="126"/>
      <c r="T658" s="8"/>
      <c r="U658" s="1359"/>
      <c r="V658" s="8"/>
      <c r="W658" s="8"/>
      <c r="X658" s="8"/>
      <c r="Y658" s="8"/>
      <c r="Z658" s="8"/>
      <c r="AA658" s="8"/>
    </row>
    <row r="659">
      <c r="A659" s="8"/>
      <c r="B659" s="8"/>
      <c r="C659" s="8"/>
      <c r="D659" s="8"/>
      <c r="E659" s="8"/>
      <c r="F659" s="8"/>
      <c r="G659" s="8"/>
      <c r="H659" s="8"/>
      <c r="I659" s="8"/>
      <c r="J659" s="215"/>
      <c r="K659" s="126"/>
      <c r="L659" s="126"/>
      <c r="M659" s="126"/>
      <c r="N659" s="126"/>
      <c r="O659" s="8"/>
      <c r="P659" s="8"/>
      <c r="Q659" s="129"/>
      <c r="R659" s="1369"/>
      <c r="S659" s="126"/>
      <c r="T659" s="8"/>
      <c r="U659" s="1359"/>
      <c r="V659" s="8"/>
      <c r="W659" s="8"/>
      <c r="X659" s="8"/>
      <c r="Y659" s="8"/>
      <c r="Z659" s="8"/>
      <c r="AA659" s="8"/>
    </row>
    <row r="660">
      <c r="A660" s="8"/>
      <c r="B660" s="8"/>
      <c r="C660" s="8"/>
      <c r="D660" s="8"/>
      <c r="E660" s="8"/>
      <c r="F660" s="8"/>
      <c r="G660" s="8"/>
      <c r="H660" s="8"/>
      <c r="I660" s="8"/>
      <c r="J660" s="215"/>
      <c r="K660" s="126"/>
      <c r="L660" s="126"/>
      <c r="M660" s="126"/>
      <c r="N660" s="126"/>
      <c r="O660" s="8"/>
      <c r="P660" s="8"/>
      <c r="Q660" s="129"/>
      <c r="R660" s="1369"/>
      <c r="S660" s="126"/>
      <c r="T660" s="8"/>
      <c r="U660" s="1359"/>
      <c r="V660" s="8"/>
      <c r="W660" s="8"/>
      <c r="X660" s="8"/>
      <c r="Y660" s="8"/>
      <c r="Z660" s="8"/>
      <c r="AA660" s="8"/>
    </row>
    <row r="661">
      <c r="A661" s="8"/>
      <c r="B661" s="8"/>
      <c r="C661" s="8"/>
      <c r="D661" s="8"/>
      <c r="E661" s="8"/>
      <c r="F661" s="8"/>
      <c r="G661" s="8"/>
      <c r="H661" s="8"/>
      <c r="I661" s="8"/>
      <c r="J661" s="215"/>
      <c r="K661" s="126"/>
      <c r="L661" s="126"/>
      <c r="M661" s="126"/>
      <c r="N661" s="126"/>
      <c r="O661" s="8"/>
      <c r="P661" s="8"/>
      <c r="Q661" s="129"/>
      <c r="R661" s="1369"/>
      <c r="S661" s="126"/>
      <c r="T661" s="8"/>
      <c r="U661" s="1359"/>
      <c r="V661" s="8"/>
      <c r="W661" s="8"/>
      <c r="X661" s="8"/>
      <c r="Y661" s="8"/>
      <c r="Z661" s="8"/>
      <c r="AA661" s="8"/>
    </row>
    <row r="662">
      <c r="A662" s="8"/>
      <c r="B662" s="8"/>
      <c r="C662" s="8"/>
      <c r="D662" s="8"/>
      <c r="E662" s="8"/>
      <c r="F662" s="8"/>
      <c r="G662" s="8"/>
      <c r="H662" s="8"/>
      <c r="I662" s="8"/>
      <c r="J662" s="215"/>
      <c r="K662" s="126"/>
      <c r="L662" s="126"/>
      <c r="M662" s="126"/>
      <c r="N662" s="126"/>
      <c r="O662" s="8"/>
      <c r="P662" s="8"/>
      <c r="Q662" s="129"/>
      <c r="R662" s="1369"/>
      <c r="S662" s="126"/>
      <c r="T662" s="8"/>
      <c r="U662" s="1359"/>
      <c r="V662" s="8"/>
      <c r="W662" s="8"/>
      <c r="X662" s="8"/>
      <c r="Y662" s="8"/>
      <c r="Z662" s="8"/>
      <c r="AA662" s="8"/>
    </row>
    <row r="663">
      <c r="A663" s="8"/>
      <c r="B663" s="8"/>
      <c r="C663" s="8"/>
      <c r="D663" s="8"/>
      <c r="E663" s="8"/>
      <c r="F663" s="8"/>
      <c r="G663" s="8"/>
      <c r="H663" s="8"/>
      <c r="I663" s="8"/>
      <c r="J663" s="215"/>
      <c r="K663" s="126"/>
      <c r="L663" s="126"/>
      <c r="M663" s="126"/>
      <c r="N663" s="126"/>
      <c r="O663" s="8"/>
      <c r="P663" s="8"/>
      <c r="Q663" s="129"/>
      <c r="R663" s="1369"/>
      <c r="S663" s="126"/>
      <c r="T663" s="8"/>
      <c r="U663" s="1359"/>
      <c r="V663" s="8"/>
      <c r="W663" s="8"/>
      <c r="X663" s="8"/>
      <c r="Y663" s="8"/>
      <c r="Z663" s="8"/>
      <c r="AA663" s="8"/>
    </row>
    <row r="664">
      <c r="A664" s="8"/>
      <c r="B664" s="8"/>
      <c r="C664" s="8"/>
      <c r="D664" s="8"/>
      <c r="E664" s="8"/>
      <c r="F664" s="8"/>
      <c r="G664" s="8"/>
      <c r="H664" s="8"/>
      <c r="I664" s="8"/>
      <c r="J664" s="215"/>
      <c r="K664" s="126"/>
      <c r="L664" s="126"/>
      <c r="M664" s="126"/>
      <c r="N664" s="126"/>
      <c r="O664" s="8"/>
      <c r="P664" s="8"/>
      <c r="Q664" s="129"/>
      <c r="R664" s="1369"/>
      <c r="S664" s="126"/>
      <c r="T664" s="8"/>
      <c r="U664" s="1359"/>
      <c r="V664" s="8"/>
      <c r="W664" s="8"/>
      <c r="X664" s="8"/>
      <c r="Y664" s="8"/>
      <c r="Z664" s="8"/>
      <c r="AA664" s="8"/>
    </row>
    <row r="665">
      <c r="A665" s="8"/>
      <c r="B665" s="8"/>
      <c r="C665" s="8"/>
      <c r="D665" s="8"/>
      <c r="E665" s="8"/>
      <c r="F665" s="8"/>
      <c r="G665" s="8"/>
      <c r="H665" s="8"/>
      <c r="I665" s="8"/>
      <c r="J665" s="215"/>
      <c r="K665" s="126"/>
      <c r="L665" s="126"/>
      <c r="M665" s="126"/>
      <c r="N665" s="126"/>
      <c r="O665" s="8"/>
      <c r="P665" s="8"/>
      <c r="Q665" s="129"/>
      <c r="R665" s="1369"/>
      <c r="S665" s="126"/>
      <c r="T665" s="8"/>
      <c r="U665" s="1359"/>
      <c r="V665" s="8"/>
      <c r="W665" s="8"/>
      <c r="X665" s="8"/>
      <c r="Y665" s="8"/>
      <c r="Z665" s="8"/>
      <c r="AA665" s="8"/>
    </row>
    <row r="666">
      <c r="A666" s="8"/>
      <c r="B666" s="8"/>
      <c r="C666" s="8"/>
      <c r="D666" s="8"/>
      <c r="E666" s="8"/>
      <c r="F666" s="8"/>
      <c r="G666" s="8"/>
      <c r="H666" s="8"/>
      <c r="I666" s="8"/>
      <c r="J666" s="215"/>
      <c r="K666" s="126"/>
      <c r="L666" s="126"/>
      <c r="M666" s="126"/>
      <c r="N666" s="126"/>
      <c r="O666" s="8"/>
      <c r="P666" s="8"/>
      <c r="Q666" s="129"/>
      <c r="R666" s="1369"/>
      <c r="S666" s="126"/>
      <c r="T666" s="8"/>
      <c r="U666" s="1359"/>
      <c r="V666" s="8"/>
      <c r="W666" s="8"/>
      <c r="X666" s="8"/>
      <c r="Y666" s="8"/>
      <c r="Z666" s="8"/>
      <c r="AA666" s="8"/>
    </row>
    <row r="667">
      <c r="A667" s="8"/>
      <c r="B667" s="8"/>
      <c r="C667" s="8"/>
      <c r="D667" s="8"/>
      <c r="E667" s="8"/>
      <c r="F667" s="8"/>
      <c r="G667" s="8"/>
      <c r="H667" s="8"/>
      <c r="I667" s="8"/>
      <c r="J667" s="215"/>
      <c r="K667" s="126"/>
      <c r="L667" s="126"/>
      <c r="M667" s="126"/>
      <c r="N667" s="126"/>
      <c r="O667" s="8"/>
      <c r="P667" s="8"/>
      <c r="Q667" s="129"/>
      <c r="R667" s="1369"/>
      <c r="S667" s="126"/>
      <c r="T667" s="8"/>
      <c r="U667" s="1359"/>
      <c r="V667" s="8"/>
      <c r="W667" s="8"/>
      <c r="X667" s="8"/>
      <c r="Y667" s="8"/>
      <c r="Z667" s="8"/>
      <c r="AA667" s="8"/>
    </row>
    <row r="668">
      <c r="A668" s="8"/>
      <c r="B668" s="8"/>
      <c r="C668" s="8"/>
      <c r="D668" s="8"/>
      <c r="E668" s="8"/>
      <c r="F668" s="8"/>
      <c r="G668" s="8"/>
      <c r="H668" s="8"/>
      <c r="I668" s="8"/>
      <c r="J668" s="215"/>
      <c r="K668" s="126"/>
      <c r="L668" s="126"/>
      <c r="M668" s="126"/>
      <c r="N668" s="126"/>
      <c r="O668" s="8"/>
      <c r="P668" s="8"/>
      <c r="Q668" s="129"/>
      <c r="R668" s="1369"/>
      <c r="S668" s="126"/>
      <c r="T668" s="8"/>
      <c r="U668" s="1359"/>
      <c r="V668" s="8"/>
      <c r="W668" s="8"/>
      <c r="X668" s="8"/>
      <c r="Y668" s="8"/>
      <c r="Z668" s="8"/>
      <c r="AA668" s="8"/>
    </row>
    <row r="669">
      <c r="A669" s="8"/>
      <c r="B669" s="8"/>
      <c r="C669" s="8"/>
      <c r="D669" s="8"/>
      <c r="E669" s="8"/>
      <c r="F669" s="8"/>
      <c r="G669" s="8"/>
      <c r="H669" s="8"/>
      <c r="I669" s="8"/>
      <c r="J669" s="215"/>
      <c r="K669" s="126"/>
      <c r="L669" s="126"/>
      <c r="M669" s="126"/>
      <c r="N669" s="126"/>
      <c r="O669" s="8"/>
      <c r="P669" s="8"/>
      <c r="Q669" s="129"/>
      <c r="R669" s="1369"/>
      <c r="S669" s="126"/>
      <c r="T669" s="8"/>
      <c r="U669" s="1359"/>
      <c r="V669" s="8"/>
      <c r="W669" s="8"/>
      <c r="X669" s="8"/>
      <c r="Y669" s="8"/>
      <c r="Z669" s="8"/>
      <c r="AA669" s="8"/>
    </row>
    <row r="670">
      <c r="A670" s="8"/>
      <c r="B670" s="8"/>
      <c r="C670" s="8"/>
      <c r="D670" s="8"/>
      <c r="E670" s="8"/>
      <c r="F670" s="8"/>
      <c r="G670" s="8"/>
      <c r="H670" s="8"/>
      <c r="I670" s="8"/>
      <c r="J670" s="215"/>
      <c r="K670" s="126"/>
      <c r="L670" s="126"/>
      <c r="M670" s="126"/>
      <c r="N670" s="126"/>
      <c r="O670" s="8"/>
      <c r="P670" s="8"/>
      <c r="Q670" s="129"/>
      <c r="R670" s="1369"/>
      <c r="S670" s="126"/>
      <c r="T670" s="8"/>
      <c r="U670" s="1359"/>
      <c r="V670" s="8"/>
      <c r="W670" s="8"/>
      <c r="X670" s="8"/>
      <c r="Y670" s="8"/>
      <c r="Z670" s="8"/>
      <c r="AA670" s="8"/>
    </row>
    <row r="671">
      <c r="A671" s="8"/>
      <c r="B671" s="8"/>
      <c r="C671" s="8"/>
      <c r="D671" s="8"/>
      <c r="E671" s="8"/>
      <c r="F671" s="8"/>
      <c r="G671" s="8"/>
      <c r="H671" s="8"/>
      <c r="I671" s="8"/>
      <c r="J671" s="215"/>
      <c r="K671" s="126"/>
      <c r="L671" s="126"/>
      <c r="M671" s="126"/>
      <c r="N671" s="126"/>
      <c r="O671" s="8"/>
      <c r="P671" s="8"/>
      <c r="Q671" s="129"/>
      <c r="R671" s="1369"/>
      <c r="S671" s="126"/>
      <c r="T671" s="8"/>
      <c r="U671" s="1359"/>
      <c r="V671" s="8"/>
      <c r="W671" s="8"/>
      <c r="X671" s="8"/>
      <c r="Y671" s="8"/>
      <c r="Z671" s="8"/>
      <c r="AA671" s="8"/>
    </row>
    <row r="672">
      <c r="A672" s="8"/>
      <c r="B672" s="8"/>
      <c r="C672" s="8"/>
      <c r="D672" s="8"/>
      <c r="E672" s="8"/>
      <c r="F672" s="8"/>
      <c r="G672" s="8"/>
      <c r="H672" s="8"/>
      <c r="I672" s="8"/>
      <c r="J672" s="215"/>
      <c r="K672" s="126"/>
      <c r="L672" s="126"/>
      <c r="M672" s="126"/>
      <c r="N672" s="126"/>
      <c r="O672" s="8"/>
      <c r="P672" s="8"/>
      <c r="Q672" s="129"/>
      <c r="R672" s="1369"/>
      <c r="S672" s="126"/>
      <c r="T672" s="8"/>
      <c r="U672" s="1359"/>
      <c r="V672" s="8"/>
      <c r="W672" s="8"/>
      <c r="X672" s="8"/>
      <c r="Y672" s="8"/>
      <c r="Z672" s="8"/>
      <c r="AA672" s="8"/>
    </row>
    <row r="673">
      <c r="A673" s="8"/>
      <c r="B673" s="8"/>
      <c r="C673" s="8"/>
      <c r="D673" s="8"/>
      <c r="E673" s="8"/>
      <c r="F673" s="8"/>
      <c r="G673" s="8"/>
      <c r="H673" s="8"/>
      <c r="I673" s="8"/>
      <c r="J673" s="215"/>
      <c r="K673" s="126"/>
      <c r="L673" s="126"/>
      <c r="M673" s="126"/>
      <c r="N673" s="126"/>
      <c r="O673" s="8"/>
      <c r="P673" s="8"/>
      <c r="Q673" s="129"/>
      <c r="R673" s="1369"/>
      <c r="S673" s="126"/>
      <c r="T673" s="8"/>
      <c r="U673" s="1359"/>
      <c r="V673" s="8"/>
      <c r="W673" s="8"/>
      <c r="X673" s="8"/>
      <c r="Y673" s="8"/>
      <c r="Z673" s="8"/>
      <c r="AA673" s="8"/>
    </row>
    <row r="674">
      <c r="A674" s="8"/>
      <c r="B674" s="8"/>
      <c r="C674" s="8"/>
      <c r="D674" s="8"/>
      <c r="E674" s="8"/>
      <c r="F674" s="8"/>
      <c r="G674" s="8"/>
      <c r="H674" s="8"/>
      <c r="I674" s="8"/>
      <c r="J674" s="215"/>
      <c r="K674" s="126"/>
      <c r="L674" s="126"/>
      <c r="M674" s="126"/>
      <c r="N674" s="126"/>
      <c r="O674" s="8"/>
      <c r="P674" s="8"/>
      <c r="Q674" s="129"/>
      <c r="R674" s="1369"/>
      <c r="S674" s="126"/>
      <c r="T674" s="8"/>
      <c r="U674" s="1359"/>
      <c r="V674" s="8"/>
      <c r="W674" s="8"/>
      <c r="X674" s="8"/>
      <c r="Y674" s="8"/>
      <c r="Z674" s="8"/>
      <c r="AA674" s="8"/>
    </row>
    <row r="675">
      <c r="A675" s="8"/>
      <c r="B675" s="8"/>
      <c r="C675" s="8"/>
      <c r="D675" s="8"/>
      <c r="E675" s="8"/>
      <c r="F675" s="8"/>
      <c r="G675" s="8"/>
      <c r="H675" s="8"/>
      <c r="I675" s="8"/>
      <c r="J675" s="215"/>
      <c r="K675" s="126"/>
      <c r="L675" s="126"/>
      <c r="M675" s="126"/>
      <c r="N675" s="126"/>
      <c r="O675" s="8"/>
      <c r="P675" s="8"/>
      <c r="Q675" s="129"/>
      <c r="R675" s="1369"/>
      <c r="S675" s="126"/>
      <c r="T675" s="8"/>
      <c r="U675" s="1359"/>
      <c r="V675" s="8"/>
      <c r="W675" s="8"/>
      <c r="X675" s="8"/>
      <c r="Y675" s="8"/>
      <c r="Z675" s="8"/>
      <c r="AA675" s="8"/>
    </row>
    <row r="676">
      <c r="A676" s="8"/>
      <c r="B676" s="8"/>
      <c r="C676" s="8"/>
      <c r="D676" s="8"/>
      <c r="E676" s="8"/>
      <c r="F676" s="8"/>
      <c r="G676" s="8"/>
      <c r="H676" s="8"/>
      <c r="I676" s="8"/>
      <c r="J676" s="215"/>
      <c r="K676" s="126"/>
      <c r="L676" s="126"/>
      <c r="M676" s="126"/>
      <c r="N676" s="126"/>
      <c r="O676" s="8"/>
      <c r="P676" s="8"/>
      <c r="Q676" s="129"/>
      <c r="R676" s="1369"/>
      <c r="S676" s="126"/>
      <c r="T676" s="8"/>
      <c r="U676" s="1359"/>
      <c r="V676" s="8"/>
      <c r="W676" s="8"/>
      <c r="X676" s="8"/>
      <c r="Y676" s="8"/>
      <c r="Z676" s="8"/>
      <c r="AA676" s="8"/>
    </row>
    <row r="677">
      <c r="A677" s="8"/>
      <c r="B677" s="8"/>
      <c r="C677" s="8"/>
      <c r="D677" s="8"/>
      <c r="E677" s="8"/>
      <c r="F677" s="8"/>
      <c r="G677" s="8"/>
      <c r="H677" s="8"/>
      <c r="I677" s="8"/>
      <c r="J677" s="215"/>
      <c r="K677" s="126"/>
      <c r="L677" s="126"/>
      <c r="M677" s="126"/>
      <c r="N677" s="126"/>
      <c r="O677" s="8"/>
      <c r="P677" s="8"/>
      <c r="Q677" s="129"/>
      <c r="R677" s="1369"/>
      <c r="S677" s="126"/>
      <c r="T677" s="8"/>
      <c r="U677" s="1359"/>
      <c r="V677" s="8"/>
      <c r="W677" s="8"/>
      <c r="X677" s="8"/>
      <c r="Y677" s="8"/>
      <c r="Z677" s="8"/>
      <c r="AA677" s="8"/>
    </row>
    <row r="678">
      <c r="A678" s="8"/>
      <c r="B678" s="8"/>
      <c r="C678" s="8"/>
      <c r="D678" s="8"/>
      <c r="E678" s="8"/>
      <c r="F678" s="8"/>
      <c r="G678" s="8"/>
      <c r="H678" s="8"/>
      <c r="I678" s="8"/>
      <c r="J678" s="215"/>
      <c r="K678" s="126"/>
      <c r="L678" s="126"/>
      <c r="M678" s="126"/>
      <c r="N678" s="126"/>
      <c r="O678" s="8"/>
      <c r="P678" s="8"/>
      <c r="Q678" s="129"/>
      <c r="R678" s="1369"/>
      <c r="S678" s="126"/>
      <c r="T678" s="8"/>
      <c r="U678" s="1359"/>
      <c r="V678" s="8"/>
      <c r="W678" s="8"/>
      <c r="X678" s="8"/>
      <c r="Y678" s="8"/>
      <c r="Z678" s="8"/>
      <c r="AA678" s="8"/>
    </row>
    <row r="679">
      <c r="A679" s="8"/>
      <c r="B679" s="8"/>
      <c r="C679" s="8"/>
      <c r="D679" s="8"/>
      <c r="E679" s="8"/>
      <c r="F679" s="8"/>
      <c r="G679" s="8"/>
      <c r="H679" s="8"/>
      <c r="I679" s="8"/>
      <c r="J679" s="215"/>
      <c r="K679" s="126"/>
      <c r="L679" s="126"/>
      <c r="M679" s="126"/>
      <c r="N679" s="126"/>
      <c r="O679" s="8"/>
      <c r="P679" s="8"/>
      <c r="Q679" s="129"/>
      <c r="R679" s="1369"/>
      <c r="S679" s="126"/>
      <c r="T679" s="8"/>
      <c r="U679" s="1359"/>
      <c r="V679" s="8"/>
      <c r="W679" s="8"/>
      <c r="X679" s="8"/>
      <c r="Y679" s="8"/>
      <c r="Z679" s="8"/>
      <c r="AA679" s="8"/>
    </row>
    <row r="680">
      <c r="A680" s="8"/>
      <c r="B680" s="8"/>
      <c r="C680" s="8"/>
      <c r="D680" s="8"/>
      <c r="E680" s="8"/>
      <c r="F680" s="8"/>
      <c r="G680" s="8"/>
      <c r="H680" s="8"/>
      <c r="I680" s="8"/>
      <c r="J680" s="215"/>
      <c r="K680" s="126"/>
      <c r="L680" s="126"/>
      <c r="M680" s="126"/>
      <c r="N680" s="126"/>
      <c r="O680" s="8"/>
      <c r="P680" s="8"/>
      <c r="Q680" s="129"/>
      <c r="R680" s="1369"/>
      <c r="S680" s="126"/>
      <c r="T680" s="8"/>
      <c r="U680" s="1359"/>
      <c r="V680" s="8"/>
      <c r="W680" s="8"/>
      <c r="X680" s="8"/>
      <c r="Y680" s="8"/>
      <c r="Z680" s="8"/>
      <c r="AA680" s="8"/>
    </row>
    <row r="681">
      <c r="A681" s="8"/>
      <c r="B681" s="8"/>
      <c r="C681" s="8"/>
      <c r="D681" s="8"/>
      <c r="E681" s="8"/>
      <c r="F681" s="8"/>
      <c r="G681" s="8"/>
      <c r="H681" s="8"/>
      <c r="I681" s="8"/>
      <c r="J681" s="215"/>
      <c r="K681" s="126"/>
      <c r="L681" s="126"/>
      <c r="M681" s="126"/>
      <c r="N681" s="126"/>
      <c r="O681" s="8"/>
      <c r="P681" s="8"/>
      <c r="Q681" s="129"/>
      <c r="R681" s="1369"/>
      <c r="S681" s="126"/>
      <c r="T681" s="8"/>
      <c r="U681" s="1359"/>
      <c r="V681" s="8"/>
      <c r="W681" s="8"/>
      <c r="X681" s="8"/>
      <c r="Y681" s="8"/>
      <c r="Z681" s="8"/>
      <c r="AA681" s="8"/>
    </row>
    <row r="682">
      <c r="A682" s="8"/>
      <c r="B682" s="8"/>
      <c r="C682" s="8"/>
      <c r="D682" s="8"/>
      <c r="E682" s="8"/>
      <c r="F682" s="8"/>
      <c r="G682" s="8"/>
      <c r="H682" s="8"/>
      <c r="I682" s="8"/>
      <c r="J682" s="215"/>
      <c r="K682" s="126"/>
      <c r="L682" s="126"/>
      <c r="M682" s="126"/>
      <c r="N682" s="126"/>
      <c r="O682" s="8"/>
      <c r="P682" s="8"/>
      <c r="Q682" s="129"/>
      <c r="R682" s="1369"/>
      <c r="S682" s="126"/>
      <c r="T682" s="8"/>
      <c r="U682" s="1359"/>
      <c r="V682" s="8"/>
      <c r="W682" s="8"/>
      <c r="X682" s="8"/>
      <c r="Y682" s="8"/>
      <c r="Z682" s="8"/>
      <c r="AA682" s="8"/>
    </row>
    <row r="683">
      <c r="A683" s="8"/>
      <c r="B683" s="8"/>
      <c r="C683" s="8"/>
      <c r="D683" s="8"/>
      <c r="E683" s="8"/>
      <c r="F683" s="8"/>
      <c r="G683" s="8"/>
      <c r="H683" s="8"/>
      <c r="I683" s="8"/>
      <c r="J683" s="215"/>
      <c r="K683" s="126"/>
      <c r="L683" s="126"/>
      <c r="M683" s="126"/>
      <c r="N683" s="126"/>
      <c r="O683" s="8"/>
      <c r="P683" s="8"/>
      <c r="Q683" s="129"/>
      <c r="R683" s="1369"/>
      <c r="S683" s="126"/>
      <c r="T683" s="8"/>
      <c r="U683" s="1359"/>
      <c r="V683" s="8"/>
      <c r="W683" s="8"/>
      <c r="X683" s="8"/>
      <c r="Y683" s="8"/>
      <c r="Z683" s="8"/>
      <c r="AA683" s="8"/>
    </row>
    <row r="684">
      <c r="A684" s="8"/>
      <c r="B684" s="8"/>
      <c r="C684" s="8"/>
      <c r="D684" s="8"/>
      <c r="E684" s="8"/>
      <c r="F684" s="8"/>
      <c r="G684" s="8"/>
      <c r="H684" s="8"/>
      <c r="I684" s="8"/>
      <c r="J684" s="215"/>
      <c r="K684" s="126"/>
      <c r="L684" s="126"/>
      <c r="M684" s="126"/>
      <c r="N684" s="126"/>
      <c r="O684" s="8"/>
      <c r="P684" s="8"/>
      <c r="Q684" s="129"/>
      <c r="R684" s="1369"/>
      <c r="S684" s="126"/>
      <c r="T684" s="8"/>
      <c r="U684" s="1359"/>
      <c r="V684" s="8"/>
      <c r="W684" s="8"/>
      <c r="X684" s="8"/>
      <c r="Y684" s="8"/>
      <c r="Z684" s="8"/>
      <c r="AA684" s="8"/>
    </row>
    <row r="685">
      <c r="A685" s="8"/>
      <c r="B685" s="8"/>
      <c r="C685" s="8"/>
      <c r="D685" s="8"/>
      <c r="E685" s="8"/>
      <c r="F685" s="8"/>
      <c r="G685" s="8"/>
      <c r="H685" s="8"/>
      <c r="I685" s="8"/>
      <c r="J685" s="215"/>
      <c r="K685" s="126"/>
      <c r="L685" s="126"/>
      <c r="M685" s="126"/>
      <c r="N685" s="126"/>
      <c r="O685" s="8"/>
      <c r="P685" s="8"/>
      <c r="Q685" s="129"/>
      <c r="R685" s="1369"/>
      <c r="S685" s="126"/>
      <c r="T685" s="8"/>
      <c r="U685" s="1359"/>
      <c r="V685" s="8"/>
      <c r="W685" s="8"/>
      <c r="X685" s="8"/>
      <c r="Y685" s="8"/>
      <c r="Z685" s="8"/>
      <c r="AA685" s="8"/>
    </row>
    <row r="686">
      <c r="A686" s="8"/>
      <c r="B686" s="8"/>
      <c r="C686" s="8"/>
      <c r="D686" s="8"/>
      <c r="E686" s="8"/>
      <c r="F686" s="8"/>
      <c r="G686" s="8"/>
      <c r="H686" s="8"/>
      <c r="I686" s="8"/>
      <c r="J686" s="215"/>
      <c r="K686" s="126"/>
      <c r="L686" s="126"/>
      <c r="M686" s="126"/>
      <c r="N686" s="126"/>
      <c r="O686" s="8"/>
      <c r="P686" s="8"/>
      <c r="Q686" s="129"/>
      <c r="R686" s="1369"/>
      <c r="S686" s="126"/>
      <c r="T686" s="8"/>
      <c r="U686" s="1359"/>
      <c r="V686" s="8"/>
      <c r="W686" s="8"/>
      <c r="X686" s="8"/>
      <c r="Y686" s="8"/>
      <c r="Z686" s="8"/>
      <c r="AA686" s="8"/>
    </row>
    <row r="687">
      <c r="A687" s="8"/>
      <c r="B687" s="8"/>
      <c r="C687" s="8"/>
      <c r="D687" s="8"/>
      <c r="E687" s="8"/>
      <c r="F687" s="8"/>
      <c r="G687" s="8"/>
      <c r="H687" s="8"/>
      <c r="I687" s="8"/>
      <c r="J687" s="215"/>
      <c r="K687" s="126"/>
      <c r="L687" s="126"/>
      <c r="M687" s="126"/>
      <c r="N687" s="126"/>
      <c r="O687" s="8"/>
      <c r="P687" s="8"/>
      <c r="Q687" s="129"/>
      <c r="R687" s="1369"/>
      <c r="S687" s="126"/>
      <c r="T687" s="8"/>
      <c r="U687" s="1359"/>
      <c r="V687" s="8"/>
      <c r="W687" s="8"/>
      <c r="X687" s="8"/>
      <c r="Y687" s="8"/>
      <c r="Z687" s="8"/>
      <c r="AA687" s="8"/>
    </row>
    <row r="688">
      <c r="A688" s="8"/>
      <c r="B688" s="8"/>
      <c r="C688" s="8"/>
      <c r="D688" s="8"/>
      <c r="E688" s="8"/>
      <c r="F688" s="8"/>
      <c r="G688" s="8"/>
      <c r="H688" s="8"/>
      <c r="I688" s="8"/>
      <c r="J688" s="215"/>
      <c r="K688" s="126"/>
      <c r="L688" s="126"/>
      <c r="M688" s="126"/>
      <c r="N688" s="126"/>
      <c r="O688" s="8"/>
      <c r="P688" s="8"/>
      <c r="Q688" s="129"/>
      <c r="R688" s="1369"/>
      <c r="S688" s="126"/>
      <c r="T688" s="8"/>
      <c r="U688" s="1359"/>
      <c r="V688" s="8"/>
      <c r="W688" s="8"/>
      <c r="X688" s="8"/>
      <c r="Y688" s="8"/>
      <c r="Z688" s="8"/>
      <c r="AA688" s="8"/>
    </row>
    <row r="689">
      <c r="A689" s="8"/>
      <c r="B689" s="8"/>
      <c r="C689" s="8"/>
      <c r="D689" s="8"/>
      <c r="E689" s="8"/>
      <c r="F689" s="8"/>
      <c r="G689" s="8"/>
      <c r="H689" s="8"/>
      <c r="I689" s="8"/>
      <c r="J689" s="215"/>
      <c r="K689" s="126"/>
      <c r="L689" s="126"/>
      <c r="M689" s="126"/>
      <c r="N689" s="126"/>
      <c r="O689" s="8"/>
      <c r="P689" s="8"/>
      <c r="Q689" s="129"/>
      <c r="R689" s="1369"/>
      <c r="S689" s="126"/>
      <c r="T689" s="8"/>
      <c r="U689" s="1359"/>
      <c r="V689" s="8"/>
      <c r="W689" s="8"/>
      <c r="X689" s="8"/>
      <c r="Y689" s="8"/>
      <c r="Z689" s="8"/>
      <c r="AA689" s="8"/>
    </row>
    <row r="690">
      <c r="A690" s="8"/>
      <c r="B690" s="8"/>
      <c r="C690" s="8"/>
      <c r="D690" s="8"/>
      <c r="E690" s="8"/>
      <c r="F690" s="8"/>
      <c r="G690" s="8"/>
      <c r="H690" s="8"/>
      <c r="I690" s="8"/>
      <c r="J690" s="215"/>
      <c r="K690" s="126"/>
      <c r="L690" s="126"/>
      <c r="M690" s="126"/>
      <c r="N690" s="126"/>
      <c r="O690" s="8"/>
      <c r="P690" s="8"/>
      <c r="Q690" s="129"/>
      <c r="R690" s="1369"/>
      <c r="S690" s="126"/>
      <c r="T690" s="8"/>
      <c r="U690" s="1359"/>
      <c r="V690" s="8"/>
      <c r="W690" s="8"/>
      <c r="X690" s="8"/>
      <c r="Y690" s="8"/>
      <c r="Z690" s="8"/>
      <c r="AA690" s="8"/>
    </row>
    <row r="691">
      <c r="A691" s="8"/>
      <c r="B691" s="8"/>
      <c r="C691" s="8"/>
      <c r="D691" s="8"/>
      <c r="E691" s="8"/>
      <c r="F691" s="8"/>
      <c r="G691" s="8"/>
      <c r="H691" s="8"/>
      <c r="I691" s="8"/>
      <c r="J691" s="215"/>
      <c r="K691" s="126"/>
      <c r="L691" s="126"/>
      <c r="M691" s="126"/>
      <c r="N691" s="126"/>
      <c r="O691" s="8"/>
      <c r="P691" s="8"/>
      <c r="Q691" s="129"/>
      <c r="R691" s="1369"/>
      <c r="S691" s="126"/>
      <c r="T691" s="8"/>
      <c r="U691" s="1359"/>
      <c r="V691" s="8"/>
      <c r="W691" s="8"/>
      <c r="X691" s="8"/>
      <c r="Y691" s="8"/>
      <c r="Z691" s="8"/>
      <c r="AA691" s="8"/>
    </row>
    <row r="692">
      <c r="A692" s="8"/>
      <c r="B692" s="8"/>
      <c r="C692" s="8"/>
      <c r="D692" s="8"/>
      <c r="E692" s="8"/>
      <c r="F692" s="8"/>
      <c r="G692" s="8"/>
      <c r="H692" s="8"/>
      <c r="I692" s="8"/>
      <c r="J692" s="215"/>
      <c r="K692" s="126"/>
      <c r="L692" s="126"/>
      <c r="M692" s="126"/>
      <c r="N692" s="126"/>
      <c r="O692" s="8"/>
      <c r="P692" s="8"/>
      <c r="Q692" s="129"/>
      <c r="R692" s="1369"/>
      <c r="S692" s="126"/>
      <c r="T692" s="8"/>
      <c r="U692" s="1359"/>
      <c r="V692" s="8"/>
      <c r="W692" s="8"/>
      <c r="X692" s="8"/>
      <c r="Y692" s="8"/>
      <c r="Z692" s="8"/>
      <c r="AA692" s="8"/>
    </row>
    <row r="693">
      <c r="A693" s="8"/>
      <c r="B693" s="8"/>
      <c r="C693" s="8"/>
      <c r="D693" s="8"/>
      <c r="E693" s="8"/>
      <c r="F693" s="8"/>
      <c r="G693" s="8"/>
      <c r="H693" s="8"/>
      <c r="I693" s="8"/>
      <c r="J693" s="215"/>
      <c r="K693" s="126"/>
      <c r="L693" s="126"/>
      <c r="M693" s="126"/>
      <c r="N693" s="126"/>
      <c r="O693" s="8"/>
      <c r="P693" s="8"/>
      <c r="Q693" s="129"/>
      <c r="R693" s="1369"/>
      <c r="S693" s="126"/>
      <c r="T693" s="8"/>
      <c r="U693" s="1359"/>
      <c r="V693" s="8"/>
      <c r="W693" s="8"/>
      <c r="X693" s="8"/>
      <c r="Y693" s="8"/>
      <c r="Z693" s="8"/>
      <c r="AA693" s="8"/>
    </row>
    <row r="694">
      <c r="A694" s="8"/>
      <c r="B694" s="8"/>
      <c r="C694" s="8"/>
      <c r="D694" s="8"/>
      <c r="E694" s="8"/>
      <c r="F694" s="8"/>
      <c r="G694" s="8"/>
      <c r="H694" s="8"/>
      <c r="I694" s="8"/>
      <c r="J694" s="215"/>
      <c r="K694" s="126"/>
      <c r="L694" s="126"/>
      <c r="M694" s="126"/>
      <c r="N694" s="126"/>
      <c r="O694" s="8"/>
      <c r="P694" s="8"/>
      <c r="Q694" s="129"/>
      <c r="R694" s="1369"/>
      <c r="S694" s="126"/>
      <c r="T694" s="8"/>
      <c r="U694" s="1359"/>
      <c r="V694" s="8"/>
      <c r="W694" s="8"/>
      <c r="X694" s="8"/>
      <c r="Y694" s="8"/>
      <c r="Z694" s="8"/>
      <c r="AA694" s="8"/>
    </row>
    <row r="695">
      <c r="A695" s="8"/>
      <c r="B695" s="8"/>
      <c r="C695" s="8"/>
      <c r="D695" s="8"/>
      <c r="E695" s="8"/>
      <c r="F695" s="8"/>
      <c r="G695" s="8"/>
      <c r="H695" s="8"/>
      <c r="I695" s="8"/>
      <c r="J695" s="215"/>
      <c r="K695" s="126"/>
      <c r="L695" s="126"/>
      <c r="M695" s="126"/>
      <c r="N695" s="126"/>
      <c r="O695" s="8"/>
      <c r="P695" s="8"/>
      <c r="Q695" s="129"/>
      <c r="R695" s="1369"/>
      <c r="S695" s="126"/>
      <c r="T695" s="8"/>
      <c r="U695" s="1359"/>
      <c r="V695" s="8"/>
      <c r="W695" s="8"/>
      <c r="X695" s="8"/>
      <c r="Y695" s="8"/>
      <c r="Z695" s="8"/>
      <c r="AA695" s="8"/>
    </row>
    <row r="696">
      <c r="A696" s="8"/>
      <c r="B696" s="8"/>
      <c r="C696" s="8"/>
      <c r="D696" s="8"/>
      <c r="E696" s="8"/>
      <c r="F696" s="8"/>
      <c r="G696" s="8"/>
      <c r="H696" s="8"/>
      <c r="I696" s="8"/>
      <c r="J696" s="215"/>
      <c r="K696" s="126"/>
      <c r="L696" s="126"/>
      <c r="M696" s="126"/>
      <c r="N696" s="126"/>
      <c r="O696" s="8"/>
      <c r="P696" s="8"/>
      <c r="Q696" s="129"/>
      <c r="R696" s="1369"/>
      <c r="S696" s="126"/>
      <c r="T696" s="8"/>
      <c r="U696" s="1359"/>
      <c r="V696" s="8"/>
      <c r="W696" s="8"/>
      <c r="X696" s="8"/>
      <c r="Y696" s="8"/>
      <c r="Z696" s="8"/>
      <c r="AA696" s="8"/>
    </row>
    <row r="697">
      <c r="A697" s="8"/>
      <c r="B697" s="8"/>
      <c r="C697" s="8"/>
      <c r="D697" s="8"/>
      <c r="E697" s="8"/>
      <c r="F697" s="8"/>
      <c r="G697" s="8"/>
      <c r="H697" s="8"/>
      <c r="I697" s="8"/>
      <c r="J697" s="215"/>
      <c r="K697" s="126"/>
      <c r="L697" s="126"/>
      <c r="M697" s="126"/>
      <c r="N697" s="126"/>
      <c r="O697" s="8"/>
      <c r="P697" s="8"/>
      <c r="Q697" s="129"/>
      <c r="R697" s="1369"/>
      <c r="S697" s="126"/>
      <c r="T697" s="8"/>
      <c r="U697" s="1359"/>
      <c r="V697" s="8"/>
      <c r="W697" s="8"/>
      <c r="X697" s="8"/>
      <c r="Y697" s="8"/>
      <c r="Z697" s="8"/>
      <c r="AA697" s="8"/>
    </row>
    <row r="698">
      <c r="A698" s="8"/>
      <c r="B698" s="8"/>
      <c r="C698" s="8"/>
      <c r="D698" s="8"/>
      <c r="E698" s="8"/>
      <c r="F698" s="8"/>
      <c r="G698" s="8"/>
      <c r="H698" s="8"/>
      <c r="I698" s="8"/>
      <c r="J698" s="215"/>
      <c r="K698" s="126"/>
      <c r="L698" s="126"/>
      <c r="M698" s="126"/>
      <c r="N698" s="126"/>
      <c r="O698" s="8"/>
      <c r="P698" s="8"/>
      <c r="Q698" s="129"/>
      <c r="R698" s="1369"/>
      <c r="S698" s="126"/>
      <c r="T698" s="8"/>
      <c r="U698" s="1359"/>
      <c r="V698" s="8"/>
      <c r="W698" s="8"/>
      <c r="X698" s="8"/>
      <c r="Y698" s="8"/>
      <c r="Z698" s="8"/>
      <c r="AA698" s="8"/>
    </row>
    <row r="699">
      <c r="A699" s="8"/>
      <c r="B699" s="8"/>
      <c r="C699" s="8"/>
      <c r="D699" s="8"/>
      <c r="E699" s="8"/>
      <c r="F699" s="8"/>
      <c r="G699" s="8"/>
      <c r="H699" s="8"/>
      <c r="I699" s="8"/>
      <c r="J699" s="215"/>
      <c r="K699" s="126"/>
      <c r="L699" s="126"/>
      <c r="M699" s="126"/>
      <c r="N699" s="126"/>
      <c r="O699" s="8"/>
      <c r="P699" s="8"/>
      <c r="Q699" s="129"/>
      <c r="R699" s="1369"/>
      <c r="S699" s="126"/>
      <c r="T699" s="8"/>
      <c r="U699" s="1359"/>
      <c r="V699" s="8"/>
      <c r="W699" s="8"/>
      <c r="X699" s="8"/>
      <c r="Y699" s="8"/>
      <c r="Z699" s="8"/>
      <c r="AA699" s="8"/>
    </row>
    <row r="700">
      <c r="A700" s="8"/>
      <c r="B700" s="8"/>
      <c r="C700" s="8"/>
      <c r="D700" s="8"/>
      <c r="E700" s="8"/>
      <c r="F700" s="8"/>
      <c r="G700" s="8"/>
      <c r="H700" s="8"/>
      <c r="I700" s="8"/>
      <c r="J700" s="215"/>
      <c r="K700" s="126"/>
      <c r="L700" s="126"/>
      <c r="M700" s="126"/>
      <c r="N700" s="126"/>
      <c r="O700" s="8"/>
      <c r="P700" s="8"/>
      <c r="Q700" s="129"/>
      <c r="R700" s="1369"/>
      <c r="S700" s="126"/>
      <c r="T700" s="8"/>
      <c r="U700" s="1359"/>
      <c r="V700" s="8"/>
      <c r="W700" s="8"/>
      <c r="X700" s="8"/>
      <c r="Y700" s="8"/>
      <c r="Z700" s="8"/>
      <c r="AA700" s="8"/>
    </row>
    <row r="701">
      <c r="A701" s="8"/>
      <c r="B701" s="8"/>
      <c r="C701" s="8"/>
      <c r="D701" s="8"/>
      <c r="E701" s="8"/>
      <c r="F701" s="8"/>
      <c r="G701" s="8"/>
      <c r="H701" s="8"/>
      <c r="I701" s="8"/>
      <c r="J701" s="215"/>
      <c r="K701" s="126"/>
      <c r="L701" s="126"/>
      <c r="M701" s="126"/>
      <c r="N701" s="126"/>
      <c r="O701" s="8"/>
      <c r="P701" s="8"/>
      <c r="Q701" s="129"/>
      <c r="R701" s="1369"/>
      <c r="S701" s="126"/>
      <c r="T701" s="8"/>
      <c r="U701" s="1359"/>
      <c r="V701" s="8"/>
      <c r="W701" s="8"/>
      <c r="X701" s="8"/>
      <c r="Y701" s="8"/>
      <c r="Z701" s="8"/>
      <c r="AA701" s="8"/>
    </row>
    <row r="702">
      <c r="A702" s="8"/>
      <c r="B702" s="8"/>
      <c r="C702" s="8"/>
      <c r="D702" s="8"/>
      <c r="E702" s="8"/>
      <c r="F702" s="8"/>
      <c r="G702" s="8"/>
      <c r="H702" s="8"/>
      <c r="I702" s="8"/>
      <c r="J702" s="215"/>
      <c r="K702" s="126"/>
      <c r="L702" s="126"/>
      <c r="M702" s="126"/>
      <c r="N702" s="126"/>
      <c r="O702" s="8"/>
      <c r="P702" s="8"/>
      <c r="Q702" s="129"/>
      <c r="R702" s="1369"/>
      <c r="S702" s="126"/>
      <c r="T702" s="8"/>
      <c r="U702" s="1359"/>
      <c r="V702" s="8"/>
      <c r="W702" s="8"/>
      <c r="X702" s="8"/>
      <c r="Y702" s="8"/>
      <c r="Z702" s="8"/>
      <c r="AA702" s="8"/>
    </row>
    <row r="703">
      <c r="A703" s="8"/>
      <c r="B703" s="8"/>
      <c r="C703" s="8"/>
      <c r="D703" s="8"/>
      <c r="E703" s="8"/>
      <c r="F703" s="8"/>
      <c r="G703" s="8"/>
      <c r="H703" s="8"/>
      <c r="I703" s="8"/>
      <c r="J703" s="215"/>
      <c r="K703" s="126"/>
      <c r="L703" s="126"/>
      <c r="M703" s="126"/>
      <c r="N703" s="126"/>
      <c r="O703" s="8"/>
      <c r="P703" s="8"/>
      <c r="Q703" s="129"/>
      <c r="R703" s="1369"/>
      <c r="S703" s="126"/>
      <c r="T703" s="8"/>
      <c r="U703" s="1359"/>
      <c r="V703" s="8"/>
      <c r="W703" s="8"/>
      <c r="X703" s="8"/>
      <c r="Y703" s="8"/>
      <c r="Z703" s="8"/>
      <c r="AA703" s="8"/>
    </row>
    <row r="704">
      <c r="A704" s="8"/>
      <c r="B704" s="8"/>
      <c r="C704" s="8"/>
      <c r="D704" s="8"/>
      <c r="E704" s="8"/>
      <c r="F704" s="8"/>
      <c r="G704" s="8"/>
      <c r="H704" s="8"/>
      <c r="I704" s="8"/>
      <c r="J704" s="215"/>
      <c r="K704" s="126"/>
      <c r="L704" s="126"/>
      <c r="M704" s="126"/>
      <c r="N704" s="126"/>
      <c r="O704" s="8"/>
      <c r="P704" s="8"/>
      <c r="Q704" s="129"/>
      <c r="R704" s="1369"/>
      <c r="S704" s="126"/>
      <c r="T704" s="8"/>
      <c r="U704" s="1359"/>
      <c r="V704" s="8"/>
      <c r="W704" s="8"/>
      <c r="X704" s="8"/>
      <c r="Y704" s="8"/>
      <c r="Z704" s="8"/>
      <c r="AA704" s="8"/>
    </row>
    <row r="705">
      <c r="A705" s="8"/>
      <c r="B705" s="8"/>
      <c r="C705" s="8"/>
      <c r="D705" s="8"/>
      <c r="E705" s="8"/>
      <c r="F705" s="8"/>
      <c r="G705" s="8"/>
      <c r="H705" s="8"/>
      <c r="I705" s="8"/>
      <c r="J705" s="215"/>
      <c r="K705" s="126"/>
      <c r="L705" s="126"/>
      <c r="M705" s="126"/>
      <c r="N705" s="126"/>
      <c r="O705" s="8"/>
      <c r="P705" s="8"/>
      <c r="Q705" s="129"/>
      <c r="R705" s="1369"/>
      <c r="S705" s="126"/>
      <c r="T705" s="8"/>
      <c r="U705" s="1359"/>
      <c r="V705" s="8"/>
      <c r="W705" s="8"/>
      <c r="X705" s="8"/>
      <c r="Y705" s="8"/>
      <c r="Z705" s="8"/>
      <c r="AA705" s="8"/>
    </row>
    <row r="706">
      <c r="A706" s="8"/>
      <c r="B706" s="8"/>
      <c r="C706" s="8"/>
      <c r="D706" s="8"/>
      <c r="E706" s="8"/>
      <c r="F706" s="8"/>
      <c r="G706" s="8"/>
      <c r="H706" s="8"/>
      <c r="I706" s="8"/>
      <c r="J706" s="215"/>
      <c r="K706" s="126"/>
      <c r="L706" s="126"/>
      <c r="M706" s="126"/>
      <c r="N706" s="126"/>
      <c r="O706" s="8"/>
      <c r="P706" s="8"/>
      <c r="Q706" s="129"/>
      <c r="R706" s="1369"/>
      <c r="S706" s="126"/>
      <c r="T706" s="8"/>
      <c r="U706" s="1359"/>
      <c r="V706" s="8"/>
      <c r="W706" s="8"/>
      <c r="X706" s="8"/>
      <c r="Y706" s="8"/>
      <c r="Z706" s="8"/>
      <c r="AA706" s="8"/>
    </row>
    <row r="707">
      <c r="A707" s="8"/>
      <c r="B707" s="8"/>
      <c r="C707" s="8"/>
      <c r="D707" s="8"/>
      <c r="E707" s="8"/>
      <c r="F707" s="8"/>
      <c r="G707" s="8"/>
      <c r="H707" s="8"/>
      <c r="I707" s="8"/>
      <c r="J707" s="215"/>
      <c r="K707" s="126"/>
      <c r="L707" s="126"/>
      <c r="M707" s="126"/>
      <c r="N707" s="126"/>
      <c r="O707" s="8"/>
      <c r="P707" s="8"/>
      <c r="Q707" s="129"/>
      <c r="R707" s="1369"/>
      <c r="S707" s="126"/>
      <c r="T707" s="8"/>
      <c r="U707" s="1359"/>
      <c r="V707" s="8"/>
      <c r="W707" s="8"/>
      <c r="X707" s="8"/>
      <c r="Y707" s="8"/>
      <c r="Z707" s="8"/>
      <c r="AA707" s="8"/>
    </row>
    <row r="708">
      <c r="A708" s="8"/>
      <c r="B708" s="8"/>
      <c r="C708" s="8"/>
      <c r="D708" s="8"/>
      <c r="E708" s="8"/>
      <c r="F708" s="8"/>
      <c r="G708" s="8"/>
      <c r="H708" s="8"/>
      <c r="I708" s="8"/>
      <c r="J708" s="215"/>
      <c r="K708" s="126"/>
      <c r="L708" s="126"/>
      <c r="M708" s="126"/>
      <c r="N708" s="126"/>
      <c r="O708" s="8"/>
      <c r="P708" s="8"/>
      <c r="Q708" s="129"/>
      <c r="R708" s="1369"/>
      <c r="S708" s="126"/>
      <c r="T708" s="8"/>
      <c r="U708" s="1359"/>
      <c r="V708" s="8"/>
      <c r="W708" s="8"/>
      <c r="X708" s="8"/>
      <c r="Y708" s="8"/>
      <c r="Z708" s="8"/>
      <c r="AA708" s="8"/>
    </row>
    <row r="709">
      <c r="A709" s="8"/>
      <c r="B709" s="8"/>
      <c r="C709" s="8"/>
      <c r="D709" s="8"/>
      <c r="E709" s="8"/>
      <c r="F709" s="8"/>
      <c r="G709" s="8"/>
      <c r="H709" s="8"/>
      <c r="I709" s="8"/>
      <c r="J709" s="215"/>
      <c r="K709" s="126"/>
      <c r="L709" s="126"/>
      <c r="M709" s="126"/>
      <c r="N709" s="126"/>
      <c r="O709" s="8"/>
      <c r="P709" s="8"/>
      <c r="Q709" s="129"/>
      <c r="R709" s="1369"/>
      <c r="S709" s="126"/>
      <c r="T709" s="8"/>
      <c r="U709" s="1359"/>
      <c r="V709" s="8"/>
      <c r="W709" s="8"/>
      <c r="X709" s="8"/>
      <c r="Y709" s="8"/>
      <c r="Z709" s="8"/>
      <c r="AA709" s="8"/>
    </row>
    <row r="710">
      <c r="A710" s="8"/>
      <c r="B710" s="8"/>
      <c r="C710" s="8"/>
      <c r="D710" s="8"/>
      <c r="E710" s="8"/>
      <c r="F710" s="8"/>
      <c r="G710" s="8"/>
      <c r="H710" s="8"/>
      <c r="I710" s="8"/>
      <c r="J710" s="215"/>
      <c r="K710" s="126"/>
      <c r="L710" s="126"/>
      <c r="M710" s="126"/>
      <c r="N710" s="126"/>
      <c r="O710" s="8"/>
      <c r="P710" s="8"/>
      <c r="Q710" s="129"/>
      <c r="R710" s="1369"/>
      <c r="S710" s="126"/>
      <c r="T710" s="8"/>
      <c r="U710" s="1359"/>
      <c r="V710" s="8"/>
      <c r="W710" s="8"/>
      <c r="X710" s="8"/>
      <c r="Y710" s="8"/>
      <c r="Z710" s="8"/>
      <c r="AA710" s="8"/>
    </row>
    <row r="711">
      <c r="A711" s="8"/>
      <c r="B711" s="8"/>
      <c r="C711" s="8"/>
      <c r="D711" s="8"/>
      <c r="E711" s="8"/>
      <c r="F711" s="8"/>
      <c r="G711" s="8"/>
      <c r="H711" s="8"/>
      <c r="I711" s="8"/>
      <c r="J711" s="215"/>
      <c r="K711" s="126"/>
      <c r="L711" s="126"/>
      <c r="M711" s="126"/>
      <c r="N711" s="126"/>
      <c r="O711" s="8"/>
      <c r="P711" s="8"/>
      <c r="Q711" s="129"/>
      <c r="R711" s="1369"/>
      <c r="S711" s="126"/>
      <c r="T711" s="8"/>
      <c r="U711" s="1359"/>
      <c r="V711" s="8"/>
      <c r="W711" s="8"/>
      <c r="X711" s="8"/>
      <c r="Y711" s="8"/>
      <c r="Z711" s="8"/>
      <c r="AA711" s="8"/>
    </row>
    <row r="712">
      <c r="A712" s="8"/>
      <c r="B712" s="8"/>
      <c r="C712" s="8"/>
      <c r="D712" s="8"/>
      <c r="E712" s="8"/>
      <c r="F712" s="8"/>
      <c r="G712" s="8"/>
      <c r="H712" s="8"/>
      <c r="I712" s="8"/>
      <c r="J712" s="215"/>
      <c r="K712" s="126"/>
      <c r="L712" s="126"/>
      <c r="M712" s="126"/>
      <c r="N712" s="126"/>
      <c r="O712" s="8"/>
      <c r="P712" s="8"/>
      <c r="Q712" s="129"/>
      <c r="R712" s="1369"/>
      <c r="S712" s="126"/>
      <c r="T712" s="8"/>
      <c r="U712" s="1359"/>
      <c r="V712" s="8"/>
      <c r="W712" s="8"/>
      <c r="X712" s="8"/>
      <c r="Y712" s="8"/>
      <c r="Z712" s="8"/>
      <c r="AA712" s="8"/>
    </row>
    <row r="713">
      <c r="A713" s="8"/>
      <c r="B713" s="8"/>
      <c r="C713" s="8"/>
      <c r="D713" s="8"/>
      <c r="E713" s="8"/>
      <c r="F713" s="8"/>
      <c r="G713" s="8"/>
      <c r="H713" s="8"/>
      <c r="I713" s="8"/>
      <c r="J713" s="215"/>
      <c r="K713" s="126"/>
      <c r="L713" s="126"/>
      <c r="M713" s="126"/>
      <c r="N713" s="126"/>
      <c r="O713" s="8"/>
      <c r="P713" s="8"/>
      <c r="Q713" s="129"/>
      <c r="R713" s="1369"/>
      <c r="S713" s="126"/>
      <c r="T713" s="8"/>
      <c r="U713" s="1359"/>
      <c r="V713" s="8"/>
      <c r="W713" s="8"/>
      <c r="X713" s="8"/>
      <c r="Y713" s="8"/>
      <c r="Z713" s="8"/>
      <c r="AA713" s="8"/>
    </row>
    <row r="714">
      <c r="A714" s="8"/>
      <c r="B714" s="8"/>
      <c r="C714" s="8"/>
      <c r="D714" s="8"/>
      <c r="E714" s="8"/>
      <c r="F714" s="8"/>
      <c r="G714" s="8"/>
      <c r="H714" s="8"/>
      <c r="I714" s="8"/>
      <c r="J714" s="215"/>
      <c r="K714" s="126"/>
      <c r="L714" s="126"/>
      <c r="M714" s="126"/>
      <c r="N714" s="126"/>
      <c r="O714" s="8"/>
      <c r="P714" s="8"/>
      <c r="Q714" s="129"/>
      <c r="R714" s="1369"/>
      <c r="S714" s="126"/>
      <c r="T714" s="8"/>
      <c r="U714" s="1359"/>
      <c r="V714" s="8"/>
      <c r="W714" s="8"/>
      <c r="X714" s="8"/>
      <c r="Y714" s="8"/>
      <c r="Z714" s="8"/>
      <c r="AA714" s="8"/>
    </row>
    <row r="715">
      <c r="A715" s="8"/>
      <c r="B715" s="8"/>
      <c r="C715" s="8"/>
      <c r="D715" s="8"/>
      <c r="E715" s="8"/>
      <c r="F715" s="8"/>
      <c r="G715" s="8"/>
      <c r="H715" s="8"/>
      <c r="I715" s="8"/>
      <c r="J715" s="215"/>
      <c r="K715" s="126"/>
      <c r="L715" s="126"/>
      <c r="M715" s="126"/>
      <c r="N715" s="126"/>
      <c r="O715" s="8"/>
      <c r="P715" s="8"/>
      <c r="Q715" s="129"/>
      <c r="R715" s="1369"/>
      <c r="S715" s="126"/>
      <c r="T715" s="8"/>
      <c r="U715" s="1359"/>
      <c r="V715" s="8"/>
      <c r="W715" s="8"/>
      <c r="X715" s="8"/>
      <c r="Y715" s="8"/>
      <c r="Z715" s="8"/>
      <c r="AA715" s="8"/>
    </row>
    <row r="716">
      <c r="A716" s="8"/>
      <c r="B716" s="8"/>
      <c r="C716" s="8"/>
      <c r="D716" s="8"/>
      <c r="E716" s="8"/>
      <c r="F716" s="8"/>
      <c r="G716" s="8"/>
      <c r="H716" s="8"/>
      <c r="I716" s="8"/>
      <c r="J716" s="215"/>
      <c r="K716" s="126"/>
      <c r="L716" s="126"/>
      <c r="M716" s="126"/>
      <c r="N716" s="126"/>
      <c r="O716" s="8"/>
      <c r="P716" s="8"/>
      <c r="Q716" s="129"/>
      <c r="R716" s="1369"/>
      <c r="S716" s="126"/>
      <c r="T716" s="8"/>
      <c r="U716" s="1359"/>
      <c r="V716" s="8"/>
      <c r="W716" s="8"/>
      <c r="X716" s="8"/>
      <c r="Y716" s="8"/>
      <c r="Z716" s="8"/>
      <c r="AA716" s="8"/>
    </row>
    <row r="717">
      <c r="A717" s="8"/>
      <c r="B717" s="8"/>
      <c r="C717" s="8"/>
      <c r="D717" s="8"/>
      <c r="E717" s="8"/>
      <c r="F717" s="8"/>
      <c r="G717" s="8"/>
      <c r="H717" s="8"/>
      <c r="I717" s="8"/>
      <c r="J717" s="215"/>
      <c r="K717" s="126"/>
      <c r="L717" s="126"/>
      <c r="M717" s="126"/>
      <c r="N717" s="126"/>
      <c r="O717" s="8"/>
      <c r="P717" s="8"/>
      <c r="Q717" s="129"/>
      <c r="R717" s="1369"/>
      <c r="S717" s="126"/>
      <c r="T717" s="8"/>
      <c r="U717" s="1359"/>
      <c r="V717" s="8"/>
      <c r="W717" s="8"/>
      <c r="X717" s="8"/>
      <c r="Y717" s="8"/>
      <c r="Z717" s="8"/>
      <c r="AA717" s="8"/>
    </row>
    <row r="718">
      <c r="A718" s="8"/>
      <c r="B718" s="8"/>
      <c r="C718" s="8"/>
      <c r="D718" s="8"/>
      <c r="E718" s="8"/>
      <c r="F718" s="8"/>
      <c r="G718" s="8"/>
      <c r="H718" s="8"/>
      <c r="I718" s="8"/>
      <c r="J718" s="215"/>
      <c r="K718" s="126"/>
      <c r="L718" s="126"/>
      <c r="M718" s="126"/>
      <c r="N718" s="126"/>
      <c r="O718" s="8"/>
      <c r="P718" s="8"/>
      <c r="Q718" s="129"/>
      <c r="R718" s="1369"/>
      <c r="S718" s="126"/>
      <c r="T718" s="8"/>
      <c r="U718" s="1359"/>
      <c r="V718" s="8"/>
      <c r="W718" s="8"/>
      <c r="X718" s="8"/>
      <c r="Y718" s="8"/>
      <c r="Z718" s="8"/>
      <c r="AA718" s="8"/>
    </row>
    <row r="719">
      <c r="A719" s="8"/>
      <c r="B719" s="8"/>
      <c r="C719" s="8"/>
      <c r="D719" s="8"/>
      <c r="E719" s="8"/>
      <c r="F719" s="8"/>
      <c r="G719" s="8"/>
      <c r="H719" s="8"/>
      <c r="I719" s="8"/>
      <c r="J719" s="215"/>
      <c r="K719" s="126"/>
      <c r="L719" s="126"/>
      <c r="M719" s="126"/>
      <c r="N719" s="126"/>
      <c r="O719" s="8"/>
      <c r="P719" s="8"/>
      <c r="Q719" s="129"/>
      <c r="R719" s="1369"/>
      <c r="S719" s="126"/>
      <c r="T719" s="8"/>
      <c r="U719" s="1359"/>
      <c r="V719" s="8"/>
      <c r="W719" s="8"/>
      <c r="X719" s="8"/>
      <c r="Y719" s="8"/>
      <c r="Z719" s="8"/>
      <c r="AA719" s="8"/>
    </row>
    <row r="720">
      <c r="A720" s="8"/>
      <c r="B720" s="8"/>
      <c r="C720" s="8"/>
      <c r="D720" s="8"/>
      <c r="E720" s="8"/>
      <c r="F720" s="8"/>
      <c r="G720" s="8"/>
      <c r="H720" s="8"/>
      <c r="I720" s="8"/>
      <c r="J720" s="215"/>
      <c r="K720" s="126"/>
      <c r="L720" s="126"/>
      <c r="M720" s="126"/>
      <c r="N720" s="126"/>
      <c r="O720" s="8"/>
      <c r="P720" s="8"/>
      <c r="Q720" s="129"/>
      <c r="R720" s="1369"/>
      <c r="S720" s="126"/>
      <c r="T720" s="8"/>
      <c r="U720" s="1359"/>
      <c r="V720" s="8"/>
      <c r="W720" s="8"/>
      <c r="X720" s="8"/>
      <c r="Y720" s="8"/>
      <c r="Z720" s="8"/>
      <c r="AA720" s="8"/>
    </row>
    <row r="721">
      <c r="A721" s="8"/>
      <c r="B721" s="8"/>
      <c r="C721" s="8"/>
      <c r="D721" s="8"/>
      <c r="E721" s="8"/>
      <c r="F721" s="8"/>
      <c r="G721" s="8"/>
      <c r="H721" s="8"/>
      <c r="I721" s="8"/>
      <c r="J721" s="215"/>
      <c r="K721" s="126"/>
      <c r="L721" s="126"/>
      <c r="M721" s="126"/>
      <c r="N721" s="126"/>
      <c r="O721" s="8"/>
      <c r="P721" s="8"/>
      <c r="Q721" s="129"/>
      <c r="R721" s="1369"/>
      <c r="S721" s="126"/>
      <c r="T721" s="8"/>
      <c r="U721" s="1359"/>
      <c r="V721" s="8"/>
      <c r="W721" s="8"/>
      <c r="X721" s="8"/>
      <c r="Y721" s="8"/>
      <c r="Z721" s="8"/>
      <c r="AA721" s="8"/>
    </row>
    <row r="722">
      <c r="A722" s="8"/>
      <c r="B722" s="8"/>
      <c r="C722" s="8"/>
      <c r="D722" s="8"/>
      <c r="E722" s="8"/>
      <c r="F722" s="8"/>
      <c r="G722" s="8"/>
      <c r="H722" s="8"/>
      <c r="I722" s="8"/>
      <c r="J722" s="215"/>
      <c r="K722" s="126"/>
      <c r="L722" s="126"/>
      <c r="M722" s="126"/>
      <c r="N722" s="126"/>
      <c r="O722" s="8"/>
      <c r="P722" s="8"/>
      <c r="Q722" s="129"/>
      <c r="R722" s="1369"/>
      <c r="S722" s="126"/>
      <c r="T722" s="8"/>
      <c r="U722" s="1359"/>
      <c r="V722" s="8"/>
      <c r="W722" s="8"/>
      <c r="X722" s="8"/>
      <c r="Y722" s="8"/>
      <c r="Z722" s="8"/>
      <c r="AA722" s="8"/>
    </row>
    <row r="723">
      <c r="A723" s="8"/>
      <c r="B723" s="8"/>
      <c r="C723" s="8"/>
      <c r="D723" s="8"/>
      <c r="E723" s="8"/>
      <c r="F723" s="8"/>
      <c r="G723" s="8"/>
      <c r="H723" s="8"/>
      <c r="I723" s="8"/>
      <c r="J723" s="215"/>
      <c r="K723" s="126"/>
      <c r="L723" s="126"/>
      <c r="M723" s="126"/>
      <c r="N723" s="126"/>
      <c r="O723" s="8"/>
      <c r="P723" s="8"/>
      <c r="Q723" s="129"/>
      <c r="R723" s="1369"/>
      <c r="S723" s="126"/>
      <c r="T723" s="8"/>
      <c r="U723" s="1359"/>
      <c r="V723" s="8"/>
      <c r="W723" s="8"/>
      <c r="X723" s="8"/>
      <c r="Y723" s="8"/>
      <c r="Z723" s="8"/>
      <c r="AA723" s="8"/>
    </row>
    <row r="724">
      <c r="A724" s="8"/>
      <c r="B724" s="8"/>
      <c r="C724" s="8"/>
      <c r="D724" s="8"/>
      <c r="E724" s="8"/>
      <c r="F724" s="8"/>
      <c r="G724" s="8"/>
      <c r="H724" s="8"/>
      <c r="I724" s="8"/>
      <c r="J724" s="215"/>
      <c r="K724" s="126"/>
      <c r="L724" s="126"/>
      <c r="M724" s="126"/>
      <c r="N724" s="126"/>
      <c r="O724" s="8"/>
      <c r="P724" s="8"/>
      <c r="Q724" s="129"/>
      <c r="R724" s="1369"/>
      <c r="S724" s="126"/>
      <c r="T724" s="8"/>
      <c r="U724" s="1359"/>
      <c r="V724" s="8"/>
      <c r="W724" s="8"/>
      <c r="X724" s="8"/>
      <c r="Y724" s="8"/>
      <c r="Z724" s="8"/>
      <c r="AA724" s="8"/>
    </row>
    <row r="725">
      <c r="A725" s="8"/>
      <c r="B725" s="8"/>
      <c r="C725" s="8"/>
      <c r="D725" s="8"/>
      <c r="E725" s="8"/>
      <c r="F725" s="8"/>
      <c r="G725" s="8"/>
      <c r="H725" s="8"/>
      <c r="I725" s="8"/>
      <c r="J725" s="215"/>
      <c r="K725" s="126"/>
      <c r="L725" s="126"/>
      <c r="M725" s="126"/>
      <c r="N725" s="126"/>
      <c r="O725" s="8"/>
      <c r="P725" s="8"/>
      <c r="Q725" s="129"/>
      <c r="R725" s="1369"/>
      <c r="S725" s="126"/>
      <c r="T725" s="8"/>
      <c r="U725" s="1359"/>
      <c r="V725" s="8"/>
      <c r="W725" s="8"/>
      <c r="X725" s="8"/>
      <c r="Y725" s="8"/>
      <c r="Z725" s="8"/>
      <c r="AA725" s="8"/>
    </row>
    <row r="726">
      <c r="A726" s="8"/>
      <c r="B726" s="8"/>
      <c r="C726" s="8"/>
      <c r="D726" s="8"/>
      <c r="E726" s="8"/>
      <c r="F726" s="8"/>
      <c r="G726" s="8"/>
      <c r="H726" s="8"/>
      <c r="I726" s="8"/>
      <c r="J726" s="215"/>
      <c r="K726" s="126"/>
      <c r="L726" s="126"/>
      <c r="M726" s="126"/>
      <c r="N726" s="126"/>
      <c r="O726" s="8"/>
      <c r="P726" s="8"/>
      <c r="Q726" s="129"/>
      <c r="R726" s="1369"/>
      <c r="S726" s="126"/>
      <c r="T726" s="8"/>
      <c r="U726" s="1359"/>
      <c r="V726" s="8"/>
      <c r="W726" s="8"/>
      <c r="X726" s="8"/>
      <c r="Y726" s="8"/>
      <c r="Z726" s="8"/>
      <c r="AA726" s="8"/>
    </row>
    <row r="727">
      <c r="A727" s="8"/>
      <c r="B727" s="8"/>
      <c r="C727" s="8"/>
      <c r="D727" s="8"/>
      <c r="E727" s="8"/>
      <c r="F727" s="8"/>
      <c r="G727" s="8"/>
      <c r="H727" s="8"/>
      <c r="I727" s="8"/>
      <c r="J727" s="215"/>
      <c r="K727" s="126"/>
      <c r="L727" s="126"/>
      <c r="M727" s="126"/>
      <c r="N727" s="126"/>
      <c r="O727" s="8"/>
      <c r="P727" s="8"/>
      <c r="Q727" s="129"/>
      <c r="R727" s="1369"/>
      <c r="S727" s="126"/>
      <c r="T727" s="8"/>
      <c r="U727" s="1359"/>
      <c r="V727" s="8"/>
      <c r="W727" s="8"/>
      <c r="X727" s="8"/>
      <c r="Y727" s="8"/>
      <c r="Z727" s="8"/>
      <c r="AA727" s="8"/>
    </row>
    <row r="728">
      <c r="A728" s="8"/>
      <c r="B728" s="8"/>
      <c r="C728" s="8"/>
      <c r="D728" s="8"/>
      <c r="E728" s="8"/>
      <c r="F728" s="8"/>
      <c r="G728" s="8"/>
      <c r="H728" s="8"/>
      <c r="I728" s="8"/>
      <c r="J728" s="215"/>
      <c r="K728" s="126"/>
      <c r="L728" s="126"/>
      <c r="M728" s="126"/>
      <c r="N728" s="126"/>
      <c r="O728" s="8"/>
      <c r="P728" s="8"/>
      <c r="Q728" s="129"/>
      <c r="R728" s="1369"/>
      <c r="S728" s="126"/>
      <c r="T728" s="8"/>
      <c r="U728" s="1359"/>
      <c r="V728" s="8"/>
      <c r="W728" s="8"/>
      <c r="X728" s="8"/>
      <c r="Y728" s="8"/>
      <c r="Z728" s="8"/>
      <c r="AA728" s="8"/>
    </row>
    <row r="729">
      <c r="A729" s="8"/>
      <c r="B729" s="8"/>
      <c r="C729" s="8"/>
      <c r="D729" s="8"/>
      <c r="E729" s="8"/>
      <c r="F729" s="8"/>
      <c r="G729" s="8"/>
      <c r="H729" s="8"/>
      <c r="I729" s="8"/>
      <c r="J729" s="215"/>
      <c r="K729" s="126"/>
      <c r="L729" s="126"/>
      <c r="M729" s="126"/>
      <c r="N729" s="126"/>
      <c r="O729" s="8"/>
      <c r="P729" s="8"/>
      <c r="Q729" s="129"/>
      <c r="R729" s="1369"/>
      <c r="S729" s="126"/>
      <c r="T729" s="8"/>
      <c r="U729" s="1359"/>
      <c r="V729" s="8"/>
      <c r="W729" s="8"/>
      <c r="X729" s="8"/>
      <c r="Y729" s="8"/>
      <c r="Z729" s="8"/>
      <c r="AA729" s="8"/>
    </row>
    <row r="730">
      <c r="A730" s="8"/>
      <c r="B730" s="8"/>
      <c r="C730" s="8"/>
      <c r="D730" s="8"/>
      <c r="E730" s="8"/>
      <c r="F730" s="8"/>
      <c r="G730" s="8"/>
      <c r="H730" s="8"/>
      <c r="I730" s="8"/>
      <c r="J730" s="215"/>
      <c r="K730" s="126"/>
      <c r="L730" s="126"/>
      <c r="M730" s="126"/>
      <c r="N730" s="126"/>
      <c r="O730" s="8"/>
      <c r="P730" s="8"/>
      <c r="Q730" s="129"/>
      <c r="R730" s="1369"/>
      <c r="S730" s="126"/>
      <c r="T730" s="8"/>
      <c r="U730" s="1359"/>
      <c r="V730" s="8"/>
      <c r="W730" s="8"/>
      <c r="X730" s="8"/>
      <c r="Y730" s="8"/>
      <c r="Z730" s="8"/>
      <c r="AA730" s="8"/>
    </row>
    <row r="731">
      <c r="A731" s="8"/>
      <c r="B731" s="8"/>
      <c r="C731" s="8"/>
      <c r="D731" s="8"/>
      <c r="E731" s="8"/>
      <c r="F731" s="8"/>
      <c r="G731" s="8"/>
      <c r="H731" s="8"/>
      <c r="I731" s="8"/>
      <c r="J731" s="215"/>
      <c r="K731" s="126"/>
      <c r="L731" s="126"/>
      <c r="M731" s="126"/>
      <c r="N731" s="126"/>
      <c r="O731" s="8"/>
      <c r="P731" s="8"/>
      <c r="Q731" s="129"/>
      <c r="R731" s="1369"/>
      <c r="S731" s="126"/>
      <c r="T731" s="8"/>
      <c r="U731" s="1359"/>
      <c r="V731" s="8"/>
      <c r="W731" s="8"/>
      <c r="X731" s="8"/>
      <c r="Y731" s="8"/>
      <c r="Z731" s="8"/>
      <c r="AA731" s="8"/>
    </row>
    <row r="732">
      <c r="A732" s="8"/>
      <c r="B732" s="8"/>
      <c r="C732" s="8"/>
      <c r="D732" s="8"/>
      <c r="E732" s="8"/>
      <c r="F732" s="8"/>
      <c r="G732" s="8"/>
      <c r="H732" s="8"/>
      <c r="I732" s="8"/>
      <c r="J732" s="215"/>
      <c r="K732" s="126"/>
      <c r="L732" s="126"/>
      <c r="M732" s="126"/>
      <c r="N732" s="126"/>
      <c r="O732" s="8"/>
      <c r="P732" s="8"/>
      <c r="Q732" s="129"/>
      <c r="R732" s="1369"/>
      <c r="S732" s="126"/>
      <c r="T732" s="8"/>
      <c r="U732" s="1359"/>
      <c r="V732" s="8"/>
      <c r="W732" s="8"/>
      <c r="X732" s="8"/>
      <c r="Y732" s="8"/>
      <c r="Z732" s="8"/>
      <c r="AA732" s="8"/>
    </row>
    <row r="733">
      <c r="A733" s="8"/>
      <c r="B733" s="8"/>
      <c r="C733" s="8"/>
      <c r="D733" s="8"/>
      <c r="E733" s="8"/>
      <c r="F733" s="8"/>
      <c r="G733" s="8"/>
      <c r="H733" s="8"/>
      <c r="I733" s="8"/>
      <c r="J733" s="215"/>
      <c r="K733" s="126"/>
      <c r="L733" s="126"/>
      <c r="M733" s="126"/>
      <c r="N733" s="126"/>
      <c r="O733" s="8"/>
      <c r="P733" s="8"/>
      <c r="Q733" s="129"/>
      <c r="R733" s="1369"/>
      <c r="S733" s="126"/>
      <c r="T733" s="8"/>
      <c r="U733" s="1359"/>
      <c r="V733" s="8"/>
      <c r="W733" s="8"/>
      <c r="X733" s="8"/>
      <c r="Y733" s="8"/>
      <c r="Z733" s="8"/>
      <c r="AA733" s="8"/>
    </row>
    <row r="734">
      <c r="A734" s="8"/>
      <c r="B734" s="8"/>
      <c r="C734" s="8"/>
      <c r="D734" s="8"/>
      <c r="E734" s="8"/>
      <c r="F734" s="8"/>
      <c r="G734" s="8"/>
      <c r="H734" s="8"/>
      <c r="I734" s="8"/>
      <c r="J734" s="215"/>
      <c r="K734" s="126"/>
      <c r="L734" s="126"/>
      <c r="M734" s="126"/>
      <c r="N734" s="126"/>
      <c r="O734" s="8"/>
      <c r="P734" s="8"/>
      <c r="Q734" s="129"/>
      <c r="R734" s="1369"/>
      <c r="S734" s="126"/>
      <c r="T734" s="8"/>
      <c r="U734" s="1359"/>
      <c r="V734" s="8"/>
      <c r="W734" s="8"/>
      <c r="X734" s="8"/>
      <c r="Y734" s="8"/>
      <c r="Z734" s="8"/>
      <c r="AA734" s="8"/>
    </row>
    <row r="735">
      <c r="A735" s="8"/>
      <c r="B735" s="8"/>
      <c r="C735" s="8"/>
      <c r="D735" s="8"/>
      <c r="E735" s="8"/>
      <c r="F735" s="8"/>
      <c r="G735" s="8"/>
      <c r="H735" s="8"/>
      <c r="I735" s="8"/>
      <c r="J735" s="215"/>
      <c r="K735" s="126"/>
      <c r="L735" s="126"/>
      <c r="M735" s="126"/>
      <c r="N735" s="126"/>
      <c r="O735" s="8"/>
      <c r="P735" s="8"/>
      <c r="Q735" s="129"/>
      <c r="R735" s="1369"/>
      <c r="S735" s="126"/>
      <c r="T735" s="8"/>
      <c r="U735" s="1359"/>
      <c r="V735" s="8"/>
      <c r="W735" s="8"/>
      <c r="X735" s="8"/>
      <c r="Y735" s="8"/>
      <c r="Z735" s="8"/>
      <c r="AA735" s="8"/>
    </row>
    <row r="736">
      <c r="A736" s="8"/>
      <c r="B736" s="8"/>
      <c r="C736" s="8"/>
      <c r="D736" s="8"/>
      <c r="E736" s="8"/>
      <c r="F736" s="8"/>
      <c r="G736" s="8"/>
      <c r="H736" s="8"/>
      <c r="I736" s="8"/>
      <c r="J736" s="215"/>
      <c r="K736" s="126"/>
      <c r="L736" s="126"/>
      <c r="M736" s="126"/>
      <c r="N736" s="126"/>
      <c r="O736" s="8"/>
      <c r="P736" s="8"/>
      <c r="Q736" s="129"/>
      <c r="R736" s="1369"/>
      <c r="S736" s="126"/>
      <c r="T736" s="8"/>
      <c r="U736" s="1359"/>
      <c r="V736" s="8"/>
      <c r="W736" s="8"/>
      <c r="X736" s="8"/>
      <c r="Y736" s="8"/>
      <c r="Z736" s="8"/>
      <c r="AA736" s="8"/>
    </row>
    <row r="737">
      <c r="A737" s="8"/>
      <c r="B737" s="8"/>
      <c r="C737" s="8"/>
      <c r="D737" s="8"/>
      <c r="E737" s="8"/>
      <c r="F737" s="8"/>
      <c r="G737" s="8"/>
      <c r="H737" s="8"/>
      <c r="I737" s="8"/>
      <c r="J737" s="215"/>
      <c r="K737" s="126"/>
      <c r="L737" s="126"/>
      <c r="M737" s="126"/>
      <c r="N737" s="126"/>
      <c r="O737" s="8"/>
      <c r="P737" s="8"/>
      <c r="Q737" s="129"/>
      <c r="R737" s="1369"/>
      <c r="S737" s="126"/>
      <c r="T737" s="8"/>
      <c r="U737" s="1359"/>
      <c r="V737" s="8"/>
      <c r="W737" s="8"/>
      <c r="X737" s="8"/>
      <c r="Y737" s="8"/>
      <c r="Z737" s="8"/>
      <c r="AA737" s="8"/>
    </row>
    <row r="738">
      <c r="A738" s="8"/>
      <c r="B738" s="8"/>
      <c r="C738" s="8"/>
      <c r="D738" s="8"/>
      <c r="E738" s="8"/>
      <c r="F738" s="8"/>
      <c r="G738" s="8"/>
      <c r="H738" s="8"/>
      <c r="I738" s="8"/>
      <c r="J738" s="215"/>
      <c r="K738" s="126"/>
      <c r="L738" s="126"/>
      <c r="M738" s="126"/>
      <c r="N738" s="126"/>
      <c r="O738" s="8"/>
      <c r="P738" s="8"/>
      <c r="Q738" s="129"/>
      <c r="R738" s="1369"/>
      <c r="S738" s="126"/>
      <c r="T738" s="8"/>
      <c r="U738" s="1359"/>
      <c r="V738" s="8"/>
      <c r="W738" s="8"/>
      <c r="X738" s="8"/>
      <c r="Y738" s="8"/>
      <c r="Z738" s="8"/>
      <c r="AA738" s="8"/>
    </row>
    <row r="739">
      <c r="A739" s="8"/>
      <c r="B739" s="8"/>
      <c r="C739" s="8"/>
      <c r="D739" s="8"/>
      <c r="E739" s="8"/>
      <c r="F739" s="8"/>
      <c r="G739" s="8"/>
      <c r="H739" s="8"/>
      <c r="I739" s="8"/>
      <c r="J739" s="215"/>
      <c r="K739" s="126"/>
      <c r="L739" s="126"/>
      <c r="M739" s="126"/>
      <c r="N739" s="126"/>
      <c r="O739" s="8"/>
      <c r="P739" s="8"/>
      <c r="Q739" s="129"/>
      <c r="R739" s="1369"/>
      <c r="S739" s="126"/>
      <c r="T739" s="8"/>
      <c r="U739" s="1359"/>
      <c r="V739" s="8"/>
      <c r="W739" s="8"/>
      <c r="X739" s="8"/>
      <c r="Y739" s="8"/>
      <c r="Z739" s="8"/>
      <c r="AA739" s="8"/>
    </row>
    <row r="740">
      <c r="A740" s="8"/>
      <c r="B740" s="8"/>
      <c r="C740" s="8"/>
      <c r="D740" s="8"/>
      <c r="E740" s="8"/>
      <c r="F740" s="8"/>
      <c r="G740" s="8"/>
      <c r="H740" s="8"/>
      <c r="I740" s="8"/>
      <c r="J740" s="215"/>
      <c r="K740" s="126"/>
      <c r="L740" s="126"/>
      <c r="M740" s="126"/>
      <c r="N740" s="126"/>
      <c r="O740" s="8"/>
      <c r="P740" s="8"/>
      <c r="Q740" s="129"/>
      <c r="R740" s="1369"/>
      <c r="S740" s="126"/>
      <c r="T740" s="8"/>
      <c r="U740" s="1359"/>
      <c r="V740" s="8"/>
      <c r="W740" s="8"/>
      <c r="X740" s="8"/>
      <c r="Y740" s="8"/>
      <c r="Z740" s="8"/>
      <c r="AA740" s="8"/>
    </row>
    <row r="741">
      <c r="A741" s="8"/>
      <c r="B741" s="8"/>
      <c r="C741" s="8"/>
      <c r="D741" s="8"/>
      <c r="E741" s="8"/>
      <c r="F741" s="8"/>
      <c r="G741" s="8"/>
      <c r="H741" s="8"/>
      <c r="I741" s="8"/>
      <c r="J741" s="215"/>
      <c r="K741" s="126"/>
      <c r="L741" s="126"/>
      <c r="M741" s="126"/>
      <c r="N741" s="126"/>
      <c r="O741" s="8"/>
      <c r="P741" s="8"/>
      <c r="Q741" s="129"/>
      <c r="R741" s="1369"/>
      <c r="S741" s="126"/>
      <c r="T741" s="8"/>
      <c r="U741" s="1359"/>
      <c r="V741" s="8"/>
      <c r="W741" s="8"/>
      <c r="X741" s="8"/>
      <c r="Y741" s="8"/>
      <c r="Z741" s="8"/>
      <c r="AA741" s="8"/>
    </row>
    <row r="742">
      <c r="A742" s="8"/>
      <c r="B742" s="8"/>
      <c r="C742" s="8"/>
      <c r="D742" s="8"/>
      <c r="E742" s="8"/>
      <c r="F742" s="8"/>
      <c r="G742" s="8"/>
      <c r="H742" s="8"/>
      <c r="I742" s="8"/>
      <c r="J742" s="215"/>
      <c r="K742" s="126"/>
      <c r="L742" s="126"/>
      <c r="M742" s="126"/>
      <c r="N742" s="126"/>
      <c r="O742" s="8"/>
      <c r="P742" s="8"/>
      <c r="Q742" s="129"/>
      <c r="R742" s="1369"/>
      <c r="S742" s="126"/>
      <c r="T742" s="8"/>
      <c r="U742" s="1359"/>
      <c r="V742" s="8"/>
      <c r="W742" s="8"/>
      <c r="X742" s="8"/>
      <c r="Y742" s="8"/>
      <c r="Z742" s="8"/>
      <c r="AA742" s="8"/>
    </row>
    <row r="743">
      <c r="A743" s="8"/>
      <c r="B743" s="8"/>
      <c r="C743" s="8"/>
      <c r="D743" s="8"/>
      <c r="E743" s="8"/>
      <c r="F743" s="8"/>
      <c r="G743" s="8"/>
      <c r="H743" s="8"/>
      <c r="I743" s="8"/>
      <c r="J743" s="215"/>
      <c r="K743" s="126"/>
      <c r="L743" s="126"/>
      <c r="M743" s="126"/>
      <c r="N743" s="126"/>
      <c r="O743" s="8"/>
      <c r="P743" s="8"/>
      <c r="Q743" s="129"/>
      <c r="R743" s="1369"/>
      <c r="S743" s="126"/>
      <c r="T743" s="8"/>
      <c r="U743" s="1359"/>
      <c r="V743" s="8"/>
      <c r="W743" s="8"/>
      <c r="X743" s="8"/>
      <c r="Y743" s="8"/>
      <c r="Z743" s="8"/>
      <c r="AA743" s="8"/>
    </row>
    <row r="744">
      <c r="A744" s="8"/>
      <c r="B744" s="8"/>
      <c r="C744" s="8"/>
      <c r="D744" s="8"/>
      <c r="E744" s="8"/>
      <c r="F744" s="8"/>
      <c r="G744" s="8"/>
      <c r="H744" s="8"/>
      <c r="I744" s="8"/>
      <c r="J744" s="215"/>
      <c r="K744" s="126"/>
      <c r="L744" s="126"/>
      <c r="M744" s="126"/>
      <c r="N744" s="126"/>
      <c r="O744" s="8"/>
      <c r="P744" s="8"/>
      <c r="Q744" s="129"/>
      <c r="R744" s="1369"/>
      <c r="S744" s="126"/>
      <c r="T744" s="8"/>
      <c r="U744" s="1359"/>
      <c r="V744" s="8"/>
      <c r="W744" s="8"/>
      <c r="X744" s="8"/>
      <c r="Y744" s="8"/>
      <c r="Z744" s="8"/>
      <c r="AA744" s="8"/>
    </row>
    <row r="745">
      <c r="A745" s="8"/>
      <c r="B745" s="8"/>
      <c r="C745" s="8"/>
      <c r="D745" s="8"/>
      <c r="E745" s="8"/>
      <c r="F745" s="8"/>
      <c r="G745" s="8"/>
      <c r="H745" s="8"/>
      <c r="I745" s="8"/>
      <c r="J745" s="215"/>
      <c r="K745" s="126"/>
      <c r="L745" s="126"/>
      <c r="M745" s="126"/>
      <c r="N745" s="126"/>
      <c r="O745" s="8"/>
      <c r="P745" s="8"/>
      <c r="Q745" s="129"/>
      <c r="R745" s="1369"/>
      <c r="S745" s="126"/>
      <c r="T745" s="8"/>
      <c r="U745" s="1359"/>
      <c r="V745" s="8"/>
      <c r="W745" s="8"/>
      <c r="X745" s="8"/>
      <c r="Y745" s="8"/>
      <c r="Z745" s="8"/>
      <c r="AA745" s="8"/>
    </row>
    <row r="746">
      <c r="A746" s="8"/>
      <c r="B746" s="8"/>
      <c r="C746" s="8"/>
      <c r="D746" s="8"/>
      <c r="E746" s="8"/>
      <c r="F746" s="8"/>
      <c r="G746" s="8"/>
      <c r="H746" s="8"/>
      <c r="I746" s="8"/>
      <c r="J746" s="215"/>
      <c r="K746" s="126"/>
      <c r="L746" s="126"/>
      <c r="M746" s="126"/>
      <c r="N746" s="126"/>
      <c r="O746" s="8"/>
      <c r="P746" s="8"/>
      <c r="Q746" s="129"/>
      <c r="R746" s="1369"/>
      <c r="S746" s="126"/>
      <c r="T746" s="8"/>
      <c r="U746" s="1359"/>
      <c r="V746" s="8"/>
      <c r="W746" s="8"/>
      <c r="X746" s="8"/>
      <c r="Y746" s="8"/>
      <c r="Z746" s="8"/>
      <c r="AA746" s="8"/>
    </row>
    <row r="747">
      <c r="A747" s="8"/>
      <c r="B747" s="8"/>
      <c r="C747" s="8"/>
      <c r="D747" s="8"/>
      <c r="E747" s="8"/>
      <c r="F747" s="8"/>
      <c r="G747" s="8"/>
      <c r="H747" s="8"/>
      <c r="I747" s="8"/>
      <c r="J747" s="215"/>
      <c r="K747" s="126"/>
      <c r="L747" s="126"/>
      <c r="M747" s="126"/>
      <c r="N747" s="126"/>
      <c r="O747" s="8"/>
      <c r="P747" s="8"/>
      <c r="Q747" s="129"/>
      <c r="R747" s="1369"/>
      <c r="S747" s="126"/>
      <c r="T747" s="8"/>
      <c r="U747" s="1359"/>
      <c r="V747" s="8"/>
      <c r="W747" s="8"/>
      <c r="X747" s="8"/>
      <c r="Y747" s="8"/>
      <c r="Z747" s="8"/>
      <c r="AA747" s="8"/>
    </row>
    <row r="748">
      <c r="A748" s="8"/>
      <c r="B748" s="8"/>
      <c r="C748" s="8"/>
      <c r="D748" s="8"/>
      <c r="E748" s="8"/>
      <c r="F748" s="8"/>
      <c r="G748" s="8"/>
      <c r="H748" s="8"/>
      <c r="I748" s="8"/>
      <c r="J748" s="215"/>
      <c r="K748" s="126"/>
      <c r="L748" s="126"/>
      <c r="M748" s="126"/>
      <c r="N748" s="126"/>
      <c r="O748" s="8"/>
      <c r="P748" s="8"/>
      <c r="Q748" s="129"/>
      <c r="R748" s="1369"/>
      <c r="S748" s="126"/>
      <c r="T748" s="8"/>
      <c r="U748" s="1359"/>
      <c r="V748" s="8"/>
      <c r="W748" s="8"/>
      <c r="X748" s="8"/>
      <c r="Y748" s="8"/>
      <c r="Z748" s="8"/>
      <c r="AA748" s="8"/>
    </row>
    <row r="749">
      <c r="A749" s="8"/>
      <c r="B749" s="8"/>
      <c r="C749" s="8"/>
      <c r="D749" s="8"/>
      <c r="E749" s="8"/>
      <c r="F749" s="8"/>
      <c r="G749" s="8"/>
      <c r="H749" s="8"/>
      <c r="I749" s="8"/>
      <c r="J749" s="215"/>
      <c r="K749" s="126"/>
      <c r="L749" s="126"/>
      <c r="M749" s="126"/>
      <c r="N749" s="126"/>
      <c r="O749" s="8"/>
      <c r="P749" s="8"/>
      <c r="Q749" s="129"/>
      <c r="R749" s="1369"/>
      <c r="S749" s="126"/>
      <c r="T749" s="8"/>
      <c r="U749" s="1359"/>
      <c r="V749" s="8"/>
      <c r="W749" s="8"/>
      <c r="X749" s="8"/>
      <c r="Y749" s="8"/>
      <c r="Z749" s="8"/>
      <c r="AA749" s="8"/>
    </row>
    <row r="750">
      <c r="A750" s="8"/>
      <c r="B750" s="8"/>
      <c r="C750" s="8"/>
      <c r="D750" s="8"/>
      <c r="E750" s="8"/>
      <c r="F750" s="8"/>
      <c r="G750" s="8"/>
      <c r="H750" s="8"/>
      <c r="I750" s="8"/>
      <c r="J750" s="215"/>
      <c r="K750" s="126"/>
      <c r="L750" s="126"/>
      <c r="M750" s="126"/>
      <c r="N750" s="126"/>
      <c r="O750" s="8"/>
      <c r="P750" s="8"/>
      <c r="Q750" s="129"/>
      <c r="R750" s="1369"/>
      <c r="S750" s="126"/>
      <c r="T750" s="8"/>
      <c r="U750" s="1359"/>
      <c r="V750" s="8"/>
      <c r="W750" s="8"/>
      <c r="X750" s="8"/>
      <c r="Y750" s="8"/>
      <c r="Z750" s="8"/>
      <c r="AA750" s="8"/>
    </row>
    <row r="751">
      <c r="A751" s="8"/>
      <c r="B751" s="8"/>
      <c r="C751" s="8"/>
      <c r="D751" s="8"/>
      <c r="E751" s="8"/>
      <c r="F751" s="8"/>
      <c r="G751" s="8"/>
      <c r="H751" s="8"/>
      <c r="I751" s="8"/>
      <c r="J751" s="215"/>
      <c r="K751" s="126"/>
      <c r="L751" s="126"/>
      <c r="M751" s="126"/>
      <c r="N751" s="126"/>
      <c r="O751" s="8"/>
      <c r="P751" s="8"/>
      <c r="Q751" s="129"/>
      <c r="R751" s="1369"/>
      <c r="S751" s="126"/>
      <c r="T751" s="8"/>
      <c r="U751" s="1359"/>
      <c r="V751" s="8"/>
      <c r="W751" s="8"/>
      <c r="X751" s="8"/>
      <c r="Y751" s="8"/>
      <c r="Z751" s="8"/>
      <c r="AA751" s="8"/>
    </row>
    <row r="752">
      <c r="A752" s="8"/>
      <c r="B752" s="8"/>
      <c r="C752" s="8"/>
      <c r="D752" s="8"/>
      <c r="E752" s="8"/>
      <c r="F752" s="8"/>
      <c r="G752" s="8"/>
      <c r="H752" s="8"/>
      <c r="I752" s="8"/>
      <c r="J752" s="215"/>
      <c r="K752" s="126"/>
      <c r="L752" s="126"/>
      <c r="M752" s="126"/>
      <c r="N752" s="126"/>
      <c r="O752" s="8"/>
      <c r="P752" s="8"/>
      <c r="Q752" s="129"/>
      <c r="R752" s="1369"/>
      <c r="S752" s="126"/>
      <c r="T752" s="8"/>
      <c r="U752" s="1359"/>
      <c r="V752" s="8"/>
      <c r="W752" s="8"/>
      <c r="X752" s="8"/>
      <c r="Y752" s="8"/>
      <c r="Z752" s="8"/>
      <c r="AA752" s="8"/>
    </row>
    <row r="753">
      <c r="A753" s="8"/>
      <c r="B753" s="8"/>
      <c r="C753" s="8"/>
      <c r="D753" s="8"/>
      <c r="E753" s="8"/>
      <c r="F753" s="8"/>
      <c r="G753" s="8"/>
      <c r="H753" s="8"/>
      <c r="I753" s="8"/>
      <c r="J753" s="215"/>
      <c r="K753" s="126"/>
      <c r="L753" s="126"/>
      <c r="M753" s="126"/>
      <c r="N753" s="126"/>
      <c r="O753" s="8"/>
      <c r="P753" s="8"/>
      <c r="Q753" s="129"/>
      <c r="R753" s="1369"/>
      <c r="S753" s="126"/>
      <c r="T753" s="8"/>
      <c r="U753" s="1359"/>
      <c r="V753" s="8"/>
      <c r="W753" s="8"/>
      <c r="X753" s="8"/>
      <c r="Y753" s="8"/>
      <c r="Z753" s="8"/>
      <c r="AA753" s="8"/>
    </row>
    <row r="754">
      <c r="A754" s="8"/>
      <c r="B754" s="8"/>
      <c r="C754" s="8"/>
      <c r="D754" s="8"/>
      <c r="E754" s="8"/>
      <c r="F754" s="8"/>
      <c r="G754" s="8"/>
      <c r="H754" s="8"/>
      <c r="I754" s="8"/>
      <c r="J754" s="215"/>
      <c r="K754" s="126"/>
      <c r="L754" s="126"/>
      <c r="M754" s="126"/>
      <c r="N754" s="126"/>
      <c r="O754" s="8"/>
      <c r="P754" s="8"/>
      <c r="Q754" s="129"/>
      <c r="R754" s="1369"/>
      <c r="S754" s="126"/>
      <c r="T754" s="8"/>
      <c r="U754" s="1359"/>
      <c r="V754" s="8"/>
      <c r="W754" s="8"/>
      <c r="X754" s="8"/>
      <c r="Y754" s="8"/>
      <c r="Z754" s="8"/>
      <c r="AA754" s="8"/>
    </row>
    <row r="755">
      <c r="A755" s="8"/>
      <c r="B755" s="8"/>
      <c r="C755" s="8"/>
      <c r="D755" s="8"/>
      <c r="E755" s="8"/>
      <c r="F755" s="8"/>
      <c r="G755" s="8"/>
      <c r="H755" s="8"/>
      <c r="I755" s="8"/>
      <c r="J755" s="215"/>
      <c r="K755" s="126"/>
      <c r="L755" s="126"/>
      <c r="M755" s="126"/>
      <c r="N755" s="126"/>
      <c r="O755" s="8"/>
      <c r="P755" s="8"/>
      <c r="Q755" s="129"/>
      <c r="R755" s="1369"/>
      <c r="S755" s="126"/>
      <c r="T755" s="8"/>
      <c r="U755" s="1359"/>
      <c r="V755" s="8"/>
      <c r="W755" s="8"/>
      <c r="X755" s="8"/>
      <c r="Y755" s="8"/>
      <c r="Z755" s="8"/>
      <c r="AA755" s="8"/>
    </row>
    <row r="756">
      <c r="A756" s="8"/>
      <c r="B756" s="8"/>
      <c r="C756" s="8"/>
      <c r="D756" s="8"/>
      <c r="E756" s="8"/>
      <c r="F756" s="8"/>
      <c r="G756" s="8"/>
      <c r="H756" s="8"/>
      <c r="I756" s="8"/>
      <c r="J756" s="215"/>
      <c r="K756" s="126"/>
      <c r="L756" s="126"/>
      <c r="M756" s="126"/>
      <c r="N756" s="126"/>
      <c r="O756" s="8"/>
      <c r="P756" s="8"/>
      <c r="Q756" s="129"/>
      <c r="R756" s="1369"/>
      <c r="S756" s="126"/>
      <c r="T756" s="8"/>
      <c r="U756" s="1359"/>
      <c r="V756" s="8"/>
      <c r="W756" s="8"/>
      <c r="X756" s="8"/>
      <c r="Y756" s="8"/>
      <c r="Z756" s="8"/>
      <c r="AA756" s="8"/>
    </row>
    <row r="757">
      <c r="A757" s="8"/>
      <c r="B757" s="8"/>
      <c r="C757" s="8"/>
      <c r="D757" s="8"/>
      <c r="E757" s="8"/>
      <c r="F757" s="8"/>
      <c r="G757" s="8"/>
      <c r="H757" s="8"/>
      <c r="I757" s="8"/>
      <c r="J757" s="215"/>
      <c r="K757" s="126"/>
      <c r="L757" s="126"/>
      <c r="M757" s="126"/>
      <c r="N757" s="126"/>
      <c r="O757" s="8"/>
      <c r="P757" s="8"/>
      <c r="Q757" s="129"/>
      <c r="R757" s="1369"/>
      <c r="S757" s="126"/>
      <c r="T757" s="8"/>
      <c r="U757" s="1359"/>
      <c r="V757" s="8"/>
      <c r="W757" s="8"/>
      <c r="X757" s="8"/>
      <c r="Y757" s="8"/>
      <c r="Z757" s="8"/>
      <c r="AA757" s="8"/>
    </row>
    <row r="758">
      <c r="A758" s="8"/>
      <c r="B758" s="8"/>
      <c r="C758" s="8"/>
      <c r="D758" s="8"/>
      <c r="E758" s="8"/>
      <c r="F758" s="8"/>
      <c r="G758" s="8"/>
      <c r="H758" s="8"/>
      <c r="I758" s="8"/>
      <c r="J758" s="215"/>
      <c r="K758" s="126"/>
      <c r="L758" s="126"/>
      <c r="M758" s="126"/>
      <c r="N758" s="126"/>
      <c r="O758" s="8"/>
      <c r="P758" s="8"/>
      <c r="Q758" s="129"/>
      <c r="R758" s="1369"/>
      <c r="S758" s="126"/>
      <c r="T758" s="8"/>
      <c r="U758" s="1359"/>
      <c r="V758" s="8"/>
      <c r="W758" s="8"/>
      <c r="X758" s="8"/>
      <c r="Y758" s="8"/>
      <c r="Z758" s="8"/>
      <c r="AA758" s="8"/>
    </row>
    <row r="759">
      <c r="A759" s="8"/>
      <c r="B759" s="8"/>
      <c r="C759" s="8"/>
      <c r="D759" s="8"/>
      <c r="E759" s="8"/>
      <c r="F759" s="8"/>
      <c r="G759" s="8"/>
      <c r="H759" s="8"/>
      <c r="I759" s="8"/>
      <c r="J759" s="215"/>
      <c r="K759" s="126"/>
      <c r="L759" s="126"/>
      <c r="M759" s="126"/>
      <c r="N759" s="126"/>
      <c r="O759" s="8"/>
      <c r="P759" s="8"/>
      <c r="Q759" s="129"/>
      <c r="R759" s="1369"/>
      <c r="S759" s="126"/>
      <c r="T759" s="8"/>
      <c r="U759" s="1359"/>
      <c r="V759" s="8"/>
      <c r="W759" s="8"/>
      <c r="X759" s="8"/>
      <c r="Y759" s="8"/>
      <c r="Z759" s="8"/>
      <c r="AA759" s="8"/>
    </row>
    <row r="760">
      <c r="A760" s="8"/>
      <c r="B760" s="8"/>
      <c r="C760" s="8"/>
      <c r="D760" s="8"/>
      <c r="E760" s="8"/>
      <c r="F760" s="8"/>
      <c r="G760" s="8"/>
      <c r="H760" s="8"/>
      <c r="I760" s="8"/>
      <c r="J760" s="215"/>
      <c r="K760" s="126"/>
      <c r="L760" s="126"/>
      <c r="M760" s="126"/>
      <c r="N760" s="126"/>
      <c r="O760" s="8"/>
      <c r="P760" s="8"/>
      <c r="Q760" s="129"/>
      <c r="R760" s="1369"/>
      <c r="S760" s="126"/>
      <c r="T760" s="8"/>
      <c r="U760" s="1359"/>
      <c r="V760" s="8"/>
      <c r="W760" s="8"/>
      <c r="X760" s="8"/>
      <c r="Y760" s="8"/>
      <c r="Z760" s="8"/>
      <c r="AA760" s="8"/>
    </row>
    <row r="761">
      <c r="A761" s="8"/>
      <c r="B761" s="8"/>
      <c r="C761" s="8"/>
      <c r="D761" s="8"/>
      <c r="E761" s="8"/>
      <c r="F761" s="8"/>
      <c r="G761" s="8"/>
      <c r="H761" s="8"/>
      <c r="I761" s="8"/>
      <c r="J761" s="215"/>
      <c r="K761" s="126"/>
      <c r="L761" s="126"/>
      <c r="M761" s="126"/>
      <c r="N761" s="126"/>
      <c r="O761" s="8"/>
      <c r="P761" s="8"/>
      <c r="Q761" s="129"/>
      <c r="R761" s="1369"/>
      <c r="S761" s="126"/>
      <c r="T761" s="8"/>
      <c r="U761" s="1359"/>
      <c r="V761" s="8"/>
      <c r="W761" s="8"/>
      <c r="X761" s="8"/>
      <c r="Y761" s="8"/>
      <c r="Z761" s="8"/>
      <c r="AA761" s="8"/>
    </row>
    <row r="762">
      <c r="A762" s="8"/>
      <c r="B762" s="8"/>
      <c r="C762" s="8"/>
      <c r="D762" s="8"/>
      <c r="E762" s="8"/>
      <c r="F762" s="8"/>
      <c r="G762" s="8"/>
      <c r="H762" s="8"/>
      <c r="I762" s="8"/>
      <c r="J762" s="215"/>
      <c r="K762" s="126"/>
      <c r="L762" s="126"/>
      <c r="M762" s="126"/>
      <c r="N762" s="126"/>
      <c r="O762" s="8"/>
      <c r="P762" s="8"/>
      <c r="Q762" s="129"/>
      <c r="R762" s="1369"/>
      <c r="S762" s="126"/>
      <c r="T762" s="8"/>
      <c r="U762" s="1359"/>
      <c r="V762" s="8"/>
      <c r="W762" s="8"/>
      <c r="X762" s="8"/>
      <c r="Y762" s="8"/>
      <c r="Z762" s="8"/>
      <c r="AA762" s="8"/>
    </row>
    <row r="763">
      <c r="A763" s="8"/>
      <c r="B763" s="8"/>
      <c r="C763" s="8"/>
      <c r="D763" s="8"/>
      <c r="E763" s="8"/>
      <c r="F763" s="8"/>
      <c r="G763" s="8"/>
      <c r="H763" s="8"/>
      <c r="I763" s="8"/>
      <c r="J763" s="215"/>
      <c r="K763" s="126"/>
      <c r="L763" s="126"/>
      <c r="M763" s="126"/>
      <c r="N763" s="126"/>
      <c r="O763" s="8"/>
      <c r="P763" s="8"/>
      <c r="Q763" s="129"/>
      <c r="R763" s="1369"/>
      <c r="S763" s="126"/>
      <c r="T763" s="8"/>
      <c r="U763" s="1359"/>
      <c r="V763" s="8"/>
      <c r="W763" s="8"/>
      <c r="X763" s="8"/>
      <c r="Y763" s="8"/>
      <c r="Z763" s="8"/>
      <c r="AA763" s="8"/>
    </row>
    <row r="764">
      <c r="A764" s="8"/>
      <c r="B764" s="8"/>
      <c r="C764" s="8"/>
      <c r="D764" s="8"/>
      <c r="E764" s="8"/>
      <c r="F764" s="8"/>
      <c r="G764" s="8"/>
      <c r="H764" s="8"/>
      <c r="I764" s="8"/>
      <c r="J764" s="215"/>
      <c r="K764" s="126"/>
      <c r="L764" s="126"/>
      <c r="M764" s="126"/>
      <c r="N764" s="126"/>
      <c r="O764" s="8"/>
      <c r="P764" s="8"/>
      <c r="Q764" s="129"/>
      <c r="R764" s="1369"/>
      <c r="S764" s="126"/>
      <c r="T764" s="8"/>
      <c r="U764" s="1359"/>
      <c r="V764" s="8"/>
      <c r="W764" s="8"/>
      <c r="X764" s="8"/>
      <c r="Y764" s="8"/>
      <c r="Z764" s="8"/>
      <c r="AA764" s="8"/>
    </row>
    <row r="765">
      <c r="A765" s="8"/>
      <c r="B765" s="8"/>
      <c r="C765" s="8"/>
      <c r="D765" s="8"/>
      <c r="E765" s="8"/>
      <c r="F765" s="8"/>
      <c r="G765" s="8"/>
      <c r="H765" s="8"/>
      <c r="I765" s="8"/>
      <c r="J765" s="215"/>
      <c r="K765" s="126"/>
      <c r="L765" s="126"/>
      <c r="M765" s="126"/>
      <c r="N765" s="126"/>
      <c r="O765" s="8"/>
      <c r="P765" s="8"/>
      <c r="Q765" s="129"/>
      <c r="R765" s="1369"/>
      <c r="S765" s="126"/>
      <c r="T765" s="8"/>
      <c r="U765" s="1359"/>
      <c r="V765" s="8"/>
      <c r="W765" s="8"/>
      <c r="X765" s="8"/>
      <c r="Y765" s="8"/>
      <c r="Z765" s="8"/>
      <c r="AA765" s="8"/>
    </row>
    <row r="766">
      <c r="A766" s="8"/>
      <c r="B766" s="8"/>
      <c r="C766" s="8"/>
      <c r="D766" s="8"/>
      <c r="E766" s="8"/>
      <c r="F766" s="8"/>
      <c r="G766" s="8"/>
      <c r="H766" s="8"/>
      <c r="I766" s="8"/>
      <c r="J766" s="215"/>
      <c r="K766" s="126"/>
      <c r="L766" s="126"/>
      <c r="M766" s="126"/>
      <c r="N766" s="126"/>
      <c r="O766" s="8"/>
      <c r="P766" s="8"/>
      <c r="Q766" s="129"/>
      <c r="R766" s="1369"/>
      <c r="S766" s="126"/>
      <c r="T766" s="8"/>
      <c r="U766" s="1359"/>
      <c r="V766" s="8"/>
      <c r="W766" s="8"/>
      <c r="X766" s="8"/>
      <c r="Y766" s="8"/>
      <c r="Z766" s="8"/>
      <c r="AA766" s="8"/>
    </row>
    <row r="767">
      <c r="A767" s="8"/>
      <c r="B767" s="8"/>
      <c r="C767" s="8"/>
      <c r="D767" s="8"/>
      <c r="E767" s="8"/>
      <c r="F767" s="8"/>
      <c r="G767" s="8"/>
      <c r="H767" s="8"/>
      <c r="I767" s="8"/>
      <c r="J767" s="215"/>
      <c r="K767" s="126"/>
      <c r="L767" s="126"/>
      <c r="M767" s="126"/>
      <c r="N767" s="126"/>
      <c r="O767" s="8"/>
      <c r="P767" s="8"/>
      <c r="Q767" s="129"/>
      <c r="R767" s="1369"/>
      <c r="S767" s="126"/>
      <c r="T767" s="8"/>
      <c r="U767" s="1359"/>
      <c r="V767" s="8"/>
      <c r="W767" s="8"/>
      <c r="X767" s="8"/>
      <c r="Y767" s="8"/>
      <c r="Z767" s="8"/>
      <c r="AA767" s="8"/>
    </row>
    <row r="768">
      <c r="A768" s="8"/>
      <c r="B768" s="8"/>
      <c r="C768" s="8"/>
      <c r="D768" s="8"/>
      <c r="E768" s="8"/>
      <c r="F768" s="8"/>
      <c r="G768" s="8"/>
      <c r="H768" s="8"/>
      <c r="I768" s="8"/>
      <c r="J768" s="215"/>
      <c r="K768" s="126"/>
      <c r="L768" s="126"/>
      <c r="M768" s="126"/>
      <c r="N768" s="126"/>
      <c r="O768" s="8"/>
      <c r="P768" s="8"/>
      <c r="Q768" s="129"/>
      <c r="R768" s="1369"/>
      <c r="S768" s="126"/>
      <c r="T768" s="8"/>
      <c r="U768" s="1359"/>
      <c r="V768" s="8"/>
      <c r="W768" s="8"/>
      <c r="X768" s="8"/>
      <c r="Y768" s="8"/>
      <c r="Z768" s="8"/>
      <c r="AA768" s="8"/>
    </row>
    <row r="769">
      <c r="A769" s="8"/>
      <c r="B769" s="8"/>
      <c r="C769" s="8"/>
      <c r="D769" s="8"/>
      <c r="E769" s="8"/>
      <c r="F769" s="8"/>
      <c r="G769" s="8"/>
      <c r="H769" s="8"/>
      <c r="I769" s="8"/>
      <c r="J769" s="215"/>
      <c r="K769" s="126"/>
      <c r="L769" s="126"/>
      <c r="M769" s="126"/>
      <c r="N769" s="126"/>
      <c r="O769" s="8"/>
      <c r="P769" s="8"/>
      <c r="Q769" s="129"/>
      <c r="R769" s="1369"/>
      <c r="S769" s="126"/>
      <c r="T769" s="8"/>
      <c r="U769" s="1359"/>
      <c r="V769" s="8"/>
      <c r="W769" s="8"/>
      <c r="X769" s="8"/>
      <c r="Y769" s="8"/>
      <c r="Z769" s="8"/>
      <c r="AA769" s="8"/>
    </row>
    <row r="770">
      <c r="A770" s="8"/>
      <c r="B770" s="8"/>
      <c r="C770" s="8"/>
      <c r="D770" s="8"/>
      <c r="E770" s="8"/>
      <c r="F770" s="8"/>
      <c r="G770" s="8"/>
      <c r="H770" s="8"/>
      <c r="I770" s="8"/>
      <c r="J770" s="215"/>
      <c r="K770" s="126"/>
      <c r="L770" s="126"/>
      <c r="M770" s="126"/>
      <c r="N770" s="126"/>
      <c r="O770" s="8"/>
      <c r="P770" s="8"/>
      <c r="Q770" s="129"/>
      <c r="R770" s="1369"/>
      <c r="S770" s="126"/>
      <c r="T770" s="8"/>
      <c r="U770" s="1359"/>
      <c r="V770" s="8"/>
      <c r="W770" s="8"/>
      <c r="X770" s="8"/>
      <c r="Y770" s="8"/>
      <c r="Z770" s="8"/>
      <c r="AA770" s="8"/>
    </row>
    <row r="771">
      <c r="A771" s="8"/>
      <c r="B771" s="8"/>
      <c r="C771" s="8"/>
      <c r="D771" s="8"/>
      <c r="E771" s="8"/>
      <c r="F771" s="8"/>
      <c r="G771" s="8"/>
      <c r="H771" s="8"/>
      <c r="I771" s="8"/>
      <c r="J771" s="215"/>
      <c r="K771" s="126"/>
      <c r="L771" s="126"/>
      <c r="M771" s="126"/>
      <c r="N771" s="126"/>
      <c r="O771" s="8"/>
      <c r="P771" s="8"/>
      <c r="Q771" s="129"/>
      <c r="R771" s="1369"/>
      <c r="S771" s="126"/>
      <c r="T771" s="8"/>
      <c r="U771" s="1359"/>
      <c r="V771" s="8"/>
      <c r="W771" s="8"/>
      <c r="X771" s="8"/>
      <c r="Y771" s="8"/>
      <c r="Z771" s="8"/>
      <c r="AA771" s="8"/>
    </row>
    <row r="772">
      <c r="A772" s="8"/>
      <c r="B772" s="8"/>
      <c r="C772" s="8"/>
      <c r="D772" s="8"/>
      <c r="E772" s="8"/>
      <c r="F772" s="8"/>
      <c r="G772" s="8"/>
      <c r="H772" s="8"/>
      <c r="I772" s="8"/>
      <c r="J772" s="215"/>
      <c r="K772" s="126"/>
      <c r="L772" s="126"/>
      <c r="M772" s="126"/>
      <c r="N772" s="126"/>
      <c r="O772" s="8"/>
      <c r="P772" s="8"/>
      <c r="Q772" s="129"/>
      <c r="R772" s="1369"/>
      <c r="S772" s="126"/>
      <c r="T772" s="8"/>
      <c r="U772" s="1359"/>
      <c r="V772" s="8"/>
      <c r="W772" s="8"/>
      <c r="X772" s="8"/>
      <c r="Y772" s="8"/>
      <c r="Z772" s="8"/>
      <c r="AA772" s="8"/>
    </row>
    <row r="773">
      <c r="A773" s="8"/>
      <c r="B773" s="8"/>
      <c r="C773" s="8"/>
      <c r="D773" s="8"/>
      <c r="E773" s="8"/>
      <c r="F773" s="8"/>
      <c r="G773" s="8"/>
      <c r="H773" s="8"/>
      <c r="I773" s="8"/>
      <c r="J773" s="215"/>
      <c r="K773" s="126"/>
      <c r="L773" s="126"/>
      <c r="M773" s="126"/>
      <c r="N773" s="126"/>
      <c r="O773" s="8"/>
      <c r="P773" s="8"/>
      <c r="Q773" s="129"/>
      <c r="R773" s="1369"/>
      <c r="S773" s="126"/>
      <c r="T773" s="8"/>
      <c r="U773" s="1359"/>
      <c r="V773" s="8"/>
      <c r="W773" s="8"/>
      <c r="X773" s="8"/>
      <c r="Y773" s="8"/>
      <c r="Z773" s="8"/>
      <c r="AA773" s="8"/>
    </row>
    <row r="774">
      <c r="A774" s="8"/>
      <c r="B774" s="8"/>
      <c r="C774" s="8"/>
      <c r="D774" s="8"/>
      <c r="E774" s="8"/>
      <c r="F774" s="8"/>
      <c r="G774" s="8"/>
      <c r="H774" s="8"/>
      <c r="I774" s="8"/>
      <c r="J774" s="215"/>
      <c r="K774" s="126"/>
      <c r="L774" s="126"/>
      <c r="M774" s="126"/>
      <c r="N774" s="126"/>
      <c r="O774" s="8"/>
      <c r="P774" s="8"/>
      <c r="Q774" s="129"/>
      <c r="R774" s="1369"/>
      <c r="S774" s="126"/>
      <c r="T774" s="8"/>
      <c r="U774" s="1359"/>
      <c r="V774" s="8"/>
      <c r="W774" s="8"/>
      <c r="X774" s="8"/>
      <c r="Y774" s="8"/>
      <c r="Z774" s="8"/>
      <c r="AA774" s="8"/>
    </row>
    <row r="775">
      <c r="A775" s="8"/>
      <c r="B775" s="8"/>
      <c r="C775" s="8"/>
      <c r="D775" s="8"/>
      <c r="E775" s="8"/>
      <c r="F775" s="8"/>
      <c r="G775" s="8"/>
      <c r="H775" s="8"/>
      <c r="I775" s="8"/>
      <c r="J775" s="215"/>
      <c r="K775" s="126"/>
      <c r="L775" s="126"/>
      <c r="M775" s="126"/>
      <c r="N775" s="126"/>
      <c r="O775" s="8"/>
      <c r="P775" s="8"/>
      <c r="Q775" s="129"/>
      <c r="R775" s="1369"/>
      <c r="S775" s="126"/>
      <c r="T775" s="8"/>
      <c r="U775" s="1359"/>
      <c r="V775" s="8"/>
      <c r="W775" s="8"/>
      <c r="X775" s="8"/>
      <c r="Y775" s="8"/>
      <c r="Z775" s="8"/>
      <c r="AA775" s="8"/>
    </row>
    <row r="776">
      <c r="A776" s="8"/>
      <c r="B776" s="8"/>
      <c r="C776" s="8"/>
      <c r="D776" s="8"/>
      <c r="E776" s="8"/>
      <c r="F776" s="8"/>
      <c r="G776" s="8"/>
      <c r="H776" s="8"/>
      <c r="I776" s="8"/>
      <c r="J776" s="215"/>
      <c r="K776" s="126"/>
      <c r="L776" s="126"/>
      <c r="M776" s="126"/>
      <c r="N776" s="126"/>
      <c r="O776" s="8"/>
      <c r="P776" s="8"/>
      <c r="Q776" s="129"/>
      <c r="R776" s="1369"/>
      <c r="S776" s="126"/>
      <c r="T776" s="8"/>
      <c r="U776" s="1359"/>
      <c r="V776" s="8"/>
      <c r="W776" s="8"/>
      <c r="X776" s="8"/>
      <c r="Y776" s="8"/>
      <c r="Z776" s="8"/>
      <c r="AA776" s="8"/>
    </row>
    <row r="777">
      <c r="A777" s="8"/>
      <c r="B777" s="8"/>
      <c r="C777" s="8"/>
      <c r="D777" s="8"/>
      <c r="E777" s="8"/>
      <c r="F777" s="8"/>
      <c r="G777" s="8"/>
      <c r="H777" s="8"/>
      <c r="I777" s="8"/>
      <c r="J777" s="215"/>
      <c r="K777" s="126"/>
      <c r="L777" s="126"/>
      <c r="M777" s="126"/>
      <c r="N777" s="126"/>
      <c r="O777" s="8"/>
      <c r="P777" s="8"/>
      <c r="Q777" s="129"/>
      <c r="R777" s="1369"/>
      <c r="S777" s="126"/>
      <c r="T777" s="8"/>
      <c r="U777" s="1359"/>
      <c r="V777" s="8"/>
      <c r="W777" s="8"/>
      <c r="X777" s="8"/>
      <c r="Y777" s="8"/>
      <c r="Z777" s="8"/>
      <c r="AA777" s="8"/>
    </row>
    <row r="778">
      <c r="A778" s="8"/>
      <c r="B778" s="8"/>
      <c r="C778" s="8"/>
      <c r="D778" s="8"/>
      <c r="E778" s="8"/>
      <c r="F778" s="8"/>
      <c r="G778" s="8"/>
      <c r="H778" s="8"/>
      <c r="I778" s="8"/>
      <c r="J778" s="215"/>
      <c r="K778" s="126"/>
      <c r="L778" s="126"/>
      <c r="M778" s="126"/>
      <c r="N778" s="126"/>
      <c r="O778" s="8"/>
      <c r="P778" s="8"/>
      <c r="Q778" s="129"/>
      <c r="R778" s="1369"/>
      <c r="S778" s="126"/>
      <c r="T778" s="8"/>
      <c r="U778" s="1359"/>
      <c r="V778" s="8"/>
      <c r="W778" s="8"/>
      <c r="X778" s="8"/>
      <c r="Y778" s="8"/>
      <c r="Z778" s="8"/>
      <c r="AA778" s="8"/>
    </row>
    <row r="779">
      <c r="A779" s="8"/>
      <c r="B779" s="8"/>
      <c r="C779" s="8"/>
      <c r="D779" s="8"/>
      <c r="E779" s="8"/>
      <c r="F779" s="8"/>
      <c r="G779" s="8"/>
      <c r="H779" s="8"/>
      <c r="I779" s="8"/>
      <c r="J779" s="215"/>
      <c r="K779" s="126"/>
      <c r="L779" s="126"/>
      <c r="M779" s="126"/>
      <c r="N779" s="126"/>
      <c r="O779" s="8"/>
      <c r="P779" s="8"/>
      <c r="Q779" s="129"/>
      <c r="R779" s="1369"/>
      <c r="S779" s="126"/>
      <c r="T779" s="8"/>
      <c r="U779" s="1359"/>
      <c r="V779" s="8"/>
      <c r="W779" s="8"/>
      <c r="X779" s="8"/>
      <c r="Y779" s="8"/>
      <c r="Z779" s="8"/>
      <c r="AA779" s="8"/>
    </row>
    <row r="780">
      <c r="A780" s="8"/>
      <c r="B780" s="8"/>
      <c r="C780" s="8"/>
      <c r="D780" s="8"/>
      <c r="E780" s="8"/>
      <c r="F780" s="8"/>
      <c r="G780" s="8"/>
      <c r="H780" s="8"/>
      <c r="I780" s="8"/>
      <c r="J780" s="215"/>
      <c r="K780" s="126"/>
      <c r="L780" s="126"/>
      <c r="M780" s="126"/>
      <c r="N780" s="126"/>
      <c r="O780" s="8"/>
      <c r="P780" s="8"/>
      <c r="Q780" s="129"/>
      <c r="R780" s="1369"/>
      <c r="S780" s="126"/>
      <c r="T780" s="8"/>
      <c r="U780" s="1359"/>
      <c r="V780" s="8"/>
      <c r="W780" s="8"/>
      <c r="X780" s="8"/>
      <c r="Y780" s="8"/>
      <c r="Z780" s="8"/>
      <c r="AA780" s="8"/>
    </row>
    <row r="781">
      <c r="A781" s="8"/>
      <c r="B781" s="8"/>
      <c r="C781" s="8"/>
      <c r="D781" s="8"/>
      <c r="E781" s="8"/>
      <c r="F781" s="8"/>
      <c r="G781" s="8"/>
      <c r="H781" s="8"/>
      <c r="I781" s="8"/>
      <c r="J781" s="215"/>
      <c r="K781" s="126"/>
      <c r="L781" s="126"/>
      <c r="M781" s="126"/>
      <c r="N781" s="126"/>
      <c r="O781" s="8"/>
      <c r="P781" s="8"/>
      <c r="Q781" s="129"/>
      <c r="R781" s="1369"/>
      <c r="S781" s="126"/>
      <c r="T781" s="8"/>
      <c r="U781" s="1359"/>
      <c r="V781" s="8"/>
      <c r="W781" s="8"/>
      <c r="X781" s="8"/>
      <c r="Y781" s="8"/>
      <c r="Z781" s="8"/>
      <c r="AA781" s="8"/>
    </row>
    <row r="782">
      <c r="A782" s="8"/>
      <c r="B782" s="8"/>
      <c r="C782" s="8"/>
      <c r="D782" s="8"/>
      <c r="E782" s="8"/>
      <c r="F782" s="8"/>
      <c r="G782" s="8"/>
      <c r="H782" s="8"/>
      <c r="I782" s="8"/>
      <c r="J782" s="215"/>
      <c r="K782" s="126"/>
      <c r="L782" s="126"/>
      <c r="M782" s="126"/>
      <c r="N782" s="126"/>
      <c r="O782" s="8"/>
      <c r="P782" s="8"/>
      <c r="Q782" s="129"/>
      <c r="R782" s="1369"/>
      <c r="S782" s="126"/>
      <c r="T782" s="8"/>
      <c r="U782" s="1359"/>
      <c r="V782" s="8"/>
      <c r="W782" s="8"/>
      <c r="X782" s="8"/>
      <c r="Y782" s="8"/>
      <c r="Z782" s="8"/>
      <c r="AA782" s="8"/>
    </row>
    <row r="783">
      <c r="A783" s="8"/>
      <c r="B783" s="8"/>
      <c r="C783" s="8"/>
      <c r="D783" s="8"/>
      <c r="E783" s="8"/>
      <c r="F783" s="8"/>
      <c r="G783" s="8"/>
      <c r="H783" s="8"/>
      <c r="I783" s="8"/>
      <c r="J783" s="215"/>
      <c r="K783" s="126"/>
      <c r="L783" s="126"/>
      <c r="M783" s="126"/>
      <c r="N783" s="126"/>
      <c r="O783" s="8"/>
      <c r="P783" s="8"/>
      <c r="Q783" s="129"/>
      <c r="R783" s="1369"/>
      <c r="S783" s="126"/>
      <c r="T783" s="8"/>
      <c r="U783" s="1359"/>
      <c r="V783" s="8"/>
      <c r="W783" s="8"/>
      <c r="X783" s="8"/>
      <c r="Y783" s="8"/>
      <c r="Z783" s="8"/>
      <c r="AA783" s="8"/>
    </row>
    <row r="784">
      <c r="A784" s="8"/>
      <c r="B784" s="8"/>
      <c r="C784" s="8"/>
      <c r="D784" s="8"/>
      <c r="E784" s="8"/>
      <c r="F784" s="8"/>
      <c r="G784" s="8"/>
      <c r="H784" s="8"/>
      <c r="I784" s="8"/>
      <c r="J784" s="215"/>
      <c r="K784" s="126"/>
      <c r="L784" s="126"/>
      <c r="M784" s="126"/>
      <c r="N784" s="126"/>
      <c r="O784" s="8"/>
      <c r="P784" s="8"/>
      <c r="Q784" s="129"/>
      <c r="R784" s="1369"/>
      <c r="S784" s="126"/>
      <c r="T784" s="8"/>
      <c r="U784" s="1359"/>
      <c r="V784" s="8"/>
      <c r="W784" s="8"/>
      <c r="X784" s="8"/>
      <c r="Y784" s="8"/>
      <c r="Z784" s="8"/>
      <c r="AA784" s="8"/>
    </row>
    <row r="785">
      <c r="A785" s="8"/>
      <c r="B785" s="8"/>
      <c r="C785" s="8"/>
      <c r="D785" s="8"/>
      <c r="E785" s="8"/>
      <c r="F785" s="8"/>
      <c r="G785" s="8"/>
      <c r="H785" s="8"/>
      <c r="I785" s="8"/>
      <c r="J785" s="215"/>
      <c r="K785" s="126"/>
      <c r="L785" s="126"/>
      <c r="M785" s="126"/>
      <c r="N785" s="126"/>
      <c r="O785" s="8"/>
      <c r="P785" s="8"/>
      <c r="Q785" s="129"/>
      <c r="R785" s="1369"/>
      <c r="S785" s="126"/>
      <c r="T785" s="8"/>
      <c r="U785" s="1359"/>
      <c r="V785" s="8"/>
      <c r="W785" s="8"/>
      <c r="X785" s="8"/>
      <c r="Y785" s="8"/>
      <c r="Z785" s="8"/>
      <c r="AA785" s="8"/>
    </row>
    <row r="786">
      <c r="A786" s="8"/>
      <c r="B786" s="8"/>
      <c r="C786" s="8"/>
      <c r="D786" s="8"/>
      <c r="E786" s="8"/>
      <c r="F786" s="8"/>
      <c r="G786" s="8"/>
      <c r="H786" s="8"/>
      <c r="I786" s="8"/>
      <c r="J786" s="215"/>
      <c r="K786" s="126"/>
      <c r="L786" s="126"/>
      <c r="M786" s="126"/>
      <c r="N786" s="126"/>
      <c r="O786" s="8"/>
      <c r="P786" s="8"/>
      <c r="Q786" s="129"/>
      <c r="R786" s="1369"/>
      <c r="S786" s="126"/>
      <c r="T786" s="8"/>
      <c r="U786" s="1359"/>
      <c r="V786" s="8"/>
      <c r="W786" s="8"/>
      <c r="X786" s="8"/>
      <c r="Y786" s="8"/>
      <c r="Z786" s="8"/>
      <c r="AA786" s="8"/>
    </row>
    <row r="787">
      <c r="A787" s="8"/>
      <c r="B787" s="8"/>
      <c r="C787" s="8"/>
      <c r="D787" s="8"/>
      <c r="E787" s="8"/>
      <c r="F787" s="8"/>
      <c r="G787" s="8"/>
      <c r="H787" s="8"/>
      <c r="I787" s="8"/>
      <c r="J787" s="215"/>
      <c r="K787" s="126"/>
      <c r="L787" s="126"/>
      <c r="M787" s="126"/>
      <c r="N787" s="126"/>
      <c r="O787" s="8"/>
      <c r="P787" s="8"/>
      <c r="Q787" s="129"/>
      <c r="R787" s="1369"/>
      <c r="S787" s="126"/>
      <c r="T787" s="8"/>
      <c r="U787" s="1359"/>
      <c r="V787" s="8"/>
      <c r="W787" s="8"/>
      <c r="X787" s="8"/>
      <c r="Y787" s="8"/>
      <c r="Z787" s="8"/>
      <c r="AA787" s="8"/>
    </row>
    <row r="788">
      <c r="A788" s="8"/>
      <c r="B788" s="8"/>
      <c r="C788" s="8"/>
      <c r="D788" s="8"/>
      <c r="E788" s="8"/>
      <c r="F788" s="8"/>
      <c r="G788" s="8"/>
      <c r="H788" s="8"/>
      <c r="I788" s="8"/>
      <c r="J788" s="215"/>
      <c r="K788" s="126"/>
      <c r="L788" s="126"/>
      <c r="M788" s="126"/>
      <c r="N788" s="126"/>
      <c r="O788" s="8"/>
      <c r="P788" s="8"/>
      <c r="Q788" s="129"/>
      <c r="R788" s="1369"/>
      <c r="S788" s="126"/>
      <c r="T788" s="8"/>
      <c r="U788" s="1359"/>
      <c r="V788" s="8"/>
      <c r="W788" s="8"/>
      <c r="X788" s="8"/>
      <c r="Y788" s="8"/>
      <c r="Z788" s="8"/>
      <c r="AA788" s="8"/>
    </row>
    <row r="789">
      <c r="A789" s="8"/>
      <c r="B789" s="8"/>
      <c r="C789" s="8"/>
      <c r="D789" s="8"/>
      <c r="E789" s="8"/>
      <c r="F789" s="8"/>
      <c r="G789" s="8"/>
      <c r="H789" s="8"/>
      <c r="I789" s="8"/>
      <c r="J789" s="215"/>
      <c r="K789" s="126"/>
      <c r="L789" s="126"/>
      <c r="M789" s="126"/>
      <c r="N789" s="126"/>
      <c r="O789" s="8"/>
      <c r="P789" s="8"/>
      <c r="Q789" s="129"/>
      <c r="R789" s="1369"/>
      <c r="S789" s="126"/>
      <c r="T789" s="8"/>
      <c r="U789" s="1359"/>
      <c r="V789" s="8"/>
      <c r="W789" s="8"/>
      <c r="X789" s="8"/>
      <c r="Y789" s="8"/>
      <c r="Z789" s="8"/>
      <c r="AA789" s="8"/>
    </row>
    <row r="790">
      <c r="A790" s="8"/>
      <c r="B790" s="8"/>
      <c r="C790" s="8"/>
      <c r="D790" s="8"/>
      <c r="E790" s="8"/>
      <c r="F790" s="8"/>
      <c r="G790" s="8"/>
      <c r="H790" s="8"/>
      <c r="I790" s="8"/>
      <c r="J790" s="215"/>
      <c r="K790" s="126"/>
      <c r="L790" s="126"/>
      <c r="M790" s="126"/>
      <c r="N790" s="126"/>
      <c r="O790" s="8"/>
      <c r="P790" s="8"/>
      <c r="Q790" s="129"/>
      <c r="R790" s="1369"/>
      <c r="S790" s="126"/>
      <c r="T790" s="8"/>
      <c r="U790" s="1359"/>
      <c r="V790" s="8"/>
      <c r="W790" s="8"/>
      <c r="X790" s="8"/>
      <c r="Y790" s="8"/>
      <c r="Z790" s="8"/>
      <c r="AA790" s="8"/>
    </row>
    <row r="791">
      <c r="A791" s="8"/>
      <c r="B791" s="8"/>
      <c r="C791" s="8"/>
      <c r="D791" s="8"/>
      <c r="E791" s="8"/>
      <c r="F791" s="8"/>
      <c r="G791" s="8"/>
      <c r="H791" s="8"/>
      <c r="I791" s="8"/>
      <c r="J791" s="215"/>
      <c r="K791" s="126"/>
      <c r="L791" s="126"/>
      <c r="M791" s="126"/>
      <c r="N791" s="126"/>
      <c r="O791" s="8"/>
      <c r="P791" s="8"/>
      <c r="Q791" s="129"/>
      <c r="R791" s="1369"/>
      <c r="S791" s="126"/>
      <c r="T791" s="8"/>
      <c r="U791" s="1359"/>
      <c r="V791" s="8"/>
      <c r="W791" s="8"/>
      <c r="X791" s="8"/>
      <c r="Y791" s="8"/>
      <c r="Z791" s="8"/>
      <c r="AA791" s="8"/>
    </row>
    <row r="792">
      <c r="A792" s="8"/>
      <c r="B792" s="8"/>
      <c r="C792" s="8"/>
      <c r="D792" s="8"/>
      <c r="E792" s="8"/>
      <c r="F792" s="8"/>
      <c r="G792" s="8"/>
      <c r="H792" s="8"/>
      <c r="I792" s="8"/>
      <c r="J792" s="215"/>
      <c r="K792" s="126"/>
      <c r="L792" s="126"/>
      <c r="M792" s="126"/>
      <c r="N792" s="126"/>
      <c r="O792" s="8"/>
      <c r="P792" s="8"/>
      <c r="Q792" s="129"/>
      <c r="R792" s="1369"/>
      <c r="S792" s="126"/>
      <c r="T792" s="8"/>
      <c r="U792" s="1359"/>
      <c r="V792" s="8"/>
      <c r="W792" s="8"/>
      <c r="X792" s="8"/>
      <c r="Y792" s="8"/>
      <c r="Z792" s="8"/>
      <c r="AA792" s="8"/>
    </row>
    <row r="793">
      <c r="A793" s="8"/>
      <c r="B793" s="8"/>
      <c r="C793" s="8"/>
      <c r="D793" s="8"/>
      <c r="E793" s="8"/>
      <c r="F793" s="8"/>
      <c r="G793" s="8"/>
      <c r="H793" s="8"/>
      <c r="I793" s="8"/>
      <c r="J793" s="215"/>
      <c r="K793" s="126"/>
      <c r="L793" s="126"/>
      <c r="M793" s="126"/>
      <c r="N793" s="126"/>
      <c r="O793" s="8"/>
      <c r="P793" s="8"/>
      <c r="Q793" s="129"/>
      <c r="R793" s="1369"/>
      <c r="S793" s="126"/>
      <c r="T793" s="8"/>
      <c r="U793" s="1359"/>
      <c r="V793" s="8"/>
      <c r="W793" s="8"/>
      <c r="X793" s="8"/>
      <c r="Y793" s="8"/>
      <c r="Z793" s="8"/>
      <c r="AA793" s="8"/>
    </row>
    <row r="794">
      <c r="A794" s="8"/>
      <c r="B794" s="8"/>
      <c r="C794" s="8"/>
      <c r="D794" s="8"/>
      <c r="E794" s="8"/>
      <c r="F794" s="8"/>
      <c r="G794" s="8"/>
      <c r="H794" s="8"/>
      <c r="I794" s="8"/>
      <c r="J794" s="215"/>
      <c r="K794" s="126"/>
      <c r="L794" s="126"/>
      <c r="M794" s="126"/>
      <c r="N794" s="126"/>
      <c r="O794" s="8"/>
      <c r="P794" s="8"/>
      <c r="Q794" s="129"/>
      <c r="R794" s="1369"/>
      <c r="S794" s="126"/>
      <c r="T794" s="8"/>
      <c r="U794" s="1359"/>
      <c r="V794" s="8"/>
      <c r="W794" s="8"/>
      <c r="X794" s="8"/>
      <c r="Y794" s="8"/>
      <c r="Z794" s="8"/>
      <c r="AA794" s="8"/>
    </row>
    <row r="795">
      <c r="A795" s="8"/>
      <c r="B795" s="8"/>
      <c r="C795" s="8"/>
      <c r="D795" s="8"/>
      <c r="E795" s="8"/>
      <c r="F795" s="8"/>
      <c r="G795" s="8"/>
      <c r="H795" s="8"/>
      <c r="I795" s="8"/>
      <c r="J795" s="215"/>
      <c r="K795" s="126"/>
      <c r="L795" s="126"/>
      <c r="M795" s="126"/>
      <c r="N795" s="126"/>
      <c r="O795" s="8"/>
      <c r="P795" s="8"/>
      <c r="Q795" s="129"/>
      <c r="R795" s="1369"/>
      <c r="S795" s="126"/>
      <c r="T795" s="8"/>
      <c r="U795" s="1359"/>
      <c r="V795" s="8"/>
      <c r="W795" s="8"/>
      <c r="X795" s="8"/>
      <c r="Y795" s="8"/>
      <c r="Z795" s="8"/>
      <c r="AA795" s="8"/>
    </row>
    <row r="796">
      <c r="A796" s="8"/>
      <c r="B796" s="8"/>
      <c r="C796" s="8"/>
      <c r="D796" s="8"/>
      <c r="E796" s="8"/>
      <c r="F796" s="8"/>
      <c r="G796" s="8"/>
      <c r="H796" s="8"/>
      <c r="I796" s="8"/>
      <c r="J796" s="215"/>
      <c r="K796" s="126"/>
      <c r="L796" s="126"/>
      <c r="M796" s="126"/>
      <c r="N796" s="126"/>
      <c r="O796" s="8"/>
      <c r="P796" s="8"/>
      <c r="Q796" s="129"/>
      <c r="R796" s="1369"/>
      <c r="S796" s="126"/>
      <c r="T796" s="8"/>
      <c r="U796" s="1359"/>
      <c r="V796" s="8"/>
      <c r="W796" s="8"/>
      <c r="X796" s="8"/>
      <c r="Y796" s="8"/>
      <c r="Z796" s="8"/>
      <c r="AA796" s="8"/>
    </row>
    <row r="797">
      <c r="A797" s="8"/>
      <c r="B797" s="8"/>
      <c r="C797" s="8"/>
      <c r="D797" s="8"/>
      <c r="E797" s="8"/>
      <c r="F797" s="8"/>
      <c r="G797" s="8"/>
      <c r="H797" s="8"/>
      <c r="I797" s="8"/>
      <c r="J797" s="215"/>
      <c r="K797" s="126"/>
      <c r="L797" s="126"/>
      <c r="M797" s="126"/>
      <c r="N797" s="126"/>
      <c r="O797" s="8"/>
      <c r="P797" s="8"/>
      <c r="Q797" s="129"/>
      <c r="R797" s="1369"/>
      <c r="S797" s="126"/>
      <c r="T797" s="8"/>
      <c r="U797" s="1359"/>
      <c r="V797" s="8"/>
      <c r="W797" s="8"/>
      <c r="X797" s="8"/>
      <c r="Y797" s="8"/>
      <c r="Z797" s="8"/>
      <c r="AA797" s="8"/>
    </row>
    <row r="798">
      <c r="A798" s="8"/>
      <c r="B798" s="8"/>
      <c r="C798" s="8"/>
      <c r="D798" s="8"/>
      <c r="E798" s="8"/>
      <c r="F798" s="8"/>
      <c r="G798" s="8"/>
      <c r="H798" s="8"/>
      <c r="I798" s="8"/>
      <c r="J798" s="215"/>
      <c r="K798" s="126"/>
      <c r="L798" s="126"/>
      <c r="M798" s="126"/>
      <c r="N798" s="126"/>
      <c r="O798" s="8"/>
      <c r="P798" s="8"/>
      <c r="Q798" s="129"/>
      <c r="R798" s="1369"/>
      <c r="S798" s="126"/>
      <c r="T798" s="8"/>
      <c r="U798" s="1359"/>
      <c r="V798" s="8"/>
      <c r="W798" s="8"/>
      <c r="X798" s="8"/>
      <c r="Y798" s="8"/>
      <c r="Z798" s="8"/>
      <c r="AA798" s="8"/>
    </row>
    <row r="799">
      <c r="A799" s="8"/>
      <c r="B799" s="8"/>
      <c r="C799" s="8"/>
      <c r="D799" s="8"/>
      <c r="E799" s="8"/>
      <c r="F799" s="8"/>
      <c r="G799" s="8"/>
      <c r="H799" s="8"/>
      <c r="I799" s="8"/>
      <c r="J799" s="215"/>
      <c r="K799" s="126"/>
      <c r="L799" s="126"/>
      <c r="M799" s="126"/>
      <c r="N799" s="126"/>
      <c r="O799" s="8"/>
      <c r="P799" s="8"/>
      <c r="Q799" s="129"/>
      <c r="R799" s="1369"/>
      <c r="S799" s="126"/>
      <c r="T799" s="8"/>
      <c r="U799" s="1359"/>
      <c r="V799" s="8"/>
      <c r="W799" s="8"/>
      <c r="X799" s="8"/>
      <c r="Y799" s="8"/>
      <c r="Z799" s="8"/>
      <c r="AA799" s="8"/>
    </row>
    <row r="800">
      <c r="A800" s="8"/>
      <c r="B800" s="8"/>
      <c r="C800" s="8"/>
      <c r="D800" s="8"/>
      <c r="E800" s="8"/>
      <c r="F800" s="8"/>
      <c r="G800" s="8"/>
      <c r="H800" s="8"/>
      <c r="I800" s="8"/>
      <c r="J800" s="215"/>
      <c r="K800" s="126"/>
      <c r="L800" s="126"/>
      <c r="M800" s="126"/>
      <c r="N800" s="126"/>
      <c r="O800" s="8"/>
      <c r="P800" s="8"/>
      <c r="Q800" s="129"/>
      <c r="R800" s="1369"/>
      <c r="S800" s="126"/>
      <c r="T800" s="8"/>
      <c r="U800" s="1359"/>
      <c r="V800" s="8"/>
      <c r="W800" s="8"/>
      <c r="X800" s="8"/>
      <c r="Y800" s="8"/>
      <c r="Z800" s="8"/>
      <c r="AA800" s="8"/>
    </row>
    <row r="801">
      <c r="A801" s="8"/>
      <c r="B801" s="8"/>
      <c r="C801" s="8"/>
      <c r="D801" s="8"/>
      <c r="E801" s="8"/>
      <c r="F801" s="8"/>
      <c r="G801" s="8"/>
      <c r="H801" s="8"/>
      <c r="I801" s="8"/>
      <c r="J801" s="215"/>
      <c r="K801" s="126"/>
      <c r="L801" s="126"/>
      <c r="M801" s="126"/>
      <c r="N801" s="126"/>
      <c r="O801" s="8"/>
      <c r="P801" s="8"/>
      <c r="Q801" s="129"/>
      <c r="R801" s="1369"/>
      <c r="S801" s="126"/>
      <c r="T801" s="8"/>
      <c r="U801" s="1359"/>
      <c r="V801" s="8"/>
      <c r="W801" s="8"/>
      <c r="X801" s="8"/>
      <c r="Y801" s="8"/>
      <c r="Z801" s="8"/>
      <c r="AA801" s="8"/>
    </row>
    <row r="802">
      <c r="A802" s="8"/>
      <c r="B802" s="8"/>
      <c r="C802" s="8"/>
      <c r="D802" s="8"/>
      <c r="E802" s="8"/>
      <c r="F802" s="8"/>
      <c r="G802" s="8"/>
      <c r="H802" s="8"/>
      <c r="I802" s="8"/>
      <c r="J802" s="215"/>
      <c r="K802" s="126"/>
      <c r="L802" s="126"/>
      <c r="M802" s="126"/>
      <c r="N802" s="126"/>
      <c r="O802" s="8"/>
      <c r="P802" s="8"/>
      <c r="Q802" s="129"/>
      <c r="R802" s="1369"/>
      <c r="S802" s="126"/>
      <c r="T802" s="8"/>
      <c r="U802" s="1359"/>
      <c r="V802" s="8"/>
      <c r="W802" s="8"/>
      <c r="X802" s="8"/>
      <c r="Y802" s="8"/>
      <c r="Z802" s="8"/>
      <c r="AA802" s="8"/>
    </row>
    <row r="803">
      <c r="A803" s="8"/>
      <c r="B803" s="8"/>
      <c r="C803" s="8"/>
      <c r="D803" s="8"/>
      <c r="E803" s="8"/>
      <c r="F803" s="8"/>
      <c r="G803" s="8"/>
      <c r="H803" s="8"/>
      <c r="I803" s="8"/>
      <c r="J803" s="215"/>
      <c r="K803" s="126"/>
      <c r="L803" s="126"/>
      <c r="M803" s="126"/>
      <c r="N803" s="126"/>
      <c r="O803" s="8"/>
      <c r="P803" s="8"/>
      <c r="Q803" s="129"/>
      <c r="R803" s="1369"/>
      <c r="S803" s="126"/>
      <c r="T803" s="8"/>
      <c r="U803" s="1359"/>
      <c r="V803" s="8"/>
      <c r="W803" s="8"/>
      <c r="X803" s="8"/>
      <c r="Y803" s="8"/>
      <c r="Z803" s="8"/>
      <c r="AA803" s="8"/>
    </row>
    <row r="804">
      <c r="A804" s="8"/>
      <c r="B804" s="8"/>
      <c r="C804" s="8"/>
      <c r="D804" s="8"/>
      <c r="E804" s="8"/>
      <c r="F804" s="8"/>
      <c r="G804" s="8"/>
      <c r="H804" s="8"/>
      <c r="I804" s="8"/>
      <c r="J804" s="215"/>
      <c r="K804" s="126"/>
      <c r="L804" s="126"/>
      <c r="M804" s="126"/>
      <c r="N804" s="126"/>
      <c r="O804" s="8"/>
      <c r="P804" s="8"/>
      <c r="Q804" s="129"/>
      <c r="R804" s="1369"/>
      <c r="S804" s="126"/>
      <c r="T804" s="8"/>
      <c r="U804" s="1359"/>
      <c r="V804" s="8"/>
      <c r="W804" s="8"/>
      <c r="X804" s="8"/>
      <c r="Y804" s="8"/>
      <c r="Z804" s="8"/>
      <c r="AA804" s="8"/>
    </row>
    <row r="805">
      <c r="A805" s="8"/>
      <c r="B805" s="8"/>
      <c r="C805" s="8"/>
      <c r="D805" s="8"/>
      <c r="E805" s="8"/>
      <c r="F805" s="8"/>
      <c r="G805" s="8"/>
      <c r="H805" s="8"/>
      <c r="I805" s="8"/>
      <c r="J805" s="215"/>
      <c r="K805" s="126"/>
      <c r="L805" s="126"/>
      <c r="M805" s="126"/>
      <c r="N805" s="126"/>
      <c r="O805" s="8"/>
      <c r="P805" s="8"/>
      <c r="Q805" s="129"/>
      <c r="R805" s="1369"/>
      <c r="S805" s="126"/>
      <c r="T805" s="8"/>
      <c r="U805" s="1359"/>
      <c r="V805" s="8"/>
      <c r="W805" s="8"/>
      <c r="X805" s="8"/>
      <c r="Y805" s="8"/>
      <c r="Z805" s="8"/>
      <c r="AA805" s="8"/>
    </row>
    <row r="806">
      <c r="A806" s="8"/>
      <c r="B806" s="8"/>
      <c r="C806" s="8"/>
      <c r="D806" s="8"/>
      <c r="E806" s="8"/>
      <c r="F806" s="8"/>
      <c r="G806" s="8"/>
      <c r="H806" s="8"/>
      <c r="I806" s="8"/>
      <c r="J806" s="215"/>
      <c r="K806" s="126"/>
      <c r="L806" s="126"/>
      <c r="M806" s="126"/>
      <c r="N806" s="126"/>
      <c r="O806" s="8"/>
      <c r="P806" s="8"/>
      <c r="Q806" s="129"/>
      <c r="R806" s="1369"/>
      <c r="S806" s="126"/>
      <c r="T806" s="8"/>
      <c r="U806" s="1359"/>
      <c r="V806" s="8"/>
      <c r="W806" s="8"/>
      <c r="X806" s="8"/>
      <c r="Y806" s="8"/>
      <c r="Z806" s="8"/>
      <c r="AA806" s="8"/>
    </row>
    <row r="807">
      <c r="A807" s="8"/>
      <c r="B807" s="8"/>
      <c r="C807" s="8"/>
      <c r="D807" s="8"/>
      <c r="E807" s="8"/>
      <c r="F807" s="8"/>
      <c r="G807" s="8"/>
      <c r="H807" s="8"/>
      <c r="I807" s="8"/>
      <c r="J807" s="215"/>
      <c r="K807" s="126"/>
      <c r="L807" s="126"/>
      <c r="M807" s="126"/>
      <c r="N807" s="126"/>
      <c r="O807" s="8"/>
      <c r="P807" s="8"/>
      <c r="Q807" s="129"/>
      <c r="R807" s="1369"/>
      <c r="S807" s="126"/>
      <c r="T807" s="8"/>
      <c r="U807" s="1359"/>
      <c r="V807" s="8"/>
      <c r="W807" s="8"/>
      <c r="X807" s="8"/>
      <c r="Y807" s="8"/>
      <c r="Z807" s="8"/>
      <c r="AA807" s="8"/>
    </row>
    <row r="808">
      <c r="A808" s="8"/>
      <c r="B808" s="8"/>
      <c r="C808" s="8"/>
      <c r="D808" s="8"/>
      <c r="E808" s="8"/>
      <c r="F808" s="8"/>
      <c r="G808" s="8"/>
      <c r="H808" s="8"/>
      <c r="I808" s="8"/>
      <c r="J808" s="215"/>
      <c r="K808" s="126"/>
      <c r="L808" s="126"/>
      <c r="M808" s="126"/>
      <c r="N808" s="126"/>
      <c r="O808" s="8"/>
      <c r="P808" s="8"/>
      <c r="Q808" s="129"/>
      <c r="R808" s="1369"/>
      <c r="S808" s="126"/>
      <c r="T808" s="8"/>
      <c r="U808" s="1359"/>
      <c r="V808" s="8"/>
      <c r="W808" s="8"/>
      <c r="X808" s="8"/>
      <c r="Y808" s="8"/>
      <c r="Z808" s="8"/>
      <c r="AA808" s="8"/>
    </row>
    <row r="809">
      <c r="A809" s="8"/>
      <c r="B809" s="8"/>
      <c r="C809" s="8"/>
      <c r="D809" s="8"/>
      <c r="E809" s="8"/>
      <c r="F809" s="8"/>
      <c r="G809" s="8"/>
      <c r="H809" s="8"/>
      <c r="I809" s="8"/>
      <c r="J809" s="215"/>
      <c r="K809" s="126"/>
      <c r="L809" s="126"/>
      <c r="M809" s="126"/>
      <c r="N809" s="126"/>
      <c r="O809" s="8"/>
      <c r="P809" s="8"/>
      <c r="Q809" s="129"/>
      <c r="R809" s="1369"/>
      <c r="S809" s="126"/>
      <c r="T809" s="8"/>
      <c r="U809" s="1359"/>
      <c r="V809" s="8"/>
      <c r="W809" s="8"/>
      <c r="X809" s="8"/>
      <c r="Y809" s="8"/>
      <c r="Z809" s="8"/>
      <c r="AA809" s="8"/>
    </row>
    <row r="810">
      <c r="A810" s="8"/>
      <c r="B810" s="8"/>
      <c r="C810" s="8"/>
      <c r="D810" s="8"/>
      <c r="E810" s="8"/>
      <c r="F810" s="8"/>
      <c r="G810" s="8"/>
      <c r="H810" s="8"/>
      <c r="I810" s="8"/>
      <c r="J810" s="215"/>
      <c r="K810" s="126"/>
      <c r="L810" s="126"/>
      <c r="M810" s="126"/>
      <c r="N810" s="126"/>
      <c r="O810" s="8"/>
      <c r="P810" s="8"/>
      <c r="Q810" s="129"/>
      <c r="R810" s="1369"/>
      <c r="S810" s="126"/>
      <c r="T810" s="8"/>
      <c r="U810" s="1359"/>
      <c r="V810" s="8"/>
      <c r="W810" s="8"/>
      <c r="X810" s="8"/>
      <c r="Y810" s="8"/>
      <c r="Z810" s="8"/>
      <c r="AA810" s="8"/>
    </row>
    <row r="811">
      <c r="A811" s="8"/>
      <c r="B811" s="8"/>
      <c r="C811" s="8"/>
      <c r="D811" s="8"/>
      <c r="E811" s="8"/>
      <c r="F811" s="8"/>
      <c r="G811" s="8"/>
      <c r="H811" s="8"/>
      <c r="I811" s="8"/>
      <c r="J811" s="215"/>
      <c r="K811" s="126"/>
      <c r="L811" s="126"/>
      <c r="M811" s="126"/>
      <c r="N811" s="126"/>
      <c r="O811" s="8"/>
      <c r="P811" s="8"/>
      <c r="Q811" s="129"/>
      <c r="R811" s="1369"/>
      <c r="S811" s="126"/>
      <c r="T811" s="8"/>
      <c r="U811" s="1359"/>
      <c r="V811" s="8"/>
      <c r="W811" s="8"/>
      <c r="X811" s="8"/>
      <c r="Y811" s="8"/>
      <c r="Z811" s="8"/>
      <c r="AA811" s="8"/>
    </row>
    <row r="812">
      <c r="A812" s="8"/>
      <c r="B812" s="8"/>
      <c r="C812" s="8"/>
      <c r="D812" s="8"/>
      <c r="E812" s="8"/>
      <c r="F812" s="8"/>
      <c r="G812" s="8"/>
      <c r="H812" s="8"/>
      <c r="I812" s="8"/>
      <c r="J812" s="215"/>
      <c r="K812" s="126"/>
      <c r="L812" s="126"/>
      <c r="M812" s="126"/>
      <c r="N812" s="126"/>
      <c r="O812" s="8"/>
      <c r="P812" s="8"/>
      <c r="Q812" s="129"/>
      <c r="R812" s="1369"/>
      <c r="S812" s="126"/>
      <c r="T812" s="8"/>
      <c r="U812" s="1359"/>
      <c r="V812" s="8"/>
      <c r="W812" s="8"/>
      <c r="X812" s="8"/>
      <c r="Y812" s="8"/>
      <c r="Z812" s="8"/>
      <c r="AA812" s="8"/>
    </row>
    <row r="813">
      <c r="A813" s="8"/>
      <c r="B813" s="8"/>
      <c r="C813" s="8"/>
      <c r="D813" s="8"/>
      <c r="E813" s="8"/>
      <c r="F813" s="8"/>
      <c r="G813" s="8"/>
      <c r="H813" s="8"/>
      <c r="I813" s="8"/>
      <c r="J813" s="215"/>
      <c r="K813" s="126"/>
      <c r="L813" s="126"/>
      <c r="M813" s="126"/>
      <c r="N813" s="126"/>
      <c r="O813" s="8"/>
      <c r="P813" s="8"/>
      <c r="Q813" s="129"/>
      <c r="R813" s="1369"/>
      <c r="S813" s="126"/>
      <c r="T813" s="8"/>
      <c r="U813" s="1359"/>
      <c r="V813" s="8"/>
      <c r="W813" s="8"/>
      <c r="X813" s="8"/>
      <c r="Y813" s="8"/>
      <c r="Z813" s="8"/>
      <c r="AA813" s="8"/>
    </row>
    <row r="814">
      <c r="A814" s="8"/>
      <c r="B814" s="8"/>
      <c r="C814" s="8"/>
      <c r="D814" s="8"/>
      <c r="E814" s="8"/>
      <c r="F814" s="8"/>
      <c r="G814" s="8"/>
      <c r="H814" s="8"/>
      <c r="I814" s="8"/>
      <c r="J814" s="215"/>
      <c r="K814" s="126"/>
      <c r="L814" s="126"/>
      <c r="M814" s="126"/>
      <c r="N814" s="126"/>
      <c r="O814" s="8"/>
      <c r="P814" s="8"/>
      <c r="Q814" s="129"/>
      <c r="R814" s="1369"/>
      <c r="S814" s="126"/>
      <c r="T814" s="8"/>
      <c r="U814" s="1359"/>
      <c r="V814" s="8"/>
      <c r="W814" s="8"/>
      <c r="X814" s="8"/>
      <c r="Y814" s="8"/>
      <c r="Z814" s="8"/>
      <c r="AA814" s="8"/>
    </row>
    <row r="815">
      <c r="A815" s="8"/>
      <c r="B815" s="8"/>
      <c r="C815" s="8"/>
      <c r="D815" s="8"/>
      <c r="E815" s="8"/>
      <c r="F815" s="8"/>
      <c r="G815" s="8"/>
      <c r="H815" s="8"/>
      <c r="I815" s="8"/>
      <c r="J815" s="215"/>
      <c r="K815" s="126"/>
      <c r="L815" s="126"/>
      <c r="M815" s="126"/>
      <c r="N815" s="126"/>
      <c r="O815" s="8"/>
      <c r="P815" s="8"/>
      <c r="Q815" s="129"/>
      <c r="R815" s="1369"/>
      <c r="S815" s="126"/>
      <c r="T815" s="8"/>
      <c r="U815" s="1359"/>
      <c r="V815" s="8"/>
      <c r="W815" s="8"/>
      <c r="X815" s="8"/>
      <c r="Y815" s="8"/>
      <c r="Z815" s="8"/>
      <c r="AA815" s="8"/>
    </row>
    <row r="816">
      <c r="A816" s="8"/>
      <c r="B816" s="8"/>
      <c r="C816" s="8"/>
      <c r="D816" s="8"/>
      <c r="E816" s="8"/>
      <c r="F816" s="8"/>
      <c r="G816" s="8"/>
      <c r="H816" s="8"/>
      <c r="I816" s="8"/>
      <c r="J816" s="215"/>
      <c r="K816" s="126"/>
      <c r="L816" s="126"/>
      <c r="M816" s="126"/>
      <c r="N816" s="126"/>
      <c r="O816" s="8"/>
      <c r="P816" s="8"/>
      <c r="Q816" s="129"/>
      <c r="R816" s="1369"/>
      <c r="S816" s="126"/>
      <c r="T816" s="8"/>
      <c r="U816" s="1359"/>
      <c r="V816" s="8"/>
      <c r="W816" s="8"/>
      <c r="X816" s="8"/>
      <c r="Y816" s="8"/>
      <c r="Z816" s="8"/>
      <c r="AA816" s="8"/>
    </row>
    <row r="817">
      <c r="A817" s="8"/>
      <c r="B817" s="8"/>
      <c r="C817" s="8"/>
      <c r="D817" s="8"/>
      <c r="E817" s="8"/>
      <c r="F817" s="8"/>
      <c r="G817" s="8"/>
      <c r="H817" s="8"/>
      <c r="I817" s="8"/>
      <c r="J817" s="215"/>
      <c r="K817" s="126"/>
      <c r="L817" s="126"/>
      <c r="M817" s="126"/>
      <c r="N817" s="126"/>
      <c r="O817" s="8"/>
      <c r="P817" s="8"/>
      <c r="Q817" s="129"/>
      <c r="R817" s="1369"/>
      <c r="S817" s="126"/>
      <c r="T817" s="8"/>
      <c r="U817" s="1359"/>
      <c r="V817" s="8"/>
      <c r="W817" s="8"/>
      <c r="X817" s="8"/>
      <c r="Y817" s="8"/>
      <c r="Z817" s="8"/>
      <c r="AA817" s="8"/>
    </row>
    <row r="818">
      <c r="A818" s="8"/>
      <c r="B818" s="8"/>
      <c r="C818" s="8"/>
      <c r="D818" s="8"/>
      <c r="E818" s="8"/>
      <c r="F818" s="8"/>
      <c r="G818" s="8"/>
      <c r="H818" s="8"/>
      <c r="I818" s="8"/>
      <c r="J818" s="215"/>
      <c r="K818" s="126"/>
      <c r="L818" s="126"/>
      <c r="M818" s="126"/>
      <c r="N818" s="126"/>
      <c r="O818" s="8"/>
      <c r="P818" s="8"/>
      <c r="Q818" s="129"/>
      <c r="R818" s="1369"/>
      <c r="S818" s="126"/>
      <c r="T818" s="8"/>
      <c r="U818" s="1359"/>
      <c r="V818" s="8"/>
      <c r="W818" s="8"/>
      <c r="X818" s="8"/>
      <c r="Y818" s="8"/>
      <c r="Z818" s="8"/>
      <c r="AA818" s="8"/>
    </row>
    <row r="819">
      <c r="A819" s="8"/>
      <c r="B819" s="8"/>
      <c r="C819" s="8"/>
      <c r="D819" s="8"/>
      <c r="E819" s="8"/>
      <c r="F819" s="8"/>
      <c r="G819" s="8"/>
      <c r="H819" s="8"/>
      <c r="I819" s="8"/>
      <c r="J819" s="215"/>
      <c r="K819" s="126"/>
      <c r="L819" s="126"/>
      <c r="M819" s="126"/>
      <c r="N819" s="126"/>
      <c r="O819" s="8"/>
      <c r="P819" s="8"/>
      <c r="Q819" s="129"/>
      <c r="R819" s="1369"/>
      <c r="S819" s="126"/>
      <c r="T819" s="8"/>
      <c r="U819" s="1359"/>
      <c r="V819" s="8"/>
      <c r="W819" s="8"/>
      <c r="X819" s="8"/>
      <c r="Y819" s="8"/>
      <c r="Z819" s="8"/>
      <c r="AA819" s="8"/>
    </row>
    <row r="820">
      <c r="A820" s="8"/>
      <c r="B820" s="8"/>
      <c r="C820" s="8"/>
      <c r="D820" s="8"/>
      <c r="E820" s="8"/>
      <c r="F820" s="8"/>
      <c r="G820" s="8"/>
      <c r="H820" s="8"/>
      <c r="I820" s="8"/>
      <c r="J820" s="215"/>
      <c r="K820" s="126"/>
      <c r="L820" s="126"/>
      <c r="M820" s="126"/>
      <c r="N820" s="126"/>
      <c r="O820" s="8"/>
      <c r="P820" s="8"/>
      <c r="Q820" s="129"/>
      <c r="R820" s="1369"/>
      <c r="S820" s="126"/>
      <c r="T820" s="8"/>
      <c r="U820" s="1359"/>
      <c r="V820" s="8"/>
      <c r="W820" s="8"/>
      <c r="X820" s="8"/>
      <c r="Y820" s="8"/>
      <c r="Z820" s="8"/>
      <c r="AA820" s="8"/>
    </row>
    <row r="821">
      <c r="A821" s="8"/>
      <c r="B821" s="8"/>
      <c r="C821" s="8"/>
      <c r="D821" s="8"/>
      <c r="E821" s="8"/>
      <c r="F821" s="8"/>
      <c r="G821" s="8"/>
      <c r="H821" s="8"/>
      <c r="I821" s="8"/>
      <c r="J821" s="215"/>
      <c r="K821" s="126"/>
      <c r="L821" s="126"/>
      <c r="M821" s="126"/>
      <c r="N821" s="126"/>
      <c r="O821" s="8"/>
      <c r="P821" s="8"/>
      <c r="Q821" s="129"/>
      <c r="R821" s="1369"/>
      <c r="S821" s="126"/>
      <c r="T821" s="8"/>
      <c r="U821" s="1359"/>
      <c r="V821" s="8"/>
      <c r="W821" s="8"/>
      <c r="X821" s="8"/>
      <c r="Y821" s="8"/>
      <c r="Z821" s="8"/>
      <c r="AA821" s="8"/>
    </row>
    <row r="822">
      <c r="A822" s="8"/>
      <c r="B822" s="8"/>
      <c r="C822" s="8"/>
      <c r="D822" s="8"/>
      <c r="E822" s="8"/>
      <c r="F822" s="8"/>
      <c r="G822" s="8"/>
      <c r="H822" s="8"/>
      <c r="I822" s="8"/>
      <c r="J822" s="215"/>
      <c r="K822" s="126"/>
      <c r="L822" s="126"/>
      <c r="M822" s="126"/>
      <c r="N822" s="126"/>
      <c r="O822" s="8"/>
      <c r="P822" s="8"/>
      <c r="Q822" s="129"/>
      <c r="R822" s="1369"/>
      <c r="S822" s="126"/>
      <c r="T822" s="8"/>
      <c r="U822" s="1359"/>
      <c r="V822" s="8"/>
      <c r="W822" s="8"/>
      <c r="X822" s="8"/>
      <c r="Y822" s="8"/>
      <c r="Z822" s="8"/>
      <c r="AA822" s="8"/>
    </row>
    <row r="823">
      <c r="A823" s="8"/>
      <c r="B823" s="8"/>
      <c r="C823" s="8"/>
      <c r="D823" s="8"/>
      <c r="E823" s="8"/>
      <c r="F823" s="8"/>
      <c r="G823" s="8"/>
      <c r="H823" s="8"/>
      <c r="I823" s="8"/>
      <c r="J823" s="215"/>
      <c r="K823" s="126"/>
      <c r="L823" s="126"/>
      <c r="M823" s="126"/>
      <c r="N823" s="126"/>
      <c r="O823" s="8"/>
      <c r="P823" s="8"/>
      <c r="Q823" s="129"/>
      <c r="R823" s="1369"/>
      <c r="S823" s="126"/>
      <c r="T823" s="8"/>
      <c r="U823" s="1359"/>
      <c r="V823" s="8"/>
      <c r="W823" s="8"/>
      <c r="X823" s="8"/>
      <c r="Y823" s="8"/>
      <c r="Z823" s="8"/>
      <c r="AA823" s="8"/>
    </row>
    <row r="824">
      <c r="A824" s="8"/>
      <c r="B824" s="8"/>
      <c r="C824" s="8"/>
      <c r="D824" s="8"/>
      <c r="E824" s="8"/>
      <c r="F824" s="8"/>
      <c r="G824" s="8"/>
      <c r="H824" s="8"/>
      <c r="I824" s="8"/>
      <c r="J824" s="215"/>
      <c r="K824" s="126"/>
      <c r="L824" s="126"/>
      <c r="M824" s="126"/>
      <c r="N824" s="126"/>
      <c r="O824" s="8"/>
      <c r="P824" s="8"/>
      <c r="Q824" s="129"/>
      <c r="R824" s="1369"/>
      <c r="S824" s="126"/>
      <c r="T824" s="8"/>
      <c r="U824" s="1359"/>
      <c r="V824" s="8"/>
      <c r="W824" s="8"/>
      <c r="X824" s="8"/>
      <c r="Y824" s="8"/>
      <c r="Z824" s="8"/>
      <c r="AA824" s="8"/>
    </row>
    <row r="825">
      <c r="A825" s="8"/>
      <c r="B825" s="8"/>
      <c r="C825" s="8"/>
      <c r="D825" s="8"/>
      <c r="E825" s="8"/>
      <c r="F825" s="8"/>
      <c r="G825" s="8"/>
      <c r="H825" s="8"/>
      <c r="I825" s="8"/>
      <c r="J825" s="215"/>
      <c r="K825" s="126"/>
      <c r="L825" s="126"/>
      <c r="M825" s="126"/>
      <c r="N825" s="126"/>
      <c r="O825" s="8"/>
      <c r="P825" s="8"/>
      <c r="Q825" s="129"/>
      <c r="R825" s="1369"/>
      <c r="S825" s="126"/>
      <c r="T825" s="8"/>
      <c r="U825" s="1359"/>
      <c r="V825" s="8"/>
      <c r="W825" s="8"/>
      <c r="X825" s="8"/>
      <c r="Y825" s="8"/>
      <c r="Z825" s="8"/>
      <c r="AA825" s="8"/>
    </row>
    <row r="826">
      <c r="A826" s="8"/>
      <c r="B826" s="8"/>
      <c r="C826" s="8"/>
      <c r="D826" s="8"/>
      <c r="E826" s="8"/>
      <c r="F826" s="8"/>
      <c r="G826" s="8"/>
      <c r="H826" s="8"/>
      <c r="I826" s="8"/>
      <c r="J826" s="215"/>
      <c r="K826" s="126"/>
      <c r="L826" s="126"/>
      <c r="M826" s="126"/>
      <c r="N826" s="126"/>
      <c r="O826" s="8"/>
      <c r="P826" s="8"/>
      <c r="Q826" s="129"/>
      <c r="R826" s="1369"/>
      <c r="S826" s="126"/>
      <c r="T826" s="8"/>
      <c r="U826" s="1359"/>
      <c r="V826" s="8"/>
      <c r="W826" s="8"/>
      <c r="X826" s="8"/>
      <c r="Y826" s="8"/>
      <c r="Z826" s="8"/>
      <c r="AA826" s="8"/>
    </row>
    <row r="827">
      <c r="A827" s="8"/>
      <c r="B827" s="8"/>
      <c r="C827" s="8"/>
      <c r="D827" s="8"/>
      <c r="E827" s="8"/>
      <c r="F827" s="8"/>
      <c r="G827" s="8"/>
      <c r="H827" s="8"/>
      <c r="I827" s="8"/>
      <c r="J827" s="215"/>
      <c r="K827" s="126"/>
      <c r="L827" s="126"/>
      <c r="M827" s="126"/>
      <c r="N827" s="126"/>
      <c r="O827" s="8"/>
      <c r="P827" s="8"/>
      <c r="Q827" s="129"/>
      <c r="R827" s="1369"/>
      <c r="S827" s="126"/>
      <c r="T827" s="8"/>
      <c r="U827" s="1359"/>
      <c r="V827" s="8"/>
      <c r="W827" s="8"/>
      <c r="X827" s="8"/>
      <c r="Y827" s="8"/>
      <c r="Z827" s="8"/>
      <c r="AA827" s="8"/>
    </row>
    <row r="828">
      <c r="A828" s="8"/>
      <c r="B828" s="8"/>
      <c r="C828" s="8"/>
      <c r="D828" s="8"/>
      <c r="E828" s="8"/>
      <c r="F828" s="8"/>
      <c r="G828" s="8"/>
      <c r="H828" s="8"/>
      <c r="I828" s="8"/>
      <c r="J828" s="215"/>
      <c r="K828" s="126"/>
      <c r="L828" s="126"/>
      <c r="M828" s="126"/>
      <c r="N828" s="126"/>
      <c r="O828" s="8"/>
      <c r="P828" s="8"/>
      <c r="Q828" s="129"/>
      <c r="R828" s="1369"/>
      <c r="S828" s="126"/>
      <c r="T828" s="8"/>
      <c r="U828" s="1359"/>
      <c r="V828" s="8"/>
      <c r="W828" s="8"/>
      <c r="X828" s="8"/>
      <c r="Y828" s="8"/>
      <c r="Z828" s="8"/>
      <c r="AA828" s="8"/>
    </row>
    <row r="829">
      <c r="A829" s="8"/>
      <c r="B829" s="8"/>
      <c r="C829" s="8"/>
      <c r="D829" s="8"/>
      <c r="E829" s="8"/>
      <c r="F829" s="8"/>
      <c r="G829" s="8"/>
      <c r="H829" s="8"/>
      <c r="I829" s="8"/>
      <c r="J829" s="215"/>
      <c r="K829" s="126"/>
      <c r="L829" s="126"/>
      <c r="M829" s="126"/>
      <c r="N829" s="126"/>
      <c r="O829" s="8"/>
      <c r="P829" s="8"/>
      <c r="Q829" s="129"/>
      <c r="R829" s="1369"/>
      <c r="S829" s="126"/>
      <c r="T829" s="8"/>
      <c r="U829" s="1359"/>
      <c r="V829" s="8"/>
      <c r="W829" s="8"/>
      <c r="X829" s="8"/>
      <c r="Y829" s="8"/>
      <c r="Z829" s="8"/>
      <c r="AA829" s="8"/>
    </row>
    <row r="830">
      <c r="A830" s="8"/>
      <c r="B830" s="8"/>
      <c r="C830" s="8"/>
      <c r="D830" s="8"/>
      <c r="E830" s="8"/>
      <c r="F830" s="8"/>
      <c r="G830" s="8"/>
      <c r="H830" s="8"/>
      <c r="I830" s="8"/>
      <c r="J830" s="215"/>
      <c r="K830" s="126"/>
      <c r="L830" s="126"/>
      <c r="M830" s="126"/>
      <c r="N830" s="126"/>
      <c r="O830" s="8"/>
      <c r="P830" s="8"/>
      <c r="Q830" s="129"/>
      <c r="R830" s="1369"/>
      <c r="S830" s="126"/>
      <c r="T830" s="8"/>
      <c r="U830" s="1359"/>
      <c r="V830" s="8"/>
      <c r="W830" s="8"/>
      <c r="X830" s="8"/>
      <c r="Y830" s="8"/>
      <c r="Z830" s="8"/>
      <c r="AA830" s="8"/>
    </row>
    <row r="831">
      <c r="A831" s="8"/>
      <c r="B831" s="8"/>
      <c r="C831" s="8"/>
      <c r="D831" s="8"/>
      <c r="E831" s="8"/>
      <c r="F831" s="8"/>
      <c r="G831" s="8"/>
      <c r="H831" s="8"/>
      <c r="I831" s="8"/>
      <c r="J831" s="215"/>
      <c r="K831" s="126"/>
      <c r="L831" s="126"/>
      <c r="M831" s="126"/>
      <c r="N831" s="126"/>
      <c r="O831" s="8"/>
      <c r="P831" s="8"/>
      <c r="Q831" s="129"/>
      <c r="R831" s="1369"/>
      <c r="S831" s="126"/>
      <c r="T831" s="8"/>
      <c r="U831" s="1359"/>
      <c r="V831" s="8"/>
      <c r="W831" s="8"/>
      <c r="X831" s="8"/>
      <c r="Y831" s="8"/>
      <c r="Z831" s="8"/>
      <c r="AA831" s="8"/>
    </row>
    <row r="832">
      <c r="A832" s="8"/>
      <c r="B832" s="8"/>
      <c r="C832" s="8"/>
      <c r="D832" s="8"/>
      <c r="E832" s="8"/>
      <c r="F832" s="8"/>
      <c r="G832" s="8"/>
      <c r="H832" s="8"/>
      <c r="I832" s="8"/>
      <c r="J832" s="215"/>
      <c r="K832" s="126"/>
      <c r="L832" s="126"/>
      <c r="M832" s="126"/>
      <c r="N832" s="126"/>
      <c r="O832" s="8"/>
      <c r="P832" s="8"/>
      <c r="Q832" s="129"/>
      <c r="R832" s="1369"/>
      <c r="S832" s="126"/>
      <c r="T832" s="8"/>
      <c r="U832" s="1359"/>
      <c r="V832" s="8"/>
      <c r="W832" s="8"/>
      <c r="X832" s="8"/>
      <c r="Y832" s="8"/>
      <c r="Z832" s="8"/>
      <c r="AA832" s="8"/>
    </row>
    <row r="833">
      <c r="A833" s="8"/>
      <c r="B833" s="8"/>
      <c r="C833" s="8"/>
      <c r="D833" s="8"/>
      <c r="E833" s="8"/>
      <c r="F833" s="8"/>
      <c r="G833" s="8"/>
      <c r="H833" s="8"/>
      <c r="I833" s="8"/>
      <c r="J833" s="215"/>
      <c r="K833" s="126"/>
      <c r="L833" s="126"/>
      <c r="M833" s="126"/>
      <c r="N833" s="126"/>
      <c r="O833" s="8"/>
      <c r="P833" s="8"/>
      <c r="Q833" s="129"/>
      <c r="R833" s="1369"/>
      <c r="S833" s="126"/>
      <c r="T833" s="8"/>
      <c r="U833" s="1359"/>
      <c r="V833" s="8"/>
      <c r="W833" s="8"/>
      <c r="X833" s="8"/>
      <c r="Y833" s="8"/>
      <c r="Z833" s="8"/>
      <c r="AA833" s="8"/>
    </row>
    <row r="834">
      <c r="A834" s="8"/>
      <c r="B834" s="8"/>
      <c r="C834" s="8"/>
      <c r="D834" s="8"/>
      <c r="E834" s="8"/>
      <c r="F834" s="8"/>
      <c r="G834" s="8"/>
      <c r="H834" s="8"/>
      <c r="I834" s="8"/>
      <c r="J834" s="215"/>
      <c r="K834" s="126"/>
      <c r="L834" s="126"/>
      <c r="M834" s="126"/>
      <c r="N834" s="126"/>
      <c r="O834" s="8"/>
      <c r="P834" s="8"/>
      <c r="Q834" s="129"/>
      <c r="R834" s="1369"/>
      <c r="S834" s="126"/>
      <c r="T834" s="8"/>
      <c r="U834" s="1359"/>
      <c r="V834" s="8"/>
      <c r="W834" s="8"/>
      <c r="X834" s="8"/>
      <c r="Y834" s="8"/>
      <c r="Z834" s="8"/>
      <c r="AA834" s="8"/>
    </row>
    <row r="835">
      <c r="A835" s="8"/>
      <c r="B835" s="8"/>
      <c r="C835" s="8"/>
      <c r="D835" s="8"/>
      <c r="E835" s="8"/>
      <c r="F835" s="8"/>
      <c r="G835" s="8"/>
      <c r="H835" s="8"/>
      <c r="I835" s="8"/>
      <c r="J835" s="215"/>
      <c r="K835" s="126"/>
      <c r="L835" s="126"/>
      <c r="M835" s="126"/>
      <c r="N835" s="126"/>
      <c r="O835" s="8"/>
      <c r="P835" s="8"/>
      <c r="Q835" s="129"/>
      <c r="R835" s="1369"/>
      <c r="S835" s="126"/>
      <c r="T835" s="8"/>
      <c r="U835" s="1359"/>
      <c r="V835" s="8"/>
      <c r="W835" s="8"/>
      <c r="X835" s="8"/>
      <c r="Y835" s="8"/>
      <c r="Z835" s="8"/>
      <c r="AA835" s="8"/>
    </row>
    <row r="836">
      <c r="A836" s="8"/>
      <c r="B836" s="8"/>
      <c r="C836" s="8"/>
      <c r="D836" s="8"/>
      <c r="E836" s="8"/>
      <c r="F836" s="8"/>
      <c r="G836" s="8"/>
      <c r="H836" s="8"/>
      <c r="I836" s="8"/>
      <c r="J836" s="215"/>
      <c r="K836" s="126"/>
      <c r="L836" s="126"/>
      <c r="M836" s="126"/>
      <c r="N836" s="126"/>
      <c r="O836" s="8"/>
      <c r="P836" s="8"/>
      <c r="Q836" s="129"/>
      <c r="R836" s="1369"/>
      <c r="S836" s="126"/>
      <c r="T836" s="8"/>
      <c r="U836" s="1359"/>
      <c r="V836" s="8"/>
      <c r="W836" s="8"/>
      <c r="X836" s="8"/>
      <c r="Y836" s="8"/>
      <c r="Z836" s="8"/>
      <c r="AA836" s="8"/>
    </row>
    <row r="837">
      <c r="A837" s="8"/>
      <c r="B837" s="8"/>
      <c r="C837" s="8"/>
      <c r="D837" s="8"/>
      <c r="E837" s="8"/>
      <c r="F837" s="8"/>
      <c r="G837" s="8"/>
      <c r="H837" s="8"/>
      <c r="I837" s="8"/>
      <c r="J837" s="215"/>
      <c r="K837" s="126"/>
      <c r="L837" s="126"/>
      <c r="M837" s="126"/>
      <c r="N837" s="126"/>
      <c r="O837" s="8"/>
      <c r="P837" s="8"/>
      <c r="Q837" s="129"/>
      <c r="R837" s="1369"/>
      <c r="S837" s="126"/>
      <c r="T837" s="8"/>
      <c r="U837" s="1359"/>
      <c r="V837" s="8"/>
      <c r="W837" s="8"/>
      <c r="X837" s="8"/>
      <c r="Y837" s="8"/>
      <c r="Z837" s="8"/>
      <c r="AA837" s="8"/>
    </row>
    <row r="838">
      <c r="A838" s="8"/>
      <c r="B838" s="8"/>
      <c r="C838" s="8"/>
      <c r="D838" s="8"/>
      <c r="E838" s="8"/>
      <c r="F838" s="8"/>
      <c r="G838" s="8"/>
      <c r="H838" s="8"/>
      <c r="I838" s="8"/>
      <c r="J838" s="215"/>
      <c r="K838" s="126"/>
      <c r="L838" s="126"/>
      <c r="M838" s="126"/>
      <c r="N838" s="126"/>
      <c r="O838" s="8"/>
      <c r="P838" s="8"/>
      <c r="Q838" s="129"/>
      <c r="R838" s="1369"/>
      <c r="S838" s="126"/>
      <c r="T838" s="8"/>
      <c r="U838" s="1359"/>
      <c r="V838" s="8"/>
      <c r="W838" s="8"/>
      <c r="X838" s="8"/>
      <c r="Y838" s="8"/>
      <c r="Z838" s="8"/>
      <c r="AA838" s="8"/>
    </row>
    <row r="839">
      <c r="A839" s="8"/>
      <c r="B839" s="8"/>
      <c r="C839" s="8"/>
      <c r="D839" s="8"/>
      <c r="E839" s="8"/>
      <c r="F839" s="8"/>
      <c r="G839" s="8"/>
      <c r="H839" s="8"/>
      <c r="I839" s="8"/>
      <c r="J839" s="215"/>
      <c r="K839" s="126"/>
      <c r="L839" s="126"/>
      <c r="M839" s="126"/>
      <c r="N839" s="126"/>
      <c r="O839" s="8"/>
      <c r="P839" s="8"/>
      <c r="Q839" s="129"/>
      <c r="R839" s="1369"/>
      <c r="S839" s="126"/>
      <c r="T839" s="8"/>
      <c r="U839" s="1359"/>
      <c r="V839" s="8"/>
      <c r="W839" s="8"/>
      <c r="X839" s="8"/>
      <c r="Y839" s="8"/>
      <c r="Z839" s="8"/>
      <c r="AA839" s="8"/>
    </row>
    <row r="840">
      <c r="A840" s="8"/>
      <c r="B840" s="8"/>
      <c r="C840" s="8"/>
      <c r="D840" s="8"/>
      <c r="E840" s="8"/>
      <c r="F840" s="8"/>
      <c r="G840" s="8"/>
      <c r="H840" s="8"/>
      <c r="I840" s="8"/>
      <c r="J840" s="215"/>
      <c r="K840" s="126"/>
      <c r="L840" s="126"/>
      <c r="M840" s="126"/>
      <c r="N840" s="126"/>
      <c r="O840" s="8"/>
      <c r="P840" s="8"/>
      <c r="Q840" s="129"/>
      <c r="R840" s="1369"/>
      <c r="S840" s="126"/>
      <c r="T840" s="8"/>
      <c r="U840" s="1359"/>
      <c r="V840" s="8"/>
      <c r="W840" s="8"/>
      <c r="X840" s="8"/>
      <c r="Y840" s="8"/>
      <c r="Z840" s="8"/>
      <c r="AA840" s="8"/>
    </row>
    <row r="841">
      <c r="A841" s="8"/>
      <c r="B841" s="8"/>
      <c r="C841" s="8"/>
      <c r="D841" s="8"/>
      <c r="E841" s="8"/>
      <c r="F841" s="8"/>
      <c r="G841" s="8"/>
      <c r="H841" s="8"/>
      <c r="I841" s="8"/>
      <c r="J841" s="215"/>
      <c r="K841" s="126"/>
      <c r="L841" s="126"/>
      <c r="M841" s="126"/>
      <c r="N841" s="126"/>
      <c r="O841" s="8"/>
      <c r="P841" s="8"/>
      <c r="Q841" s="129"/>
      <c r="R841" s="1369"/>
      <c r="S841" s="126"/>
      <c r="T841" s="8"/>
      <c r="U841" s="1359"/>
      <c r="V841" s="8"/>
      <c r="W841" s="8"/>
      <c r="X841" s="8"/>
      <c r="Y841" s="8"/>
      <c r="Z841" s="8"/>
      <c r="AA841" s="8"/>
    </row>
    <row r="842">
      <c r="A842" s="8"/>
      <c r="B842" s="8"/>
      <c r="C842" s="8"/>
      <c r="D842" s="8"/>
      <c r="E842" s="8"/>
      <c r="F842" s="8"/>
      <c r="G842" s="8"/>
      <c r="H842" s="8"/>
      <c r="I842" s="8"/>
      <c r="J842" s="215"/>
      <c r="K842" s="126"/>
      <c r="L842" s="126"/>
      <c r="M842" s="126"/>
      <c r="N842" s="126"/>
      <c r="O842" s="8"/>
      <c r="P842" s="8"/>
      <c r="Q842" s="129"/>
      <c r="R842" s="1369"/>
      <c r="S842" s="126"/>
      <c r="T842" s="8"/>
      <c r="U842" s="1359"/>
      <c r="V842" s="8"/>
      <c r="W842" s="8"/>
      <c r="X842" s="8"/>
      <c r="Y842" s="8"/>
      <c r="Z842" s="8"/>
      <c r="AA842" s="8"/>
    </row>
    <row r="843">
      <c r="A843" s="8"/>
      <c r="B843" s="8"/>
      <c r="C843" s="8"/>
      <c r="D843" s="8"/>
      <c r="E843" s="8"/>
      <c r="F843" s="8"/>
      <c r="G843" s="8"/>
      <c r="H843" s="8"/>
      <c r="I843" s="8"/>
      <c r="J843" s="215"/>
      <c r="K843" s="126"/>
      <c r="L843" s="126"/>
      <c r="M843" s="126"/>
      <c r="N843" s="126"/>
      <c r="O843" s="8"/>
      <c r="P843" s="8"/>
      <c r="Q843" s="129"/>
      <c r="R843" s="1369"/>
      <c r="S843" s="126"/>
      <c r="T843" s="8"/>
      <c r="U843" s="1359"/>
      <c r="V843" s="8"/>
      <c r="W843" s="8"/>
      <c r="X843" s="8"/>
      <c r="Y843" s="8"/>
      <c r="Z843" s="8"/>
      <c r="AA843" s="8"/>
    </row>
    <row r="844">
      <c r="A844" s="8"/>
      <c r="B844" s="8"/>
      <c r="C844" s="8"/>
      <c r="D844" s="8"/>
      <c r="E844" s="8"/>
      <c r="F844" s="8"/>
      <c r="G844" s="8"/>
      <c r="H844" s="8"/>
      <c r="I844" s="8"/>
      <c r="J844" s="215"/>
      <c r="K844" s="126"/>
      <c r="L844" s="126"/>
      <c r="M844" s="126"/>
      <c r="N844" s="126"/>
      <c r="O844" s="8"/>
      <c r="P844" s="8"/>
      <c r="Q844" s="129"/>
      <c r="R844" s="1369"/>
      <c r="S844" s="126"/>
      <c r="T844" s="8"/>
      <c r="U844" s="1359"/>
      <c r="V844" s="8"/>
      <c r="W844" s="8"/>
      <c r="X844" s="8"/>
      <c r="Y844" s="8"/>
      <c r="Z844" s="8"/>
      <c r="AA844" s="8"/>
    </row>
    <row r="845">
      <c r="A845" s="8"/>
      <c r="B845" s="8"/>
      <c r="C845" s="8"/>
      <c r="D845" s="8"/>
      <c r="E845" s="8"/>
      <c r="F845" s="8"/>
      <c r="G845" s="8"/>
      <c r="H845" s="8"/>
      <c r="I845" s="8"/>
      <c r="J845" s="215"/>
      <c r="K845" s="126"/>
      <c r="L845" s="126"/>
      <c r="M845" s="126"/>
      <c r="N845" s="126"/>
      <c r="O845" s="8"/>
      <c r="P845" s="8"/>
      <c r="Q845" s="129"/>
      <c r="R845" s="1369"/>
      <c r="S845" s="126"/>
      <c r="T845" s="8"/>
      <c r="U845" s="1359"/>
      <c r="V845" s="8"/>
      <c r="W845" s="8"/>
      <c r="X845" s="8"/>
      <c r="Y845" s="8"/>
      <c r="Z845" s="8"/>
      <c r="AA845" s="8"/>
    </row>
    <row r="846">
      <c r="A846" s="8"/>
      <c r="B846" s="8"/>
      <c r="C846" s="8"/>
      <c r="D846" s="8"/>
      <c r="E846" s="8"/>
      <c r="F846" s="8"/>
      <c r="G846" s="8"/>
      <c r="H846" s="8"/>
      <c r="I846" s="8"/>
      <c r="J846" s="215"/>
      <c r="K846" s="126"/>
      <c r="L846" s="126"/>
      <c r="M846" s="126"/>
      <c r="N846" s="126"/>
      <c r="O846" s="8"/>
      <c r="P846" s="8"/>
      <c r="Q846" s="129"/>
      <c r="R846" s="1369"/>
      <c r="S846" s="126"/>
      <c r="T846" s="8"/>
      <c r="U846" s="1359"/>
      <c r="V846" s="8"/>
      <c r="W846" s="8"/>
      <c r="X846" s="8"/>
      <c r="Y846" s="8"/>
      <c r="Z846" s="8"/>
      <c r="AA846" s="8"/>
    </row>
    <row r="847">
      <c r="A847" s="8"/>
      <c r="B847" s="8"/>
      <c r="C847" s="8"/>
      <c r="D847" s="8"/>
      <c r="E847" s="8"/>
      <c r="F847" s="8"/>
      <c r="G847" s="8"/>
      <c r="H847" s="8"/>
      <c r="I847" s="8"/>
      <c r="J847" s="215"/>
      <c r="K847" s="126"/>
      <c r="L847" s="126"/>
      <c r="M847" s="126"/>
      <c r="N847" s="126"/>
      <c r="O847" s="8"/>
      <c r="P847" s="8"/>
      <c r="Q847" s="129"/>
      <c r="R847" s="1369"/>
      <c r="S847" s="126"/>
      <c r="T847" s="8"/>
      <c r="U847" s="1359"/>
      <c r="V847" s="8"/>
      <c r="W847" s="8"/>
      <c r="X847" s="8"/>
      <c r="Y847" s="8"/>
      <c r="Z847" s="8"/>
      <c r="AA847" s="8"/>
    </row>
    <row r="848">
      <c r="A848" s="8"/>
      <c r="B848" s="8"/>
      <c r="C848" s="8"/>
      <c r="D848" s="8"/>
      <c r="E848" s="8"/>
      <c r="F848" s="8"/>
      <c r="G848" s="8"/>
      <c r="H848" s="8"/>
      <c r="I848" s="8"/>
      <c r="J848" s="215"/>
      <c r="K848" s="126"/>
      <c r="L848" s="126"/>
      <c r="M848" s="126"/>
      <c r="N848" s="126"/>
      <c r="O848" s="8"/>
      <c r="P848" s="8"/>
      <c r="Q848" s="129"/>
      <c r="R848" s="1369"/>
      <c r="S848" s="126"/>
      <c r="T848" s="8"/>
      <c r="U848" s="1359"/>
      <c r="V848" s="8"/>
      <c r="W848" s="8"/>
      <c r="X848" s="8"/>
      <c r="Y848" s="8"/>
      <c r="Z848" s="8"/>
      <c r="AA848" s="8"/>
    </row>
    <row r="849">
      <c r="A849" s="8"/>
      <c r="B849" s="8"/>
      <c r="C849" s="8"/>
      <c r="D849" s="8"/>
      <c r="E849" s="8"/>
      <c r="F849" s="8"/>
      <c r="G849" s="8"/>
      <c r="H849" s="8"/>
      <c r="I849" s="8"/>
      <c r="J849" s="215"/>
      <c r="K849" s="126"/>
      <c r="L849" s="126"/>
      <c r="M849" s="126"/>
      <c r="N849" s="126"/>
      <c r="O849" s="8"/>
      <c r="P849" s="8"/>
      <c r="Q849" s="129"/>
      <c r="R849" s="1369"/>
      <c r="S849" s="126"/>
      <c r="T849" s="8"/>
      <c r="U849" s="1359"/>
      <c r="V849" s="8"/>
      <c r="W849" s="8"/>
      <c r="X849" s="8"/>
      <c r="Y849" s="8"/>
      <c r="Z849" s="8"/>
      <c r="AA849" s="8"/>
    </row>
    <row r="850">
      <c r="A850" s="8"/>
      <c r="B850" s="8"/>
      <c r="C850" s="8"/>
      <c r="D850" s="8"/>
      <c r="E850" s="8"/>
      <c r="F850" s="8"/>
      <c r="G850" s="8"/>
      <c r="H850" s="8"/>
      <c r="I850" s="8"/>
      <c r="J850" s="215"/>
      <c r="K850" s="126"/>
      <c r="L850" s="126"/>
      <c r="M850" s="126"/>
      <c r="N850" s="126"/>
      <c r="O850" s="8"/>
      <c r="P850" s="8"/>
      <c r="Q850" s="129"/>
      <c r="R850" s="1369"/>
      <c r="S850" s="126"/>
      <c r="T850" s="8"/>
      <c r="U850" s="1359"/>
      <c r="V850" s="8"/>
      <c r="W850" s="8"/>
      <c r="X850" s="8"/>
      <c r="Y850" s="8"/>
      <c r="Z850" s="8"/>
      <c r="AA850" s="8"/>
    </row>
    <row r="851">
      <c r="A851" s="8"/>
      <c r="B851" s="8"/>
      <c r="C851" s="8"/>
      <c r="D851" s="8"/>
      <c r="E851" s="8"/>
      <c r="F851" s="8"/>
      <c r="G851" s="8"/>
      <c r="H851" s="8"/>
      <c r="I851" s="8"/>
      <c r="J851" s="215"/>
      <c r="K851" s="126"/>
      <c r="L851" s="126"/>
      <c r="M851" s="126"/>
      <c r="N851" s="126"/>
      <c r="O851" s="8"/>
      <c r="P851" s="8"/>
      <c r="Q851" s="129"/>
      <c r="R851" s="1369"/>
      <c r="S851" s="126"/>
      <c r="T851" s="8"/>
      <c r="U851" s="1359"/>
      <c r="V851" s="8"/>
      <c r="W851" s="8"/>
      <c r="X851" s="8"/>
      <c r="Y851" s="8"/>
      <c r="Z851" s="8"/>
      <c r="AA851" s="8"/>
    </row>
    <row r="852">
      <c r="A852" s="8"/>
      <c r="B852" s="8"/>
      <c r="C852" s="8"/>
      <c r="D852" s="8"/>
      <c r="E852" s="8"/>
      <c r="F852" s="8"/>
      <c r="G852" s="8"/>
      <c r="H852" s="8"/>
      <c r="I852" s="8"/>
      <c r="J852" s="215"/>
      <c r="K852" s="126"/>
      <c r="L852" s="126"/>
      <c r="M852" s="126"/>
      <c r="N852" s="126"/>
      <c r="O852" s="8"/>
      <c r="P852" s="8"/>
      <c r="Q852" s="129"/>
      <c r="R852" s="1369"/>
      <c r="S852" s="126"/>
      <c r="T852" s="8"/>
      <c r="U852" s="1359"/>
      <c r="V852" s="8"/>
      <c r="W852" s="8"/>
      <c r="X852" s="8"/>
      <c r="Y852" s="8"/>
      <c r="Z852" s="8"/>
      <c r="AA852" s="8"/>
    </row>
    <row r="853">
      <c r="A853" s="8"/>
      <c r="B853" s="8"/>
      <c r="C853" s="8"/>
      <c r="D853" s="8"/>
      <c r="E853" s="8"/>
      <c r="F853" s="8"/>
      <c r="G853" s="8"/>
      <c r="H853" s="8"/>
      <c r="I853" s="8"/>
      <c r="J853" s="215"/>
      <c r="K853" s="126"/>
      <c r="L853" s="126"/>
      <c r="M853" s="126"/>
      <c r="N853" s="126"/>
      <c r="O853" s="8"/>
      <c r="P853" s="8"/>
      <c r="Q853" s="129"/>
      <c r="R853" s="1369"/>
      <c r="S853" s="126"/>
      <c r="T853" s="8"/>
      <c r="U853" s="1359"/>
      <c r="V853" s="8"/>
      <c r="W853" s="8"/>
      <c r="X853" s="8"/>
      <c r="Y853" s="8"/>
      <c r="Z853" s="8"/>
      <c r="AA853" s="8"/>
    </row>
    <row r="854">
      <c r="A854" s="8"/>
      <c r="B854" s="8"/>
      <c r="C854" s="8"/>
      <c r="D854" s="8"/>
      <c r="E854" s="8"/>
      <c r="F854" s="8"/>
      <c r="G854" s="8"/>
      <c r="H854" s="8"/>
      <c r="I854" s="8"/>
      <c r="J854" s="215"/>
      <c r="K854" s="126"/>
      <c r="L854" s="126"/>
      <c r="M854" s="126"/>
      <c r="N854" s="126"/>
      <c r="O854" s="8"/>
      <c r="P854" s="8"/>
      <c r="Q854" s="129"/>
      <c r="R854" s="1369"/>
      <c r="S854" s="126"/>
      <c r="T854" s="8"/>
      <c r="U854" s="1359"/>
      <c r="V854" s="8"/>
      <c r="W854" s="8"/>
      <c r="X854" s="8"/>
      <c r="Y854" s="8"/>
      <c r="Z854" s="8"/>
      <c r="AA854" s="8"/>
    </row>
    <row r="855">
      <c r="A855" s="8"/>
      <c r="B855" s="8"/>
      <c r="C855" s="8"/>
      <c r="D855" s="8"/>
      <c r="E855" s="8"/>
      <c r="F855" s="8"/>
      <c r="G855" s="8"/>
      <c r="H855" s="8"/>
      <c r="I855" s="8"/>
      <c r="J855" s="215"/>
      <c r="K855" s="126"/>
      <c r="L855" s="126"/>
      <c r="M855" s="126"/>
      <c r="N855" s="126"/>
      <c r="O855" s="8"/>
      <c r="P855" s="8"/>
      <c r="Q855" s="129"/>
      <c r="R855" s="1369"/>
      <c r="S855" s="126"/>
      <c r="T855" s="8"/>
      <c r="U855" s="1359"/>
      <c r="V855" s="8"/>
      <c r="W855" s="8"/>
      <c r="X855" s="8"/>
      <c r="Y855" s="8"/>
      <c r="Z855" s="8"/>
      <c r="AA855" s="8"/>
    </row>
    <row r="856">
      <c r="A856" s="8"/>
      <c r="B856" s="8"/>
      <c r="C856" s="8"/>
      <c r="D856" s="8"/>
      <c r="E856" s="8"/>
      <c r="F856" s="8"/>
      <c r="G856" s="8"/>
      <c r="H856" s="8"/>
      <c r="I856" s="8"/>
      <c r="J856" s="215"/>
      <c r="K856" s="126"/>
      <c r="L856" s="126"/>
      <c r="M856" s="126"/>
      <c r="N856" s="126"/>
      <c r="O856" s="8"/>
      <c r="P856" s="8"/>
      <c r="Q856" s="129"/>
      <c r="R856" s="1369"/>
      <c r="S856" s="126"/>
      <c r="T856" s="8"/>
      <c r="U856" s="1359"/>
      <c r="V856" s="8"/>
      <c r="W856" s="8"/>
      <c r="X856" s="8"/>
      <c r="Y856" s="8"/>
      <c r="Z856" s="8"/>
      <c r="AA856" s="8"/>
    </row>
    <row r="857">
      <c r="A857" s="8"/>
      <c r="B857" s="8"/>
      <c r="C857" s="8"/>
      <c r="D857" s="8"/>
      <c r="E857" s="8"/>
      <c r="F857" s="8"/>
      <c r="G857" s="8"/>
      <c r="H857" s="8"/>
      <c r="I857" s="8"/>
      <c r="J857" s="215"/>
      <c r="K857" s="126"/>
      <c r="L857" s="126"/>
      <c r="M857" s="126"/>
      <c r="N857" s="126"/>
      <c r="O857" s="8"/>
      <c r="P857" s="8"/>
      <c r="Q857" s="129"/>
      <c r="R857" s="1369"/>
      <c r="S857" s="126"/>
      <c r="T857" s="8"/>
      <c r="U857" s="1359"/>
      <c r="V857" s="8"/>
      <c r="W857" s="8"/>
      <c r="X857" s="8"/>
      <c r="Y857" s="8"/>
      <c r="Z857" s="8"/>
      <c r="AA857" s="8"/>
    </row>
    <row r="858">
      <c r="A858" s="8"/>
      <c r="B858" s="8"/>
      <c r="C858" s="8"/>
      <c r="D858" s="8"/>
      <c r="E858" s="8"/>
      <c r="F858" s="8"/>
      <c r="G858" s="8"/>
      <c r="H858" s="8"/>
      <c r="I858" s="8"/>
      <c r="J858" s="215"/>
      <c r="K858" s="126"/>
      <c r="L858" s="126"/>
      <c r="M858" s="126"/>
      <c r="N858" s="126"/>
      <c r="O858" s="8"/>
      <c r="P858" s="8"/>
      <c r="Q858" s="129"/>
      <c r="R858" s="1369"/>
      <c r="S858" s="126"/>
      <c r="T858" s="8"/>
      <c r="U858" s="1359"/>
      <c r="V858" s="8"/>
      <c r="W858" s="8"/>
      <c r="X858" s="8"/>
      <c r="Y858" s="8"/>
      <c r="Z858" s="8"/>
      <c r="AA858" s="8"/>
    </row>
    <row r="859">
      <c r="A859" s="8"/>
      <c r="B859" s="8"/>
      <c r="C859" s="8"/>
      <c r="D859" s="8"/>
      <c r="E859" s="8"/>
      <c r="F859" s="8"/>
      <c r="G859" s="8"/>
      <c r="H859" s="8"/>
      <c r="I859" s="8"/>
      <c r="J859" s="215"/>
      <c r="K859" s="126"/>
      <c r="L859" s="126"/>
      <c r="M859" s="126"/>
      <c r="N859" s="126"/>
      <c r="O859" s="8"/>
      <c r="P859" s="8"/>
      <c r="Q859" s="129"/>
      <c r="R859" s="1369"/>
      <c r="S859" s="126"/>
      <c r="T859" s="8"/>
      <c r="U859" s="1359"/>
      <c r="V859" s="8"/>
      <c r="W859" s="8"/>
      <c r="X859" s="8"/>
      <c r="Y859" s="8"/>
      <c r="Z859" s="8"/>
      <c r="AA859" s="8"/>
    </row>
    <row r="860">
      <c r="A860" s="8"/>
      <c r="B860" s="8"/>
      <c r="C860" s="8"/>
      <c r="D860" s="8"/>
      <c r="E860" s="8"/>
      <c r="F860" s="8"/>
      <c r="G860" s="8"/>
      <c r="H860" s="8"/>
      <c r="I860" s="8"/>
      <c r="J860" s="215"/>
      <c r="K860" s="126"/>
      <c r="L860" s="126"/>
      <c r="M860" s="126"/>
      <c r="N860" s="126"/>
      <c r="O860" s="8"/>
      <c r="P860" s="8"/>
      <c r="Q860" s="129"/>
      <c r="R860" s="1369"/>
      <c r="S860" s="126"/>
      <c r="T860" s="8"/>
      <c r="U860" s="1359"/>
      <c r="V860" s="8"/>
      <c r="W860" s="8"/>
      <c r="X860" s="8"/>
      <c r="Y860" s="8"/>
      <c r="Z860" s="8"/>
      <c r="AA860" s="8"/>
    </row>
    <row r="861">
      <c r="A861" s="8"/>
      <c r="B861" s="8"/>
      <c r="C861" s="8"/>
      <c r="D861" s="8"/>
      <c r="E861" s="8"/>
      <c r="F861" s="8"/>
      <c r="G861" s="8"/>
      <c r="H861" s="8"/>
      <c r="I861" s="8"/>
      <c r="J861" s="215"/>
      <c r="K861" s="126"/>
      <c r="L861" s="126"/>
      <c r="M861" s="126"/>
      <c r="N861" s="126"/>
      <c r="O861" s="8"/>
      <c r="P861" s="8"/>
      <c r="Q861" s="129"/>
      <c r="R861" s="1369"/>
      <c r="S861" s="126"/>
      <c r="T861" s="8"/>
      <c r="U861" s="1359"/>
      <c r="V861" s="8"/>
      <c r="W861" s="8"/>
      <c r="X861" s="8"/>
      <c r="Y861" s="8"/>
      <c r="Z861" s="8"/>
      <c r="AA861" s="8"/>
    </row>
    <row r="862">
      <c r="A862" s="8"/>
      <c r="B862" s="8"/>
      <c r="C862" s="8"/>
      <c r="D862" s="8"/>
      <c r="E862" s="8"/>
      <c r="F862" s="8"/>
      <c r="G862" s="8"/>
      <c r="H862" s="8"/>
      <c r="I862" s="8"/>
      <c r="J862" s="215"/>
      <c r="K862" s="126"/>
      <c r="L862" s="126"/>
      <c r="M862" s="126"/>
      <c r="N862" s="126"/>
      <c r="O862" s="8"/>
      <c r="P862" s="8"/>
      <c r="Q862" s="129"/>
      <c r="R862" s="1369"/>
      <c r="S862" s="126"/>
      <c r="T862" s="8"/>
      <c r="U862" s="1359"/>
      <c r="V862" s="8"/>
      <c r="W862" s="8"/>
      <c r="X862" s="8"/>
      <c r="Y862" s="8"/>
      <c r="Z862" s="8"/>
      <c r="AA862" s="8"/>
    </row>
    <row r="863">
      <c r="A863" s="8"/>
      <c r="B863" s="8"/>
      <c r="C863" s="8"/>
      <c r="D863" s="8"/>
      <c r="E863" s="8"/>
      <c r="F863" s="8"/>
      <c r="G863" s="8"/>
      <c r="H863" s="8"/>
      <c r="I863" s="8"/>
      <c r="J863" s="215"/>
      <c r="K863" s="126"/>
      <c r="L863" s="126"/>
      <c r="M863" s="126"/>
      <c r="N863" s="126"/>
      <c r="O863" s="8"/>
      <c r="P863" s="8"/>
      <c r="Q863" s="129"/>
      <c r="R863" s="1369"/>
      <c r="S863" s="126"/>
      <c r="T863" s="8"/>
      <c r="U863" s="1359"/>
      <c r="V863" s="8"/>
      <c r="W863" s="8"/>
      <c r="X863" s="8"/>
      <c r="Y863" s="8"/>
      <c r="Z863" s="8"/>
      <c r="AA863" s="8"/>
    </row>
    <row r="864">
      <c r="A864" s="8"/>
      <c r="B864" s="8"/>
      <c r="C864" s="8"/>
      <c r="D864" s="8"/>
      <c r="E864" s="8"/>
      <c r="F864" s="8"/>
      <c r="G864" s="8"/>
      <c r="H864" s="8"/>
      <c r="I864" s="8"/>
      <c r="J864" s="215"/>
      <c r="K864" s="126"/>
      <c r="L864" s="126"/>
      <c r="M864" s="126"/>
      <c r="N864" s="126"/>
      <c r="O864" s="8"/>
      <c r="P864" s="8"/>
      <c r="Q864" s="129"/>
      <c r="R864" s="1369"/>
      <c r="S864" s="126"/>
      <c r="T864" s="8"/>
      <c r="U864" s="1359"/>
      <c r="V864" s="8"/>
      <c r="W864" s="8"/>
      <c r="X864" s="8"/>
      <c r="Y864" s="8"/>
      <c r="Z864" s="8"/>
      <c r="AA864" s="8"/>
    </row>
    <row r="865">
      <c r="A865" s="8"/>
      <c r="B865" s="8"/>
      <c r="C865" s="8"/>
      <c r="D865" s="8"/>
      <c r="E865" s="8"/>
      <c r="F865" s="8"/>
      <c r="G865" s="8"/>
      <c r="H865" s="8"/>
      <c r="I865" s="8"/>
      <c r="J865" s="215"/>
      <c r="K865" s="126"/>
      <c r="L865" s="126"/>
      <c r="M865" s="126"/>
      <c r="N865" s="126"/>
      <c r="O865" s="8"/>
      <c r="P865" s="8"/>
      <c r="Q865" s="129"/>
      <c r="R865" s="1369"/>
      <c r="S865" s="126"/>
      <c r="T865" s="8"/>
      <c r="U865" s="1359"/>
      <c r="V865" s="8"/>
      <c r="W865" s="8"/>
      <c r="X865" s="8"/>
      <c r="Y865" s="8"/>
      <c r="Z865" s="8"/>
      <c r="AA865" s="8"/>
    </row>
    <row r="866">
      <c r="A866" s="8"/>
      <c r="B866" s="8"/>
      <c r="C866" s="8"/>
      <c r="D866" s="8"/>
      <c r="E866" s="8"/>
      <c r="F866" s="8"/>
      <c r="G866" s="8"/>
      <c r="H866" s="8"/>
      <c r="I866" s="8"/>
      <c r="J866" s="215"/>
      <c r="K866" s="126"/>
      <c r="L866" s="126"/>
      <c r="M866" s="126"/>
      <c r="N866" s="126"/>
      <c r="O866" s="8"/>
      <c r="P866" s="8"/>
      <c r="Q866" s="129"/>
      <c r="R866" s="1369"/>
      <c r="S866" s="126"/>
      <c r="T866" s="8"/>
      <c r="U866" s="1359"/>
      <c r="V866" s="8"/>
      <c r="W866" s="8"/>
      <c r="X866" s="8"/>
      <c r="Y866" s="8"/>
      <c r="Z866" s="8"/>
      <c r="AA866" s="8"/>
    </row>
    <row r="867">
      <c r="A867" s="8"/>
      <c r="B867" s="8"/>
      <c r="C867" s="8"/>
      <c r="D867" s="8"/>
      <c r="E867" s="8"/>
      <c r="F867" s="8"/>
      <c r="G867" s="8"/>
      <c r="H867" s="8"/>
      <c r="I867" s="8"/>
      <c r="J867" s="215"/>
      <c r="K867" s="126"/>
      <c r="L867" s="126"/>
      <c r="M867" s="126"/>
      <c r="N867" s="126"/>
      <c r="O867" s="8"/>
      <c r="P867" s="8"/>
      <c r="Q867" s="129"/>
      <c r="R867" s="1369"/>
      <c r="S867" s="126"/>
      <c r="T867" s="8"/>
      <c r="U867" s="1359"/>
      <c r="V867" s="8"/>
      <c r="W867" s="8"/>
      <c r="X867" s="8"/>
      <c r="Y867" s="8"/>
      <c r="Z867" s="8"/>
      <c r="AA867" s="8"/>
    </row>
    <row r="868">
      <c r="A868" s="8"/>
      <c r="B868" s="8"/>
      <c r="C868" s="8"/>
      <c r="D868" s="8"/>
      <c r="E868" s="8"/>
      <c r="F868" s="8"/>
      <c r="G868" s="8"/>
      <c r="H868" s="8"/>
      <c r="I868" s="8"/>
      <c r="J868" s="215"/>
      <c r="K868" s="126"/>
      <c r="L868" s="126"/>
      <c r="M868" s="126"/>
      <c r="N868" s="126"/>
      <c r="O868" s="8"/>
      <c r="P868" s="8"/>
      <c r="Q868" s="129"/>
      <c r="R868" s="1369"/>
      <c r="S868" s="126"/>
      <c r="T868" s="8"/>
      <c r="U868" s="1359"/>
      <c r="V868" s="8"/>
      <c r="W868" s="8"/>
      <c r="X868" s="8"/>
      <c r="Y868" s="8"/>
      <c r="Z868" s="8"/>
      <c r="AA868" s="8"/>
    </row>
    <row r="869">
      <c r="A869" s="8"/>
      <c r="B869" s="8"/>
      <c r="C869" s="8"/>
      <c r="D869" s="8"/>
      <c r="E869" s="8"/>
      <c r="F869" s="8"/>
      <c r="G869" s="8"/>
      <c r="H869" s="8"/>
      <c r="I869" s="8"/>
      <c r="J869" s="215"/>
      <c r="K869" s="126"/>
      <c r="L869" s="126"/>
      <c r="M869" s="126"/>
      <c r="N869" s="126"/>
      <c r="O869" s="8"/>
      <c r="P869" s="8"/>
      <c r="Q869" s="129"/>
      <c r="R869" s="1369"/>
      <c r="S869" s="126"/>
      <c r="T869" s="8"/>
      <c r="U869" s="1359"/>
      <c r="V869" s="8"/>
      <c r="W869" s="8"/>
      <c r="X869" s="8"/>
      <c r="Y869" s="8"/>
      <c r="Z869" s="8"/>
      <c r="AA869" s="8"/>
    </row>
    <row r="870">
      <c r="A870" s="8"/>
      <c r="B870" s="8"/>
      <c r="C870" s="8"/>
      <c r="D870" s="8"/>
      <c r="E870" s="8"/>
      <c r="F870" s="8"/>
      <c r="G870" s="8"/>
      <c r="H870" s="8"/>
      <c r="I870" s="8"/>
      <c r="J870" s="215"/>
      <c r="K870" s="126"/>
      <c r="L870" s="126"/>
      <c r="M870" s="126"/>
      <c r="N870" s="126"/>
      <c r="O870" s="8"/>
      <c r="P870" s="8"/>
      <c r="Q870" s="129"/>
      <c r="R870" s="1369"/>
      <c r="S870" s="126"/>
      <c r="T870" s="8"/>
      <c r="U870" s="1359"/>
      <c r="V870" s="8"/>
      <c r="W870" s="8"/>
      <c r="X870" s="8"/>
      <c r="Y870" s="8"/>
      <c r="Z870" s="8"/>
      <c r="AA870" s="8"/>
    </row>
    <row r="871">
      <c r="A871" s="8"/>
      <c r="B871" s="8"/>
      <c r="C871" s="8"/>
      <c r="D871" s="8"/>
      <c r="E871" s="8"/>
      <c r="F871" s="8"/>
      <c r="G871" s="8"/>
      <c r="H871" s="8"/>
      <c r="I871" s="8"/>
      <c r="J871" s="215"/>
      <c r="K871" s="126"/>
      <c r="L871" s="126"/>
      <c r="M871" s="126"/>
      <c r="N871" s="126"/>
      <c r="O871" s="8"/>
      <c r="P871" s="8"/>
      <c r="Q871" s="129"/>
      <c r="R871" s="1369"/>
      <c r="S871" s="126"/>
      <c r="T871" s="8"/>
      <c r="U871" s="1359"/>
      <c r="V871" s="8"/>
      <c r="W871" s="8"/>
      <c r="X871" s="8"/>
      <c r="Y871" s="8"/>
      <c r="Z871" s="8"/>
      <c r="AA871" s="8"/>
    </row>
    <row r="872">
      <c r="A872" s="8"/>
      <c r="B872" s="8"/>
      <c r="C872" s="8"/>
      <c r="D872" s="8"/>
      <c r="E872" s="8"/>
      <c r="F872" s="8"/>
      <c r="G872" s="8"/>
      <c r="H872" s="8"/>
      <c r="I872" s="8"/>
      <c r="J872" s="215"/>
      <c r="K872" s="126"/>
      <c r="L872" s="126"/>
      <c r="M872" s="126"/>
      <c r="N872" s="126"/>
      <c r="O872" s="8"/>
      <c r="P872" s="8"/>
      <c r="Q872" s="129"/>
      <c r="R872" s="1369"/>
      <c r="S872" s="126"/>
      <c r="T872" s="8"/>
      <c r="U872" s="1359"/>
      <c r="V872" s="8"/>
      <c r="W872" s="8"/>
      <c r="X872" s="8"/>
      <c r="Y872" s="8"/>
      <c r="Z872" s="8"/>
      <c r="AA872" s="8"/>
    </row>
    <row r="873">
      <c r="A873" s="8"/>
      <c r="B873" s="8"/>
      <c r="C873" s="8"/>
      <c r="D873" s="8"/>
      <c r="E873" s="8"/>
      <c r="F873" s="8"/>
      <c r="G873" s="8"/>
      <c r="H873" s="8"/>
      <c r="I873" s="8"/>
      <c r="J873" s="215"/>
      <c r="K873" s="126"/>
      <c r="L873" s="126"/>
      <c r="M873" s="126"/>
      <c r="N873" s="126"/>
      <c r="O873" s="8"/>
      <c r="P873" s="8"/>
      <c r="Q873" s="129"/>
      <c r="R873" s="1369"/>
      <c r="S873" s="126"/>
      <c r="T873" s="8"/>
      <c r="U873" s="1359"/>
      <c r="V873" s="8"/>
      <c r="W873" s="8"/>
      <c r="X873" s="8"/>
      <c r="Y873" s="8"/>
      <c r="Z873" s="8"/>
      <c r="AA873" s="8"/>
    </row>
    <row r="874">
      <c r="A874" s="8"/>
      <c r="B874" s="8"/>
      <c r="C874" s="8"/>
      <c r="D874" s="8"/>
      <c r="E874" s="8"/>
      <c r="F874" s="8"/>
      <c r="G874" s="8"/>
      <c r="H874" s="8"/>
      <c r="I874" s="8"/>
      <c r="J874" s="215"/>
      <c r="K874" s="126"/>
      <c r="L874" s="126"/>
      <c r="M874" s="126"/>
      <c r="N874" s="126"/>
      <c r="O874" s="8"/>
      <c r="P874" s="8"/>
      <c r="Q874" s="129"/>
      <c r="R874" s="1369"/>
      <c r="S874" s="126"/>
      <c r="T874" s="8"/>
      <c r="U874" s="1359"/>
      <c r="V874" s="8"/>
      <c r="W874" s="8"/>
      <c r="X874" s="8"/>
      <c r="Y874" s="8"/>
      <c r="Z874" s="8"/>
      <c r="AA874" s="8"/>
    </row>
    <row r="875">
      <c r="A875" s="8"/>
      <c r="B875" s="8"/>
      <c r="C875" s="8"/>
      <c r="D875" s="8"/>
      <c r="E875" s="8"/>
      <c r="F875" s="8"/>
      <c r="G875" s="8"/>
      <c r="H875" s="8"/>
      <c r="I875" s="8"/>
      <c r="J875" s="215"/>
      <c r="K875" s="126"/>
      <c r="L875" s="126"/>
      <c r="M875" s="126"/>
      <c r="N875" s="126"/>
      <c r="O875" s="8"/>
      <c r="P875" s="8"/>
      <c r="Q875" s="129"/>
      <c r="R875" s="1369"/>
      <c r="S875" s="126"/>
      <c r="T875" s="8"/>
      <c r="U875" s="1359"/>
      <c r="V875" s="8"/>
      <c r="W875" s="8"/>
      <c r="X875" s="8"/>
      <c r="Y875" s="8"/>
      <c r="Z875" s="8"/>
      <c r="AA875" s="8"/>
    </row>
    <row r="876">
      <c r="A876" s="8"/>
      <c r="B876" s="8"/>
      <c r="C876" s="8"/>
      <c r="D876" s="8"/>
      <c r="E876" s="8"/>
      <c r="F876" s="8"/>
      <c r="G876" s="8"/>
      <c r="H876" s="8"/>
      <c r="I876" s="8"/>
      <c r="J876" s="215"/>
      <c r="K876" s="126"/>
      <c r="L876" s="126"/>
      <c r="M876" s="126"/>
      <c r="N876" s="126"/>
      <c r="O876" s="8"/>
      <c r="P876" s="8"/>
      <c r="Q876" s="129"/>
      <c r="R876" s="1369"/>
      <c r="S876" s="126"/>
      <c r="T876" s="8"/>
      <c r="U876" s="1359"/>
      <c r="V876" s="8"/>
      <c r="W876" s="8"/>
      <c r="X876" s="8"/>
      <c r="Y876" s="8"/>
      <c r="Z876" s="8"/>
      <c r="AA876" s="8"/>
    </row>
    <row r="877">
      <c r="A877" s="8"/>
      <c r="B877" s="8"/>
      <c r="C877" s="8"/>
      <c r="D877" s="8"/>
      <c r="E877" s="8"/>
      <c r="F877" s="8"/>
      <c r="G877" s="8"/>
      <c r="H877" s="8"/>
      <c r="I877" s="8"/>
      <c r="J877" s="215"/>
      <c r="K877" s="126"/>
      <c r="L877" s="126"/>
      <c r="M877" s="126"/>
      <c r="N877" s="126"/>
      <c r="O877" s="8"/>
      <c r="P877" s="8"/>
      <c r="Q877" s="129"/>
      <c r="R877" s="1369"/>
      <c r="S877" s="126"/>
      <c r="T877" s="8"/>
      <c r="U877" s="1359"/>
      <c r="V877" s="8"/>
      <c r="W877" s="8"/>
      <c r="X877" s="8"/>
      <c r="Y877" s="8"/>
      <c r="Z877" s="8"/>
      <c r="AA877" s="8"/>
    </row>
    <row r="878">
      <c r="A878" s="8"/>
      <c r="B878" s="8"/>
      <c r="C878" s="8"/>
      <c r="D878" s="8"/>
      <c r="E878" s="8"/>
      <c r="F878" s="8"/>
      <c r="G878" s="8"/>
      <c r="H878" s="8"/>
      <c r="I878" s="8"/>
      <c r="J878" s="215"/>
      <c r="K878" s="126"/>
      <c r="L878" s="126"/>
      <c r="M878" s="126"/>
      <c r="N878" s="126"/>
      <c r="O878" s="8"/>
      <c r="P878" s="8"/>
      <c r="Q878" s="129"/>
      <c r="R878" s="1369"/>
      <c r="S878" s="126"/>
      <c r="T878" s="8"/>
      <c r="U878" s="1359"/>
      <c r="V878" s="8"/>
      <c r="W878" s="8"/>
      <c r="X878" s="8"/>
      <c r="Y878" s="8"/>
      <c r="Z878" s="8"/>
      <c r="AA878" s="8"/>
    </row>
    <row r="879">
      <c r="A879" s="8"/>
      <c r="B879" s="8"/>
      <c r="C879" s="8"/>
      <c r="D879" s="8"/>
      <c r="E879" s="8"/>
      <c r="F879" s="8"/>
      <c r="G879" s="8"/>
      <c r="H879" s="8"/>
      <c r="I879" s="8"/>
      <c r="J879" s="215"/>
      <c r="K879" s="126"/>
      <c r="L879" s="126"/>
      <c r="M879" s="126"/>
      <c r="N879" s="126"/>
      <c r="O879" s="8"/>
      <c r="P879" s="8"/>
      <c r="Q879" s="129"/>
      <c r="R879" s="1369"/>
      <c r="S879" s="126"/>
      <c r="T879" s="8"/>
      <c r="U879" s="1359"/>
      <c r="V879" s="8"/>
      <c r="W879" s="8"/>
      <c r="X879" s="8"/>
      <c r="Y879" s="8"/>
      <c r="Z879" s="8"/>
      <c r="AA879" s="8"/>
    </row>
    <row r="880">
      <c r="A880" s="8"/>
      <c r="B880" s="8"/>
      <c r="C880" s="8"/>
      <c r="D880" s="8"/>
      <c r="E880" s="8"/>
      <c r="F880" s="8"/>
      <c r="G880" s="8"/>
      <c r="H880" s="8"/>
      <c r="I880" s="8"/>
      <c r="J880" s="215"/>
      <c r="K880" s="126"/>
      <c r="L880" s="126"/>
      <c r="M880" s="126"/>
      <c r="N880" s="126"/>
      <c r="O880" s="8"/>
      <c r="P880" s="8"/>
      <c r="Q880" s="129"/>
      <c r="R880" s="1369"/>
      <c r="S880" s="126"/>
      <c r="T880" s="8"/>
      <c r="U880" s="1359"/>
      <c r="V880" s="8"/>
      <c r="W880" s="8"/>
      <c r="X880" s="8"/>
      <c r="Y880" s="8"/>
      <c r="Z880" s="8"/>
      <c r="AA880" s="8"/>
    </row>
    <row r="881">
      <c r="A881" s="8"/>
      <c r="B881" s="8"/>
      <c r="C881" s="8"/>
      <c r="D881" s="8"/>
      <c r="E881" s="8"/>
      <c r="F881" s="8"/>
      <c r="G881" s="8"/>
      <c r="H881" s="8"/>
      <c r="I881" s="8"/>
      <c r="J881" s="215"/>
      <c r="K881" s="126"/>
      <c r="L881" s="126"/>
      <c r="M881" s="126"/>
      <c r="N881" s="126"/>
      <c r="O881" s="8"/>
      <c r="P881" s="8"/>
      <c r="Q881" s="129"/>
      <c r="R881" s="1369"/>
      <c r="S881" s="126"/>
      <c r="T881" s="8"/>
      <c r="U881" s="1359"/>
      <c r="V881" s="8"/>
      <c r="W881" s="8"/>
      <c r="X881" s="8"/>
      <c r="Y881" s="8"/>
      <c r="Z881" s="8"/>
      <c r="AA881" s="8"/>
    </row>
    <row r="882">
      <c r="A882" s="8"/>
      <c r="B882" s="8"/>
      <c r="C882" s="8"/>
      <c r="D882" s="8"/>
      <c r="E882" s="8"/>
      <c r="F882" s="8"/>
      <c r="G882" s="8"/>
      <c r="H882" s="8"/>
      <c r="I882" s="8"/>
      <c r="J882" s="215"/>
      <c r="K882" s="126"/>
      <c r="L882" s="126"/>
      <c r="M882" s="126"/>
      <c r="N882" s="126"/>
      <c r="O882" s="8"/>
      <c r="P882" s="8"/>
      <c r="Q882" s="129"/>
      <c r="R882" s="1369"/>
      <c r="S882" s="126"/>
      <c r="T882" s="8"/>
      <c r="U882" s="1359"/>
      <c r="V882" s="8"/>
      <c r="W882" s="8"/>
      <c r="X882" s="8"/>
      <c r="Y882" s="8"/>
      <c r="Z882" s="8"/>
      <c r="AA882" s="8"/>
    </row>
    <row r="883">
      <c r="A883" s="8"/>
      <c r="B883" s="8"/>
      <c r="C883" s="8"/>
      <c r="D883" s="8"/>
      <c r="E883" s="8"/>
      <c r="F883" s="8"/>
      <c r="G883" s="8"/>
      <c r="H883" s="8"/>
      <c r="I883" s="8"/>
      <c r="J883" s="215"/>
      <c r="K883" s="126"/>
      <c r="L883" s="126"/>
      <c r="M883" s="126"/>
      <c r="N883" s="126"/>
      <c r="O883" s="8"/>
      <c r="P883" s="8"/>
      <c r="Q883" s="129"/>
      <c r="R883" s="1369"/>
      <c r="S883" s="126"/>
      <c r="T883" s="8"/>
      <c r="U883" s="1359"/>
      <c r="V883" s="8"/>
      <c r="W883" s="8"/>
      <c r="X883" s="8"/>
      <c r="Y883" s="8"/>
      <c r="Z883" s="8"/>
      <c r="AA883" s="8"/>
    </row>
    <row r="884">
      <c r="A884" s="8"/>
      <c r="B884" s="8"/>
      <c r="C884" s="8"/>
      <c r="D884" s="8"/>
      <c r="E884" s="8"/>
      <c r="F884" s="8"/>
      <c r="G884" s="8"/>
      <c r="H884" s="8"/>
      <c r="I884" s="8"/>
      <c r="J884" s="215"/>
      <c r="K884" s="126"/>
      <c r="L884" s="126"/>
      <c r="M884" s="126"/>
      <c r="N884" s="126"/>
      <c r="O884" s="8"/>
      <c r="P884" s="8"/>
      <c r="Q884" s="129"/>
      <c r="R884" s="1369"/>
      <c r="S884" s="126"/>
      <c r="T884" s="8"/>
      <c r="U884" s="1359"/>
      <c r="V884" s="8"/>
      <c r="W884" s="8"/>
      <c r="X884" s="8"/>
      <c r="Y884" s="8"/>
      <c r="Z884" s="8"/>
      <c r="AA884" s="8"/>
    </row>
    <row r="885">
      <c r="A885" s="8"/>
      <c r="B885" s="8"/>
      <c r="C885" s="8"/>
      <c r="D885" s="8"/>
      <c r="E885" s="8"/>
      <c r="F885" s="8"/>
      <c r="G885" s="8"/>
      <c r="H885" s="8"/>
      <c r="I885" s="8"/>
      <c r="J885" s="215"/>
      <c r="K885" s="126"/>
      <c r="L885" s="126"/>
      <c r="M885" s="126"/>
      <c r="N885" s="126"/>
      <c r="O885" s="8"/>
      <c r="P885" s="8"/>
      <c r="Q885" s="129"/>
      <c r="R885" s="1369"/>
      <c r="S885" s="126"/>
      <c r="T885" s="8"/>
      <c r="U885" s="1359"/>
      <c r="V885" s="8"/>
      <c r="W885" s="8"/>
      <c r="X885" s="8"/>
      <c r="Y885" s="8"/>
      <c r="Z885" s="8"/>
      <c r="AA885" s="8"/>
    </row>
    <row r="886">
      <c r="A886" s="8"/>
      <c r="B886" s="8"/>
      <c r="C886" s="8"/>
      <c r="D886" s="8"/>
      <c r="E886" s="8"/>
      <c r="F886" s="8"/>
      <c r="G886" s="8"/>
      <c r="H886" s="8"/>
      <c r="I886" s="8"/>
      <c r="J886" s="215"/>
      <c r="K886" s="126"/>
      <c r="L886" s="126"/>
      <c r="M886" s="126"/>
      <c r="N886" s="126"/>
      <c r="O886" s="8"/>
      <c r="P886" s="8"/>
      <c r="Q886" s="129"/>
      <c r="R886" s="1369"/>
      <c r="S886" s="126"/>
      <c r="T886" s="8"/>
      <c r="U886" s="1359"/>
      <c r="V886" s="8"/>
      <c r="W886" s="8"/>
      <c r="X886" s="8"/>
      <c r="Y886" s="8"/>
      <c r="Z886" s="8"/>
      <c r="AA886" s="8"/>
    </row>
    <row r="887">
      <c r="A887" s="8"/>
      <c r="B887" s="8"/>
      <c r="C887" s="8"/>
      <c r="D887" s="8"/>
      <c r="E887" s="8"/>
      <c r="F887" s="8"/>
      <c r="G887" s="8"/>
      <c r="H887" s="8"/>
      <c r="I887" s="8"/>
      <c r="J887" s="215"/>
      <c r="K887" s="126"/>
      <c r="L887" s="126"/>
      <c r="M887" s="126"/>
      <c r="N887" s="126"/>
      <c r="O887" s="8"/>
      <c r="P887" s="8"/>
      <c r="Q887" s="129"/>
      <c r="R887" s="1369"/>
      <c r="S887" s="126"/>
      <c r="T887" s="8"/>
      <c r="U887" s="1359"/>
      <c r="V887" s="8"/>
      <c r="W887" s="8"/>
      <c r="X887" s="8"/>
      <c r="Y887" s="8"/>
      <c r="Z887" s="8"/>
      <c r="AA887" s="8"/>
    </row>
    <row r="888">
      <c r="A888" s="8"/>
      <c r="B888" s="8"/>
      <c r="C888" s="8"/>
      <c r="D888" s="8"/>
      <c r="E888" s="8"/>
      <c r="F888" s="8"/>
      <c r="G888" s="8"/>
      <c r="H888" s="8"/>
      <c r="I888" s="8"/>
      <c r="J888" s="215"/>
      <c r="K888" s="126"/>
      <c r="L888" s="126"/>
      <c r="M888" s="126"/>
      <c r="N888" s="126"/>
      <c r="O888" s="8"/>
      <c r="P888" s="8"/>
      <c r="Q888" s="129"/>
      <c r="R888" s="1369"/>
      <c r="S888" s="126"/>
      <c r="T888" s="8"/>
      <c r="U888" s="1359"/>
      <c r="V888" s="8"/>
      <c r="W888" s="8"/>
      <c r="X888" s="8"/>
      <c r="Y888" s="8"/>
      <c r="Z888" s="8"/>
      <c r="AA888" s="8"/>
    </row>
    <row r="889">
      <c r="A889" s="8"/>
      <c r="B889" s="8"/>
      <c r="C889" s="8"/>
      <c r="D889" s="8"/>
      <c r="E889" s="8"/>
      <c r="F889" s="8"/>
      <c r="G889" s="8"/>
      <c r="H889" s="8"/>
      <c r="I889" s="8"/>
      <c r="J889" s="215"/>
      <c r="K889" s="126"/>
      <c r="L889" s="126"/>
      <c r="M889" s="126"/>
      <c r="N889" s="126"/>
      <c r="O889" s="8"/>
      <c r="P889" s="8"/>
      <c r="Q889" s="129"/>
      <c r="R889" s="1369"/>
      <c r="S889" s="126"/>
      <c r="T889" s="8"/>
      <c r="U889" s="1359"/>
      <c r="V889" s="8"/>
      <c r="W889" s="8"/>
      <c r="X889" s="8"/>
      <c r="Y889" s="8"/>
      <c r="Z889" s="8"/>
      <c r="AA889" s="8"/>
    </row>
    <row r="890">
      <c r="A890" s="8"/>
      <c r="B890" s="8"/>
      <c r="C890" s="8"/>
      <c r="D890" s="8"/>
      <c r="E890" s="8"/>
      <c r="F890" s="8"/>
      <c r="G890" s="8"/>
      <c r="H890" s="8"/>
      <c r="I890" s="8"/>
      <c r="J890" s="215"/>
      <c r="K890" s="126"/>
      <c r="L890" s="126"/>
      <c r="M890" s="126"/>
      <c r="N890" s="126"/>
      <c r="O890" s="8"/>
      <c r="P890" s="8"/>
      <c r="Q890" s="129"/>
      <c r="R890" s="1369"/>
      <c r="S890" s="126"/>
      <c r="T890" s="8"/>
      <c r="U890" s="1359"/>
      <c r="V890" s="8"/>
      <c r="W890" s="8"/>
      <c r="X890" s="8"/>
      <c r="Y890" s="8"/>
      <c r="Z890" s="8"/>
      <c r="AA890" s="8"/>
    </row>
    <row r="891">
      <c r="A891" s="8"/>
      <c r="B891" s="8"/>
      <c r="C891" s="8"/>
      <c r="D891" s="8"/>
      <c r="E891" s="8"/>
      <c r="F891" s="8"/>
      <c r="G891" s="8"/>
      <c r="H891" s="8"/>
      <c r="I891" s="8"/>
      <c r="J891" s="215"/>
      <c r="K891" s="126"/>
      <c r="L891" s="126"/>
      <c r="M891" s="126"/>
      <c r="N891" s="126"/>
      <c r="O891" s="8"/>
      <c r="P891" s="8"/>
      <c r="Q891" s="129"/>
      <c r="R891" s="1369"/>
      <c r="S891" s="126"/>
      <c r="T891" s="8"/>
      <c r="U891" s="1359"/>
      <c r="V891" s="8"/>
      <c r="W891" s="8"/>
      <c r="X891" s="8"/>
      <c r="Y891" s="8"/>
      <c r="Z891" s="8"/>
      <c r="AA891" s="8"/>
    </row>
    <row r="892">
      <c r="A892" s="8"/>
      <c r="B892" s="8"/>
      <c r="C892" s="8"/>
      <c r="D892" s="8"/>
      <c r="E892" s="8"/>
      <c r="F892" s="8"/>
      <c r="G892" s="8"/>
      <c r="H892" s="8"/>
      <c r="I892" s="8"/>
      <c r="J892" s="215"/>
      <c r="K892" s="126"/>
      <c r="L892" s="126"/>
      <c r="M892" s="126"/>
      <c r="N892" s="126"/>
      <c r="O892" s="8"/>
      <c r="P892" s="8"/>
      <c r="Q892" s="129"/>
      <c r="R892" s="1369"/>
      <c r="S892" s="126"/>
      <c r="T892" s="8"/>
      <c r="U892" s="1359"/>
      <c r="V892" s="8"/>
      <c r="W892" s="8"/>
      <c r="X892" s="8"/>
      <c r="Y892" s="8"/>
      <c r="Z892" s="8"/>
      <c r="AA892" s="8"/>
    </row>
    <row r="893">
      <c r="A893" s="8"/>
      <c r="B893" s="8"/>
      <c r="C893" s="8"/>
      <c r="D893" s="8"/>
      <c r="E893" s="8"/>
      <c r="F893" s="8"/>
      <c r="G893" s="8"/>
      <c r="H893" s="8"/>
      <c r="I893" s="8"/>
      <c r="J893" s="215"/>
      <c r="K893" s="126"/>
      <c r="L893" s="126"/>
      <c r="M893" s="126"/>
      <c r="N893" s="126"/>
      <c r="O893" s="8"/>
      <c r="P893" s="8"/>
      <c r="Q893" s="129"/>
      <c r="R893" s="1369"/>
      <c r="S893" s="126"/>
      <c r="T893" s="8"/>
      <c r="U893" s="1359"/>
      <c r="V893" s="8"/>
      <c r="W893" s="8"/>
      <c r="X893" s="8"/>
      <c r="Y893" s="8"/>
      <c r="Z893" s="8"/>
      <c r="AA893" s="8"/>
    </row>
    <row r="894">
      <c r="A894" s="8"/>
      <c r="B894" s="8"/>
      <c r="C894" s="8"/>
      <c r="D894" s="8"/>
      <c r="E894" s="8"/>
      <c r="F894" s="8"/>
      <c r="G894" s="8"/>
      <c r="H894" s="8"/>
      <c r="I894" s="8"/>
      <c r="J894" s="215"/>
      <c r="K894" s="126"/>
      <c r="L894" s="126"/>
      <c r="M894" s="126"/>
      <c r="N894" s="126"/>
      <c r="O894" s="8"/>
      <c r="P894" s="8"/>
      <c r="Q894" s="129"/>
      <c r="R894" s="1369"/>
      <c r="S894" s="126"/>
      <c r="T894" s="8"/>
      <c r="U894" s="1359"/>
      <c r="V894" s="8"/>
      <c r="W894" s="8"/>
      <c r="X894" s="8"/>
      <c r="Y894" s="8"/>
      <c r="Z894" s="8"/>
      <c r="AA894" s="8"/>
    </row>
    <row r="895">
      <c r="A895" s="8"/>
      <c r="B895" s="8"/>
      <c r="C895" s="8"/>
      <c r="D895" s="8"/>
      <c r="E895" s="8"/>
      <c r="F895" s="8"/>
      <c r="G895" s="8"/>
      <c r="H895" s="8"/>
      <c r="I895" s="8"/>
      <c r="J895" s="215"/>
      <c r="K895" s="126"/>
      <c r="L895" s="126"/>
      <c r="M895" s="126"/>
      <c r="N895" s="126"/>
      <c r="O895" s="8"/>
      <c r="P895" s="8"/>
      <c r="Q895" s="129"/>
      <c r="R895" s="1369"/>
      <c r="S895" s="126"/>
      <c r="T895" s="8"/>
      <c r="U895" s="1359"/>
      <c r="V895" s="8"/>
      <c r="W895" s="8"/>
      <c r="X895" s="8"/>
      <c r="Y895" s="8"/>
      <c r="Z895" s="8"/>
      <c r="AA895" s="8"/>
    </row>
    <row r="896">
      <c r="A896" s="8"/>
      <c r="B896" s="8"/>
      <c r="C896" s="8"/>
      <c r="D896" s="8"/>
      <c r="E896" s="8"/>
      <c r="F896" s="8"/>
      <c r="G896" s="8"/>
      <c r="H896" s="8"/>
      <c r="I896" s="8"/>
      <c r="J896" s="215"/>
      <c r="K896" s="126"/>
      <c r="L896" s="126"/>
      <c r="M896" s="126"/>
      <c r="N896" s="126"/>
      <c r="O896" s="8"/>
      <c r="P896" s="8"/>
      <c r="Q896" s="129"/>
      <c r="R896" s="1369"/>
      <c r="S896" s="126"/>
      <c r="T896" s="8"/>
      <c r="U896" s="1359"/>
      <c r="V896" s="8"/>
      <c r="W896" s="8"/>
      <c r="X896" s="8"/>
      <c r="Y896" s="8"/>
      <c r="Z896" s="8"/>
      <c r="AA896" s="8"/>
    </row>
    <row r="897">
      <c r="A897" s="8"/>
      <c r="B897" s="8"/>
      <c r="C897" s="8"/>
      <c r="D897" s="8"/>
      <c r="E897" s="8"/>
      <c r="F897" s="8"/>
      <c r="G897" s="8"/>
      <c r="H897" s="8"/>
      <c r="I897" s="8"/>
      <c r="J897" s="215"/>
      <c r="K897" s="126"/>
      <c r="L897" s="126"/>
      <c r="M897" s="126"/>
      <c r="N897" s="126"/>
      <c r="O897" s="8"/>
      <c r="P897" s="8"/>
      <c r="Q897" s="129"/>
      <c r="R897" s="1369"/>
      <c r="S897" s="126"/>
      <c r="T897" s="8"/>
      <c r="U897" s="1359"/>
      <c r="V897" s="8"/>
      <c r="W897" s="8"/>
      <c r="X897" s="8"/>
      <c r="Y897" s="8"/>
      <c r="Z897" s="8"/>
      <c r="AA897" s="8"/>
    </row>
    <row r="898">
      <c r="A898" s="8"/>
      <c r="B898" s="8"/>
      <c r="C898" s="8"/>
      <c r="D898" s="8"/>
      <c r="E898" s="8"/>
      <c r="F898" s="8"/>
      <c r="G898" s="8"/>
      <c r="H898" s="8"/>
      <c r="I898" s="8"/>
      <c r="J898" s="215"/>
      <c r="K898" s="126"/>
      <c r="L898" s="126"/>
      <c r="M898" s="126"/>
      <c r="N898" s="126"/>
      <c r="O898" s="8"/>
      <c r="P898" s="8"/>
      <c r="Q898" s="129"/>
      <c r="R898" s="1369"/>
      <c r="S898" s="126"/>
      <c r="T898" s="8"/>
      <c r="U898" s="1359"/>
      <c r="V898" s="8"/>
      <c r="W898" s="8"/>
      <c r="X898" s="8"/>
      <c r="Y898" s="8"/>
      <c r="Z898" s="8"/>
      <c r="AA898" s="8"/>
    </row>
    <row r="899">
      <c r="A899" s="8"/>
      <c r="B899" s="8"/>
      <c r="C899" s="8"/>
      <c r="D899" s="8"/>
      <c r="E899" s="8"/>
      <c r="F899" s="8"/>
      <c r="G899" s="8"/>
      <c r="H899" s="8"/>
      <c r="I899" s="8"/>
      <c r="J899" s="215"/>
      <c r="K899" s="126"/>
      <c r="L899" s="126"/>
      <c r="M899" s="126"/>
      <c r="N899" s="126"/>
      <c r="O899" s="8"/>
      <c r="P899" s="8"/>
      <c r="Q899" s="129"/>
      <c r="R899" s="1369"/>
      <c r="S899" s="126"/>
      <c r="T899" s="8"/>
      <c r="U899" s="1359"/>
      <c r="V899" s="8"/>
      <c r="W899" s="8"/>
      <c r="X899" s="8"/>
      <c r="Y899" s="8"/>
      <c r="Z899" s="8"/>
      <c r="AA899" s="8"/>
    </row>
    <row r="900">
      <c r="A900" s="8"/>
      <c r="B900" s="8"/>
      <c r="C900" s="8"/>
      <c r="D900" s="8"/>
      <c r="E900" s="8"/>
      <c r="F900" s="8"/>
      <c r="G900" s="8"/>
      <c r="H900" s="8"/>
      <c r="I900" s="8"/>
      <c r="J900" s="215"/>
      <c r="K900" s="126"/>
      <c r="L900" s="126"/>
      <c r="M900" s="126"/>
      <c r="N900" s="126"/>
      <c r="O900" s="8"/>
      <c r="P900" s="8"/>
      <c r="Q900" s="129"/>
      <c r="R900" s="1369"/>
      <c r="S900" s="126"/>
      <c r="T900" s="8"/>
      <c r="U900" s="1359"/>
      <c r="V900" s="8"/>
      <c r="W900" s="8"/>
      <c r="X900" s="8"/>
      <c r="Y900" s="8"/>
      <c r="Z900" s="8"/>
      <c r="AA900" s="8"/>
    </row>
    <row r="901">
      <c r="A901" s="8"/>
      <c r="B901" s="8"/>
      <c r="C901" s="8"/>
      <c r="D901" s="8"/>
      <c r="E901" s="8"/>
      <c r="F901" s="8"/>
      <c r="G901" s="8"/>
      <c r="H901" s="8"/>
      <c r="I901" s="8"/>
      <c r="J901" s="215"/>
      <c r="K901" s="126"/>
      <c r="L901" s="126"/>
      <c r="M901" s="126"/>
      <c r="N901" s="126"/>
      <c r="O901" s="8"/>
      <c r="P901" s="8"/>
      <c r="Q901" s="129"/>
      <c r="R901" s="1369"/>
      <c r="S901" s="126"/>
      <c r="T901" s="8"/>
      <c r="U901" s="1359"/>
      <c r="V901" s="8"/>
      <c r="W901" s="8"/>
      <c r="X901" s="8"/>
      <c r="Y901" s="8"/>
      <c r="Z901" s="8"/>
      <c r="AA901" s="8"/>
    </row>
    <row r="902">
      <c r="A902" s="8"/>
      <c r="B902" s="8"/>
      <c r="C902" s="8"/>
      <c r="D902" s="8"/>
      <c r="E902" s="8"/>
      <c r="F902" s="8"/>
      <c r="G902" s="8"/>
      <c r="H902" s="8"/>
      <c r="I902" s="8"/>
      <c r="J902" s="215"/>
      <c r="K902" s="126"/>
      <c r="L902" s="126"/>
      <c r="M902" s="126"/>
      <c r="N902" s="126"/>
      <c r="O902" s="8"/>
      <c r="P902" s="8"/>
      <c r="Q902" s="129"/>
      <c r="R902" s="1369"/>
      <c r="S902" s="126"/>
      <c r="T902" s="8"/>
      <c r="U902" s="1359"/>
      <c r="V902" s="8"/>
      <c r="W902" s="8"/>
      <c r="X902" s="8"/>
      <c r="Y902" s="8"/>
      <c r="Z902" s="8"/>
      <c r="AA902" s="8"/>
    </row>
    <row r="903">
      <c r="A903" s="8"/>
      <c r="B903" s="8"/>
      <c r="C903" s="8"/>
      <c r="D903" s="8"/>
      <c r="E903" s="8"/>
      <c r="F903" s="8"/>
      <c r="G903" s="8"/>
      <c r="H903" s="8"/>
      <c r="I903" s="8"/>
      <c r="J903" s="215"/>
      <c r="K903" s="126"/>
      <c r="L903" s="126"/>
      <c r="M903" s="126"/>
      <c r="N903" s="126"/>
      <c r="O903" s="8"/>
      <c r="P903" s="8"/>
      <c r="Q903" s="129"/>
      <c r="R903" s="1369"/>
      <c r="S903" s="126"/>
      <c r="T903" s="8"/>
      <c r="U903" s="1359"/>
      <c r="V903" s="8"/>
      <c r="W903" s="8"/>
      <c r="X903" s="8"/>
      <c r="Y903" s="8"/>
      <c r="Z903" s="8"/>
      <c r="AA903" s="8"/>
    </row>
    <row r="904">
      <c r="A904" s="8"/>
      <c r="B904" s="8"/>
      <c r="C904" s="8"/>
      <c r="D904" s="8"/>
      <c r="E904" s="8"/>
      <c r="F904" s="8"/>
      <c r="G904" s="8"/>
      <c r="H904" s="8"/>
      <c r="I904" s="8"/>
      <c r="J904" s="215"/>
      <c r="K904" s="126"/>
      <c r="L904" s="126"/>
      <c r="M904" s="126"/>
      <c r="N904" s="126"/>
      <c r="O904" s="8"/>
      <c r="P904" s="8"/>
      <c r="Q904" s="129"/>
      <c r="R904" s="1369"/>
      <c r="S904" s="126"/>
      <c r="T904" s="8"/>
      <c r="U904" s="1359"/>
      <c r="V904" s="8"/>
      <c r="W904" s="8"/>
      <c r="X904" s="8"/>
      <c r="Y904" s="8"/>
      <c r="Z904" s="8"/>
      <c r="AA904" s="8"/>
    </row>
    <row r="905">
      <c r="A905" s="8"/>
      <c r="B905" s="8"/>
      <c r="C905" s="8"/>
      <c r="D905" s="8"/>
      <c r="E905" s="8"/>
      <c r="F905" s="8"/>
      <c r="G905" s="8"/>
      <c r="H905" s="8"/>
      <c r="I905" s="8"/>
      <c r="J905" s="215"/>
      <c r="K905" s="126"/>
      <c r="L905" s="126"/>
      <c r="M905" s="126"/>
      <c r="N905" s="126"/>
      <c r="O905" s="8"/>
      <c r="P905" s="8"/>
      <c r="Q905" s="129"/>
      <c r="R905" s="1369"/>
      <c r="S905" s="126"/>
      <c r="T905" s="8"/>
      <c r="U905" s="1359"/>
      <c r="V905" s="8"/>
      <c r="W905" s="8"/>
      <c r="X905" s="8"/>
      <c r="Y905" s="8"/>
      <c r="Z905" s="8"/>
      <c r="AA905" s="8"/>
    </row>
    <row r="906">
      <c r="A906" s="8"/>
      <c r="B906" s="8"/>
      <c r="C906" s="8"/>
      <c r="D906" s="8"/>
      <c r="E906" s="8"/>
      <c r="F906" s="8"/>
      <c r="G906" s="8"/>
      <c r="H906" s="8"/>
      <c r="I906" s="8"/>
      <c r="J906" s="215"/>
      <c r="K906" s="126"/>
      <c r="L906" s="126"/>
      <c r="M906" s="126"/>
      <c r="N906" s="126"/>
      <c r="O906" s="8"/>
      <c r="P906" s="8"/>
      <c r="Q906" s="129"/>
      <c r="R906" s="1369"/>
      <c r="S906" s="126"/>
      <c r="T906" s="8"/>
      <c r="U906" s="1359"/>
      <c r="V906" s="8"/>
      <c r="W906" s="8"/>
      <c r="X906" s="8"/>
      <c r="Y906" s="8"/>
      <c r="Z906" s="8"/>
      <c r="AA906" s="8"/>
    </row>
    <row r="907">
      <c r="A907" s="8"/>
      <c r="B907" s="8"/>
      <c r="C907" s="8"/>
      <c r="D907" s="8"/>
      <c r="E907" s="8"/>
      <c r="F907" s="8"/>
      <c r="G907" s="8"/>
      <c r="H907" s="8"/>
      <c r="I907" s="8"/>
      <c r="J907" s="215"/>
      <c r="K907" s="126"/>
      <c r="L907" s="126"/>
      <c r="M907" s="126"/>
      <c r="N907" s="126"/>
      <c r="O907" s="8"/>
      <c r="P907" s="8"/>
      <c r="Q907" s="129"/>
      <c r="R907" s="1369"/>
      <c r="S907" s="126"/>
      <c r="T907" s="8"/>
      <c r="U907" s="1359"/>
      <c r="V907" s="8"/>
      <c r="W907" s="8"/>
      <c r="X907" s="8"/>
      <c r="Y907" s="8"/>
      <c r="Z907" s="8"/>
      <c r="AA907" s="8"/>
    </row>
    <row r="908">
      <c r="A908" s="8"/>
      <c r="B908" s="8"/>
      <c r="C908" s="8"/>
      <c r="D908" s="8"/>
      <c r="E908" s="8"/>
      <c r="F908" s="8"/>
      <c r="G908" s="8"/>
      <c r="H908" s="8"/>
      <c r="I908" s="8"/>
      <c r="J908" s="215"/>
      <c r="K908" s="126"/>
      <c r="L908" s="126"/>
      <c r="M908" s="126"/>
      <c r="N908" s="126"/>
      <c r="O908" s="8"/>
      <c r="P908" s="8"/>
      <c r="Q908" s="129"/>
      <c r="R908" s="1369"/>
      <c r="S908" s="126"/>
      <c r="T908" s="8"/>
      <c r="U908" s="1359"/>
      <c r="V908" s="8"/>
      <c r="W908" s="8"/>
      <c r="X908" s="8"/>
      <c r="Y908" s="8"/>
      <c r="Z908" s="8"/>
      <c r="AA908" s="8"/>
    </row>
    <row r="909">
      <c r="A909" s="8"/>
      <c r="B909" s="8"/>
      <c r="C909" s="8"/>
      <c r="D909" s="8"/>
      <c r="E909" s="8"/>
      <c r="F909" s="8"/>
      <c r="G909" s="8"/>
      <c r="H909" s="8"/>
      <c r="I909" s="8"/>
      <c r="J909" s="215"/>
      <c r="K909" s="126"/>
      <c r="L909" s="126"/>
      <c r="M909" s="126"/>
      <c r="N909" s="126"/>
      <c r="O909" s="8"/>
      <c r="P909" s="8"/>
      <c r="Q909" s="129"/>
      <c r="R909" s="1369"/>
      <c r="S909" s="126"/>
      <c r="T909" s="8"/>
      <c r="U909" s="1359"/>
      <c r="V909" s="8"/>
      <c r="W909" s="8"/>
      <c r="X909" s="8"/>
      <c r="Y909" s="8"/>
      <c r="Z909" s="8"/>
      <c r="AA909" s="8"/>
    </row>
    <row r="910">
      <c r="A910" s="8"/>
      <c r="B910" s="8"/>
      <c r="C910" s="8"/>
      <c r="D910" s="8"/>
      <c r="E910" s="8"/>
      <c r="F910" s="8"/>
      <c r="G910" s="8"/>
      <c r="H910" s="8"/>
      <c r="I910" s="8"/>
      <c r="J910" s="215"/>
      <c r="K910" s="126"/>
      <c r="L910" s="126"/>
      <c r="M910" s="126"/>
      <c r="N910" s="126"/>
      <c r="O910" s="8"/>
      <c r="P910" s="8"/>
      <c r="Q910" s="129"/>
      <c r="R910" s="1369"/>
      <c r="S910" s="126"/>
      <c r="T910" s="8"/>
      <c r="U910" s="1359"/>
      <c r="V910" s="8"/>
      <c r="W910" s="8"/>
      <c r="X910" s="8"/>
      <c r="Y910" s="8"/>
      <c r="Z910" s="8"/>
      <c r="AA910" s="8"/>
    </row>
    <row r="911">
      <c r="A911" s="8"/>
      <c r="B911" s="8"/>
      <c r="C911" s="8"/>
      <c r="D911" s="8"/>
      <c r="E911" s="8"/>
      <c r="F911" s="8"/>
      <c r="G911" s="8"/>
      <c r="H911" s="8"/>
      <c r="I911" s="8"/>
      <c r="J911" s="215"/>
      <c r="K911" s="126"/>
      <c r="L911" s="126"/>
      <c r="M911" s="126"/>
      <c r="N911" s="126"/>
      <c r="O911" s="8"/>
      <c r="P911" s="8"/>
      <c r="Q911" s="129"/>
      <c r="R911" s="1369"/>
      <c r="S911" s="126"/>
      <c r="T911" s="8"/>
      <c r="U911" s="1359"/>
      <c r="V911" s="8"/>
      <c r="W911" s="8"/>
      <c r="X911" s="8"/>
      <c r="Y911" s="8"/>
      <c r="Z911" s="8"/>
      <c r="AA911" s="8"/>
    </row>
    <row r="912">
      <c r="A912" s="8"/>
      <c r="B912" s="8"/>
      <c r="C912" s="8"/>
      <c r="D912" s="8"/>
      <c r="E912" s="8"/>
      <c r="F912" s="8"/>
      <c r="G912" s="8"/>
      <c r="H912" s="8"/>
      <c r="I912" s="8"/>
      <c r="J912" s="215"/>
      <c r="K912" s="126"/>
      <c r="L912" s="126"/>
      <c r="M912" s="126"/>
      <c r="N912" s="126"/>
      <c r="O912" s="8"/>
      <c r="P912" s="8"/>
      <c r="Q912" s="129"/>
      <c r="R912" s="1369"/>
      <c r="S912" s="126"/>
      <c r="T912" s="8"/>
      <c r="U912" s="1359"/>
      <c r="V912" s="8"/>
      <c r="W912" s="8"/>
      <c r="X912" s="8"/>
      <c r="Y912" s="8"/>
      <c r="Z912" s="8"/>
      <c r="AA912" s="8"/>
    </row>
    <row r="913">
      <c r="A913" s="8"/>
      <c r="B913" s="8"/>
      <c r="C913" s="8"/>
      <c r="D913" s="8"/>
      <c r="E913" s="8"/>
      <c r="F913" s="8"/>
      <c r="G913" s="8"/>
      <c r="H913" s="8"/>
      <c r="I913" s="8"/>
      <c r="J913" s="215"/>
      <c r="K913" s="126"/>
      <c r="L913" s="126"/>
      <c r="M913" s="126"/>
      <c r="N913" s="126"/>
      <c r="O913" s="8"/>
      <c r="P913" s="8"/>
      <c r="Q913" s="129"/>
      <c r="R913" s="1369"/>
      <c r="S913" s="126"/>
      <c r="T913" s="8"/>
      <c r="U913" s="1359"/>
      <c r="V913" s="8"/>
      <c r="W913" s="8"/>
      <c r="X913" s="8"/>
      <c r="Y913" s="8"/>
      <c r="Z913" s="8"/>
      <c r="AA913" s="8"/>
    </row>
    <row r="914">
      <c r="A914" s="8"/>
      <c r="B914" s="8"/>
      <c r="C914" s="8"/>
      <c r="D914" s="8"/>
      <c r="E914" s="8"/>
      <c r="F914" s="8"/>
      <c r="G914" s="8"/>
      <c r="H914" s="8"/>
      <c r="I914" s="8"/>
      <c r="J914" s="215"/>
      <c r="K914" s="126"/>
      <c r="L914" s="126"/>
      <c r="M914" s="126"/>
      <c r="N914" s="126"/>
      <c r="O914" s="8"/>
      <c r="P914" s="8"/>
      <c r="Q914" s="129"/>
      <c r="R914" s="1369"/>
      <c r="S914" s="126"/>
      <c r="T914" s="8"/>
      <c r="U914" s="1359"/>
      <c r="V914" s="8"/>
      <c r="W914" s="8"/>
      <c r="X914" s="8"/>
      <c r="Y914" s="8"/>
      <c r="Z914" s="8"/>
      <c r="AA914" s="8"/>
    </row>
    <row r="915">
      <c r="A915" s="8"/>
      <c r="B915" s="8"/>
      <c r="C915" s="8"/>
      <c r="D915" s="8"/>
      <c r="E915" s="8"/>
      <c r="F915" s="8"/>
      <c r="G915" s="8"/>
      <c r="H915" s="8"/>
      <c r="I915" s="8"/>
      <c r="J915" s="215"/>
      <c r="K915" s="126"/>
      <c r="L915" s="126"/>
      <c r="M915" s="126"/>
      <c r="N915" s="126"/>
      <c r="O915" s="8"/>
      <c r="P915" s="8"/>
      <c r="Q915" s="129"/>
      <c r="R915" s="1369"/>
      <c r="S915" s="126"/>
      <c r="T915" s="8"/>
      <c r="U915" s="1359"/>
      <c r="V915" s="8"/>
      <c r="W915" s="8"/>
      <c r="X915" s="8"/>
      <c r="Y915" s="8"/>
      <c r="Z915" s="8"/>
      <c r="AA915" s="8"/>
    </row>
    <row r="916">
      <c r="A916" s="8"/>
      <c r="B916" s="8"/>
      <c r="C916" s="8"/>
      <c r="D916" s="8"/>
      <c r="E916" s="8"/>
      <c r="F916" s="8"/>
      <c r="G916" s="8"/>
      <c r="H916" s="8"/>
      <c r="I916" s="8"/>
      <c r="J916" s="215"/>
      <c r="K916" s="126"/>
      <c r="L916" s="126"/>
      <c r="M916" s="126"/>
      <c r="N916" s="126"/>
      <c r="O916" s="8"/>
      <c r="P916" s="8"/>
      <c r="Q916" s="129"/>
      <c r="R916" s="1369"/>
      <c r="S916" s="126"/>
      <c r="T916" s="8"/>
      <c r="U916" s="1359"/>
      <c r="V916" s="8"/>
      <c r="W916" s="8"/>
      <c r="X916" s="8"/>
      <c r="Y916" s="8"/>
      <c r="Z916" s="8"/>
      <c r="AA916" s="8"/>
    </row>
    <row r="917">
      <c r="A917" s="8"/>
      <c r="B917" s="8"/>
      <c r="C917" s="8"/>
      <c r="D917" s="8"/>
      <c r="E917" s="8"/>
      <c r="F917" s="8"/>
      <c r="G917" s="8"/>
      <c r="H917" s="8"/>
      <c r="I917" s="8"/>
      <c r="J917" s="215"/>
      <c r="K917" s="126"/>
      <c r="L917" s="126"/>
      <c r="M917" s="126"/>
      <c r="N917" s="126"/>
      <c r="O917" s="8"/>
      <c r="P917" s="8"/>
      <c r="Q917" s="129"/>
      <c r="R917" s="1369"/>
      <c r="S917" s="126"/>
      <c r="T917" s="8"/>
      <c r="U917" s="1359"/>
      <c r="V917" s="8"/>
      <c r="W917" s="8"/>
      <c r="X917" s="8"/>
      <c r="Y917" s="8"/>
      <c r="Z917" s="8"/>
      <c r="AA917" s="8"/>
    </row>
    <row r="918">
      <c r="A918" s="8"/>
      <c r="B918" s="8"/>
      <c r="C918" s="8"/>
      <c r="D918" s="8"/>
      <c r="E918" s="8"/>
      <c r="F918" s="8"/>
      <c r="G918" s="8"/>
      <c r="H918" s="8"/>
      <c r="I918" s="8"/>
      <c r="J918" s="215"/>
      <c r="K918" s="126"/>
      <c r="L918" s="126"/>
      <c r="M918" s="126"/>
      <c r="N918" s="126"/>
      <c r="O918" s="8"/>
      <c r="P918" s="8"/>
      <c r="Q918" s="129"/>
      <c r="R918" s="1369"/>
      <c r="S918" s="126"/>
      <c r="T918" s="8"/>
      <c r="U918" s="1359"/>
      <c r="V918" s="8"/>
      <c r="W918" s="8"/>
      <c r="X918" s="8"/>
      <c r="Y918" s="8"/>
      <c r="Z918" s="8"/>
      <c r="AA918" s="8"/>
    </row>
    <row r="919">
      <c r="A919" s="8"/>
      <c r="B919" s="8"/>
      <c r="C919" s="8"/>
      <c r="D919" s="8"/>
      <c r="E919" s="8"/>
      <c r="F919" s="8"/>
      <c r="G919" s="8"/>
      <c r="H919" s="8"/>
      <c r="I919" s="8"/>
      <c r="J919" s="215"/>
      <c r="K919" s="126"/>
      <c r="L919" s="126"/>
      <c r="M919" s="126"/>
      <c r="N919" s="126"/>
      <c r="O919" s="8"/>
      <c r="P919" s="8"/>
      <c r="Q919" s="129"/>
      <c r="R919" s="1369"/>
      <c r="S919" s="126"/>
      <c r="T919" s="8"/>
      <c r="U919" s="1359"/>
      <c r="V919" s="8"/>
      <c r="W919" s="8"/>
      <c r="X919" s="8"/>
      <c r="Y919" s="8"/>
      <c r="Z919" s="8"/>
      <c r="AA919" s="8"/>
    </row>
    <row r="920">
      <c r="A920" s="8"/>
      <c r="B920" s="8"/>
      <c r="C920" s="8"/>
      <c r="D920" s="8"/>
      <c r="E920" s="8"/>
      <c r="F920" s="8"/>
      <c r="G920" s="8"/>
      <c r="H920" s="8"/>
      <c r="I920" s="8"/>
      <c r="J920" s="215"/>
      <c r="K920" s="126"/>
      <c r="L920" s="126"/>
      <c r="M920" s="126"/>
      <c r="N920" s="126"/>
      <c r="O920" s="8"/>
      <c r="P920" s="8"/>
      <c r="Q920" s="129"/>
      <c r="R920" s="1369"/>
      <c r="S920" s="126"/>
      <c r="T920" s="8"/>
      <c r="U920" s="1359"/>
      <c r="V920" s="8"/>
      <c r="W920" s="8"/>
      <c r="X920" s="8"/>
      <c r="Y920" s="8"/>
      <c r="Z920" s="8"/>
      <c r="AA920" s="8"/>
    </row>
    <row r="921">
      <c r="A921" s="8"/>
      <c r="B921" s="8"/>
      <c r="C921" s="8"/>
      <c r="D921" s="8"/>
      <c r="E921" s="8"/>
      <c r="F921" s="8"/>
      <c r="G921" s="8"/>
      <c r="H921" s="8"/>
      <c r="I921" s="8"/>
      <c r="J921" s="215"/>
      <c r="K921" s="126"/>
      <c r="L921" s="126"/>
      <c r="M921" s="126"/>
      <c r="N921" s="126"/>
      <c r="O921" s="8"/>
      <c r="P921" s="8"/>
      <c r="Q921" s="129"/>
      <c r="R921" s="1369"/>
      <c r="S921" s="126"/>
      <c r="T921" s="8"/>
      <c r="U921" s="1359"/>
      <c r="V921" s="8"/>
      <c r="W921" s="8"/>
      <c r="X921" s="8"/>
      <c r="Y921" s="8"/>
      <c r="Z921" s="8"/>
      <c r="AA921" s="8"/>
    </row>
    <row r="922">
      <c r="A922" s="8"/>
      <c r="B922" s="8"/>
      <c r="C922" s="8"/>
      <c r="D922" s="8"/>
      <c r="E922" s="8"/>
      <c r="F922" s="8"/>
      <c r="G922" s="8"/>
      <c r="H922" s="8"/>
      <c r="I922" s="8"/>
      <c r="J922" s="215"/>
      <c r="K922" s="126"/>
      <c r="L922" s="126"/>
      <c r="M922" s="126"/>
      <c r="N922" s="126"/>
      <c r="O922" s="8"/>
      <c r="P922" s="8"/>
      <c r="Q922" s="129"/>
      <c r="R922" s="1369"/>
      <c r="S922" s="126"/>
      <c r="T922" s="8"/>
      <c r="U922" s="1359"/>
      <c r="V922" s="8"/>
      <c r="W922" s="8"/>
      <c r="X922" s="8"/>
      <c r="Y922" s="8"/>
      <c r="Z922" s="8"/>
      <c r="AA922" s="8"/>
    </row>
    <row r="923">
      <c r="A923" s="8"/>
      <c r="B923" s="8"/>
      <c r="C923" s="8"/>
      <c r="D923" s="8"/>
      <c r="E923" s="8"/>
      <c r="F923" s="8"/>
      <c r="G923" s="8"/>
      <c r="H923" s="8"/>
      <c r="I923" s="8"/>
      <c r="J923" s="215"/>
      <c r="K923" s="126"/>
      <c r="L923" s="126"/>
      <c r="M923" s="126"/>
      <c r="N923" s="126"/>
      <c r="O923" s="8"/>
      <c r="P923" s="8"/>
      <c r="Q923" s="129"/>
      <c r="R923" s="1369"/>
      <c r="S923" s="126"/>
      <c r="T923" s="8"/>
      <c r="U923" s="1359"/>
      <c r="V923" s="8"/>
      <c r="W923" s="8"/>
      <c r="X923" s="8"/>
      <c r="Y923" s="8"/>
      <c r="Z923" s="8"/>
      <c r="AA923" s="8"/>
    </row>
    <row r="924">
      <c r="A924" s="8"/>
      <c r="B924" s="8"/>
      <c r="C924" s="8"/>
      <c r="D924" s="8"/>
      <c r="E924" s="8"/>
      <c r="F924" s="8"/>
      <c r="G924" s="8"/>
      <c r="H924" s="8"/>
      <c r="I924" s="8"/>
      <c r="J924" s="215"/>
      <c r="K924" s="126"/>
      <c r="L924" s="126"/>
      <c r="M924" s="126"/>
      <c r="N924" s="126"/>
      <c r="O924" s="8"/>
      <c r="P924" s="8"/>
      <c r="Q924" s="129"/>
      <c r="R924" s="1369"/>
      <c r="S924" s="126"/>
      <c r="T924" s="8"/>
      <c r="U924" s="1359"/>
      <c r="V924" s="8"/>
      <c r="W924" s="8"/>
      <c r="X924" s="8"/>
      <c r="Y924" s="8"/>
      <c r="Z924" s="8"/>
      <c r="AA924" s="8"/>
    </row>
    <row r="925">
      <c r="A925" s="8"/>
      <c r="B925" s="8"/>
      <c r="C925" s="8"/>
      <c r="D925" s="8"/>
      <c r="E925" s="8"/>
      <c r="F925" s="8"/>
      <c r="G925" s="8"/>
      <c r="H925" s="8"/>
      <c r="I925" s="8"/>
      <c r="J925" s="215"/>
      <c r="K925" s="126"/>
      <c r="L925" s="126"/>
      <c r="M925" s="126"/>
      <c r="N925" s="126"/>
      <c r="O925" s="8"/>
      <c r="P925" s="8"/>
      <c r="Q925" s="129"/>
      <c r="R925" s="1369"/>
      <c r="S925" s="126"/>
      <c r="T925" s="8"/>
      <c r="U925" s="1359"/>
      <c r="V925" s="8"/>
      <c r="W925" s="8"/>
      <c r="X925" s="8"/>
      <c r="Y925" s="8"/>
      <c r="Z925" s="8"/>
      <c r="AA925" s="8"/>
    </row>
    <row r="926">
      <c r="A926" s="8"/>
      <c r="B926" s="8"/>
      <c r="C926" s="8"/>
      <c r="D926" s="8"/>
      <c r="E926" s="8"/>
      <c r="F926" s="8"/>
      <c r="G926" s="8"/>
      <c r="H926" s="8"/>
      <c r="I926" s="8"/>
      <c r="J926" s="215"/>
      <c r="K926" s="126"/>
      <c r="L926" s="126"/>
      <c r="M926" s="126"/>
      <c r="N926" s="126"/>
      <c r="O926" s="8"/>
      <c r="P926" s="8"/>
      <c r="Q926" s="129"/>
      <c r="R926" s="1369"/>
      <c r="S926" s="126"/>
      <c r="T926" s="8"/>
      <c r="U926" s="1359"/>
      <c r="V926" s="8"/>
      <c r="W926" s="8"/>
      <c r="X926" s="8"/>
      <c r="Y926" s="8"/>
      <c r="Z926" s="8"/>
      <c r="AA926" s="8"/>
    </row>
    <row r="927">
      <c r="A927" s="8"/>
      <c r="B927" s="8"/>
      <c r="C927" s="8"/>
      <c r="D927" s="8"/>
      <c r="E927" s="8"/>
      <c r="F927" s="8"/>
      <c r="G927" s="8"/>
      <c r="H927" s="8"/>
      <c r="I927" s="8"/>
      <c r="J927" s="215"/>
      <c r="K927" s="126"/>
      <c r="L927" s="126"/>
      <c r="M927" s="126"/>
      <c r="N927" s="126"/>
      <c r="O927" s="8"/>
      <c r="P927" s="8"/>
      <c r="Q927" s="129"/>
      <c r="R927" s="1369"/>
      <c r="S927" s="126"/>
      <c r="T927" s="8"/>
      <c r="U927" s="1359"/>
      <c r="V927" s="8"/>
      <c r="W927" s="8"/>
      <c r="X927" s="8"/>
      <c r="Y927" s="8"/>
      <c r="Z927" s="8"/>
      <c r="AA927" s="8"/>
    </row>
    <row r="928">
      <c r="A928" s="8"/>
      <c r="B928" s="8"/>
      <c r="C928" s="8"/>
      <c r="D928" s="8"/>
      <c r="E928" s="8"/>
      <c r="F928" s="8"/>
      <c r="G928" s="8"/>
      <c r="H928" s="8"/>
      <c r="I928" s="8"/>
      <c r="J928" s="215"/>
      <c r="K928" s="126"/>
      <c r="L928" s="126"/>
      <c r="M928" s="126"/>
      <c r="N928" s="126"/>
      <c r="O928" s="8"/>
      <c r="P928" s="8"/>
      <c r="Q928" s="129"/>
      <c r="R928" s="1369"/>
      <c r="S928" s="126"/>
      <c r="T928" s="8"/>
      <c r="U928" s="1359"/>
      <c r="V928" s="8"/>
      <c r="W928" s="8"/>
      <c r="X928" s="8"/>
      <c r="Y928" s="8"/>
      <c r="Z928" s="8"/>
      <c r="AA928" s="8"/>
    </row>
    <row r="929">
      <c r="A929" s="8"/>
      <c r="B929" s="8"/>
      <c r="C929" s="8"/>
      <c r="D929" s="8"/>
      <c r="E929" s="8"/>
      <c r="F929" s="8"/>
      <c r="G929" s="8"/>
      <c r="H929" s="8"/>
      <c r="I929" s="8"/>
      <c r="J929" s="215"/>
      <c r="K929" s="126"/>
      <c r="L929" s="126"/>
      <c r="M929" s="126"/>
      <c r="N929" s="126"/>
      <c r="O929" s="8"/>
      <c r="P929" s="8"/>
      <c r="Q929" s="129"/>
      <c r="R929" s="1369"/>
      <c r="S929" s="126"/>
      <c r="T929" s="8"/>
      <c r="U929" s="1359"/>
      <c r="V929" s="8"/>
      <c r="W929" s="8"/>
      <c r="X929" s="8"/>
      <c r="Y929" s="8"/>
      <c r="Z929" s="8"/>
      <c r="AA929" s="8"/>
    </row>
    <row r="930">
      <c r="A930" s="8"/>
      <c r="B930" s="8"/>
      <c r="C930" s="8"/>
      <c r="D930" s="8"/>
      <c r="E930" s="8"/>
      <c r="F930" s="8"/>
      <c r="G930" s="8"/>
      <c r="H930" s="8"/>
      <c r="I930" s="8"/>
      <c r="J930" s="215"/>
      <c r="K930" s="126"/>
      <c r="L930" s="126"/>
      <c r="M930" s="126"/>
      <c r="N930" s="126"/>
      <c r="O930" s="8"/>
      <c r="P930" s="8"/>
      <c r="Q930" s="129"/>
      <c r="R930" s="1369"/>
      <c r="S930" s="126"/>
      <c r="T930" s="8"/>
      <c r="U930" s="1359"/>
      <c r="V930" s="8"/>
      <c r="W930" s="8"/>
      <c r="X930" s="8"/>
      <c r="Y930" s="8"/>
      <c r="Z930" s="8"/>
      <c r="AA930" s="8"/>
    </row>
    <row r="931">
      <c r="A931" s="8"/>
      <c r="B931" s="8"/>
      <c r="C931" s="8"/>
      <c r="D931" s="8"/>
      <c r="E931" s="8"/>
      <c r="F931" s="8"/>
      <c r="G931" s="8"/>
      <c r="H931" s="8"/>
      <c r="I931" s="8"/>
      <c r="J931" s="215"/>
      <c r="K931" s="126"/>
      <c r="L931" s="126"/>
      <c r="M931" s="126"/>
      <c r="N931" s="126"/>
      <c r="O931" s="8"/>
      <c r="P931" s="8"/>
      <c r="Q931" s="129"/>
      <c r="R931" s="1369"/>
      <c r="S931" s="126"/>
      <c r="T931" s="8"/>
      <c r="U931" s="1359"/>
      <c r="V931" s="8"/>
      <c r="W931" s="8"/>
      <c r="X931" s="8"/>
      <c r="Y931" s="8"/>
      <c r="Z931" s="8"/>
      <c r="AA931" s="8"/>
    </row>
    <row r="932">
      <c r="A932" s="8"/>
      <c r="B932" s="8"/>
      <c r="C932" s="8"/>
      <c r="D932" s="8"/>
      <c r="E932" s="8"/>
      <c r="F932" s="8"/>
      <c r="G932" s="8"/>
      <c r="H932" s="8"/>
      <c r="I932" s="8"/>
      <c r="J932" s="215"/>
      <c r="K932" s="126"/>
      <c r="L932" s="126"/>
      <c r="M932" s="126"/>
      <c r="N932" s="126"/>
      <c r="O932" s="8"/>
      <c r="P932" s="8"/>
      <c r="Q932" s="129"/>
      <c r="R932" s="1369"/>
      <c r="S932" s="126"/>
      <c r="T932" s="8"/>
      <c r="U932" s="1359"/>
      <c r="V932" s="8"/>
      <c r="W932" s="8"/>
      <c r="X932" s="8"/>
      <c r="Y932" s="8"/>
      <c r="Z932" s="8"/>
      <c r="AA932" s="8"/>
    </row>
    <row r="933">
      <c r="A933" s="8"/>
      <c r="B933" s="8"/>
      <c r="C933" s="8"/>
      <c r="D933" s="8"/>
      <c r="E933" s="8"/>
      <c r="F933" s="8"/>
      <c r="G933" s="8"/>
      <c r="H933" s="8"/>
      <c r="I933" s="8"/>
      <c r="J933" s="215"/>
      <c r="K933" s="126"/>
      <c r="L933" s="126"/>
      <c r="M933" s="126"/>
      <c r="N933" s="126"/>
      <c r="O933" s="8"/>
      <c r="P933" s="8"/>
      <c r="Q933" s="129"/>
      <c r="R933" s="1369"/>
      <c r="S933" s="126"/>
      <c r="T933" s="8"/>
      <c r="U933" s="1359"/>
      <c r="V933" s="8"/>
      <c r="W933" s="8"/>
      <c r="X933" s="8"/>
      <c r="Y933" s="8"/>
      <c r="Z933" s="8"/>
      <c r="AA933" s="8"/>
    </row>
    <row r="934">
      <c r="A934" s="8"/>
      <c r="B934" s="8"/>
      <c r="C934" s="8"/>
      <c r="D934" s="8"/>
      <c r="E934" s="8"/>
      <c r="F934" s="8"/>
      <c r="G934" s="8"/>
      <c r="H934" s="8"/>
      <c r="I934" s="8"/>
      <c r="J934" s="215"/>
      <c r="K934" s="126"/>
      <c r="L934" s="126"/>
      <c r="M934" s="126"/>
      <c r="N934" s="126"/>
      <c r="O934" s="8"/>
      <c r="P934" s="8"/>
      <c r="Q934" s="129"/>
      <c r="R934" s="1369"/>
      <c r="S934" s="126"/>
      <c r="T934" s="8"/>
      <c r="U934" s="1359"/>
      <c r="V934" s="8"/>
      <c r="W934" s="8"/>
      <c r="X934" s="8"/>
      <c r="Y934" s="8"/>
      <c r="Z934" s="8"/>
      <c r="AA934" s="8"/>
    </row>
    <row r="935">
      <c r="A935" s="8"/>
      <c r="B935" s="8"/>
      <c r="C935" s="8"/>
      <c r="D935" s="8"/>
      <c r="E935" s="8"/>
      <c r="F935" s="8"/>
      <c r="G935" s="8"/>
      <c r="H935" s="8"/>
      <c r="I935" s="8"/>
      <c r="J935" s="215"/>
      <c r="K935" s="126"/>
      <c r="L935" s="126"/>
      <c r="M935" s="126"/>
      <c r="N935" s="126"/>
      <c r="O935" s="8"/>
      <c r="P935" s="8"/>
      <c r="Q935" s="129"/>
      <c r="R935" s="1369"/>
      <c r="S935" s="126"/>
      <c r="T935" s="8"/>
      <c r="U935" s="1359"/>
      <c r="V935" s="8"/>
      <c r="W935" s="8"/>
      <c r="X935" s="8"/>
      <c r="Y935" s="8"/>
      <c r="Z935" s="8"/>
      <c r="AA935" s="8"/>
    </row>
    <row r="936">
      <c r="A936" s="8"/>
      <c r="B936" s="8"/>
      <c r="C936" s="8"/>
      <c r="D936" s="8"/>
      <c r="E936" s="8"/>
      <c r="F936" s="8"/>
      <c r="G936" s="8"/>
      <c r="H936" s="8"/>
      <c r="I936" s="8"/>
      <c r="J936" s="215"/>
      <c r="K936" s="126"/>
      <c r="L936" s="126"/>
      <c r="M936" s="126"/>
      <c r="N936" s="126"/>
      <c r="O936" s="8"/>
      <c r="P936" s="8"/>
      <c r="Q936" s="129"/>
      <c r="R936" s="1369"/>
      <c r="S936" s="126"/>
      <c r="T936" s="8"/>
      <c r="U936" s="1359"/>
      <c r="V936" s="8"/>
      <c r="W936" s="8"/>
      <c r="X936" s="8"/>
      <c r="Y936" s="8"/>
      <c r="Z936" s="8"/>
      <c r="AA936" s="8"/>
    </row>
    <row r="937">
      <c r="A937" s="8"/>
      <c r="B937" s="8"/>
      <c r="C937" s="8"/>
      <c r="D937" s="8"/>
      <c r="E937" s="8"/>
      <c r="F937" s="8"/>
      <c r="G937" s="8"/>
      <c r="H937" s="8"/>
      <c r="I937" s="8"/>
      <c r="J937" s="215"/>
      <c r="K937" s="126"/>
      <c r="L937" s="126"/>
      <c r="M937" s="126"/>
      <c r="N937" s="126"/>
      <c r="O937" s="8"/>
      <c r="P937" s="8"/>
      <c r="Q937" s="129"/>
      <c r="R937" s="1369"/>
      <c r="S937" s="126"/>
      <c r="T937" s="8"/>
      <c r="U937" s="1359"/>
      <c r="V937" s="8"/>
      <c r="W937" s="8"/>
      <c r="X937" s="8"/>
      <c r="Y937" s="8"/>
      <c r="Z937" s="8"/>
      <c r="AA937" s="8"/>
    </row>
    <row r="938">
      <c r="A938" s="8"/>
      <c r="B938" s="8"/>
      <c r="C938" s="8"/>
      <c r="D938" s="8"/>
      <c r="E938" s="8"/>
      <c r="F938" s="8"/>
      <c r="G938" s="8"/>
      <c r="H938" s="8"/>
      <c r="I938" s="8"/>
      <c r="J938" s="215"/>
      <c r="K938" s="126"/>
      <c r="L938" s="126"/>
      <c r="M938" s="126"/>
      <c r="N938" s="126"/>
      <c r="O938" s="8"/>
      <c r="P938" s="8"/>
      <c r="Q938" s="129"/>
      <c r="R938" s="1369"/>
      <c r="S938" s="126"/>
      <c r="T938" s="8"/>
      <c r="U938" s="1359"/>
      <c r="V938" s="8"/>
      <c r="W938" s="8"/>
      <c r="X938" s="8"/>
      <c r="Y938" s="8"/>
      <c r="Z938" s="8"/>
      <c r="AA938" s="8"/>
    </row>
    <row r="939">
      <c r="A939" s="8"/>
      <c r="B939" s="8"/>
      <c r="C939" s="8"/>
      <c r="D939" s="8"/>
      <c r="E939" s="8"/>
      <c r="F939" s="8"/>
      <c r="G939" s="8"/>
      <c r="H939" s="8"/>
      <c r="I939" s="8"/>
      <c r="J939" s="215"/>
      <c r="K939" s="126"/>
      <c r="L939" s="126"/>
      <c r="M939" s="126"/>
      <c r="N939" s="126"/>
      <c r="O939" s="8"/>
      <c r="P939" s="8"/>
      <c r="Q939" s="129"/>
      <c r="R939" s="1369"/>
      <c r="S939" s="126"/>
      <c r="T939" s="8"/>
      <c r="U939" s="1359"/>
      <c r="V939" s="8"/>
      <c r="W939" s="8"/>
      <c r="X939" s="8"/>
      <c r="Y939" s="8"/>
      <c r="Z939" s="8"/>
      <c r="AA939" s="8"/>
    </row>
    <row r="940">
      <c r="A940" s="8"/>
      <c r="B940" s="8"/>
      <c r="C940" s="8"/>
      <c r="D940" s="8"/>
      <c r="E940" s="8"/>
      <c r="F940" s="8"/>
      <c r="G940" s="8"/>
      <c r="H940" s="8"/>
      <c r="I940" s="8"/>
      <c r="J940" s="215"/>
      <c r="K940" s="126"/>
      <c r="L940" s="126"/>
      <c r="M940" s="126"/>
      <c r="N940" s="126"/>
      <c r="O940" s="8"/>
      <c r="P940" s="8"/>
      <c r="Q940" s="129"/>
      <c r="R940" s="1369"/>
      <c r="S940" s="126"/>
      <c r="T940" s="8"/>
      <c r="U940" s="1359"/>
      <c r="V940" s="8"/>
      <c r="W940" s="8"/>
      <c r="X940" s="8"/>
      <c r="Y940" s="8"/>
      <c r="Z940" s="8"/>
      <c r="AA940" s="8"/>
    </row>
    <row r="941">
      <c r="A941" s="8"/>
      <c r="B941" s="8"/>
      <c r="C941" s="8"/>
      <c r="D941" s="8"/>
      <c r="E941" s="8"/>
      <c r="F941" s="8"/>
      <c r="G941" s="8"/>
      <c r="H941" s="8"/>
      <c r="I941" s="8"/>
      <c r="J941" s="215"/>
      <c r="K941" s="126"/>
      <c r="L941" s="126"/>
      <c r="M941" s="126"/>
      <c r="N941" s="126"/>
      <c r="O941" s="8"/>
      <c r="P941" s="8"/>
      <c r="Q941" s="129"/>
      <c r="R941" s="1369"/>
      <c r="S941" s="126"/>
      <c r="T941" s="8"/>
      <c r="U941" s="1359"/>
      <c r="V941" s="8"/>
      <c r="W941" s="8"/>
      <c r="X941" s="8"/>
      <c r="Y941" s="8"/>
      <c r="Z941" s="8"/>
      <c r="AA941" s="8"/>
    </row>
    <row r="942">
      <c r="A942" s="8"/>
      <c r="B942" s="8"/>
      <c r="C942" s="8"/>
      <c r="D942" s="8"/>
      <c r="E942" s="8"/>
      <c r="F942" s="8"/>
      <c r="G942" s="8"/>
      <c r="H942" s="8"/>
      <c r="I942" s="8"/>
      <c r="J942" s="215"/>
      <c r="K942" s="126"/>
      <c r="L942" s="126"/>
      <c r="M942" s="126"/>
      <c r="N942" s="126"/>
      <c r="O942" s="8"/>
      <c r="P942" s="8"/>
      <c r="Q942" s="129"/>
      <c r="R942" s="1369"/>
      <c r="S942" s="126"/>
      <c r="T942" s="8"/>
      <c r="U942" s="1359"/>
      <c r="V942" s="8"/>
      <c r="W942" s="8"/>
      <c r="X942" s="8"/>
      <c r="Y942" s="8"/>
      <c r="Z942" s="8"/>
      <c r="AA942" s="8"/>
    </row>
    <row r="943">
      <c r="A943" s="8"/>
      <c r="B943" s="8"/>
      <c r="C943" s="8"/>
      <c r="D943" s="8"/>
      <c r="E943" s="8"/>
      <c r="F943" s="8"/>
      <c r="G943" s="8"/>
      <c r="H943" s="8"/>
      <c r="I943" s="8"/>
      <c r="J943" s="215"/>
      <c r="K943" s="126"/>
      <c r="L943" s="126"/>
      <c r="M943" s="126"/>
      <c r="N943" s="126"/>
      <c r="O943" s="8"/>
      <c r="P943" s="8"/>
      <c r="Q943" s="129"/>
      <c r="R943" s="1369"/>
      <c r="S943" s="126"/>
      <c r="T943" s="8"/>
      <c r="U943" s="1359"/>
      <c r="V943" s="8"/>
      <c r="W943" s="8"/>
      <c r="X943" s="8"/>
      <c r="Y943" s="8"/>
      <c r="Z943" s="8"/>
      <c r="AA943" s="8"/>
    </row>
    <row r="944">
      <c r="A944" s="8"/>
      <c r="B944" s="8"/>
      <c r="C944" s="8"/>
      <c r="D944" s="8"/>
      <c r="E944" s="8"/>
      <c r="F944" s="8"/>
      <c r="G944" s="8"/>
      <c r="H944" s="8"/>
      <c r="I944" s="8"/>
      <c r="J944" s="215"/>
      <c r="K944" s="126"/>
      <c r="L944" s="126"/>
      <c r="M944" s="126"/>
      <c r="N944" s="126"/>
      <c r="O944" s="8"/>
      <c r="P944" s="8"/>
      <c r="Q944" s="129"/>
      <c r="R944" s="1369"/>
      <c r="S944" s="126"/>
      <c r="T944" s="8"/>
      <c r="U944" s="1359"/>
      <c r="V944" s="8"/>
      <c r="W944" s="8"/>
      <c r="X944" s="8"/>
      <c r="Y944" s="8"/>
      <c r="Z944" s="8"/>
      <c r="AA944" s="8"/>
    </row>
    <row r="945">
      <c r="A945" s="8"/>
      <c r="B945" s="8"/>
      <c r="C945" s="8"/>
      <c r="D945" s="8"/>
      <c r="E945" s="8"/>
      <c r="F945" s="8"/>
      <c r="G945" s="8"/>
      <c r="H945" s="8"/>
      <c r="I945" s="8"/>
      <c r="J945" s="215"/>
      <c r="K945" s="126"/>
      <c r="L945" s="126"/>
      <c r="M945" s="126"/>
      <c r="N945" s="126"/>
      <c r="O945" s="8"/>
      <c r="P945" s="8"/>
      <c r="Q945" s="129"/>
      <c r="R945" s="1369"/>
      <c r="S945" s="126"/>
      <c r="T945" s="8"/>
      <c r="U945" s="1359"/>
      <c r="V945" s="8"/>
      <c r="W945" s="8"/>
      <c r="X945" s="8"/>
      <c r="Y945" s="8"/>
      <c r="Z945" s="8"/>
      <c r="AA945" s="8"/>
    </row>
    <row r="946">
      <c r="A946" s="8"/>
      <c r="B946" s="8"/>
      <c r="C946" s="8"/>
      <c r="D946" s="8"/>
      <c r="E946" s="8"/>
      <c r="F946" s="8"/>
      <c r="G946" s="8"/>
      <c r="H946" s="8"/>
      <c r="I946" s="8"/>
      <c r="J946" s="215"/>
      <c r="K946" s="126"/>
      <c r="L946" s="126"/>
      <c r="M946" s="126"/>
      <c r="N946" s="126"/>
      <c r="O946" s="8"/>
      <c r="P946" s="8"/>
      <c r="Q946" s="129"/>
      <c r="R946" s="1369"/>
      <c r="S946" s="126"/>
      <c r="T946" s="8"/>
      <c r="U946" s="1359"/>
      <c r="V946" s="8"/>
      <c r="W946" s="8"/>
      <c r="X946" s="8"/>
      <c r="Y946" s="8"/>
      <c r="Z946" s="8"/>
      <c r="AA946" s="8"/>
    </row>
    <row r="947">
      <c r="A947" s="8"/>
      <c r="B947" s="8"/>
      <c r="C947" s="8"/>
      <c r="D947" s="8"/>
      <c r="E947" s="8"/>
      <c r="F947" s="8"/>
      <c r="G947" s="8"/>
      <c r="H947" s="8"/>
      <c r="I947" s="8"/>
      <c r="J947" s="215"/>
      <c r="K947" s="126"/>
      <c r="L947" s="126"/>
      <c r="M947" s="126"/>
      <c r="N947" s="126"/>
      <c r="O947" s="8"/>
      <c r="P947" s="8"/>
      <c r="Q947" s="129"/>
      <c r="R947" s="1369"/>
      <c r="S947" s="126"/>
      <c r="T947" s="8"/>
      <c r="U947" s="1359"/>
      <c r="V947" s="8"/>
      <c r="W947" s="8"/>
      <c r="X947" s="8"/>
      <c r="Y947" s="8"/>
      <c r="Z947" s="8"/>
      <c r="AA947" s="8"/>
    </row>
    <row r="948">
      <c r="A948" s="8"/>
      <c r="B948" s="8"/>
      <c r="C948" s="8"/>
      <c r="D948" s="8"/>
      <c r="E948" s="8"/>
      <c r="F948" s="8"/>
      <c r="G948" s="8"/>
      <c r="H948" s="8"/>
      <c r="I948" s="8"/>
      <c r="J948" s="215"/>
      <c r="K948" s="126"/>
      <c r="L948" s="126"/>
      <c r="M948" s="126"/>
      <c r="N948" s="126"/>
      <c r="O948" s="8"/>
      <c r="P948" s="8"/>
      <c r="Q948" s="129"/>
      <c r="R948" s="1369"/>
      <c r="S948" s="126"/>
      <c r="T948" s="8"/>
      <c r="U948" s="1359"/>
      <c r="V948" s="8"/>
      <c r="W948" s="8"/>
      <c r="X948" s="8"/>
      <c r="Y948" s="8"/>
      <c r="Z948" s="8"/>
      <c r="AA948" s="8"/>
    </row>
    <row r="949">
      <c r="A949" s="8"/>
      <c r="B949" s="8"/>
      <c r="C949" s="8"/>
      <c r="D949" s="8"/>
      <c r="E949" s="8"/>
      <c r="F949" s="8"/>
      <c r="G949" s="8"/>
      <c r="H949" s="8"/>
      <c r="I949" s="8"/>
      <c r="J949" s="215"/>
      <c r="K949" s="126"/>
      <c r="L949" s="126"/>
      <c r="M949" s="126"/>
      <c r="N949" s="126"/>
      <c r="O949" s="8"/>
      <c r="P949" s="8"/>
      <c r="Q949" s="129"/>
      <c r="R949" s="1369"/>
      <c r="S949" s="126"/>
      <c r="T949" s="8"/>
      <c r="U949" s="1359"/>
      <c r="V949" s="8"/>
      <c r="W949" s="8"/>
      <c r="X949" s="8"/>
      <c r="Y949" s="8"/>
      <c r="Z949" s="8"/>
      <c r="AA949" s="8"/>
    </row>
    <row r="950">
      <c r="A950" s="8"/>
      <c r="B950" s="8"/>
      <c r="C950" s="8"/>
      <c r="D950" s="8"/>
      <c r="E950" s="8"/>
      <c r="F950" s="8"/>
      <c r="G950" s="8"/>
      <c r="H950" s="8"/>
      <c r="I950" s="8"/>
      <c r="J950" s="215"/>
      <c r="K950" s="126"/>
      <c r="L950" s="126"/>
      <c r="M950" s="126"/>
      <c r="N950" s="126"/>
      <c r="O950" s="8"/>
      <c r="P950" s="8"/>
      <c r="Q950" s="129"/>
      <c r="R950" s="1369"/>
      <c r="S950" s="126"/>
      <c r="T950" s="8"/>
      <c r="U950" s="1359"/>
      <c r="V950" s="8"/>
      <c r="W950" s="8"/>
      <c r="X950" s="8"/>
      <c r="Y950" s="8"/>
      <c r="Z950" s="8"/>
      <c r="AA950" s="8"/>
    </row>
    <row r="951">
      <c r="A951" s="8"/>
      <c r="B951" s="8"/>
      <c r="C951" s="8"/>
      <c r="D951" s="8"/>
      <c r="E951" s="8"/>
      <c r="F951" s="8"/>
      <c r="G951" s="8"/>
      <c r="H951" s="8"/>
      <c r="I951" s="8"/>
      <c r="J951" s="215"/>
      <c r="K951" s="126"/>
      <c r="L951" s="126"/>
      <c r="M951" s="126"/>
      <c r="N951" s="126"/>
      <c r="O951" s="8"/>
      <c r="P951" s="8"/>
      <c r="Q951" s="129"/>
      <c r="R951" s="1369"/>
      <c r="S951" s="126"/>
      <c r="T951" s="8"/>
      <c r="U951" s="1359"/>
      <c r="V951" s="8"/>
      <c r="W951" s="8"/>
      <c r="X951" s="8"/>
      <c r="Y951" s="8"/>
      <c r="Z951" s="8"/>
      <c r="AA951" s="8"/>
    </row>
    <row r="952">
      <c r="A952" s="8"/>
      <c r="B952" s="8"/>
      <c r="C952" s="8"/>
      <c r="D952" s="8"/>
      <c r="E952" s="8"/>
      <c r="F952" s="8"/>
      <c r="G952" s="8"/>
      <c r="H952" s="8"/>
      <c r="I952" s="8"/>
      <c r="J952" s="215"/>
      <c r="K952" s="126"/>
      <c r="L952" s="126"/>
      <c r="M952" s="126"/>
      <c r="N952" s="126"/>
      <c r="O952" s="8"/>
      <c r="P952" s="8"/>
      <c r="Q952" s="129"/>
      <c r="R952" s="1369"/>
      <c r="S952" s="126"/>
      <c r="T952" s="8"/>
      <c r="U952" s="1359"/>
      <c r="V952" s="8"/>
      <c r="W952" s="8"/>
      <c r="X952" s="8"/>
      <c r="Y952" s="8"/>
      <c r="Z952" s="8"/>
      <c r="AA952" s="8"/>
    </row>
    <row r="953">
      <c r="A953" s="8"/>
      <c r="B953" s="8"/>
      <c r="C953" s="8"/>
      <c r="D953" s="8"/>
      <c r="E953" s="8"/>
      <c r="F953" s="8"/>
      <c r="G953" s="8"/>
      <c r="H953" s="8"/>
      <c r="I953" s="8"/>
      <c r="J953" s="215"/>
      <c r="K953" s="126"/>
      <c r="L953" s="126"/>
      <c r="M953" s="126"/>
      <c r="N953" s="126"/>
      <c r="O953" s="8"/>
      <c r="P953" s="8"/>
      <c r="Q953" s="129"/>
      <c r="R953" s="1369"/>
      <c r="S953" s="126"/>
      <c r="T953" s="8"/>
      <c r="U953" s="1359"/>
      <c r="V953" s="8"/>
      <c r="W953" s="8"/>
      <c r="X953" s="8"/>
      <c r="Y953" s="8"/>
      <c r="Z953" s="8"/>
      <c r="AA953" s="8"/>
    </row>
    <row r="954">
      <c r="A954" s="8"/>
      <c r="B954" s="8"/>
      <c r="C954" s="8"/>
      <c r="D954" s="8"/>
      <c r="E954" s="8"/>
      <c r="F954" s="8"/>
      <c r="G954" s="8"/>
      <c r="H954" s="8"/>
      <c r="I954" s="8"/>
      <c r="J954" s="215"/>
      <c r="K954" s="126"/>
      <c r="L954" s="126"/>
      <c r="M954" s="126"/>
      <c r="N954" s="126"/>
      <c r="O954" s="8"/>
      <c r="P954" s="8"/>
      <c r="Q954" s="129"/>
      <c r="R954" s="1369"/>
      <c r="S954" s="126"/>
      <c r="T954" s="8"/>
      <c r="U954" s="1359"/>
      <c r="V954" s="8"/>
      <c r="W954" s="8"/>
      <c r="X954" s="8"/>
      <c r="Y954" s="8"/>
      <c r="Z954" s="8"/>
      <c r="AA954" s="8"/>
    </row>
    <row r="955">
      <c r="A955" s="8"/>
      <c r="B955" s="8"/>
      <c r="C955" s="8"/>
      <c r="D955" s="8"/>
      <c r="E955" s="8"/>
      <c r="F955" s="8"/>
      <c r="G955" s="8"/>
      <c r="H955" s="8"/>
      <c r="I955" s="8"/>
      <c r="J955" s="215"/>
      <c r="K955" s="126"/>
      <c r="L955" s="126"/>
      <c r="M955" s="126"/>
      <c r="N955" s="126"/>
      <c r="O955" s="8"/>
      <c r="P955" s="8"/>
      <c r="Q955" s="129"/>
      <c r="R955" s="1369"/>
      <c r="S955" s="126"/>
      <c r="T955" s="8"/>
      <c r="U955" s="1359"/>
      <c r="V955" s="8"/>
      <c r="W955" s="8"/>
      <c r="X955" s="8"/>
      <c r="Y955" s="8"/>
      <c r="Z955" s="8"/>
      <c r="AA955" s="8"/>
    </row>
    <row r="956">
      <c r="A956" s="8"/>
      <c r="B956" s="8"/>
      <c r="C956" s="8"/>
      <c r="D956" s="8"/>
      <c r="E956" s="8"/>
      <c r="F956" s="8"/>
      <c r="G956" s="8"/>
      <c r="H956" s="8"/>
      <c r="I956" s="8"/>
      <c r="J956" s="215"/>
      <c r="K956" s="126"/>
      <c r="L956" s="126"/>
      <c r="M956" s="126"/>
      <c r="N956" s="126"/>
      <c r="O956" s="8"/>
      <c r="P956" s="8"/>
      <c r="Q956" s="129"/>
      <c r="R956" s="1369"/>
      <c r="S956" s="126"/>
      <c r="T956" s="8"/>
      <c r="U956" s="1359"/>
      <c r="V956" s="8"/>
      <c r="W956" s="8"/>
      <c r="X956" s="8"/>
      <c r="Y956" s="8"/>
      <c r="Z956" s="8"/>
      <c r="AA956" s="8"/>
    </row>
    <row r="957">
      <c r="A957" s="8"/>
      <c r="B957" s="8"/>
      <c r="C957" s="8"/>
      <c r="D957" s="8"/>
      <c r="E957" s="8"/>
      <c r="F957" s="8"/>
      <c r="G957" s="8"/>
      <c r="H957" s="8"/>
      <c r="I957" s="8"/>
      <c r="J957" s="215"/>
      <c r="K957" s="126"/>
      <c r="L957" s="126"/>
      <c r="M957" s="126"/>
      <c r="N957" s="126"/>
      <c r="O957" s="8"/>
      <c r="P957" s="8"/>
      <c r="Q957" s="129"/>
      <c r="R957" s="1369"/>
      <c r="S957" s="126"/>
      <c r="T957" s="8"/>
      <c r="U957" s="1359"/>
      <c r="V957" s="8"/>
      <c r="W957" s="8"/>
      <c r="X957" s="8"/>
      <c r="Y957" s="8"/>
      <c r="Z957" s="8"/>
      <c r="AA957" s="8"/>
    </row>
    <row r="958">
      <c r="A958" s="8"/>
      <c r="B958" s="8"/>
      <c r="C958" s="8"/>
      <c r="D958" s="8"/>
      <c r="E958" s="8"/>
      <c r="F958" s="8"/>
      <c r="G958" s="8"/>
      <c r="H958" s="8"/>
      <c r="I958" s="8"/>
      <c r="J958" s="215"/>
      <c r="K958" s="126"/>
      <c r="L958" s="126"/>
      <c r="M958" s="126"/>
      <c r="N958" s="126"/>
      <c r="O958" s="8"/>
      <c r="P958" s="8"/>
      <c r="Q958" s="129"/>
      <c r="R958" s="1369"/>
      <c r="S958" s="126"/>
      <c r="T958" s="8"/>
      <c r="U958" s="1359"/>
      <c r="V958" s="8"/>
      <c r="W958" s="8"/>
      <c r="X958" s="8"/>
      <c r="Y958" s="8"/>
      <c r="Z958" s="8"/>
      <c r="AA958" s="8"/>
    </row>
    <row r="959">
      <c r="A959" s="8"/>
      <c r="B959" s="8"/>
      <c r="C959" s="8"/>
      <c r="D959" s="8"/>
      <c r="E959" s="8"/>
      <c r="F959" s="8"/>
      <c r="G959" s="8"/>
      <c r="H959" s="8"/>
      <c r="I959" s="8"/>
      <c r="J959" s="215"/>
      <c r="K959" s="126"/>
      <c r="L959" s="126"/>
      <c r="M959" s="126"/>
      <c r="N959" s="126"/>
      <c r="O959" s="8"/>
      <c r="P959" s="8"/>
      <c r="Q959" s="129"/>
      <c r="R959" s="1369"/>
      <c r="S959" s="126"/>
      <c r="T959" s="8"/>
      <c r="U959" s="1359"/>
      <c r="V959" s="8"/>
      <c r="W959" s="8"/>
      <c r="X959" s="8"/>
      <c r="Y959" s="8"/>
      <c r="Z959" s="8"/>
      <c r="AA959" s="8"/>
    </row>
    <row r="960">
      <c r="A960" s="8"/>
      <c r="B960" s="8"/>
      <c r="C960" s="8"/>
      <c r="D960" s="8"/>
      <c r="E960" s="8"/>
      <c r="F960" s="8"/>
      <c r="G960" s="8"/>
      <c r="H960" s="8"/>
      <c r="I960" s="8"/>
      <c r="J960" s="215"/>
      <c r="K960" s="126"/>
      <c r="L960" s="126"/>
      <c r="M960" s="126"/>
      <c r="N960" s="126"/>
      <c r="O960" s="8"/>
      <c r="P960" s="8"/>
      <c r="Q960" s="129"/>
      <c r="R960" s="1369"/>
      <c r="S960" s="126"/>
      <c r="T960" s="8"/>
      <c r="U960" s="1359"/>
      <c r="V960" s="8"/>
      <c r="W960" s="8"/>
      <c r="X960" s="8"/>
      <c r="Y960" s="8"/>
      <c r="Z960" s="8"/>
      <c r="AA960" s="8"/>
    </row>
    <row r="961">
      <c r="A961" s="8"/>
      <c r="B961" s="8"/>
      <c r="C961" s="8"/>
      <c r="D961" s="8"/>
      <c r="E961" s="8"/>
      <c r="F961" s="8"/>
      <c r="G961" s="8"/>
      <c r="H961" s="8"/>
      <c r="I961" s="8"/>
      <c r="J961" s="215"/>
      <c r="K961" s="126"/>
      <c r="L961" s="126"/>
      <c r="M961" s="126"/>
      <c r="N961" s="126"/>
      <c r="O961" s="8"/>
      <c r="P961" s="8"/>
      <c r="Q961" s="129"/>
      <c r="R961" s="1369"/>
      <c r="S961" s="126"/>
      <c r="T961" s="8"/>
      <c r="U961" s="1359"/>
      <c r="V961" s="8"/>
      <c r="W961" s="8"/>
      <c r="X961" s="8"/>
      <c r="Y961" s="8"/>
      <c r="Z961" s="8"/>
      <c r="AA961" s="8"/>
    </row>
    <row r="962">
      <c r="A962" s="8"/>
      <c r="B962" s="8"/>
      <c r="C962" s="8"/>
      <c r="D962" s="8"/>
      <c r="E962" s="8"/>
      <c r="F962" s="8"/>
      <c r="G962" s="8"/>
      <c r="H962" s="8"/>
      <c r="I962" s="8"/>
      <c r="J962" s="215"/>
      <c r="K962" s="126"/>
      <c r="L962" s="126"/>
      <c r="M962" s="126"/>
      <c r="N962" s="126"/>
      <c r="O962" s="8"/>
      <c r="P962" s="8"/>
      <c r="Q962" s="129"/>
      <c r="R962" s="1369"/>
      <c r="S962" s="126"/>
      <c r="T962" s="8"/>
      <c r="U962" s="1359"/>
      <c r="V962" s="8"/>
      <c r="W962" s="8"/>
      <c r="X962" s="8"/>
      <c r="Y962" s="8"/>
      <c r="Z962" s="8"/>
      <c r="AA962" s="8"/>
    </row>
    <row r="963">
      <c r="A963" s="8"/>
      <c r="B963" s="8"/>
      <c r="C963" s="8"/>
      <c r="D963" s="8"/>
      <c r="E963" s="8"/>
      <c r="F963" s="8"/>
      <c r="G963" s="8"/>
      <c r="H963" s="8"/>
      <c r="I963" s="8"/>
      <c r="J963" s="215"/>
      <c r="K963" s="126"/>
      <c r="L963" s="126"/>
      <c r="M963" s="126"/>
      <c r="N963" s="126"/>
      <c r="O963" s="8"/>
      <c r="P963" s="8"/>
      <c r="Q963" s="129"/>
      <c r="R963" s="1369"/>
      <c r="S963" s="126"/>
      <c r="T963" s="8"/>
      <c r="U963" s="1359"/>
      <c r="V963" s="8"/>
      <c r="W963" s="8"/>
      <c r="X963" s="8"/>
      <c r="Y963" s="8"/>
      <c r="Z963" s="8"/>
      <c r="AA963" s="8"/>
    </row>
    <row r="964">
      <c r="A964" s="8"/>
      <c r="B964" s="8"/>
      <c r="C964" s="8"/>
      <c r="D964" s="8"/>
      <c r="E964" s="8"/>
      <c r="F964" s="8"/>
      <c r="G964" s="8"/>
      <c r="H964" s="8"/>
      <c r="I964" s="8"/>
      <c r="J964" s="215"/>
      <c r="K964" s="126"/>
      <c r="L964" s="126"/>
      <c r="M964" s="126"/>
      <c r="N964" s="126"/>
      <c r="O964" s="8"/>
      <c r="P964" s="8"/>
      <c r="Q964" s="129"/>
      <c r="R964" s="1369"/>
      <c r="S964" s="126"/>
      <c r="T964" s="8"/>
      <c r="U964" s="1359"/>
      <c r="V964" s="8"/>
      <c r="W964" s="8"/>
      <c r="X964" s="8"/>
      <c r="Y964" s="8"/>
      <c r="Z964" s="8"/>
      <c r="AA964" s="8"/>
    </row>
    <row r="965">
      <c r="A965" s="8"/>
      <c r="B965" s="8"/>
      <c r="C965" s="8"/>
      <c r="D965" s="8"/>
      <c r="E965" s="8"/>
      <c r="F965" s="8"/>
      <c r="G965" s="8"/>
      <c r="H965" s="8"/>
      <c r="I965" s="8"/>
      <c r="J965" s="215"/>
      <c r="K965" s="126"/>
      <c r="L965" s="126"/>
      <c r="M965" s="126"/>
      <c r="N965" s="126"/>
      <c r="O965" s="8"/>
      <c r="P965" s="8"/>
      <c r="Q965" s="129"/>
      <c r="R965" s="1369"/>
      <c r="S965" s="126"/>
      <c r="T965" s="8"/>
      <c r="U965" s="1359"/>
      <c r="V965" s="8"/>
      <c r="W965" s="8"/>
      <c r="X965" s="8"/>
      <c r="Y965" s="8"/>
      <c r="Z965" s="8"/>
      <c r="AA965" s="8"/>
    </row>
    <row r="966">
      <c r="A966" s="8"/>
      <c r="B966" s="8"/>
      <c r="C966" s="8"/>
      <c r="D966" s="8"/>
      <c r="E966" s="8"/>
      <c r="F966" s="8"/>
      <c r="G966" s="8"/>
      <c r="H966" s="8"/>
      <c r="I966" s="8"/>
      <c r="J966" s="215"/>
      <c r="K966" s="126"/>
      <c r="L966" s="126"/>
      <c r="M966" s="126"/>
      <c r="N966" s="126"/>
      <c r="O966" s="8"/>
      <c r="P966" s="8"/>
      <c r="Q966" s="129"/>
      <c r="R966" s="1369"/>
      <c r="S966" s="126"/>
      <c r="T966" s="8"/>
      <c r="U966" s="1359"/>
      <c r="V966" s="8"/>
      <c r="W966" s="8"/>
      <c r="X966" s="8"/>
      <c r="Y966" s="8"/>
      <c r="Z966" s="8"/>
      <c r="AA966" s="8"/>
    </row>
    <row r="967">
      <c r="A967" s="8"/>
      <c r="B967" s="8"/>
      <c r="C967" s="8"/>
      <c r="D967" s="8"/>
      <c r="E967" s="8"/>
      <c r="F967" s="8"/>
      <c r="G967" s="8"/>
      <c r="H967" s="8"/>
      <c r="I967" s="8"/>
      <c r="J967" s="215"/>
      <c r="K967" s="126"/>
      <c r="L967" s="126"/>
      <c r="M967" s="126"/>
      <c r="N967" s="126"/>
      <c r="O967" s="8"/>
      <c r="P967" s="8"/>
      <c r="Q967" s="129"/>
      <c r="R967" s="1369"/>
      <c r="S967" s="126"/>
      <c r="T967" s="8"/>
      <c r="U967" s="1359"/>
      <c r="V967" s="8"/>
      <c r="W967" s="8"/>
      <c r="X967" s="8"/>
      <c r="Y967" s="8"/>
      <c r="Z967" s="8"/>
      <c r="AA967" s="8"/>
    </row>
    <row r="968">
      <c r="A968" s="8"/>
      <c r="B968" s="8"/>
      <c r="C968" s="8"/>
      <c r="D968" s="8"/>
      <c r="E968" s="8"/>
      <c r="F968" s="8"/>
      <c r="G968" s="8"/>
      <c r="H968" s="8"/>
      <c r="I968" s="8"/>
      <c r="J968" s="215"/>
      <c r="K968" s="126"/>
      <c r="L968" s="126"/>
      <c r="M968" s="126"/>
      <c r="N968" s="126"/>
      <c r="O968" s="8"/>
      <c r="P968" s="8"/>
      <c r="Q968" s="129"/>
      <c r="R968" s="1369"/>
      <c r="S968" s="126"/>
      <c r="T968" s="8"/>
      <c r="U968" s="1359"/>
      <c r="V968" s="8"/>
      <c r="W968" s="8"/>
      <c r="X968" s="8"/>
      <c r="Y968" s="8"/>
      <c r="Z968" s="8"/>
      <c r="AA968" s="8"/>
    </row>
    <row r="969">
      <c r="A969" s="8"/>
      <c r="B969" s="8"/>
      <c r="C969" s="8"/>
      <c r="D969" s="8"/>
      <c r="E969" s="8"/>
      <c r="F969" s="8"/>
      <c r="G969" s="8"/>
      <c r="H969" s="8"/>
      <c r="I969" s="8"/>
      <c r="J969" s="215"/>
      <c r="K969" s="126"/>
      <c r="L969" s="126"/>
      <c r="M969" s="126"/>
      <c r="N969" s="126"/>
      <c r="O969" s="8"/>
      <c r="P969" s="8"/>
      <c r="Q969" s="129"/>
      <c r="R969" s="1369"/>
      <c r="S969" s="126"/>
      <c r="T969" s="8"/>
      <c r="U969" s="1359"/>
      <c r="V969" s="8"/>
      <c r="W969" s="8"/>
      <c r="X969" s="8"/>
      <c r="Y969" s="8"/>
      <c r="Z969" s="8"/>
      <c r="AA969" s="8"/>
    </row>
    <row r="970">
      <c r="A970" s="8"/>
      <c r="B970" s="8"/>
      <c r="C970" s="8"/>
      <c r="D970" s="8"/>
      <c r="E970" s="8"/>
      <c r="F970" s="8"/>
      <c r="G970" s="8"/>
      <c r="H970" s="8"/>
      <c r="I970" s="8"/>
      <c r="J970" s="215"/>
      <c r="K970" s="126"/>
      <c r="L970" s="126"/>
      <c r="M970" s="126"/>
      <c r="N970" s="126"/>
      <c r="O970" s="8"/>
      <c r="P970" s="8"/>
      <c r="Q970" s="129"/>
      <c r="R970" s="1369"/>
      <c r="S970" s="126"/>
      <c r="T970" s="8"/>
      <c r="U970" s="1359"/>
      <c r="V970" s="8"/>
      <c r="W970" s="8"/>
      <c r="X970" s="8"/>
      <c r="Y970" s="8"/>
      <c r="Z970" s="8"/>
      <c r="AA970" s="8"/>
    </row>
    <row r="971">
      <c r="A971" s="8"/>
      <c r="B971" s="8"/>
      <c r="C971" s="8"/>
      <c r="D971" s="8"/>
      <c r="E971" s="8"/>
      <c r="F971" s="8"/>
      <c r="G971" s="8"/>
      <c r="H971" s="8"/>
      <c r="I971" s="8"/>
      <c r="J971" s="215"/>
      <c r="K971" s="126"/>
      <c r="L971" s="126"/>
      <c r="M971" s="126"/>
      <c r="N971" s="126"/>
      <c r="O971" s="8"/>
      <c r="P971" s="8"/>
      <c r="Q971" s="129"/>
      <c r="R971" s="1369"/>
      <c r="S971" s="126"/>
      <c r="T971" s="8"/>
      <c r="U971" s="1359"/>
      <c r="V971" s="8"/>
      <c r="W971" s="8"/>
      <c r="X971" s="8"/>
      <c r="Y971" s="8"/>
      <c r="Z971" s="8"/>
      <c r="AA971" s="8"/>
    </row>
    <row r="972">
      <c r="A972" s="8"/>
      <c r="B972" s="8"/>
      <c r="C972" s="8"/>
      <c r="D972" s="8"/>
      <c r="E972" s="8"/>
      <c r="F972" s="8"/>
      <c r="G972" s="8"/>
      <c r="H972" s="8"/>
      <c r="I972" s="8"/>
      <c r="J972" s="215"/>
      <c r="K972" s="126"/>
      <c r="L972" s="126"/>
      <c r="M972" s="126"/>
      <c r="N972" s="126"/>
      <c r="O972" s="8"/>
      <c r="P972" s="8"/>
      <c r="Q972" s="129"/>
      <c r="R972" s="1369"/>
      <c r="S972" s="126"/>
      <c r="T972" s="8"/>
      <c r="U972" s="1359"/>
      <c r="V972" s="8"/>
      <c r="W972" s="8"/>
      <c r="X972" s="8"/>
      <c r="Y972" s="8"/>
      <c r="Z972" s="8"/>
      <c r="AA972" s="8"/>
    </row>
    <row r="973">
      <c r="A973" s="8"/>
      <c r="B973" s="8"/>
      <c r="C973" s="8"/>
      <c r="D973" s="8"/>
      <c r="E973" s="8"/>
      <c r="F973" s="8"/>
      <c r="G973" s="8"/>
      <c r="H973" s="8"/>
      <c r="I973" s="8"/>
      <c r="J973" s="215"/>
      <c r="K973" s="126"/>
      <c r="L973" s="126"/>
      <c r="M973" s="126"/>
      <c r="N973" s="126"/>
      <c r="O973" s="8"/>
      <c r="P973" s="8"/>
      <c r="Q973" s="129"/>
      <c r="R973" s="1369"/>
      <c r="S973" s="126"/>
      <c r="T973" s="8"/>
      <c r="U973" s="1359"/>
      <c r="V973" s="8"/>
      <c r="W973" s="8"/>
      <c r="X973" s="8"/>
      <c r="Y973" s="8"/>
      <c r="Z973" s="8"/>
      <c r="AA973" s="8"/>
    </row>
    <row r="974">
      <c r="A974" s="8"/>
      <c r="B974" s="8"/>
      <c r="C974" s="8"/>
      <c r="D974" s="8"/>
      <c r="E974" s="8"/>
      <c r="F974" s="8"/>
      <c r="G974" s="8"/>
      <c r="H974" s="8"/>
      <c r="I974" s="8"/>
      <c r="J974" s="215"/>
      <c r="K974" s="126"/>
      <c r="L974" s="126"/>
      <c r="M974" s="126"/>
      <c r="N974" s="126"/>
      <c r="O974" s="8"/>
      <c r="P974" s="8"/>
      <c r="Q974" s="129"/>
      <c r="R974" s="1369"/>
      <c r="S974" s="126"/>
      <c r="T974" s="8"/>
      <c r="U974" s="1359"/>
      <c r="V974" s="8"/>
      <c r="W974" s="8"/>
      <c r="X974" s="8"/>
      <c r="Y974" s="8"/>
      <c r="Z974" s="8"/>
      <c r="AA974" s="8"/>
    </row>
    <row r="975">
      <c r="A975" s="8"/>
      <c r="B975" s="8"/>
      <c r="C975" s="8"/>
      <c r="D975" s="8"/>
      <c r="E975" s="8"/>
      <c r="F975" s="8"/>
      <c r="G975" s="8"/>
      <c r="H975" s="8"/>
      <c r="I975" s="8"/>
      <c r="J975" s="215"/>
      <c r="K975" s="126"/>
      <c r="L975" s="126"/>
      <c r="M975" s="126"/>
      <c r="N975" s="126"/>
      <c r="O975" s="8"/>
      <c r="P975" s="8"/>
      <c r="Q975" s="129"/>
      <c r="R975" s="1369"/>
      <c r="S975" s="126"/>
      <c r="T975" s="8"/>
      <c r="U975" s="1359"/>
      <c r="V975" s="8"/>
      <c r="W975" s="8"/>
      <c r="X975" s="8"/>
      <c r="Y975" s="8"/>
      <c r="Z975" s="8"/>
      <c r="AA975" s="8"/>
    </row>
    <row r="976">
      <c r="A976" s="8"/>
      <c r="B976" s="8"/>
      <c r="C976" s="8"/>
      <c r="D976" s="8"/>
      <c r="E976" s="8"/>
      <c r="F976" s="8"/>
      <c r="G976" s="8"/>
      <c r="H976" s="8"/>
      <c r="I976" s="8"/>
      <c r="J976" s="215"/>
      <c r="K976" s="126"/>
      <c r="L976" s="126"/>
      <c r="M976" s="126"/>
      <c r="N976" s="126"/>
      <c r="O976" s="8"/>
      <c r="P976" s="8"/>
      <c r="Q976" s="129"/>
      <c r="R976" s="1369"/>
      <c r="S976" s="126"/>
      <c r="T976" s="8"/>
      <c r="U976" s="1359"/>
      <c r="V976" s="8"/>
      <c r="W976" s="8"/>
      <c r="X976" s="8"/>
      <c r="Y976" s="8"/>
      <c r="Z976" s="8"/>
      <c r="AA976" s="8"/>
    </row>
    <row r="977">
      <c r="A977" s="8"/>
      <c r="B977" s="8"/>
      <c r="C977" s="8"/>
      <c r="D977" s="8"/>
      <c r="E977" s="8"/>
      <c r="F977" s="8"/>
      <c r="G977" s="8"/>
      <c r="H977" s="8"/>
      <c r="I977" s="8"/>
      <c r="J977" s="215"/>
      <c r="K977" s="126"/>
      <c r="L977" s="126"/>
      <c r="M977" s="126"/>
      <c r="N977" s="126"/>
      <c r="O977" s="8"/>
      <c r="P977" s="8"/>
      <c r="Q977" s="129"/>
      <c r="R977" s="1369"/>
      <c r="S977" s="126"/>
      <c r="T977" s="8"/>
      <c r="U977" s="1359"/>
      <c r="V977" s="8"/>
      <c r="W977" s="8"/>
      <c r="X977" s="8"/>
      <c r="Y977" s="8"/>
      <c r="Z977" s="8"/>
      <c r="AA977" s="8"/>
    </row>
    <row r="978">
      <c r="A978" s="8"/>
      <c r="B978" s="8"/>
      <c r="C978" s="8"/>
      <c r="D978" s="8"/>
      <c r="E978" s="8"/>
      <c r="F978" s="8"/>
      <c r="G978" s="8"/>
      <c r="H978" s="8"/>
      <c r="I978" s="8"/>
      <c r="J978" s="215"/>
      <c r="K978" s="126"/>
      <c r="L978" s="126"/>
      <c r="M978" s="126"/>
      <c r="N978" s="126"/>
      <c r="O978" s="8"/>
      <c r="P978" s="8"/>
      <c r="Q978" s="129"/>
      <c r="R978" s="1369"/>
      <c r="S978" s="126"/>
      <c r="T978" s="8"/>
      <c r="U978" s="1359"/>
      <c r="V978" s="8"/>
      <c r="W978" s="8"/>
      <c r="X978" s="8"/>
      <c r="Y978" s="8"/>
      <c r="Z978" s="8"/>
      <c r="AA978" s="8"/>
    </row>
    <row r="979">
      <c r="A979" s="8"/>
      <c r="B979" s="8"/>
      <c r="C979" s="8"/>
      <c r="D979" s="8"/>
      <c r="E979" s="8"/>
      <c r="F979" s="8"/>
      <c r="G979" s="8"/>
      <c r="H979" s="8"/>
      <c r="I979" s="8"/>
      <c r="J979" s="215"/>
      <c r="K979" s="126"/>
      <c r="L979" s="126"/>
      <c r="M979" s="126"/>
      <c r="N979" s="126"/>
      <c r="O979" s="8"/>
      <c r="P979" s="8"/>
      <c r="Q979" s="129"/>
      <c r="R979" s="1369"/>
      <c r="S979" s="126"/>
      <c r="T979" s="8"/>
      <c r="U979" s="1359"/>
      <c r="V979" s="8"/>
      <c r="W979" s="8"/>
      <c r="X979" s="8"/>
      <c r="Y979" s="8"/>
      <c r="Z979" s="8"/>
      <c r="AA979" s="8"/>
    </row>
    <row r="980">
      <c r="A980" s="8"/>
      <c r="B980" s="8"/>
      <c r="C980" s="8"/>
      <c r="D980" s="8"/>
      <c r="E980" s="8"/>
      <c r="F980" s="8"/>
      <c r="G980" s="8"/>
      <c r="H980" s="8"/>
      <c r="I980" s="8"/>
      <c r="J980" s="215"/>
      <c r="K980" s="126"/>
      <c r="L980" s="126"/>
      <c r="M980" s="126"/>
      <c r="N980" s="126"/>
      <c r="O980" s="8"/>
      <c r="P980" s="8"/>
      <c r="Q980" s="129"/>
      <c r="R980" s="1369"/>
      <c r="S980" s="126"/>
      <c r="T980" s="8"/>
      <c r="U980" s="1359"/>
      <c r="V980" s="8"/>
      <c r="W980" s="8"/>
      <c r="X980" s="8"/>
      <c r="Y980" s="8"/>
      <c r="Z980" s="8"/>
      <c r="AA980" s="8"/>
    </row>
    <row r="981">
      <c r="A981" s="8"/>
      <c r="B981" s="8"/>
      <c r="C981" s="8"/>
      <c r="D981" s="8"/>
      <c r="E981" s="8"/>
      <c r="F981" s="8"/>
      <c r="G981" s="8"/>
      <c r="H981" s="8"/>
      <c r="I981" s="8"/>
      <c r="J981" s="215"/>
      <c r="K981" s="126"/>
      <c r="L981" s="126"/>
      <c r="M981" s="126"/>
      <c r="N981" s="126"/>
      <c r="O981" s="8"/>
      <c r="P981" s="8"/>
      <c r="Q981" s="129"/>
      <c r="R981" s="1369"/>
      <c r="S981" s="126"/>
      <c r="T981" s="8"/>
      <c r="U981" s="1359"/>
      <c r="V981" s="8"/>
      <c r="W981" s="8"/>
      <c r="X981" s="8"/>
      <c r="Y981" s="8"/>
      <c r="Z981" s="8"/>
      <c r="AA981" s="8"/>
    </row>
    <row r="982">
      <c r="A982" s="8"/>
      <c r="B982" s="8"/>
      <c r="C982" s="8"/>
      <c r="D982" s="8"/>
      <c r="E982" s="8"/>
      <c r="F982" s="8"/>
      <c r="G982" s="8"/>
      <c r="H982" s="8"/>
      <c r="I982" s="8"/>
      <c r="J982" s="215"/>
      <c r="K982" s="126"/>
      <c r="L982" s="126"/>
      <c r="M982" s="126"/>
      <c r="N982" s="126"/>
      <c r="O982" s="8"/>
      <c r="P982" s="8"/>
      <c r="Q982" s="129"/>
      <c r="R982" s="1369"/>
      <c r="S982" s="126"/>
      <c r="T982" s="8"/>
      <c r="U982" s="1359"/>
      <c r="V982" s="8"/>
      <c r="W982" s="8"/>
      <c r="X982" s="8"/>
      <c r="Y982" s="8"/>
      <c r="Z982" s="8"/>
      <c r="AA982" s="8"/>
    </row>
    <row r="983">
      <c r="A983" s="8"/>
      <c r="B983" s="8"/>
      <c r="C983" s="8"/>
      <c r="D983" s="8"/>
      <c r="E983" s="8"/>
      <c r="F983" s="8"/>
      <c r="G983" s="8"/>
      <c r="H983" s="8"/>
      <c r="I983" s="8"/>
      <c r="J983" s="215"/>
      <c r="K983" s="126"/>
      <c r="L983" s="126"/>
      <c r="M983" s="126"/>
      <c r="N983" s="126"/>
      <c r="O983" s="8"/>
      <c r="P983" s="8"/>
      <c r="Q983" s="129"/>
      <c r="R983" s="1369"/>
      <c r="S983" s="126"/>
      <c r="T983" s="8"/>
      <c r="U983" s="1359"/>
      <c r="V983" s="8"/>
      <c r="W983" s="8"/>
      <c r="X983" s="8"/>
      <c r="Y983" s="8"/>
      <c r="Z983" s="8"/>
      <c r="AA983" s="8"/>
    </row>
    <row r="984">
      <c r="A984" s="8"/>
      <c r="B984" s="8"/>
      <c r="C984" s="8"/>
      <c r="D984" s="8"/>
      <c r="E984" s="8"/>
      <c r="F984" s="8"/>
      <c r="G984" s="8"/>
      <c r="H984" s="8"/>
      <c r="I984" s="8"/>
      <c r="J984" s="215"/>
      <c r="K984" s="126"/>
      <c r="L984" s="126"/>
      <c r="M984" s="126"/>
      <c r="N984" s="126"/>
      <c r="O984" s="8"/>
      <c r="P984" s="8"/>
      <c r="Q984" s="129"/>
      <c r="R984" s="1369"/>
      <c r="S984" s="126"/>
      <c r="T984" s="8"/>
      <c r="U984" s="1359"/>
      <c r="V984" s="8"/>
      <c r="W984" s="8"/>
      <c r="X984" s="8"/>
      <c r="Y984" s="8"/>
      <c r="Z984" s="8"/>
      <c r="AA984" s="8"/>
    </row>
    <row r="985">
      <c r="A985" s="8"/>
      <c r="B985" s="8"/>
      <c r="C985" s="8"/>
      <c r="D985" s="8"/>
      <c r="E985" s="8"/>
      <c r="F985" s="8"/>
      <c r="G985" s="8"/>
      <c r="H985" s="8"/>
      <c r="I985" s="8"/>
      <c r="J985" s="215"/>
      <c r="K985" s="126"/>
      <c r="L985" s="126"/>
      <c r="M985" s="126"/>
      <c r="N985" s="126"/>
      <c r="O985" s="8"/>
      <c r="P985" s="8"/>
      <c r="Q985" s="129"/>
      <c r="R985" s="1369"/>
      <c r="S985" s="126"/>
      <c r="T985" s="8"/>
      <c r="U985" s="1359"/>
      <c r="V985" s="8"/>
      <c r="W985" s="8"/>
      <c r="X985" s="8"/>
      <c r="Y985" s="8"/>
      <c r="Z985" s="8"/>
      <c r="AA985" s="8"/>
    </row>
    <row r="986">
      <c r="A986" s="8"/>
      <c r="B986" s="8"/>
      <c r="C986" s="8"/>
      <c r="D986" s="8"/>
      <c r="E986" s="8"/>
      <c r="F986" s="8"/>
      <c r="G986" s="8"/>
      <c r="H986" s="8"/>
      <c r="I986" s="8"/>
      <c r="J986" s="215"/>
      <c r="K986" s="126"/>
      <c r="L986" s="126"/>
      <c r="M986" s="126"/>
      <c r="N986" s="126"/>
      <c r="O986" s="8"/>
      <c r="P986" s="8"/>
      <c r="Q986" s="129"/>
      <c r="R986" s="1369"/>
      <c r="S986" s="126"/>
      <c r="T986" s="8"/>
      <c r="U986" s="1359"/>
      <c r="V986" s="8"/>
      <c r="W986" s="8"/>
      <c r="X986" s="8"/>
      <c r="Y986" s="8"/>
      <c r="Z986" s="8"/>
      <c r="AA986" s="8"/>
    </row>
    <row r="987">
      <c r="A987" s="8"/>
      <c r="B987" s="8"/>
      <c r="C987" s="8"/>
      <c r="D987" s="8"/>
      <c r="E987" s="8"/>
      <c r="F987" s="8"/>
      <c r="G987" s="8"/>
      <c r="H987" s="8"/>
      <c r="I987" s="8"/>
      <c r="J987" s="215"/>
      <c r="K987" s="126"/>
      <c r="L987" s="126"/>
      <c r="M987" s="126"/>
      <c r="N987" s="126"/>
      <c r="O987" s="8"/>
      <c r="P987" s="8"/>
      <c r="Q987" s="129"/>
      <c r="R987" s="1369"/>
      <c r="S987" s="126"/>
      <c r="T987" s="8"/>
      <c r="U987" s="1359"/>
      <c r="V987" s="8"/>
      <c r="W987" s="8"/>
      <c r="X987" s="8"/>
      <c r="Y987" s="8"/>
      <c r="Z987" s="8"/>
      <c r="AA987" s="8"/>
    </row>
    <row r="988">
      <c r="A988" s="8"/>
      <c r="B988" s="8"/>
      <c r="C988" s="8"/>
      <c r="D988" s="8"/>
      <c r="E988" s="8"/>
      <c r="F988" s="8"/>
      <c r="G988" s="8"/>
      <c r="H988" s="8"/>
      <c r="I988" s="8"/>
      <c r="J988" s="215"/>
      <c r="K988" s="126"/>
      <c r="L988" s="126"/>
      <c r="M988" s="126"/>
      <c r="N988" s="126"/>
      <c r="O988" s="8"/>
      <c r="P988" s="8"/>
      <c r="Q988" s="129"/>
      <c r="R988" s="1369"/>
      <c r="S988" s="126"/>
      <c r="T988" s="8"/>
      <c r="U988" s="1359"/>
      <c r="V988" s="8"/>
      <c r="W988" s="8"/>
      <c r="X988" s="8"/>
      <c r="Y988" s="8"/>
      <c r="Z988" s="8"/>
      <c r="AA988" s="8"/>
    </row>
    <row r="989">
      <c r="A989" s="8"/>
      <c r="B989" s="8"/>
      <c r="C989" s="8"/>
      <c r="D989" s="8"/>
      <c r="E989" s="8"/>
      <c r="F989" s="8"/>
      <c r="G989" s="8"/>
      <c r="H989" s="8"/>
      <c r="I989" s="8"/>
      <c r="J989" s="215"/>
      <c r="K989" s="126"/>
      <c r="L989" s="126"/>
      <c r="M989" s="126"/>
      <c r="N989" s="126"/>
      <c r="O989" s="8"/>
      <c r="P989" s="8"/>
      <c r="Q989" s="129"/>
      <c r="R989" s="1369"/>
      <c r="S989" s="126"/>
      <c r="T989" s="8"/>
      <c r="U989" s="1359"/>
      <c r="V989" s="8"/>
      <c r="W989" s="8"/>
      <c r="X989" s="8"/>
      <c r="Y989" s="8"/>
      <c r="Z989" s="8"/>
      <c r="AA989" s="8"/>
    </row>
    <row r="990">
      <c r="A990" s="8"/>
      <c r="B990" s="8"/>
      <c r="C990" s="8"/>
      <c r="D990" s="8"/>
      <c r="E990" s="8"/>
      <c r="F990" s="8"/>
      <c r="G990" s="8"/>
      <c r="H990" s="8"/>
      <c r="I990" s="8"/>
      <c r="J990" s="215"/>
      <c r="K990" s="126"/>
      <c r="L990" s="126"/>
      <c r="M990" s="126"/>
      <c r="N990" s="126"/>
      <c r="O990" s="8"/>
      <c r="P990" s="8"/>
      <c r="Q990" s="129"/>
      <c r="R990" s="1369"/>
      <c r="S990" s="126"/>
      <c r="T990" s="8"/>
      <c r="U990" s="1359"/>
      <c r="V990" s="8"/>
      <c r="W990" s="8"/>
      <c r="X990" s="8"/>
      <c r="Y990" s="8"/>
      <c r="Z990" s="8"/>
      <c r="AA990" s="8"/>
    </row>
    <row r="991">
      <c r="A991" s="8"/>
      <c r="B991" s="8"/>
      <c r="C991" s="8"/>
      <c r="D991" s="8"/>
      <c r="E991" s="8"/>
      <c r="F991" s="8"/>
      <c r="G991" s="8"/>
      <c r="H991" s="8"/>
      <c r="I991" s="8"/>
      <c r="J991" s="215"/>
      <c r="K991" s="126"/>
      <c r="L991" s="126"/>
      <c r="M991" s="126"/>
      <c r="N991" s="126"/>
      <c r="O991" s="8"/>
      <c r="P991" s="8"/>
      <c r="Q991" s="129"/>
      <c r="R991" s="1369"/>
      <c r="S991" s="126"/>
      <c r="T991" s="8"/>
      <c r="U991" s="1359"/>
      <c r="V991" s="8"/>
      <c r="W991" s="8"/>
      <c r="X991" s="8"/>
      <c r="Y991" s="8"/>
      <c r="Z991" s="8"/>
      <c r="AA991" s="8"/>
    </row>
    <row r="992">
      <c r="A992" s="8"/>
      <c r="B992" s="8"/>
      <c r="C992" s="8"/>
      <c r="D992" s="8"/>
      <c r="E992" s="8"/>
      <c r="F992" s="8"/>
      <c r="G992" s="8"/>
      <c r="H992" s="8"/>
      <c r="I992" s="8"/>
      <c r="J992" s="215"/>
      <c r="K992" s="126"/>
      <c r="L992" s="126"/>
      <c r="M992" s="126"/>
      <c r="N992" s="126"/>
      <c r="O992" s="8"/>
      <c r="P992" s="8"/>
      <c r="Q992" s="129"/>
      <c r="R992" s="1369"/>
      <c r="S992" s="126"/>
      <c r="T992" s="8"/>
      <c r="U992" s="1359"/>
      <c r="V992" s="8"/>
      <c r="W992" s="8"/>
      <c r="X992" s="8"/>
      <c r="Y992" s="8"/>
      <c r="Z992" s="8"/>
      <c r="AA992" s="8"/>
    </row>
    <row r="993">
      <c r="A993" s="8"/>
      <c r="B993" s="8"/>
      <c r="C993" s="8"/>
      <c r="D993" s="8"/>
      <c r="E993" s="8"/>
      <c r="F993" s="8"/>
      <c r="G993" s="8"/>
      <c r="H993" s="8"/>
      <c r="I993" s="8"/>
      <c r="J993" s="215"/>
      <c r="K993" s="126"/>
      <c r="L993" s="126"/>
      <c r="M993" s="126"/>
      <c r="N993" s="126"/>
      <c r="O993" s="8"/>
      <c r="P993" s="8"/>
      <c r="Q993" s="129"/>
      <c r="R993" s="1369"/>
      <c r="S993" s="126"/>
      <c r="T993" s="8"/>
      <c r="U993" s="1359"/>
      <c r="V993" s="8"/>
      <c r="W993" s="8"/>
      <c r="X993" s="8"/>
      <c r="Y993" s="8"/>
      <c r="Z993" s="8"/>
      <c r="AA993" s="8"/>
    </row>
    <row r="994">
      <c r="A994" s="8"/>
      <c r="B994" s="8"/>
      <c r="C994" s="8"/>
      <c r="D994" s="8"/>
      <c r="E994" s="8"/>
      <c r="F994" s="8"/>
      <c r="G994" s="8"/>
      <c r="H994" s="8"/>
      <c r="I994" s="8"/>
      <c r="J994" s="215"/>
      <c r="K994" s="126"/>
      <c r="L994" s="126"/>
      <c r="M994" s="126"/>
      <c r="N994" s="126"/>
      <c r="O994" s="8"/>
      <c r="P994" s="8"/>
      <c r="Q994" s="129"/>
      <c r="R994" s="1369"/>
      <c r="S994" s="126"/>
      <c r="T994" s="8"/>
      <c r="U994" s="1359"/>
      <c r="V994" s="8"/>
      <c r="W994" s="8"/>
      <c r="X994" s="8"/>
      <c r="Y994" s="8"/>
      <c r="Z994" s="8"/>
      <c r="AA994" s="8"/>
    </row>
    <row r="995">
      <c r="A995" s="8"/>
      <c r="B995" s="8"/>
      <c r="C995" s="8"/>
      <c r="D995" s="8"/>
      <c r="E995" s="8"/>
      <c r="F995" s="8"/>
      <c r="G995" s="8"/>
      <c r="H995" s="8"/>
      <c r="I995" s="8"/>
      <c r="J995" s="215"/>
      <c r="K995" s="126"/>
      <c r="L995" s="126"/>
      <c r="M995" s="126"/>
      <c r="N995" s="126"/>
      <c r="O995" s="8"/>
      <c r="P995" s="8"/>
      <c r="Q995" s="129"/>
      <c r="R995" s="1369"/>
      <c r="S995" s="126"/>
      <c r="T995" s="8"/>
      <c r="U995" s="1359"/>
      <c r="V995" s="8"/>
      <c r="W995" s="8"/>
      <c r="X995" s="8"/>
      <c r="Y995" s="8"/>
      <c r="Z995" s="8"/>
      <c r="AA995" s="8"/>
    </row>
    <row r="996">
      <c r="A996" s="8"/>
      <c r="B996" s="8"/>
      <c r="C996" s="8"/>
      <c r="D996" s="8"/>
      <c r="E996" s="8"/>
      <c r="F996" s="8"/>
      <c r="G996" s="8"/>
      <c r="H996" s="8"/>
      <c r="I996" s="8"/>
      <c r="J996" s="215"/>
      <c r="K996" s="126"/>
      <c r="L996" s="126"/>
      <c r="M996" s="126"/>
      <c r="N996" s="126"/>
      <c r="O996" s="8"/>
      <c r="P996" s="8"/>
      <c r="Q996" s="129"/>
      <c r="R996" s="1369"/>
      <c r="S996" s="126"/>
      <c r="T996" s="8"/>
      <c r="U996" s="1359"/>
      <c r="V996" s="8"/>
      <c r="W996" s="8"/>
      <c r="X996" s="8"/>
      <c r="Y996" s="8"/>
      <c r="Z996" s="8"/>
      <c r="AA996" s="8"/>
    </row>
    <row r="997">
      <c r="A997" s="8"/>
      <c r="B997" s="8"/>
      <c r="C997" s="8"/>
      <c r="D997" s="8"/>
      <c r="E997" s="8"/>
      <c r="F997" s="8"/>
      <c r="G997" s="8"/>
      <c r="H997" s="8"/>
      <c r="I997" s="8"/>
      <c r="J997" s="215"/>
      <c r="K997" s="126"/>
      <c r="L997" s="126"/>
      <c r="M997" s="126"/>
      <c r="N997" s="126"/>
      <c r="O997" s="8"/>
      <c r="P997" s="8"/>
      <c r="Q997" s="129"/>
      <c r="R997" s="1369"/>
      <c r="S997" s="126"/>
      <c r="T997" s="8"/>
      <c r="U997" s="1359"/>
      <c r="V997" s="8"/>
      <c r="W997" s="8"/>
      <c r="X997" s="8"/>
      <c r="Y997" s="8"/>
      <c r="Z997" s="8"/>
      <c r="AA997" s="8"/>
    </row>
    <row r="998">
      <c r="A998" s="8"/>
      <c r="B998" s="8"/>
      <c r="C998" s="8"/>
      <c r="D998" s="8"/>
      <c r="E998" s="8"/>
      <c r="F998" s="8"/>
      <c r="G998" s="8"/>
      <c r="H998" s="8"/>
      <c r="I998" s="8"/>
      <c r="J998" s="215"/>
      <c r="K998" s="126"/>
      <c r="L998" s="126"/>
      <c r="M998" s="126"/>
      <c r="N998" s="126"/>
      <c r="O998" s="8"/>
      <c r="P998" s="8"/>
      <c r="Q998" s="129"/>
      <c r="R998" s="1369"/>
      <c r="S998" s="126"/>
      <c r="T998" s="8"/>
      <c r="U998" s="1359"/>
      <c r="V998" s="8"/>
      <c r="W998" s="8"/>
      <c r="X998" s="8"/>
      <c r="Y998" s="8"/>
      <c r="Z998" s="8"/>
      <c r="AA998" s="8"/>
    </row>
    <row r="999">
      <c r="A999" s="8"/>
      <c r="B999" s="8"/>
      <c r="C999" s="8"/>
      <c r="D999" s="8"/>
      <c r="E999" s="8"/>
      <c r="F999" s="8"/>
      <c r="G999" s="8"/>
      <c r="H999" s="8"/>
      <c r="I999" s="8"/>
      <c r="J999" s="215"/>
      <c r="K999" s="126"/>
      <c r="L999" s="126"/>
      <c r="M999" s="126"/>
      <c r="N999" s="126"/>
      <c r="O999" s="8"/>
      <c r="P999" s="8"/>
      <c r="Q999" s="129"/>
      <c r="R999" s="1369"/>
      <c r="S999" s="126"/>
      <c r="T999" s="8"/>
      <c r="U999" s="1359"/>
      <c r="V999" s="8"/>
      <c r="W999" s="8"/>
      <c r="X999" s="8"/>
      <c r="Y999" s="8"/>
      <c r="Z999" s="8"/>
      <c r="AA999" s="8"/>
    </row>
    <row r="1000">
      <c r="A1000" s="8"/>
      <c r="B1000" s="8"/>
      <c r="C1000" s="8"/>
      <c r="D1000" s="8"/>
      <c r="E1000" s="8"/>
      <c r="F1000" s="8"/>
      <c r="G1000" s="8"/>
      <c r="H1000" s="8"/>
      <c r="I1000" s="8"/>
      <c r="J1000" s="215"/>
      <c r="K1000" s="126"/>
      <c r="L1000" s="126"/>
      <c r="M1000" s="126"/>
      <c r="N1000" s="126"/>
      <c r="O1000" s="8"/>
      <c r="P1000" s="8"/>
      <c r="Q1000" s="129"/>
      <c r="R1000" s="1369"/>
      <c r="S1000" s="126"/>
      <c r="T1000" s="8"/>
      <c r="U1000" s="1359"/>
      <c r="V1000" s="8"/>
      <c r="W1000" s="8"/>
      <c r="X1000" s="8"/>
      <c r="Y1000" s="8"/>
      <c r="Z1000" s="8"/>
      <c r="AA1000" s="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Col="1"/>
  <cols>
    <col customWidth="1" min="1" max="1" width="3.43"/>
    <col customWidth="1" min="2" max="2" width="15.0" outlineLevel="1"/>
    <col customWidth="1" min="3" max="3" width="17.86" outlineLevel="1"/>
    <col customWidth="1" min="4" max="4" width="17.0" outlineLevel="1"/>
    <col customWidth="1" min="5" max="5" width="6.43" outlineLevel="1"/>
    <col customWidth="1" min="6" max="6" width="3.0"/>
    <col customWidth="1" min="7" max="7" width="11.71" outlineLevel="1"/>
    <col customWidth="1" min="8" max="8" width="11.14" outlineLevel="1"/>
    <col customWidth="1" min="9" max="9" width="17.0" outlineLevel="1"/>
    <col customWidth="1" min="10" max="10" width="8.29" outlineLevel="1"/>
    <col customWidth="1" min="11" max="11" width="56.86"/>
    <col customWidth="1" min="12" max="12" width="35.0"/>
    <col customWidth="1" min="13" max="13" width="36.71"/>
    <col customWidth="1" min="14" max="14" width="29.43"/>
    <col customWidth="1" min="15" max="15" width="13.14"/>
  </cols>
  <sheetData>
    <row r="1">
      <c r="A1" s="1254"/>
      <c r="B1" s="1263"/>
      <c r="C1" s="1263"/>
      <c r="D1" s="1317"/>
      <c r="E1" s="1318"/>
      <c r="F1" s="1254"/>
      <c r="G1" s="1254"/>
      <c r="H1" s="1254"/>
      <c r="I1" s="1254"/>
      <c r="J1" s="1254"/>
      <c r="K1" s="1254"/>
      <c r="L1" s="1254"/>
      <c r="M1" s="1254"/>
      <c r="N1" s="1254"/>
      <c r="O1" s="1254"/>
      <c r="P1" s="1254"/>
      <c r="Q1" s="1254"/>
      <c r="R1" s="1254"/>
      <c r="S1" s="1254"/>
      <c r="T1" s="1254"/>
      <c r="U1" s="1254"/>
      <c r="V1" s="1254"/>
      <c r="W1" s="1254"/>
      <c r="X1" s="1254"/>
      <c r="Y1" s="1254"/>
    </row>
    <row r="2">
      <c r="A2" s="1254"/>
      <c r="B2" s="1321" t="s">
        <v>210</v>
      </c>
      <c r="C2" s="1263"/>
      <c r="D2" s="1317"/>
      <c r="E2" s="1318"/>
      <c r="F2" s="1254"/>
      <c r="G2" s="1254"/>
      <c r="H2" s="1254"/>
      <c r="I2" s="1254"/>
      <c r="J2" s="1254"/>
      <c r="K2" s="1254"/>
      <c r="L2" s="1254"/>
      <c r="M2" s="1254"/>
      <c r="N2" s="1254"/>
      <c r="O2" s="1254"/>
      <c r="P2" s="1254"/>
      <c r="Q2" s="1254"/>
      <c r="R2" s="1254"/>
      <c r="S2" s="1254"/>
      <c r="T2" s="1254"/>
      <c r="U2" s="1254"/>
      <c r="V2" s="1254"/>
      <c r="W2" s="1254"/>
      <c r="X2" s="1254"/>
      <c r="Y2" s="1254"/>
    </row>
    <row r="3">
      <c r="A3" s="1254"/>
      <c r="B3" s="1322" t="s">
        <v>922</v>
      </c>
      <c r="C3" s="1323"/>
      <c r="D3" s="1323"/>
      <c r="E3" s="1324"/>
      <c r="F3" s="1254"/>
      <c r="G3" s="1327" t="s">
        <v>923</v>
      </c>
      <c r="H3" s="1323"/>
      <c r="I3" s="1323"/>
      <c r="J3" s="1324"/>
      <c r="K3" s="1326" t="s">
        <v>922</v>
      </c>
      <c r="L3" s="1327" t="s">
        <v>923</v>
      </c>
      <c r="M3" s="1323"/>
      <c r="N3" s="1328" t="s">
        <v>922</v>
      </c>
      <c r="O3" s="1324"/>
      <c r="P3" s="1254"/>
      <c r="Q3" s="1254"/>
      <c r="R3" s="1254"/>
      <c r="S3" s="1254"/>
      <c r="T3" s="1254"/>
      <c r="U3" s="1254"/>
      <c r="V3" s="1254"/>
      <c r="W3" s="1254"/>
      <c r="X3" s="1254"/>
      <c r="Y3" s="1254"/>
    </row>
    <row r="4">
      <c r="A4" s="1254"/>
      <c r="B4" s="1329" t="s">
        <v>1145</v>
      </c>
      <c r="C4" s="1329" t="s">
        <v>927</v>
      </c>
      <c r="D4" s="1332" t="s">
        <v>929</v>
      </c>
      <c r="E4" s="1331" t="s">
        <v>244</v>
      </c>
      <c r="F4" s="464"/>
      <c r="G4" s="1329" t="s">
        <v>927</v>
      </c>
      <c r="H4" s="1332" t="s">
        <v>929</v>
      </c>
      <c r="I4" s="1332" t="s">
        <v>236</v>
      </c>
      <c r="J4" s="1332" t="s">
        <v>930</v>
      </c>
      <c r="K4" s="1333" t="s">
        <v>7</v>
      </c>
      <c r="L4" s="1333" t="s">
        <v>931</v>
      </c>
      <c r="M4" s="1333" t="s">
        <v>30</v>
      </c>
      <c r="N4" s="1333" t="s">
        <v>11</v>
      </c>
      <c r="O4" s="1333" t="s">
        <v>932</v>
      </c>
      <c r="P4" s="1254"/>
      <c r="Q4" s="1254"/>
      <c r="R4" s="1254"/>
      <c r="S4" s="1254"/>
      <c r="T4" s="1254"/>
      <c r="U4" s="1254"/>
      <c r="V4" s="1254"/>
      <c r="W4" s="1254"/>
      <c r="X4" s="1254"/>
      <c r="Y4" s="1254"/>
    </row>
    <row r="5">
      <c r="A5" s="1254"/>
      <c r="B5" s="1334"/>
      <c r="C5" s="1373"/>
      <c r="D5" s="1335">
        <v>88.13</v>
      </c>
      <c r="E5" s="1336">
        <v>234.0</v>
      </c>
      <c r="F5" s="1337"/>
      <c r="G5" s="1338">
        <f>IFERROR(__xludf.DUMMYFUNCTION("(1 / COS(RADIANS(REGEXEXTRACT(J5,""(\d+)""))))*C5"),0.0)</f>
        <v>0</v>
      </c>
      <c r="H5" s="1338">
        <f>IFERROR(__xludf.DUMMYFUNCTION("(1 / COS(RADIANS(REGEXEXTRACT(J5,""(\d+)""))))*D5"),88.25094485279676)</f>
        <v>88.25094485</v>
      </c>
      <c r="I5" s="1339">
        <f>IFERROR(__xludf.DUMMYFUNCTION("(1 / COS(RADIANS(REGEXEXTRACT(J5,""(\d+)""))))*D5"),88.25094485279676)</f>
        <v>88.25094485</v>
      </c>
      <c r="J5" s="1374" t="str">
        <f>IFERROR(__xludf.DUMMYFUNCTION("IFERROR(REGEXEXTRACT(K5,""@\s*(\d+(?:\.\d+)?)\s*deg"")&amp;""°"",""0°"")"),"3°")</f>
        <v>3°</v>
      </c>
      <c r="K5" s="1334" t="s">
        <v>1146</v>
      </c>
      <c r="L5" s="1341" t="str">
        <f>IFERROR(__xludf.DUMMYFUNCTION("if(E5&gt;1,if(C5="""",join("" lengths @ "",E5,I5),join("" variable lengths @ average span of "",E5,G5)),
if(C5="""",join("" length @ "",E5,I5),join("" variable length @ average span of "",E5,G5)))"),"234 lengths @ 88.25 m span")</f>
        <v>234 lengths @ 88.25 m span</v>
      </c>
      <c r="M5" s="1341" t="str">
        <f t="shared" ref="M5:M10" si="1">if(B5="","","Sheet lengths start at "&amp;TEXT(H5,"0.00")&amp;"m, increasing by "&amp;B5&amp;"mm per sheet")</f>
        <v/>
      </c>
      <c r="N5" s="1334" t="s">
        <v>1147</v>
      </c>
      <c r="O5" s="1343" t="s">
        <v>1148</v>
      </c>
      <c r="P5" s="1254"/>
      <c r="Q5" s="1254"/>
      <c r="R5" s="1254"/>
      <c r="S5" s="1254"/>
      <c r="T5" s="1254"/>
      <c r="U5" s="1254"/>
      <c r="V5" s="1254"/>
      <c r="W5" s="1254"/>
      <c r="X5" s="1254"/>
      <c r="Y5" s="1254"/>
    </row>
    <row r="6">
      <c r="A6" s="1254"/>
      <c r="B6" s="1334"/>
      <c r="C6" s="1373"/>
      <c r="D6" s="1335">
        <v>44.1</v>
      </c>
      <c r="E6" s="1336">
        <v>234.0</v>
      </c>
      <c r="F6" s="1337"/>
      <c r="G6" s="1338">
        <f>IFERROR(__xludf.DUMMYFUNCTION("(1 / COS(RADIANS(REGEXEXTRACT(J6,""(\d+)""))))*C6"),0.0)</f>
        <v>0</v>
      </c>
      <c r="H6" s="1338">
        <f>IFERROR(__xludf.DUMMYFUNCTION("(1 / COS(RADIANS(REGEXEXTRACT(J6,""(\d+)""))))*D6"),44.160520458508316)</f>
        <v>44.16052046</v>
      </c>
      <c r="I6" s="1339">
        <f>IFERROR(__xludf.DUMMYFUNCTION("(1 / COS(RADIANS(REGEXEXTRACT(J6,""(\d+)""))))*D6"),44.160520458508316)</f>
        <v>44.16052046</v>
      </c>
      <c r="J6" s="1374" t="str">
        <f>IFERROR(__xludf.DUMMYFUNCTION("IFERROR(REGEXEXTRACT(K6,""@\s*(\d+(?:\.\d+)?)\s*deg"")&amp;""°"",""0°"")"),"3°")</f>
        <v>3°</v>
      </c>
      <c r="K6" s="1334" t="s">
        <v>1146</v>
      </c>
      <c r="L6" s="1341" t="str">
        <f>IFERROR(__xludf.DUMMYFUNCTION("if(E6&gt;1,if(C6="""",join("" lengths @ "",E6,I6),join("" variable lengths @ average span of "",E6,G6)),
if(C6="""",join("" length @ "",E6,I6),join("" variable length @ average span of "",E6,G6)))"),"234 lengths @ 44.16 m span")</f>
        <v>234 lengths @ 44.16 m span</v>
      </c>
      <c r="M6" s="1341" t="str">
        <f t="shared" si="1"/>
        <v/>
      </c>
      <c r="N6" s="1334" t="s">
        <v>1147</v>
      </c>
      <c r="O6" s="1343" t="s">
        <v>1148</v>
      </c>
      <c r="P6" s="1254"/>
      <c r="Q6" s="1254"/>
      <c r="R6" s="1254"/>
      <c r="S6" s="1254"/>
      <c r="T6" s="1254"/>
      <c r="U6" s="1254"/>
      <c r="V6" s="1254"/>
      <c r="W6" s="1254"/>
      <c r="X6" s="1254"/>
      <c r="Y6" s="1254"/>
    </row>
    <row r="7">
      <c r="A7" s="1254"/>
      <c r="B7" s="1334"/>
      <c r="C7" s="1375"/>
      <c r="D7" s="1335">
        <v>32.32</v>
      </c>
      <c r="E7" s="1336">
        <f>178+28+18</f>
        <v>224</v>
      </c>
      <c r="F7" s="1337"/>
      <c r="G7" s="1338">
        <f>IFERROR(__xludf.DUMMYFUNCTION("(1 / COS(RADIANS(REGEXEXTRACT(J7,""(\d+)""))))*C7"),0.0)</f>
        <v>0</v>
      </c>
      <c r="H7" s="1338">
        <f>IFERROR(__xludf.DUMMYFUNCTION("(1 / COS(RADIANS(REGEXEXTRACT(J7,""(\d+)""))))*D7"),32.36435422265281)</f>
        <v>32.36435422</v>
      </c>
      <c r="I7" s="1339">
        <f>IFERROR(__xludf.DUMMYFUNCTION("(1 / COS(RADIANS(REGEXEXTRACT(J7,""(\d+)""))))*D7"),32.36435422265281)</f>
        <v>32.36435422</v>
      </c>
      <c r="J7" s="1374" t="str">
        <f>IFERROR(__xludf.DUMMYFUNCTION("IFERROR(REGEXEXTRACT(K7,""@\s*(\d+(?:\.\d+)?)\s*deg"")&amp;""°"",""0°"")"),"3°")</f>
        <v>3°</v>
      </c>
      <c r="K7" s="1334" t="s">
        <v>1146</v>
      </c>
      <c r="L7" s="1341" t="str">
        <f>IFERROR(__xludf.DUMMYFUNCTION("if(E7&gt;1,if(C7="""",join("" lengths @ "",E7,I7),join("" variable lengths @ average span of "",E7,G7)),
if(C7="""",join("" length @ "",E7,I7),join("" variable length @ average span of "",E7,G7)))"),"224 lengths @ 32.36 m span")</f>
        <v>224 lengths @ 32.36 m span</v>
      </c>
      <c r="M7" s="1341" t="str">
        <f t="shared" si="1"/>
        <v/>
      </c>
      <c r="N7" s="1334" t="s">
        <v>1149</v>
      </c>
      <c r="O7" s="1343" t="s">
        <v>1148</v>
      </c>
      <c r="P7" s="1254"/>
      <c r="Q7" s="1254"/>
      <c r="R7" s="1254"/>
      <c r="S7" s="1254"/>
      <c r="T7" s="1254"/>
      <c r="U7" s="1254"/>
      <c r="V7" s="1254"/>
      <c r="W7" s="1254"/>
      <c r="X7" s="1254"/>
      <c r="Y7" s="1254"/>
    </row>
    <row r="8">
      <c r="A8" s="1254"/>
      <c r="B8" s="1334"/>
      <c r="C8" s="1373"/>
      <c r="D8" s="1335">
        <v>18.42</v>
      </c>
      <c r="E8" s="1336">
        <v>213.0</v>
      </c>
      <c r="F8" s="1337"/>
      <c r="G8" s="1338">
        <f>IFERROR(__xludf.DUMMYFUNCTION("(1 / COS(RADIANS(REGEXEXTRACT(J8,""(\d+)""))))*C8"),0.0)</f>
        <v>0</v>
      </c>
      <c r="H8" s="1338">
        <f>IFERROR(__xludf.DUMMYFUNCTION("(1 / COS(RADIANS(REGEXEXTRACT(J8,""(\d+)""))))*D8"),18.445278613281705)</f>
        <v>18.44527861</v>
      </c>
      <c r="I8" s="1339">
        <f>IFERROR(__xludf.DUMMYFUNCTION("(1 / COS(RADIANS(REGEXEXTRACT(J8,""(\d+)""))))*D8"),18.445278613281705)</f>
        <v>18.44527861</v>
      </c>
      <c r="J8" s="1374" t="str">
        <f>IFERROR(__xludf.DUMMYFUNCTION("IFERROR(REGEXEXTRACT(K8,""@\s*(\d+(?:\.\d+)?)\s*deg"")&amp;""°"",""0°"")"),"3°")</f>
        <v>3°</v>
      </c>
      <c r="K8" s="1334" t="s">
        <v>1146</v>
      </c>
      <c r="L8" s="1341" t="str">
        <f>IFERROR(__xludf.DUMMYFUNCTION("if(E8&gt;1,if(C8="""",join("" lengths @ "",E8,I8),join("" variable lengths @ average span of "",E8,G8)),
if(C8="""",join("" length @ "",E8,I8),join("" variable length @ average span of "",E8,G8)))"),"213 lengths @ 18.45 m span")</f>
        <v>213 lengths @ 18.45 m span</v>
      </c>
      <c r="M8" s="1341" t="str">
        <f t="shared" si="1"/>
        <v/>
      </c>
      <c r="N8" s="1334" t="s">
        <v>1150</v>
      </c>
      <c r="O8" s="1343" t="s">
        <v>1148</v>
      </c>
      <c r="P8" s="1254"/>
      <c r="Q8" s="1254"/>
      <c r="R8" s="1254"/>
      <c r="S8" s="1254"/>
      <c r="T8" s="1254"/>
      <c r="U8" s="1254"/>
      <c r="V8" s="1254"/>
      <c r="W8" s="1254"/>
      <c r="X8" s="1254"/>
      <c r="Y8" s="1254"/>
    </row>
    <row r="9">
      <c r="A9" s="1254"/>
      <c r="B9" s="1334"/>
      <c r="C9" s="1373"/>
      <c r="D9" s="1335">
        <v>4.5</v>
      </c>
      <c r="E9" s="1336">
        <v>33.0</v>
      </c>
      <c r="F9" s="1337"/>
      <c r="G9" s="1338">
        <f>IFERROR(__xludf.DUMMYFUNCTION("(1 / COS(RADIANS(REGEXEXTRACT(J9,""(\d+)""))))*C9"),0.0)</f>
        <v>0</v>
      </c>
      <c r="H9" s="1338">
        <f>IFERROR(__xludf.DUMMYFUNCTION("(1 / COS(RADIANS(REGEXEXTRACT(J9,""(\d+)""))))*D9"),4.5061755569906445)</f>
        <v>4.506175557</v>
      </c>
      <c r="I9" s="1339">
        <f>IFERROR(__xludf.DUMMYFUNCTION("(1 / COS(RADIANS(REGEXEXTRACT(J9,""(\d+)""))))*D9"),4.5061755569906445)</f>
        <v>4.506175557</v>
      </c>
      <c r="J9" s="1374" t="str">
        <f>IFERROR(__xludf.DUMMYFUNCTION("IFERROR(REGEXEXTRACT(K9,""@\s*(\d+(?:\.\d+)?)\s*deg"")&amp;""°"",""0°"")"),"3°")</f>
        <v>3°</v>
      </c>
      <c r="K9" s="1334" t="s">
        <v>1146</v>
      </c>
      <c r="L9" s="1341" t="str">
        <f>IFERROR(__xludf.DUMMYFUNCTION("if(E9&gt;1,if(C9="""",join("" lengths @ "",E9,I9),join("" variable lengths @ average span of "",E9,G9)),
if(C9="""",join("" length @ "",E9,I9),join("" variable length @ average span of "",E9,G9)))"),"33 lengths @ 4.51 m span")</f>
        <v>33 lengths @ 4.51 m span</v>
      </c>
      <c r="M9" s="1341" t="str">
        <f t="shared" si="1"/>
        <v/>
      </c>
      <c r="N9" s="1334" t="s">
        <v>539</v>
      </c>
      <c r="O9" s="1343" t="s">
        <v>1148</v>
      </c>
      <c r="P9" s="1254"/>
      <c r="Q9" s="1254"/>
      <c r="R9" s="1254"/>
      <c r="S9" s="1254"/>
      <c r="T9" s="1254"/>
      <c r="U9" s="1254"/>
      <c r="V9" s="1254"/>
      <c r="W9" s="1254"/>
      <c r="X9" s="1254"/>
      <c r="Y9" s="1254"/>
    </row>
    <row r="10">
      <c r="A10" s="1254"/>
      <c r="B10" s="1334"/>
      <c r="C10" s="1373"/>
      <c r="D10" s="1335">
        <v>9.6</v>
      </c>
      <c r="E10" s="1336">
        <v>40.0</v>
      </c>
      <c r="F10" s="1337"/>
      <c r="G10" s="1338">
        <f>IFERROR(__xludf.DUMMYFUNCTION("(1 / COS(RADIANS(REGEXEXTRACT(J10,""(\d+)""))))*C10"),0.0)</f>
        <v>0</v>
      </c>
      <c r="H10" s="1338">
        <f>IFERROR(__xludf.DUMMYFUNCTION("(1 / COS(RADIANS(REGEXEXTRACT(J10,""(\d+)""))))*D10"),9.61317452158004)</f>
        <v>9.613174522</v>
      </c>
      <c r="I10" s="1339">
        <f>IFERROR(__xludf.DUMMYFUNCTION("(1 / COS(RADIANS(REGEXEXTRACT(J10,""(\d+)""))))*D10"),9.61317452158004)</f>
        <v>9.613174522</v>
      </c>
      <c r="J10" s="1374" t="str">
        <f>IFERROR(__xludf.DUMMYFUNCTION("IFERROR(REGEXEXTRACT(K10,""@\s*(\d+(?:\.\d+)?)\s*deg"")&amp;""°"",""0°"")"),"3°")</f>
        <v>3°</v>
      </c>
      <c r="K10" s="1334" t="s">
        <v>1146</v>
      </c>
      <c r="L10" s="1341" t="str">
        <f>IFERROR(__xludf.DUMMYFUNCTION("if(E10&gt;1,if(C10="""",join("" lengths @ "",E10,I10),join("" variable lengths @ average span of "",E10,G10)),
if(C10="""",join("" length @ "",E10,I10),join("" variable length @ average span of "",E10,G10)))"),"40 lengths @ 9.61 m span")</f>
        <v>40 lengths @ 9.61 m span</v>
      </c>
      <c r="M10" s="1341" t="str">
        <f t="shared" si="1"/>
        <v/>
      </c>
      <c r="N10" s="1334" t="s">
        <v>1151</v>
      </c>
      <c r="O10" s="1343" t="s">
        <v>1148</v>
      </c>
      <c r="P10" s="1254"/>
      <c r="Q10" s="1254"/>
      <c r="R10" s="1254"/>
      <c r="S10" s="1254"/>
      <c r="T10" s="1254"/>
      <c r="U10" s="1254"/>
      <c r="V10" s="1254"/>
      <c r="W10" s="1254"/>
      <c r="X10" s="1254"/>
      <c r="Y10" s="1254"/>
    </row>
    <row r="11">
      <c r="A11" s="1254"/>
      <c r="B11" s="1334"/>
      <c r="C11" s="1373"/>
      <c r="D11" s="1335"/>
      <c r="E11" s="1336"/>
      <c r="F11" s="1337"/>
      <c r="G11" s="1338"/>
      <c r="H11" s="1338"/>
      <c r="I11" s="1339"/>
      <c r="J11" s="1374"/>
      <c r="K11" s="1334"/>
      <c r="L11" s="1341"/>
      <c r="M11" s="1341"/>
      <c r="N11" s="1342"/>
      <c r="O11" s="1343"/>
      <c r="P11" s="1254"/>
      <c r="Q11" s="1254"/>
      <c r="R11" s="1254"/>
      <c r="S11" s="1254"/>
      <c r="T11" s="1254"/>
      <c r="U11" s="1254"/>
      <c r="V11" s="1254"/>
      <c r="W11" s="1254"/>
      <c r="X11" s="1254"/>
      <c r="Y11" s="1254"/>
    </row>
    <row r="12">
      <c r="A12" s="1254"/>
      <c r="B12" s="1263"/>
      <c r="C12" s="1263"/>
      <c r="D12" s="1317"/>
      <c r="E12" s="1318"/>
      <c r="F12" s="1254"/>
      <c r="G12" s="1254"/>
      <c r="H12" s="1254"/>
      <c r="I12" s="1254"/>
      <c r="J12" s="1254"/>
      <c r="K12" s="1254"/>
      <c r="L12" s="1254"/>
      <c r="M12" s="1254"/>
      <c r="N12" s="1254"/>
      <c r="O12" s="1254"/>
      <c r="P12" s="1254"/>
      <c r="Q12" s="1254"/>
      <c r="R12" s="1254"/>
      <c r="S12" s="1254"/>
      <c r="T12" s="1254"/>
      <c r="U12" s="1254"/>
      <c r="V12" s="1254"/>
      <c r="W12" s="1254"/>
      <c r="X12" s="1254"/>
      <c r="Y12" s="1254"/>
    </row>
    <row r="13">
      <c r="A13" s="1254"/>
      <c r="B13" s="1321" t="s">
        <v>233</v>
      </c>
      <c r="C13" s="1263"/>
      <c r="D13" s="1317"/>
      <c r="E13" s="1318"/>
      <c r="F13" s="1254"/>
      <c r="G13" s="1254"/>
      <c r="H13" s="1254"/>
      <c r="I13" s="1254"/>
      <c r="J13" s="1254"/>
      <c r="K13" s="1254"/>
      <c r="L13" s="1254"/>
      <c r="M13" s="1254"/>
      <c r="N13" s="1254"/>
      <c r="O13" s="1254"/>
      <c r="P13" s="1254"/>
      <c r="Q13" s="1254"/>
      <c r="R13" s="1254"/>
      <c r="S13" s="1254"/>
      <c r="T13" s="1254"/>
      <c r="U13" s="1254"/>
      <c r="V13" s="1254"/>
      <c r="W13" s="1254"/>
      <c r="X13" s="1254"/>
      <c r="Y13" s="1254"/>
    </row>
    <row r="14">
      <c r="A14" s="1254"/>
      <c r="B14" s="1322" t="s">
        <v>922</v>
      </c>
      <c r="C14" s="1323"/>
      <c r="D14" s="1323"/>
      <c r="E14" s="1324"/>
      <c r="F14" s="1254"/>
      <c r="G14" s="1327" t="s">
        <v>923</v>
      </c>
      <c r="H14" s="1323"/>
      <c r="I14" s="1323"/>
      <c r="J14" s="1324"/>
      <c r="K14" s="1326" t="s">
        <v>922</v>
      </c>
      <c r="L14" s="1327" t="s">
        <v>923</v>
      </c>
      <c r="M14" s="1323"/>
      <c r="N14" s="1328" t="s">
        <v>922</v>
      </c>
      <c r="O14" s="1324"/>
      <c r="P14" s="1254"/>
      <c r="Q14" s="1254"/>
      <c r="R14" s="1254"/>
      <c r="S14" s="1254"/>
      <c r="T14" s="1254"/>
      <c r="U14" s="1254"/>
      <c r="V14" s="1254"/>
      <c r="W14" s="1254"/>
      <c r="X14" s="1254"/>
      <c r="Y14" s="1254"/>
    </row>
    <row r="15">
      <c r="A15" s="464"/>
      <c r="B15" s="1329" t="s">
        <v>924</v>
      </c>
      <c r="C15" s="1333" t="s">
        <v>1152</v>
      </c>
      <c r="D15" s="1333" t="s">
        <v>929</v>
      </c>
      <c r="E15" s="1331" t="s">
        <v>244</v>
      </c>
      <c r="F15" s="464"/>
      <c r="G15" s="1329" t="s">
        <v>927</v>
      </c>
      <c r="H15" s="1332" t="s">
        <v>929</v>
      </c>
      <c r="I15" s="1330" t="s">
        <v>237</v>
      </c>
      <c r="J15" s="1332" t="s">
        <v>930</v>
      </c>
      <c r="K15" s="1332" t="s">
        <v>7</v>
      </c>
      <c r="L15" s="1333" t="s">
        <v>940</v>
      </c>
      <c r="M15" s="1333" t="s">
        <v>30</v>
      </c>
      <c r="N15" s="1333" t="s">
        <v>11</v>
      </c>
      <c r="O15" s="1333" t="s">
        <v>932</v>
      </c>
      <c r="P15" s="464"/>
      <c r="Q15" s="464"/>
      <c r="R15" s="464"/>
      <c r="S15" s="464"/>
      <c r="T15" s="464"/>
      <c r="U15" s="464"/>
      <c r="V15" s="464"/>
      <c r="W15" s="464"/>
      <c r="X15" s="464"/>
      <c r="Y15" s="464"/>
    </row>
    <row r="16" ht="35.25" customHeight="1">
      <c r="A16" s="464"/>
      <c r="B16" s="1334">
        <v>40.0</v>
      </c>
      <c r="C16" s="1375">
        <v>11.0</v>
      </c>
      <c r="D16" s="1335">
        <v>10.0</v>
      </c>
      <c r="E16" s="1336">
        <v>37.0</v>
      </c>
      <c r="F16" s="464"/>
      <c r="G16" s="1338">
        <f>IFERROR(__xludf.DUMMYFUNCTION("(1 / COS(RADIANS(REGEXEXTRACT(J16,""(\d+)""))))*C16"),11.0)</f>
        <v>11</v>
      </c>
      <c r="H16" s="1338">
        <f>IFERROR(__xludf.DUMMYFUNCTION("(1 / COS(RADIANS(REGEXEXTRACT(J16,""(\d+)""))))*D16"),10.0)</f>
        <v>10</v>
      </c>
      <c r="I16" s="1339">
        <f>IFERROR(__xludf.DUMMYFUNCTION("(1 / COS(RADIANS(REGEXEXTRACT(J16,""(\d+)""))))*D16"),10.0)</f>
        <v>10</v>
      </c>
      <c r="J16" s="1374" t="str">
        <f>IFERROR(__xludf.DUMMYFUNCTION("IFERROR(REGEXEXTRACT(K16,""@\s*(\d+(?:\.\d+)?)\s*deg"")&amp;""°"",""0°"")"),"0°")</f>
        <v>0°</v>
      </c>
      <c r="K16" s="1334" t="s">
        <v>1153</v>
      </c>
      <c r="L16" s="1341" t="str">
        <f>IFERROR(__xludf.DUMMYFUNCTION("if(E16&gt;1,if(C16="""",join("" lengths @ "",E16,I16),join("" variable lengths @ average span of "",E16,G16)),
if(C16="""",join("" length @ "",E16,I16),join("" variable length @ average span of "",E16,G16)))"),"37 variable lengths @ average span of 11.00 m")</f>
        <v>37 variable lengths @ average span of 11.00 m</v>
      </c>
      <c r="M16" s="1341" t="str">
        <f t="shared" ref="M16:M47" si="2">if(B16="","","Sheet lengths start at "&amp;TEXT(H16,"0.00")&amp;"m, increasing by "&amp;B16&amp;"mm per sheet")</f>
        <v>Sheet lengths start at 10.00m, increasing by 40mm per sheet</v>
      </c>
      <c r="N16" s="1342" t="s">
        <v>1154</v>
      </c>
      <c r="O16" s="1343" t="s">
        <v>1155</v>
      </c>
      <c r="P16" s="464"/>
      <c r="Q16" s="464"/>
      <c r="R16" s="464"/>
      <c r="S16" s="464"/>
      <c r="T16" s="464"/>
      <c r="U16" s="464"/>
      <c r="V16" s="464"/>
      <c r="W16" s="464"/>
      <c r="X16" s="464"/>
      <c r="Y16" s="464"/>
    </row>
    <row r="17" ht="35.25" customHeight="1">
      <c r="A17" s="464"/>
      <c r="B17" s="1334">
        <v>40.0</v>
      </c>
      <c r="C17" s="1375">
        <v>10.0</v>
      </c>
      <c r="D17" s="1335">
        <v>7.6</v>
      </c>
      <c r="E17" s="1336">
        <v>53.0</v>
      </c>
      <c r="F17" s="464"/>
      <c r="G17" s="1338">
        <f>IFERROR(__xludf.DUMMYFUNCTION("(1 / COS(RADIANS(REGEXEXTRACT(J17,""(\d+)""))))*C17"),10.0)</f>
        <v>10</v>
      </c>
      <c r="H17" s="1338">
        <f>IFERROR(__xludf.DUMMYFUNCTION("(1 / COS(RADIANS(REGEXEXTRACT(J17,""(\d+)""))))*D17"),7.6)</f>
        <v>7.6</v>
      </c>
      <c r="I17" s="1339">
        <f>IFERROR(__xludf.DUMMYFUNCTION("(1 / COS(RADIANS(REGEXEXTRACT(J17,""(\d+)""))))*D17"),7.6)</f>
        <v>7.6</v>
      </c>
      <c r="J17" s="1374" t="str">
        <f>IFERROR(__xludf.DUMMYFUNCTION("IFERROR(REGEXEXTRACT(K17,""@\s*(\d+(?:\.\d+)?)\s*deg"")&amp;""°"",""0°"")"),"0°")</f>
        <v>0°</v>
      </c>
      <c r="K17" s="1334" t="s">
        <v>1153</v>
      </c>
      <c r="L17" s="1341" t="str">
        <f>IFERROR(__xludf.DUMMYFUNCTION("if(E17&gt;1,if(C17="""",join("" lengths @ "",E17,I17),join("" variable lengths @ average span of "",E17,G17)),
if(C17="""",join("" length @ "",E17,I17),join("" variable length @ average span of "",E17,G17)))"),"53 variable lengths @ average span of 10.00 m")</f>
        <v>53 variable lengths @ average span of 10.00 m</v>
      </c>
      <c r="M17" s="1341" t="str">
        <f t="shared" si="2"/>
        <v>Sheet lengths start at 7.60m, increasing by 40mm per sheet</v>
      </c>
      <c r="N17" s="1342" t="s">
        <v>1154</v>
      </c>
      <c r="O17" s="1343" t="s">
        <v>1155</v>
      </c>
      <c r="P17" s="464"/>
      <c r="Q17" s="464"/>
      <c r="R17" s="464"/>
      <c r="S17" s="464"/>
      <c r="T17" s="464"/>
      <c r="U17" s="464"/>
      <c r="V17" s="464"/>
      <c r="W17" s="464"/>
      <c r="X17" s="464"/>
      <c r="Y17" s="464"/>
    </row>
    <row r="18" ht="35.25" customHeight="1">
      <c r="A18" s="464"/>
      <c r="B18" s="1334">
        <v>40.0</v>
      </c>
      <c r="C18" s="1375">
        <v>11.0</v>
      </c>
      <c r="D18" s="1335">
        <v>10.0</v>
      </c>
      <c r="E18" s="1336">
        <v>33.0</v>
      </c>
      <c r="F18" s="464"/>
      <c r="G18" s="1338">
        <f>IFERROR(__xludf.DUMMYFUNCTION("(1 / COS(RADIANS(REGEXEXTRACT(J18,""(\d+)""))))*C18"),11.0)</f>
        <v>11</v>
      </c>
      <c r="H18" s="1338">
        <f>IFERROR(__xludf.DUMMYFUNCTION("(1 / COS(RADIANS(REGEXEXTRACT(J18,""(\d+)""))))*D18"),10.0)</f>
        <v>10</v>
      </c>
      <c r="I18" s="1339">
        <f>IFERROR(__xludf.DUMMYFUNCTION("(1 / COS(RADIANS(REGEXEXTRACT(J18,""(\d+)""))))*D18"),10.0)</f>
        <v>10</v>
      </c>
      <c r="J18" s="1374" t="str">
        <f>IFERROR(__xludf.DUMMYFUNCTION("IFERROR(REGEXEXTRACT(K18,""@\s*(\d+(?:\.\d+)?)\s*deg"")&amp;""°"",""0°"")"),"0°")</f>
        <v>0°</v>
      </c>
      <c r="K18" s="1334" t="s">
        <v>1153</v>
      </c>
      <c r="L18" s="1341" t="str">
        <f>IFERROR(__xludf.DUMMYFUNCTION("if(E18&gt;1,if(C18="""",join("" lengths @ "",E18,I18),join("" variable lengths @ average span of "",E18,G18)),
if(C18="""",join("" length @ "",E18,I18),join("" variable length @ average span of "",E18,G18)))"),"33 variable lengths @ average span of 11.00 m")</f>
        <v>33 variable lengths @ average span of 11.00 m</v>
      </c>
      <c r="M18" s="1341" t="str">
        <f t="shared" si="2"/>
        <v>Sheet lengths start at 10.00m, increasing by 40mm per sheet</v>
      </c>
      <c r="N18" s="1342" t="s">
        <v>1154</v>
      </c>
      <c r="O18" s="1343" t="s">
        <v>1148</v>
      </c>
      <c r="P18" s="464"/>
      <c r="Q18" s="464"/>
      <c r="R18" s="464"/>
      <c r="S18" s="464"/>
      <c r="T18" s="464"/>
      <c r="U18" s="464"/>
      <c r="V18" s="464"/>
      <c r="W18" s="464"/>
      <c r="X18" s="464"/>
      <c r="Y18" s="464"/>
    </row>
    <row r="19" ht="35.25" customHeight="1">
      <c r="A19" s="464"/>
      <c r="B19" s="1334">
        <v>40.0</v>
      </c>
      <c r="C19" s="1375">
        <v>10.0</v>
      </c>
      <c r="D19" s="1335">
        <v>7.6</v>
      </c>
      <c r="E19" s="1336">
        <v>87.0</v>
      </c>
      <c r="F19" s="464"/>
      <c r="G19" s="1338">
        <f>IFERROR(__xludf.DUMMYFUNCTION("(1 / COS(RADIANS(REGEXEXTRACT(J19,""(\d+)""))))*C19"),10.0)</f>
        <v>10</v>
      </c>
      <c r="H19" s="1338">
        <f>IFERROR(__xludf.DUMMYFUNCTION("(1 / COS(RADIANS(REGEXEXTRACT(J19,""(\d+)""))))*D19"),7.6)</f>
        <v>7.6</v>
      </c>
      <c r="I19" s="1339">
        <f>IFERROR(__xludf.DUMMYFUNCTION("(1 / COS(RADIANS(REGEXEXTRACT(J19,""(\d+)""))))*D19"),7.6)</f>
        <v>7.6</v>
      </c>
      <c r="J19" s="1374" t="str">
        <f>IFERROR(__xludf.DUMMYFUNCTION("IFERROR(REGEXEXTRACT(K19,""@\s*(\d+(?:\.\d+)?)\s*deg"")&amp;""°"",""0°"")"),"0°")</f>
        <v>0°</v>
      </c>
      <c r="K19" s="1334" t="s">
        <v>1153</v>
      </c>
      <c r="L19" s="1341" t="str">
        <f>IFERROR(__xludf.DUMMYFUNCTION("if(E19&gt;1,if(C19="""",join("" lengths @ "",E19,I19),join("" variable lengths @ average span of "",E19,G19)),
if(C19="""",join("" length @ "",E19,I19),join("" variable length @ average span of "",E19,G19)))"),"87 variable lengths @ average span of 10.00 m")</f>
        <v>87 variable lengths @ average span of 10.00 m</v>
      </c>
      <c r="M19" s="1341" t="str">
        <f t="shared" si="2"/>
        <v>Sheet lengths start at 7.60m, increasing by 40mm per sheet</v>
      </c>
      <c r="N19" s="1342" t="s">
        <v>1154</v>
      </c>
      <c r="O19" s="1343" t="s">
        <v>1148</v>
      </c>
      <c r="P19" s="464"/>
      <c r="Q19" s="464"/>
      <c r="R19" s="464"/>
      <c r="S19" s="464"/>
      <c r="T19" s="464"/>
      <c r="U19" s="464"/>
      <c r="V19" s="464"/>
      <c r="W19" s="464"/>
      <c r="X19" s="464"/>
      <c r="Y19" s="464"/>
    </row>
    <row r="20" ht="35.25" customHeight="1">
      <c r="A20" s="464"/>
      <c r="B20" s="1334">
        <v>40.0</v>
      </c>
      <c r="C20" s="1375">
        <v>6.0</v>
      </c>
      <c r="D20" s="1335">
        <v>5.9</v>
      </c>
      <c r="E20" s="1336">
        <v>4.0</v>
      </c>
      <c r="F20" s="464"/>
      <c r="G20" s="1338">
        <f>IFERROR(__xludf.DUMMYFUNCTION("(1 / COS(RADIANS(REGEXEXTRACT(J20,""(\d+)""))))*C20"),6.0)</f>
        <v>6</v>
      </c>
      <c r="H20" s="1338">
        <f>IFERROR(__xludf.DUMMYFUNCTION("(1 / COS(RADIANS(REGEXEXTRACT(J20,""(\d+)""))))*D20"),5.9)</f>
        <v>5.9</v>
      </c>
      <c r="I20" s="1339">
        <f>IFERROR(__xludf.DUMMYFUNCTION("(1 / COS(RADIANS(REGEXEXTRACT(J20,""(\d+)""))))*D20"),5.9)</f>
        <v>5.9</v>
      </c>
      <c r="J20" s="1374" t="str">
        <f>IFERROR(__xludf.DUMMYFUNCTION("IFERROR(REGEXEXTRACT(K20,""@\s*(\d+(?:\.\d+)?)\s*deg"")&amp;""°"",""0°"")"),"0°")</f>
        <v>0°</v>
      </c>
      <c r="K20" s="1334" t="s">
        <v>1153</v>
      </c>
      <c r="L20" s="1341" t="str">
        <f>IFERROR(__xludf.DUMMYFUNCTION("if(E20&gt;1,if(C20="""",join("" lengths @ "",E20,I20),join("" variable lengths @ average span of "",E20,G20)),
if(C20="""",join("" length @ "",E20,I20),join("" variable length @ average span of "",E20,G20)))"),"4 variable lengths @ average span of 6.00 m")</f>
        <v>4 variable lengths @ average span of 6.00 m</v>
      </c>
      <c r="M20" s="1341" t="str">
        <f t="shared" si="2"/>
        <v>Sheet lengths start at 5.90m, increasing by 40mm per sheet</v>
      </c>
      <c r="N20" s="1342" t="s">
        <v>1156</v>
      </c>
      <c r="O20" s="1343" t="s">
        <v>1148</v>
      </c>
      <c r="P20" s="464"/>
      <c r="Q20" s="464"/>
      <c r="R20" s="464"/>
      <c r="S20" s="464"/>
      <c r="T20" s="464"/>
      <c r="U20" s="464"/>
      <c r="V20" s="464"/>
      <c r="W20" s="464"/>
      <c r="X20" s="464"/>
      <c r="Y20" s="464"/>
    </row>
    <row r="21" ht="35.25" customHeight="1">
      <c r="A21" s="464"/>
      <c r="B21" s="1334">
        <v>40.0</v>
      </c>
      <c r="C21" s="1375">
        <v>3.4</v>
      </c>
      <c r="D21" s="1335">
        <v>3.25</v>
      </c>
      <c r="E21" s="1336">
        <v>7.0</v>
      </c>
      <c r="F21" s="464"/>
      <c r="G21" s="1338">
        <f>IFERROR(__xludf.DUMMYFUNCTION("(1 / COS(RADIANS(REGEXEXTRACT(J21,""(\d+)""))))*C21"),3.4)</f>
        <v>3.4</v>
      </c>
      <c r="H21" s="1338">
        <f>IFERROR(__xludf.DUMMYFUNCTION("(1 / COS(RADIANS(REGEXEXTRACT(J21,""(\d+)""))))*D21"),3.25)</f>
        <v>3.25</v>
      </c>
      <c r="I21" s="1339">
        <f>IFERROR(__xludf.DUMMYFUNCTION("(1 / COS(RADIANS(REGEXEXTRACT(J21,""(\d+)""))))*D21"),3.25)</f>
        <v>3.25</v>
      </c>
      <c r="J21" s="1374" t="str">
        <f>IFERROR(__xludf.DUMMYFUNCTION("IFERROR(REGEXEXTRACT(K21,""@\s*(\d+(?:\.\d+)?)\s*deg"")&amp;""°"",""0°"")"),"0°")</f>
        <v>0°</v>
      </c>
      <c r="K21" s="1334" t="s">
        <v>1153</v>
      </c>
      <c r="L21" s="1341" t="str">
        <f>IFERROR(__xludf.DUMMYFUNCTION("if(E21&gt;1,if(C21="""",join("" lengths @ "",E21,I21),join("" variable lengths @ average span of "",E21,G21)),
if(C21="""",join("" length @ "",E21,I21),join("" variable length @ average span of "",E21,G21)))"),"7 variable lengths @ average span of 3.40 m")</f>
        <v>7 variable lengths @ average span of 3.40 m</v>
      </c>
      <c r="M21" s="1341" t="str">
        <f t="shared" si="2"/>
        <v>Sheet lengths start at 3.25m, increasing by 40mm per sheet</v>
      </c>
      <c r="N21" s="1342" t="s">
        <v>1156</v>
      </c>
      <c r="O21" s="1343" t="s">
        <v>1148</v>
      </c>
      <c r="P21" s="464"/>
      <c r="Q21" s="464"/>
      <c r="R21" s="464"/>
      <c r="S21" s="464"/>
      <c r="T21" s="464"/>
      <c r="U21" s="464"/>
      <c r="V21" s="464"/>
      <c r="W21" s="464"/>
      <c r="X21" s="464"/>
      <c r="Y21" s="464"/>
    </row>
    <row r="22" ht="35.25" customHeight="1">
      <c r="A22" s="464"/>
      <c r="B22" s="1334">
        <v>40.0</v>
      </c>
      <c r="C22" s="1375">
        <v>3.64</v>
      </c>
      <c r="D22" s="1335">
        <v>3.54</v>
      </c>
      <c r="E22" s="1336">
        <v>7.0</v>
      </c>
      <c r="F22" s="464"/>
      <c r="G22" s="1338">
        <f>IFERROR(__xludf.DUMMYFUNCTION("(1 / COS(RADIANS(REGEXEXTRACT(J22,""(\d+)""))))*C22"),3.64)</f>
        <v>3.64</v>
      </c>
      <c r="H22" s="1338">
        <f>IFERROR(__xludf.DUMMYFUNCTION("(1 / COS(RADIANS(REGEXEXTRACT(J22,""(\d+)""))))*D22"),3.54)</f>
        <v>3.54</v>
      </c>
      <c r="I22" s="1339">
        <f>IFERROR(__xludf.DUMMYFUNCTION("(1 / COS(RADIANS(REGEXEXTRACT(J22,""(\d+)""))))*D22"),3.54)</f>
        <v>3.54</v>
      </c>
      <c r="J22" s="1374" t="str">
        <f>IFERROR(__xludf.DUMMYFUNCTION("IFERROR(REGEXEXTRACT(K22,""@\s*(\d+(?:\.\d+)?)\s*deg"")&amp;""°"",""0°"")"),"0°")</f>
        <v>0°</v>
      </c>
      <c r="K22" s="1334" t="s">
        <v>1153</v>
      </c>
      <c r="L22" s="1341" t="str">
        <f>IFERROR(__xludf.DUMMYFUNCTION("if(E22&gt;1,if(C22="""",join("" lengths @ "",E22,I22),join("" variable lengths @ average span of "",E22,G22)),
if(C22="""",join("" length @ "",E22,I22),join("" variable length @ average span of "",E22,G22)))"),"7 variable lengths @ average span of 3.64 m")</f>
        <v>7 variable lengths @ average span of 3.64 m</v>
      </c>
      <c r="M22" s="1341" t="str">
        <f t="shared" si="2"/>
        <v>Sheet lengths start at 3.54m, increasing by 40mm per sheet</v>
      </c>
      <c r="N22" s="1342" t="s">
        <v>1156</v>
      </c>
      <c r="O22" s="1343" t="s">
        <v>1148</v>
      </c>
      <c r="P22" s="464"/>
      <c r="Q22" s="464"/>
      <c r="R22" s="464"/>
      <c r="S22" s="464"/>
      <c r="T22" s="464"/>
      <c r="U22" s="464"/>
      <c r="V22" s="464"/>
      <c r="W22" s="464"/>
      <c r="X22" s="464"/>
      <c r="Y22" s="464"/>
    </row>
    <row r="23" ht="35.25" customHeight="1">
      <c r="A23" s="464"/>
      <c r="B23" s="1334">
        <v>40.0</v>
      </c>
      <c r="C23" s="1375">
        <v>6.5</v>
      </c>
      <c r="D23" s="1335">
        <v>6.0</v>
      </c>
      <c r="E23" s="1336">
        <v>33.0</v>
      </c>
      <c r="F23" s="464"/>
      <c r="G23" s="1338">
        <f>IFERROR(__xludf.DUMMYFUNCTION("(1 / COS(RADIANS(REGEXEXTRACT(J23,""(\d+)""))))*C23"),6.5)</f>
        <v>6.5</v>
      </c>
      <c r="H23" s="1338">
        <f>IFERROR(__xludf.DUMMYFUNCTION("(1 / COS(RADIANS(REGEXEXTRACT(J23,""(\d+)""))))*D23"),6.0)</f>
        <v>6</v>
      </c>
      <c r="I23" s="1339">
        <f>IFERROR(__xludf.DUMMYFUNCTION("(1 / COS(RADIANS(REGEXEXTRACT(J23,""(\d+)""))))*D23"),6.0)</f>
        <v>6</v>
      </c>
      <c r="J23" s="1374" t="str">
        <f>IFERROR(__xludf.DUMMYFUNCTION("IFERROR(REGEXEXTRACT(K23,""@\s*(\d+(?:\.\d+)?)\s*deg"")&amp;""°"",""0°"")"),"0°")</f>
        <v>0°</v>
      </c>
      <c r="K23" s="1334" t="s">
        <v>1153</v>
      </c>
      <c r="L23" s="1341" t="str">
        <f>IFERROR(__xludf.DUMMYFUNCTION("if(E23&gt;1,if(C23="""",join("" lengths @ "",E23,I23),join("" variable lengths @ average span of "",E23,G23)),
if(C23="""",join("" length @ "",E23,I23),join("" variable length @ average span of "",E23,G23)))"),"33 variable lengths @ average span of 6.50 m")</f>
        <v>33 variable lengths @ average span of 6.50 m</v>
      </c>
      <c r="M23" s="1341" t="str">
        <f t="shared" si="2"/>
        <v>Sheet lengths start at 6.00m, increasing by 40mm per sheet</v>
      </c>
      <c r="N23" s="1342" t="s">
        <v>1156</v>
      </c>
      <c r="O23" s="1343" t="s">
        <v>1148</v>
      </c>
      <c r="P23" s="464"/>
      <c r="Q23" s="464"/>
      <c r="R23" s="464"/>
      <c r="S23" s="464"/>
      <c r="T23" s="464"/>
      <c r="U23" s="464"/>
      <c r="V23" s="464"/>
      <c r="W23" s="464"/>
      <c r="X23" s="464"/>
      <c r="Y23" s="464"/>
    </row>
    <row r="24" ht="35.25" customHeight="1">
      <c r="A24" s="464"/>
      <c r="B24" s="1334">
        <v>40.0</v>
      </c>
      <c r="C24" s="1375">
        <v>6.0</v>
      </c>
      <c r="D24" s="1335">
        <v>5.9</v>
      </c>
      <c r="E24" s="1336">
        <v>7.0</v>
      </c>
      <c r="F24" s="464"/>
      <c r="G24" s="1338">
        <f>IFERROR(__xludf.DUMMYFUNCTION("(1 / COS(RADIANS(REGEXEXTRACT(J24,""(\d+)""))))*C24"),6.0)</f>
        <v>6</v>
      </c>
      <c r="H24" s="1338">
        <f>IFERROR(__xludf.DUMMYFUNCTION("(1 / COS(RADIANS(REGEXEXTRACT(J24,""(\d+)""))))*D24"),5.9)</f>
        <v>5.9</v>
      </c>
      <c r="I24" s="1339">
        <f>IFERROR(__xludf.DUMMYFUNCTION("(1 / COS(RADIANS(REGEXEXTRACT(J24,""(\d+)""))))*D24"),5.9)</f>
        <v>5.9</v>
      </c>
      <c r="J24" s="1374" t="str">
        <f>IFERROR(__xludf.DUMMYFUNCTION("IFERROR(REGEXEXTRACT(K24,""@\s*(\d+(?:\.\d+)?)\s*deg"")&amp;""°"",""0°"")"),"0°")</f>
        <v>0°</v>
      </c>
      <c r="K24" s="1334" t="s">
        <v>1153</v>
      </c>
      <c r="L24" s="1341" t="str">
        <f>IFERROR(__xludf.DUMMYFUNCTION("if(E24&gt;1,if(C24="""",join("" lengths @ "",E24,I24),join("" variable lengths @ average span of "",E24,G24)),
if(C24="""",join("" length @ "",E24,I24),join("" variable length @ average span of "",E24,G24)))"),"7 variable lengths @ average span of 6.00 m")</f>
        <v>7 variable lengths @ average span of 6.00 m</v>
      </c>
      <c r="M24" s="1341" t="str">
        <f t="shared" si="2"/>
        <v>Sheet lengths start at 5.90m, increasing by 40mm per sheet</v>
      </c>
      <c r="N24" s="1342" t="s">
        <v>1157</v>
      </c>
      <c r="O24" s="1343" t="s">
        <v>1148</v>
      </c>
      <c r="P24" s="464"/>
      <c r="Q24" s="464"/>
      <c r="R24" s="464"/>
      <c r="S24" s="464"/>
      <c r="T24" s="464"/>
      <c r="U24" s="464"/>
      <c r="V24" s="464"/>
      <c r="W24" s="464"/>
      <c r="X24" s="464"/>
      <c r="Y24" s="464"/>
    </row>
    <row r="25" ht="35.25" customHeight="1">
      <c r="A25" s="464"/>
      <c r="B25" s="1334">
        <v>40.0</v>
      </c>
      <c r="C25" s="1375">
        <v>3.5</v>
      </c>
      <c r="D25" s="1335">
        <v>3.3</v>
      </c>
      <c r="E25" s="1336">
        <v>6.0</v>
      </c>
      <c r="F25" s="464"/>
      <c r="G25" s="1338">
        <f>IFERROR(__xludf.DUMMYFUNCTION("(1 / COS(RADIANS(REGEXEXTRACT(J25,""(\d+)""))))*C25"),3.5)</f>
        <v>3.5</v>
      </c>
      <c r="H25" s="1338">
        <f>IFERROR(__xludf.DUMMYFUNCTION("(1 / COS(RADIANS(REGEXEXTRACT(J25,""(\d+)""))))*D25"),3.3)</f>
        <v>3.3</v>
      </c>
      <c r="I25" s="1339">
        <f>IFERROR(__xludf.DUMMYFUNCTION("(1 / COS(RADIANS(REGEXEXTRACT(J25,""(\d+)""))))*D25"),3.3)</f>
        <v>3.3</v>
      </c>
      <c r="J25" s="1374" t="str">
        <f>IFERROR(__xludf.DUMMYFUNCTION("IFERROR(REGEXEXTRACT(K25,""@\s*(\d+(?:\.\d+)?)\s*deg"")&amp;""°"",""0°"")"),"0°")</f>
        <v>0°</v>
      </c>
      <c r="K25" s="1334" t="s">
        <v>1153</v>
      </c>
      <c r="L25" s="1341" t="str">
        <f>IFERROR(__xludf.DUMMYFUNCTION("if(E25&gt;1,if(C25="""",join("" lengths @ "",E25,I25),join("" variable lengths @ average span of "",E25,G25)),
if(C25="""",join("" length @ "",E25,I25),join("" variable length @ average span of "",E25,G25)))"),"6 variable lengths @ average span of 3.50 m")</f>
        <v>6 variable lengths @ average span of 3.50 m</v>
      </c>
      <c r="M25" s="1341" t="str">
        <f t="shared" si="2"/>
        <v>Sheet lengths start at 3.30m, increasing by 40mm per sheet</v>
      </c>
      <c r="N25" s="1342" t="s">
        <v>1157</v>
      </c>
      <c r="O25" s="1343" t="s">
        <v>1148</v>
      </c>
      <c r="P25" s="464"/>
      <c r="Q25" s="464"/>
      <c r="R25" s="464"/>
      <c r="S25" s="464"/>
      <c r="T25" s="464"/>
      <c r="U25" s="464"/>
      <c r="V25" s="464"/>
      <c r="W25" s="464"/>
      <c r="X25" s="464"/>
      <c r="Y25" s="464"/>
    </row>
    <row r="26" ht="35.25" customHeight="1">
      <c r="A26" s="464"/>
      <c r="B26" s="1334">
        <v>40.0</v>
      </c>
      <c r="C26" s="1375">
        <v>3.8</v>
      </c>
      <c r="D26" s="1335">
        <v>3.55</v>
      </c>
      <c r="E26" s="1336">
        <v>7.0</v>
      </c>
      <c r="F26" s="464"/>
      <c r="G26" s="1338">
        <f>IFERROR(__xludf.DUMMYFUNCTION("(1 / COS(RADIANS(REGEXEXTRACT(J26,""(\d+)""))))*C26"),3.8)</f>
        <v>3.8</v>
      </c>
      <c r="H26" s="1338">
        <f>IFERROR(__xludf.DUMMYFUNCTION("(1 / COS(RADIANS(REGEXEXTRACT(J26,""(\d+)""))))*D26"),3.55)</f>
        <v>3.55</v>
      </c>
      <c r="I26" s="1339">
        <f>IFERROR(__xludf.DUMMYFUNCTION("(1 / COS(RADIANS(REGEXEXTRACT(J26,""(\d+)""))))*D26"),3.55)</f>
        <v>3.55</v>
      </c>
      <c r="J26" s="1374" t="str">
        <f>IFERROR(__xludf.DUMMYFUNCTION("IFERROR(REGEXEXTRACT(K26,""@\s*(\d+(?:\.\d+)?)\s*deg"")&amp;""°"",""0°"")"),"0°")</f>
        <v>0°</v>
      </c>
      <c r="K26" s="1334" t="s">
        <v>1153</v>
      </c>
      <c r="L26" s="1341" t="str">
        <f>IFERROR(__xludf.DUMMYFUNCTION("if(E26&gt;1,if(C26="""",join("" lengths @ "",E26,I26),join("" variable lengths @ average span of "",E26,G26)),
if(C26="""",join("" length @ "",E26,I26),join("" variable length @ average span of "",E26,G26)))"),"7 variable lengths @ average span of 3.80 m")</f>
        <v>7 variable lengths @ average span of 3.80 m</v>
      </c>
      <c r="M26" s="1341" t="str">
        <f t="shared" si="2"/>
        <v>Sheet lengths start at 3.55m, increasing by 40mm per sheet</v>
      </c>
      <c r="N26" s="1342" t="s">
        <v>1157</v>
      </c>
      <c r="O26" s="1343" t="s">
        <v>1148</v>
      </c>
      <c r="P26" s="464"/>
      <c r="Q26" s="464"/>
      <c r="R26" s="464"/>
      <c r="S26" s="464"/>
      <c r="T26" s="464"/>
      <c r="U26" s="464"/>
      <c r="V26" s="464"/>
      <c r="W26" s="464"/>
      <c r="X26" s="464"/>
      <c r="Y26" s="464"/>
    </row>
    <row r="27" ht="35.25" customHeight="1">
      <c r="A27" s="464"/>
      <c r="B27" s="1334">
        <v>40.0</v>
      </c>
      <c r="C27" s="1375">
        <v>4.0</v>
      </c>
      <c r="D27" s="1335">
        <v>3.85</v>
      </c>
      <c r="E27" s="1336">
        <v>6.0</v>
      </c>
      <c r="F27" s="464"/>
      <c r="G27" s="1338">
        <f>IFERROR(__xludf.DUMMYFUNCTION("(1 / COS(RADIANS(REGEXEXTRACT(J27,""(\d+)""))))*C27"),4.0)</f>
        <v>4</v>
      </c>
      <c r="H27" s="1338">
        <f>IFERROR(__xludf.DUMMYFUNCTION("(1 / COS(RADIANS(REGEXEXTRACT(J27,""(\d+)""))))*D27"),3.85)</f>
        <v>3.85</v>
      </c>
      <c r="I27" s="1339">
        <f>IFERROR(__xludf.DUMMYFUNCTION("(1 / COS(RADIANS(REGEXEXTRACT(J27,""(\d+)""))))*D27"),3.85)</f>
        <v>3.85</v>
      </c>
      <c r="J27" s="1374" t="str">
        <f>IFERROR(__xludf.DUMMYFUNCTION("IFERROR(REGEXEXTRACT(K27,""@\s*(\d+(?:\.\d+)?)\s*deg"")&amp;""°"",""0°"")"),"0°")</f>
        <v>0°</v>
      </c>
      <c r="K27" s="1334" t="s">
        <v>1153</v>
      </c>
      <c r="L27" s="1341" t="str">
        <f>IFERROR(__xludf.DUMMYFUNCTION("if(E27&gt;1,if(C27="""",join("" lengths @ "",E27,I27),join("" variable lengths @ average span of "",E27,G27)),
if(C27="""",join("" length @ "",E27,I27),join("" variable length @ average span of "",E27,G27)))"),"6 variable lengths @ average span of 4.00 m")</f>
        <v>6 variable lengths @ average span of 4.00 m</v>
      </c>
      <c r="M27" s="1341" t="str">
        <f t="shared" si="2"/>
        <v>Sheet lengths start at 3.85m, increasing by 40mm per sheet</v>
      </c>
      <c r="N27" s="1342" t="s">
        <v>1157</v>
      </c>
      <c r="O27" s="1343" t="s">
        <v>1148</v>
      </c>
      <c r="P27" s="464"/>
      <c r="Q27" s="464"/>
      <c r="R27" s="464"/>
      <c r="S27" s="464"/>
      <c r="T27" s="464"/>
      <c r="U27" s="464"/>
      <c r="V27" s="464"/>
      <c r="W27" s="464"/>
      <c r="X27" s="464"/>
      <c r="Y27" s="464"/>
    </row>
    <row r="28" ht="35.25" customHeight="1">
      <c r="A28" s="464"/>
      <c r="B28" s="1334">
        <v>40.0</v>
      </c>
      <c r="C28" s="1375">
        <v>6.8</v>
      </c>
      <c r="D28" s="1335">
        <v>6.3</v>
      </c>
      <c r="E28" s="1336">
        <v>26.0</v>
      </c>
      <c r="F28" s="464"/>
      <c r="G28" s="1338">
        <f>IFERROR(__xludf.DUMMYFUNCTION("(1 / COS(RADIANS(REGEXEXTRACT(J28,""(\d+)""))))*C28"),6.8)</f>
        <v>6.8</v>
      </c>
      <c r="H28" s="1338">
        <f>IFERROR(__xludf.DUMMYFUNCTION("(1 / COS(RADIANS(REGEXEXTRACT(J28,""(\d+)""))))*D28"),6.3)</f>
        <v>6.3</v>
      </c>
      <c r="I28" s="1339">
        <f>IFERROR(__xludf.DUMMYFUNCTION("(1 / COS(RADIANS(REGEXEXTRACT(J28,""(\d+)""))))*D28"),6.3)</f>
        <v>6.3</v>
      </c>
      <c r="J28" s="1374" t="str">
        <f>IFERROR(__xludf.DUMMYFUNCTION("IFERROR(REGEXEXTRACT(K28,""@\s*(\d+(?:\.\d+)?)\s*deg"")&amp;""°"",""0°"")"),"0°")</f>
        <v>0°</v>
      </c>
      <c r="K28" s="1334" t="s">
        <v>1153</v>
      </c>
      <c r="L28" s="1341" t="str">
        <f>IFERROR(__xludf.DUMMYFUNCTION("if(E28&gt;1,if(C28="""",join("" lengths @ "",E28,I28),join("" variable lengths @ average span of "",E28,G28)),
if(C28="""",join("" length @ "",E28,I28),join("" variable length @ average span of "",E28,G28)))"),"26 variable lengths @ average span of 6.80 m")</f>
        <v>26 variable lengths @ average span of 6.80 m</v>
      </c>
      <c r="M28" s="1341" t="str">
        <f t="shared" si="2"/>
        <v>Sheet lengths start at 6.30m, increasing by 40mm per sheet</v>
      </c>
      <c r="N28" s="1342" t="s">
        <v>1157</v>
      </c>
      <c r="O28" s="1343" t="s">
        <v>1148</v>
      </c>
      <c r="P28" s="464"/>
      <c r="Q28" s="464"/>
      <c r="R28" s="464"/>
      <c r="S28" s="464"/>
      <c r="T28" s="464"/>
      <c r="U28" s="464"/>
      <c r="V28" s="464"/>
      <c r="W28" s="464"/>
      <c r="X28" s="464"/>
      <c r="Y28" s="464"/>
    </row>
    <row r="29" ht="35.25" customHeight="1">
      <c r="A29" s="464"/>
      <c r="B29" s="1334">
        <v>40.0</v>
      </c>
      <c r="C29" s="1375">
        <v>6.2</v>
      </c>
      <c r="D29" s="1335">
        <v>6.0</v>
      </c>
      <c r="E29" s="1336">
        <v>11.0</v>
      </c>
      <c r="F29" s="464"/>
      <c r="G29" s="1338">
        <f>IFERROR(__xludf.DUMMYFUNCTION("(1 / COS(RADIANS(REGEXEXTRACT(J29,""(\d+)""))))*C29"),6.2)</f>
        <v>6.2</v>
      </c>
      <c r="H29" s="1338">
        <f>IFERROR(__xludf.DUMMYFUNCTION("(1 / COS(RADIANS(REGEXEXTRACT(J29,""(\d+)""))))*D29"),6.0)</f>
        <v>6</v>
      </c>
      <c r="I29" s="1339">
        <f>IFERROR(__xludf.DUMMYFUNCTION("(1 / COS(RADIANS(REGEXEXTRACT(J29,""(\d+)""))))*D29"),6.0)</f>
        <v>6</v>
      </c>
      <c r="J29" s="1374" t="str">
        <f>IFERROR(__xludf.DUMMYFUNCTION("IFERROR(REGEXEXTRACT(K29,""@\s*(\d+(?:\.\d+)?)\s*deg"")&amp;""°"",""0°"")"),"0°")</f>
        <v>0°</v>
      </c>
      <c r="K29" s="1334" t="s">
        <v>1153</v>
      </c>
      <c r="L29" s="1341" t="str">
        <f>IFERROR(__xludf.DUMMYFUNCTION("if(E29&gt;1,if(C29="""",join("" lengths @ "",E29,I29),join("" variable lengths @ average span of "",E29,G29)),
if(C29="""",join("" length @ "",E29,I29),join("" variable length @ average span of "",E29,G29)))"),"11 variable lengths @ average span of 6.20 m")</f>
        <v>11 variable lengths @ average span of 6.20 m</v>
      </c>
      <c r="M29" s="1341" t="str">
        <f t="shared" si="2"/>
        <v>Sheet lengths start at 6.00m, increasing by 40mm per sheet</v>
      </c>
      <c r="N29" s="1342" t="s">
        <v>1158</v>
      </c>
      <c r="O29" s="1343" t="s">
        <v>1155</v>
      </c>
      <c r="P29" s="464"/>
      <c r="Q29" s="464"/>
      <c r="R29" s="464"/>
      <c r="S29" s="464"/>
      <c r="T29" s="464"/>
      <c r="U29" s="464"/>
      <c r="V29" s="464"/>
      <c r="W29" s="464"/>
      <c r="X29" s="464"/>
      <c r="Y29" s="464"/>
    </row>
    <row r="30" ht="35.25" customHeight="1">
      <c r="A30" s="464"/>
      <c r="B30" s="1334">
        <v>40.0</v>
      </c>
      <c r="C30" s="1375">
        <v>3.5</v>
      </c>
      <c r="D30" s="1335">
        <v>3.22</v>
      </c>
      <c r="E30" s="1336">
        <v>7.0</v>
      </c>
      <c r="F30" s="464"/>
      <c r="G30" s="1338">
        <f>IFERROR(__xludf.DUMMYFUNCTION("(1 / COS(RADIANS(REGEXEXTRACT(J30,""(\d+)""))))*C30"),3.5)</f>
        <v>3.5</v>
      </c>
      <c r="H30" s="1338">
        <f>IFERROR(__xludf.DUMMYFUNCTION("(1 / COS(RADIANS(REGEXEXTRACT(J30,""(\d+)""))))*D30"),3.22)</f>
        <v>3.22</v>
      </c>
      <c r="I30" s="1339">
        <f>IFERROR(__xludf.DUMMYFUNCTION("(1 / COS(RADIANS(REGEXEXTRACT(J30,""(\d+)""))))*D30"),3.22)</f>
        <v>3.22</v>
      </c>
      <c r="J30" s="1374" t="str">
        <f>IFERROR(__xludf.DUMMYFUNCTION("IFERROR(REGEXEXTRACT(K30,""@\s*(\d+(?:\.\d+)?)\s*deg"")&amp;""°"",""0°"")"),"0°")</f>
        <v>0°</v>
      </c>
      <c r="K30" s="1334" t="s">
        <v>1153</v>
      </c>
      <c r="L30" s="1341" t="str">
        <f>IFERROR(__xludf.DUMMYFUNCTION("if(E30&gt;1,if(C30="""",join("" lengths @ "",E30,I30),join("" variable lengths @ average span of "",E30,G30)),
if(C30="""",join("" length @ "",E30,I30),join("" variable length @ average span of "",E30,G30)))"),"7 variable lengths @ average span of 3.50 m")</f>
        <v>7 variable lengths @ average span of 3.50 m</v>
      </c>
      <c r="M30" s="1341" t="str">
        <f t="shared" si="2"/>
        <v>Sheet lengths start at 3.22m, increasing by 40mm per sheet</v>
      </c>
      <c r="N30" s="1342" t="s">
        <v>1158</v>
      </c>
      <c r="O30" s="1343" t="s">
        <v>1155</v>
      </c>
      <c r="P30" s="464"/>
      <c r="Q30" s="464"/>
      <c r="R30" s="464"/>
      <c r="S30" s="464"/>
      <c r="T30" s="464"/>
      <c r="U30" s="464"/>
      <c r="V30" s="464"/>
      <c r="W30" s="464"/>
      <c r="X30" s="464"/>
      <c r="Y30" s="464"/>
    </row>
    <row r="31" ht="35.25" customHeight="1">
      <c r="A31" s="464"/>
      <c r="B31" s="1334">
        <v>40.0</v>
      </c>
      <c r="C31" s="1375">
        <v>3.6</v>
      </c>
      <c r="D31" s="1335">
        <v>3.5</v>
      </c>
      <c r="E31" s="1336">
        <v>7.0</v>
      </c>
      <c r="F31" s="464"/>
      <c r="G31" s="1338">
        <f>IFERROR(__xludf.DUMMYFUNCTION("(1 / COS(RADIANS(REGEXEXTRACT(J31,""(\d+)""))))*C31"),3.6)</f>
        <v>3.6</v>
      </c>
      <c r="H31" s="1338">
        <f>IFERROR(__xludf.DUMMYFUNCTION("(1 / COS(RADIANS(REGEXEXTRACT(J31,""(\d+)""))))*D31"),3.5)</f>
        <v>3.5</v>
      </c>
      <c r="I31" s="1339">
        <f>IFERROR(__xludf.DUMMYFUNCTION("(1 / COS(RADIANS(REGEXEXTRACT(J31,""(\d+)""))))*D31"),3.5)</f>
        <v>3.5</v>
      </c>
      <c r="J31" s="1374" t="str">
        <f>IFERROR(__xludf.DUMMYFUNCTION("IFERROR(REGEXEXTRACT(K31,""@\s*(\d+(?:\.\d+)?)\s*deg"")&amp;""°"",""0°"")"),"0°")</f>
        <v>0°</v>
      </c>
      <c r="K31" s="1334" t="s">
        <v>1153</v>
      </c>
      <c r="L31" s="1341" t="str">
        <f>IFERROR(__xludf.DUMMYFUNCTION("if(E31&gt;1,if(C31="""",join("" lengths @ "",E31,I31),join("" variable lengths @ average span of "",E31,G31)),
if(C31="""",join("" length @ "",E31,I31),join("" variable length @ average span of "",E31,G31)))"),"7 variable lengths @ average span of 3.60 m")</f>
        <v>7 variable lengths @ average span of 3.60 m</v>
      </c>
      <c r="M31" s="1341" t="str">
        <f t="shared" si="2"/>
        <v>Sheet lengths start at 3.50m, increasing by 40mm per sheet</v>
      </c>
      <c r="N31" s="1342" t="s">
        <v>1158</v>
      </c>
      <c r="O31" s="1343" t="s">
        <v>1155</v>
      </c>
      <c r="P31" s="464"/>
      <c r="Q31" s="464"/>
      <c r="R31" s="464"/>
      <c r="S31" s="464"/>
      <c r="T31" s="464"/>
      <c r="U31" s="464"/>
      <c r="V31" s="464"/>
      <c r="W31" s="464"/>
      <c r="X31" s="464"/>
      <c r="Y31" s="464"/>
    </row>
    <row r="32" ht="35.25" customHeight="1">
      <c r="A32" s="464"/>
      <c r="B32" s="1334">
        <v>40.0</v>
      </c>
      <c r="C32" s="1375">
        <v>6.2</v>
      </c>
      <c r="D32" s="1335">
        <v>6.0</v>
      </c>
      <c r="E32" s="1336">
        <v>11.0</v>
      </c>
      <c r="F32" s="464"/>
      <c r="G32" s="1338">
        <f>IFERROR(__xludf.DUMMYFUNCTION("(1 / COS(RADIANS(REGEXEXTRACT(J32,""(\d+)""))))*C32"),6.2)</f>
        <v>6.2</v>
      </c>
      <c r="H32" s="1338">
        <f>IFERROR(__xludf.DUMMYFUNCTION("(1 / COS(RADIANS(REGEXEXTRACT(J32,""(\d+)""))))*D32"),6.0)</f>
        <v>6</v>
      </c>
      <c r="I32" s="1339">
        <f>IFERROR(__xludf.DUMMYFUNCTION("(1 / COS(RADIANS(REGEXEXTRACT(J32,""(\d+)""))))*D32"),6.0)</f>
        <v>6</v>
      </c>
      <c r="J32" s="1374" t="str">
        <f>IFERROR(__xludf.DUMMYFUNCTION("IFERROR(REGEXEXTRACT(K32,""@\s*(\d+(?:\.\d+)?)\s*deg"")&amp;""°"",""0°"")"),"0°")</f>
        <v>0°</v>
      </c>
      <c r="K32" s="1334" t="s">
        <v>1153</v>
      </c>
      <c r="L32" s="1341" t="str">
        <f>IFERROR(__xludf.DUMMYFUNCTION("if(E32&gt;1,if(C32="""",join("" lengths @ "",E32,I32),join("" variable lengths @ average span of "",E32,G32)),
if(C32="""",join("" length @ "",E32,I32),join("" variable length @ average span of "",E32,G32)))"),"11 variable lengths @ average span of 6.20 m")</f>
        <v>11 variable lengths @ average span of 6.20 m</v>
      </c>
      <c r="M32" s="1341" t="str">
        <f t="shared" si="2"/>
        <v>Sheet lengths start at 6.00m, increasing by 40mm per sheet</v>
      </c>
      <c r="N32" s="1342" t="s">
        <v>1159</v>
      </c>
      <c r="O32" s="1343" t="s">
        <v>1155</v>
      </c>
      <c r="P32" s="464"/>
      <c r="Q32" s="464"/>
      <c r="R32" s="464"/>
      <c r="S32" s="464"/>
      <c r="T32" s="464"/>
      <c r="U32" s="464"/>
      <c r="V32" s="464"/>
      <c r="W32" s="464"/>
      <c r="X32" s="464"/>
      <c r="Y32" s="464"/>
    </row>
    <row r="33" ht="35.25" customHeight="1">
      <c r="A33" s="464"/>
      <c r="B33" s="1334">
        <v>40.0</v>
      </c>
      <c r="C33" s="1375">
        <v>3.5</v>
      </c>
      <c r="D33" s="1335">
        <v>3.22</v>
      </c>
      <c r="E33" s="1336">
        <v>7.0</v>
      </c>
      <c r="F33" s="464"/>
      <c r="G33" s="1338">
        <f>IFERROR(__xludf.DUMMYFUNCTION("(1 / COS(RADIANS(REGEXEXTRACT(J33,""(\d+)""))))*C33"),3.5)</f>
        <v>3.5</v>
      </c>
      <c r="H33" s="1338">
        <f>IFERROR(__xludf.DUMMYFUNCTION("(1 / COS(RADIANS(REGEXEXTRACT(J33,""(\d+)""))))*D33"),3.22)</f>
        <v>3.22</v>
      </c>
      <c r="I33" s="1339">
        <f>IFERROR(__xludf.DUMMYFUNCTION("(1 / COS(RADIANS(REGEXEXTRACT(J33,""(\d+)""))))*D33"),3.22)</f>
        <v>3.22</v>
      </c>
      <c r="J33" s="1374" t="str">
        <f>IFERROR(__xludf.DUMMYFUNCTION("IFERROR(REGEXEXTRACT(K33,""@\s*(\d+(?:\.\d+)?)\s*deg"")&amp;""°"",""0°"")"),"0°")</f>
        <v>0°</v>
      </c>
      <c r="K33" s="1334" t="s">
        <v>1153</v>
      </c>
      <c r="L33" s="1341" t="str">
        <f>IFERROR(__xludf.DUMMYFUNCTION("if(E33&gt;1,if(C33="""",join("" lengths @ "",E33,I33),join("" variable lengths @ average span of "",E33,G33)),
if(C33="""",join("" length @ "",E33,I33),join("" variable length @ average span of "",E33,G33)))"),"7 variable lengths @ average span of 3.50 m")</f>
        <v>7 variable lengths @ average span of 3.50 m</v>
      </c>
      <c r="M33" s="1341" t="str">
        <f t="shared" si="2"/>
        <v>Sheet lengths start at 3.22m, increasing by 40mm per sheet</v>
      </c>
      <c r="N33" s="1342" t="s">
        <v>1159</v>
      </c>
      <c r="O33" s="1343" t="s">
        <v>1155</v>
      </c>
      <c r="P33" s="464"/>
      <c r="Q33" s="464"/>
      <c r="R33" s="464"/>
      <c r="S33" s="464"/>
      <c r="T33" s="464"/>
      <c r="U33" s="464"/>
      <c r="V33" s="464"/>
      <c r="W33" s="464"/>
      <c r="X33" s="464"/>
      <c r="Y33" s="464"/>
    </row>
    <row r="34" ht="35.25" customHeight="1">
      <c r="A34" s="464"/>
      <c r="B34" s="1334">
        <v>40.0</v>
      </c>
      <c r="C34" s="1375">
        <v>3.6</v>
      </c>
      <c r="D34" s="1335">
        <v>3.5</v>
      </c>
      <c r="E34" s="1336">
        <v>7.0</v>
      </c>
      <c r="F34" s="464"/>
      <c r="G34" s="1338">
        <f>IFERROR(__xludf.DUMMYFUNCTION("(1 / COS(RADIANS(REGEXEXTRACT(J34,""(\d+)""))))*C34"),3.6)</f>
        <v>3.6</v>
      </c>
      <c r="H34" s="1338">
        <f>IFERROR(__xludf.DUMMYFUNCTION("(1 / COS(RADIANS(REGEXEXTRACT(J34,""(\d+)""))))*D34"),3.5)</f>
        <v>3.5</v>
      </c>
      <c r="I34" s="1339">
        <f>IFERROR(__xludf.DUMMYFUNCTION("(1 / COS(RADIANS(REGEXEXTRACT(J34,""(\d+)""))))*D34"),3.5)</f>
        <v>3.5</v>
      </c>
      <c r="J34" s="1374" t="str">
        <f>IFERROR(__xludf.DUMMYFUNCTION("IFERROR(REGEXEXTRACT(K34,""@\s*(\d+(?:\.\d+)?)\s*deg"")&amp;""°"",""0°"")"),"0°")</f>
        <v>0°</v>
      </c>
      <c r="K34" s="1334" t="s">
        <v>1153</v>
      </c>
      <c r="L34" s="1341" t="str">
        <f>IFERROR(__xludf.DUMMYFUNCTION("if(E34&gt;1,if(C34="""",join("" lengths @ "",E34,I34),join("" variable lengths @ average span of "",E34,G34)),
if(C34="""",join("" length @ "",E34,I34),join("" variable length @ average span of "",E34,G34)))"),"7 variable lengths @ average span of 3.60 m")</f>
        <v>7 variable lengths @ average span of 3.60 m</v>
      </c>
      <c r="M34" s="1341" t="str">
        <f t="shared" si="2"/>
        <v>Sheet lengths start at 3.50m, increasing by 40mm per sheet</v>
      </c>
      <c r="N34" s="1342" t="s">
        <v>1159</v>
      </c>
      <c r="O34" s="1343" t="s">
        <v>1155</v>
      </c>
      <c r="P34" s="464"/>
      <c r="Q34" s="464"/>
      <c r="R34" s="464"/>
      <c r="S34" s="464"/>
      <c r="T34" s="464"/>
      <c r="U34" s="464"/>
      <c r="V34" s="464"/>
      <c r="W34" s="464"/>
      <c r="X34" s="464"/>
      <c r="Y34" s="464"/>
    </row>
    <row r="35" ht="27.0" customHeight="1">
      <c r="A35" s="464"/>
      <c r="B35" s="1334"/>
      <c r="C35" s="1375"/>
      <c r="D35" s="1376">
        <v>7.6</v>
      </c>
      <c r="E35" s="1377">
        <v>19.0</v>
      </c>
      <c r="F35" s="464"/>
      <c r="G35" s="1338">
        <f>IFERROR(__xludf.DUMMYFUNCTION("(1 / COS(RADIANS(REGEXEXTRACT(J35,""(\d+)""))))*C35"),0.0)</f>
        <v>0</v>
      </c>
      <c r="H35" s="1338">
        <f>IFERROR(__xludf.DUMMYFUNCTION("(1 / COS(RADIANS(REGEXEXTRACT(J35,""(\d+)""))))*D35"),7.6)</f>
        <v>7.6</v>
      </c>
      <c r="I35" s="1339">
        <f>IFERROR(__xludf.DUMMYFUNCTION("(1 / COS(RADIANS(REGEXEXTRACT(J35,""(\d+)""))))*D35"),7.6)</f>
        <v>7.6</v>
      </c>
      <c r="J35" s="1374" t="str">
        <f>IFERROR(__xludf.DUMMYFUNCTION("IFERROR(REGEXEXTRACT(K35,""@\s*(\d+(?:\.\d+)?)\s*deg"")&amp;""°"",""0°"")"),"0°")</f>
        <v>0°</v>
      </c>
      <c r="K35" s="1378" t="s">
        <v>1160</v>
      </c>
      <c r="L35" s="1341" t="str">
        <f>IFERROR(__xludf.DUMMYFUNCTION("if(E35&gt;1,if(C35="""",join("" lengths @ "",E35,I35),join("" variable lengths @ average span of "",E35,G35)),
if(C35="""",join("" length @ "",E35,I35),join("" variable length @ average span of "",E35,G35)))"),"19 lengths @ 7.60 m span")</f>
        <v>19 lengths @ 7.60 m span</v>
      </c>
      <c r="M35" s="1341" t="str">
        <f t="shared" si="2"/>
        <v/>
      </c>
      <c r="N35" s="1379" t="s">
        <v>1161</v>
      </c>
      <c r="O35" s="1380" t="s">
        <v>1162</v>
      </c>
      <c r="P35" s="464"/>
      <c r="Q35" s="464"/>
      <c r="R35" s="464"/>
      <c r="S35" s="464"/>
      <c r="T35" s="464"/>
      <c r="U35" s="464"/>
      <c r="V35" s="464"/>
      <c r="W35" s="464"/>
      <c r="X35" s="464"/>
      <c r="Y35" s="464"/>
    </row>
    <row r="36" ht="27.0" customHeight="1">
      <c r="A36" s="464"/>
      <c r="B36" s="1334"/>
      <c r="C36" s="1375"/>
      <c r="D36" s="1344">
        <v>7.6</v>
      </c>
      <c r="E36" s="1345">
        <v>11.0</v>
      </c>
      <c r="F36" s="464"/>
      <c r="G36" s="1338">
        <f>IFERROR(__xludf.DUMMYFUNCTION("(1 / COS(RADIANS(REGEXEXTRACT(J36,""(\d+)""))))*C36"),0.0)</f>
        <v>0</v>
      </c>
      <c r="H36" s="1338">
        <f>IFERROR(__xludf.DUMMYFUNCTION("(1 / COS(RADIANS(REGEXEXTRACT(J36,""(\d+)""))))*D36"),7.6)</f>
        <v>7.6</v>
      </c>
      <c r="I36" s="1339">
        <f>IFERROR(__xludf.DUMMYFUNCTION("(1 / COS(RADIANS(REGEXEXTRACT(J36,""(\d+)""))))*D36"),7.6)</f>
        <v>7.6</v>
      </c>
      <c r="J36" s="1374" t="str">
        <f>IFERROR(__xludf.DUMMYFUNCTION("IFERROR(REGEXEXTRACT(K36,""@\s*(\d+(?:\.\d+)?)\s*deg"")&amp;""°"",""0°"")"),"0°")</f>
        <v>0°</v>
      </c>
      <c r="K36" s="1334" t="s">
        <v>1153</v>
      </c>
      <c r="L36" s="1341" t="str">
        <f>IFERROR(__xludf.DUMMYFUNCTION("if(E36&gt;1,if(C36="""",join("" lengths @ "",E36,I36),join("" variable lengths @ average span of "",E36,G36)),
if(C36="""",join("" length @ "",E36,I36),join("" variable length @ average span of "",E36,G36)))"),"11 lengths @ 7.60 m span")</f>
        <v>11 lengths @ 7.60 m span</v>
      </c>
      <c r="M36" s="1341" t="str">
        <f t="shared" si="2"/>
        <v/>
      </c>
      <c r="N36" s="1342" t="s">
        <v>1161</v>
      </c>
      <c r="O36" s="1343" t="s">
        <v>1163</v>
      </c>
      <c r="P36" s="464"/>
      <c r="Q36" s="464"/>
      <c r="R36" s="464"/>
      <c r="S36" s="464"/>
      <c r="T36" s="464"/>
      <c r="U36" s="464"/>
      <c r="V36" s="464"/>
      <c r="W36" s="464"/>
      <c r="X36" s="464"/>
      <c r="Y36" s="464"/>
    </row>
    <row r="37" ht="27.0" customHeight="1">
      <c r="A37" s="464"/>
      <c r="B37" s="1334"/>
      <c r="C37" s="1375"/>
      <c r="D37" s="1344">
        <v>7.6</v>
      </c>
      <c r="E37" s="1345">
        <v>92.0</v>
      </c>
      <c r="F37" s="464"/>
      <c r="G37" s="1338">
        <f>IFERROR(__xludf.DUMMYFUNCTION("(1 / COS(RADIANS(REGEXEXTRACT(J37,""(\d+)""))))*C37"),0.0)</f>
        <v>0</v>
      </c>
      <c r="H37" s="1338">
        <f>IFERROR(__xludf.DUMMYFUNCTION("(1 / COS(RADIANS(REGEXEXTRACT(J37,""(\d+)""))))*D37"),7.6)</f>
        <v>7.6</v>
      </c>
      <c r="I37" s="1339">
        <f>IFERROR(__xludf.DUMMYFUNCTION("(1 / COS(RADIANS(REGEXEXTRACT(J37,""(\d+)""))))*D37"),7.6)</f>
        <v>7.6</v>
      </c>
      <c r="J37" s="1374" t="str">
        <f>IFERROR(__xludf.DUMMYFUNCTION("IFERROR(REGEXEXTRACT(K37,""@\s*(\d+(?:\.\d+)?)\s*deg"")&amp;""°"",""0°"")"),"0°")</f>
        <v>0°</v>
      </c>
      <c r="K37" s="1334" t="s">
        <v>1153</v>
      </c>
      <c r="L37" s="1341" t="str">
        <f>IFERROR(__xludf.DUMMYFUNCTION("if(E37&gt;1,if(C37="""",join("" lengths @ "",E37,I37),join("" variable lengths @ average span of "",E37,G37)),
if(C37="""",join("" length @ "",E37,I37),join("" variable length @ average span of "",E37,G37)))"),"92 lengths @ 7.60 m span")</f>
        <v>92 lengths @ 7.60 m span</v>
      </c>
      <c r="M37" s="1341" t="str">
        <f t="shared" si="2"/>
        <v/>
      </c>
      <c r="N37" s="1342" t="s">
        <v>1161</v>
      </c>
      <c r="O37" s="1343" t="s">
        <v>1148</v>
      </c>
      <c r="P37" s="464"/>
      <c r="Q37" s="464"/>
      <c r="R37" s="464"/>
      <c r="S37" s="464"/>
      <c r="T37" s="464"/>
      <c r="U37" s="464"/>
      <c r="V37" s="464"/>
      <c r="W37" s="464"/>
      <c r="X37" s="464"/>
      <c r="Y37" s="464"/>
    </row>
    <row r="38" ht="27.0" customHeight="1">
      <c r="A38" s="464"/>
      <c r="B38" s="1334"/>
      <c r="C38" s="1375"/>
      <c r="D38" s="1344">
        <v>7.6</v>
      </c>
      <c r="E38" s="1345">
        <v>122.0</v>
      </c>
      <c r="F38" s="464"/>
      <c r="G38" s="1338">
        <f>IFERROR(__xludf.DUMMYFUNCTION("(1 / COS(RADIANS(REGEXEXTRACT(J38,""(\d+)""))))*C38"),0.0)</f>
        <v>0</v>
      </c>
      <c r="H38" s="1338">
        <f>IFERROR(__xludf.DUMMYFUNCTION("(1 / COS(RADIANS(REGEXEXTRACT(J38,""(\d+)""))))*D38"),7.6)</f>
        <v>7.6</v>
      </c>
      <c r="I38" s="1339">
        <f>IFERROR(__xludf.DUMMYFUNCTION("(1 / COS(RADIANS(REGEXEXTRACT(J38,""(\d+)""))))*D38"),7.6)</f>
        <v>7.6</v>
      </c>
      <c r="J38" s="1374" t="str">
        <f>IFERROR(__xludf.DUMMYFUNCTION("IFERROR(REGEXEXTRACT(K38,""@\s*(\d+(?:\.\d+)?)\s*deg"")&amp;""°"",""0°"")"),"0°")</f>
        <v>0°</v>
      </c>
      <c r="K38" s="1334" t="s">
        <v>1153</v>
      </c>
      <c r="L38" s="1341" t="str">
        <f>IFERROR(__xludf.DUMMYFUNCTION("if(E38&gt;1,if(C38="""",join("" lengths @ "",E38,I38),join("" variable lengths @ average span of "",E38,G38)),
if(C38="""",join("" length @ "",E38,I38),join("" variable length @ average span of "",E38,G38)))"),"122 lengths @ 7.60 m span")</f>
        <v>122 lengths @ 7.60 m span</v>
      </c>
      <c r="M38" s="1341" t="str">
        <f t="shared" si="2"/>
        <v/>
      </c>
      <c r="N38" s="1342" t="s">
        <v>1161</v>
      </c>
      <c r="O38" s="1343" t="s">
        <v>1155</v>
      </c>
      <c r="P38" s="464"/>
      <c r="Q38" s="464"/>
      <c r="R38" s="464"/>
      <c r="S38" s="464"/>
      <c r="T38" s="464"/>
      <c r="U38" s="464"/>
      <c r="V38" s="464"/>
      <c r="W38" s="464"/>
      <c r="X38" s="464"/>
      <c r="Y38" s="464"/>
    </row>
    <row r="39" ht="27.0" customHeight="1">
      <c r="A39" s="464"/>
      <c r="B39" s="1334"/>
      <c r="C39" s="1375"/>
      <c r="D39" s="1376">
        <v>9.9</v>
      </c>
      <c r="E39" s="1377">
        <v>27.0</v>
      </c>
      <c r="F39" s="464"/>
      <c r="G39" s="1338">
        <f>IFERROR(__xludf.DUMMYFUNCTION("(1 / COS(RADIANS(REGEXEXTRACT(J39,""(\d+)""))))*C39"),0.0)</f>
        <v>0</v>
      </c>
      <c r="H39" s="1338">
        <f>IFERROR(__xludf.DUMMYFUNCTION("(1 / COS(RADIANS(REGEXEXTRACT(J39,""(\d+)""))))*D39"),9.9)</f>
        <v>9.9</v>
      </c>
      <c r="I39" s="1339">
        <f>IFERROR(__xludf.DUMMYFUNCTION("(1 / COS(RADIANS(REGEXEXTRACT(J39,""(\d+)""))))*D39"),9.9)</f>
        <v>9.9</v>
      </c>
      <c r="J39" s="1374" t="str">
        <f>IFERROR(__xludf.DUMMYFUNCTION("IFERROR(REGEXEXTRACT(K39,""@\s*(\d+(?:\.\d+)?)\s*deg"")&amp;""°"",""0°"")"),"0°")</f>
        <v>0°</v>
      </c>
      <c r="K39" s="1378" t="s">
        <v>1160</v>
      </c>
      <c r="L39" s="1341" t="str">
        <f>IFERROR(__xludf.DUMMYFUNCTION("if(E39&gt;1,if(C39="""",join("" lengths @ "",E39,I39),join("" variable lengths @ average span of "",E39,G39)),
if(C39="""",join("" length @ "",E39,I39),join("" variable length @ average span of "",E39,G39)))"),"27 lengths @ 9.90 m span")</f>
        <v>27 lengths @ 9.90 m span</v>
      </c>
      <c r="M39" s="1341" t="str">
        <f t="shared" si="2"/>
        <v/>
      </c>
      <c r="N39" s="1379" t="s">
        <v>1164</v>
      </c>
      <c r="O39" s="1380" t="s">
        <v>1162</v>
      </c>
      <c r="P39" s="464"/>
      <c r="Q39" s="464"/>
      <c r="R39" s="464"/>
      <c r="S39" s="464"/>
      <c r="T39" s="464"/>
      <c r="U39" s="464"/>
      <c r="V39" s="464"/>
      <c r="W39" s="464"/>
      <c r="X39" s="464"/>
      <c r="Y39" s="464"/>
    </row>
    <row r="40" ht="27.0" customHeight="1">
      <c r="A40" s="464"/>
      <c r="B40" s="1334"/>
      <c r="C40" s="1375"/>
      <c r="D40" s="1344">
        <v>9.9</v>
      </c>
      <c r="E40" s="1345">
        <v>115.0</v>
      </c>
      <c r="F40" s="464"/>
      <c r="G40" s="1338">
        <f>IFERROR(__xludf.DUMMYFUNCTION("(1 / COS(RADIANS(REGEXEXTRACT(J40,""(\d+)""))))*C40"),0.0)</f>
        <v>0</v>
      </c>
      <c r="H40" s="1338">
        <f>IFERROR(__xludf.DUMMYFUNCTION("(1 / COS(RADIANS(REGEXEXTRACT(J40,""(\d+)""))))*D40"),9.9)</f>
        <v>9.9</v>
      </c>
      <c r="I40" s="1339">
        <f>IFERROR(__xludf.DUMMYFUNCTION("(1 / COS(RADIANS(REGEXEXTRACT(J40,""(\d+)""))))*D40"),9.9)</f>
        <v>9.9</v>
      </c>
      <c r="J40" s="1374" t="str">
        <f>IFERROR(__xludf.DUMMYFUNCTION("IFERROR(REGEXEXTRACT(K40,""@\s*(\d+(?:\.\d+)?)\s*deg"")&amp;""°"",""0°"")"),"0°")</f>
        <v>0°</v>
      </c>
      <c r="K40" s="1334" t="s">
        <v>1153</v>
      </c>
      <c r="L40" s="1341" t="str">
        <f>IFERROR(__xludf.DUMMYFUNCTION("if(E40&gt;1,if(C40="""",join("" lengths @ "",E40,I40),join("" variable lengths @ average span of "",E40,G40)),
if(C40="""",join("" length @ "",E40,I40),join("" variable length @ average span of "",E40,G40)))"),"115 lengths @ 9.90 m span")</f>
        <v>115 lengths @ 9.90 m span</v>
      </c>
      <c r="M40" s="1341" t="str">
        <f t="shared" si="2"/>
        <v/>
      </c>
      <c r="N40" s="1342" t="s">
        <v>1164</v>
      </c>
      <c r="O40" s="1343" t="s">
        <v>1148</v>
      </c>
      <c r="P40" s="464"/>
      <c r="Q40" s="464"/>
      <c r="R40" s="464"/>
      <c r="S40" s="464"/>
      <c r="T40" s="464"/>
      <c r="U40" s="464"/>
      <c r="V40" s="464"/>
      <c r="W40" s="464"/>
      <c r="X40" s="464"/>
      <c r="Y40" s="464"/>
    </row>
    <row r="41" ht="27.0" customHeight="1">
      <c r="A41" s="464"/>
      <c r="B41" s="1334"/>
      <c r="C41" s="1375"/>
      <c r="D41" s="1344">
        <v>9.9</v>
      </c>
      <c r="E41" s="1345">
        <v>101.0</v>
      </c>
      <c r="F41" s="464"/>
      <c r="G41" s="1338">
        <f>IFERROR(__xludf.DUMMYFUNCTION("(1 / COS(RADIANS(REGEXEXTRACT(J41,""(\d+)""))))*C41"),0.0)</f>
        <v>0</v>
      </c>
      <c r="H41" s="1338">
        <f>IFERROR(__xludf.DUMMYFUNCTION("(1 / COS(RADIANS(REGEXEXTRACT(J41,""(\d+)""))))*D41"),9.9)</f>
        <v>9.9</v>
      </c>
      <c r="I41" s="1339">
        <f>IFERROR(__xludf.DUMMYFUNCTION("(1 / COS(RADIANS(REGEXEXTRACT(J41,""(\d+)""))))*D41"),9.9)</f>
        <v>9.9</v>
      </c>
      <c r="J41" s="1374" t="str">
        <f>IFERROR(__xludf.DUMMYFUNCTION("IFERROR(REGEXEXTRACT(K41,""@\s*(\d+(?:\.\d+)?)\s*deg"")&amp;""°"",""0°"")"),"0°")</f>
        <v>0°</v>
      </c>
      <c r="K41" s="1334" t="s">
        <v>1153</v>
      </c>
      <c r="L41" s="1341" t="str">
        <f>IFERROR(__xludf.DUMMYFUNCTION("if(E41&gt;1,if(C41="""",join("" lengths @ "",E41,I41),join("" variable lengths @ average span of "",E41,G41)),
if(C41="""",join("" length @ "",E41,I41),join("" variable length @ average span of "",E41,G41)))"),"101 lengths @ 9.90 m span")</f>
        <v>101 lengths @ 9.90 m span</v>
      </c>
      <c r="M41" s="1341" t="str">
        <f t="shared" si="2"/>
        <v/>
      </c>
      <c r="N41" s="1342" t="s">
        <v>1164</v>
      </c>
      <c r="O41" s="1343" t="s">
        <v>1155</v>
      </c>
      <c r="P41" s="464"/>
      <c r="Q41" s="464"/>
      <c r="R41" s="464"/>
      <c r="S41" s="464"/>
      <c r="T41" s="464"/>
      <c r="U41" s="464"/>
      <c r="V41" s="464"/>
      <c r="W41" s="464"/>
      <c r="X41" s="464"/>
      <c r="Y41" s="464"/>
    </row>
    <row r="42" ht="27.0" customHeight="1">
      <c r="A42" s="464"/>
      <c r="B42" s="1334"/>
      <c r="C42" s="1375"/>
      <c r="D42" s="1344">
        <v>5.5</v>
      </c>
      <c r="E42" s="1345">
        <v>224.0</v>
      </c>
      <c r="F42" s="464"/>
      <c r="G42" s="1338">
        <f>IFERROR(__xludf.DUMMYFUNCTION("(1 / COS(RADIANS(REGEXEXTRACT(J42,""(\d+)""))))*C42"),0.0)</f>
        <v>0</v>
      </c>
      <c r="H42" s="1338">
        <f>IFERROR(__xludf.DUMMYFUNCTION("(1 / COS(RADIANS(REGEXEXTRACT(J42,""(\d+)""))))*D42"),5.5)</f>
        <v>5.5</v>
      </c>
      <c r="I42" s="1339">
        <f>IFERROR(__xludf.DUMMYFUNCTION("(1 / COS(RADIANS(REGEXEXTRACT(J42,""(\d+)""))))*D42"),5.5)</f>
        <v>5.5</v>
      </c>
      <c r="J42" s="1374" t="str">
        <f>IFERROR(__xludf.DUMMYFUNCTION("IFERROR(REGEXEXTRACT(K42,""@\s*(\d+(?:\.\d+)?)\s*deg"")&amp;""°"",""0°"")"),"0°")</f>
        <v>0°</v>
      </c>
      <c r="K42" s="1334" t="s">
        <v>1153</v>
      </c>
      <c r="L42" s="1341" t="str">
        <f>IFERROR(__xludf.DUMMYFUNCTION("if(E42&gt;1,if(C42="""",join("" lengths @ "",E42,I42),join("" variable lengths @ average span of "",E42,G42)),
if(C42="""",join("" length @ "",E42,I42),join("" variable length @ average span of "",E42,G42)))"),"224 lengths @ 5.50 m span")</f>
        <v>224 lengths @ 5.50 m span</v>
      </c>
      <c r="M42" s="1341" t="str">
        <f t="shared" si="2"/>
        <v/>
      </c>
      <c r="N42" s="1342" t="s">
        <v>1165</v>
      </c>
      <c r="O42" s="1343" t="s">
        <v>1148</v>
      </c>
      <c r="P42" s="464"/>
      <c r="Q42" s="464"/>
      <c r="R42" s="464"/>
      <c r="S42" s="464"/>
      <c r="T42" s="464"/>
      <c r="U42" s="464"/>
      <c r="V42" s="464"/>
      <c r="W42" s="464"/>
      <c r="X42" s="464"/>
      <c r="Y42" s="464"/>
    </row>
    <row r="43" ht="27.0" customHeight="1">
      <c r="A43" s="464"/>
      <c r="B43" s="1334"/>
      <c r="C43" s="1375"/>
      <c r="D43" s="1344">
        <v>5.4</v>
      </c>
      <c r="E43" s="1345">
        <v>212.0</v>
      </c>
      <c r="F43" s="464"/>
      <c r="G43" s="1338">
        <f>IFERROR(__xludf.DUMMYFUNCTION("(1 / COS(RADIANS(REGEXEXTRACT(J43,""(\d+)""))))*C43"),0.0)</f>
        <v>0</v>
      </c>
      <c r="H43" s="1338">
        <f>IFERROR(__xludf.DUMMYFUNCTION("(1 / COS(RADIANS(REGEXEXTRACT(J43,""(\d+)""))))*D43"),5.4)</f>
        <v>5.4</v>
      </c>
      <c r="I43" s="1339">
        <f>IFERROR(__xludf.DUMMYFUNCTION("(1 / COS(RADIANS(REGEXEXTRACT(J43,""(\d+)""))))*D43"),5.4)</f>
        <v>5.4</v>
      </c>
      <c r="J43" s="1374" t="str">
        <f>IFERROR(__xludf.DUMMYFUNCTION("IFERROR(REGEXEXTRACT(K43,""@\s*(\d+(?:\.\d+)?)\s*deg"")&amp;""°"",""0°"")"),"0°")</f>
        <v>0°</v>
      </c>
      <c r="K43" s="1334" t="s">
        <v>1153</v>
      </c>
      <c r="L43" s="1341" t="str">
        <f>IFERROR(__xludf.DUMMYFUNCTION("if(E43&gt;1,if(C43="""",join("" lengths @ "",E43,I43),join("" variable lengths @ average span of "",E43,G43)),
if(C43="""",join("" length @ "",E43,I43),join("" variable length @ average span of "",E43,G43)))"),"212 lengths @ 5.40 m span")</f>
        <v>212 lengths @ 5.40 m span</v>
      </c>
      <c r="M43" s="1341" t="str">
        <f t="shared" si="2"/>
        <v/>
      </c>
      <c r="N43" s="1342" t="s">
        <v>1166</v>
      </c>
      <c r="O43" s="1343" t="s">
        <v>1155</v>
      </c>
      <c r="P43" s="464"/>
      <c r="Q43" s="464"/>
      <c r="R43" s="464"/>
      <c r="S43" s="464"/>
      <c r="T43" s="464"/>
      <c r="U43" s="464"/>
      <c r="V43" s="464"/>
      <c r="W43" s="464"/>
      <c r="X43" s="464"/>
      <c r="Y43" s="464"/>
    </row>
    <row r="44" ht="27.0" customHeight="1">
      <c r="A44" s="464"/>
      <c r="B44" s="1334"/>
      <c r="C44" s="1375"/>
      <c r="D44" s="1344">
        <v>5.7</v>
      </c>
      <c r="E44" s="1345">
        <v>1.0</v>
      </c>
      <c r="F44" s="464"/>
      <c r="G44" s="1338">
        <f>IFERROR(__xludf.DUMMYFUNCTION("(1 / COS(RADIANS(REGEXEXTRACT(J44,""(\d+)""))))*C44"),0.0)</f>
        <v>0</v>
      </c>
      <c r="H44" s="1338">
        <f>IFERROR(__xludf.DUMMYFUNCTION("(1 / COS(RADIANS(REGEXEXTRACT(J44,""(\d+)""))))*D44"),5.7)</f>
        <v>5.7</v>
      </c>
      <c r="I44" s="1339">
        <f>IFERROR(__xludf.DUMMYFUNCTION("(1 / COS(RADIANS(REGEXEXTRACT(J44,""(\d+)""))))*D44"),5.7)</f>
        <v>5.7</v>
      </c>
      <c r="J44" s="1374" t="str">
        <f>IFERROR(__xludf.DUMMYFUNCTION("IFERROR(REGEXEXTRACT(K44,""@\s*(\d+(?:\.\d+)?)\s*deg"")&amp;""°"",""0°"")"),"0°")</f>
        <v>0°</v>
      </c>
      <c r="K44" s="1334" t="s">
        <v>1153</v>
      </c>
      <c r="L44" s="1341" t="str">
        <f>IFERROR(__xludf.DUMMYFUNCTION("if(E44&gt;1,if(C44="""",join("" lengths @ "",E44,I44),join("" variable lengths @ average span of "",E44,G44)),
if(C44="""",join("" length @ "",E44,I44),join("" variable length @ average span of "",E44,G44)))"),"1 length @ 5.70 m span")</f>
        <v>1 length @ 5.70 m span</v>
      </c>
      <c r="M44" s="1341" t="str">
        <f t="shared" si="2"/>
        <v/>
      </c>
      <c r="N44" s="1342" t="s">
        <v>1158</v>
      </c>
      <c r="O44" s="1343" t="s">
        <v>1155</v>
      </c>
      <c r="P44" s="464"/>
      <c r="Q44" s="464"/>
      <c r="R44" s="464"/>
      <c r="S44" s="464"/>
      <c r="T44" s="464"/>
      <c r="U44" s="464"/>
      <c r="V44" s="464"/>
      <c r="W44" s="464"/>
      <c r="X44" s="464"/>
      <c r="Y44" s="464"/>
    </row>
    <row r="45" ht="27.0" customHeight="1">
      <c r="A45" s="464"/>
      <c r="B45" s="1334"/>
      <c r="C45" s="1375"/>
      <c r="D45" s="1344">
        <v>5.4</v>
      </c>
      <c r="E45" s="1345">
        <v>3.0</v>
      </c>
      <c r="F45" s="464"/>
      <c r="G45" s="1338">
        <f>IFERROR(__xludf.DUMMYFUNCTION("(1 / COS(RADIANS(REGEXEXTRACT(J45,""(\d+)""))))*C45"),0.0)</f>
        <v>0</v>
      </c>
      <c r="H45" s="1338">
        <f>IFERROR(__xludf.DUMMYFUNCTION("(1 / COS(RADIANS(REGEXEXTRACT(J45,""(\d+)""))))*D45"),5.4)</f>
        <v>5.4</v>
      </c>
      <c r="I45" s="1339">
        <f>IFERROR(__xludf.DUMMYFUNCTION("(1 / COS(RADIANS(REGEXEXTRACT(J45,""(\d+)""))))*D45"),5.4)</f>
        <v>5.4</v>
      </c>
      <c r="J45" s="1374" t="str">
        <f>IFERROR(__xludf.DUMMYFUNCTION("IFERROR(REGEXEXTRACT(K45,""@\s*(\d+(?:\.\d+)?)\s*deg"")&amp;""°"",""0°"")"),"0°")</f>
        <v>0°</v>
      </c>
      <c r="K45" s="1334" t="s">
        <v>1153</v>
      </c>
      <c r="L45" s="1341" t="str">
        <f>IFERROR(__xludf.DUMMYFUNCTION("if(E45&gt;1,if(C45="""",join("" lengths @ "",E45,I45),join("" variable lengths @ average span of "",E45,G45)),
if(C45="""",join("" length @ "",E45,I45),join("" variable length @ average span of "",E45,G45)))"),"3 lengths @ 5.40 m span")</f>
        <v>3 lengths @ 5.40 m span</v>
      </c>
      <c r="M45" s="1341" t="str">
        <f t="shared" si="2"/>
        <v/>
      </c>
      <c r="N45" s="1342" t="s">
        <v>1158</v>
      </c>
      <c r="O45" s="1343" t="s">
        <v>1155</v>
      </c>
      <c r="P45" s="464"/>
      <c r="Q45" s="464"/>
      <c r="R45" s="464"/>
      <c r="S45" s="464"/>
      <c r="T45" s="464"/>
      <c r="U45" s="464"/>
      <c r="V45" s="464"/>
      <c r="W45" s="464"/>
      <c r="X45" s="464"/>
      <c r="Y45" s="464"/>
    </row>
    <row r="46" ht="27.0" customHeight="1">
      <c r="A46" s="464"/>
      <c r="B46" s="1334"/>
      <c r="C46" s="1375"/>
      <c r="D46" s="1344">
        <v>5.7</v>
      </c>
      <c r="E46" s="1345">
        <v>1.0</v>
      </c>
      <c r="F46" s="464"/>
      <c r="G46" s="1338">
        <f>IFERROR(__xludf.DUMMYFUNCTION("(1 / COS(RADIANS(REGEXEXTRACT(J46,""(\d+)""))))*C46"),0.0)</f>
        <v>0</v>
      </c>
      <c r="H46" s="1338">
        <f>IFERROR(__xludf.DUMMYFUNCTION("(1 / COS(RADIANS(REGEXEXTRACT(J46,""(\d+)""))))*D46"),5.7)</f>
        <v>5.7</v>
      </c>
      <c r="I46" s="1339">
        <f>IFERROR(__xludf.DUMMYFUNCTION("(1 / COS(RADIANS(REGEXEXTRACT(J46,""(\d+)""))))*D46"),5.7)</f>
        <v>5.7</v>
      </c>
      <c r="J46" s="1374" t="str">
        <f>IFERROR(__xludf.DUMMYFUNCTION("IFERROR(REGEXEXTRACT(K46,""@\s*(\d+(?:\.\d+)?)\s*deg"")&amp;""°"",""0°"")"),"0°")</f>
        <v>0°</v>
      </c>
      <c r="K46" s="1334" t="s">
        <v>1153</v>
      </c>
      <c r="L46" s="1341" t="str">
        <f>IFERROR(__xludf.DUMMYFUNCTION("if(E46&gt;1,if(C46="""",join("" lengths @ "",E46,I46),join("" variable lengths @ average span of "",E46,G46)),
if(C46="""",join("" length @ "",E46,I46),join("" variable length @ average span of "",E46,G46)))"),"1 length @ 5.70 m span")</f>
        <v>1 length @ 5.70 m span</v>
      </c>
      <c r="M46" s="1341" t="str">
        <f t="shared" si="2"/>
        <v/>
      </c>
      <c r="N46" s="1342" t="s">
        <v>1159</v>
      </c>
      <c r="O46" s="1343" t="s">
        <v>1155</v>
      </c>
      <c r="P46" s="464"/>
      <c r="Q46" s="464"/>
      <c r="R46" s="464"/>
      <c r="S46" s="464"/>
      <c r="T46" s="464"/>
      <c r="U46" s="464"/>
      <c r="V46" s="464"/>
      <c r="W46" s="464"/>
      <c r="X46" s="464"/>
      <c r="Y46" s="464"/>
    </row>
    <row r="47" ht="27.0" customHeight="1">
      <c r="A47" s="464"/>
      <c r="B47" s="1334"/>
      <c r="C47" s="1375"/>
      <c r="D47" s="1344">
        <v>5.4</v>
      </c>
      <c r="E47" s="1345">
        <v>3.0</v>
      </c>
      <c r="F47" s="464"/>
      <c r="G47" s="1338">
        <f>IFERROR(__xludf.DUMMYFUNCTION("(1 / COS(RADIANS(REGEXEXTRACT(J47,""(\d+)""))))*C47"),0.0)</f>
        <v>0</v>
      </c>
      <c r="H47" s="1338">
        <f>IFERROR(__xludf.DUMMYFUNCTION("(1 / COS(RADIANS(REGEXEXTRACT(J47,""(\d+)""))))*D47"),5.4)</f>
        <v>5.4</v>
      </c>
      <c r="I47" s="1339">
        <f>IFERROR(__xludf.DUMMYFUNCTION("(1 / COS(RADIANS(REGEXEXTRACT(J47,""(\d+)""))))*D47"),5.4)</f>
        <v>5.4</v>
      </c>
      <c r="J47" s="1374" t="str">
        <f>IFERROR(__xludf.DUMMYFUNCTION("IFERROR(REGEXEXTRACT(K47,""@\s*(\d+(?:\.\d+)?)\s*deg"")&amp;""°"",""0°"")"),"0°")</f>
        <v>0°</v>
      </c>
      <c r="K47" s="1334" t="s">
        <v>1153</v>
      </c>
      <c r="L47" s="1341" t="str">
        <f>IFERROR(__xludf.DUMMYFUNCTION("if(E47&gt;1,if(C47="""",join("" lengths @ "",E47,I47),join("" variable lengths @ average span of "",E47,G47)),
if(C47="""",join("" length @ "",E47,I47),join("" variable length @ average span of "",E47,G47)))"),"3 lengths @ 5.40 m span")</f>
        <v>3 lengths @ 5.40 m span</v>
      </c>
      <c r="M47" s="1341" t="str">
        <f t="shared" si="2"/>
        <v/>
      </c>
      <c r="N47" s="1342" t="s">
        <v>1159</v>
      </c>
      <c r="O47" s="1343" t="s">
        <v>1155</v>
      </c>
      <c r="P47" s="464"/>
      <c r="Q47" s="464"/>
      <c r="R47" s="464"/>
      <c r="S47" s="464"/>
      <c r="T47" s="464"/>
      <c r="U47" s="464"/>
      <c r="V47" s="464"/>
      <c r="W47" s="464"/>
      <c r="X47" s="464"/>
      <c r="Y47" s="464"/>
    </row>
    <row r="48" ht="27.0" customHeight="1">
      <c r="A48" s="464"/>
      <c r="B48" s="1334"/>
      <c r="C48" s="1375"/>
      <c r="D48" s="1344"/>
      <c r="E48" s="1345"/>
      <c r="F48" s="464"/>
      <c r="G48" s="1338"/>
      <c r="H48" s="1338"/>
      <c r="I48" s="1339"/>
      <c r="J48" s="1374"/>
      <c r="K48" s="1334"/>
      <c r="L48" s="1341"/>
      <c r="M48" s="1341"/>
      <c r="N48" s="1342"/>
      <c r="O48" s="1343"/>
      <c r="P48" s="464"/>
      <c r="Q48" s="464"/>
      <c r="R48" s="464"/>
      <c r="S48" s="464"/>
      <c r="T48" s="464"/>
      <c r="U48" s="464"/>
      <c r="V48" s="464"/>
      <c r="W48" s="464"/>
      <c r="X48" s="464"/>
      <c r="Y48" s="464"/>
    </row>
    <row r="49">
      <c r="A49" s="1254"/>
      <c r="B49" s="1263"/>
      <c r="C49" s="1263"/>
      <c r="D49" s="1317"/>
      <c r="E49" s="1318"/>
      <c r="F49" s="1254"/>
      <c r="G49" s="1254"/>
      <c r="H49" s="1254"/>
      <c r="I49" s="1254"/>
      <c r="J49" s="1254"/>
      <c r="K49" s="1254"/>
      <c r="L49" s="1254"/>
      <c r="M49" s="1254"/>
      <c r="N49" s="1254"/>
      <c r="O49" s="1254"/>
      <c r="P49" s="1254"/>
      <c r="Q49" s="1254"/>
      <c r="R49" s="1254"/>
      <c r="S49" s="1254"/>
      <c r="T49" s="1254"/>
      <c r="U49" s="1254"/>
      <c r="V49" s="1254"/>
      <c r="W49" s="1254"/>
      <c r="X49" s="1254"/>
      <c r="Y49" s="1254"/>
    </row>
    <row r="50">
      <c r="D50" s="1317"/>
      <c r="E50" s="1318"/>
      <c r="F50" s="1254"/>
      <c r="G50" s="1254"/>
      <c r="H50" s="1254"/>
      <c r="I50" s="1254"/>
      <c r="J50" s="1381"/>
      <c r="K50" s="1321" t="s">
        <v>206</v>
      </c>
      <c r="L50" s="1263"/>
      <c r="M50" s="1263"/>
      <c r="N50" s="1254"/>
      <c r="O50" s="1254"/>
      <c r="P50" s="1254"/>
      <c r="Q50" s="1254"/>
      <c r="R50" s="1254"/>
      <c r="S50" s="1254"/>
      <c r="T50" s="1254"/>
      <c r="U50" s="1254"/>
      <c r="V50" s="1254"/>
      <c r="W50" s="1254"/>
      <c r="X50" s="1254"/>
      <c r="Y50" s="1254"/>
    </row>
    <row r="51">
      <c r="D51" s="1317"/>
      <c r="E51" s="1318"/>
      <c r="F51" s="1254"/>
      <c r="G51" s="1254"/>
      <c r="H51" s="1254"/>
      <c r="I51" s="1254"/>
      <c r="J51" s="1382" t="s">
        <v>856</v>
      </c>
      <c r="K51" s="1347" t="s">
        <v>7</v>
      </c>
      <c r="L51" s="1329" t="s">
        <v>18</v>
      </c>
      <c r="M51" s="1329" t="s">
        <v>15</v>
      </c>
      <c r="N51" s="1254"/>
      <c r="O51" s="1254"/>
      <c r="P51" s="1254"/>
      <c r="Q51" s="1254"/>
      <c r="R51" s="1254"/>
      <c r="S51" s="1254"/>
      <c r="T51" s="1254"/>
      <c r="U51" s="1254"/>
      <c r="V51" s="1254"/>
      <c r="W51" s="1254"/>
      <c r="X51" s="1254"/>
      <c r="Y51" s="1254"/>
    </row>
    <row r="52">
      <c r="D52" s="1317"/>
      <c r="E52" s="1318"/>
      <c r="F52" s="1254"/>
      <c r="G52" s="1254"/>
      <c r="H52" s="1254"/>
      <c r="I52" s="1254"/>
      <c r="J52" s="1383" t="str">
        <f>IFERROR(__xludf.DUMMYFUNCTION("UNIQUE(
  FILTER(
    {Pricing!B13:B182, Pricing!C13:C182},
    Pricing!A13:A182=""Ma""
  )
)"),"")</f>
        <v/>
      </c>
      <c r="K52" s="1334" t="str">
        <f>IFERROR(__xludf.DUMMYFUNCTION("""COMPUTED_VALUE"""),"Thermakraft 'Covertek 405'")</f>
        <v>Thermakraft 'Covertek 405'</v>
      </c>
      <c r="L52" s="1349" t="str">
        <f t="array" ref="L52:L64">IF(
    J52:J64="",
    "",
    IF(
      SUMIF(
        Pricing!$B$15:$B$182&amp;"♦"&amp;Pricing!$C$15:$C$182,
        J52:J64&amp;"♦"&amp;K52:K64,
        Pricing!$Q$15:$Q$182
      )=0,
      "",
      ROUND(
        SUMIF(
          Pricing!$B$15:$B$182&amp;"♦"&amp;Pricing!$C$15:$C$182,
          J52:J64&amp;"♦"&amp;K52:K64,
          Pricing!$Q$15:$Q$182
        ),
        2
      )
    )
  )</f>
        <v/>
      </c>
      <c r="M52" s="1350" t="str">
        <f t="array" ref="M52:M64">IF(J52:J64="",
     ,
     IFERROR(
       VLOOKUP(J52:J64, Pricing!$B$15:$M$182, 10, 0)
     ,"")
  )</f>
        <v/>
      </c>
      <c r="N52" s="1254"/>
      <c r="O52" s="1254"/>
      <c r="P52" s="1254"/>
      <c r="Q52" s="1254"/>
      <c r="R52" s="1254"/>
      <c r="S52" s="1254"/>
      <c r="T52" s="1254"/>
      <c r="U52" s="1254"/>
      <c r="V52" s="1254"/>
      <c r="W52" s="1254"/>
      <c r="X52" s="1254"/>
      <c r="Y52" s="1254"/>
    </row>
    <row r="53">
      <c r="D53" s="1317"/>
      <c r="E53" s="1318"/>
      <c r="F53" s="1254"/>
      <c r="G53" s="1254"/>
      <c r="H53" s="1254"/>
      <c r="I53" s="1254"/>
      <c r="J53" s="1383"/>
      <c r="K53" s="1334" t="str">
        <f>IFERROR(__xludf.DUMMYFUNCTION("""COMPUTED_VALUE"""),"White General Purpose Tape (60 mm × 66 m)")</f>
        <v>White General Purpose Tape (60 mm × 66 m)</v>
      </c>
      <c r="L53" s="1349" t="s">
        <v>42</v>
      </c>
      <c r="M53" s="1350"/>
      <c r="N53" s="1254"/>
      <c r="O53" s="1254"/>
      <c r="P53" s="1254"/>
      <c r="Q53" s="1254"/>
      <c r="R53" s="1254"/>
      <c r="S53" s="1254"/>
      <c r="T53" s="1254"/>
      <c r="U53" s="1254"/>
      <c r="V53" s="1254"/>
      <c r="W53" s="1254"/>
      <c r="X53" s="1254"/>
      <c r="Y53" s="1254"/>
    </row>
    <row r="54">
      <c r="D54" s="1317"/>
      <c r="E54" s="1318"/>
      <c r="F54" s="1254"/>
      <c r="G54" s="1254"/>
      <c r="H54" s="1254"/>
      <c r="I54" s="1254"/>
      <c r="J54" s="1383"/>
      <c r="K54" s="1334" t="str">
        <f>IFERROR(__xludf.DUMMYFUNCTION("""COMPUTED_VALUE"""),"Safety Mesh")</f>
        <v>Safety Mesh</v>
      </c>
      <c r="L54" s="1349" t="s">
        <v>42</v>
      </c>
      <c r="M54" s="1350"/>
      <c r="N54" s="1254"/>
      <c r="O54" s="1254"/>
      <c r="P54" s="1254"/>
      <c r="Q54" s="1254"/>
      <c r="R54" s="1254"/>
      <c r="S54" s="1254"/>
      <c r="T54" s="1254"/>
      <c r="U54" s="1254"/>
      <c r="V54" s="1254"/>
      <c r="W54" s="1254"/>
      <c r="X54" s="1254"/>
      <c r="Y54" s="1254"/>
    </row>
    <row r="55">
      <c r="D55" s="1317"/>
      <c r="E55" s="1318"/>
      <c r="F55" s="1254"/>
      <c r="G55" s="1254"/>
      <c r="H55" s="1254"/>
      <c r="I55" s="1254"/>
      <c r="J55" s="1383"/>
      <c r="K55" s="1334"/>
      <c r="L55" s="1349" t="s">
        <v>42</v>
      </c>
      <c r="M55" s="1350"/>
      <c r="N55" s="1254"/>
      <c r="O55" s="1254"/>
      <c r="P55" s="1254"/>
      <c r="Q55" s="1254"/>
      <c r="R55" s="1254"/>
      <c r="S55" s="1254"/>
      <c r="T55" s="1254"/>
      <c r="U55" s="1254"/>
      <c r="V55" s="1254"/>
      <c r="W55" s="1254"/>
      <c r="X55" s="1254"/>
      <c r="Y55" s="1254"/>
    </row>
    <row r="56">
      <c r="D56" s="1317"/>
      <c r="E56" s="1318"/>
      <c r="F56" s="1254"/>
      <c r="G56" s="1254"/>
      <c r="H56" s="1254"/>
      <c r="I56" s="1254"/>
      <c r="J56" s="1383"/>
      <c r="K56" s="1334"/>
      <c r="L56" s="1349" t="s">
        <v>42</v>
      </c>
      <c r="M56" s="1350"/>
      <c r="N56" s="1254"/>
      <c r="O56" s="1254"/>
      <c r="P56" s="1254"/>
      <c r="Q56" s="1254"/>
      <c r="R56" s="1254"/>
      <c r="S56" s="1254"/>
      <c r="T56" s="1254"/>
      <c r="U56" s="1254"/>
      <c r="V56" s="1254"/>
      <c r="W56" s="1254"/>
      <c r="X56" s="1254"/>
      <c r="Y56" s="1254"/>
    </row>
    <row r="57">
      <c r="D57" s="1317"/>
      <c r="E57" s="1318"/>
      <c r="F57" s="1254"/>
      <c r="G57" s="1254"/>
      <c r="H57" s="1254"/>
      <c r="I57" s="1254"/>
      <c r="J57" s="1383"/>
      <c r="K57" s="1334"/>
      <c r="L57" s="1349" t="s">
        <v>42</v>
      </c>
      <c r="M57" s="1350"/>
      <c r="N57" s="1254"/>
      <c r="O57" s="1254"/>
      <c r="P57" s="1254"/>
      <c r="Q57" s="1254"/>
      <c r="R57" s="1254"/>
      <c r="S57" s="1254"/>
      <c r="T57" s="1254"/>
      <c r="U57" s="1254"/>
      <c r="V57" s="1254"/>
      <c r="W57" s="1254"/>
      <c r="X57" s="1254"/>
      <c r="Y57" s="1254"/>
    </row>
    <row r="58">
      <c r="D58" s="1317"/>
      <c r="E58" s="1318"/>
      <c r="F58" s="1254"/>
      <c r="G58" s="1254"/>
      <c r="H58" s="1254"/>
      <c r="I58" s="1254"/>
      <c r="J58" s="1383"/>
      <c r="K58" s="1334"/>
      <c r="L58" s="1349" t="s">
        <v>42</v>
      </c>
      <c r="M58" s="1350"/>
      <c r="N58" s="1254"/>
      <c r="O58" s="1254"/>
      <c r="P58" s="1254"/>
      <c r="Q58" s="1254"/>
      <c r="R58" s="1254"/>
      <c r="S58" s="1254"/>
      <c r="T58" s="1254"/>
      <c r="U58" s="1254"/>
      <c r="V58" s="1254"/>
      <c r="W58" s="1254"/>
      <c r="X58" s="1254"/>
      <c r="Y58" s="1254"/>
    </row>
    <row r="59">
      <c r="D59" s="1317"/>
      <c r="E59" s="1318"/>
      <c r="F59" s="1254"/>
      <c r="G59" s="1254"/>
      <c r="H59" s="1254"/>
      <c r="I59" s="1254"/>
      <c r="J59" s="1383"/>
      <c r="K59" s="1334"/>
      <c r="L59" s="1349" t="s">
        <v>42</v>
      </c>
      <c r="M59" s="1350"/>
      <c r="N59" s="1254"/>
      <c r="O59" s="1254"/>
      <c r="P59" s="1254"/>
      <c r="Q59" s="1254"/>
      <c r="R59" s="1254"/>
      <c r="S59" s="1254"/>
      <c r="T59" s="1254"/>
      <c r="U59" s="1254"/>
      <c r="V59" s="1254"/>
      <c r="W59" s="1254"/>
      <c r="X59" s="1254"/>
      <c r="Y59" s="1254"/>
    </row>
    <row r="60">
      <c r="D60" s="1317"/>
      <c r="E60" s="1318"/>
      <c r="F60" s="1254"/>
      <c r="G60" s="1254"/>
      <c r="H60" s="1254"/>
      <c r="I60" s="1254"/>
      <c r="J60" s="1383"/>
      <c r="K60" s="1334"/>
      <c r="L60" s="1349" t="s">
        <v>42</v>
      </c>
      <c r="M60" s="1350"/>
      <c r="N60" s="1254"/>
      <c r="O60" s="1254"/>
      <c r="P60" s="1254"/>
      <c r="Q60" s="1254"/>
      <c r="R60" s="1254"/>
      <c r="S60" s="1254"/>
      <c r="T60" s="1254"/>
      <c r="U60" s="1254"/>
      <c r="V60" s="1254"/>
      <c r="W60" s="1254"/>
      <c r="X60" s="1254"/>
      <c r="Y60" s="1254"/>
    </row>
    <row r="61">
      <c r="D61" s="1317"/>
      <c r="E61" s="1318"/>
      <c r="F61" s="1254"/>
      <c r="G61" s="1254"/>
      <c r="H61" s="1254"/>
      <c r="I61" s="1254"/>
      <c r="J61" s="1383"/>
      <c r="K61" s="1334"/>
      <c r="L61" s="1349" t="s">
        <v>42</v>
      </c>
      <c r="M61" s="1350"/>
      <c r="N61" s="1254"/>
      <c r="O61" s="1254"/>
      <c r="P61" s="1254"/>
      <c r="Q61" s="1254"/>
      <c r="R61" s="1254"/>
      <c r="S61" s="1254"/>
      <c r="T61" s="1254"/>
      <c r="U61" s="1254"/>
      <c r="V61" s="1254"/>
      <c r="W61" s="1254"/>
      <c r="X61" s="1254"/>
      <c r="Y61" s="1254"/>
    </row>
    <row r="62">
      <c r="D62" s="1317"/>
      <c r="E62" s="1318"/>
      <c r="F62" s="1254"/>
      <c r="G62" s="1254"/>
      <c r="H62" s="1254"/>
      <c r="I62" s="1254"/>
      <c r="J62" s="1383"/>
      <c r="K62" s="1334"/>
      <c r="L62" s="1349" t="s">
        <v>42</v>
      </c>
      <c r="M62" s="1350"/>
      <c r="N62" s="1254"/>
      <c r="O62" s="1254"/>
      <c r="P62" s="1254"/>
      <c r="Q62" s="1254"/>
      <c r="R62" s="1254"/>
      <c r="S62" s="1254"/>
      <c r="T62" s="1254"/>
      <c r="U62" s="1254"/>
      <c r="V62" s="1254"/>
      <c r="W62" s="1254"/>
      <c r="X62" s="1254"/>
      <c r="Y62" s="1254"/>
    </row>
    <row r="63">
      <c r="D63" s="1317"/>
      <c r="E63" s="1318"/>
      <c r="F63" s="1254"/>
      <c r="G63" s="1254"/>
      <c r="H63" s="1254"/>
      <c r="I63" s="1254"/>
      <c r="J63" s="1383"/>
      <c r="K63" s="1334"/>
      <c r="L63" s="1349" t="s">
        <v>42</v>
      </c>
      <c r="M63" s="1350"/>
      <c r="N63" s="1254"/>
      <c r="O63" s="1254"/>
      <c r="P63" s="1254"/>
      <c r="Q63" s="1254"/>
      <c r="R63" s="1254"/>
      <c r="S63" s="1254"/>
      <c r="T63" s="1254"/>
      <c r="U63" s="1254"/>
      <c r="V63" s="1254"/>
      <c r="W63" s="1254"/>
      <c r="X63" s="1254"/>
      <c r="Y63" s="1254"/>
    </row>
    <row r="64">
      <c r="D64" s="1317"/>
      <c r="E64" s="1318"/>
      <c r="F64" s="464"/>
      <c r="G64" s="464"/>
      <c r="H64" s="464"/>
      <c r="I64" s="464"/>
      <c r="J64" s="1383"/>
      <c r="K64" s="1334"/>
      <c r="L64" s="1349" t="s">
        <v>42</v>
      </c>
      <c r="M64" s="1350"/>
      <c r="N64" s="464"/>
      <c r="O64" s="464"/>
      <c r="P64" s="464"/>
      <c r="Q64" s="464"/>
      <c r="R64" s="464"/>
      <c r="S64" s="464"/>
      <c r="T64" s="464"/>
      <c r="U64" s="464"/>
      <c r="V64" s="464"/>
      <c r="W64" s="464"/>
      <c r="X64" s="464"/>
      <c r="Y64" s="464"/>
    </row>
    <row r="65">
      <c r="D65" s="1317"/>
      <c r="E65" s="1318"/>
      <c r="F65" s="464"/>
      <c r="G65" s="464"/>
      <c r="H65" s="464"/>
      <c r="I65" s="464"/>
      <c r="J65" s="1384"/>
      <c r="K65" s="1254"/>
      <c r="L65" s="1263"/>
      <c r="M65" s="1263"/>
      <c r="N65" s="464"/>
      <c r="O65" s="464"/>
      <c r="P65" s="464"/>
      <c r="Q65" s="464"/>
      <c r="R65" s="464"/>
      <c r="S65" s="464"/>
      <c r="T65" s="464"/>
      <c r="U65" s="464"/>
      <c r="V65" s="464"/>
      <c r="W65" s="464"/>
      <c r="X65" s="464"/>
      <c r="Y65" s="464"/>
    </row>
    <row r="66">
      <c r="D66" s="1317"/>
      <c r="E66" s="1318"/>
      <c r="F66" s="464"/>
      <c r="G66" s="464"/>
      <c r="H66" s="464"/>
      <c r="I66" s="464"/>
      <c r="J66" s="1384"/>
      <c r="K66" s="1321" t="s">
        <v>947</v>
      </c>
      <c r="L66" s="1263"/>
      <c r="M66" s="1263"/>
      <c r="N66" s="464"/>
      <c r="O66" s="464"/>
      <c r="P66" s="464"/>
      <c r="Q66" s="464"/>
      <c r="R66" s="464"/>
      <c r="S66" s="464"/>
      <c r="T66" s="464"/>
      <c r="U66" s="464"/>
      <c r="V66" s="464"/>
      <c r="W66" s="464"/>
      <c r="X66" s="464"/>
      <c r="Y66" s="464"/>
    </row>
    <row r="67">
      <c r="D67" s="1317"/>
      <c r="E67" s="1318"/>
      <c r="F67" s="464"/>
      <c r="G67" s="464"/>
      <c r="H67" s="464"/>
      <c r="I67" s="464"/>
      <c r="J67" s="1385"/>
      <c r="K67" s="1347" t="s">
        <v>7</v>
      </c>
      <c r="L67" s="1329" t="s">
        <v>18</v>
      </c>
      <c r="M67" s="1329" t="s">
        <v>15</v>
      </c>
      <c r="N67" s="464"/>
      <c r="O67" s="464"/>
      <c r="P67" s="464"/>
      <c r="Q67" s="464"/>
      <c r="R67" s="464"/>
      <c r="S67" s="464"/>
      <c r="T67" s="464"/>
      <c r="U67" s="464"/>
      <c r="V67" s="464"/>
      <c r="W67" s="464"/>
      <c r="X67" s="464"/>
      <c r="Y67" s="464"/>
    </row>
    <row r="68">
      <c r="D68" s="1317"/>
      <c r="E68" s="1318"/>
      <c r="F68" s="1254"/>
      <c r="G68" s="1254"/>
      <c r="H68" s="1254"/>
      <c r="I68" s="1254"/>
      <c r="J68" s="1383" t="str">
        <f>IFERROR(__xludf.DUMMYFUNCTION("UNIQUE(
  FILTER(
    {Pricing!B13:B182, Pricing!C13:C182},
    Pricing!A13:A182=""Fl""
  )
)"),"")</f>
        <v/>
      </c>
      <c r="K68" s="1334" t="str">
        <f>IFERROR(__xludf.DUMMYFUNCTION("""COMPUTED_VALUE"""),"0.55mm BMT ridge cap flashing (670/3B)")</f>
        <v>0.55mm BMT ridge cap flashing (670/3B)</v>
      </c>
      <c r="L68" s="1349" t="str">
        <f t="array" ref="L68:L86">IF(
    J68:J86="",
    "",
    IF(
      SUMIF(
        Pricing!$B$15:$B$182&amp;"♦"&amp;Pricing!$C$15:$C$182,
        J68:J86&amp;"♦"&amp;K68:K86,
        Pricing!$Q$15:$Q$182
      )=0,
      "",
      ROUND(
        SUMIF(
          Pricing!$B$15:$B$182&amp;"♦"&amp;Pricing!$C$15:$C$182,
          J68:J86&amp;"♦"&amp;K68:K86,
          Pricing!$Q$15:$Q$182
        ),
        2
      )
    )
  )</f>
        <v/>
      </c>
      <c r="M68" s="1350" t="str">
        <f t="array" ref="M68:M87">IF(J68:J87="",
     ,
     IFERROR(
       VLOOKUP(J68:J87, Pricing!$B$15:$M$182, 10, 0)
     ,"")
  )</f>
        <v/>
      </c>
      <c r="N68" s="1254"/>
      <c r="O68" s="1254"/>
      <c r="P68" s="1254"/>
      <c r="Q68" s="1254"/>
      <c r="R68" s="1254"/>
      <c r="S68" s="1254"/>
      <c r="T68" s="1254"/>
      <c r="U68" s="1254"/>
      <c r="V68" s="1254"/>
      <c r="W68" s="1254"/>
      <c r="X68" s="1254"/>
      <c r="Y68" s="1254"/>
    </row>
    <row r="69">
      <c r="D69" s="1317"/>
      <c r="E69" s="1318"/>
      <c r="F69" s="1254"/>
      <c r="G69" s="1254"/>
      <c r="H69" s="1254"/>
      <c r="I69" s="1254"/>
      <c r="J69" s="1383"/>
      <c r="K69" s="1334" t="str">
        <f>IFERROR(__xludf.DUMMYFUNCTION("""COMPUTED_VALUE"""),"0.55mm BMT hip cap flashing (670/3B)")</f>
        <v>0.55mm BMT hip cap flashing (670/3B)</v>
      </c>
      <c r="L69" s="1349" t="s">
        <v>42</v>
      </c>
      <c r="M69" s="1350"/>
      <c r="N69" s="1254"/>
      <c r="O69" s="1254"/>
      <c r="P69" s="1254"/>
      <c r="Q69" s="1254"/>
      <c r="R69" s="1254"/>
      <c r="S69" s="1254"/>
      <c r="T69" s="1254"/>
      <c r="U69" s="1254"/>
      <c r="V69" s="1254"/>
      <c r="W69" s="1254"/>
      <c r="X69" s="1254"/>
      <c r="Y69" s="1254"/>
    </row>
    <row r="70">
      <c r="D70" s="1317"/>
      <c r="E70" s="1318"/>
      <c r="F70" s="1254"/>
      <c r="G70" s="1254"/>
      <c r="H70" s="1254"/>
      <c r="I70" s="1254"/>
      <c r="J70" s="1383"/>
      <c r="K70" s="1334" t="str">
        <f>IFERROR(__xludf.DUMMYFUNCTION("""COMPUTED_VALUE"""),"0.55mm BMT head apron flashing (390/3B)")</f>
        <v>0.55mm BMT head apron flashing (390/3B)</v>
      </c>
      <c r="L70" s="1349" t="s">
        <v>42</v>
      </c>
      <c r="M70" s="1350"/>
      <c r="N70" s="1254"/>
      <c r="O70" s="1254"/>
      <c r="P70" s="1254"/>
      <c r="Q70" s="1254"/>
      <c r="R70" s="1254"/>
      <c r="S70" s="1254"/>
      <c r="T70" s="1254"/>
      <c r="U70" s="1254"/>
      <c r="V70" s="1254"/>
      <c r="W70" s="1254"/>
      <c r="X70" s="1254"/>
      <c r="Y70" s="1254"/>
    </row>
    <row r="71">
      <c r="D71" s="1317"/>
      <c r="E71" s="1318"/>
      <c r="F71" s="1254"/>
      <c r="G71" s="1254"/>
      <c r="H71" s="1254"/>
      <c r="I71" s="1254"/>
      <c r="J71" s="1383"/>
      <c r="K71" s="1334" t="str">
        <f>IFERROR(__xludf.DUMMYFUNCTION("""COMPUTED_VALUE"""),"0.55mm BMT side apron flashing (370/3B)")</f>
        <v>0.55mm BMT side apron flashing (370/3B)</v>
      </c>
      <c r="L71" s="1349" t="s">
        <v>42</v>
      </c>
      <c r="M71" s="1350"/>
      <c r="N71" s="1254"/>
      <c r="O71" s="1254"/>
      <c r="P71" s="1254"/>
      <c r="Q71" s="1254"/>
      <c r="R71" s="1254"/>
      <c r="S71" s="1254"/>
      <c r="T71" s="1254"/>
      <c r="U71" s="1254"/>
      <c r="V71" s="1254"/>
      <c r="W71" s="1254"/>
      <c r="X71" s="1254"/>
      <c r="Y71" s="1254"/>
    </row>
    <row r="72">
      <c r="D72" s="1317"/>
      <c r="E72" s="1318"/>
      <c r="F72" s="1254"/>
      <c r="G72" s="1254"/>
      <c r="H72" s="1254"/>
      <c r="I72" s="1254"/>
      <c r="J72" s="1383"/>
      <c r="K72" s="1334" t="str">
        <f>IFERROR(__xludf.DUMMYFUNCTION("""COMPUTED_VALUE"""),"0.55mm BMT side barge flashing (500/3B)")</f>
        <v>0.55mm BMT side barge flashing (500/3B)</v>
      </c>
      <c r="L72" s="1349" t="s">
        <v>42</v>
      </c>
      <c r="M72" s="1350"/>
      <c r="N72" s="1254"/>
      <c r="O72" s="1254"/>
      <c r="P72" s="1254"/>
      <c r="Q72" s="1254"/>
      <c r="R72" s="1254"/>
      <c r="S72" s="1254"/>
      <c r="T72" s="1254"/>
      <c r="U72" s="1254"/>
      <c r="V72" s="1254"/>
      <c r="W72" s="1254"/>
      <c r="X72" s="1254"/>
      <c r="Y72" s="1254"/>
    </row>
    <row r="73">
      <c r="D73" s="1317"/>
      <c r="E73" s="1318"/>
      <c r="F73" s="1254"/>
      <c r="G73" s="1254"/>
      <c r="H73" s="1254"/>
      <c r="I73" s="1254"/>
      <c r="J73" s="1383"/>
      <c r="K73" s="1334" t="str">
        <f>IFERROR(__xludf.DUMMYFUNCTION("""COMPUTED_VALUE"""),"0.55mm BMT bracket flashing (500/3B)")</f>
        <v>0.55mm BMT bracket flashing (500/3B)</v>
      </c>
      <c r="L73" s="1349" t="s">
        <v>42</v>
      </c>
      <c r="M73" s="1350"/>
      <c r="N73" s="1254"/>
      <c r="O73" s="1254"/>
      <c r="P73" s="1254"/>
      <c r="Q73" s="1254"/>
      <c r="R73" s="1254"/>
      <c r="S73" s="1254"/>
      <c r="T73" s="1254"/>
      <c r="U73" s="1254"/>
      <c r="V73" s="1254"/>
      <c r="W73" s="1254"/>
      <c r="X73" s="1254"/>
      <c r="Y73" s="1254"/>
    </row>
    <row r="74">
      <c r="D74" s="1317"/>
      <c r="E74" s="1318"/>
      <c r="F74" s="1254"/>
      <c r="G74" s="1254"/>
      <c r="H74" s="1254"/>
      <c r="I74" s="1254"/>
      <c r="J74" s="1383"/>
      <c r="K74" s="1334" t="str">
        <f>IFERROR(__xludf.DUMMYFUNCTION("""COMPUTED_VALUE"""),"0.55mm BMT valley flashing (380/5B)")</f>
        <v>0.55mm BMT valley flashing (380/5B)</v>
      </c>
      <c r="L74" s="1349" t="s">
        <v>42</v>
      </c>
      <c r="M74" s="1350"/>
      <c r="N74" s="1254"/>
      <c r="O74" s="1254"/>
      <c r="P74" s="1254"/>
      <c r="Q74" s="1254"/>
      <c r="R74" s="1254"/>
      <c r="S74" s="1254"/>
      <c r="T74" s="1254"/>
      <c r="U74" s="1254"/>
      <c r="V74" s="1254"/>
      <c r="W74" s="1254"/>
      <c r="X74" s="1254"/>
      <c r="Y74" s="1254"/>
    </row>
    <row r="75">
      <c r="D75" s="1317"/>
      <c r="E75" s="1318"/>
      <c r="F75" s="1254"/>
      <c r="G75" s="1254"/>
      <c r="H75" s="1254"/>
      <c r="I75" s="1254"/>
      <c r="J75" s="1383"/>
      <c r="K75" s="1334" t="str">
        <f>IFERROR(__xludf.DUMMYFUNCTION("""COMPUTED_VALUE"""),"0.55mm BMT eaves flashing (210/1B)")</f>
        <v>0.55mm BMT eaves flashing (210/1B)</v>
      </c>
      <c r="L75" s="1349" t="s">
        <v>42</v>
      </c>
      <c r="M75" s="1350"/>
      <c r="N75" s="1254"/>
      <c r="O75" s="1254"/>
      <c r="P75" s="1254"/>
      <c r="Q75" s="1254"/>
      <c r="R75" s="1254"/>
      <c r="S75" s="1254"/>
      <c r="T75" s="1254"/>
      <c r="U75" s="1254"/>
      <c r="V75" s="1254"/>
      <c r="W75" s="1254"/>
      <c r="X75" s="1254"/>
      <c r="Y75" s="1254"/>
    </row>
    <row r="76">
      <c r="D76" s="1317"/>
      <c r="E76" s="1318"/>
      <c r="F76" s="1254"/>
      <c r="G76" s="1254"/>
      <c r="H76" s="1254"/>
      <c r="I76" s="1254"/>
      <c r="J76" s="1383"/>
      <c r="K76" s="1334" t="str">
        <f>IFERROR(__xludf.DUMMYFUNCTION("""COMPUTED_VALUE"""),"0.55mm BMT backtray flashing (1200/2B)")</f>
        <v>0.55mm BMT backtray flashing (1200/2B)</v>
      </c>
      <c r="L76" s="1349" t="s">
        <v>42</v>
      </c>
      <c r="M76" s="1350"/>
      <c r="N76" s="1254"/>
      <c r="O76" s="1254"/>
      <c r="P76" s="1254"/>
      <c r="Q76" s="1254"/>
      <c r="R76" s="1254"/>
      <c r="S76" s="1254"/>
      <c r="T76" s="1254"/>
      <c r="U76" s="1254"/>
      <c r="V76" s="1254"/>
      <c r="W76" s="1254"/>
      <c r="X76" s="1254"/>
      <c r="Y76" s="1254"/>
    </row>
    <row r="77">
      <c r="D77" s="1317"/>
      <c r="E77" s="1318"/>
      <c r="F77" s="1254"/>
      <c r="G77" s="1254"/>
      <c r="H77" s="1254"/>
      <c r="I77" s="1254"/>
      <c r="J77" s="1383"/>
      <c r="K77" s="1334" t="str">
        <f>IFERROR(__xludf.DUMMYFUNCTION("""COMPUTED_VALUE"""),"0.55mm BMT backtray flashing (700/2B)")</f>
        <v>0.55mm BMT backtray flashing (700/2B)</v>
      </c>
      <c r="L77" s="1349" t="s">
        <v>42</v>
      </c>
      <c r="M77" s="1350"/>
      <c r="N77" s="1254"/>
      <c r="O77" s="1254"/>
      <c r="P77" s="1254"/>
      <c r="Q77" s="1254"/>
      <c r="R77" s="1254"/>
      <c r="S77" s="1254"/>
      <c r="T77" s="1254"/>
      <c r="U77" s="1254"/>
      <c r="V77" s="1254"/>
      <c r="W77" s="1254"/>
      <c r="X77" s="1254"/>
      <c r="Y77" s="1254"/>
    </row>
    <row r="78">
      <c r="D78" s="1317"/>
      <c r="E78" s="1318"/>
      <c r="F78" s="1254"/>
      <c r="G78" s="1254"/>
      <c r="H78" s="1254"/>
      <c r="I78" s="1254"/>
      <c r="J78" s="1383"/>
      <c r="K78" s="1334" t="str">
        <f>IFERROR(__xludf.DUMMYFUNCTION("""COMPUTED_VALUE"""),"0.55mm BMT backtray flashing (930/2B)")</f>
        <v>0.55mm BMT backtray flashing (930/2B)</v>
      </c>
      <c r="L78" s="1349" t="s">
        <v>42</v>
      </c>
      <c r="M78" s="1350"/>
      <c r="N78" s="1254"/>
      <c r="O78" s="1254"/>
      <c r="P78" s="1254"/>
      <c r="Q78" s="1254"/>
      <c r="R78" s="1254"/>
      <c r="S78" s="1254"/>
      <c r="T78" s="1254"/>
      <c r="U78" s="1254"/>
      <c r="V78" s="1254"/>
      <c r="W78" s="1254"/>
      <c r="X78" s="1254"/>
      <c r="Y78" s="1254"/>
    </row>
    <row r="79">
      <c r="D79" s="1317"/>
      <c r="E79" s="1318"/>
      <c r="F79" s="1254"/>
      <c r="G79" s="1254"/>
      <c r="H79" s="1254"/>
      <c r="I79" s="1254"/>
      <c r="J79" s="1383"/>
      <c r="K79" s="1334" t="str">
        <f>IFERROR(__xludf.DUMMYFUNCTION("""COMPUTED_VALUE"""),"1.6mm BMT powder coated welded flashing (510/6B)")</f>
        <v>1.6mm BMT powder coated welded flashing (510/6B)</v>
      </c>
      <c r="L79" s="1349" t="s">
        <v>42</v>
      </c>
      <c r="M79" s="1350"/>
      <c r="N79" s="1254"/>
      <c r="O79" s="1254"/>
      <c r="P79" s="1254"/>
      <c r="Q79" s="1254"/>
      <c r="R79" s="1254"/>
      <c r="S79" s="1254"/>
      <c r="T79" s="1254"/>
      <c r="U79" s="1254"/>
      <c r="V79" s="1254"/>
      <c r="W79" s="1254"/>
      <c r="X79" s="1254"/>
      <c r="Y79" s="1254"/>
    </row>
    <row r="80">
      <c r="D80" s="1317"/>
      <c r="E80" s="1318"/>
      <c r="F80" s="1254"/>
      <c r="G80" s="1254"/>
      <c r="H80" s="1254"/>
      <c r="I80" s="1254"/>
      <c r="J80" s="1383"/>
      <c r="K80" s="1334" t="str">
        <f>IFERROR(__xludf.DUMMYFUNCTION("""COMPUTED_VALUE"""),"Powder Coating")</f>
        <v>Powder Coating</v>
      </c>
      <c r="L80" s="1349" t="s">
        <v>42</v>
      </c>
      <c r="M80" s="1350"/>
      <c r="N80" s="1254"/>
      <c r="O80" s="1254"/>
      <c r="P80" s="1254"/>
      <c r="Q80" s="1254"/>
      <c r="R80" s="1254"/>
      <c r="S80" s="1254"/>
      <c r="T80" s="1254"/>
      <c r="U80" s="1254"/>
      <c r="V80" s="1254"/>
      <c r="W80" s="1254"/>
      <c r="X80" s="1254"/>
      <c r="Y80" s="1254"/>
    </row>
    <row r="81">
      <c r="D81" s="1317"/>
      <c r="E81" s="1318"/>
      <c r="F81" s="1254"/>
      <c r="G81" s="1254"/>
      <c r="H81" s="1254"/>
      <c r="I81" s="1254"/>
      <c r="J81" s="1383"/>
      <c r="K81" s="1334" t="str">
        <f>IFERROR(__xludf.DUMMYFUNCTION("""COMPUTED_VALUE"""),"1.6mm BMT powder coated welded flashing (460/4B)")</f>
        <v>1.6mm BMT powder coated welded flashing (460/4B)</v>
      </c>
      <c r="L81" s="1349" t="s">
        <v>42</v>
      </c>
      <c r="M81" s="1350"/>
      <c r="N81" s="1254"/>
      <c r="O81" s="1254"/>
      <c r="P81" s="1254"/>
      <c r="Q81" s="1254"/>
      <c r="R81" s="1254"/>
      <c r="S81" s="1254"/>
      <c r="T81" s="1254"/>
      <c r="U81" s="1254"/>
      <c r="V81" s="1254"/>
      <c r="W81" s="1254"/>
      <c r="X81" s="1254"/>
      <c r="Y81" s="1254"/>
    </row>
    <row r="82">
      <c r="D82" s="1317"/>
      <c r="E82" s="1318"/>
      <c r="F82" s="1254"/>
      <c r="G82" s="1254"/>
      <c r="H82" s="1254"/>
      <c r="I82" s="1254"/>
      <c r="J82" s="1383"/>
      <c r="K82" s="1334"/>
      <c r="L82" s="1349" t="s">
        <v>42</v>
      </c>
      <c r="M82" s="1350"/>
      <c r="N82" s="1254"/>
      <c r="O82" s="1254"/>
      <c r="P82" s="1254"/>
      <c r="Q82" s="1254"/>
      <c r="R82" s="1254"/>
      <c r="S82" s="1254"/>
      <c r="T82" s="1254"/>
      <c r="U82" s="1254"/>
      <c r="V82" s="1254"/>
      <c r="W82" s="1254"/>
      <c r="X82" s="1254"/>
      <c r="Y82" s="1254"/>
    </row>
    <row r="83">
      <c r="D83" s="1317"/>
      <c r="E83" s="1318"/>
      <c r="F83" s="1254"/>
      <c r="G83" s="1254"/>
      <c r="H83" s="1254"/>
      <c r="I83" s="1254"/>
      <c r="J83" s="1383"/>
      <c r="K83" s="1334"/>
      <c r="L83" s="1349" t="s">
        <v>42</v>
      </c>
      <c r="M83" s="1350"/>
      <c r="N83" s="1254"/>
      <c r="O83" s="1254"/>
      <c r="P83" s="1254"/>
      <c r="Q83" s="1254"/>
      <c r="R83" s="1254"/>
      <c r="S83" s="1254"/>
      <c r="T83" s="1254"/>
      <c r="U83" s="1254"/>
      <c r="V83" s="1254"/>
      <c r="W83" s="1254"/>
      <c r="X83" s="1254"/>
      <c r="Y83" s="1254"/>
    </row>
    <row r="84">
      <c r="D84" s="1317"/>
      <c r="E84" s="1318"/>
      <c r="F84" s="1254"/>
      <c r="G84" s="1254"/>
      <c r="H84" s="1254"/>
      <c r="I84" s="1254"/>
      <c r="J84" s="1383"/>
      <c r="K84" s="1334"/>
      <c r="L84" s="1349" t="s">
        <v>42</v>
      </c>
      <c r="M84" s="1350"/>
      <c r="N84" s="1254"/>
      <c r="O84" s="1254"/>
      <c r="P84" s="1254"/>
      <c r="Q84" s="1254"/>
      <c r="R84" s="1254"/>
      <c r="S84" s="1254"/>
      <c r="T84" s="1254"/>
      <c r="U84" s="1254"/>
      <c r="V84" s="1254"/>
      <c r="W84" s="1254"/>
      <c r="X84" s="1254"/>
      <c r="Y84" s="1254"/>
    </row>
    <row r="85">
      <c r="D85" s="1317"/>
      <c r="E85" s="1318"/>
      <c r="F85" s="1254"/>
      <c r="G85" s="1254"/>
      <c r="H85" s="1254"/>
      <c r="I85" s="1254"/>
      <c r="J85" s="1383"/>
      <c r="K85" s="1334"/>
      <c r="L85" s="1349" t="s">
        <v>42</v>
      </c>
      <c r="M85" s="1350"/>
      <c r="N85" s="1254"/>
      <c r="O85" s="1254"/>
      <c r="P85" s="1254"/>
      <c r="Q85" s="1254"/>
      <c r="R85" s="1254"/>
      <c r="S85" s="1254"/>
      <c r="T85" s="1254"/>
      <c r="U85" s="1254"/>
      <c r="V85" s="1254"/>
      <c r="W85" s="1254"/>
      <c r="X85" s="1254"/>
      <c r="Y85" s="1254"/>
    </row>
    <row r="86">
      <c r="D86" s="1317"/>
      <c r="E86" s="1318"/>
      <c r="F86" s="1254"/>
      <c r="G86" s="1254"/>
      <c r="H86" s="1254"/>
      <c r="I86" s="1254"/>
      <c r="J86" s="1383"/>
      <c r="K86" s="1334"/>
      <c r="L86" s="1349" t="s">
        <v>42</v>
      </c>
      <c r="M86" s="1350"/>
      <c r="N86" s="1254"/>
      <c r="O86" s="1254"/>
      <c r="P86" s="1254"/>
      <c r="Q86" s="1254"/>
      <c r="R86" s="1254"/>
      <c r="S86" s="1254"/>
      <c r="T86" s="1254"/>
      <c r="U86" s="1254"/>
      <c r="V86" s="1254"/>
      <c r="W86" s="1254"/>
      <c r="X86" s="1254"/>
      <c r="Y86" s="1254"/>
    </row>
    <row r="87">
      <c r="D87" s="1317"/>
      <c r="E87" s="1318"/>
      <c r="F87" s="1254"/>
      <c r="G87" s="1254"/>
      <c r="H87" s="1254"/>
      <c r="I87" s="1254"/>
      <c r="J87" s="1383"/>
      <c r="K87" s="1334"/>
      <c r="L87" s="1349"/>
      <c r="M87" s="1350"/>
      <c r="N87" s="1254"/>
      <c r="O87" s="1254"/>
      <c r="P87" s="1254"/>
      <c r="Q87" s="1254"/>
      <c r="R87" s="1254"/>
      <c r="S87" s="1254"/>
      <c r="T87" s="1254"/>
      <c r="U87" s="1254"/>
      <c r="V87" s="1254"/>
      <c r="W87" s="1254"/>
      <c r="X87" s="1254"/>
      <c r="Y87" s="1254"/>
    </row>
    <row r="88">
      <c r="D88" s="1317"/>
      <c r="E88" s="1318"/>
      <c r="F88" s="1254"/>
      <c r="G88" s="1254"/>
      <c r="H88" s="1254"/>
      <c r="I88" s="1254"/>
      <c r="J88" s="1381"/>
      <c r="K88" s="1254"/>
      <c r="L88" s="1263"/>
      <c r="M88" s="1263"/>
      <c r="N88" s="1254"/>
      <c r="O88" s="1254"/>
      <c r="P88" s="1254"/>
      <c r="Q88" s="1254"/>
      <c r="R88" s="1254"/>
      <c r="S88" s="1254"/>
      <c r="T88" s="1254"/>
      <c r="U88" s="1254"/>
      <c r="V88" s="1254"/>
      <c r="W88" s="1254"/>
      <c r="X88" s="1254"/>
      <c r="Y88" s="1254"/>
    </row>
    <row r="89">
      <c r="D89" s="1317"/>
      <c r="E89" s="1318"/>
      <c r="F89" s="1254"/>
      <c r="G89" s="1254"/>
      <c r="H89" s="1254"/>
      <c r="I89" s="1254"/>
      <c r="J89" s="1381"/>
      <c r="K89" s="1321" t="s">
        <v>477</v>
      </c>
      <c r="L89" s="1263"/>
      <c r="M89" s="1263"/>
      <c r="N89" s="1254"/>
      <c r="O89" s="1254"/>
      <c r="P89" s="1254"/>
      <c r="Q89" s="1254"/>
      <c r="R89" s="1254"/>
      <c r="S89" s="1254"/>
      <c r="T89" s="1254"/>
      <c r="U89" s="1254"/>
      <c r="V89" s="1254"/>
      <c r="W89" s="1254"/>
      <c r="X89" s="1254"/>
      <c r="Y89" s="1254"/>
    </row>
    <row r="90">
      <c r="D90" s="1317"/>
      <c r="E90" s="1318"/>
      <c r="F90" s="1254"/>
      <c r="G90" s="1254"/>
      <c r="H90" s="1254"/>
      <c r="I90" s="1254"/>
      <c r="J90" s="1385"/>
      <c r="K90" s="1347" t="s">
        <v>7</v>
      </c>
      <c r="L90" s="1329" t="s">
        <v>18</v>
      </c>
      <c r="M90" s="1329" t="s">
        <v>15</v>
      </c>
      <c r="N90" s="1254"/>
      <c r="O90" s="1254"/>
      <c r="P90" s="1254"/>
      <c r="Q90" s="1254"/>
      <c r="R90" s="1254"/>
      <c r="S90" s="1254"/>
      <c r="T90" s="1254"/>
      <c r="U90" s="1254"/>
      <c r="V90" s="1254"/>
      <c r="W90" s="1254"/>
      <c r="X90" s="1254"/>
      <c r="Y90" s="1254"/>
    </row>
    <row r="91">
      <c r="D91" s="1317"/>
      <c r="E91" s="1318"/>
      <c r="F91" s="1254"/>
      <c r="G91" s="1254"/>
      <c r="H91" s="1254"/>
      <c r="I91" s="1254"/>
      <c r="J91" s="1383" t="str">
        <f>IFERROR(__xludf.DUMMYFUNCTION("UNIQUE(
  FILTER(
    {Pricing!B13:B182, Pricing!C13:C182},
    Pricing!A13:A182=""Gu""
  )
)"),"Alternative")</f>
        <v>Alternative</v>
      </c>
      <c r="K91" s="1334" t="str">
        <f>IFERROR(__xludf.DUMMYFUNCTION("""COMPUTED_VALUE"""),"Velux Fixed skylight (pitched roofs) 780 x 1180")</f>
        <v>Velux Fixed skylight (pitched roofs) 780 x 1180</v>
      </c>
      <c r="L91" s="1349">
        <f t="array" ref="L91:L97">IF(
    J91:J97="",
    "",
    IF(
      SUMIF(
        Pricing!$B$15:$B$182&amp;"♦"&amp;Pricing!$C$15:$C$182,
        J91:J97&amp;"♦"&amp;K91:K97,
        Pricing!$Q$15:$Q$182
      )=0,
      "",
      ROUND(
        SUMIF(
          Pricing!$B$15:$B$182&amp;"♦"&amp;Pricing!$C$15:$C$182,
          J91:J97&amp;"♦"&amp;K91:K97,
          Pricing!$Q$15:$Q$182
        ),
        2
      )
    )
  )</f>
        <v>2</v>
      </c>
      <c r="M91" s="1350" t="str">
        <f t="array" ref="M91:M97">IF(J91:J97="",
     ,
     IFERROR(
       VLOOKUP(J91:J97, Pricing!$B$15:$M$182, 10, 0)
     ,"")
  )</f>
        <v>ea</v>
      </c>
      <c r="N91" s="1254"/>
      <c r="O91" s="1254"/>
      <c r="P91" s="1254"/>
      <c r="Q91" s="1254"/>
      <c r="R91" s="1254"/>
      <c r="S91" s="1254"/>
      <c r="T91" s="1254"/>
      <c r="U91" s="1254"/>
      <c r="V91" s="1254"/>
      <c r="W91" s="1254"/>
      <c r="X91" s="1254"/>
      <c r="Y91" s="1254"/>
    </row>
    <row r="92">
      <c r="D92" s="1317"/>
      <c r="E92" s="1318"/>
      <c r="F92" s="1254"/>
      <c r="G92" s="1254"/>
      <c r="H92" s="1254"/>
      <c r="I92" s="1254"/>
      <c r="J92" s="1383" t="str">
        <f>IFERROR(__xludf.DUMMYFUNCTION("""COMPUTED_VALUE"""),"Alternative")</f>
        <v>Alternative</v>
      </c>
      <c r="K92" s="1334" t="str">
        <f>IFERROR(__xludf.DUMMYFUNCTION("""COMPUTED_VALUE"""),"Velux Fixed skylight (pitched roofs) 780 x 780")</f>
        <v>Velux Fixed skylight (pitched roofs) 780 x 780</v>
      </c>
      <c r="L92" s="1349">
        <v>2.0</v>
      </c>
      <c r="M92" s="1350" t="s">
        <v>52</v>
      </c>
      <c r="N92" s="1254"/>
      <c r="O92" s="1254"/>
      <c r="P92" s="1254"/>
      <c r="Q92" s="1254"/>
      <c r="R92" s="1254"/>
      <c r="S92" s="1254"/>
      <c r="T92" s="1254"/>
      <c r="U92" s="1254"/>
      <c r="V92" s="1254"/>
      <c r="W92" s="1254"/>
      <c r="X92" s="1254"/>
      <c r="Y92" s="1254"/>
    </row>
    <row r="93">
      <c r="D93" s="1317"/>
      <c r="E93" s="1318"/>
      <c r="F93" s="1254"/>
      <c r="G93" s="1254"/>
      <c r="H93" s="1254"/>
      <c r="I93" s="1254"/>
      <c r="J93" s="1383" t="str">
        <f>IFERROR(__xludf.DUMMYFUNCTION("""COMPUTED_VALUE"""),"Alternative")</f>
        <v>Alternative</v>
      </c>
      <c r="K93" s="1334" t="str">
        <f>IFERROR(__xludf.DUMMYFUNCTION("""COMPUTED_VALUE"""),"Velux Fixed skylight (pitched roofs) 1140 x 1180")</f>
        <v>Velux Fixed skylight (pitched roofs) 1140 x 1180</v>
      </c>
      <c r="L93" s="1349">
        <v>2.0</v>
      </c>
      <c r="M93" s="1350" t="s">
        <v>52</v>
      </c>
      <c r="N93" s="1254"/>
      <c r="O93" s="1254"/>
      <c r="P93" s="1254"/>
      <c r="Q93" s="1254"/>
      <c r="R93" s="1254"/>
      <c r="S93" s="1254"/>
      <c r="T93" s="1254"/>
      <c r="U93" s="1254"/>
      <c r="V93" s="1254"/>
      <c r="W93" s="1254"/>
      <c r="X93" s="1254"/>
      <c r="Y93" s="1254"/>
    </row>
    <row r="94">
      <c r="D94" s="1317"/>
      <c r="E94" s="1318"/>
      <c r="F94" s="1254"/>
      <c r="G94" s="1254"/>
      <c r="H94" s="1254"/>
      <c r="I94" s="1254"/>
      <c r="J94" s="1383"/>
      <c r="K94" s="1334" t="str">
        <f>IFERROR(__xludf.DUMMYFUNCTION("""COMPUTED_VALUE"""),"Dektite")</f>
        <v>Dektite</v>
      </c>
      <c r="L94" s="1349" t="s">
        <v>42</v>
      </c>
      <c r="M94" s="1350"/>
      <c r="N94" s="1254"/>
      <c r="O94" s="1254"/>
      <c r="P94" s="1254"/>
      <c r="Q94" s="1254"/>
      <c r="R94" s="1254"/>
      <c r="S94" s="1254"/>
      <c r="T94" s="1254"/>
      <c r="U94" s="1254"/>
      <c r="V94" s="1254"/>
      <c r="W94" s="1254"/>
      <c r="X94" s="1254"/>
      <c r="Y94" s="1254"/>
    </row>
    <row r="95">
      <c r="D95" s="1317"/>
      <c r="E95" s="1318"/>
      <c r="F95" s="1254"/>
      <c r="G95" s="1254"/>
      <c r="H95" s="1254"/>
      <c r="I95" s="1254"/>
      <c r="J95" s="1383"/>
      <c r="K95" s="1334" t="str">
        <f>IFERROR(__xludf.DUMMYFUNCTION("""COMPUTED_VALUE"""),"Penetration (Big)")</f>
        <v>Penetration (Big)</v>
      </c>
      <c r="L95" s="1349" t="s">
        <v>42</v>
      </c>
      <c r="M95" s="1350"/>
      <c r="N95" s="1254"/>
      <c r="O95" s="1254"/>
      <c r="P95" s="1254"/>
      <c r="Q95" s="1254"/>
      <c r="R95" s="1254"/>
      <c r="S95" s="1254"/>
      <c r="T95" s="1254"/>
      <c r="U95" s="1254"/>
      <c r="V95" s="1254"/>
      <c r="W95" s="1254"/>
      <c r="X95" s="1254"/>
      <c r="Y95" s="1254"/>
    </row>
    <row r="96">
      <c r="D96" s="1317"/>
      <c r="E96" s="1318"/>
      <c r="F96" s="1254"/>
      <c r="G96" s="1254"/>
      <c r="H96" s="1254"/>
      <c r="I96" s="1254"/>
      <c r="J96" s="1383"/>
      <c r="K96" s="1334" t="str">
        <f>IFERROR(__xludf.DUMMYFUNCTION("""COMPUTED_VALUE"""),"Penetration (Small)")</f>
        <v>Penetration (Small)</v>
      </c>
      <c r="L96" s="1349" t="s">
        <v>42</v>
      </c>
      <c r="M96" s="1350"/>
      <c r="N96" s="1254"/>
      <c r="O96" s="1254"/>
      <c r="P96" s="1254"/>
      <c r="Q96" s="1254"/>
      <c r="R96" s="1254"/>
      <c r="S96" s="1254"/>
      <c r="T96" s="1254"/>
      <c r="U96" s="1254"/>
      <c r="V96" s="1254"/>
      <c r="W96" s="1254"/>
      <c r="X96" s="1254"/>
      <c r="Y96" s="1254"/>
    </row>
    <row r="97">
      <c r="D97" s="1317"/>
      <c r="E97" s="1318"/>
      <c r="F97" s="1254"/>
      <c r="G97" s="1254"/>
      <c r="H97" s="1254"/>
      <c r="I97" s="1254"/>
      <c r="J97" s="1383"/>
      <c r="K97" s="1334" t="str">
        <f>IFERROR(__xludf.DUMMYFUNCTION("""COMPUTED_VALUE"""),"Dimond Half Round 150 Maxam NI")</f>
        <v>Dimond Half Round 150 Maxam NI</v>
      </c>
      <c r="L97" s="1349" t="s">
        <v>42</v>
      </c>
      <c r="M97" s="1350"/>
      <c r="N97" s="1254"/>
      <c r="O97" s="1254"/>
      <c r="P97" s="1254"/>
      <c r="Q97" s="1254"/>
      <c r="R97" s="1254"/>
      <c r="S97" s="1254"/>
      <c r="T97" s="1254"/>
      <c r="U97" s="1254"/>
      <c r="V97" s="1254"/>
      <c r="W97" s="1254"/>
      <c r="X97" s="1254"/>
      <c r="Y97" s="1254"/>
    </row>
    <row r="98">
      <c r="D98" s="1317"/>
      <c r="E98" s="1318"/>
      <c r="F98" s="1254"/>
      <c r="G98" s="1254"/>
      <c r="H98" s="1254"/>
      <c r="I98" s="1254"/>
      <c r="J98" s="1381"/>
      <c r="K98" s="1254" t="str">
        <f>IFERROR(__xludf.DUMMYFUNCTION("""COMPUTED_VALUE"""),"150MM HR BKT COLOUR")</f>
        <v>150MM HR BKT COLOUR</v>
      </c>
      <c r="L98" s="1263"/>
      <c r="M98" s="1263"/>
      <c r="N98" s="1254"/>
      <c r="O98" s="1254"/>
      <c r="P98" s="1254"/>
      <c r="Q98" s="1254"/>
      <c r="R98" s="1254"/>
      <c r="S98" s="1254"/>
      <c r="T98" s="1254"/>
      <c r="U98" s="1254"/>
      <c r="V98" s="1254"/>
      <c r="W98" s="1254"/>
      <c r="X98" s="1254"/>
      <c r="Y98" s="1254"/>
    </row>
    <row r="99">
      <c r="D99" s="1317"/>
      <c r="E99" s="1318"/>
      <c r="F99" s="1254"/>
      <c r="G99" s="1254"/>
      <c r="H99" s="1254"/>
      <c r="I99" s="1254"/>
      <c r="J99" s="1381"/>
      <c r="K99" s="1352" t="s">
        <v>136</v>
      </c>
      <c r="L99" s="1353"/>
      <c r="M99" s="1353"/>
      <c r="N99" s="1254"/>
      <c r="O99" s="1254"/>
      <c r="P99" s="1254"/>
      <c r="Q99" s="1254"/>
      <c r="R99" s="1254"/>
      <c r="S99" s="1254"/>
      <c r="T99" s="1254"/>
      <c r="U99" s="1254"/>
      <c r="V99" s="1254"/>
      <c r="W99" s="1254"/>
      <c r="X99" s="1254"/>
      <c r="Y99" s="1254"/>
    </row>
    <row r="100">
      <c r="D100" s="1317"/>
      <c r="E100" s="1318"/>
      <c r="F100" s="1254"/>
      <c r="G100" s="1254"/>
      <c r="H100" s="1254"/>
      <c r="I100" s="1254"/>
      <c r="J100" s="1385"/>
      <c r="K100" s="1347" t="s">
        <v>7</v>
      </c>
      <c r="L100" s="1329" t="s">
        <v>18</v>
      </c>
      <c r="M100" s="1329" t="s">
        <v>15</v>
      </c>
      <c r="N100" s="1254"/>
      <c r="O100" s="1254"/>
      <c r="P100" s="1254"/>
      <c r="Q100" s="1254"/>
      <c r="R100" s="1254"/>
      <c r="S100" s="1254"/>
      <c r="T100" s="1254"/>
      <c r="U100" s="1254"/>
      <c r="V100" s="1254"/>
      <c r="W100" s="1254"/>
      <c r="X100" s="1254"/>
      <c r="Y100" s="1254"/>
    </row>
    <row r="101">
      <c r="D101" s="1317"/>
      <c r="E101" s="1318"/>
      <c r="F101" s="1254"/>
      <c r="G101" s="1254"/>
      <c r="H101" s="1254"/>
      <c r="I101" s="1254"/>
      <c r="J101" s="1383" t="str">
        <f>IFERROR(__xludf.DUMMYFUNCTION("UNIQUE(
  FILTER(
    {Pricing!B13:B182, Pricing!C13:C182},
    Pricing!A13:A182=""Dp""
  )
)"),"")</f>
        <v/>
      </c>
      <c r="K101" s="1334" t="str">
        <f>IFERROR(__xludf.DUMMYFUNCTION("""COMPUTED_VALUE"""),"DP80 round")</f>
        <v>DP80 round</v>
      </c>
      <c r="L101" s="1349" t="str">
        <f t="array" ref="L101:L107">IF(
    J101:J107="",
    "",
    IF(
      SUMIF(
        Pricing!$B$15:$B$182&amp;"♦"&amp;Pricing!$C$15:$C$182,
        J101:J107&amp;"♦"&amp;K101:K107,
        Pricing!$Q$15:$Q$182
      )=0,
      "",
      ROUND(
        SUMIF(
          Pricing!$B$15:$B$182&amp;"♦"&amp;Pricing!$C$15:$C$182,
          J101:J107&amp;"♦"&amp;K101:K107,
          Pricing!$Q$15:$Q$182
        ),
        2
      )
    )
  )</f>
        <v/>
      </c>
      <c r="M101" s="1350" t="str">
        <f t="array" ref="M101:M108">IF(J101:J108="",
     ,
     IFERROR(
       VLOOKUP(J101:J108, Pricing!$B$15:$M$182, 10, 0)
     ,"")
  )</f>
        <v/>
      </c>
      <c r="N101" s="1254"/>
      <c r="O101" s="1254"/>
      <c r="P101" s="1254"/>
      <c r="Q101" s="1254"/>
      <c r="R101" s="1254"/>
      <c r="S101" s="1254"/>
      <c r="T101" s="1254"/>
      <c r="U101" s="1254"/>
      <c r="V101" s="1254"/>
      <c r="W101" s="1254"/>
      <c r="X101" s="1254"/>
      <c r="Y101" s="1254"/>
    </row>
    <row r="102">
      <c r="D102" s="1317"/>
      <c r="E102" s="1318"/>
      <c r="F102" s="1254"/>
      <c r="G102" s="1254"/>
      <c r="H102" s="1254"/>
      <c r="I102" s="1254"/>
      <c r="J102" s="1383"/>
      <c r="K102" s="1334" t="str">
        <f>IFERROR(__xludf.DUMMYFUNCTION("""COMPUTED_VALUE"""),"DP80 bracket")</f>
        <v>DP80 bracket</v>
      </c>
      <c r="L102" s="1349" t="s">
        <v>42</v>
      </c>
      <c r="M102" s="1350"/>
      <c r="N102" s="1254"/>
      <c r="O102" s="1254"/>
      <c r="P102" s="1254"/>
      <c r="Q102" s="1254"/>
      <c r="R102" s="1254"/>
      <c r="S102" s="1254"/>
      <c r="T102" s="1254"/>
      <c r="U102" s="1254"/>
      <c r="V102" s="1254"/>
      <c r="W102" s="1254"/>
      <c r="X102" s="1254"/>
      <c r="Y102" s="1254"/>
    </row>
    <row r="103">
      <c r="D103" s="1317"/>
      <c r="E103" s="1318"/>
      <c r="F103" s="1254"/>
      <c r="G103" s="1254"/>
      <c r="H103" s="1254"/>
      <c r="I103" s="1254"/>
      <c r="J103" s="1383"/>
      <c r="K103" s="1334" t="str">
        <f>IFERROR(__xludf.DUMMYFUNCTION("""COMPUTED_VALUE"""),"DP80 pop")</f>
        <v>DP80 pop</v>
      </c>
      <c r="L103" s="1349" t="s">
        <v>42</v>
      </c>
      <c r="M103" s="1350"/>
      <c r="N103" s="1254"/>
      <c r="O103" s="1254"/>
      <c r="P103" s="1254"/>
      <c r="Q103" s="1254"/>
      <c r="R103" s="1254"/>
      <c r="S103" s="1254"/>
      <c r="T103" s="1254"/>
      <c r="U103" s="1254"/>
      <c r="V103" s="1254"/>
      <c r="W103" s="1254"/>
      <c r="X103" s="1254"/>
      <c r="Y103" s="1254"/>
    </row>
    <row r="104">
      <c r="D104" s="1317"/>
      <c r="E104" s="1318"/>
      <c r="F104" s="1254"/>
      <c r="G104" s="1254"/>
      <c r="H104" s="1254"/>
      <c r="I104" s="1254"/>
      <c r="J104" s="1383"/>
      <c r="K104" s="1334"/>
      <c r="L104" s="1349" t="s">
        <v>42</v>
      </c>
      <c r="M104" s="1350"/>
      <c r="N104" s="1254"/>
      <c r="O104" s="1254"/>
      <c r="P104" s="1254"/>
      <c r="Q104" s="1254"/>
      <c r="R104" s="1254"/>
      <c r="S104" s="1254"/>
      <c r="T104" s="1254"/>
      <c r="U104" s="1254"/>
      <c r="V104" s="1254"/>
      <c r="W104" s="1254"/>
      <c r="X104" s="1254"/>
      <c r="Y104" s="1254"/>
    </row>
    <row r="105">
      <c r="D105" s="1317"/>
      <c r="E105" s="1318"/>
      <c r="F105" s="1254"/>
      <c r="G105" s="1254"/>
      <c r="H105" s="1254"/>
      <c r="I105" s="1254"/>
      <c r="J105" s="1383"/>
      <c r="K105" s="1334"/>
      <c r="L105" s="1349" t="s">
        <v>42</v>
      </c>
      <c r="M105" s="1350"/>
      <c r="N105" s="1254"/>
      <c r="O105" s="1254"/>
      <c r="P105" s="1254"/>
      <c r="Q105" s="1254"/>
      <c r="R105" s="1254"/>
      <c r="S105" s="1254"/>
      <c r="T105" s="1254"/>
      <c r="U105" s="1254"/>
      <c r="V105" s="1254"/>
      <c r="W105" s="1254"/>
      <c r="X105" s="1254"/>
      <c r="Y105" s="1254"/>
    </row>
    <row r="106">
      <c r="D106" s="1317"/>
      <c r="E106" s="1318"/>
      <c r="F106" s="1254"/>
      <c r="G106" s="1254"/>
      <c r="H106" s="1254"/>
      <c r="I106" s="1254"/>
      <c r="J106" s="1383"/>
      <c r="K106" s="1334"/>
      <c r="L106" s="1349" t="s">
        <v>42</v>
      </c>
      <c r="M106" s="1350"/>
      <c r="N106" s="1254"/>
      <c r="O106" s="1254"/>
      <c r="P106" s="1254"/>
      <c r="Q106" s="1254"/>
      <c r="R106" s="1254"/>
      <c r="S106" s="1254"/>
      <c r="T106" s="1254"/>
      <c r="U106" s="1254"/>
      <c r="V106" s="1254"/>
      <c r="W106" s="1254"/>
      <c r="X106" s="1254"/>
      <c r="Y106" s="1254"/>
    </row>
    <row r="107">
      <c r="D107" s="1317"/>
      <c r="E107" s="1318"/>
      <c r="F107" s="1254"/>
      <c r="G107" s="1254"/>
      <c r="H107" s="1254"/>
      <c r="I107" s="1254"/>
      <c r="J107" s="1383"/>
      <c r="K107" s="1334"/>
      <c r="L107" s="1349" t="s">
        <v>42</v>
      </c>
      <c r="M107" s="1350"/>
      <c r="N107" s="1254"/>
      <c r="O107" s="1254"/>
      <c r="P107" s="1254"/>
      <c r="Q107" s="1254"/>
      <c r="R107" s="1254"/>
      <c r="S107" s="1254"/>
      <c r="T107" s="1254"/>
      <c r="U107" s="1254"/>
      <c r="V107" s="1254"/>
      <c r="W107" s="1254"/>
      <c r="X107" s="1254"/>
      <c r="Y107" s="1254"/>
    </row>
    <row r="108">
      <c r="D108" s="1317"/>
      <c r="E108" s="1318"/>
      <c r="F108" s="1254"/>
      <c r="G108" s="1254"/>
      <c r="H108" s="1254"/>
      <c r="I108" s="1254"/>
      <c r="J108" s="1383"/>
      <c r="K108" s="1334"/>
      <c r="L108" s="1349"/>
      <c r="M108" s="1350"/>
      <c r="N108" s="1254"/>
      <c r="O108" s="1254"/>
      <c r="P108" s="1254"/>
      <c r="Q108" s="1254"/>
      <c r="R108" s="1254"/>
      <c r="S108" s="1254"/>
      <c r="T108" s="1254"/>
      <c r="U108" s="1254"/>
      <c r="V108" s="1254"/>
      <c r="W108" s="1254"/>
      <c r="X108" s="1254"/>
      <c r="Y108" s="1254"/>
    </row>
    <row r="109">
      <c r="A109" s="1254"/>
      <c r="B109" s="1263"/>
      <c r="C109" s="1263"/>
      <c r="D109" s="1317"/>
      <c r="E109" s="1318"/>
      <c r="F109" s="1254"/>
      <c r="G109" s="1254"/>
      <c r="H109" s="1254"/>
      <c r="I109" s="1254"/>
      <c r="J109" s="1254"/>
      <c r="K109" s="1254"/>
      <c r="L109" s="1254"/>
      <c r="M109" s="1254"/>
      <c r="N109" s="1254"/>
      <c r="O109" s="1254"/>
      <c r="P109" s="1254"/>
      <c r="Q109" s="1254"/>
      <c r="R109" s="1254"/>
      <c r="S109" s="1254"/>
      <c r="T109" s="1254"/>
      <c r="U109" s="1254"/>
      <c r="V109" s="1254"/>
      <c r="W109" s="1254"/>
      <c r="X109" s="1254"/>
      <c r="Y109" s="1254"/>
    </row>
    <row r="110">
      <c r="A110" s="1254"/>
      <c r="B110" s="1263"/>
      <c r="C110" s="1263"/>
      <c r="D110" s="1317"/>
      <c r="E110" s="1318"/>
      <c r="F110" s="1254"/>
      <c r="G110" s="1254"/>
      <c r="H110" s="1254"/>
      <c r="I110" s="1254"/>
      <c r="J110" s="1254"/>
      <c r="K110" s="1254"/>
      <c r="L110" s="1254"/>
      <c r="M110" s="1254"/>
      <c r="N110" s="1254"/>
      <c r="O110" s="1254"/>
      <c r="P110" s="1254"/>
      <c r="Q110" s="1254"/>
      <c r="R110" s="1254"/>
      <c r="S110" s="1254"/>
      <c r="T110" s="1254"/>
      <c r="U110" s="1254"/>
      <c r="V110" s="1254"/>
      <c r="W110" s="1254"/>
      <c r="X110" s="1254"/>
      <c r="Y110" s="1254"/>
    </row>
    <row r="111">
      <c r="A111" s="1254"/>
      <c r="B111" s="1263"/>
      <c r="C111" s="1263"/>
      <c r="D111" s="1317"/>
      <c r="E111" s="1318"/>
      <c r="F111" s="1254"/>
      <c r="G111" s="1254"/>
      <c r="H111" s="1254"/>
      <c r="I111" s="1254"/>
      <c r="J111" s="1254"/>
      <c r="K111" s="1254"/>
      <c r="L111" s="1254"/>
      <c r="M111" s="1254"/>
      <c r="N111" s="1254"/>
      <c r="O111" s="1254"/>
      <c r="P111" s="1254"/>
      <c r="Q111" s="1254"/>
      <c r="R111" s="1254"/>
      <c r="S111" s="1254"/>
      <c r="T111" s="1254"/>
      <c r="U111" s="1254"/>
      <c r="V111" s="1254"/>
      <c r="W111" s="1254"/>
      <c r="X111" s="1254"/>
      <c r="Y111" s="1254"/>
    </row>
    <row r="112">
      <c r="A112" s="1254"/>
      <c r="B112" s="1263"/>
      <c r="C112" s="1263"/>
      <c r="D112" s="1317"/>
      <c r="E112" s="1318"/>
      <c r="F112" s="1254"/>
      <c r="G112" s="1254"/>
      <c r="H112" s="1254"/>
      <c r="I112" s="1254"/>
      <c r="J112" s="1254"/>
      <c r="K112" s="1254"/>
      <c r="L112" s="1254"/>
      <c r="M112" s="1254"/>
      <c r="N112" s="1254"/>
      <c r="O112" s="1254"/>
      <c r="P112" s="1254"/>
      <c r="Q112" s="1254"/>
      <c r="R112" s="1254"/>
      <c r="S112" s="1254"/>
      <c r="T112" s="1254"/>
      <c r="U112" s="1254"/>
      <c r="V112" s="1254"/>
      <c r="W112" s="1254"/>
      <c r="X112" s="1254"/>
      <c r="Y112" s="1254"/>
    </row>
    <row r="113">
      <c r="A113" s="1254"/>
      <c r="B113" s="1263"/>
      <c r="C113" s="1263"/>
      <c r="D113" s="1317"/>
      <c r="E113" s="1318"/>
      <c r="F113" s="1254"/>
      <c r="G113" s="1254"/>
      <c r="H113" s="1254"/>
      <c r="I113" s="1254"/>
      <c r="J113" s="1254"/>
      <c r="K113" s="1254"/>
      <c r="L113" s="1254"/>
      <c r="M113" s="1254"/>
      <c r="N113" s="1254"/>
      <c r="O113" s="1254"/>
      <c r="P113" s="1254"/>
      <c r="Q113" s="1254"/>
      <c r="R113" s="1254"/>
      <c r="S113" s="1254"/>
      <c r="T113" s="1254"/>
      <c r="U113" s="1254"/>
      <c r="V113" s="1254"/>
      <c r="W113" s="1254"/>
      <c r="X113" s="1254"/>
      <c r="Y113" s="1254"/>
    </row>
    <row r="114">
      <c r="A114" s="1254"/>
      <c r="B114" s="1263"/>
      <c r="C114" s="1263"/>
      <c r="D114" s="1317"/>
      <c r="E114" s="1318"/>
      <c r="F114" s="1254"/>
      <c r="G114" s="1254"/>
      <c r="H114" s="1254"/>
      <c r="I114" s="1254"/>
      <c r="J114" s="1254"/>
      <c r="K114" s="1254"/>
      <c r="L114" s="1254"/>
      <c r="M114" s="1254"/>
      <c r="N114" s="1254"/>
      <c r="O114" s="1254"/>
      <c r="P114" s="1254"/>
      <c r="Q114" s="1254"/>
      <c r="R114" s="1254"/>
      <c r="S114" s="1254"/>
      <c r="T114" s="1254"/>
      <c r="U114" s="1254"/>
      <c r="V114" s="1254"/>
      <c r="W114" s="1254"/>
      <c r="X114" s="1254"/>
      <c r="Y114" s="1254"/>
    </row>
    <row r="115">
      <c r="A115" s="1254"/>
      <c r="B115" s="1263"/>
      <c r="C115" s="1263"/>
      <c r="D115" s="1317"/>
      <c r="E115" s="1318"/>
      <c r="F115" s="1254"/>
      <c r="G115" s="1254"/>
      <c r="H115" s="1254"/>
      <c r="I115" s="1254"/>
      <c r="J115" s="1254"/>
      <c r="K115" s="1254"/>
      <c r="L115" s="1254"/>
      <c r="M115" s="1254"/>
      <c r="N115" s="1254"/>
      <c r="O115" s="1254"/>
      <c r="P115" s="1254"/>
      <c r="Q115" s="1254"/>
      <c r="R115" s="1254"/>
      <c r="S115" s="1254"/>
      <c r="T115" s="1254"/>
      <c r="U115" s="1254"/>
      <c r="V115" s="1254"/>
      <c r="W115" s="1254"/>
      <c r="X115" s="1254"/>
      <c r="Y115" s="1254"/>
    </row>
    <row r="116">
      <c r="A116" s="1254"/>
      <c r="B116" s="1263"/>
      <c r="C116" s="1263"/>
      <c r="D116" s="1317"/>
      <c r="E116" s="1318"/>
      <c r="F116" s="1254"/>
      <c r="G116" s="1254"/>
      <c r="H116" s="1254"/>
      <c r="I116" s="1254"/>
      <c r="J116" s="1254"/>
      <c r="K116" s="1254"/>
      <c r="L116" s="1254"/>
      <c r="M116" s="1254"/>
      <c r="N116" s="1254"/>
      <c r="O116" s="1254"/>
      <c r="P116" s="1254"/>
      <c r="Q116" s="1254"/>
      <c r="R116" s="1254"/>
      <c r="S116" s="1254"/>
      <c r="T116" s="1254"/>
      <c r="U116" s="1254"/>
      <c r="V116" s="1254"/>
      <c r="W116" s="1254"/>
      <c r="X116" s="1254"/>
      <c r="Y116" s="1254"/>
    </row>
    <row r="117">
      <c r="A117" s="1254"/>
      <c r="B117" s="1263"/>
      <c r="C117" s="1263"/>
      <c r="D117" s="1317"/>
      <c r="E117" s="1318"/>
      <c r="F117" s="1254"/>
      <c r="G117" s="1254"/>
      <c r="H117" s="1254"/>
      <c r="I117" s="1254"/>
      <c r="J117" s="1254"/>
      <c r="K117" s="1254"/>
      <c r="L117" s="1254"/>
      <c r="M117" s="1254"/>
      <c r="N117" s="1254"/>
      <c r="O117" s="1254"/>
      <c r="P117" s="1254"/>
      <c r="Q117" s="1254"/>
      <c r="R117" s="1254"/>
      <c r="S117" s="1254"/>
      <c r="T117" s="1254"/>
      <c r="U117" s="1254"/>
      <c r="V117" s="1254"/>
      <c r="W117" s="1254"/>
      <c r="X117" s="1254"/>
      <c r="Y117" s="1254"/>
    </row>
    <row r="118">
      <c r="A118" s="1254"/>
      <c r="B118" s="1263"/>
      <c r="C118" s="1263"/>
      <c r="D118" s="1317"/>
      <c r="E118" s="1318"/>
      <c r="F118" s="1254"/>
      <c r="G118" s="1254"/>
      <c r="H118" s="1254"/>
      <c r="I118" s="1254"/>
      <c r="J118" s="1254"/>
      <c r="K118" s="1254"/>
      <c r="L118" s="1254"/>
      <c r="M118" s="1254"/>
      <c r="N118" s="1254"/>
      <c r="O118" s="1254"/>
      <c r="P118" s="1254"/>
      <c r="Q118" s="1254"/>
      <c r="R118" s="1254"/>
      <c r="S118" s="1254"/>
      <c r="T118" s="1254"/>
      <c r="U118" s="1254"/>
      <c r="V118" s="1254"/>
      <c r="W118" s="1254"/>
      <c r="X118" s="1254"/>
      <c r="Y118" s="1254"/>
    </row>
    <row r="119">
      <c r="A119" s="1254"/>
      <c r="B119" s="1263"/>
      <c r="C119" s="1263"/>
      <c r="D119" s="1317"/>
      <c r="E119" s="1318"/>
      <c r="F119" s="1254"/>
      <c r="G119" s="1254"/>
      <c r="H119" s="1254"/>
      <c r="I119" s="1254"/>
      <c r="J119" s="1254"/>
      <c r="K119" s="1254"/>
      <c r="L119" s="1254"/>
      <c r="M119" s="1254"/>
      <c r="N119" s="1254"/>
      <c r="O119" s="1254"/>
      <c r="P119" s="1254"/>
      <c r="Q119" s="1254"/>
      <c r="R119" s="1254"/>
      <c r="S119" s="1254"/>
      <c r="T119" s="1254"/>
      <c r="U119" s="1254"/>
      <c r="V119" s="1254"/>
      <c r="W119" s="1254"/>
      <c r="X119" s="1254"/>
      <c r="Y119" s="1254"/>
    </row>
    <row r="120">
      <c r="A120" s="1254"/>
      <c r="B120" s="1263"/>
      <c r="C120" s="1263"/>
      <c r="D120" s="1317"/>
      <c r="E120" s="1318"/>
      <c r="F120" s="1254"/>
      <c r="G120" s="1254"/>
      <c r="H120" s="1254"/>
      <c r="I120" s="1254"/>
      <c r="J120" s="1254"/>
      <c r="K120" s="1254"/>
      <c r="L120" s="1254"/>
      <c r="M120" s="1254"/>
      <c r="N120" s="1254"/>
      <c r="O120" s="1254"/>
      <c r="P120" s="1254"/>
      <c r="Q120" s="1254"/>
      <c r="R120" s="1254"/>
      <c r="S120" s="1254"/>
      <c r="T120" s="1254"/>
      <c r="U120" s="1254"/>
      <c r="V120" s="1254"/>
      <c r="W120" s="1254"/>
      <c r="X120" s="1254"/>
      <c r="Y120" s="1254"/>
    </row>
    <row r="121">
      <c r="A121" s="1254"/>
      <c r="B121" s="1263"/>
      <c r="C121" s="1263"/>
      <c r="D121" s="1317"/>
      <c r="E121" s="1318"/>
      <c r="F121" s="1254"/>
      <c r="G121" s="1254"/>
      <c r="H121" s="1254"/>
      <c r="I121" s="1254"/>
      <c r="J121" s="1254"/>
      <c r="K121" s="1254"/>
      <c r="L121" s="1254"/>
      <c r="M121" s="1254"/>
      <c r="N121" s="1254"/>
      <c r="O121" s="1254"/>
      <c r="P121" s="1254"/>
      <c r="Q121" s="1254"/>
      <c r="R121" s="1254"/>
      <c r="S121" s="1254"/>
      <c r="T121" s="1254"/>
      <c r="U121" s="1254"/>
      <c r="V121" s="1254"/>
      <c r="W121" s="1254"/>
      <c r="X121" s="1254"/>
      <c r="Y121" s="1254"/>
    </row>
    <row r="122">
      <c r="A122" s="1254"/>
      <c r="B122" s="1263"/>
      <c r="C122" s="1263"/>
      <c r="D122" s="1317"/>
      <c r="E122" s="1318"/>
      <c r="F122" s="1254"/>
      <c r="G122" s="1254"/>
      <c r="H122" s="1254"/>
      <c r="I122" s="1254"/>
      <c r="J122" s="1254"/>
      <c r="K122" s="1254"/>
      <c r="L122" s="1254"/>
      <c r="M122" s="1254"/>
      <c r="N122" s="1254"/>
      <c r="O122" s="1254"/>
      <c r="P122" s="1254"/>
      <c r="Q122" s="1254"/>
      <c r="R122" s="1254"/>
      <c r="S122" s="1254"/>
      <c r="T122" s="1254"/>
      <c r="U122" s="1254"/>
      <c r="V122" s="1254"/>
      <c r="W122" s="1254"/>
      <c r="X122" s="1254"/>
      <c r="Y122" s="1254"/>
    </row>
    <row r="123">
      <c r="A123" s="1254"/>
      <c r="B123" s="1263"/>
      <c r="C123" s="1263"/>
      <c r="D123" s="1317"/>
      <c r="E123" s="1318"/>
      <c r="F123" s="1254"/>
      <c r="G123" s="1254"/>
      <c r="H123" s="1254"/>
      <c r="I123" s="1254"/>
      <c r="J123" s="1254"/>
      <c r="K123" s="1254"/>
      <c r="L123" s="1254"/>
      <c r="M123" s="1254"/>
      <c r="N123" s="1254"/>
      <c r="O123" s="1254"/>
      <c r="P123" s="1254"/>
      <c r="Q123" s="1254"/>
      <c r="R123" s="1254"/>
      <c r="S123" s="1254"/>
      <c r="T123" s="1254"/>
      <c r="U123" s="1254"/>
      <c r="V123" s="1254"/>
      <c r="W123" s="1254"/>
      <c r="X123" s="1254"/>
      <c r="Y123" s="1254"/>
    </row>
    <row r="124">
      <c r="A124" s="1254"/>
      <c r="B124" s="1263"/>
      <c r="C124" s="1263"/>
      <c r="D124" s="1317"/>
      <c r="E124" s="1318"/>
      <c r="F124" s="1254"/>
      <c r="G124" s="1254"/>
      <c r="H124" s="1254"/>
      <c r="I124" s="1254"/>
      <c r="J124" s="1254"/>
      <c r="K124" s="1254"/>
      <c r="L124" s="1254"/>
      <c r="M124" s="1254"/>
      <c r="N124" s="1254"/>
      <c r="O124" s="1254"/>
      <c r="P124" s="1254"/>
      <c r="Q124" s="1254"/>
      <c r="R124" s="1254"/>
      <c r="S124" s="1254"/>
      <c r="T124" s="1254"/>
      <c r="U124" s="1254"/>
      <c r="V124" s="1254"/>
      <c r="W124" s="1254"/>
      <c r="X124" s="1254"/>
      <c r="Y124" s="1254"/>
    </row>
    <row r="125">
      <c r="A125" s="1254"/>
      <c r="B125" s="1263"/>
      <c r="C125" s="1263"/>
      <c r="D125" s="1317"/>
      <c r="E125" s="1318"/>
      <c r="F125" s="1254"/>
      <c r="G125" s="1254"/>
      <c r="H125" s="1254"/>
      <c r="I125" s="1254"/>
      <c r="J125" s="1254"/>
      <c r="K125" s="1254"/>
      <c r="L125" s="1254"/>
      <c r="M125" s="1254"/>
      <c r="N125" s="1254"/>
      <c r="O125" s="1254"/>
      <c r="P125" s="1254"/>
      <c r="Q125" s="1254"/>
      <c r="R125" s="1254"/>
      <c r="S125" s="1254"/>
      <c r="T125" s="1254"/>
      <c r="U125" s="1254"/>
      <c r="V125" s="1254"/>
      <c r="W125" s="1254"/>
      <c r="X125" s="1254"/>
      <c r="Y125" s="1254"/>
    </row>
    <row r="126">
      <c r="A126" s="1254"/>
      <c r="B126" s="1263"/>
      <c r="C126" s="1263"/>
      <c r="D126" s="1317"/>
      <c r="E126" s="1318"/>
      <c r="F126" s="1254"/>
      <c r="G126" s="1254"/>
      <c r="H126" s="1254"/>
      <c r="I126" s="1254"/>
      <c r="J126" s="1254"/>
      <c r="K126" s="1254"/>
      <c r="L126" s="1254"/>
      <c r="M126" s="1254"/>
      <c r="N126" s="1254"/>
      <c r="O126" s="1254"/>
      <c r="P126" s="1254"/>
      <c r="Q126" s="1254"/>
      <c r="R126" s="1254"/>
      <c r="S126" s="1254"/>
      <c r="T126" s="1254"/>
      <c r="U126" s="1254"/>
      <c r="V126" s="1254"/>
      <c r="W126" s="1254"/>
      <c r="X126" s="1254"/>
      <c r="Y126" s="1254"/>
    </row>
    <row r="127">
      <c r="A127" s="1254"/>
      <c r="B127" s="1263"/>
      <c r="C127" s="1263"/>
      <c r="D127" s="1317"/>
      <c r="E127" s="1318"/>
      <c r="F127" s="1254"/>
      <c r="G127" s="1254"/>
      <c r="H127" s="1254"/>
      <c r="I127" s="1254"/>
      <c r="J127" s="1254"/>
      <c r="K127" s="1254"/>
      <c r="L127" s="1254"/>
      <c r="M127" s="1254"/>
      <c r="N127" s="1254"/>
      <c r="O127" s="1254"/>
      <c r="P127" s="1254"/>
      <c r="Q127" s="1254"/>
      <c r="R127" s="1254"/>
      <c r="S127" s="1254"/>
      <c r="T127" s="1254"/>
      <c r="U127" s="1254"/>
      <c r="V127" s="1254"/>
      <c r="W127" s="1254"/>
      <c r="X127" s="1254"/>
      <c r="Y127" s="1254"/>
    </row>
    <row r="128">
      <c r="A128" s="1254"/>
      <c r="B128" s="1263"/>
      <c r="C128" s="1263"/>
      <c r="D128" s="1317"/>
      <c r="E128" s="1318"/>
      <c r="F128" s="1254"/>
      <c r="G128" s="1254"/>
      <c r="H128" s="1254"/>
      <c r="I128" s="1254"/>
      <c r="J128" s="1254"/>
      <c r="K128" s="1254"/>
      <c r="L128" s="1254"/>
      <c r="M128" s="1254"/>
      <c r="N128" s="1254"/>
      <c r="O128" s="1254"/>
      <c r="P128" s="1254"/>
      <c r="Q128" s="1254"/>
      <c r="R128" s="1254"/>
      <c r="S128" s="1254"/>
      <c r="T128" s="1254"/>
      <c r="U128" s="1254"/>
      <c r="V128" s="1254"/>
      <c r="W128" s="1254"/>
      <c r="X128" s="1254"/>
      <c r="Y128" s="1254"/>
    </row>
    <row r="129">
      <c r="A129" s="1254"/>
      <c r="B129" s="1263"/>
      <c r="C129" s="1263"/>
      <c r="D129" s="1317"/>
      <c r="E129" s="1318"/>
      <c r="F129" s="1254"/>
      <c r="G129" s="1254"/>
      <c r="H129" s="1254"/>
      <c r="I129" s="1254"/>
      <c r="J129" s="1254"/>
      <c r="K129" s="1254"/>
      <c r="L129" s="1254"/>
      <c r="M129" s="1254"/>
      <c r="N129" s="1254"/>
      <c r="O129" s="1254"/>
      <c r="P129" s="1254"/>
      <c r="Q129" s="1254"/>
      <c r="R129" s="1254"/>
      <c r="S129" s="1254"/>
      <c r="T129" s="1254"/>
      <c r="U129" s="1254"/>
      <c r="V129" s="1254"/>
      <c r="W129" s="1254"/>
      <c r="X129" s="1254"/>
      <c r="Y129" s="1254"/>
    </row>
    <row r="130">
      <c r="A130" s="1254"/>
      <c r="B130" s="1263"/>
      <c r="C130" s="1263"/>
      <c r="D130" s="1317"/>
      <c r="E130" s="1318"/>
      <c r="F130" s="1254"/>
      <c r="G130" s="1254"/>
      <c r="H130" s="1254"/>
      <c r="I130" s="1254"/>
      <c r="J130" s="1254"/>
      <c r="K130" s="1254"/>
      <c r="L130" s="1254"/>
      <c r="M130" s="1254"/>
      <c r="N130" s="1254"/>
      <c r="O130" s="1254"/>
      <c r="P130" s="1254"/>
      <c r="Q130" s="1254"/>
      <c r="R130" s="1254"/>
      <c r="S130" s="1254"/>
      <c r="T130" s="1254"/>
      <c r="U130" s="1254"/>
      <c r="V130" s="1254"/>
      <c r="W130" s="1254"/>
      <c r="X130" s="1254"/>
      <c r="Y130" s="1254"/>
    </row>
    <row r="131">
      <c r="A131" s="1254"/>
      <c r="B131" s="1263"/>
      <c r="C131" s="1263"/>
      <c r="D131" s="1317"/>
      <c r="E131" s="1318"/>
      <c r="F131" s="1254"/>
      <c r="G131" s="1254"/>
      <c r="H131" s="1254"/>
      <c r="I131" s="1254"/>
      <c r="J131" s="1254"/>
      <c r="K131" s="1254"/>
      <c r="L131" s="1254"/>
      <c r="M131" s="1254"/>
      <c r="N131" s="1254"/>
      <c r="O131" s="1254"/>
      <c r="P131" s="1254"/>
      <c r="Q131" s="1254"/>
      <c r="R131" s="1254"/>
      <c r="S131" s="1254"/>
      <c r="T131" s="1254"/>
      <c r="U131" s="1254"/>
      <c r="V131" s="1254"/>
      <c r="W131" s="1254"/>
      <c r="X131" s="1254"/>
      <c r="Y131" s="1254"/>
    </row>
    <row r="132">
      <c r="A132" s="1254"/>
      <c r="B132" s="1263"/>
      <c r="C132" s="1263"/>
      <c r="D132" s="1317"/>
      <c r="E132" s="1318"/>
      <c r="F132" s="1254"/>
      <c r="G132" s="1254"/>
      <c r="H132" s="1254"/>
      <c r="I132" s="1254"/>
      <c r="J132" s="1254"/>
      <c r="K132" s="1254"/>
      <c r="L132" s="1254"/>
      <c r="M132" s="1254"/>
      <c r="N132" s="1254"/>
      <c r="O132" s="1254"/>
      <c r="P132" s="1254"/>
      <c r="Q132" s="1254"/>
      <c r="R132" s="1254"/>
      <c r="S132" s="1254"/>
      <c r="T132" s="1254"/>
      <c r="U132" s="1254"/>
      <c r="V132" s="1254"/>
      <c r="W132" s="1254"/>
      <c r="X132" s="1254"/>
      <c r="Y132" s="1254"/>
    </row>
    <row r="133">
      <c r="A133" s="1254"/>
      <c r="B133" s="1263"/>
      <c r="C133" s="1263"/>
      <c r="D133" s="1317"/>
      <c r="E133" s="1318"/>
      <c r="F133" s="1254"/>
      <c r="G133" s="1254"/>
      <c r="H133" s="1254"/>
      <c r="I133" s="1254"/>
      <c r="J133" s="1254"/>
      <c r="K133" s="1254"/>
      <c r="L133" s="1254"/>
      <c r="M133" s="1254"/>
      <c r="N133" s="1254"/>
      <c r="O133" s="1254"/>
      <c r="P133" s="1254"/>
      <c r="Q133" s="1254"/>
      <c r="R133" s="1254"/>
      <c r="S133" s="1254"/>
      <c r="T133" s="1254"/>
      <c r="U133" s="1254"/>
      <c r="V133" s="1254"/>
      <c r="W133" s="1254"/>
      <c r="X133" s="1254"/>
      <c r="Y133" s="1254"/>
    </row>
    <row r="134">
      <c r="A134" s="1254"/>
      <c r="B134" s="1263"/>
      <c r="C134" s="1263"/>
      <c r="D134" s="1317"/>
      <c r="E134" s="1318"/>
      <c r="F134" s="1254"/>
      <c r="G134" s="1254"/>
      <c r="H134" s="1254"/>
      <c r="I134" s="1254"/>
      <c r="J134" s="1254"/>
      <c r="K134" s="1254"/>
      <c r="L134" s="1254"/>
      <c r="M134" s="1254"/>
      <c r="N134" s="1254"/>
      <c r="O134" s="1254"/>
      <c r="P134" s="1254"/>
      <c r="Q134" s="1254"/>
      <c r="R134" s="1254"/>
      <c r="S134" s="1254"/>
      <c r="T134" s="1254"/>
      <c r="U134" s="1254"/>
      <c r="V134" s="1254"/>
      <c r="W134" s="1254"/>
      <c r="X134" s="1254"/>
      <c r="Y134" s="1254"/>
    </row>
    <row r="135">
      <c r="A135" s="1254"/>
      <c r="B135" s="1263"/>
      <c r="C135" s="1263"/>
      <c r="D135" s="1317"/>
      <c r="E135" s="1318"/>
      <c r="F135" s="1254"/>
      <c r="G135" s="1254"/>
      <c r="H135" s="1254"/>
      <c r="I135" s="1254"/>
      <c r="J135" s="1254"/>
      <c r="K135" s="1254"/>
      <c r="L135" s="1254"/>
      <c r="M135" s="1254"/>
      <c r="N135" s="1254"/>
      <c r="O135" s="1254"/>
      <c r="P135" s="1254"/>
      <c r="Q135" s="1254"/>
      <c r="R135" s="1254"/>
      <c r="S135" s="1254"/>
      <c r="T135" s="1254"/>
      <c r="U135" s="1254"/>
      <c r="V135" s="1254"/>
      <c r="W135" s="1254"/>
      <c r="X135" s="1254"/>
      <c r="Y135" s="1254"/>
    </row>
    <row r="136">
      <c r="A136" s="1254"/>
      <c r="B136" s="1263"/>
      <c r="C136" s="1263"/>
      <c r="D136" s="1317"/>
      <c r="E136" s="1318"/>
      <c r="F136" s="1254"/>
      <c r="G136" s="1254"/>
      <c r="H136" s="1254"/>
      <c r="I136" s="1254"/>
      <c r="J136" s="1254"/>
      <c r="K136" s="1254"/>
      <c r="L136" s="1254"/>
      <c r="M136" s="1254"/>
      <c r="N136" s="1254"/>
      <c r="O136" s="1254"/>
      <c r="P136" s="1254"/>
      <c r="Q136" s="1254"/>
      <c r="R136" s="1254"/>
      <c r="S136" s="1254"/>
      <c r="T136" s="1254"/>
      <c r="U136" s="1254"/>
      <c r="V136" s="1254"/>
      <c r="W136" s="1254"/>
      <c r="X136" s="1254"/>
      <c r="Y136" s="1254"/>
    </row>
    <row r="137">
      <c r="A137" s="1254"/>
      <c r="B137" s="1263"/>
      <c r="C137" s="1263"/>
      <c r="D137" s="1317"/>
      <c r="E137" s="1318"/>
      <c r="F137" s="1254"/>
      <c r="G137" s="1254"/>
      <c r="H137" s="1254"/>
      <c r="I137" s="1254"/>
      <c r="J137" s="1254"/>
      <c r="K137" s="1254"/>
      <c r="L137" s="1254"/>
      <c r="M137" s="1254"/>
      <c r="N137" s="1254"/>
      <c r="O137" s="1254"/>
      <c r="P137" s="1254"/>
      <c r="Q137" s="1254"/>
      <c r="R137" s="1254"/>
      <c r="S137" s="1254"/>
      <c r="T137" s="1254"/>
      <c r="U137" s="1254"/>
      <c r="V137" s="1254"/>
      <c r="W137" s="1254"/>
      <c r="X137" s="1254"/>
      <c r="Y137" s="1254"/>
    </row>
    <row r="138">
      <c r="A138" s="1254"/>
      <c r="B138" s="1263"/>
      <c r="C138" s="1263"/>
      <c r="D138" s="1317"/>
      <c r="E138" s="1318"/>
      <c r="F138" s="1254"/>
      <c r="G138" s="1254"/>
      <c r="H138" s="1254"/>
      <c r="I138" s="1254"/>
      <c r="J138" s="1254"/>
      <c r="K138" s="1254"/>
      <c r="L138" s="1254"/>
      <c r="M138" s="1254"/>
      <c r="N138" s="1254"/>
      <c r="O138" s="1254"/>
      <c r="P138" s="1254"/>
      <c r="Q138" s="1254"/>
      <c r="R138" s="1254"/>
      <c r="S138" s="1254"/>
      <c r="T138" s="1254"/>
      <c r="U138" s="1254"/>
      <c r="V138" s="1254"/>
      <c r="W138" s="1254"/>
      <c r="X138" s="1254"/>
      <c r="Y138" s="1254"/>
    </row>
    <row r="139">
      <c r="A139" s="1254"/>
      <c r="B139" s="1263"/>
      <c r="C139" s="1263"/>
      <c r="D139" s="1317"/>
      <c r="E139" s="1318"/>
      <c r="F139" s="1254"/>
      <c r="G139" s="1254"/>
      <c r="H139" s="1254"/>
      <c r="I139" s="1254"/>
      <c r="J139" s="1254"/>
      <c r="K139" s="1254"/>
      <c r="L139" s="1254"/>
      <c r="M139" s="1254"/>
      <c r="N139" s="1254"/>
      <c r="O139" s="1254"/>
      <c r="P139" s="1254"/>
      <c r="Q139" s="1254"/>
      <c r="R139" s="1254"/>
      <c r="S139" s="1254"/>
      <c r="T139" s="1254"/>
      <c r="U139" s="1254"/>
      <c r="V139" s="1254"/>
      <c r="W139" s="1254"/>
      <c r="X139" s="1254"/>
      <c r="Y139" s="1254"/>
    </row>
    <row r="140">
      <c r="A140" s="1254"/>
      <c r="B140" s="1263"/>
      <c r="C140" s="1263"/>
      <c r="D140" s="1317"/>
      <c r="E140" s="1318"/>
      <c r="F140" s="1254"/>
      <c r="G140" s="1254"/>
      <c r="H140" s="1254"/>
      <c r="I140" s="1254"/>
      <c r="J140" s="1254"/>
      <c r="K140" s="1254"/>
      <c r="L140" s="1254"/>
      <c r="M140" s="1254"/>
      <c r="N140" s="1254"/>
      <c r="O140" s="1254"/>
      <c r="P140" s="1254"/>
      <c r="Q140" s="1254"/>
      <c r="R140" s="1254"/>
      <c r="S140" s="1254"/>
      <c r="T140" s="1254"/>
      <c r="U140" s="1254"/>
      <c r="V140" s="1254"/>
      <c r="W140" s="1254"/>
      <c r="X140" s="1254"/>
      <c r="Y140" s="1254"/>
    </row>
    <row r="141">
      <c r="A141" s="1254"/>
      <c r="B141" s="1263"/>
      <c r="C141" s="1263"/>
      <c r="D141" s="1317"/>
      <c r="E141" s="1318"/>
      <c r="F141" s="1254"/>
      <c r="G141" s="1254"/>
      <c r="H141" s="1254"/>
      <c r="I141" s="1254"/>
      <c r="J141" s="1254"/>
      <c r="K141" s="1254"/>
      <c r="L141" s="1254"/>
      <c r="M141" s="1254"/>
      <c r="N141" s="1254"/>
      <c r="O141" s="1254"/>
      <c r="P141" s="1254"/>
      <c r="Q141" s="1254"/>
      <c r="R141" s="1254"/>
      <c r="S141" s="1254"/>
      <c r="T141" s="1254"/>
      <c r="U141" s="1254"/>
      <c r="V141" s="1254"/>
      <c r="W141" s="1254"/>
      <c r="X141" s="1254"/>
      <c r="Y141" s="1254"/>
    </row>
    <row r="142">
      <c r="A142" s="1254"/>
      <c r="B142" s="1263"/>
      <c r="C142" s="1263"/>
      <c r="D142" s="1317"/>
      <c r="E142" s="1318"/>
      <c r="F142" s="1254"/>
      <c r="G142" s="1254"/>
      <c r="H142" s="1254"/>
      <c r="I142" s="1254"/>
      <c r="J142" s="1254"/>
      <c r="K142" s="1254"/>
      <c r="L142" s="1254"/>
      <c r="M142" s="1254"/>
      <c r="N142" s="1254"/>
      <c r="O142" s="1254"/>
      <c r="P142" s="1254"/>
      <c r="Q142" s="1254"/>
      <c r="R142" s="1254"/>
      <c r="S142" s="1254"/>
      <c r="T142" s="1254"/>
      <c r="U142" s="1254"/>
      <c r="V142" s="1254"/>
      <c r="W142" s="1254"/>
      <c r="X142" s="1254"/>
      <c r="Y142" s="1254"/>
    </row>
    <row r="143">
      <c r="A143" s="1254"/>
      <c r="B143" s="1263"/>
      <c r="C143" s="1263"/>
      <c r="D143" s="1317"/>
      <c r="E143" s="1318"/>
      <c r="F143" s="1254"/>
      <c r="G143" s="1254"/>
      <c r="H143" s="1254"/>
      <c r="I143" s="1254"/>
      <c r="J143" s="1254"/>
      <c r="K143" s="1254"/>
      <c r="L143" s="1254"/>
      <c r="M143" s="1254"/>
      <c r="N143" s="1254"/>
      <c r="O143" s="1254"/>
      <c r="P143" s="1254"/>
      <c r="Q143" s="1254"/>
      <c r="R143" s="1254"/>
      <c r="S143" s="1254"/>
      <c r="T143" s="1254"/>
      <c r="U143" s="1254"/>
      <c r="V143" s="1254"/>
      <c r="W143" s="1254"/>
      <c r="X143" s="1254"/>
      <c r="Y143" s="1254"/>
    </row>
    <row r="144">
      <c r="A144" s="1254"/>
      <c r="B144" s="1263"/>
      <c r="C144" s="1263"/>
      <c r="D144" s="1317"/>
      <c r="E144" s="1318"/>
      <c r="F144" s="1254"/>
      <c r="G144" s="1254"/>
      <c r="H144" s="1254"/>
      <c r="I144" s="1254"/>
      <c r="J144" s="1254"/>
      <c r="K144" s="1254"/>
      <c r="L144" s="1254"/>
      <c r="M144" s="1254"/>
      <c r="N144" s="1254"/>
      <c r="O144" s="1254"/>
      <c r="P144" s="1254"/>
      <c r="Q144" s="1254"/>
      <c r="R144" s="1254"/>
      <c r="S144" s="1254"/>
      <c r="T144" s="1254"/>
      <c r="U144" s="1254"/>
      <c r="V144" s="1254"/>
      <c r="W144" s="1254"/>
      <c r="X144" s="1254"/>
      <c r="Y144" s="1254"/>
    </row>
    <row r="145">
      <c r="A145" s="1254"/>
      <c r="B145" s="1263"/>
      <c r="C145" s="1263"/>
      <c r="D145" s="1317"/>
      <c r="E145" s="1318"/>
      <c r="F145" s="1254"/>
      <c r="G145" s="1254"/>
      <c r="H145" s="1254"/>
      <c r="I145" s="1254"/>
      <c r="J145" s="1254"/>
      <c r="K145" s="1254"/>
      <c r="L145" s="1254"/>
      <c r="M145" s="1254"/>
      <c r="N145" s="1254"/>
      <c r="O145" s="1254"/>
      <c r="P145" s="1254"/>
      <c r="Q145" s="1254"/>
      <c r="R145" s="1254"/>
      <c r="S145" s="1254"/>
      <c r="T145" s="1254"/>
      <c r="U145" s="1254"/>
      <c r="V145" s="1254"/>
      <c r="W145" s="1254"/>
      <c r="X145" s="1254"/>
      <c r="Y145" s="1254"/>
    </row>
    <row r="146">
      <c r="A146" s="1254"/>
      <c r="B146" s="1263"/>
      <c r="C146" s="1263"/>
      <c r="D146" s="1317"/>
      <c r="E146" s="1318"/>
      <c r="F146" s="1254"/>
      <c r="G146" s="1254"/>
      <c r="H146" s="1254"/>
      <c r="I146" s="1254"/>
      <c r="J146" s="1254"/>
      <c r="K146" s="1254"/>
      <c r="L146" s="1254"/>
      <c r="M146" s="1254"/>
      <c r="N146" s="1254"/>
      <c r="O146" s="1254"/>
      <c r="P146" s="1254"/>
      <c r="Q146" s="1254"/>
      <c r="R146" s="1254"/>
      <c r="S146" s="1254"/>
      <c r="T146" s="1254"/>
      <c r="U146" s="1254"/>
      <c r="V146" s="1254"/>
      <c r="W146" s="1254"/>
      <c r="X146" s="1254"/>
      <c r="Y146" s="1254"/>
    </row>
    <row r="147">
      <c r="A147" s="1254"/>
      <c r="B147" s="1263"/>
      <c r="C147" s="1263"/>
      <c r="D147" s="1317"/>
      <c r="E147" s="1318"/>
      <c r="F147" s="1254"/>
      <c r="G147" s="1254"/>
      <c r="H147" s="1254"/>
      <c r="I147" s="1254"/>
      <c r="J147" s="1254"/>
      <c r="K147" s="1254"/>
      <c r="L147" s="1254"/>
      <c r="M147" s="1254"/>
      <c r="N147" s="1254"/>
      <c r="O147" s="1254"/>
      <c r="P147" s="1254"/>
      <c r="Q147" s="1254"/>
      <c r="R147" s="1254"/>
      <c r="S147" s="1254"/>
      <c r="T147" s="1254"/>
      <c r="U147" s="1254"/>
      <c r="V147" s="1254"/>
      <c r="W147" s="1254"/>
      <c r="X147" s="1254"/>
      <c r="Y147" s="1254"/>
    </row>
    <row r="148">
      <c r="A148" s="1254"/>
      <c r="B148" s="1263"/>
      <c r="C148" s="1263"/>
      <c r="D148" s="1317"/>
      <c r="E148" s="1318"/>
      <c r="F148" s="1254"/>
      <c r="G148" s="1254"/>
      <c r="H148" s="1254"/>
      <c r="I148" s="1254"/>
      <c r="J148" s="1254"/>
      <c r="K148" s="1254"/>
      <c r="L148" s="1254"/>
      <c r="M148" s="1254"/>
      <c r="N148" s="1254"/>
      <c r="O148" s="1254"/>
      <c r="P148" s="1254"/>
      <c r="Q148" s="1254"/>
      <c r="R148" s="1254"/>
      <c r="S148" s="1254"/>
      <c r="T148" s="1254"/>
      <c r="U148" s="1254"/>
      <c r="V148" s="1254"/>
      <c r="W148" s="1254"/>
      <c r="X148" s="1254"/>
      <c r="Y148" s="1254"/>
    </row>
    <row r="149">
      <c r="A149" s="1254"/>
      <c r="B149" s="1263"/>
      <c r="C149" s="1263"/>
      <c r="D149" s="1317"/>
      <c r="E149" s="1318"/>
      <c r="F149" s="1254"/>
      <c r="G149" s="1254"/>
      <c r="H149" s="1254"/>
      <c r="I149" s="1254"/>
      <c r="J149" s="1254"/>
      <c r="K149" s="1254"/>
      <c r="L149" s="1254"/>
      <c r="M149" s="1254"/>
      <c r="N149" s="1254"/>
      <c r="O149" s="1254"/>
      <c r="P149" s="1254"/>
      <c r="Q149" s="1254"/>
      <c r="R149" s="1254"/>
      <c r="S149" s="1254"/>
      <c r="T149" s="1254"/>
      <c r="U149" s="1254"/>
      <c r="V149" s="1254"/>
      <c r="W149" s="1254"/>
      <c r="X149" s="1254"/>
      <c r="Y149" s="1254"/>
    </row>
    <row r="150">
      <c r="A150" s="1254"/>
      <c r="B150" s="1263"/>
      <c r="C150" s="1263"/>
      <c r="D150" s="1317"/>
      <c r="E150" s="1318"/>
      <c r="F150" s="1254"/>
      <c r="G150" s="1254"/>
      <c r="H150" s="1254"/>
      <c r="I150" s="1254"/>
      <c r="J150" s="1254"/>
      <c r="K150" s="1254"/>
      <c r="L150" s="1254"/>
      <c r="M150" s="1254"/>
      <c r="N150" s="1254"/>
      <c r="O150" s="1254"/>
      <c r="P150" s="1254"/>
      <c r="Q150" s="1254"/>
      <c r="R150" s="1254"/>
      <c r="S150" s="1254"/>
      <c r="T150" s="1254"/>
      <c r="U150" s="1254"/>
      <c r="V150" s="1254"/>
      <c r="W150" s="1254"/>
      <c r="X150" s="1254"/>
      <c r="Y150" s="1254"/>
    </row>
    <row r="151">
      <c r="A151" s="1254"/>
      <c r="B151" s="1263"/>
      <c r="C151" s="1263"/>
      <c r="D151" s="1317"/>
      <c r="E151" s="1318"/>
      <c r="F151" s="1254"/>
      <c r="G151" s="1254"/>
      <c r="H151" s="1254"/>
      <c r="I151" s="1254"/>
      <c r="J151" s="1254"/>
      <c r="K151" s="1254"/>
      <c r="L151" s="1254"/>
      <c r="M151" s="1254"/>
      <c r="N151" s="1254"/>
      <c r="O151" s="1254"/>
      <c r="P151" s="1254"/>
      <c r="Q151" s="1254"/>
      <c r="R151" s="1254"/>
      <c r="S151" s="1254"/>
      <c r="T151" s="1254"/>
      <c r="U151" s="1254"/>
      <c r="V151" s="1254"/>
      <c r="W151" s="1254"/>
      <c r="X151" s="1254"/>
      <c r="Y151" s="1254"/>
    </row>
    <row r="152">
      <c r="A152" s="1254"/>
      <c r="B152" s="1263"/>
      <c r="C152" s="1263"/>
      <c r="D152" s="1317"/>
      <c r="E152" s="1318"/>
      <c r="F152" s="1254"/>
      <c r="G152" s="1254"/>
      <c r="H152" s="1254"/>
      <c r="I152" s="1254"/>
      <c r="J152" s="1254"/>
      <c r="K152" s="1254"/>
      <c r="L152" s="1254"/>
      <c r="M152" s="1254"/>
      <c r="N152" s="1254"/>
      <c r="O152" s="1254"/>
      <c r="P152" s="1254"/>
      <c r="Q152" s="1254"/>
      <c r="R152" s="1254"/>
      <c r="S152" s="1254"/>
      <c r="T152" s="1254"/>
      <c r="U152" s="1254"/>
      <c r="V152" s="1254"/>
      <c r="W152" s="1254"/>
      <c r="X152" s="1254"/>
      <c r="Y152" s="1254"/>
    </row>
    <row r="153">
      <c r="A153" s="1254"/>
      <c r="B153" s="1263"/>
      <c r="C153" s="1263"/>
      <c r="D153" s="1317"/>
      <c r="E153" s="1318"/>
      <c r="F153" s="1254"/>
      <c r="G153" s="1254"/>
      <c r="H153" s="1254"/>
      <c r="I153" s="1254"/>
      <c r="J153" s="1254"/>
      <c r="K153" s="1254"/>
      <c r="L153" s="1254"/>
      <c r="M153" s="1254"/>
      <c r="N153" s="1254"/>
      <c r="O153" s="1254"/>
      <c r="P153" s="1254"/>
      <c r="Q153" s="1254"/>
      <c r="R153" s="1254"/>
      <c r="S153" s="1254"/>
      <c r="T153" s="1254"/>
      <c r="U153" s="1254"/>
      <c r="V153" s="1254"/>
      <c r="W153" s="1254"/>
      <c r="X153" s="1254"/>
      <c r="Y153" s="1254"/>
    </row>
    <row r="154">
      <c r="A154" s="1254"/>
      <c r="B154" s="1263"/>
      <c r="C154" s="1263"/>
      <c r="D154" s="1317"/>
      <c r="E154" s="1318"/>
      <c r="F154" s="1254"/>
      <c r="G154" s="1254"/>
      <c r="H154" s="1254"/>
      <c r="I154" s="1254"/>
      <c r="J154" s="1254"/>
      <c r="K154" s="1254"/>
      <c r="L154" s="1254"/>
      <c r="M154" s="1254"/>
      <c r="N154" s="1254"/>
      <c r="O154" s="1254"/>
      <c r="P154" s="1254"/>
      <c r="Q154" s="1254"/>
      <c r="R154" s="1254"/>
      <c r="S154" s="1254"/>
      <c r="T154" s="1254"/>
      <c r="U154" s="1254"/>
      <c r="V154" s="1254"/>
      <c r="W154" s="1254"/>
      <c r="X154" s="1254"/>
      <c r="Y154" s="1254"/>
    </row>
    <row r="155">
      <c r="A155" s="1254"/>
      <c r="B155" s="1263"/>
      <c r="C155" s="1263"/>
      <c r="D155" s="1317"/>
      <c r="E155" s="1318"/>
      <c r="F155" s="1254"/>
      <c r="G155" s="1254"/>
      <c r="H155" s="1254"/>
      <c r="I155" s="1254"/>
      <c r="J155" s="1254"/>
      <c r="K155" s="1254"/>
      <c r="L155" s="1254"/>
      <c r="M155" s="1254"/>
      <c r="N155" s="1254"/>
      <c r="O155" s="1254"/>
      <c r="P155" s="1254"/>
      <c r="Q155" s="1254"/>
      <c r="R155" s="1254"/>
      <c r="S155" s="1254"/>
      <c r="T155" s="1254"/>
      <c r="U155" s="1254"/>
      <c r="V155" s="1254"/>
      <c r="W155" s="1254"/>
      <c r="X155" s="1254"/>
      <c r="Y155" s="1254"/>
    </row>
    <row r="156">
      <c r="A156" s="1254"/>
      <c r="B156" s="1263"/>
      <c r="C156" s="1263"/>
      <c r="D156" s="1317"/>
      <c r="E156" s="1318"/>
      <c r="F156" s="1254"/>
      <c r="G156" s="1254"/>
      <c r="H156" s="1254"/>
      <c r="I156" s="1254"/>
      <c r="J156" s="1254"/>
      <c r="K156" s="1254"/>
      <c r="L156" s="1254"/>
      <c r="M156" s="1254"/>
      <c r="N156" s="1254"/>
      <c r="O156" s="1254"/>
      <c r="P156" s="1254"/>
      <c r="Q156" s="1254"/>
      <c r="R156" s="1254"/>
      <c r="S156" s="1254"/>
      <c r="T156" s="1254"/>
      <c r="U156" s="1254"/>
      <c r="V156" s="1254"/>
      <c r="W156" s="1254"/>
      <c r="X156" s="1254"/>
      <c r="Y156" s="1254"/>
    </row>
    <row r="157">
      <c r="A157" s="1254"/>
      <c r="B157" s="1263"/>
      <c r="C157" s="1263"/>
      <c r="D157" s="1317"/>
      <c r="E157" s="1318"/>
      <c r="F157" s="1254"/>
      <c r="G157" s="1254"/>
      <c r="H157" s="1254"/>
      <c r="I157" s="1254"/>
      <c r="J157" s="1254"/>
      <c r="K157" s="1254"/>
      <c r="L157" s="1254"/>
      <c r="M157" s="1254"/>
      <c r="N157" s="1254"/>
      <c r="O157" s="1254"/>
      <c r="P157" s="1254"/>
      <c r="Q157" s="1254"/>
      <c r="R157" s="1254"/>
      <c r="S157" s="1254"/>
      <c r="T157" s="1254"/>
      <c r="U157" s="1254"/>
      <c r="V157" s="1254"/>
      <c r="W157" s="1254"/>
      <c r="X157" s="1254"/>
      <c r="Y157" s="1254"/>
    </row>
    <row r="158">
      <c r="A158" s="1254"/>
      <c r="B158" s="1263"/>
      <c r="C158" s="1263"/>
      <c r="D158" s="1317"/>
      <c r="E158" s="1318"/>
      <c r="F158" s="1254"/>
      <c r="G158" s="1254"/>
      <c r="H158" s="1254"/>
      <c r="I158" s="1254"/>
      <c r="J158" s="1254"/>
      <c r="K158" s="1254"/>
      <c r="L158" s="1254"/>
      <c r="M158" s="1254"/>
      <c r="N158" s="1254"/>
      <c r="O158" s="1254"/>
      <c r="P158" s="1254"/>
      <c r="Q158" s="1254"/>
      <c r="R158" s="1254"/>
      <c r="S158" s="1254"/>
      <c r="T158" s="1254"/>
      <c r="U158" s="1254"/>
      <c r="V158" s="1254"/>
      <c r="W158" s="1254"/>
      <c r="X158" s="1254"/>
      <c r="Y158" s="1254"/>
    </row>
    <row r="159">
      <c r="A159" s="1254"/>
      <c r="B159" s="1263"/>
      <c r="C159" s="1263"/>
      <c r="D159" s="1317"/>
      <c r="E159" s="1318"/>
      <c r="F159" s="1254"/>
      <c r="G159" s="1254"/>
      <c r="H159" s="1254"/>
      <c r="I159" s="1254"/>
      <c r="J159" s="1254"/>
      <c r="K159" s="1254"/>
      <c r="L159" s="1254"/>
      <c r="M159" s="1254"/>
      <c r="N159" s="1254"/>
      <c r="O159" s="1254"/>
      <c r="P159" s="1254"/>
      <c r="Q159" s="1254"/>
      <c r="R159" s="1254"/>
      <c r="S159" s="1254"/>
      <c r="T159" s="1254"/>
      <c r="U159" s="1254"/>
      <c r="V159" s="1254"/>
      <c r="W159" s="1254"/>
      <c r="X159" s="1254"/>
      <c r="Y159" s="1254"/>
    </row>
    <row r="160">
      <c r="A160" s="1254"/>
      <c r="B160" s="1263"/>
      <c r="C160" s="1263"/>
      <c r="D160" s="1317"/>
      <c r="E160" s="1318"/>
      <c r="F160" s="1254"/>
      <c r="G160" s="1254"/>
      <c r="H160" s="1254"/>
      <c r="I160" s="1254"/>
      <c r="J160" s="1254"/>
      <c r="K160" s="1254"/>
      <c r="L160" s="1254"/>
      <c r="M160" s="1254"/>
      <c r="N160" s="1254"/>
      <c r="O160" s="1254"/>
      <c r="P160" s="1254"/>
      <c r="Q160" s="1254"/>
      <c r="R160" s="1254"/>
      <c r="S160" s="1254"/>
      <c r="T160" s="1254"/>
      <c r="U160" s="1254"/>
      <c r="V160" s="1254"/>
      <c r="W160" s="1254"/>
      <c r="X160" s="1254"/>
      <c r="Y160" s="1254"/>
    </row>
    <row r="161">
      <c r="A161" s="1254"/>
      <c r="B161" s="1263"/>
      <c r="C161" s="1263"/>
      <c r="D161" s="1317"/>
      <c r="E161" s="1318"/>
      <c r="F161" s="1254"/>
      <c r="G161" s="1254"/>
      <c r="H161" s="1254"/>
      <c r="I161" s="1254"/>
      <c r="J161" s="1254"/>
      <c r="K161" s="1254"/>
      <c r="L161" s="1254"/>
      <c r="M161" s="1254"/>
      <c r="N161" s="1254"/>
      <c r="O161" s="1254"/>
      <c r="P161" s="1254"/>
      <c r="Q161" s="1254"/>
      <c r="R161" s="1254"/>
      <c r="S161" s="1254"/>
      <c r="T161" s="1254"/>
      <c r="U161" s="1254"/>
      <c r="V161" s="1254"/>
      <c r="W161" s="1254"/>
      <c r="X161" s="1254"/>
      <c r="Y161" s="1254"/>
    </row>
    <row r="162">
      <c r="A162" s="1254"/>
      <c r="B162" s="1263"/>
      <c r="C162" s="1263"/>
      <c r="D162" s="1317"/>
      <c r="E162" s="1318"/>
      <c r="F162" s="1254"/>
      <c r="G162" s="1254"/>
      <c r="H162" s="1254"/>
      <c r="I162" s="1254"/>
      <c r="J162" s="1254"/>
      <c r="K162" s="1254"/>
      <c r="L162" s="1254"/>
      <c r="M162" s="1254"/>
      <c r="N162" s="1254"/>
      <c r="O162" s="1254"/>
      <c r="P162" s="1254"/>
      <c r="Q162" s="1254"/>
      <c r="R162" s="1254"/>
      <c r="S162" s="1254"/>
      <c r="T162" s="1254"/>
      <c r="U162" s="1254"/>
      <c r="V162" s="1254"/>
      <c r="W162" s="1254"/>
      <c r="X162" s="1254"/>
      <c r="Y162" s="1254"/>
    </row>
    <row r="163">
      <c r="A163" s="1254"/>
      <c r="B163" s="1263"/>
      <c r="C163" s="1263"/>
      <c r="D163" s="1317"/>
      <c r="E163" s="1318"/>
      <c r="F163" s="1254"/>
      <c r="G163" s="1254"/>
      <c r="H163" s="1254"/>
      <c r="I163" s="1254"/>
      <c r="J163" s="1254"/>
      <c r="K163" s="1254"/>
      <c r="L163" s="1254"/>
      <c r="M163" s="1254"/>
      <c r="N163" s="1254"/>
      <c r="O163" s="1254"/>
      <c r="P163" s="1254"/>
      <c r="Q163" s="1254"/>
      <c r="R163" s="1254"/>
      <c r="S163" s="1254"/>
      <c r="T163" s="1254"/>
      <c r="U163" s="1254"/>
      <c r="V163" s="1254"/>
      <c r="W163" s="1254"/>
      <c r="X163" s="1254"/>
      <c r="Y163" s="1254"/>
    </row>
    <row r="164">
      <c r="A164" s="1254"/>
      <c r="B164" s="1263"/>
      <c r="C164" s="1263"/>
      <c r="D164" s="1317"/>
      <c r="E164" s="1318"/>
      <c r="F164" s="1254"/>
      <c r="G164" s="1254"/>
      <c r="H164" s="1254"/>
      <c r="I164" s="1254"/>
      <c r="J164" s="1254"/>
      <c r="K164" s="1254"/>
      <c r="L164" s="1254"/>
      <c r="M164" s="1254"/>
      <c r="N164" s="1254"/>
      <c r="O164" s="1254"/>
      <c r="P164" s="1254"/>
      <c r="Q164" s="1254"/>
      <c r="R164" s="1254"/>
      <c r="S164" s="1254"/>
      <c r="T164" s="1254"/>
      <c r="U164" s="1254"/>
      <c r="V164" s="1254"/>
      <c r="W164" s="1254"/>
      <c r="X164" s="1254"/>
      <c r="Y164" s="1254"/>
    </row>
    <row r="165">
      <c r="A165" s="1254"/>
      <c r="B165" s="1263"/>
      <c r="C165" s="1263"/>
      <c r="D165" s="1317"/>
      <c r="E165" s="1318"/>
      <c r="F165" s="1254"/>
      <c r="G165" s="1254"/>
      <c r="H165" s="1254"/>
      <c r="I165" s="1254"/>
      <c r="J165" s="1254"/>
      <c r="K165" s="1254"/>
      <c r="L165" s="1254"/>
      <c r="M165" s="1254"/>
      <c r="N165" s="1254"/>
      <c r="O165" s="1254"/>
      <c r="P165" s="1254"/>
      <c r="Q165" s="1254"/>
      <c r="R165" s="1254"/>
      <c r="S165" s="1254"/>
      <c r="T165" s="1254"/>
      <c r="U165" s="1254"/>
      <c r="V165" s="1254"/>
      <c r="W165" s="1254"/>
      <c r="X165" s="1254"/>
      <c r="Y165" s="1254"/>
    </row>
    <row r="166">
      <c r="A166" s="1254"/>
      <c r="B166" s="1263"/>
      <c r="C166" s="1263"/>
      <c r="D166" s="1317"/>
      <c r="E166" s="1318"/>
      <c r="F166" s="1254"/>
      <c r="G166" s="1254"/>
      <c r="H166" s="1254"/>
      <c r="I166" s="1254"/>
      <c r="J166" s="1254"/>
      <c r="K166" s="1254"/>
      <c r="L166" s="1254"/>
      <c r="M166" s="1254"/>
      <c r="N166" s="1254"/>
      <c r="O166" s="1254"/>
      <c r="P166" s="1254"/>
      <c r="Q166" s="1254"/>
      <c r="R166" s="1254"/>
      <c r="S166" s="1254"/>
      <c r="T166" s="1254"/>
      <c r="U166" s="1254"/>
      <c r="V166" s="1254"/>
      <c r="W166" s="1254"/>
      <c r="X166" s="1254"/>
      <c r="Y166" s="1254"/>
    </row>
    <row r="167">
      <c r="A167" s="1254"/>
      <c r="B167" s="1263"/>
      <c r="C167" s="1263"/>
      <c r="D167" s="1317"/>
      <c r="E167" s="1318"/>
      <c r="F167" s="1254"/>
      <c r="G167" s="1254"/>
      <c r="H167" s="1254"/>
      <c r="I167" s="1254"/>
      <c r="J167" s="1254"/>
      <c r="K167" s="1254"/>
      <c r="L167" s="1254"/>
      <c r="M167" s="1254"/>
      <c r="N167" s="1254"/>
      <c r="O167" s="1254"/>
      <c r="P167" s="1254"/>
      <c r="Q167" s="1254"/>
      <c r="R167" s="1254"/>
      <c r="S167" s="1254"/>
      <c r="T167" s="1254"/>
      <c r="U167" s="1254"/>
      <c r="V167" s="1254"/>
      <c r="W167" s="1254"/>
      <c r="X167" s="1254"/>
      <c r="Y167" s="1254"/>
    </row>
    <row r="168">
      <c r="A168" s="1254"/>
      <c r="B168" s="1263"/>
      <c r="C168" s="1263"/>
      <c r="D168" s="1317"/>
      <c r="E168" s="1318"/>
      <c r="F168" s="1254"/>
      <c r="G168" s="1254"/>
      <c r="H168" s="1254"/>
      <c r="I168" s="1254"/>
      <c r="J168" s="1254"/>
      <c r="K168" s="1254"/>
      <c r="L168" s="1254"/>
      <c r="M168" s="1254"/>
      <c r="N168" s="1254"/>
      <c r="O168" s="1254"/>
      <c r="P168" s="1254"/>
      <c r="Q168" s="1254"/>
      <c r="R168" s="1254"/>
      <c r="S168" s="1254"/>
      <c r="T168" s="1254"/>
      <c r="U168" s="1254"/>
      <c r="V168" s="1254"/>
      <c r="W168" s="1254"/>
      <c r="X168" s="1254"/>
      <c r="Y168" s="1254"/>
    </row>
    <row r="169">
      <c r="A169" s="1254"/>
      <c r="B169" s="1263"/>
      <c r="C169" s="1263"/>
      <c r="D169" s="1317"/>
      <c r="E169" s="1318"/>
      <c r="F169" s="1254"/>
      <c r="G169" s="1254"/>
      <c r="H169" s="1254"/>
      <c r="I169" s="1254"/>
      <c r="J169" s="1254"/>
      <c r="K169" s="1254"/>
      <c r="L169" s="1254"/>
      <c r="M169" s="1254"/>
      <c r="N169" s="1254"/>
      <c r="O169" s="1254"/>
      <c r="P169" s="1254"/>
      <c r="Q169" s="1254"/>
      <c r="R169" s="1254"/>
      <c r="S169" s="1254"/>
      <c r="T169" s="1254"/>
      <c r="U169" s="1254"/>
      <c r="V169" s="1254"/>
      <c r="W169" s="1254"/>
      <c r="X169" s="1254"/>
      <c r="Y169" s="1254"/>
    </row>
    <row r="170">
      <c r="A170" s="1254"/>
      <c r="B170" s="1263"/>
      <c r="C170" s="1263"/>
      <c r="D170" s="1317"/>
      <c r="E170" s="1318"/>
      <c r="F170" s="1254"/>
      <c r="G170" s="1254"/>
      <c r="H170" s="1254"/>
      <c r="I170" s="1254"/>
      <c r="J170" s="1254"/>
      <c r="K170" s="1254"/>
      <c r="L170" s="1254"/>
      <c r="M170" s="1254"/>
      <c r="N170" s="1254"/>
      <c r="O170" s="1254"/>
      <c r="P170" s="1254"/>
      <c r="Q170" s="1254"/>
      <c r="R170" s="1254"/>
      <c r="S170" s="1254"/>
      <c r="T170" s="1254"/>
      <c r="U170" s="1254"/>
      <c r="V170" s="1254"/>
      <c r="W170" s="1254"/>
      <c r="X170" s="1254"/>
      <c r="Y170" s="1254"/>
    </row>
    <row r="171">
      <c r="A171" s="1254"/>
      <c r="B171" s="1263"/>
      <c r="C171" s="1263"/>
      <c r="D171" s="1317"/>
      <c r="E171" s="1318"/>
      <c r="F171" s="1254"/>
      <c r="G171" s="1254"/>
      <c r="H171" s="1254"/>
      <c r="I171" s="1254"/>
      <c r="J171" s="1254"/>
      <c r="K171" s="1254"/>
      <c r="L171" s="1254"/>
      <c r="M171" s="1254"/>
      <c r="N171" s="1254"/>
      <c r="O171" s="1254"/>
      <c r="P171" s="1254"/>
      <c r="Q171" s="1254"/>
      <c r="R171" s="1254"/>
      <c r="S171" s="1254"/>
      <c r="T171" s="1254"/>
      <c r="U171" s="1254"/>
      <c r="V171" s="1254"/>
      <c r="W171" s="1254"/>
      <c r="X171" s="1254"/>
      <c r="Y171" s="1254"/>
    </row>
    <row r="172">
      <c r="A172" s="1254"/>
      <c r="B172" s="1263"/>
      <c r="C172" s="1263"/>
      <c r="D172" s="1317"/>
      <c r="E172" s="1318"/>
      <c r="F172" s="1254"/>
      <c r="G172" s="1254"/>
      <c r="H172" s="1254"/>
      <c r="I172" s="1254"/>
      <c r="J172" s="1254"/>
      <c r="K172" s="1254"/>
      <c r="L172" s="1254"/>
      <c r="M172" s="1254"/>
      <c r="N172" s="1254"/>
      <c r="O172" s="1254"/>
      <c r="P172" s="1254"/>
      <c r="Q172" s="1254"/>
      <c r="R172" s="1254"/>
      <c r="S172" s="1254"/>
      <c r="T172" s="1254"/>
      <c r="U172" s="1254"/>
      <c r="V172" s="1254"/>
      <c r="W172" s="1254"/>
      <c r="X172" s="1254"/>
      <c r="Y172" s="1254"/>
    </row>
    <row r="173">
      <c r="A173" s="1254"/>
      <c r="B173" s="1263"/>
      <c r="C173" s="1263"/>
      <c r="D173" s="1317"/>
      <c r="E173" s="1318"/>
      <c r="F173" s="1254"/>
      <c r="G173" s="1254"/>
      <c r="H173" s="1254"/>
      <c r="I173" s="1254"/>
      <c r="J173" s="1254"/>
      <c r="K173" s="1254"/>
      <c r="L173" s="1254"/>
      <c r="M173" s="1254"/>
      <c r="N173" s="1254"/>
      <c r="O173" s="1254"/>
      <c r="P173" s="1254"/>
      <c r="Q173" s="1254"/>
      <c r="R173" s="1254"/>
      <c r="S173" s="1254"/>
      <c r="T173" s="1254"/>
      <c r="U173" s="1254"/>
      <c r="V173" s="1254"/>
      <c r="W173" s="1254"/>
      <c r="X173" s="1254"/>
      <c r="Y173" s="1254"/>
    </row>
    <row r="174">
      <c r="A174" s="1254"/>
      <c r="B174" s="1263"/>
      <c r="C174" s="1263"/>
      <c r="D174" s="1317"/>
      <c r="E174" s="1318"/>
      <c r="F174" s="1254"/>
      <c r="G174" s="1254"/>
      <c r="H174" s="1254"/>
      <c r="I174" s="1254"/>
      <c r="J174" s="1254"/>
      <c r="K174" s="1254"/>
      <c r="L174" s="1254"/>
      <c r="M174" s="1254"/>
      <c r="N174" s="1254"/>
      <c r="O174" s="1254"/>
      <c r="P174" s="1254"/>
      <c r="Q174" s="1254"/>
      <c r="R174" s="1254"/>
      <c r="S174" s="1254"/>
      <c r="T174" s="1254"/>
      <c r="U174" s="1254"/>
      <c r="V174" s="1254"/>
      <c r="W174" s="1254"/>
      <c r="X174" s="1254"/>
      <c r="Y174" s="1254"/>
    </row>
    <row r="175">
      <c r="A175" s="1254"/>
      <c r="B175" s="1263"/>
      <c r="C175" s="1263"/>
      <c r="D175" s="1317"/>
      <c r="E175" s="1318"/>
      <c r="F175" s="1254"/>
      <c r="G175" s="1254"/>
      <c r="H175" s="1254"/>
      <c r="I175" s="1254"/>
      <c r="J175" s="1254"/>
      <c r="K175" s="1254"/>
      <c r="L175" s="1254"/>
      <c r="M175" s="1254"/>
      <c r="N175" s="1254"/>
      <c r="O175" s="1254"/>
      <c r="P175" s="1254"/>
      <c r="Q175" s="1254"/>
      <c r="R175" s="1254"/>
      <c r="S175" s="1254"/>
      <c r="T175" s="1254"/>
      <c r="U175" s="1254"/>
      <c r="V175" s="1254"/>
      <c r="W175" s="1254"/>
      <c r="X175" s="1254"/>
      <c r="Y175" s="1254"/>
    </row>
    <row r="176">
      <c r="A176" s="1254"/>
      <c r="B176" s="1263"/>
      <c r="C176" s="1263"/>
      <c r="D176" s="1317"/>
      <c r="E176" s="1318"/>
      <c r="F176" s="1254"/>
      <c r="G176" s="1254"/>
      <c r="H176" s="1254"/>
      <c r="I176" s="1254"/>
      <c r="J176" s="1254"/>
      <c r="K176" s="1254"/>
      <c r="L176" s="1254"/>
      <c r="M176" s="1254"/>
      <c r="N176" s="1254"/>
      <c r="O176" s="1254"/>
      <c r="P176" s="1254"/>
      <c r="Q176" s="1254"/>
      <c r="R176" s="1254"/>
      <c r="S176" s="1254"/>
      <c r="T176" s="1254"/>
      <c r="U176" s="1254"/>
      <c r="V176" s="1254"/>
      <c r="W176" s="1254"/>
      <c r="X176" s="1254"/>
      <c r="Y176" s="1254"/>
    </row>
    <row r="177">
      <c r="A177" s="1254"/>
      <c r="B177" s="1263"/>
      <c r="C177" s="1263"/>
      <c r="D177" s="1317"/>
      <c r="E177" s="1318"/>
      <c r="F177" s="1254"/>
      <c r="G177" s="1254"/>
      <c r="H177" s="1254"/>
      <c r="I177" s="1254"/>
      <c r="J177" s="1254"/>
      <c r="K177" s="1254"/>
      <c r="L177" s="1254"/>
      <c r="M177" s="1254"/>
      <c r="N177" s="1254"/>
      <c r="O177" s="1254"/>
      <c r="P177" s="1254"/>
      <c r="Q177" s="1254"/>
      <c r="R177" s="1254"/>
      <c r="S177" s="1254"/>
      <c r="T177" s="1254"/>
      <c r="U177" s="1254"/>
      <c r="V177" s="1254"/>
      <c r="W177" s="1254"/>
      <c r="X177" s="1254"/>
      <c r="Y177" s="1254"/>
    </row>
    <row r="178">
      <c r="A178" s="1254"/>
      <c r="B178" s="1263"/>
      <c r="C178" s="1263"/>
      <c r="D178" s="1317"/>
      <c r="E178" s="1318"/>
      <c r="F178" s="1254"/>
      <c r="G178" s="1254"/>
      <c r="H178" s="1254"/>
      <c r="I178" s="1254"/>
      <c r="J178" s="1254"/>
      <c r="K178" s="1254"/>
      <c r="L178" s="1254"/>
      <c r="M178" s="1254"/>
      <c r="N178" s="1254"/>
      <c r="O178" s="1254"/>
      <c r="P178" s="1254"/>
      <c r="Q178" s="1254"/>
      <c r="R178" s="1254"/>
      <c r="S178" s="1254"/>
      <c r="T178" s="1254"/>
      <c r="U178" s="1254"/>
      <c r="V178" s="1254"/>
      <c r="W178" s="1254"/>
      <c r="X178" s="1254"/>
      <c r="Y178" s="1254"/>
    </row>
    <row r="179">
      <c r="A179" s="1254"/>
      <c r="B179" s="1263"/>
      <c r="C179" s="1263"/>
      <c r="D179" s="1317"/>
      <c r="E179" s="1318"/>
      <c r="F179" s="1254"/>
      <c r="G179" s="1254"/>
      <c r="H179" s="1254"/>
      <c r="I179" s="1254"/>
      <c r="J179" s="1254"/>
      <c r="K179" s="1254"/>
      <c r="L179" s="1254"/>
      <c r="M179" s="1254"/>
      <c r="N179" s="1254"/>
      <c r="O179" s="1254"/>
      <c r="P179" s="1254"/>
      <c r="Q179" s="1254"/>
      <c r="R179" s="1254"/>
      <c r="S179" s="1254"/>
      <c r="T179" s="1254"/>
      <c r="U179" s="1254"/>
      <c r="V179" s="1254"/>
      <c r="W179" s="1254"/>
      <c r="X179" s="1254"/>
      <c r="Y179" s="1254"/>
    </row>
    <row r="180">
      <c r="A180" s="1254"/>
      <c r="B180" s="1263"/>
      <c r="C180" s="1263"/>
      <c r="D180" s="1317"/>
      <c r="E180" s="1318"/>
      <c r="F180" s="1254"/>
      <c r="G180" s="1254"/>
      <c r="H180" s="1254"/>
      <c r="I180" s="1254"/>
      <c r="J180" s="1254"/>
      <c r="K180" s="1254"/>
      <c r="L180" s="1254"/>
      <c r="M180" s="1254"/>
      <c r="N180" s="1254"/>
      <c r="O180" s="1254"/>
      <c r="P180" s="1254"/>
      <c r="Q180" s="1254"/>
      <c r="R180" s="1254"/>
      <c r="S180" s="1254"/>
      <c r="T180" s="1254"/>
      <c r="U180" s="1254"/>
      <c r="V180" s="1254"/>
      <c r="W180" s="1254"/>
      <c r="X180" s="1254"/>
      <c r="Y180" s="1254"/>
    </row>
    <row r="181">
      <c r="A181" s="1254"/>
      <c r="B181" s="1263"/>
      <c r="C181" s="1263"/>
      <c r="D181" s="1317"/>
      <c r="E181" s="1318"/>
      <c r="F181" s="1254"/>
      <c r="G181" s="1254"/>
      <c r="H181" s="1254"/>
      <c r="I181" s="1254"/>
      <c r="J181" s="1254"/>
      <c r="K181" s="1254"/>
      <c r="L181" s="1254"/>
      <c r="M181" s="1254"/>
      <c r="N181" s="1254"/>
      <c r="O181" s="1254"/>
      <c r="P181" s="1254"/>
      <c r="Q181" s="1254"/>
      <c r="R181" s="1254"/>
      <c r="S181" s="1254"/>
      <c r="T181" s="1254"/>
      <c r="U181" s="1254"/>
      <c r="V181" s="1254"/>
      <c r="W181" s="1254"/>
      <c r="X181" s="1254"/>
      <c r="Y181" s="1254"/>
    </row>
    <row r="182">
      <c r="A182" s="1254"/>
      <c r="B182" s="1263"/>
      <c r="C182" s="1263"/>
      <c r="D182" s="1317"/>
      <c r="E182" s="1318"/>
      <c r="F182" s="1254"/>
      <c r="G182" s="1254"/>
      <c r="H182" s="1254"/>
      <c r="I182" s="1254"/>
      <c r="J182" s="1254"/>
      <c r="K182" s="1254"/>
      <c r="L182" s="1254"/>
      <c r="M182" s="1254"/>
      <c r="N182" s="1254"/>
      <c r="O182" s="1254"/>
      <c r="P182" s="1254"/>
      <c r="Q182" s="1254"/>
      <c r="R182" s="1254"/>
      <c r="S182" s="1254"/>
      <c r="T182" s="1254"/>
      <c r="U182" s="1254"/>
      <c r="V182" s="1254"/>
      <c r="W182" s="1254"/>
      <c r="X182" s="1254"/>
      <c r="Y182" s="1254"/>
    </row>
    <row r="183">
      <c r="A183" s="1254"/>
      <c r="B183" s="1263"/>
      <c r="C183" s="1263"/>
      <c r="D183" s="1317"/>
      <c r="E183" s="1318"/>
      <c r="F183" s="1254"/>
      <c r="G183" s="1254"/>
      <c r="H183" s="1254"/>
      <c r="I183" s="1254"/>
      <c r="J183" s="1254"/>
      <c r="K183" s="1254"/>
      <c r="L183" s="1254"/>
      <c r="M183" s="1254"/>
      <c r="N183" s="1254"/>
      <c r="O183" s="1254"/>
      <c r="P183" s="1254"/>
      <c r="Q183" s="1254"/>
      <c r="R183" s="1254"/>
      <c r="S183" s="1254"/>
      <c r="T183" s="1254"/>
      <c r="U183" s="1254"/>
      <c r="V183" s="1254"/>
      <c r="W183" s="1254"/>
      <c r="X183" s="1254"/>
      <c r="Y183" s="1254"/>
    </row>
    <row r="184">
      <c r="A184" s="1254"/>
      <c r="B184" s="1263"/>
      <c r="C184" s="1263"/>
      <c r="D184" s="1317"/>
      <c r="E184" s="1318"/>
      <c r="F184" s="1254"/>
      <c r="G184" s="1254"/>
      <c r="H184" s="1254"/>
      <c r="I184" s="1254"/>
      <c r="J184" s="1254"/>
      <c r="K184" s="1254"/>
      <c r="L184" s="1254"/>
      <c r="M184" s="1254"/>
      <c r="N184" s="1254"/>
      <c r="O184" s="1254"/>
      <c r="P184" s="1254"/>
      <c r="Q184" s="1254"/>
      <c r="R184" s="1254"/>
      <c r="S184" s="1254"/>
      <c r="T184" s="1254"/>
      <c r="U184" s="1254"/>
      <c r="V184" s="1254"/>
      <c r="W184" s="1254"/>
      <c r="X184" s="1254"/>
      <c r="Y184" s="1254"/>
    </row>
    <row r="185">
      <c r="A185" s="1254"/>
      <c r="B185" s="1263"/>
      <c r="C185" s="1263"/>
      <c r="D185" s="1317"/>
      <c r="E185" s="1318"/>
      <c r="F185" s="1254"/>
      <c r="G185" s="1254"/>
      <c r="H185" s="1254"/>
      <c r="I185" s="1254"/>
      <c r="J185" s="1254"/>
      <c r="K185" s="1254"/>
      <c r="L185" s="1254"/>
      <c r="M185" s="1254"/>
      <c r="N185" s="1254"/>
      <c r="O185" s="1254"/>
      <c r="P185" s="1254"/>
      <c r="Q185" s="1254"/>
      <c r="R185" s="1254"/>
      <c r="S185" s="1254"/>
      <c r="T185" s="1254"/>
      <c r="U185" s="1254"/>
      <c r="V185" s="1254"/>
      <c r="W185" s="1254"/>
      <c r="X185" s="1254"/>
      <c r="Y185" s="1254"/>
    </row>
    <row r="186">
      <c r="A186" s="1254"/>
      <c r="B186" s="1263"/>
      <c r="C186" s="1263"/>
      <c r="D186" s="1317"/>
      <c r="E186" s="1318"/>
      <c r="F186" s="1254"/>
      <c r="G186" s="1254"/>
      <c r="H186" s="1254"/>
      <c r="I186" s="1254"/>
      <c r="J186" s="1254"/>
      <c r="K186" s="1254"/>
      <c r="L186" s="1254"/>
      <c r="M186" s="1254"/>
      <c r="N186" s="1254"/>
      <c r="O186" s="1254"/>
      <c r="P186" s="1254"/>
      <c r="Q186" s="1254"/>
      <c r="R186" s="1254"/>
      <c r="S186" s="1254"/>
      <c r="T186" s="1254"/>
      <c r="U186" s="1254"/>
      <c r="V186" s="1254"/>
      <c r="W186" s="1254"/>
      <c r="X186" s="1254"/>
      <c r="Y186" s="1254"/>
    </row>
    <row r="187">
      <c r="A187" s="1254"/>
      <c r="B187" s="1263"/>
      <c r="C187" s="1263"/>
      <c r="D187" s="1317"/>
      <c r="E187" s="1318"/>
      <c r="F187" s="1254"/>
      <c r="G187" s="1254"/>
      <c r="H187" s="1254"/>
      <c r="I187" s="1254"/>
      <c r="J187" s="1254"/>
      <c r="K187" s="1254"/>
      <c r="L187" s="1254"/>
      <c r="M187" s="1254"/>
      <c r="N187" s="1254"/>
      <c r="O187" s="1254"/>
      <c r="P187" s="1254"/>
      <c r="Q187" s="1254"/>
      <c r="R187" s="1254"/>
      <c r="S187" s="1254"/>
      <c r="T187" s="1254"/>
      <c r="U187" s="1254"/>
      <c r="V187" s="1254"/>
      <c r="W187" s="1254"/>
      <c r="X187" s="1254"/>
      <c r="Y187" s="1254"/>
    </row>
    <row r="188">
      <c r="A188" s="1254"/>
      <c r="B188" s="1263"/>
      <c r="C188" s="1263"/>
      <c r="D188" s="1317"/>
      <c r="E188" s="1318"/>
      <c r="F188" s="1254"/>
      <c r="G188" s="1254"/>
      <c r="H188" s="1254"/>
      <c r="I188" s="1254"/>
      <c r="J188" s="1254"/>
      <c r="K188" s="1254"/>
      <c r="L188" s="1254"/>
      <c r="M188" s="1254"/>
      <c r="N188" s="1254"/>
      <c r="O188" s="1254"/>
      <c r="P188" s="1254"/>
      <c r="Q188" s="1254"/>
      <c r="R188" s="1254"/>
      <c r="S188" s="1254"/>
      <c r="T188" s="1254"/>
      <c r="U188" s="1254"/>
      <c r="V188" s="1254"/>
      <c r="W188" s="1254"/>
      <c r="X188" s="1254"/>
      <c r="Y188" s="1254"/>
    </row>
    <row r="189">
      <c r="A189" s="1254"/>
      <c r="B189" s="1263"/>
      <c r="C189" s="1263"/>
      <c r="D189" s="1317"/>
      <c r="E189" s="1318"/>
      <c r="F189" s="1254"/>
      <c r="G189" s="1254"/>
      <c r="H189" s="1254"/>
      <c r="I189" s="1254"/>
      <c r="J189" s="1254"/>
      <c r="K189" s="1254"/>
      <c r="L189" s="1254"/>
      <c r="M189" s="1254"/>
      <c r="N189" s="1254"/>
      <c r="O189" s="1254"/>
      <c r="P189" s="1254"/>
      <c r="Q189" s="1254"/>
      <c r="R189" s="1254"/>
      <c r="S189" s="1254"/>
      <c r="T189" s="1254"/>
      <c r="U189" s="1254"/>
      <c r="V189" s="1254"/>
      <c r="W189" s="1254"/>
      <c r="X189" s="1254"/>
      <c r="Y189" s="1254"/>
    </row>
    <row r="190">
      <c r="A190" s="1254"/>
      <c r="B190" s="1263"/>
      <c r="C190" s="1263"/>
      <c r="D190" s="1317"/>
      <c r="E190" s="1318"/>
      <c r="F190" s="1254"/>
      <c r="G190" s="1254"/>
      <c r="H190" s="1254"/>
      <c r="I190" s="1254"/>
      <c r="J190" s="1254"/>
      <c r="K190" s="1254"/>
      <c r="L190" s="1254"/>
      <c r="M190" s="1254"/>
      <c r="N190" s="1254"/>
      <c r="O190" s="1254"/>
      <c r="P190" s="1254"/>
      <c r="Q190" s="1254"/>
      <c r="R190" s="1254"/>
      <c r="S190" s="1254"/>
      <c r="T190" s="1254"/>
      <c r="U190" s="1254"/>
      <c r="V190" s="1254"/>
      <c r="W190" s="1254"/>
      <c r="X190" s="1254"/>
      <c r="Y190" s="1254"/>
    </row>
    <row r="191">
      <c r="A191" s="1254"/>
      <c r="B191" s="1263"/>
      <c r="C191" s="1263"/>
      <c r="D191" s="1317"/>
      <c r="E191" s="1318"/>
      <c r="F191" s="1254"/>
      <c r="G191" s="1254"/>
      <c r="H191" s="1254"/>
      <c r="I191" s="1254"/>
      <c r="J191" s="1254"/>
      <c r="K191" s="1254"/>
      <c r="L191" s="1254"/>
      <c r="M191" s="1254"/>
      <c r="N191" s="1254"/>
      <c r="O191" s="1254"/>
      <c r="P191" s="1254"/>
      <c r="Q191" s="1254"/>
      <c r="R191" s="1254"/>
      <c r="S191" s="1254"/>
      <c r="T191" s="1254"/>
      <c r="U191" s="1254"/>
      <c r="V191" s="1254"/>
      <c r="W191" s="1254"/>
      <c r="X191" s="1254"/>
      <c r="Y191" s="1254"/>
    </row>
    <row r="192">
      <c r="A192" s="1254"/>
      <c r="B192" s="1263"/>
      <c r="C192" s="1263"/>
      <c r="D192" s="1317"/>
      <c r="E192" s="1318"/>
      <c r="F192" s="1254"/>
      <c r="G192" s="1254"/>
      <c r="H192" s="1254"/>
      <c r="I192" s="1254"/>
      <c r="J192" s="1254"/>
      <c r="K192" s="1254"/>
      <c r="L192" s="1254"/>
      <c r="M192" s="1254"/>
      <c r="N192" s="1254"/>
      <c r="O192" s="1254"/>
      <c r="P192" s="1254"/>
      <c r="Q192" s="1254"/>
      <c r="R192" s="1254"/>
      <c r="S192" s="1254"/>
      <c r="T192" s="1254"/>
      <c r="U192" s="1254"/>
      <c r="V192" s="1254"/>
      <c r="W192" s="1254"/>
      <c r="X192" s="1254"/>
      <c r="Y192" s="1254"/>
    </row>
    <row r="193">
      <c r="A193" s="1254"/>
      <c r="B193" s="1263"/>
      <c r="C193" s="1263"/>
      <c r="D193" s="1317"/>
      <c r="E193" s="1318"/>
      <c r="F193" s="1254"/>
      <c r="G193" s="1254"/>
      <c r="H193" s="1254"/>
      <c r="I193" s="1254"/>
      <c r="J193" s="1254"/>
      <c r="K193" s="1254"/>
      <c r="L193" s="1254"/>
      <c r="M193" s="1254"/>
      <c r="N193" s="1254"/>
      <c r="O193" s="1254"/>
      <c r="P193" s="1254"/>
      <c r="Q193" s="1254"/>
      <c r="R193" s="1254"/>
      <c r="S193" s="1254"/>
      <c r="T193" s="1254"/>
      <c r="U193" s="1254"/>
      <c r="V193" s="1254"/>
      <c r="W193" s="1254"/>
      <c r="X193" s="1254"/>
      <c r="Y193" s="1254"/>
    </row>
    <row r="194">
      <c r="A194" s="1254"/>
      <c r="B194" s="1263"/>
      <c r="C194" s="1263"/>
      <c r="D194" s="1317"/>
      <c r="E194" s="1318"/>
      <c r="F194" s="1254"/>
      <c r="G194" s="1254"/>
      <c r="H194" s="1254"/>
      <c r="I194" s="1254"/>
      <c r="J194" s="1254"/>
      <c r="K194" s="1254"/>
      <c r="L194" s="1254"/>
      <c r="M194" s="1254"/>
      <c r="N194" s="1254"/>
      <c r="O194" s="1254"/>
      <c r="P194" s="1254"/>
      <c r="Q194" s="1254"/>
      <c r="R194" s="1254"/>
      <c r="S194" s="1254"/>
      <c r="T194" s="1254"/>
      <c r="U194" s="1254"/>
      <c r="V194" s="1254"/>
      <c r="W194" s="1254"/>
      <c r="X194" s="1254"/>
      <c r="Y194" s="1254"/>
    </row>
    <row r="195">
      <c r="A195" s="1254"/>
      <c r="B195" s="1263"/>
      <c r="C195" s="1263"/>
      <c r="D195" s="1317"/>
      <c r="E195" s="1318"/>
      <c r="F195" s="1254"/>
      <c r="G195" s="1254"/>
      <c r="H195" s="1254"/>
      <c r="I195" s="1254"/>
      <c r="J195" s="1254"/>
      <c r="K195" s="1254"/>
      <c r="L195" s="1254"/>
      <c r="M195" s="1254"/>
      <c r="N195" s="1254"/>
      <c r="O195" s="1254"/>
      <c r="P195" s="1254"/>
      <c r="Q195" s="1254"/>
      <c r="R195" s="1254"/>
      <c r="S195" s="1254"/>
      <c r="T195" s="1254"/>
      <c r="U195" s="1254"/>
      <c r="V195" s="1254"/>
      <c r="W195" s="1254"/>
      <c r="X195" s="1254"/>
      <c r="Y195" s="1254"/>
    </row>
    <row r="196">
      <c r="A196" s="1254"/>
      <c r="B196" s="1263"/>
      <c r="C196" s="1263"/>
      <c r="D196" s="1317"/>
      <c r="E196" s="1318"/>
      <c r="F196" s="1254"/>
      <c r="G196" s="1254"/>
      <c r="H196" s="1254"/>
      <c r="I196" s="1254"/>
      <c r="J196" s="1254"/>
      <c r="K196" s="1254"/>
      <c r="L196" s="1254"/>
      <c r="M196" s="1254"/>
      <c r="N196" s="1254"/>
      <c r="O196" s="1254"/>
      <c r="P196" s="1254"/>
      <c r="Q196" s="1254"/>
      <c r="R196" s="1254"/>
      <c r="S196" s="1254"/>
      <c r="T196" s="1254"/>
      <c r="U196" s="1254"/>
      <c r="V196" s="1254"/>
      <c r="W196" s="1254"/>
      <c r="X196" s="1254"/>
      <c r="Y196" s="1254"/>
    </row>
    <row r="197">
      <c r="A197" s="1254"/>
      <c r="B197" s="1263"/>
      <c r="C197" s="1263"/>
      <c r="D197" s="1317"/>
      <c r="E197" s="1318"/>
      <c r="F197" s="1254"/>
      <c r="G197" s="1254"/>
      <c r="H197" s="1254"/>
      <c r="I197" s="1254"/>
      <c r="J197" s="1254"/>
      <c r="K197" s="1254"/>
      <c r="L197" s="1254"/>
      <c r="M197" s="1254"/>
      <c r="N197" s="1254"/>
      <c r="O197" s="1254"/>
      <c r="P197" s="1254"/>
      <c r="Q197" s="1254"/>
      <c r="R197" s="1254"/>
      <c r="S197" s="1254"/>
      <c r="T197" s="1254"/>
      <c r="U197" s="1254"/>
      <c r="V197" s="1254"/>
      <c r="W197" s="1254"/>
      <c r="X197" s="1254"/>
      <c r="Y197" s="1254"/>
    </row>
    <row r="198">
      <c r="A198" s="1254"/>
      <c r="B198" s="1263"/>
      <c r="C198" s="1263"/>
      <c r="D198" s="1317"/>
      <c r="E198" s="1318"/>
      <c r="F198" s="1254"/>
      <c r="G198" s="1254"/>
      <c r="H198" s="1254"/>
      <c r="I198" s="1254"/>
      <c r="J198" s="1254"/>
      <c r="K198" s="1254"/>
      <c r="L198" s="1254"/>
      <c r="M198" s="1254"/>
      <c r="N198" s="1254"/>
      <c r="O198" s="1254"/>
      <c r="P198" s="1254"/>
      <c r="Q198" s="1254"/>
      <c r="R198" s="1254"/>
      <c r="S198" s="1254"/>
      <c r="T198" s="1254"/>
      <c r="U198" s="1254"/>
      <c r="V198" s="1254"/>
      <c r="W198" s="1254"/>
      <c r="X198" s="1254"/>
      <c r="Y198" s="1254"/>
    </row>
    <row r="199">
      <c r="A199" s="1254"/>
      <c r="B199" s="1263"/>
      <c r="C199" s="1263"/>
      <c r="D199" s="1317"/>
      <c r="E199" s="1318"/>
      <c r="F199" s="1254"/>
      <c r="G199" s="1254"/>
      <c r="H199" s="1254"/>
      <c r="I199" s="1254"/>
      <c r="J199" s="1254"/>
      <c r="K199" s="1254"/>
      <c r="L199" s="1254"/>
      <c r="M199" s="1254"/>
      <c r="N199" s="1254"/>
      <c r="O199" s="1254"/>
      <c r="P199" s="1254"/>
      <c r="Q199" s="1254"/>
      <c r="R199" s="1254"/>
      <c r="S199" s="1254"/>
      <c r="T199" s="1254"/>
      <c r="U199" s="1254"/>
      <c r="V199" s="1254"/>
      <c r="W199" s="1254"/>
      <c r="X199" s="1254"/>
      <c r="Y199" s="1254"/>
    </row>
    <row r="200">
      <c r="A200" s="1254"/>
      <c r="B200" s="1263"/>
      <c r="C200" s="1263"/>
      <c r="D200" s="1317"/>
      <c r="E200" s="1318"/>
      <c r="F200" s="1254"/>
      <c r="G200" s="1254"/>
      <c r="H200" s="1254"/>
      <c r="I200" s="1254"/>
      <c r="J200" s="1254"/>
      <c r="K200" s="1254"/>
      <c r="L200" s="1254"/>
      <c r="M200" s="1254"/>
      <c r="N200" s="1254"/>
      <c r="O200" s="1254"/>
      <c r="P200" s="1254"/>
      <c r="Q200" s="1254"/>
      <c r="R200" s="1254"/>
      <c r="S200" s="1254"/>
      <c r="T200" s="1254"/>
      <c r="U200" s="1254"/>
      <c r="V200" s="1254"/>
      <c r="W200" s="1254"/>
      <c r="X200" s="1254"/>
      <c r="Y200" s="1254"/>
    </row>
    <row r="201">
      <c r="A201" s="1254"/>
      <c r="B201" s="1263"/>
      <c r="C201" s="1263"/>
      <c r="D201" s="1317"/>
      <c r="E201" s="1318"/>
      <c r="F201" s="1254"/>
      <c r="G201" s="1254"/>
      <c r="H201" s="1254"/>
      <c r="I201" s="1254"/>
      <c r="J201" s="1254"/>
      <c r="K201" s="1254"/>
      <c r="L201" s="1254"/>
      <c r="M201" s="1254"/>
      <c r="N201" s="1254"/>
      <c r="O201" s="1254"/>
      <c r="P201" s="1254"/>
      <c r="Q201" s="1254"/>
      <c r="R201" s="1254"/>
      <c r="S201" s="1254"/>
      <c r="T201" s="1254"/>
      <c r="U201" s="1254"/>
      <c r="V201" s="1254"/>
      <c r="W201" s="1254"/>
      <c r="X201" s="1254"/>
      <c r="Y201" s="1254"/>
    </row>
    <row r="202">
      <c r="A202" s="1254"/>
      <c r="B202" s="1263"/>
      <c r="C202" s="1263"/>
      <c r="D202" s="1317"/>
      <c r="E202" s="1318"/>
      <c r="F202" s="1254"/>
      <c r="G202" s="1254"/>
      <c r="H202" s="1254"/>
      <c r="I202" s="1254"/>
      <c r="J202" s="1254"/>
      <c r="K202" s="1254"/>
      <c r="L202" s="1254"/>
      <c r="M202" s="1254"/>
      <c r="N202" s="1254"/>
      <c r="O202" s="1254"/>
      <c r="P202" s="1254"/>
      <c r="Q202" s="1254"/>
      <c r="R202" s="1254"/>
      <c r="S202" s="1254"/>
      <c r="T202" s="1254"/>
      <c r="U202" s="1254"/>
      <c r="V202" s="1254"/>
      <c r="W202" s="1254"/>
      <c r="X202" s="1254"/>
      <c r="Y202" s="1254"/>
    </row>
    <row r="203">
      <c r="A203" s="1254"/>
      <c r="B203" s="1263"/>
      <c r="C203" s="1263"/>
      <c r="D203" s="1317"/>
      <c r="E203" s="1318"/>
      <c r="F203" s="1254"/>
      <c r="G203" s="1254"/>
      <c r="H203" s="1254"/>
      <c r="I203" s="1254"/>
      <c r="J203" s="1254"/>
      <c r="K203" s="1254"/>
      <c r="L203" s="1254"/>
      <c r="M203" s="1254"/>
      <c r="N203" s="1254"/>
      <c r="O203" s="1254"/>
      <c r="P203" s="1254"/>
      <c r="Q203" s="1254"/>
      <c r="R203" s="1254"/>
      <c r="S203" s="1254"/>
      <c r="T203" s="1254"/>
      <c r="U203" s="1254"/>
      <c r="V203" s="1254"/>
      <c r="W203" s="1254"/>
      <c r="X203" s="1254"/>
      <c r="Y203" s="1254"/>
    </row>
    <row r="204">
      <c r="A204" s="1254"/>
      <c r="B204" s="1263"/>
      <c r="C204" s="1263"/>
      <c r="D204" s="1317"/>
      <c r="E204" s="1318"/>
      <c r="F204" s="1254"/>
      <c r="G204" s="1254"/>
      <c r="H204" s="1254"/>
      <c r="I204" s="1254"/>
      <c r="J204" s="1254"/>
      <c r="K204" s="1254"/>
      <c r="L204" s="1254"/>
      <c r="M204" s="1254"/>
      <c r="N204" s="1254"/>
      <c r="O204" s="1254"/>
      <c r="P204" s="1254"/>
      <c r="Q204" s="1254"/>
      <c r="R204" s="1254"/>
      <c r="S204" s="1254"/>
      <c r="T204" s="1254"/>
      <c r="U204" s="1254"/>
      <c r="V204" s="1254"/>
      <c r="W204" s="1254"/>
      <c r="X204" s="1254"/>
      <c r="Y204" s="1254"/>
    </row>
    <row r="205">
      <c r="A205" s="1254"/>
      <c r="B205" s="1263"/>
      <c r="C205" s="1263"/>
      <c r="D205" s="1317"/>
      <c r="E205" s="1318"/>
      <c r="F205" s="1254"/>
      <c r="G205" s="1254"/>
      <c r="H205" s="1254"/>
      <c r="I205" s="1254"/>
      <c r="J205" s="1254"/>
      <c r="K205" s="1254"/>
      <c r="L205" s="1254"/>
      <c r="M205" s="1254"/>
      <c r="N205" s="1254"/>
      <c r="O205" s="1254"/>
      <c r="P205" s="1254"/>
      <c r="Q205" s="1254"/>
      <c r="R205" s="1254"/>
      <c r="S205" s="1254"/>
      <c r="T205" s="1254"/>
      <c r="U205" s="1254"/>
      <c r="V205" s="1254"/>
      <c r="W205" s="1254"/>
      <c r="X205" s="1254"/>
      <c r="Y205" s="1254"/>
    </row>
    <row r="206">
      <c r="A206" s="1254"/>
      <c r="B206" s="1263"/>
      <c r="C206" s="1263"/>
      <c r="D206" s="1317"/>
      <c r="E206" s="1318"/>
      <c r="F206" s="1254"/>
      <c r="G206" s="1254"/>
      <c r="H206" s="1254"/>
      <c r="I206" s="1254"/>
      <c r="J206" s="1254"/>
      <c r="K206" s="1254"/>
      <c r="L206" s="1254"/>
      <c r="M206" s="1254"/>
      <c r="N206" s="1254"/>
      <c r="O206" s="1254"/>
      <c r="P206" s="1254"/>
      <c r="Q206" s="1254"/>
      <c r="R206" s="1254"/>
      <c r="S206" s="1254"/>
      <c r="T206" s="1254"/>
      <c r="U206" s="1254"/>
      <c r="V206" s="1254"/>
      <c r="W206" s="1254"/>
      <c r="X206" s="1254"/>
      <c r="Y206" s="1254"/>
    </row>
    <row r="207">
      <c r="A207" s="1254"/>
      <c r="B207" s="1263"/>
      <c r="C207" s="1263"/>
      <c r="D207" s="1317"/>
      <c r="E207" s="1318"/>
      <c r="F207" s="1254"/>
      <c r="G207" s="1254"/>
      <c r="H207" s="1254"/>
      <c r="I207" s="1254"/>
      <c r="J207" s="1254"/>
      <c r="K207" s="1254"/>
      <c r="L207" s="1254"/>
      <c r="M207" s="1254"/>
      <c r="N207" s="1254"/>
      <c r="O207" s="1254"/>
      <c r="P207" s="1254"/>
      <c r="Q207" s="1254"/>
      <c r="R207" s="1254"/>
      <c r="S207" s="1254"/>
      <c r="T207" s="1254"/>
      <c r="U207" s="1254"/>
      <c r="V207" s="1254"/>
      <c r="W207" s="1254"/>
      <c r="X207" s="1254"/>
      <c r="Y207" s="1254"/>
    </row>
    <row r="208">
      <c r="A208" s="1254"/>
      <c r="B208" s="1263"/>
      <c r="C208" s="1263"/>
      <c r="D208" s="1317"/>
      <c r="E208" s="1318"/>
      <c r="F208" s="1254"/>
      <c r="G208" s="1254"/>
      <c r="H208" s="1254"/>
      <c r="I208" s="1254"/>
      <c r="J208" s="1254"/>
      <c r="K208" s="1254"/>
      <c r="L208" s="1254"/>
      <c r="M208" s="1254"/>
      <c r="N208" s="1254"/>
      <c r="O208" s="1254"/>
      <c r="P208" s="1254"/>
      <c r="Q208" s="1254"/>
      <c r="R208" s="1254"/>
      <c r="S208" s="1254"/>
      <c r="T208" s="1254"/>
      <c r="U208" s="1254"/>
      <c r="V208" s="1254"/>
      <c r="W208" s="1254"/>
      <c r="X208" s="1254"/>
      <c r="Y208" s="1254"/>
    </row>
    <row r="209">
      <c r="A209" s="1254"/>
      <c r="B209" s="1263"/>
      <c r="C209" s="1263"/>
      <c r="D209" s="1317"/>
      <c r="E209" s="1318"/>
      <c r="F209" s="1254"/>
      <c r="G209" s="1254"/>
      <c r="H209" s="1254"/>
      <c r="I209" s="1254"/>
      <c r="J209" s="1254"/>
      <c r="K209" s="1254"/>
      <c r="L209" s="1254"/>
      <c r="M209" s="1254"/>
      <c r="N209" s="1254"/>
      <c r="O209" s="1254"/>
      <c r="P209" s="1254"/>
      <c r="Q209" s="1254"/>
      <c r="R209" s="1254"/>
      <c r="S209" s="1254"/>
      <c r="T209" s="1254"/>
      <c r="U209" s="1254"/>
      <c r="V209" s="1254"/>
      <c r="W209" s="1254"/>
      <c r="X209" s="1254"/>
      <c r="Y209" s="1254"/>
    </row>
    <row r="210">
      <c r="A210" s="1254"/>
      <c r="B210" s="1263"/>
      <c r="C210" s="1263"/>
      <c r="D210" s="1317"/>
      <c r="E210" s="1318"/>
      <c r="F210" s="1254"/>
      <c r="G210" s="1254"/>
      <c r="H210" s="1254"/>
      <c r="I210" s="1254"/>
      <c r="J210" s="1254"/>
      <c r="K210" s="1254"/>
      <c r="L210" s="1254"/>
      <c r="M210" s="1254"/>
      <c r="N210" s="1254"/>
      <c r="O210" s="1254"/>
      <c r="P210" s="1254"/>
      <c r="Q210" s="1254"/>
      <c r="R210" s="1254"/>
      <c r="S210" s="1254"/>
      <c r="T210" s="1254"/>
      <c r="U210" s="1254"/>
      <c r="V210" s="1254"/>
      <c r="W210" s="1254"/>
      <c r="X210" s="1254"/>
      <c r="Y210" s="1254"/>
    </row>
    <row r="211">
      <c r="A211" s="1254"/>
      <c r="B211" s="1263"/>
      <c r="C211" s="1263"/>
      <c r="D211" s="1317"/>
      <c r="E211" s="1318"/>
      <c r="F211" s="1254"/>
      <c r="G211" s="1254"/>
      <c r="H211" s="1254"/>
      <c r="I211" s="1254"/>
      <c r="J211" s="1254"/>
      <c r="K211" s="1254"/>
      <c r="L211" s="1254"/>
      <c r="M211" s="1254"/>
      <c r="N211" s="1254"/>
      <c r="O211" s="1254"/>
      <c r="P211" s="1254"/>
      <c r="Q211" s="1254"/>
      <c r="R211" s="1254"/>
      <c r="S211" s="1254"/>
      <c r="T211" s="1254"/>
      <c r="U211" s="1254"/>
      <c r="V211" s="1254"/>
      <c r="W211" s="1254"/>
      <c r="X211" s="1254"/>
      <c r="Y211" s="1254"/>
    </row>
    <row r="212">
      <c r="A212" s="1254"/>
      <c r="B212" s="1263"/>
      <c r="C212" s="1263"/>
      <c r="D212" s="1317"/>
      <c r="E212" s="1318"/>
      <c r="F212" s="1254"/>
      <c r="G212" s="1254"/>
      <c r="H212" s="1254"/>
      <c r="I212" s="1254"/>
      <c r="J212" s="1254"/>
      <c r="K212" s="1254"/>
      <c r="L212" s="1254"/>
      <c r="M212" s="1254"/>
      <c r="N212" s="1254"/>
      <c r="O212" s="1254"/>
      <c r="P212" s="1254"/>
      <c r="Q212" s="1254"/>
      <c r="R212" s="1254"/>
      <c r="S212" s="1254"/>
      <c r="T212" s="1254"/>
      <c r="U212" s="1254"/>
      <c r="V212" s="1254"/>
      <c r="W212" s="1254"/>
      <c r="X212" s="1254"/>
      <c r="Y212" s="1254"/>
    </row>
    <row r="213">
      <c r="A213" s="1254"/>
      <c r="B213" s="1263"/>
      <c r="C213" s="1263"/>
      <c r="D213" s="1317"/>
      <c r="E213" s="1318"/>
      <c r="F213" s="1254"/>
      <c r="G213" s="1254"/>
      <c r="H213" s="1254"/>
      <c r="I213" s="1254"/>
      <c r="J213" s="1254"/>
      <c r="K213" s="1254"/>
      <c r="L213" s="1254"/>
      <c r="M213" s="1254"/>
      <c r="N213" s="1254"/>
      <c r="O213" s="1254"/>
      <c r="P213" s="1254"/>
      <c r="Q213" s="1254"/>
      <c r="R213" s="1254"/>
      <c r="S213" s="1254"/>
      <c r="T213" s="1254"/>
      <c r="U213" s="1254"/>
      <c r="V213" s="1254"/>
      <c r="W213" s="1254"/>
      <c r="X213" s="1254"/>
      <c r="Y213" s="1254"/>
    </row>
    <row r="214">
      <c r="A214" s="1254"/>
      <c r="B214" s="1263"/>
      <c r="C214" s="1263"/>
      <c r="D214" s="1317"/>
      <c r="E214" s="1318"/>
      <c r="F214" s="1254"/>
      <c r="G214" s="1254"/>
      <c r="H214" s="1254"/>
      <c r="I214" s="1254"/>
      <c r="J214" s="1254"/>
      <c r="K214" s="1254"/>
      <c r="L214" s="1254"/>
      <c r="M214" s="1254"/>
      <c r="N214" s="1254"/>
      <c r="O214" s="1254"/>
      <c r="P214" s="1254"/>
      <c r="Q214" s="1254"/>
      <c r="R214" s="1254"/>
      <c r="S214" s="1254"/>
      <c r="T214" s="1254"/>
      <c r="U214" s="1254"/>
      <c r="V214" s="1254"/>
      <c r="W214" s="1254"/>
      <c r="X214" s="1254"/>
      <c r="Y214" s="1254"/>
    </row>
    <row r="215">
      <c r="A215" s="1254"/>
      <c r="B215" s="1263"/>
      <c r="C215" s="1263"/>
      <c r="D215" s="1317"/>
      <c r="E215" s="1318"/>
      <c r="F215" s="1254"/>
      <c r="G215" s="1254"/>
      <c r="H215" s="1254"/>
      <c r="I215" s="1254"/>
      <c r="J215" s="1254"/>
      <c r="K215" s="1254"/>
      <c r="L215" s="1254"/>
      <c r="M215" s="1254"/>
      <c r="N215" s="1254"/>
      <c r="O215" s="1254"/>
      <c r="P215" s="1254"/>
      <c r="Q215" s="1254"/>
      <c r="R215" s="1254"/>
      <c r="S215" s="1254"/>
      <c r="T215" s="1254"/>
      <c r="U215" s="1254"/>
      <c r="V215" s="1254"/>
      <c r="W215" s="1254"/>
      <c r="X215" s="1254"/>
      <c r="Y215" s="1254"/>
    </row>
    <row r="216">
      <c r="A216" s="1254"/>
      <c r="B216" s="1263"/>
      <c r="C216" s="1263"/>
      <c r="D216" s="1317"/>
      <c r="E216" s="1318"/>
      <c r="F216" s="1254"/>
      <c r="G216" s="1254"/>
      <c r="H216" s="1254"/>
      <c r="I216" s="1254"/>
      <c r="J216" s="1254"/>
      <c r="K216" s="1254"/>
      <c r="L216" s="1254"/>
      <c r="M216" s="1254"/>
      <c r="N216" s="1254"/>
      <c r="O216" s="1254"/>
      <c r="P216" s="1254"/>
      <c r="Q216" s="1254"/>
      <c r="R216" s="1254"/>
      <c r="S216" s="1254"/>
      <c r="T216" s="1254"/>
      <c r="U216" s="1254"/>
      <c r="V216" s="1254"/>
      <c r="W216" s="1254"/>
      <c r="X216" s="1254"/>
      <c r="Y216" s="1254"/>
    </row>
    <row r="217">
      <c r="A217" s="1254"/>
      <c r="B217" s="1263"/>
      <c r="C217" s="1263"/>
      <c r="D217" s="1317"/>
      <c r="E217" s="1318"/>
      <c r="F217" s="1254"/>
      <c r="G217" s="1254"/>
      <c r="H217" s="1254"/>
      <c r="I217" s="1254"/>
      <c r="J217" s="1254"/>
      <c r="K217" s="1254"/>
      <c r="L217" s="1254"/>
      <c r="M217" s="1254"/>
      <c r="N217" s="1254"/>
      <c r="O217" s="1254"/>
      <c r="P217" s="1254"/>
      <c r="Q217" s="1254"/>
      <c r="R217" s="1254"/>
      <c r="S217" s="1254"/>
      <c r="T217" s="1254"/>
      <c r="U217" s="1254"/>
      <c r="V217" s="1254"/>
      <c r="W217" s="1254"/>
      <c r="X217" s="1254"/>
      <c r="Y217" s="1254"/>
    </row>
    <row r="218">
      <c r="A218" s="1254"/>
      <c r="B218" s="1263"/>
      <c r="C218" s="1263"/>
      <c r="D218" s="1317"/>
      <c r="E218" s="1318"/>
      <c r="F218" s="1254"/>
      <c r="G218" s="1254"/>
      <c r="H218" s="1254"/>
      <c r="I218" s="1254"/>
      <c r="J218" s="1254"/>
      <c r="K218" s="1254"/>
      <c r="L218" s="1254"/>
      <c r="M218" s="1254"/>
      <c r="N218" s="1254"/>
      <c r="O218" s="1254"/>
      <c r="P218" s="1254"/>
      <c r="Q218" s="1254"/>
      <c r="R218" s="1254"/>
      <c r="S218" s="1254"/>
      <c r="T218" s="1254"/>
      <c r="U218" s="1254"/>
      <c r="V218" s="1254"/>
      <c r="W218" s="1254"/>
      <c r="X218" s="1254"/>
      <c r="Y218" s="1254"/>
    </row>
    <row r="219">
      <c r="A219" s="1254"/>
      <c r="B219" s="1263"/>
      <c r="C219" s="1263"/>
      <c r="D219" s="1317"/>
      <c r="E219" s="1318"/>
      <c r="F219" s="1254"/>
      <c r="G219" s="1254"/>
      <c r="H219" s="1254"/>
      <c r="I219" s="1254"/>
      <c r="J219" s="1254"/>
      <c r="K219" s="1254"/>
      <c r="L219" s="1254"/>
      <c r="M219" s="1254"/>
      <c r="N219" s="1254"/>
      <c r="O219" s="1254"/>
      <c r="P219" s="1254"/>
      <c r="Q219" s="1254"/>
      <c r="R219" s="1254"/>
      <c r="S219" s="1254"/>
      <c r="T219" s="1254"/>
      <c r="U219" s="1254"/>
      <c r="V219" s="1254"/>
      <c r="W219" s="1254"/>
      <c r="X219" s="1254"/>
      <c r="Y219" s="1254"/>
    </row>
    <row r="220">
      <c r="A220" s="1254"/>
      <c r="B220" s="1263"/>
      <c r="C220" s="1263"/>
      <c r="D220" s="1317"/>
      <c r="E220" s="1318"/>
      <c r="F220" s="1254"/>
      <c r="G220" s="1254"/>
      <c r="H220" s="1254"/>
      <c r="I220" s="1254"/>
      <c r="J220" s="1254"/>
      <c r="K220" s="1254"/>
      <c r="L220" s="1254"/>
      <c r="M220" s="1254"/>
      <c r="N220" s="1254"/>
      <c r="O220" s="1254"/>
      <c r="P220" s="1254"/>
      <c r="Q220" s="1254"/>
      <c r="R220" s="1254"/>
      <c r="S220" s="1254"/>
      <c r="T220" s="1254"/>
      <c r="U220" s="1254"/>
      <c r="V220" s="1254"/>
      <c r="W220" s="1254"/>
      <c r="X220" s="1254"/>
      <c r="Y220" s="1254"/>
    </row>
    <row r="221">
      <c r="A221" s="1254"/>
      <c r="B221" s="1263"/>
      <c r="C221" s="1263"/>
      <c r="D221" s="1317"/>
      <c r="E221" s="1318"/>
      <c r="F221" s="1254"/>
      <c r="G221" s="1254"/>
      <c r="H221" s="1254"/>
      <c r="I221" s="1254"/>
      <c r="J221" s="1254"/>
      <c r="K221" s="1254"/>
      <c r="L221" s="1254"/>
      <c r="M221" s="1254"/>
      <c r="N221" s="1254"/>
      <c r="O221" s="1254"/>
      <c r="P221" s="1254"/>
      <c r="Q221" s="1254"/>
      <c r="R221" s="1254"/>
      <c r="S221" s="1254"/>
      <c r="T221" s="1254"/>
      <c r="U221" s="1254"/>
      <c r="V221" s="1254"/>
      <c r="W221" s="1254"/>
      <c r="X221" s="1254"/>
      <c r="Y221" s="1254"/>
    </row>
    <row r="222">
      <c r="A222" s="1254"/>
      <c r="B222" s="1263"/>
      <c r="C222" s="1263"/>
      <c r="D222" s="1317"/>
      <c r="E222" s="1318"/>
      <c r="F222" s="1254"/>
      <c r="G222" s="1254"/>
      <c r="H222" s="1254"/>
      <c r="I222" s="1254"/>
      <c r="J222" s="1254"/>
      <c r="K222" s="1254"/>
      <c r="L222" s="1254"/>
      <c r="M222" s="1254"/>
      <c r="N222" s="1254"/>
      <c r="O222" s="1254"/>
      <c r="P222" s="1254"/>
      <c r="Q222" s="1254"/>
      <c r="R222" s="1254"/>
      <c r="S222" s="1254"/>
      <c r="T222" s="1254"/>
      <c r="U222" s="1254"/>
      <c r="V222" s="1254"/>
      <c r="W222" s="1254"/>
      <c r="X222" s="1254"/>
      <c r="Y222" s="1254"/>
    </row>
    <row r="223">
      <c r="A223" s="1254"/>
      <c r="B223" s="1263"/>
      <c r="C223" s="1263"/>
      <c r="D223" s="1317"/>
      <c r="E223" s="1318"/>
      <c r="F223" s="1254"/>
      <c r="G223" s="1254"/>
      <c r="H223" s="1254"/>
      <c r="I223" s="1254"/>
      <c r="J223" s="1254"/>
      <c r="K223" s="1254"/>
      <c r="L223" s="1254"/>
      <c r="M223" s="1254"/>
      <c r="N223" s="1254"/>
      <c r="O223" s="1254"/>
      <c r="P223" s="1254"/>
      <c r="Q223" s="1254"/>
      <c r="R223" s="1254"/>
      <c r="S223" s="1254"/>
      <c r="T223" s="1254"/>
      <c r="U223" s="1254"/>
      <c r="V223" s="1254"/>
      <c r="W223" s="1254"/>
      <c r="X223" s="1254"/>
      <c r="Y223" s="1254"/>
    </row>
    <row r="224">
      <c r="A224" s="1254"/>
      <c r="B224" s="1263"/>
      <c r="C224" s="1263"/>
      <c r="D224" s="1317"/>
      <c r="E224" s="1318"/>
      <c r="F224" s="1254"/>
      <c r="G224" s="1254"/>
      <c r="H224" s="1254"/>
      <c r="I224" s="1254"/>
      <c r="J224" s="1254"/>
      <c r="K224" s="1254"/>
      <c r="L224" s="1254"/>
      <c r="M224" s="1254"/>
      <c r="N224" s="1254"/>
      <c r="O224" s="1254"/>
      <c r="P224" s="1254"/>
      <c r="Q224" s="1254"/>
      <c r="R224" s="1254"/>
      <c r="S224" s="1254"/>
      <c r="T224" s="1254"/>
      <c r="U224" s="1254"/>
      <c r="V224" s="1254"/>
      <c r="W224" s="1254"/>
      <c r="X224" s="1254"/>
      <c r="Y224" s="1254"/>
    </row>
    <row r="225">
      <c r="A225" s="1254"/>
      <c r="B225" s="1263"/>
      <c r="C225" s="1263"/>
      <c r="D225" s="1317"/>
      <c r="E225" s="1318"/>
      <c r="F225" s="1254"/>
      <c r="G225" s="1254"/>
      <c r="H225" s="1254"/>
      <c r="I225" s="1254"/>
      <c r="J225" s="1254"/>
      <c r="K225" s="1254"/>
      <c r="L225" s="1254"/>
      <c r="M225" s="1254"/>
      <c r="N225" s="1254"/>
      <c r="O225" s="1254"/>
      <c r="P225" s="1254"/>
      <c r="Q225" s="1254"/>
      <c r="R225" s="1254"/>
      <c r="S225" s="1254"/>
      <c r="T225" s="1254"/>
      <c r="U225" s="1254"/>
      <c r="V225" s="1254"/>
      <c r="W225" s="1254"/>
      <c r="X225" s="1254"/>
      <c r="Y225" s="1254"/>
    </row>
    <row r="226">
      <c r="A226" s="1254"/>
      <c r="B226" s="1263"/>
      <c r="C226" s="1263"/>
      <c r="D226" s="1317"/>
      <c r="E226" s="1318"/>
      <c r="F226" s="1254"/>
      <c r="G226" s="1254"/>
      <c r="H226" s="1254"/>
      <c r="I226" s="1254"/>
      <c r="J226" s="1254"/>
      <c r="K226" s="1254"/>
      <c r="L226" s="1254"/>
      <c r="M226" s="1254"/>
      <c r="N226" s="1254"/>
      <c r="O226" s="1254"/>
      <c r="P226" s="1254"/>
      <c r="Q226" s="1254"/>
      <c r="R226" s="1254"/>
      <c r="S226" s="1254"/>
      <c r="T226" s="1254"/>
      <c r="U226" s="1254"/>
      <c r="V226" s="1254"/>
      <c r="W226" s="1254"/>
      <c r="X226" s="1254"/>
      <c r="Y226" s="1254"/>
    </row>
    <row r="227">
      <c r="A227" s="1254"/>
      <c r="B227" s="1263"/>
      <c r="C227" s="1263"/>
      <c r="D227" s="1317"/>
      <c r="E227" s="1318"/>
      <c r="F227" s="1254"/>
      <c r="G227" s="1254"/>
      <c r="H227" s="1254"/>
      <c r="I227" s="1254"/>
      <c r="J227" s="1254"/>
      <c r="K227" s="1254"/>
      <c r="L227" s="1254"/>
      <c r="M227" s="1254"/>
      <c r="N227" s="1254"/>
      <c r="O227" s="1254"/>
      <c r="P227" s="1254"/>
      <c r="Q227" s="1254"/>
      <c r="R227" s="1254"/>
      <c r="S227" s="1254"/>
      <c r="T227" s="1254"/>
      <c r="U227" s="1254"/>
      <c r="V227" s="1254"/>
      <c r="W227" s="1254"/>
      <c r="X227" s="1254"/>
      <c r="Y227" s="1254"/>
    </row>
    <row r="228">
      <c r="A228" s="1254"/>
      <c r="B228" s="1263"/>
      <c r="C228" s="1263"/>
      <c r="D228" s="1317"/>
      <c r="E228" s="1318"/>
      <c r="F228" s="1254"/>
      <c r="G228" s="1254"/>
      <c r="H228" s="1254"/>
      <c r="I228" s="1254"/>
      <c r="J228" s="1254"/>
      <c r="K228" s="1254"/>
      <c r="L228" s="1254"/>
      <c r="M228" s="1254"/>
      <c r="N228" s="1254"/>
      <c r="O228" s="1254"/>
      <c r="P228" s="1254"/>
      <c r="Q228" s="1254"/>
      <c r="R228" s="1254"/>
      <c r="S228" s="1254"/>
      <c r="T228" s="1254"/>
      <c r="U228" s="1254"/>
      <c r="V228" s="1254"/>
      <c r="W228" s="1254"/>
      <c r="X228" s="1254"/>
      <c r="Y228" s="1254"/>
    </row>
    <row r="229">
      <c r="A229" s="1254"/>
      <c r="B229" s="1263"/>
      <c r="C229" s="1263"/>
      <c r="D229" s="1317"/>
      <c r="E229" s="1318"/>
      <c r="F229" s="1254"/>
      <c r="G229" s="1254"/>
      <c r="H229" s="1254"/>
      <c r="I229" s="1254"/>
      <c r="J229" s="1254"/>
      <c r="K229" s="1254"/>
      <c r="L229" s="1254"/>
      <c r="M229" s="1254"/>
      <c r="N229" s="1254"/>
      <c r="O229" s="1254"/>
      <c r="P229" s="1254"/>
      <c r="Q229" s="1254"/>
      <c r="R229" s="1254"/>
      <c r="S229" s="1254"/>
      <c r="T229" s="1254"/>
      <c r="U229" s="1254"/>
      <c r="V229" s="1254"/>
      <c r="W229" s="1254"/>
      <c r="X229" s="1254"/>
      <c r="Y229" s="1254"/>
    </row>
    <row r="230">
      <c r="A230" s="1254"/>
      <c r="B230" s="1263"/>
      <c r="C230" s="1263"/>
      <c r="D230" s="1317"/>
      <c r="E230" s="1318"/>
      <c r="F230" s="1254"/>
      <c r="G230" s="1254"/>
      <c r="H230" s="1254"/>
      <c r="I230" s="1254"/>
      <c r="J230" s="1254"/>
      <c r="K230" s="1254"/>
      <c r="L230" s="1254"/>
      <c r="M230" s="1254"/>
      <c r="N230" s="1254"/>
      <c r="O230" s="1254"/>
      <c r="P230" s="1254"/>
      <c r="Q230" s="1254"/>
      <c r="R230" s="1254"/>
      <c r="S230" s="1254"/>
      <c r="T230" s="1254"/>
      <c r="U230" s="1254"/>
      <c r="V230" s="1254"/>
      <c r="W230" s="1254"/>
      <c r="X230" s="1254"/>
      <c r="Y230" s="1254"/>
    </row>
    <row r="231">
      <c r="A231" s="1254"/>
      <c r="B231" s="1263"/>
      <c r="C231" s="1263"/>
      <c r="D231" s="1317"/>
      <c r="E231" s="1318"/>
      <c r="F231" s="1254"/>
      <c r="G231" s="1254"/>
      <c r="H231" s="1254"/>
      <c r="I231" s="1254"/>
      <c r="J231" s="1254"/>
      <c r="K231" s="1254"/>
      <c r="L231" s="1254"/>
      <c r="M231" s="1254"/>
      <c r="N231" s="1254"/>
      <c r="O231" s="1254"/>
      <c r="P231" s="1254"/>
      <c r="Q231" s="1254"/>
      <c r="R231" s="1254"/>
      <c r="S231" s="1254"/>
      <c r="T231" s="1254"/>
      <c r="U231" s="1254"/>
      <c r="V231" s="1254"/>
      <c r="W231" s="1254"/>
      <c r="X231" s="1254"/>
      <c r="Y231" s="1254"/>
    </row>
    <row r="232">
      <c r="A232" s="1254"/>
      <c r="B232" s="1263"/>
      <c r="C232" s="1263"/>
      <c r="D232" s="1317"/>
      <c r="E232" s="1318"/>
      <c r="F232" s="1254"/>
      <c r="G232" s="1254"/>
      <c r="H232" s="1254"/>
      <c r="I232" s="1254"/>
      <c r="J232" s="1254"/>
      <c r="K232" s="1254"/>
      <c r="L232" s="1254"/>
      <c r="M232" s="1254"/>
      <c r="N232" s="1254"/>
      <c r="O232" s="1254"/>
      <c r="P232" s="1254"/>
      <c r="Q232" s="1254"/>
      <c r="R232" s="1254"/>
      <c r="S232" s="1254"/>
      <c r="T232" s="1254"/>
      <c r="U232" s="1254"/>
      <c r="V232" s="1254"/>
      <c r="W232" s="1254"/>
      <c r="X232" s="1254"/>
      <c r="Y232" s="1254"/>
    </row>
    <row r="233">
      <c r="A233" s="1254"/>
      <c r="B233" s="1263"/>
      <c r="C233" s="1263"/>
      <c r="D233" s="1317"/>
      <c r="E233" s="1318"/>
      <c r="F233" s="1254"/>
      <c r="G233" s="1254"/>
      <c r="H233" s="1254"/>
      <c r="I233" s="1254"/>
      <c r="J233" s="1254"/>
      <c r="K233" s="1254"/>
      <c r="L233" s="1254"/>
      <c r="M233" s="1254"/>
      <c r="N233" s="1254"/>
      <c r="O233" s="1254"/>
      <c r="P233" s="1254"/>
      <c r="Q233" s="1254"/>
      <c r="R233" s="1254"/>
      <c r="S233" s="1254"/>
      <c r="T233" s="1254"/>
      <c r="U233" s="1254"/>
      <c r="V233" s="1254"/>
      <c r="W233" s="1254"/>
      <c r="X233" s="1254"/>
      <c r="Y233" s="1254"/>
    </row>
    <row r="234">
      <c r="A234" s="1254"/>
      <c r="B234" s="1263"/>
      <c r="C234" s="1263"/>
      <c r="D234" s="1317"/>
      <c r="E234" s="1318"/>
      <c r="F234" s="1254"/>
      <c r="G234" s="1254"/>
      <c r="H234" s="1254"/>
      <c r="I234" s="1254"/>
      <c r="J234" s="1254"/>
      <c r="K234" s="1254"/>
      <c r="L234" s="1254"/>
      <c r="M234" s="1254"/>
      <c r="N234" s="1254"/>
      <c r="O234" s="1254"/>
      <c r="P234" s="1254"/>
      <c r="Q234" s="1254"/>
      <c r="R234" s="1254"/>
      <c r="S234" s="1254"/>
      <c r="T234" s="1254"/>
      <c r="U234" s="1254"/>
      <c r="V234" s="1254"/>
      <c r="W234" s="1254"/>
      <c r="X234" s="1254"/>
      <c r="Y234" s="1254"/>
    </row>
    <row r="235">
      <c r="A235" s="1254"/>
      <c r="B235" s="1263"/>
      <c r="C235" s="1263"/>
      <c r="D235" s="1317"/>
      <c r="E235" s="1318"/>
      <c r="F235" s="1254"/>
      <c r="G235" s="1254"/>
      <c r="H235" s="1254"/>
      <c r="I235" s="1254"/>
      <c r="J235" s="1254"/>
      <c r="K235" s="1254"/>
      <c r="L235" s="1254"/>
      <c r="M235" s="1254"/>
      <c r="N235" s="1254"/>
      <c r="O235" s="1254"/>
      <c r="P235" s="1254"/>
      <c r="Q235" s="1254"/>
      <c r="R235" s="1254"/>
      <c r="S235" s="1254"/>
      <c r="T235" s="1254"/>
      <c r="U235" s="1254"/>
      <c r="V235" s="1254"/>
      <c r="W235" s="1254"/>
      <c r="X235" s="1254"/>
      <c r="Y235" s="1254"/>
    </row>
    <row r="236">
      <c r="A236" s="1254"/>
      <c r="B236" s="1263"/>
      <c r="C236" s="1263"/>
      <c r="D236" s="1317"/>
      <c r="E236" s="1318"/>
      <c r="F236" s="1254"/>
      <c r="G236" s="1254"/>
      <c r="H236" s="1254"/>
      <c r="I236" s="1254"/>
      <c r="J236" s="1254"/>
      <c r="K236" s="1254"/>
      <c r="L236" s="1254"/>
      <c r="M236" s="1254"/>
      <c r="N236" s="1254"/>
      <c r="O236" s="1254"/>
      <c r="P236" s="1254"/>
      <c r="Q236" s="1254"/>
      <c r="R236" s="1254"/>
      <c r="S236" s="1254"/>
      <c r="T236" s="1254"/>
      <c r="U236" s="1254"/>
      <c r="V236" s="1254"/>
      <c r="W236" s="1254"/>
      <c r="X236" s="1254"/>
      <c r="Y236" s="1254"/>
    </row>
    <row r="237">
      <c r="A237" s="1254"/>
      <c r="B237" s="1263"/>
      <c r="C237" s="1263"/>
      <c r="D237" s="1317"/>
      <c r="E237" s="1318"/>
      <c r="F237" s="1254"/>
      <c r="G237" s="1254"/>
      <c r="H237" s="1254"/>
      <c r="I237" s="1254"/>
      <c r="J237" s="1254"/>
      <c r="K237" s="1254"/>
      <c r="L237" s="1254"/>
      <c r="M237" s="1254"/>
      <c r="N237" s="1254"/>
      <c r="O237" s="1254"/>
      <c r="P237" s="1254"/>
      <c r="Q237" s="1254"/>
      <c r="R237" s="1254"/>
      <c r="S237" s="1254"/>
      <c r="T237" s="1254"/>
      <c r="U237" s="1254"/>
      <c r="V237" s="1254"/>
      <c r="W237" s="1254"/>
      <c r="X237" s="1254"/>
      <c r="Y237" s="1254"/>
    </row>
    <row r="238">
      <c r="A238" s="1254"/>
      <c r="B238" s="1263"/>
      <c r="C238" s="1263"/>
      <c r="D238" s="1317"/>
      <c r="E238" s="1318"/>
      <c r="F238" s="1254"/>
      <c r="G238" s="1254"/>
      <c r="H238" s="1254"/>
      <c r="I238" s="1254"/>
      <c r="J238" s="1254"/>
      <c r="K238" s="1254"/>
      <c r="L238" s="1254"/>
      <c r="M238" s="1254"/>
      <c r="N238" s="1254"/>
      <c r="O238" s="1254"/>
      <c r="P238" s="1254"/>
      <c r="Q238" s="1254"/>
      <c r="R238" s="1254"/>
      <c r="S238" s="1254"/>
      <c r="T238" s="1254"/>
      <c r="U238" s="1254"/>
      <c r="V238" s="1254"/>
      <c r="W238" s="1254"/>
      <c r="X238" s="1254"/>
      <c r="Y238" s="1254"/>
    </row>
    <row r="239">
      <c r="A239" s="1254"/>
      <c r="B239" s="1263"/>
      <c r="C239" s="1263"/>
      <c r="D239" s="1317"/>
      <c r="E239" s="1318"/>
      <c r="F239" s="1254"/>
      <c r="G239" s="1254"/>
      <c r="H239" s="1254"/>
      <c r="I239" s="1254"/>
      <c r="J239" s="1254"/>
      <c r="K239" s="1254"/>
      <c r="L239" s="1254"/>
      <c r="M239" s="1254"/>
      <c r="N239" s="1254"/>
      <c r="O239" s="1254"/>
      <c r="P239" s="1254"/>
      <c r="Q239" s="1254"/>
      <c r="R239" s="1254"/>
      <c r="S239" s="1254"/>
      <c r="T239" s="1254"/>
      <c r="U239" s="1254"/>
      <c r="V239" s="1254"/>
      <c r="W239" s="1254"/>
      <c r="X239" s="1254"/>
      <c r="Y239" s="1254"/>
    </row>
    <row r="240">
      <c r="A240" s="1254"/>
      <c r="B240" s="1263"/>
      <c r="C240" s="1263"/>
      <c r="D240" s="1317"/>
      <c r="E240" s="1318"/>
      <c r="F240" s="1254"/>
      <c r="G240" s="1254"/>
      <c r="H240" s="1254"/>
      <c r="I240" s="1254"/>
      <c r="J240" s="1254"/>
      <c r="K240" s="1254"/>
      <c r="L240" s="1254"/>
      <c r="M240" s="1254"/>
      <c r="N240" s="1254"/>
      <c r="O240" s="1254"/>
      <c r="P240" s="1254"/>
      <c r="Q240" s="1254"/>
      <c r="R240" s="1254"/>
      <c r="S240" s="1254"/>
      <c r="T240" s="1254"/>
      <c r="U240" s="1254"/>
      <c r="V240" s="1254"/>
      <c r="W240" s="1254"/>
      <c r="X240" s="1254"/>
      <c r="Y240" s="1254"/>
    </row>
    <row r="241">
      <c r="A241" s="1254"/>
      <c r="B241" s="1263"/>
      <c r="C241" s="1263"/>
      <c r="D241" s="1317"/>
      <c r="E241" s="1318"/>
      <c r="F241" s="1254"/>
      <c r="G241" s="1254"/>
      <c r="H241" s="1254"/>
      <c r="I241" s="1254"/>
      <c r="J241" s="1254"/>
      <c r="K241" s="1254"/>
      <c r="L241" s="1254"/>
      <c r="M241" s="1254"/>
      <c r="N241" s="1254"/>
      <c r="O241" s="1254"/>
      <c r="P241" s="1254"/>
      <c r="Q241" s="1254"/>
      <c r="R241" s="1254"/>
      <c r="S241" s="1254"/>
      <c r="T241" s="1254"/>
      <c r="U241" s="1254"/>
      <c r="V241" s="1254"/>
      <c r="W241" s="1254"/>
      <c r="X241" s="1254"/>
      <c r="Y241" s="1254"/>
    </row>
    <row r="242">
      <c r="A242" s="1254"/>
      <c r="B242" s="1263"/>
      <c r="C242" s="1263"/>
      <c r="D242" s="1317"/>
      <c r="E242" s="1318"/>
      <c r="F242" s="1254"/>
      <c r="G242" s="1254"/>
      <c r="H242" s="1254"/>
      <c r="I242" s="1254"/>
      <c r="J242" s="1254"/>
      <c r="K242" s="1254"/>
      <c r="L242" s="1254"/>
      <c r="M242" s="1254"/>
      <c r="N242" s="1254"/>
      <c r="O242" s="1254"/>
      <c r="P242" s="1254"/>
      <c r="Q242" s="1254"/>
      <c r="R242" s="1254"/>
      <c r="S242" s="1254"/>
      <c r="T242" s="1254"/>
      <c r="U242" s="1254"/>
      <c r="V242" s="1254"/>
      <c r="W242" s="1254"/>
      <c r="X242" s="1254"/>
      <c r="Y242" s="1254"/>
    </row>
    <row r="243">
      <c r="A243" s="1254"/>
      <c r="B243" s="1263"/>
      <c r="C243" s="1263"/>
      <c r="D243" s="1317"/>
      <c r="E243" s="1318"/>
      <c r="F243" s="1254"/>
      <c r="G243" s="1254"/>
      <c r="H243" s="1254"/>
      <c r="I243" s="1254"/>
      <c r="J243" s="1254"/>
      <c r="K243" s="1254"/>
      <c r="L243" s="1254"/>
      <c r="M243" s="1254"/>
      <c r="N243" s="1254"/>
      <c r="O243" s="1254"/>
      <c r="P243" s="1254"/>
      <c r="Q243" s="1254"/>
      <c r="R243" s="1254"/>
      <c r="S243" s="1254"/>
      <c r="T243" s="1254"/>
      <c r="U243" s="1254"/>
      <c r="V243" s="1254"/>
      <c r="W243" s="1254"/>
      <c r="X243" s="1254"/>
      <c r="Y243" s="1254"/>
    </row>
    <row r="244">
      <c r="A244" s="1254"/>
      <c r="B244" s="1263"/>
      <c r="C244" s="1263"/>
      <c r="D244" s="1317"/>
      <c r="E244" s="1318"/>
      <c r="F244" s="1254"/>
      <c r="G244" s="1254"/>
      <c r="H244" s="1254"/>
      <c r="I244" s="1254"/>
      <c r="J244" s="1254"/>
      <c r="K244" s="1254"/>
      <c r="L244" s="1254"/>
      <c r="M244" s="1254"/>
      <c r="N244" s="1254"/>
      <c r="O244" s="1254"/>
      <c r="P244" s="1254"/>
      <c r="Q244" s="1254"/>
      <c r="R244" s="1254"/>
      <c r="S244" s="1254"/>
      <c r="T244" s="1254"/>
      <c r="U244" s="1254"/>
      <c r="V244" s="1254"/>
      <c r="W244" s="1254"/>
      <c r="X244" s="1254"/>
      <c r="Y244" s="1254"/>
    </row>
    <row r="245">
      <c r="A245" s="1254"/>
      <c r="B245" s="1263"/>
      <c r="C245" s="1263"/>
      <c r="D245" s="1317"/>
      <c r="E245" s="1318"/>
      <c r="F245" s="1254"/>
      <c r="G245" s="1254"/>
      <c r="H245" s="1254"/>
      <c r="I245" s="1254"/>
      <c r="J245" s="1254"/>
      <c r="K245" s="1254"/>
      <c r="L245" s="1254"/>
      <c r="M245" s="1254"/>
      <c r="N245" s="1254"/>
      <c r="O245" s="1254"/>
      <c r="P245" s="1254"/>
      <c r="Q245" s="1254"/>
      <c r="R245" s="1254"/>
      <c r="S245" s="1254"/>
      <c r="T245" s="1254"/>
      <c r="U245" s="1254"/>
      <c r="V245" s="1254"/>
      <c r="W245" s="1254"/>
      <c r="X245" s="1254"/>
      <c r="Y245" s="1254"/>
    </row>
    <row r="246">
      <c r="A246" s="1254"/>
      <c r="B246" s="1263"/>
      <c r="C246" s="1263"/>
      <c r="D246" s="1317"/>
      <c r="E246" s="1318"/>
      <c r="F246" s="1254"/>
      <c r="G246" s="1254"/>
      <c r="H246" s="1254"/>
      <c r="I246" s="1254"/>
      <c r="J246" s="1254"/>
      <c r="K246" s="1254"/>
      <c r="L246" s="1254"/>
      <c r="M246" s="1254"/>
      <c r="N246" s="1254"/>
      <c r="O246" s="1254"/>
      <c r="P246" s="1254"/>
      <c r="Q246" s="1254"/>
      <c r="R246" s="1254"/>
      <c r="S246" s="1254"/>
      <c r="T246" s="1254"/>
      <c r="U246" s="1254"/>
      <c r="V246" s="1254"/>
      <c r="W246" s="1254"/>
      <c r="X246" s="1254"/>
      <c r="Y246" s="1254"/>
    </row>
    <row r="247">
      <c r="A247" s="1254"/>
      <c r="B247" s="1263"/>
      <c r="C247" s="1263"/>
      <c r="D247" s="1317"/>
      <c r="E247" s="1318"/>
      <c r="F247" s="1254"/>
      <c r="G247" s="1254"/>
      <c r="H247" s="1254"/>
      <c r="I247" s="1254"/>
      <c r="J247" s="1254"/>
      <c r="K247" s="1254"/>
      <c r="L247" s="1254"/>
      <c r="M247" s="1254"/>
      <c r="N247" s="1254"/>
      <c r="O247" s="1254"/>
      <c r="P247" s="1254"/>
      <c r="Q247" s="1254"/>
      <c r="R247" s="1254"/>
      <c r="S247" s="1254"/>
      <c r="T247" s="1254"/>
      <c r="U247" s="1254"/>
      <c r="V247" s="1254"/>
      <c r="W247" s="1254"/>
      <c r="X247" s="1254"/>
      <c r="Y247" s="1254"/>
    </row>
    <row r="248">
      <c r="A248" s="1254"/>
      <c r="B248" s="1263"/>
      <c r="C248" s="1263"/>
      <c r="D248" s="1317"/>
      <c r="E248" s="1318"/>
      <c r="F248" s="1254"/>
      <c r="G248" s="1254"/>
      <c r="H248" s="1254"/>
      <c r="I248" s="1254"/>
      <c r="J248" s="1254"/>
      <c r="K248" s="1254"/>
      <c r="L248" s="1254"/>
      <c r="M248" s="1254"/>
      <c r="N248" s="1254"/>
      <c r="O248" s="1254"/>
      <c r="P248" s="1254"/>
      <c r="Q248" s="1254"/>
      <c r="R248" s="1254"/>
      <c r="S248" s="1254"/>
      <c r="T248" s="1254"/>
      <c r="U248" s="1254"/>
      <c r="V248" s="1254"/>
      <c r="W248" s="1254"/>
      <c r="X248" s="1254"/>
      <c r="Y248" s="1254"/>
    </row>
    <row r="249">
      <c r="A249" s="1254"/>
      <c r="B249" s="1263"/>
      <c r="C249" s="1263"/>
      <c r="D249" s="1317"/>
      <c r="E249" s="1318"/>
      <c r="F249" s="1254"/>
      <c r="G249" s="1254"/>
      <c r="H249" s="1254"/>
      <c r="I249" s="1254"/>
      <c r="J249" s="1254"/>
      <c r="K249" s="1254"/>
      <c r="L249" s="1254"/>
      <c r="M249" s="1254"/>
      <c r="N249" s="1254"/>
      <c r="O249" s="1254"/>
      <c r="P249" s="1254"/>
      <c r="Q249" s="1254"/>
      <c r="R249" s="1254"/>
      <c r="S249" s="1254"/>
      <c r="T249" s="1254"/>
      <c r="U249" s="1254"/>
      <c r="V249" s="1254"/>
      <c r="W249" s="1254"/>
      <c r="X249" s="1254"/>
      <c r="Y249" s="1254"/>
    </row>
    <row r="250">
      <c r="A250" s="1254"/>
      <c r="B250" s="1263"/>
      <c r="C250" s="1263"/>
      <c r="D250" s="1317"/>
      <c r="E250" s="1318"/>
      <c r="F250" s="1254"/>
      <c r="G250" s="1254"/>
      <c r="H250" s="1254"/>
      <c r="I250" s="1254"/>
      <c r="J250" s="1254"/>
      <c r="K250" s="1254"/>
      <c r="L250" s="1254"/>
      <c r="M250" s="1254"/>
      <c r="N250" s="1254"/>
      <c r="O250" s="1254"/>
      <c r="P250" s="1254"/>
      <c r="Q250" s="1254"/>
      <c r="R250" s="1254"/>
      <c r="S250" s="1254"/>
      <c r="T250" s="1254"/>
      <c r="U250" s="1254"/>
      <c r="V250" s="1254"/>
      <c r="W250" s="1254"/>
      <c r="X250" s="1254"/>
      <c r="Y250" s="1254"/>
    </row>
    <row r="251">
      <c r="A251" s="1254"/>
      <c r="B251" s="1263"/>
      <c r="C251" s="1263"/>
      <c r="D251" s="1317"/>
      <c r="E251" s="1318"/>
      <c r="F251" s="1254"/>
      <c r="G251" s="1254"/>
      <c r="H251" s="1254"/>
      <c r="I251" s="1254"/>
      <c r="J251" s="1254"/>
      <c r="K251" s="1254"/>
      <c r="L251" s="1254"/>
      <c r="M251" s="1254"/>
      <c r="N251" s="1254"/>
      <c r="O251" s="1254"/>
      <c r="P251" s="1254"/>
      <c r="Q251" s="1254"/>
      <c r="R251" s="1254"/>
      <c r="S251" s="1254"/>
      <c r="T251" s="1254"/>
      <c r="U251" s="1254"/>
      <c r="V251" s="1254"/>
      <c r="W251" s="1254"/>
      <c r="X251" s="1254"/>
      <c r="Y251" s="1254"/>
    </row>
    <row r="252">
      <c r="A252" s="1254"/>
      <c r="B252" s="1263"/>
      <c r="C252" s="1263"/>
      <c r="D252" s="1317"/>
      <c r="E252" s="1318"/>
      <c r="F252" s="1254"/>
      <c r="G252" s="1254"/>
      <c r="H252" s="1254"/>
      <c r="I252" s="1254"/>
      <c r="J252" s="1254"/>
      <c r="K252" s="1254"/>
      <c r="L252" s="1254"/>
      <c r="M252" s="1254"/>
      <c r="N252" s="1254"/>
      <c r="O252" s="1254"/>
      <c r="P252" s="1254"/>
      <c r="Q252" s="1254"/>
      <c r="R252" s="1254"/>
      <c r="S252" s="1254"/>
      <c r="T252" s="1254"/>
      <c r="U252" s="1254"/>
      <c r="V252" s="1254"/>
      <c r="W252" s="1254"/>
      <c r="X252" s="1254"/>
      <c r="Y252" s="1254"/>
    </row>
    <row r="253">
      <c r="A253" s="1254"/>
      <c r="B253" s="1263"/>
      <c r="C253" s="1263"/>
      <c r="D253" s="1317"/>
      <c r="E253" s="1318"/>
      <c r="F253" s="1254"/>
      <c r="G253" s="1254"/>
      <c r="H253" s="1254"/>
      <c r="I253" s="1254"/>
      <c r="J253" s="1254"/>
      <c r="K253" s="1254"/>
      <c r="L253" s="1254"/>
      <c r="M253" s="1254"/>
      <c r="N253" s="1254"/>
      <c r="O253" s="1254"/>
      <c r="P253" s="1254"/>
      <c r="Q253" s="1254"/>
      <c r="R253" s="1254"/>
      <c r="S253" s="1254"/>
      <c r="T253" s="1254"/>
      <c r="U253" s="1254"/>
      <c r="V253" s="1254"/>
      <c r="W253" s="1254"/>
      <c r="X253" s="1254"/>
      <c r="Y253" s="1254"/>
    </row>
    <row r="254">
      <c r="A254" s="1254"/>
      <c r="B254" s="1263"/>
      <c r="C254" s="1263"/>
      <c r="D254" s="1317"/>
      <c r="E254" s="1318"/>
      <c r="F254" s="1254"/>
      <c r="G254" s="1254"/>
      <c r="H254" s="1254"/>
      <c r="I254" s="1254"/>
      <c r="J254" s="1254"/>
      <c r="K254" s="1254"/>
      <c r="L254" s="1254"/>
      <c r="M254" s="1254"/>
      <c r="N254" s="1254"/>
      <c r="O254" s="1254"/>
      <c r="P254" s="1254"/>
      <c r="Q254" s="1254"/>
      <c r="R254" s="1254"/>
      <c r="S254" s="1254"/>
      <c r="T254" s="1254"/>
      <c r="U254" s="1254"/>
      <c r="V254" s="1254"/>
      <c r="W254" s="1254"/>
      <c r="X254" s="1254"/>
      <c r="Y254" s="1254"/>
    </row>
    <row r="255">
      <c r="A255" s="1254"/>
      <c r="B255" s="1263"/>
      <c r="C255" s="1263"/>
      <c r="D255" s="1317"/>
      <c r="E255" s="1318"/>
      <c r="F255" s="1254"/>
      <c r="G255" s="1254"/>
      <c r="H255" s="1254"/>
      <c r="I255" s="1254"/>
      <c r="J255" s="1254"/>
      <c r="K255" s="1254"/>
      <c r="L255" s="1254"/>
      <c r="M255" s="1254"/>
      <c r="N255" s="1254"/>
      <c r="O255" s="1254"/>
      <c r="P255" s="1254"/>
      <c r="Q255" s="1254"/>
      <c r="R255" s="1254"/>
      <c r="S255" s="1254"/>
      <c r="T255" s="1254"/>
      <c r="U255" s="1254"/>
      <c r="V255" s="1254"/>
      <c r="W255" s="1254"/>
      <c r="X255" s="1254"/>
      <c r="Y255" s="1254"/>
    </row>
    <row r="256">
      <c r="A256" s="1254"/>
      <c r="B256" s="1263"/>
      <c r="C256" s="1263"/>
      <c r="D256" s="1317"/>
      <c r="E256" s="1318"/>
      <c r="F256" s="1254"/>
      <c r="G256" s="1254"/>
      <c r="H256" s="1254"/>
      <c r="I256" s="1254"/>
      <c r="J256" s="1254"/>
      <c r="K256" s="1254"/>
      <c r="L256" s="1254"/>
      <c r="M256" s="1254"/>
      <c r="N256" s="1254"/>
      <c r="O256" s="1254"/>
      <c r="P256" s="1254"/>
      <c r="Q256" s="1254"/>
      <c r="R256" s="1254"/>
      <c r="S256" s="1254"/>
      <c r="T256" s="1254"/>
      <c r="U256" s="1254"/>
      <c r="V256" s="1254"/>
      <c r="W256" s="1254"/>
      <c r="X256" s="1254"/>
      <c r="Y256" s="1254"/>
    </row>
    <row r="257">
      <c r="A257" s="1254"/>
      <c r="B257" s="1263"/>
      <c r="C257" s="1263"/>
      <c r="D257" s="1317"/>
      <c r="E257" s="1318"/>
      <c r="F257" s="1254"/>
      <c r="G257" s="1254"/>
      <c r="H257" s="1254"/>
      <c r="I257" s="1254"/>
      <c r="J257" s="1254"/>
      <c r="K257" s="1254"/>
      <c r="L257" s="1254"/>
      <c r="M257" s="1254"/>
      <c r="N257" s="1254"/>
      <c r="O257" s="1254"/>
      <c r="P257" s="1254"/>
      <c r="Q257" s="1254"/>
      <c r="R257" s="1254"/>
      <c r="S257" s="1254"/>
      <c r="T257" s="1254"/>
      <c r="U257" s="1254"/>
      <c r="V257" s="1254"/>
      <c r="W257" s="1254"/>
      <c r="X257" s="1254"/>
      <c r="Y257" s="1254"/>
    </row>
    <row r="258">
      <c r="A258" s="1254"/>
      <c r="B258" s="1263"/>
      <c r="C258" s="1263"/>
      <c r="D258" s="1317"/>
      <c r="E258" s="1318"/>
      <c r="F258" s="1254"/>
      <c r="G258" s="1254"/>
      <c r="H258" s="1254"/>
      <c r="I258" s="1254"/>
      <c r="J258" s="1254"/>
      <c r="K258" s="1254"/>
      <c r="L258" s="1254"/>
      <c r="M258" s="1254"/>
      <c r="N258" s="1254"/>
      <c r="O258" s="1254"/>
      <c r="P258" s="1254"/>
      <c r="Q258" s="1254"/>
      <c r="R258" s="1254"/>
      <c r="S258" s="1254"/>
      <c r="T258" s="1254"/>
      <c r="U258" s="1254"/>
      <c r="V258" s="1254"/>
      <c r="W258" s="1254"/>
      <c r="X258" s="1254"/>
      <c r="Y258" s="1254"/>
    </row>
    <row r="259">
      <c r="A259" s="1254"/>
      <c r="B259" s="1263"/>
      <c r="C259" s="1263"/>
      <c r="D259" s="1317"/>
      <c r="E259" s="1318"/>
      <c r="F259" s="1254"/>
      <c r="G259" s="1254"/>
      <c r="H259" s="1254"/>
      <c r="I259" s="1254"/>
      <c r="J259" s="1254"/>
      <c r="K259" s="1254"/>
      <c r="L259" s="1254"/>
      <c r="M259" s="1254"/>
      <c r="N259" s="1254"/>
      <c r="O259" s="1254"/>
      <c r="P259" s="1254"/>
      <c r="Q259" s="1254"/>
      <c r="R259" s="1254"/>
      <c r="S259" s="1254"/>
      <c r="T259" s="1254"/>
      <c r="U259" s="1254"/>
      <c r="V259" s="1254"/>
      <c r="W259" s="1254"/>
      <c r="X259" s="1254"/>
      <c r="Y259" s="1254"/>
    </row>
    <row r="260">
      <c r="A260" s="1254"/>
      <c r="B260" s="1263"/>
      <c r="C260" s="1263"/>
      <c r="D260" s="1317"/>
      <c r="E260" s="1318"/>
      <c r="F260" s="1254"/>
      <c r="G260" s="1254"/>
      <c r="H260" s="1254"/>
      <c r="I260" s="1254"/>
      <c r="J260" s="1254"/>
      <c r="K260" s="1254"/>
      <c r="L260" s="1254"/>
      <c r="M260" s="1254"/>
      <c r="N260" s="1254"/>
      <c r="O260" s="1254"/>
      <c r="P260" s="1254"/>
      <c r="Q260" s="1254"/>
      <c r="R260" s="1254"/>
      <c r="S260" s="1254"/>
      <c r="T260" s="1254"/>
      <c r="U260" s="1254"/>
      <c r="V260" s="1254"/>
      <c r="W260" s="1254"/>
      <c r="X260" s="1254"/>
      <c r="Y260" s="1254"/>
    </row>
    <row r="261">
      <c r="A261" s="1254"/>
      <c r="B261" s="1263"/>
      <c r="C261" s="1263"/>
      <c r="D261" s="1317"/>
      <c r="E261" s="1318"/>
      <c r="F261" s="1254"/>
      <c r="G261" s="1254"/>
      <c r="H261" s="1254"/>
      <c r="I261" s="1254"/>
      <c r="J261" s="1254"/>
      <c r="K261" s="1254"/>
      <c r="L261" s="1254"/>
      <c r="M261" s="1254"/>
      <c r="N261" s="1254"/>
      <c r="O261" s="1254"/>
      <c r="P261" s="1254"/>
      <c r="Q261" s="1254"/>
      <c r="R261" s="1254"/>
      <c r="S261" s="1254"/>
      <c r="T261" s="1254"/>
      <c r="U261" s="1254"/>
      <c r="V261" s="1254"/>
      <c r="W261" s="1254"/>
      <c r="X261" s="1254"/>
      <c r="Y261" s="1254"/>
    </row>
    <row r="262">
      <c r="A262" s="1254"/>
      <c r="B262" s="1263"/>
      <c r="C262" s="1263"/>
      <c r="D262" s="1317"/>
      <c r="E262" s="1318"/>
      <c r="F262" s="1254"/>
      <c r="G262" s="1254"/>
      <c r="H262" s="1254"/>
      <c r="I262" s="1254"/>
      <c r="J262" s="1254"/>
      <c r="K262" s="1254"/>
      <c r="L262" s="1254"/>
      <c r="M262" s="1254"/>
      <c r="N262" s="1254"/>
      <c r="O262" s="1254"/>
      <c r="P262" s="1254"/>
      <c r="Q262" s="1254"/>
      <c r="R262" s="1254"/>
      <c r="S262" s="1254"/>
      <c r="T262" s="1254"/>
      <c r="U262" s="1254"/>
      <c r="V262" s="1254"/>
      <c r="W262" s="1254"/>
      <c r="X262" s="1254"/>
      <c r="Y262" s="1254"/>
    </row>
    <row r="263">
      <c r="A263" s="1254"/>
      <c r="B263" s="1263"/>
      <c r="C263" s="1263"/>
      <c r="D263" s="1317"/>
      <c r="E263" s="1318"/>
      <c r="F263" s="1254"/>
      <c r="G263" s="1254"/>
      <c r="H263" s="1254"/>
      <c r="I263" s="1254"/>
      <c r="J263" s="1254"/>
      <c r="K263" s="1254"/>
      <c r="L263" s="1254"/>
      <c r="M263" s="1254"/>
      <c r="N263" s="1254"/>
      <c r="O263" s="1254"/>
      <c r="P263" s="1254"/>
      <c r="Q263" s="1254"/>
      <c r="R263" s="1254"/>
      <c r="S263" s="1254"/>
      <c r="T263" s="1254"/>
      <c r="U263" s="1254"/>
      <c r="V263" s="1254"/>
      <c r="W263" s="1254"/>
      <c r="X263" s="1254"/>
      <c r="Y263" s="1254"/>
    </row>
    <row r="264">
      <c r="A264" s="1254"/>
      <c r="B264" s="1263"/>
      <c r="C264" s="1263"/>
      <c r="D264" s="1317"/>
      <c r="E264" s="1318"/>
      <c r="F264" s="1254"/>
      <c r="G264" s="1254"/>
      <c r="H264" s="1254"/>
      <c r="I264" s="1254"/>
      <c r="J264" s="1254"/>
      <c r="K264" s="1254"/>
      <c r="L264" s="1254"/>
      <c r="M264" s="1254"/>
      <c r="N264" s="1254"/>
      <c r="O264" s="1254"/>
      <c r="P264" s="1254"/>
      <c r="Q264" s="1254"/>
      <c r="R264" s="1254"/>
      <c r="S264" s="1254"/>
      <c r="T264" s="1254"/>
      <c r="U264" s="1254"/>
      <c r="V264" s="1254"/>
      <c r="W264" s="1254"/>
      <c r="X264" s="1254"/>
      <c r="Y264" s="1254"/>
    </row>
    <row r="265">
      <c r="A265" s="1254"/>
      <c r="B265" s="1263"/>
      <c r="C265" s="1263"/>
      <c r="D265" s="1317"/>
      <c r="E265" s="1318"/>
      <c r="F265" s="1254"/>
      <c r="G265" s="1254"/>
      <c r="H265" s="1254"/>
      <c r="I265" s="1254"/>
      <c r="J265" s="1254"/>
      <c r="K265" s="1254"/>
      <c r="L265" s="1254"/>
      <c r="M265" s="1254"/>
      <c r="N265" s="1254"/>
      <c r="O265" s="1254"/>
      <c r="P265" s="1254"/>
      <c r="Q265" s="1254"/>
      <c r="R265" s="1254"/>
      <c r="S265" s="1254"/>
      <c r="T265" s="1254"/>
      <c r="U265" s="1254"/>
      <c r="V265" s="1254"/>
      <c r="W265" s="1254"/>
      <c r="X265" s="1254"/>
      <c r="Y265" s="1254"/>
    </row>
    <row r="266">
      <c r="A266" s="1254"/>
      <c r="B266" s="1263"/>
      <c r="C266" s="1263"/>
      <c r="D266" s="1317"/>
      <c r="E266" s="1318"/>
      <c r="F266" s="1254"/>
      <c r="G266" s="1254"/>
      <c r="H266" s="1254"/>
      <c r="I266" s="1254"/>
      <c r="J266" s="1254"/>
      <c r="K266" s="1254"/>
      <c r="L266" s="1254"/>
      <c r="M266" s="1254"/>
      <c r="N266" s="1254"/>
      <c r="O266" s="1254"/>
      <c r="P266" s="1254"/>
      <c r="Q266" s="1254"/>
      <c r="R266" s="1254"/>
      <c r="S266" s="1254"/>
      <c r="T266" s="1254"/>
      <c r="U266" s="1254"/>
      <c r="V266" s="1254"/>
      <c r="W266" s="1254"/>
      <c r="X266" s="1254"/>
      <c r="Y266" s="1254"/>
    </row>
    <row r="267">
      <c r="A267" s="1254"/>
      <c r="B267" s="1263"/>
      <c r="C267" s="1263"/>
      <c r="D267" s="1317"/>
      <c r="E267" s="1318"/>
      <c r="F267" s="1254"/>
      <c r="G267" s="1254"/>
      <c r="H267" s="1254"/>
      <c r="I267" s="1254"/>
      <c r="J267" s="1254"/>
      <c r="K267" s="1254"/>
      <c r="L267" s="1254"/>
      <c r="M267" s="1254"/>
      <c r="N267" s="1254"/>
      <c r="O267" s="1254"/>
      <c r="P267" s="1254"/>
      <c r="Q267" s="1254"/>
      <c r="R267" s="1254"/>
      <c r="S267" s="1254"/>
      <c r="T267" s="1254"/>
      <c r="U267" s="1254"/>
      <c r="V267" s="1254"/>
      <c r="W267" s="1254"/>
      <c r="X267" s="1254"/>
      <c r="Y267" s="1254"/>
    </row>
    <row r="268">
      <c r="A268" s="1254"/>
      <c r="B268" s="1263"/>
      <c r="C268" s="1263"/>
      <c r="D268" s="1317"/>
      <c r="E268" s="1318"/>
      <c r="F268" s="1254"/>
      <c r="G268" s="1254"/>
      <c r="H268" s="1254"/>
      <c r="I268" s="1254"/>
      <c r="J268" s="1254"/>
      <c r="K268" s="1254"/>
      <c r="L268" s="1254"/>
      <c r="M268" s="1254"/>
      <c r="N268" s="1254"/>
      <c r="O268" s="1254"/>
      <c r="P268" s="1254"/>
      <c r="Q268" s="1254"/>
      <c r="R268" s="1254"/>
      <c r="S268" s="1254"/>
      <c r="T268" s="1254"/>
      <c r="U268" s="1254"/>
      <c r="V268" s="1254"/>
      <c r="W268" s="1254"/>
      <c r="X268" s="1254"/>
      <c r="Y268" s="1254"/>
    </row>
    <row r="269">
      <c r="A269" s="1254"/>
      <c r="B269" s="1263"/>
      <c r="C269" s="1263"/>
      <c r="D269" s="1317"/>
      <c r="E269" s="1318"/>
      <c r="F269" s="1254"/>
      <c r="G269" s="1254"/>
      <c r="H269" s="1254"/>
      <c r="I269" s="1254"/>
      <c r="J269" s="1254"/>
      <c r="K269" s="1254"/>
      <c r="L269" s="1254"/>
      <c r="M269" s="1254"/>
      <c r="N269" s="1254"/>
      <c r="O269" s="1254"/>
      <c r="P269" s="1254"/>
      <c r="Q269" s="1254"/>
      <c r="R269" s="1254"/>
      <c r="S269" s="1254"/>
      <c r="T269" s="1254"/>
      <c r="U269" s="1254"/>
      <c r="V269" s="1254"/>
      <c r="W269" s="1254"/>
      <c r="X269" s="1254"/>
      <c r="Y269" s="1254"/>
    </row>
    <row r="270">
      <c r="A270" s="1254"/>
      <c r="B270" s="1263"/>
      <c r="C270" s="1263"/>
      <c r="D270" s="1317"/>
      <c r="E270" s="1318"/>
      <c r="F270" s="1254"/>
      <c r="G270" s="1254"/>
      <c r="H270" s="1254"/>
      <c r="I270" s="1254"/>
      <c r="J270" s="1254"/>
      <c r="K270" s="1254"/>
      <c r="L270" s="1254"/>
      <c r="M270" s="1254"/>
      <c r="N270" s="1254"/>
      <c r="O270" s="1254"/>
      <c r="P270" s="1254"/>
      <c r="Q270" s="1254"/>
      <c r="R270" s="1254"/>
      <c r="S270" s="1254"/>
      <c r="T270" s="1254"/>
      <c r="U270" s="1254"/>
      <c r="V270" s="1254"/>
      <c r="W270" s="1254"/>
      <c r="X270" s="1254"/>
      <c r="Y270" s="1254"/>
    </row>
    <row r="271">
      <c r="A271" s="1254"/>
      <c r="B271" s="1263"/>
      <c r="C271" s="1263"/>
      <c r="D271" s="1317"/>
      <c r="E271" s="1318"/>
      <c r="F271" s="1254"/>
      <c r="G271" s="1254"/>
      <c r="H271" s="1254"/>
      <c r="I271" s="1254"/>
      <c r="J271" s="1254"/>
      <c r="K271" s="1254"/>
      <c r="L271" s="1254"/>
      <c r="M271" s="1254"/>
      <c r="N271" s="1254"/>
      <c r="O271" s="1254"/>
      <c r="P271" s="1254"/>
      <c r="Q271" s="1254"/>
      <c r="R271" s="1254"/>
      <c r="S271" s="1254"/>
      <c r="T271" s="1254"/>
      <c r="U271" s="1254"/>
      <c r="V271" s="1254"/>
      <c r="W271" s="1254"/>
      <c r="X271" s="1254"/>
      <c r="Y271" s="1254"/>
    </row>
    <row r="272">
      <c r="A272" s="1254"/>
      <c r="B272" s="1263"/>
      <c r="C272" s="1263"/>
      <c r="D272" s="1317"/>
      <c r="E272" s="1318"/>
      <c r="F272" s="1254"/>
      <c r="G272" s="1254"/>
      <c r="H272" s="1254"/>
      <c r="I272" s="1254"/>
      <c r="J272" s="1254"/>
      <c r="K272" s="1254"/>
      <c r="L272" s="1254"/>
      <c r="M272" s="1254"/>
      <c r="N272" s="1254"/>
      <c r="O272" s="1254"/>
      <c r="P272" s="1254"/>
      <c r="Q272" s="1254"/>
      <c r="R272" s="1254"/>
      <c r="S272" s="1254"/>
      <c r="T272" s="1254"/>
      <c r="U272" s="1254"/>
      <c r="V272" s="1254"/>
      <c r="W272" s="1254"/>
      <c r="X272" s="1254"/>
      <c r="Y272" s="1254"/>
    </row>
    <row r="273">
      <c r="A273" s="1254"/>
      <c r="B273" s="1263"/>
      <c r="C273" s="1263"/>
      <c r="D273" s="1317"/>
      <c r="E273" s="1318"/>
      <c r="F273" s="1254"/>
      <c r="G273" s="1254"/>
      <c r="H273" s="1254"/>
      <c r="I273" s="1254"/>
      <c r="J273" s="1254"/>
      <c r="K273" s="1254"/>
      <c r="L273" s="1254"/>
      <c r="M273" s="1254"/>
      <c r="N273" s="1254"/>
      <c r="O273" s="1254"/>
      <c r="P273" s="1254"/>
      <c r="Q273" s="1254"/>
      <c r="R273" s="1254"/>
      <c r="S273" s="1254"/>
      <c r="T273" s="1254"/>
      <c r="U273" s="1254"/>
      <c r="V273" s="1254"/>
      <c r="W273" s="1254"/>
      <c r="X273" s="1254"/>
      <c r="Y273" s="1254"/>
    </row>
    <row r="274">
      <c r="A274" s="1254"/>
      <c r="B274" s="1263"/>
      <c r="C274" s="1263"/>
      <c r="D274" s="1317"/>
      <c r="E274" s="1318"/>
      <c r="F274" s="1254"/>
      <c r="G274" s="1254"/>
      <c r="H274" s="1254"/>
      <c r="I274" s="1254"/>
      <c r="J274" s="1254"/>
      <c r="K274" s="1254"/>
      <c r="L274" s="1254"/>
      <c r="M274" s="1254"/>
      <c r="N274" s="1254"/>
      <c r="O274" s="1254"/>
      <c r="P274" s="1254"/>
      <c r="Q274" s="1254"/>
      <c r="R274" s="1254"/>
      <c r="S274" s="1254"/>
      <c r="T274" s="1254"/>
      <c r="U274" s="1254"/>
      <c r="V274" s="1254"/>
      <c r="W274" s="1254"/>
      <c r="X274" s="1254"/>
      <c r="Y274" s="1254"/>
    </row>
    <row r="275">
      <c r="A275" s="1254"/>
      <c r="B275" s="1263"/>
      <c r="C275" s="1263"/>
      <c r="D275" s="1317"/>
      <c r="E275" s="1318"/>
      <c r="F275" s="1254"/>
      <c r="G275" s="1254"/>
      <c r="H275" s="1254"/>
      <c r="I275" s="1254"/>
      <c r="J275" s="1254"/>
      <c r="K275" s="1254"/>
      <c r="L275" s="1254"/>
      <c r="M275" s="1254"/>
      <c r="N275" s="1254"/>
      <c r="O275" s="1254"/>
      <c r="P275" s="1254"/>
      <c r="Q275" s="1254"/>
      <c r="R275" s="1254"/>
      <c r="S275" s="1254"/>
      <c r="T275" s="1254"/>
      <c r="U275" s="1254"/>
      <c r="V275" s="1254"/>
      <c r="W275" s="1254"/>
      <c r="X275" s="1254"/>
      <c r="Y275" s="1254"/>
    </row>
    <row r="276">
      <c r="A276" s="1254"/>
      <c r="B276" s="1263"/>
      <c r="C276" s="1263"/>
      <c r="D276" s="1317"/>
      <c r="E276" s="1318"/>
      <c r="F276" s="1254"/>
      <c r="G276" s="1254"/>
      <c r="H276" s="1254"/>
      <c r="I276" s="1254"/>
      <c r="J276" s="1254"/>
      <c r="K276" s="1254"/>
      <c r="L276" s="1254"/>
      <c r="M276" s="1254"/>
      <c r="N276" s="1254"/>
      <c r="O276" s="1254"/>
      <c r="P276" s="1254"/>
      <c r="Q276" s="1254"/>
      <c r="R276" s="1254"/>
      <c r="S276" s="1254"/>
      <c r="T276" s="1254"/>
      <c r="U276" s="1254"/>
      <c r="V276" s="1254"/>
      <c r="W276" s="1254"/>
      <c r="X276" s="1254"/>
      <c r="Y276" s="1254"/>
    </row>
    <row r="277">
      <c r="A277" s="1254"/>
      <c r="B277" s="1263"/>
      <c r="C277" s="1263"/>
      <c r="D277" s="1317"/>
      <c r="E277" s="1318"/>
      <c r="F277" s="1254"/>
      <c r="G277" s="1254"/>
      <c r="H277" s="1254"/>
      <c r="I277" s="1254"/>
      <c r="J277" s="1254"/>
      <c r="K277" s="1254"/>
      <c r="L277" s="1254"/>
      <c r="M277" s="1254"/>
      <c r="N277" s="1254"/>
      <c r="O277" s="1254"/>
      <c r="P277" s="1254"/>
      <c r="Q277" s="1254"/>
      <c r="R277" s="1254"/>
      <c r="S277" s="1254"/>
      <c r="T277" s="1254"/>
      <c r="U277" s="1254"/>
      <c r="V277" s="1254"/>
      <c r="W277" s="1254"/>
      <c r="X277" s="1254"/>
      <c r="Y277" s="1254"/>
    </row>
    <row r="278">
      <c r="A278" s="1254"/>
      <c r="B278" s="1263"/>
      <c r="C278" s="1263"/>
      <c r="D278" s="1317"/>
      <c r="E278" s="1318"/>
      <c r="F278" s="1254"/>
      <c r="G278" s="1254"/>
      <c r="H278" s="1254"/>
      <c r="I278" s="1254"/>
      <c r="J278" s="1254"/>
      <c r="K278" s="1254"/>
      <c r="L278" s="1254"/>
      <c r="M278" s="1254"/>
      <c r="N278" s="1254"/>
      <c r="O278" s="1254"/>
      <c r="P278" s="1254"/>
      <c r="Q278" s="1254"/>
      <c r="R278" s="1254"/>
      <c r="S278" s="1254"/>
      <c r="T278" s="1254"/>
      <c r="U278" s="1254"/>
      <c r="V278" s="1254"/>
      <c r="W278" s="1254"/>
      <c r="X278" s="1254"/>
      <c r="Y278" s="1254"/>
    </row>
    <row r="279">
      <c r="A279" s="1254"/>
      <c r="B279" s="1263"/>
      <c r="C279" s="1263"/>
      <c r="D279" s="1317"/>
      <c r="E279" s="1318"/>
      <c r="F279" s="1254"/>
      <c r="G279" s="1254"/>
      <c r="H279" s="1254"/>
      <c r="I279" s="1254"/>
      <c r="J279" s="1254"/>
      <c r="K279" s="1254"/>
      <c r="L279" s="1254"/>
      <c r="M279" s="1254"/>
      <c r="N279" s="1254"/>
      <c r="O279" s="1254"/>
      <c r="P279" s="1254"/>
      <c r="Q279" s="1254"/>
      <c r="R279" s="1254"/>
      <c r="S279" s="1254"/>
      <c r="T279" s="1254"/>
      <c r="U279" s="1254"/>
      <c r="V279" s="1254"/>
      <c r="W279" s="1254"/>
      <c r="X279" s="1254"/>
      <c r="Y279" s="1254"/>
    </row>
    <row r="280">
      <c r="A280" s="1254"/>
      <c r="B280" s="1263"/>
      <c r="C280" s="1263"/>
      <c r="D280" s="1317"/>
      <c r="E280" s="1318"/>
      <c r="F280" s="1254"/>
      <c r="G280" s="1254"/>
      <c r="H280" s="1254"/>
      <c r="I280" s="1254"/>
      <c r="J280" s="1254"/>
      <c r="K280" s="1254"/>
      <c r="L280" s="1254"/>
      <c r="M280" s="1254"/>
      <c r="N280" s="1254"/>
      <c r="O280" s="1254"/>
      <c r="P280" s="1254"/>
      <c r="Q280" s="1254"/>
      <c r="R280" s="1254"/>
      <c r="S280" s="1254"/>
      <c r="T280" s="1254"/>
      <c r="U280" s="1254"/>
      <c r="V280" s="1254"/>
      <c r="W280" s="1254"/>
      <c r="X280" s="1254"/>
      <c r="Y280" s="1254"/>
    </row>
    <row r="281">
      <c r="A281" s="1254"/>
      <c r="B281" s="1263"/>
      <c r="C281" s="1263"/>
      <c r="D281" s="1317"/>
      <c r="E281" s="1318"/>
      <c r="F281" s="1254"/>
      <c r="G281" s="1254"/>
      <c r="H281" s="1254"/>
      <c r="I281" s="1254"/>
      <c r="J281" s="1254"/>
      <c r="K281" s="1254"/>
      <c r="L281" s="1254"/>
      <c r="M281" s="1254"/>
      <c r="N281" s="1254"/>
      <c r="O281" s="1254"/>
      <c r="P281" s="1254"/>
      <c r="Q281" s="1254"/>
      <c r="R281" s="1254"/>
      <c r="S281" s="1254"/>
      <c r="T281" s="1254"/>
      <c r="U281" s="1254"/>
      <c r="V281" s="1254"/>
      <c r="W281" s="1254"/>
      <c r="X281" s="1254"/>
      <c r="Y281" s="1254"/>
    </row>
    <row r="282">
      <c r="A282" s="1254"/>
      <c r="B282" s="1263"/>
      <c r="C282" s="1263"/>
      <c r="D282" s="1317"/>
      <c r="E282" s="1318"/>
      <c r="F282" s="1254"/>
      <c r="G282" s="1254"/>
      <c r="H282" s="1254"/>
      <c r="I282" s="1254"/>
      <c r="J282" s="1254"/>
      <c r="K282" s="1254"/>
      <c r="L282" s="1254"/>
      <c r="M282" s="1254"/>
      <c r="N282" s="1254"/>
      <c r="O282" s="1254"/>
      <c r="P282" s="1254"/>
      <c r="Q282" s="1254"/>
      <c r="R282" s="1254"/>
      <c r="S282" s="1254"/>
      <c r="T282" s="1254"/>
      <c r="U282" s="1254"/>
      <c r="V282" s="1254"/>
      <c r="W282" s="1254"/>
      <c r="X282" s="1254"/>
      <c r="Y282" s="1254"/>
    </row>
    <row r="283">
      <c r="A283" s="1254"/>
      <c r="B283" s="1263"/>
      <c r="C283" s="1263"/>
      <c r="D283" s="1317"/>
      <c r="E283" s="1318"/>
      <c r="F283" s="1254"/>
      <c r="G283" s="1254"/>
      <c r="H283" s="1254"/>
      <c r="I283" s="1254"/>
      <c r="J283" s="1254"/>
      <c r="K283" s="1254"/>
      <c r="L283" s="1254"/>
      <c r="M283" s="1254"/>
      <c r="N283" s="1254"/>
      <c r="O283" s="1254"/>
      <c r="P283" s="1254"/>
      <c r="Q283" s="1254"/>
      <c r="R283" s="1254"/>
      <c r="S283" s="1254"/>
      <c r="T283" s="1254"/>
      <c r="U283" s="1254"/>
      <c r="V283" s="1254"/>
      <c r="W283" s="1254"/>
      <c r="X283" s="1254"/>
      <c r="Y283" s="1254"/>
    </row>
    <row r="284">
      <c r="A284" s="1254"/>
      <c r="B284" s="1263"/>
      <c r="C284" s="1263"/>
      <c r="D284" s="1317"/>
      <c r="E284" s="1318"/>
      <c r="F284" s="1254"/>
      <c r="G284" s="1254"/>
      <c r="H284" s="1254"/>
      <c r="I284" s="1254"/>
      <c r="J284" s="1254"/>
      <c r="K284" s="1254"/>
      <c r="L284" s="1254"/>
      <c r="M284" s="1254"/>
      <c r="N284" s="1254"/>
      <c r="O284" s="1254"/>
      <c r="P284" s="1254"/>
      <c r="Q284" s="1254"/>
      <c r="R284" s="1254"/>
      <c r="S284" s="1254"/>
      <c r="T284" s="1254"/>
      <c r="U284" s="1254"/>
      <c r="V284" s="1254"/>
      <c r="W284" s="1254"/>
      <c r="X284" s="1254"/>
      <c r="Y284" s="1254"/>
    </row>
    <row r="285">
      <c r="A285" s="1254"/>
      <c r="B285" s="1263"/>
      <c r="C285" s="1263"/>
      <c r="D285" s="1317"/>
      <c r="E285" s="1318"/>
      <c r="F285" s="1254"/>
      <c r="G285" s="1254"/>
      <c r="H285" s="1254"/>
      <c r="I285" s="1254"/>
      <c r="J285" s="1254"/>
      <c r="K285" s="1254"/>
      <c r="L285" s="1254"/>
      <c r="M285" s="1254"/>
      <c r="N285" s="1254"/>
      <c r="O285" s="1254"/>
      <c r="P285" s="1254"/>
      <c r="Q285" s="1254"/>
      <c r="R285" s="1254"/>
      <c r="S285" s="1254"/>
      <c r="T285" s="1254"/>
      <c r="U285" s="1254"/>
      <c r="V285" s="1254"/>
      <c r="W285" s="1254"/>
      <c r="X285" s="1254"/>
      <c r="Y285" s="1254"/>
    </row>
    <row r="286">
      <c r="A286" s="1254"/>
      <c r="B286" s="1263"/>
      <c r="C286" s="1263"/>
      <c r="D286" s="1317"/>
      <c r="E286" s="1318"/>
      <c r="F286" s="1254"/>
      <c r="G286" s="1254"/>
      <c r="H286" s="1254"/>
      <c r="I286" s="1254"/>
      <c r="J286" s="1254"/>
      <c r="K286" s="1254"/>
      <c r="L286" s="1254"/>
      <c r="M286" s="1254"/>
      <c r="N286" s="1254"/>
      <c r="O286" s="1254"/>
      <c r="P286" s="1254"/>
      <c r="Q286" s="1254"/>
      <c r="R286" s="1254"/>
      <c r="S286" s="1254"/>
      <c r="T286" s="1254"/>
      <c r="U286" s="1254"/>
      <c r="V286" s="1254"/>
      <c r="W286" s="1254"/>
      <c r="X286" s="1254"/>
      <c r="Y286" s="1254"/>
    </row>
    <row r="287">
      <c r="A287" s="1254"/>
      <c r="B287" s="1263"/>
      <c r="C287" s="1263"/>
      <c r="D287" s="1317"/>
      <c r="E287" s="1318"/>
      <c r="F287" s="1254"/>
      <c r="G287" s="1254"/>
      <c r="H287" s="1254"/>
      <c r="I287" s="1254"/>
      <c r="J287" s="1254"/>
      <c r="K287" s="1254"/>
      <c r="L287" s="1254"/>
      <c r="M287" s="1254"/>
      <c r="N287" s="1254"/>
      <c r="O287" s="1254"/>
      <c r="P287" s="1254"/>
      <c r="Q287" s="1254"/>
      <c r="R287" s="1254"/>
      <c r="S287" s="1254"/>
      <c r="T287" s="1254"/>
      <c r="U287" s="1254"/>
      <c r="V287" s="1254"/>
      <c r="W287" s="1254"/>
      <c r="X287" s="1254"/>
      <c r="Y287" s="1254"/>
    </row>
    <row r="288">
      <c r="A288" s="1254"/>
      <c r="B288" s="1263"/>
      <c r="C288" s="1263"/>
      <c r="D288" s="1317"/>
      <c r="E288" s="1318"/>
      <c r="F288" s="1254"/>
      <c r="G288" s="1254"/>
      <c r="H288" s="1254"/>
      <c r="I288" s="1254"/>
      <c r="J288" s="1254"/>
      <c r="K288" s="1254"/>
      <c r="L288" s="1254"/>
      <c r="M288" s="1254"/>
      <c r="N288" s="1254"/>
      <c r="O288" s="1254"/>
      <c r="P288" s="1254"/>
      <c r="Q288" s="1254"/>
      <c r="R288" s="1254"/>
      <c r="S288" s="1254"/>
      <c r="T288" s="1254"/>
      <c r="U288" s="1254"/>
      <c r="V288" s="1254"/>
      <c r="W288" s="1254"/>
      <c r="X288" s="1254"/>
      <c r="Y288" s="1254"/>
    </row>
    <row r="289">
      <c r="A289" s="1254"/>
      <c r="B289" s="1263"/>
      <c r="C289" s="1263"/>
      <c r="D289" s="1317"/>
      <c r="E289" s="1318"/>
      <c r="F289" s="1254"/>
      <c r="G289" s="1254"/>
      <c r="H289" s="1254"/>
      <c r="I289" s="1254"/>
      <c r="J289" s="1254"/>
      <c r="K289" s="1254"/>
      <c r="L289" s="1254"/>
      <c r="M289" s="1254"/>
      <c r="N289" s="1254"/>
      <c r="O289" s="1254"/>
      <c r="P289" s="1254"/>
      <c r="Q289" s="1254"/>
      <c r="R289" s="1254"/>
      <c r="S289" s="1254"/>
      <c r="T289" s="1254"/>
      <c r="U289" s="1254"/>
      <c r="V289" s="1254"/>
      <c r="W289" s="1254"/>
      <c r="X289" s="1254"/>
      <c r="Y289" s="1254"/>
    </row>
    <row r="290">
      <c r="A290" s="1254"/>
      <c r="B290" s="1263"/>
      <c r="C290" s="1263"/>
      <c r="D290" s="1317"/>
      <c r="E290" s="1318"/>
      <c r="F290" s="1254"/>
      <c r="G290" s="1254"/>
      <c r="H290" s="1254"/>
      <c r="I290" s="1254"/>
      <c r="J290" s="1254"/>
      <c r="K290" s="1254"/>
      <c r="L290" s="1254"/>
      <c r="M290" s="1254"/>
      <c r="N290" s="1254"/>
      <c r="O290" s="1254"/>
      <c r="P290" s="1254"/>
      <c r="Q290" s="1254"/>
      <c r="R290" s="1254"/>
      <c r="S290" s="1254"/>
      <c r="T290" s="1254"/>
      <c r="U290" s="1254"/>
      <c r="V290" s="1254"/>
      <c r="W290" s="1254"/>
      <c r="X290" s="1254"/>
      <c r="Y290" s="1254"/>
    </row>
    <row r="291">
      <c r="A291" s="1254"/>
      <c r="B291" s="1263"/>
      <c r="C291" s="1263"/>
      <c r="D291" s="1317"/>
      <c r="E291" s="1318"/>
      <c r="F291" s="1254"/>
      <c r="G291" s="1254"/>
      <c r="H291" s="1254"/>
      <c r="I291" s="1254"/>
      <c r="J291" s="1254"/>
      <c r="K291" s="1254"/>
      <c r="L291" s="1254"/>
      <c r="M291" s="1254"/>
      <c r="N291" s="1254"/>
      <c r="O291" s="1254"/>
      <c r="P291" s="1254"/>
      <c r="Q291" s="1254"/>
      <c r="R291" s="1254"/>
      <c r="S291" s="1254"/>
      <c r="T291" s="1254"/>
      <c r="U291" s="1254"/>
      <c r="V291" s="1254"/>
      <c r="W291" s="1254"/>
      <c r="X291" s="1254"/>
      <c r="Y291" s="1254"/>
    </row>
    <row r="292">
      <c r="A292" s="1254"/>
      <c r="B292" s="1263"/>
      <c r="C292" s="1263"/>
      <c r="D292" s="1317"/>
      <c r="E292" s="1318"/>
      <c r="F292" s="1254"/>
      <c r="G292" s="1254"/>
      <c r="H292" s="1254"/>
      <c r="I292" s="1254"/>
      <c r="J292" s="1254"/>
      <c r="K292" s="1254"/>
      <c r="L292" s="1254"/>
      <c r="M292" s="1254"/>
      <c r="N292" s="1254"/>
      <c r="O292" s="1254"/>
      <c r="P292" s="1254"/>
      <c r="Q292" s="1254"/>
      <c r="R292" s="1254"/>
      <c r="S292" s="1254"/>
      <c r="T292" s="1254"/>
      <c r="U292" s="1254"/>
      <c r="V292" s="1254"/>
      <c r="W292" s="1254"/>
      <c r="X292" s="1254"/>
      <c r="Y292" s="1254"/>
    </row>
    <row r="293">
      <c r="A293" s="1254"/>
      <c r="B293" s="1263"/>
      <c r="C293" s="1263"/>
      <c r="D293" s="1317"/>
      <c r="E293" s="1318"/>
      <c r="F293" s="1254"/>
      <c r="G293" s="1254"/>
      <c r="H293" s="1254"/>
      <c r="I293" s="1254"/>
      <c r="J293" s="1254"/>
      <c r="K293" s="1254"/>
      <c r="L293" s="1254"/>
      <c r="M293" s="1254"/>
      <c r="N293" s="1254"/>
      <c r="O293" s="1254"/>
      <c r="P293" s="1254"/>
      <c r="Q293" s="1254"/>
      <c r="R293" s="1254"/>
      <c r="S293" s="1254"/>
      <c r="T293" s="1254"/>
      <c r="U293" s="1254"/>
      <c r="V293" s="1254"/>
      <c r="W293" s="1254"/>
      <c r="X293" s="1254"/>
      <c r="Y293" s="1254"/>
    </row>
    <row r="294">
      <c r="A294" s="1254"/>
      <c r="B294" s="1263"/>
      <c r="C294" s="1263"/>
      <c r="D294" s="1317"/>
      <c r="E294" s="1318"/>
      <c r="F294" s="1254"/>
      <c r="G294" s="1254"/>
      <c r="H294" s="1254"/>
      <c r="I294" s="1254"/>
      <c r="J294" s="1254"/>
      <c r="K294" s="1254"/>
      <c r="L294" s="1254"/>
      <c r="M294" s="1254"/>
      <c r="N294" s="1254"/>
      <c r="O294" s="1254"/>
      <c r="P294" s="1254"/>
      <c r="Q294" s="1254"/>
      <c r="R294" s="1254"/>
      <c r="S294" s="1254"/>
      <c r="T294" s="1254"/>
      <c r="U294" s="1254"/>
      <c r="V294" s="1254"/>
      <c r="W294" s="1254"/>
      <c r="X294" s="1254"/>
      <c r="Y294" s="1254"/>
    </row>
    <row r="295">
      <c r="A295" s="1254"/>
      <c r="B295" s="1263"/>
      <c r="C295" s="1263"/>
      <c r="D295" s="1317"/>
      <c r="E295" s="1318"/>
      <c r="F295" s="1254"/>
      <c r="G295" s="1254"/>
      <c r="H295" s="1254"/>
      <c r="I295" s="1254"/>
      <c r="J295" s="1254"/>
      <c r="K295" s="1254"/>
      <c r="L295" s="1254"/>
      <c r="M295" s="1254"/>
      <c r="N295" s="1254"/>
      <c r="O295" s="1254"/>
      <c r="P295" s="1254"/>
      <c r="Q295" s="1254"/>
      <c r="R295" s="1254"/>
      <c r="S295" s="1254"/>
      <c r="T295" s="1254"/>
      <c r="U295" s="1254"/>
      <c r="V295" s="1254"/>
      <c r="W295" s="1254"/>
      <c r="X295" s="1254"/>
      <c r="Y295" s="1254"/>
    </row>
    <row r="296">
      <c r="A296" s="1254"/>
      <c r="B296" s="1263"/>
      <c r="C296" s="1263"/>
      <c r="D296" s="1317"/>
      <c r="E296" s="1318"/>
      <c r="F296" s="1254"/>
      <c r="G296" s="1254"/>
      <c r="H296" s="1254"/>
      <c r="I296" s="1254"/>
      <c r="J296" s="1254"/>
      <c r="K296" s="1254"/>
      <c r="L296" s="1254"/>
      <c r="M296" s="1254"/>
      <c r="N296" s="1254"/>
      <c r="O296" s="1254"/>
      <c r="P296" s="1254"/>
      <c r="Q296" s="1254"/>
      <c r="R296" s="1254"/>
      <c r="S296" s="1254"/>
      <c r="T296" s="1254"/>
      <c r="U296" s="1254"/>
      <c r="V296" s="1254"/>
      <c r="W296" s="1254"/>
      <c r="X296" s="1254"/>
      <c r="Y296" s="1254"/>
    </row>
    <row r="297">
      <c r="A297" s="1254"/>
      <c r="B297" s="1263"/>
      <c r="C297" s="1263"/>
      <c r="D297" s="1317"/>
      <c r="E297" s="1318"/>
      <c r="F297" s="1254"/>
      <c r="G297" s="1254"/>
      <c r="H297" s="1254"/>
      <c r="I297" s="1254"/>
      <c r="J297" s="1254"/>
      <c r="K297" s="1254"/>
      <c r="L297" s="1254"/>
      <c r="M297" s="1254"/>
      <c r="N297" s="1254"/>
      <c r="O297" s="1254"/>
      <c r="P297" s="1254"/>
      <c r="Q297" s="1254"/>
      <c r="R297" s="1254"/>
      <c r="S297" s="1254"/>
      <c r="T297" s="1254"/>
      <c r="U297" s="1254"/>
      <c r="V297" s="1254"/>
      <c r="W297" s="1254"/>
      <c r="X297" s="1254"/>
      <c r="Y297" s="1254"/>
    </row>
    <row r="298">
      <c r="A298" s="1254"/>
      <c r="B298" s="1263"/>
      <c r="C298" s="1263"/>
      <c r="D298" s="1317"/>
      <c r="E298" s="1318"/>
      <c r="F298" s="1254"/>
      <c r="G298" s="1254"/>
      <c r="H298" s="1254"/>
      <c r="I298" s="1254"/>
      <c r="J298" s="1254"/>
      <c r="K298" s="1254"/>
      <c r="L298" s="1254"/>
      <c r="M298" s="1254"/>
      <c r="N298" s="1254"/>
      <c r="O298" s="1254"/>
      <c r="P298" s="1254"/>
      <c r="Q298" s="1254"/>
      <c r="R298" s="1254"/>
      <c r="S298" s="1254"/>
      <c r="T298" s="1254"/>
      <c r="U298" s="1254"/>
      <c r="V298" s="1254"/>
      <c r="W298" s="1254"/>
      <c r="X298" s="1254"/>
      <c r="Y298" s="1254"/>
    </row>
    <row r="299">
      <c r="A299" s="1254"/>
      <c r="B299" s="1263"/>
      <c r="C299" s="1263"/>
      <c r="D299" s="1317"/>
      <c r="E299" s="1318"/>
      <c r="F299" s="1254"/>
      <c r="G299" s="1254"/>
      <c r="H299" s="1254"/>
      <c r="I299" s="1254"/>
      <c r="J299" s="1254"/>
      <c r="K299" s="1254"/>
      <c r="L299" s="1254"/>
      <c r="M299" s="1254"/>
      <c r="N299" s="1254"/>
      <c r="O299" s="1254"/>
      <c r="P299" s="1254"/>
      <c r="Q299" s="1254"/>
      <c r="R299" s="1254"/>
      <c r="S299" s="1254"/>
      <c r="T299" s="1254"/>
      <c r="U299" s="1254"/>
      <c r="V299" s="1254"/>
      <c r="W299" s="1254"/>
      <c r="X299" s="1254"/>
      <c r="Y299" s="1254"/>
    </row>
    <row r="300">
      <c r="A300" s="1254"/>
      <c r="B300" s="1263"/>
      <c r="C300" s="1263"/>
      <c r="D300" s="1317"/>
      <c r="E300" s="1318"/>
      <c r="F300" s="1254"/>
      <c r="G300" s="1254"/>
      <c r="H300" s="1254"/>
      <c r="I300" s="1254"/>
      <c r="J300" s="1254"/>
      <c r="K300" s="1254"/>
      <c r="L300" s="1254"/>
      <c r="M300" s="1254"/>
      <c r="N300" s="1254"/>
      <c r="O300" s="1254"/>
      <c r="P300" s="1254"/>
      <c r="Q300" s="1254"/>
      <c r="R300" s="1254"/>
      <c r="S300" s="1254"/>
      <c r="T300" s="1254"/>
      <c r="U300" s="1254"/>
      <c r="V300" s="1254"/>
      <c r="W300" s="1254"/>
      <c r="X300" s="1254"/>
      <c r="Y300" s="1254"/>
    </row>
    <row r="301">
      <c r="A301" s="1254"/>
      <c r="B301" s="1263"/>
      <c r="C301" s="1263"/>
      <c r="D301" s="1317"/>
      <c r="E301" s="1318"/>
      <c r="F301" s="1254"/>
      <c r="G301" s="1254"/>
      <c r="H301" s="1254"/>
      <c r="I301" s="1254"/>
      <c r="J301" s="1254"/>
      <c r="K301" s="1254"/>
      <c r="L301" s="1254"/>
      <c r="M301" s="1254"/>
      <c r="N301" s="1254"/>
      <c r="O301" s="1254"/>
      <c r="P301" s="1254"/>
      <c r="Q301" s="1254"/>
      <c r="R301" s="1254"/>
      <c r="S301" s="1254"/>
      <c r="T301" s="1254"/>
      <c r="U301" s="1254"/>
      <c r="V301" s="1254"/>
      <c r="W301" s="1254"/>
      <c r="X301" s="1254"/>
      <c r="Y301" s="1254"/>
    </row>
    <row r="302">
      <c r="A302" s="1254"/>
      <c r="B302" s="1263"/>
      <c r="C302" s="1263"/>
      <c r="D302" s="1317"/>
      <c r="E302" s="1318"/>
      <c r="F302" s="1254"/>
      <c r="G302" s="1254"/>
      <c r="H302" s="1254"/>
      <c r="I302" s="1254"/>
      <c r="J302" s="1254"/>
      <c r="K302" s="1254"/>
      <c r="L302" s="1254"/>
      <c r="M302" s="1254"/>
      <c r="N302" s="1254"/>
      <c r="O302" s="1254"/>
      <c r="P302" s="1254"/>
      <c r="Q302" s="1254"/>
      <c r="R302" s="1254"/>
      <c r="S302" s="1254"/>
      <c r="T302" s="1254"/>
      <c r="U302" s="1254"/>
      <c r="V302" s="1254"/>
      <c r="W302" s="1254"/>
      <c r="X302" s="1254"/>
      <c r="Y302" s="1254"/>
    </row>
    <row r="303">
      <c r="A303" s="1254"/>
      <c r="B303" s="1263"/>
      <c r="C303" s="1263"/>
      <c r="D303" s="1317"/>
      <c r="E303" s="1318"/>
      <c r="F303" s="1254"/>
      <c r="G303" s="1254"/>
      <c r="H303" s="1254"/>
      <c r="I303" s="1254"/>
      <c r="J303" s="1254"/>
      <c r="K303" s="1254"/>
      <c r="L303" s="1254"/>
      <c r="M303" s="1254"/>
      <c r="N303" s="1254"/>
      <c r="O303" s="1254"/>
      <c r="P303" s="1254"/>
      <c r="Q303" s="1254"/>
      <c r="R303" s="1254"/>
      <c r="S303" s="1254"/>
      <c r="T303" s="1254"/>
      <c r="U303" s="1254"/>
      <c r="V303" s="1254"/>
      <c r="W303" s="1254"/>
      <c r="X303" s="1254"/>
      <c r="Y303" s="1254"/>
    </row>
    <row r="304">
      <c r="A304" s="1254"/>
      <c r="B304" s="1263"/>
      <c r="C304" s="1263"/>
      <c r="D304" s="1317"/>
      <c r="E304" s="1318"/>
      <c r="F304" s="1254"/>
      <c r="G304" s="1254"/>
      <c r="H304" s="1254"/>
      <c r="I304" s="1254"/>
      <c r="J304" s="1254"/>
      <c r="K304" s="1254"/>
      <c r="L304" s="1254"/>
      <c r="M304" s="1254"/>
      <c r="N304" s="1254"/>
      <c r="O304" s="1254"/>
      <c r="P304" s="1254"/>
      <c r="Q304" s="1254"/>
      <c r="R304" s="1254"/>
      <c r="S304" s="1254"/>
      <c r="T304" s="1254"/>
      <c r="U304" s="1254"/>
      <c r="V304" s="1254"/>
      <c r="W304" s="1254"/>
      <c r="X304" s="1254"/>
      <c r="Y304" s="1254"/>
    </row>
    <row r="305">
      <c r="A305" s="1254"/>
      <c r="B305" s="1263"/>
      <c r="C305" s="1263"/>
      <c r="D305" s="1317"/>
      <c r="E305" s="1318"/>
      <c r="F305" s="1254"/>
      <c r="G305" s="1254"/>
      <c r="H305" s="1254"/>
      <c r="I305" s="1254"/>
      <c r="J305" s="1254"/>
      <c r="K305" s="1254"/>
      <c r="L305" s="1254"/>
      <c r="M305" s="1254"/>
      <c r="N305" s="1254"/>
      <c r="O305" s="1254"/>
      <c r="P305" s="1254"/>
      <c r="Q305" s="1254"/>
      <c r="R305" s="1254"/>
      <c r="S305" s="1254"/>
      <c r="T305" s="1254"/>
      <c r="U305" s="1254"/>
      <c r="V305" s="1254"/>
      <c r="W305" s="1254"/>
      <c r="X305" s="1254"/>
      <c r="Y305" s="1254"/>
    </row>
    <row r="306">
      <c r="A306" s="1254"/>
      <c r="B306" s="1263"/>
      <c r="C306" s="1263"/>
      <c r="D306" s="1317"/>
      <c r="E306" s="1318"/>
      <c r="F306" s="1254"/>
      <c r="G306" s="1254"/>
      <c r="H306" s="1254"/>
      <c r="I306" s="1254"/>
      <c r="J306" s="1254"/>
      <c r="K306" s="1254"/>
      <c r="L306" s="1254"/>
      <c r="M306" s="1254"/>
      <c r="N306" s="1254"/>
      <c r="O306" s="1254"/>
      <c r="P306" s="1254"/>
      <c r="Q306" s="1254"/>
      <c r="R306" s="1254"/>
      <c r="S306" s="1254"/>
      <c r="T306" s="1254"/>
      <c r="U306" s="1254"/>
      <c r="V306" s="1254"/>
      <c r="W306" s="1254"/>
      <c r="X306" s="1254"/>
      <c r="Y306" s="1254"/>
    </row>
    <row r="307">
      <c r="A307" s="1254"/>
      <c r="B307" s="1263"/>
      <c r="C307" s="1263"/>
      <c r="D307" s="1317"/>
      <c r="E307" s="1318"/>
      <c r="F307" s="1254"/>
      <c r="G307" s="1254"/>
      <c r="H307" s="1254"/>
      <c r="I307" s="1254"/>
      <c r="J307" s="1254"/>
      <c r="K307" s="1254"/>
      <c r="L307" s="1254"/>
      <c r="M307" s="1254"/>
      <c r="N307" s="1254"/>
      <c r="O307" s="1254"/>
      <c r="P307" s="1254"/>
      <c r="Q307" s="1254"/>
      <c r="R307" s="1254"/>
      <c r="S307" s="1254"/>
      <c r="T307" s="1254"/>
      <c r="U307" s="1254"/>
      <c r="V307" s="1254"/>
      <c r="W307" s="1254"/>
      <c r="X307" s="1254"/>
      <c r="Y307" s="1254"/>
    </row>
    <row r="308">
      <c r="A308" s="1254"/>
      <c r="B308" s="1263"/>
      <c r="C308" s="1263"/>
      <c r="D308" s="1317"/>
      <c r="E308" s="1318"/>
      <c r="F308" s="1254"/>
      <c r="G308" s="1254"/>
      <c r="H308" s="1254"/>
      <c r="I308" s="1254"/>
      <c r="J308" s="1254"/>
      <c r="K308" s="1254"/>
      <c r="L308" s="1254"/>
      <c r="M308" s="1254"/>
      <c r="N308" s="1254"/>
      <c r="O308" s="1254"/>
      <c r="P308" s="1254"/>
      <c r="Q308" s="1254"/>
      <c r="R308" s="1254"/>
      <c r="S308" s="1254"/>
      <c r="T308" s="1254"/>
      <c r="U308" s="1254"/>
      <c r="V308" s="1254"/>
      <c r="W308" s="1254"/>
      <c r="X308" s="1254"/>
      <c r="Y308" s="1254"/>
    </row>
    <row r="309">
      <c r="A309" s="1254"/>
      <c r="B309" s="1263"/>
      <c r="C309" s="1263"/>
      <c r="D309" s="1317"/>
      <c r="E309" s="1318"/>
      <c r="F309" s="1254"/>
      <c r="G309" s="1254"/>
      <c r="H309" s="1254"/>
      <c r="I309" s="1254"/>
      <c r="J309" s="1254"/>
      <c r="K309" s="1254"/>
      <c r="L309" s="1254"/>
      <c r="M309" s="1254"/>
      <c r="N309" s="1254"/>
      <c r="O309" s="1254"/>
      <c r="P309" s="1254"/>
      <c r="Q309" s="1254"/>
      <c r="R309" s="1254"/>
      <c r="S309" s="1254"/>
      <c r="T309" s="1254"/>
      <c r="U309" s="1254"/>
      <c r="V309" s="1254"/>
      <c r="W309" s="1254"/>
      <c r="X309" s="1254"/>
      <c r="Y309" s="1254"/>
    </row>
    <row r="310">
      <c r="A310" s="1254"/>
      <c r="B310" s="1263"/>
      <c r="C310" s="1263"/>
      <c r="D310" s="1317"/>
      <c r="E310" s="1318"/>
      <c r="F310" s="1254"/>
      <c r="G310" s="1254"/>
      <c r="H310" s="1254"/>
      <c r="I310" s="1254"/>
      <c r="J310" s="1254"/>
      <c r="K310" s="1254"/>
      <c r="L310" s="1254"/>
      <c r="M310" s="1254"/>
      <c r="N310" s="1254"/>
      <c r="O310" s="1254"/>
      <c r="P310" s="1254"/>
      <c r="Q310" s="1254"/>
      <c r="R310" s="1254"/>
      <c r="S310" s="1254"/>
      <c r="T310" s="1254"/>
      <c r="U310" s="1254"/>
      <c r="V310" s="1254"/>
      <c r="W310" s="1254"/>
      <c r="X310" s="1254"/>
      <c r="Y310" s="1254"/>
    </row>
    <row r="311">
      <c r="A311" s="1254"/>
      <c r="B311" s="1263"/>
      <c r="C311" s="1263"/>
      <c r="D311" s="1317"/>
      <c r="E311" s="1318"/>
      <c r="F311" s="1254"/>
      <c r="G311" s="1254"/>
      <c r="H311" s="1254"/>
      <c r="I311" s="1254"/>
      <c r="J311" s="1254"/>
      <c r="K311" s="1254"/>
      <c r="L311" s="1254"/>
      <c r="M311" s="1254"/>
      <c r="N311" s="1254"/>
      <c r="O311" s="1254"/>
      <c r="P311" s="1254"/>
      <c r="Q311" s="1254"/>
      <c r="R311" s="1254"/>
      <c r="S311" s="1254"/>
      <c r="T311" s="1254"/>
      <c r="U311" s="1254"/>
      <c r="V311" s="1254"/>
      <c r="W311" s="1254"/>
      <c r="X311" s="1254"/>
      <c r="Y311" s="1254"/>
    </row>
    <row r="312">
      <c r="A312" s="1254"/>
      <c r="B312" s="1263"/>
      <c r="C312" s="1263"/>
      <c r="D312" s="1317"/>
      <c r="E312" s="1318"/>
      <c r="F312" s="1254"/>
      <c r="G312" s="1254"/>
      <c r="H312" s="1254"/>
      <c r="I312" s="1254"/>
      <c r="J312" s="1254"/>
      <c r="K312" s="1254"/>
      <c r="L312" s="1254"/>
      <c r="M312" s="1254"/>
      <c r="N312" s="1254"/>
      <c r="O312" s="1254"/>
      <c r="P312" s="1254"/>
      <c r="Q312" s="1254"/>
      <c r="R312" s="1254"/>
      <c r="S312" s="1254"/>
      <c r="T312" s="1254"/>
      <c r="U312" s="1254"/>
      <c r="V312" s="1254"/>
      <c r="W312" s="1254"/>
      <c r="X312" s="1254"/>
      <c r="Y312" s="1254"/>
    </row>
    <row r="313">
      <c r="A313" s="1254"/>
      <c r="B313" s="1263"/>
      <c r="C313" s="1263"/>
      <c r="D313" s="1317"/>
      <c r="E313" s="1318"/>
      <c r="F313" s="1254"/>
      <c r="G313" s="1254"/>
      <c r="H313" s="1254"/>
      <c r="I313" s="1254"/>
      <c r="J313" s="1254"/>
      <c r="K313" s="1254"/>
      <c r="L313" s="1254"/>
      <c r="M313" s="1254"/>
      <c r="N313" s="1254"/>
      <c r="O313" s="1254"/>
      <c r="P313" s="1254"/>
      <c r="Q313" s="1254"/>
      <c r="R313" s="1254"/>
      <c r="S313" s="1254"/>
      <c r="T313" s="1254"/>
      <c r="U313" s="1254"/>
      <c r="V313" s="1254"/>
      <c r="W313" s="1254"/>
      <c r="X313" s="1254"/>
      <c r="Y313" s="1254"/>
    </row>
    <row r="314">
      <c r="A314" s="1254"/>
      <c r="B314" s="1263"/>
      <c r="C314" s="1263"/>
      <c r="D314" s="1317"/>
      <c r="E314" s="1318"/>
      <c r="F314" s="1254"/>
      <c r="G314" s="1254"/>
      <c r="H314" s="1254"/>
      <c r="I314" s="1254"/>
      <c r="J314" s="1254"/>
      <c r="K314" s="1254"/>
      <c r="L314" s="1254"/>
      <c r="M314" s="1254"/>
      <c r="N314" s="1254"/>
      <c r="O314" s="1254"/>
      <c r="P314" s="1254"/>
      <c r="Q314" s="1254"/>
      <c r="R314" s="1254"/>
      <c r="S314" s="1254"/>
      <c r="T314" s="1254"/>
      <c r="U314" s="1254"/>
      <c r="V314" s="1254"/>
      <c r="W314" s="1254"/>
      <c r="X314" s="1254"/>
      <c r="Y314" s="1254"/>
    </row>
    <row r="315">
      <c r="A315" s="1254"/>
      <c r="B315" s="1263"/>
      <c r="C315" s="1263"/>
      <c r="D315" s="1317"/>
      <c r="E315" s="1318"/>
      <c r="F315" s="1254"/>
      <c r="G315" s="1254"/>
      <c r="H315" s="1254"/>
      <c r="I315" s="1254"/>
      <c r="J315" s="1254"/>
      <c r="K315" s="1254"/>
      <c r="L315" s="1254"/>
      <c r="M315" s="1254"/>
      <c r="N315" s="1254"/>
      <c r="O315" s="1254"/>
      <c r="P315" s="1254"/>
      <c r="Q315" s="1254"/>
      <c r="R315" s="1254"/>
      <c r="S315" s="1254"/>
      <c r="T315" s="1254"/>
      <c r="U315" s="1254"/>
      <c r="V315" s="1254"/>
      <c r="W315" s="1254"/>
      <c r="X315" s="1254"/>
      <c r="Y315" s="1254"/>
    </row>
    <row r="316">
      <c r="A316" s="1254"/>
      <c r="B316" s="1263"/>
      <c r="C316" s="1263"/>
      <c r="D316" s="1317"/>
      <c r="E316" s="1318"/>
      <c r="F316" s="1254"/>
      <c r="G316" s="1254"/>
      <c r="H316" s="1254"/>
      <c r="I316" s="1254"/>
      <c r="J316" s="1254"/>
      <c r="K316" s="1254"/>
      <c r="L316" s="1254"/>
      <c r="M316" s="1254"/>
      <c r="N316" s="1254"/>
      <c r="O316" s="1254"/>
      <c r="P316" s="1254"/>
      <c r="Q316" s="1254"/>
      <c r="R316" s="1254"/>
      <c r="S316" s="1254"/>
      <c r="T316" s="1254"/>
      <c r="U316" s="1254"/>
      <c r="V316" s="1254"/>
      <c r="W316" s="1254"/>
      <c r="X316" s="1254"/>
      <c r="Y316" s="1254"/>
    </row>
    <row r="317">
      <c r="A317" s="1254"/>
      <c r="B317" s="1263"/>
      <c r="C317" s="1263"/>
      <c r="D317" s="1317"/>
      <c r="E317" s="1318"/>
      <c r="F317" s="1254"/>
      <c r="G317" s="1254"/>
      <c r="H317" s="1254"/>
      <c r="I317" s="1254"/>
      <c r="J317" s="1254"/>
      <c r="K317" s="1254"/>
      <c r="L317" s="1254"/>
      <c r="M317" s="1254"/>
      <c r="N317" s="1254"/>
      <c r="O317" s="1254"/>
      <c r="P317" s="1254"/>
      <c r="Q317" s="1254"/>
      <c r="R317" s="1254"/>
      <c r="S317" s="1254"/>
      <c r="T317" s="1254"/>
      <c r="U317" s="1254"/>
      <c r="V317" s="1254"/>
      <c r="W317" s="1254"/>
      <c r="X317" s="1254"/>
      <c r="Y317" s="1254"/>
    </row>
    <row r="318">
      <c r="A318" s="1254"/>
      <c r="B318" s="1263"/>
      <c r="C318" s="1263"/>
      <c r="D318" s="1317"/>
      <c r="E318" s="1318"/>
      <c r="F318" s="1254"/>
      <c r="G318" s="1254"/>
      <c r="H318" s="1254"/>
      <c r="I318" s="1254"/>
      <c r="J318" s="1254"/>
      <c r="K318" s="1254"/>
      <c r="L318" s="1254"/>
      <c r="M318" s="1254"/>
      <c r="N318" s="1254"/>
      <c r="O318" s="1254"/>
      <c r="P318" s="1254"/>
      <c r="Q318" s="1254"/>
      <c r="R318" s="1254"/>
      <c r="S318" s="1254"/>
      <c r="T318" s="1254"/>
      <c r="U318" s="1254"/>
      <c r="V318" s="1254"/>
      <c r="W318" s="1254"/>
      <c r="X318" s="1254"/>
      <c r="Y318" s="1254"/>
    </row>
    <row r="319">
      <c r="A319" s="1254"/>
      <c r="B319" s="1263"/>
      <c r="C319" s="1263"/>
      <c r="D319" s="1317"/>
      <c r="E319" s="1318"/>
      <c r="F319" s="1254"/>
      <c r="G319" s="1254"/>
      <c r="H319" s="1254"/>
      <c r="I319" s="1254"/>
      <c r="J319" s="1254"/>
      <c r="K319" s="1254"/>
      <c r="L319" s="1254"/>
      <c r="M319" s="1254"/>
      <c r="N319" s="1254"/>
      <c r="O319" s="1254"/>
      <c r="P319" s="1254"/>
      <c r="Q319" s="1254"/>
      <c r="R319" s="1254"/>
      <c r="S319" s="1254"/>
      <c r="T319" s="1254"/>
      <c r="U319" s="1254"/>
      <c r="V319" s="1254"/>
      <c r="W319" s="1254"/>
      <c r="X319" s="1254"/>
      <c r="Y319" s="1254"/>
    </row>
    <row r="320">
      <c r="A320" s="1254"/>
      <c r="B320" s="1263"/>
      <c r="C320" s="1263"/>
      <c r="D320" s="1317"/>
      <c r="E320" s="1318"/>
      <c r="F320" s="1254"/>
      <c r="G320" s="1254"/>
      <c r="H320" s="1254"/>
      <c r="I320" s="1254"/>
      <c r="J320" s="1254"/>
      <c r="K320" s="1254"/>
      <c r="L320" s="1254"/>
      <c r="M320" s="1254"/>
      <c r="N320" s="1254"/>
      <c r="O320" s="1254"/>
      <c r="P320" s="1254"/>
      <c r="Q320" s="1254"/>
      <c r="R320" s="1254"/>
      <c r="S320" s="1254"/>
      <c r="T320" s="1254"/>
      <c r="U320" s="1254"/>
      <c r="V320" s="1254"/>
      <c r="W320" s="1254"/>
      <c r="X320" s="1254"/>
      <c r="Y320" s="1254"/>
    </row>
    <row r="321">
      <c r="A321" s="1254"/>
      <c r="B321" s="1263"/>
      <c r="C321" s="1263"/>
      <c r="D321" s="1317"/>
      <c r="E321" s="1318"/>
      <c r="F321" s="1254"/>
      <c r="G321" s="1254"/>
      <c r="H321" s="1254"/>
      <c r="I321" s="1254"/>
      <c r="J321" s="1254"/>
      <c r="K321" s="1254"/>
      <c r="L321" s="1254"/>
      <c r="M321" s="1254"/>
      <c r="N321" s="1254"/>
      <c r="O321" s="1254"/>
      <c r="P321" s="1254"/>
      <c r="Q321" s="1254"/>
      <c r="R321" s="1254"/>
      <c r="S321" s="1254"/>
      <c r="T321" s="1254"/>
      <c r="U321" s="1254"/>
      <c r="V321" s="1254"/>
      <c r="W321" s="1254"/>
      <c r="X321" s="1254"/>
      <c r="Y321" s="1254"/>
    </row>
    <row r="322">
      <c r="A322" s="1254"/>
      <c r="B322" s="1263"/>
      <c r="C322" s="1263"/>
      <c r="D322" s="1317"/>
      <c r="E322" s="1318"/>
      <c r="F322" s="1254"/>
      <c r="G322" s="1254"/>
      <c r="H322" s="1254"/>
      <c r="I322" s="1254"/>
      <c r="J322" s="1254"/>
      <c r="K322" s="1254"/>
      <c r="L322" s="1254"/>
      <c r="M322" s="1254"/>
      <c r="N322" s="1254"/>
      <c r="O322" s="1254"/>
      <c r="P322" s="1254"/>
      <c r="Q322" s="1254"/>
      <c r="R322" s="1254"/>
      <c r="S322" s="1254"/>
      <c r="T322" s="1254"/>
      <c r="U322" s="1254"/>
      <c r="V322" s="1254"/>
      <c r="W322" s="1254"/>
      <c r="X322" s="1254"/>
      <c r="Y322" s="1254"/>
    </row>
    <row r="323">
      <c r="A323" s="1254"/>
      <c r="B323" s="1263"/>
      <c r="C323" s="1263"/>
      <c r="D323" s="1317"/>
      <c r="E323" s="1318"/>
      <c r="F323" s="1254"/>
      <c r="G323" s="1254"/>
      <c r="H323" s="1254"/>
      <c r="I323" s="1254"/>
      <c r="J323" s="1254"/>
      <c r="K323" s="1254"/>
      <c r="L323" s="1254"/>
      <c r="M323" s="1254"/>
      <c r="N323" s="1254"/>
      <c r="O323" s="1254"/>
      <c r="P323" s="1254"/>
      <c r="Q323" s="1254"/>
      <c r="R323" s="1254"/>
      <c r="S323" s="1254"/>
      <c r="T323" s="1254"/>
      <c r="U323" s="1254"/>
      <c r="V323" s="1254"/>
      <c r="W323" s="1254"/>
      <c r="X323" s="1254"/>
      <c r="Y323" s="1254"/>
    </row>
    <row r="324">
      <c r="A324" s="1254"/>
      <c r="B324" s="1263"/>
      <c r="C324" s="1263"/>
      <c r="D324" s="1317"/>
      <c r="E324" s="1318"/>
      <c r="F324" s="1254"/>
      <c r="G324" s="1254"/>
      <c r="H324" s="1254"/>
      <c r="I324" s="1254"/>
      <c r="J324" s="1254"/>
      <c r="K324" s="1254"/>
      <c r="L324" s="1254"/>
      <c r="M324" s="1254"/>
      <c r="N324" s="1254"/>
      <c r="O324" s="1254"/>
      <c r="P324" s="1254"/>
      <c r="Q324" s="1254"/>
      <c r="R324" s="1254"/>
      <c r="S324" s="1254"/>
      <c r="T324" s="1254"/>
      <c r="U324" s="1254"/>
      <c r="V324" s="1254"/>
      <c r="W324" s="1254"/>
      <c r="X324" s="1254"/>
      <c r="Y324" s="1254"/>
    </row>
    <row r="325">
      <c r="A325" s="1254"/>
      <c r="B325" s="1263"/>
      <c r="C325" s="1263"/>
      <c r="D325" s="1317"/>
      <c r="E325" s="1318"/>
      <c r="F325" s="1254"/>
      <c r="G325" s="1254"/>
      <c r="H325" s="1254"/>
      <c r="I325" s="1254"/>
      <c r="J325" s="1254"/>
      <c r="K325" s="1254"/>
      <c r="L325" s="1254"/>
      <c r="M325" s="1254"/>
      <c r="N325" s="1254"/>
      <c r="O325" s="1254"/>
      <c r="P325" s="1254"/>
      <c r="Q325" s="1254"/>
      <c r="R325" s="1254"/>
      <c r="S325" s="1254"/>
      <c r="T325" s="1254"/>
      <c r="U325" s="1254"/>
      <c r="V325" s="1254"/>
      <c r="W325" s="1254"/>
      <c r="X325" s="1254"/>
      <c r="Y325" s="1254"/>
    </row>
    <row r="326">
      <c r="A326" s="1254"/>
      <c r="B326" s="1263"/>
      <c r="C326" s="1263"/>
      <c r="D326" s="1317"/>
      <c r="E326" s="1318"/>
      <c r="F326" s="1254"/>
      <c r="G326" s="1254"/>
      <c r="H326" s="1254"/>
      <c r="I326" s="1254"/>
      <c r="J326" s="1254"/>
      <c r="K326" s="1254"/>
      <c r="L326" s="1254"/>
      <c r="M326" s="1254"/>
      <c r="N326" s="1254"/>
      <c r="O326" s="1254"/>
      <c r="P326" s="1254"/>
      <c r="Q326" s="1254"/>
      <c r="R326" s="1254"/>
      <c r="S326" s="1254"/>
      <c r="T326" s="1254"/>
      <c r="U326" s="1254"/>
      <c r="V326" s="1254"/>
      <c r="W326" s="1254"/>
      <c r="X326" s="1254"/>
      <c r="Y326" s="1254"/>
    </row>
    <row r="327">
      <c r="A327" s="1254"/>
      <c r="B327" s="1263"/>
      <c r="C327" s="1263"/>
      <c r="D327" s="1317"/>
      <c r="E327" s="1318"/>
      <c r="F327" s="1254"/>
      <c r="G327" s="1254"/>
      <c r="H327" s="1254"/>
      <c r="I327" s="1254"/>
      <c r="J327" s="1254"/>
      <c r="K327" s="1254"/>
      <c r="L327" s="1254"/>
      <c r="M327" s="1254"/>
      <c r="N327" s="1254"/>
      <c r="O327" s="1254"/>
      <c r="P327" s="1254"/>
      <c r="Q327" s="1254"/>
      <c r="R327" s="1254"/>
      <c r="S327" s="1254"/>
      <c r="T327" s="1254"/>
      <c r="U327" s="1254"/>
      <c r="V327" s="1254"/>
      <c r="W327" s="1254"/>
      <c r="X327" s="1254"/>
      <c r="Y327" s="1254"/>
    </row>
    <row r="328">
      <c r="A328" s="1254"/>
      <c r="B328" s="1263"/>
      <c r="C328" s="1263"/>
      <c r="D328" s="1317"/>
      <c r="E328" s="1318"/>
      <c r="F328" s="1254"/>
      <c r="G328" s="1254"/>
      <c r="H328" s="1254"/>
      <c r="I328" s="1254"/>
      <c r="J328" s="1254"/>
      <c r="K328" s="1254"/>
      <c r="L328" s="1254"/>
      <c r="M328" s="1254"/>
      <c r="N328" s="1254"/>
      <c r="O328" s="1254"/>
      <c r="P328" s="1254"/>
      <c r="Q328" s="1254"/>
      <c r="R328" s="1254"/>
      <c r="S328" s="1254"/>
      <c r="T328" s="1254"/>
      <c r="U328" s="1254"/>
      <c r="V328" s="1254"/>
      <c r="W328" s="1254"/>
      <c r="X328" s="1254"/>
      <c r="Y328" s="1254"/>
    </row>
    <row r="329">
      <c r="A329" s="1254"/>
      <c r="B329" s="1263"/>
      <c r="C329" s="1263"/>
      <c r="D329" s="1317"/>
      <c r="E329" s="1318"/>
      <c r="F329" s="1254"/>
      <c r="G329" s="1254"/>
      <c r="H329" s="1254"/>
      <c r="I329" s="1254"/>
      <c r="J329" s="1254"/>
      <c r="K329" s="1254"/>
      <c r="L329" s="1254"/>
      <c r="M329" s="1254"/>
      <c r="N329" s="1254"/>
      <c r="O329" s="1254"/>
      <c r="P329" s="1254"/>
      <c r="Q329" s="1254"/>
      <c r="R329" s="1254"/>
      <c r="S329" s="1254"/>
      <c r="T329" s="1254"/>
      <c r="U329" s="1254"/>
      <c r="V329" s="1254"/>
      <c r="W329" s="1254"/>
      <c r="X329" s="1254"/>
      <c r="Y329" s="1254"/>
    </row>
    <row r="330">
      <c r="A330" s="1254"/>
      <c r="B330" s="1263"/>
      <c r="C330" s="1263"/>
      <c r="D330" s="1317"/>
      <c r="E330" s="1318"/>
      <c r="F330" s="1254"/>
      <c r="G330" s="1254"/>
      <c r="H330" s="1254"/>
      <c r="I330" s="1254"/>
      <c r="J330" s="1254"/>
      <c r="K330" s="1254"/>
      <c r="L330" s="1254"/>
      <c r="M330" s="1254"/>
      <c r="N330" s="1254"/>
      <c r="O330" s="1254"/>
      <c r="P330" s="1254"/>
      <c r="Q330" s="1254"/>
      <c r="R330" s="1254"/>
      <c r="S330" s="1254"/>
      <c r="T330" s="1254"/>
      <c r="U330" s="1254"/>
      <c r="V330" s="1254"/>
      <c r="W330" s="1254"/>
      <c r="X330" s="1254"/>
      <c r="Y330" s="1254"/>
    </row>
    <row r="331">
      <c r="A331" s="1254"/>
      <c r="B331" s="1263"/>
      <c r="C331" s="1263"/>
      <c r="D331" s="1317"/>
      <c r="E331" s="1318"/>
      <c r="F331" s="1254"/>
      <c r="G331" s="1254"/>
      <c r="H331" s="1254"/>
      <c r="I331" s="1254"/>
      <c r="J331" s="1254"/>
      <c r="K331" s="1254"/>
      <c r="L331" s="1254"/>
      <c r="M331" s="1254"/>
      <c r="N331" s="1254"/>
      <c r="O331" s="1254"/>
      <c r="P331" s="1254"/>
      <c r="Q331" s="1254"/>
      <c r="R331" s="1254"/>
      <c r="S331" s="1254"/>
      <c r="T331" s="1254"/>
      <c r="U331" s="1254"/>
      <c r="V331" s="1254"/>
      <c r="W331" s="1254"/>
      <c r="X331" s="1254"/>
      <c r="Y331" s="1254"/>
    </row>
    <row r="332">
      <c r="A332" s="1254"/>
      <c r="B332" s="1263"/>
      <c r="C332" s="1263"/>
      <c r="D332" s="1317"/>
      <c r="E332" s="1318"/>
      <c r="F332" s="1254"/>
      <c r="G332" s="1254"/>
      <c r="H332" s="1254"/>
      <c r="I332" s="1254"/>
      <c r="J332" s="1254"/>
      <c r="K332" s="1254"/>
      <c r="L332" s="1254"/>
      <c r="M332" s="1254"/>
      <c r="N332" s="1254"/>
      <c r="O332" s="1254"/>
      <c r="P332" s="1254"/>
      <c r="Q332" s="1254"/>
      <c r="R332" s="1254"/>
      <c r="S332" s="1254"/>
      <c r="T332" s="1254"/>
      <c r="U332" s="1254"/>
      <c r="V332" s="1254"/>
      <c r="W332" s="1254"/>
      <c r="X332" s="1254"/>
      <c r="Y332" s="1254"/>
    </row>
    <row r="333">
      <c r="A333" s="1254"/>
      <c r="B333" s="1263"/>
      <c r="C333" s="1263"/>
      <c r="D333" s="1317"/>
      <c r="E333" s="1318"/>
      <c r="F333" s="1254"/>
      <c r="G333" s="1254"/>
      <c r="H333" s="1254"/>
      <c r="I333" s="1254"/>
      <c r="J333" s="1254"/>
      <c r="K333" s="1254"/>
      <c r="L333" s="1254"/>
      <c r="M333" s="1254"/>
      <c r="N333" s="1254"/>
      <c r="O333" s="1254"/>
      <c r="P333" s="1254"/>
      <c r="Q333" s="1254"/>
      <c r="R333" s="1254"/>
      <c r="S333" s="1254"/>
      <c r="T333" s="1254"/>
      <c r="U333" s="1254"/>
      <c r="V333" s="1254"/>
      <c r="W333" s="1254"/>
      <c r="X333" s="1254"/>
      <c r="Y333" s="1254"/>
    </row>
    <row r="334">
      <c r="A334" s="1254"/>
      <c r="B334" s="1263"/>
      <c r="C334" s="1263"/>
      <c r="D334" s="1317"/>
      <c r="E334" s="1318"/>
      <c r="F334" s="1254"/>
      <c r="G334" s="1254"/>
      <c r="H334" s="1254"/>
      <c r="I334" s="1254"/>
      <c r="J334" s="1254"/>
      <c r="K334" s="1254"/>
      <c r="L334" s="1254"/>
      <c r="M334" s="1254"/>
      <c r="N334" s="1254"/>
      <c r="O334" s="1254"/>
      <c r="P334" s="1254"/>
      <c r="Q334" s="1254"/>
      <c r="R334" s="1254"/>
      <c r="S334" s="1254"/>
      <c r="T334" s="1254"/>
      <c r="U334" s="1254"/>
      <c r="V334" s="1254"/>
      <c r="W334" s="1254"/>
      <c r="X334" s="1254"/>
      <c r="Y334" s="1254"/>
    </row>
    <row r="335">
      <c r="A335" s="1254"/>
      <c r="B335" s="1263"/>
      <c r="C335" s="1263"/>
      <c r="D335" s="1317"/>
      <c r="E335" s="1318"/>
      <c r="F335" s="1254"/>
      <c r="G335" s="1254"/>
      <c r="H335" s="1254"/>
      <c r="I335" s="1254"/>
      <c r="J335" s="1254"/>
      <c r="K335" s="1254"/>
      <c r="L335" s="1254"/>
      <c r="M335" s="1254"/>
      <c r="N335" s="1254"/>
      <c r="O335" s="1254"/>
      <c r="P335" s="1254"/>
      <c r="Q335" s="1254"/>
      <c r="R335" s="1254"/>
      <c r="S335" s="1254"/>
      <c r="T335" s="1254"/>
      <c r="U335" s="1254"/>
      <c r="V335" s="1254"/>
      <c r="W335" s="1254"/>
      <c r="X335" s="1254"/>
      <c r="Y335" s="1254"/>
    </row>
    <row r="336">
      <c r="A336" s="1254"/>
      <c r="B336" s="1263"/>
      <c r="C336" s="1263"/>
      <c r="D336" s="1317"/>
      <c r="E336" s="1318"/>
      <c r="F336" s="1254"/>
      <c r="G336" s="1254"/>
      <c r="H336" s="1254"/>
      <c r="I336" s="1254"/>
      <c r="J336" s="1254"/>
      <c r="K336" s="1254"/>
      <c r="L336" s="1254"/>
      <c r="M336" s="1254"/>
      <c r="N336" s="1254"/>
      <c r="O336" s="1254"/>
      <c r="P336" s="1254"/>
      <c r="Q336" s="1254"/>
      <c r="R336" s="1254"/>
      <c r="S336" s="1254"/>
      <c r="T336" s="1254"/>
      <c r="U336" s="1254"/>
      <c r="V336" s="1254"/>
      <c r="W336" s="1254"/>
      <c r="X336" s="1254"/>
      <c r="Y336" s="1254"/>
    </row>
    <row r="337">
      <c r="A337" s="1254"/>
      <c r="B337" s="1263"/>
      <c r="C337" s="1263"/>
      <c r="D337" s="1317"/>
      <c r="E337" s="1318"/>
      <c r="F337" s="1254"/>
      <c r="G337" s="1254"/>
      <c r="H337" s="1254"/>
      <c r="I337" s="1254"/>
      <c r="J337" s="1254"/>
      <c r="K337" s="1254"/>
      <c r="L337" s="1254"/>
      <c r="M337" s="1254"/>
      <c r="N337" s="1254"/>
      <c r="O337" s="1254"/>
      <c r="P337" s="1254"/>
      <c r="Q337" s="1254"/>
      <c r="R337" s="1254"/>
      <c r="S337" s="1254"/>
      <c r="T337" s="1254"/>
      <c r="U337" s="1254"/>
      <c r="V337" s="1254"/>
      <c r="W337" s="1254"/>
      <c r="X337" s="1254"/>
      <c r="Y337" s="1254"/>
    </row>
    <row r="338">
      <c r="A338" s="1254"/>
      <c r="B338" s="1263"/>
      <c r="C338" s="1263"/>
      <c r="D338" s="1317"/>
      <c r="E338" s="1318"/>
      <c r="F338" s="1254"/>
      <c r="G338" s="1254"/>
      <c r="H338" s="1254"/>
      <c r="I338" s="1254"/>
      <c r="J338" s="1254"/>
      <c r="K338" s="1254"/>
      <c r="L338" s="1254"/>
      <c r="M338" s="1254"/>
      <c r="N338" s="1254"/>
      <c r="O338" s="1254"/>
      <c r="P338" s="1254"/>
      <c r="Q338" s="1254"/>
      <c r="R338" s="1254"/>
      <c r="S338" s="1254"/>
      <c r="T338" s="1254"/>
      <c r="U338" s="1254"/>
      <c r="V338" s="1254"/>
      <c r="W338" s="1254"/>
      <c r="X338" s="1254"/>
      <c r="Y338" s="1254"/>
    </row>
    <row r="339">
      <c r="A339" s="1254"/>
      <c r="B339" s="1263"/>
      <c r="C339" s="1263"/>
      <c r="D339" s="1317"/>
      <c r="E339" s="1318"/>
      <c r="F339" s="1254"/>
      <c r="G339" s="1254"/>
      <c r="H339" s="1254"/>
      <c r="I339" s="1254"/>
      <c r="J339" s="1254"/>
      <c r="K339" s="1254"/>
      <c r="L339" s="1254"/>
      <c r="M339" s="1254"/>
      <c r="N339" s="1254"/>
      <c r="O339" s="1254"/>
      <c r="P339" s="1254"/>
      <c r="Q339" s="1254"/>
      <c r="R339" s="1254"/>
      <c r="S339" s="1254"/>
      <c r="T339" s="1254"/>
      <c r="U339" s="1254"/>
      <c r="V339" s="1254"/>
      <c r="W339" s="1254"/>
      <c r="X339" s="1254"/>
      <c r="Y339" s="1254"/>
    </row>
    <row r="340">
      <c r="A340" s="1254"/>
      <c r="B340" s="1263"/>
      <c r="C340" s="1263"/>
      <c r="D340" s="1317"/>
      <c r="E340" s="1318"/>
      <c r="F340" s="1254"/>
      <c r="G340" s="1254"/>
      <c r="H340" s="1254"/>
      <c r="I340" s="1254"/>
      <c r="J340" s="1254"/>
      <c r="K340" s="1254"/>
      <c r="L340" s="1254"/>
      <c r="M340" s="1254"/>
      <c r="N340" s="1254"/>
      <c r="O340" s="1254"/>
      <c r="P340" s="1254"/>
      <c r="Q340" s="1254"/>
      <c r="R340" s="1254"/>
      <c r="S340" s="1254"/>
      <c r="T340" s="1254"/>
      <c r="U340" s="1254"/>
      <c r="V340" s="1254"/>
      <c r="W340" s="1254"/>
      <c r="X340" s="1254"/>
      <c r="Y340" s="1254"/>
    </row>
    <row r="341">
      <c r="A341" s="1254"/>
      <c r="B341" s="1263"/>
      <c r="C341" s="1263"/>
      <c r="D341" s="1317"/>
      <c r="E341" s="1318"/>
      <c r="F341" s="1254"/>
      <c r="G341" s="1254"/>
      <c r="H341" s="1254"/>
      <c r="I341" s="1254"/>
      <c r="J341" s="1254"/>
      <c r="K341" s="1254"/>
      <c r="L341" s="1254"/>
      <c r="M341" s="1254"/>
      <c r="N341" s="1254"/>
      <c r="O341" s="1254"/>
      <c r="P341" s="1254"/>
      <c r="Q341" s="1254"/>
      <c r="R341" s="1254"/>
      <c r="S341" s="1254"/>
      <c r="T341" s="1254"/>
      <c r="U341" s="1254"/>
      <c r="V341" s="1254"/>
      <c r="W341" s="1254"/>
      <c r="X341" s="1254"/>
      <c r="Y341" s="1254"/>
    </row>
    <row r="342">
      <c r="A342" s="1254"/>
      <c r="B342" s="1263"/>
      <c r="C342" s="1263"/>
      <c r="D342" s="1317"/>
      <c r="E342" s="1318"/>
      <c r="F342" s="1254"/>
      <c r="G342" s="1254"/>
      <c r="H342" s="1254"/>
      <c r="I342" s="1254"/>
      <c r="J342" s="1254"/>
      <c r="K342" s="1254"/>
      <c r="L342" s="1254"/>
      <c r="M342" s="1254"/>
      <c r="N342" s="1254"/>
      <c r="O342" s="1254"/>
      <c r="P342" s="1254"/>
      <c r="Q342" s="1254"/>
      <c r="R342" s="1254"/>
      <c r="S342" s="1254"/>
      <c r="T342" s="1254"/>
      <c r="U342" s="1254"/>
      <c r="V342" s="1254"/>
      <c r="W342" s="1254"/>
      <c r="X342" s="1254"/>
      <c r="Y342" s="1254"/>
    </row>
    <row r="343">
      <c r="A343" s="1254"/>
      <c r="B343" s="1263"/>
      <c r="C343" s="1263"/>
      <c r="D343" s="1317"/>
      <c r="E343" s="1318"/>
      <c r="F343" s="1254"/>
      <c r="G343" s="1254"/>
      <c r="H343" s="1254"/>
      <c r="I343" s="1254"/>
      <c r="J343" s="1254"/>
      <c r="K343" s="1254"/>
      <c r="L343" s="1254"/>
      <c r="M343" s="1254"/>
      <c r="N343" s="1254"/>
      <c r="O343" s="1254"/>
      <c r="P343" s="1254"/>
      <c r="Q343" s="1254"/>
      <c r="R343" s="1254"/>
      <c r="S343" s="1254"/>
      <c r="T343" s="1254"/>
      <c r="U343" s="1254"/>
      <c r="V343" s="1254"/>
      <c r="W343" s="1254"/>
      <c r="X343" s="1254"/>
      <c r="Y343" s="1254"/>
    </row>
    <row r="344">
      <c r="A344" s="1254"/>
      <c r="B344" s="1263"/>
      <c r="C344" s="1263"/>
      <c r="D344" s="1317"/>
      <c r="E344" s="1318"/>
      <c r="F344" s="1254"/>
      <c r="G344" s="1254"/>
      <c r="H344" s="1254"/>
      <c r="I344" s="1254"/>
      <c r="J344" s="1254"/>
      <c r="K344" s="1254"/>
      <c r="L344" s="1254"/>
      <c r="M344" s="1254"/>
      <c r="N344" s="1254"/>
      <c r="O344" s="1254"/>
      <c r="P344" s="1254"/>
      <c r="Q344" s="1254"/>
      <c r="R344" s="1254"/>
      <c r="S344" s="1254"/>
      <c r="T344" s="1254"/>
      <c r="U344" s="1254"/>
      <c r="V344" s="1254"/>
      <c r="W344" s="1254"/>
      <c r="X344" s="1254"/>
      <c r="Y344" s="1254"/>
    </row>
    <row r="345">
      <c r="A345" s="1254"/>
      <c r="B345" s="1263"/>
      <c r="C345" s="1263"/>
      <c r="D345" s="1317"/>
      <c r="E345" s="1318"/>
      <c r="F345" s="1254"/>
      <c r="G345" s="1254"/>
      <c r="H345" s="1254"/>
      <c r="I345" s="1254"/>
      <c r="J345" s="1254"/>
      <c r="K345" s="1254"/>
      <c r="L345" s="1254"/>
      <c r="M345" s="1254"/>
      <c r="N345" s="1254"/>
      <c r="O345" s="1254"/>
      <c r="P345" s="1254"/>
      <c r="Q345" s="1254"/>
      <c r="R345" s="1254"/>
      <c r="S345" s="1254"/>
      <c r="T345" s="1254"/>
      <c r="U345" s="1254"/>
      <c r="V345" s="1254"/>
      <c r="W345" s="1254"/>
      <c r="X345" s="1254"/>
      <c r="Y345" s="1254"/>
    </row>
    <row r="346">
      <c r="A346" s="1254"/>
      <c r="B346" s="1263"/>
      <c r="C346" s="1263"/>
      <c r="D346" s="1317"/>
      <c r="E346" s="1318"/>
      <c r="F346" s="1254"/>
      <c r="G346" s="1254"/>
      <c r="H346" s="1254"/>
      <c r="I346" s="1254"/>
      <c r="J346" s="1254"/>
      <c r="K346" s="1254"/>
      <c r="L346" s="1254"/>
      <c r="M346" s="1254"/>
      <c r="N346" s="1254"/>
      <c r="O346" s="1254"/>
      <c r="P346" s="1254"/>
      <c r="Q346" s="1254"/>
      <c r="R346" s="1254"/>
      <c r="S346" s="1254"/>
      <c r="T346" s="1254"/>
      <c r="U346" s="1254"/>
      <c r="V346" s="1254"/>
      <c r="W346" s="1254"/>
      <c r="X346" s="1254"/>
      <c r="Y346" s="1254"/>
    </row>
    <row r="347">
      <c r="A347" s="1254"/>
      <c r="B347" s="1263"/>
      <c r="C347" s="1263"/>
      <c r="D347" s="1317"/>
      <c r="E347" s="1318"/>
      <c r="F347" s="1254"/>
      <c r="G347" s="1254"/>
      <c r="H347" s="1254"/>
      <c r="I347" s="1254"/>
      <c r="J347" s="1254"/>
      <c r="K347" s="1254"/>
      <c r="L347" s="1254"/>
      <c r="M347" s="1254"/>
      <c r="N347" s="1254"/>
      <c r="O347" s="1254"/>
      <c r="P347" s="1254"/>
      <c r="Q347" s="1254"/>
      <c r="R347" s="1254"/>
      <c r="S347" s="1254"/>
      <c r="T347" s="1254"/>
      <c r="U347" s="1254"/>
      <c r="V347" s="1254"/>
      <c r="W347" s="1254"/>
      <c r="X347" s="1254"/>
      <c r="Y347" s="1254"/>
    </row>
    <row r="348">
      <c r="A348" s="1254"/>
      <c r="B348" s="1263"/>
      <c r="C348" s="1263"/>
      <c r="D348" s="1317"/>
      <c r="E348" s="1318"/>
      <c r="F348" s="1254"/>
      <c r="G348" s="1254"/>
      <c r="H348" s="1254"/>
      <c r="I348" s="1254"/>
      <c r="J348" s="1254"/>
      <c r="K348" s="1254"/>
      <c r="L348" s="1254"/>
      <c r="M348" s="1254"/>
      <c r="N348" s="1254"/>
      <c r="O348" s="1254"/>
      <c r="P348" s="1254"/>
      <c r="Q348" s="1254"/>
      <c r="R348" s="1254"/>
      <c r="S348" s="1254"/>
      <c r="T348" s="1254"/>
      <c r="U348" s="1254"/>
      <c r="V348" s="1254"/>
      <c r="W348" s="1254"/>
      <c r="X348" s="1254"/>
      <c r="Y348" s="1254"/>
    </row>
    <row r="349">
      <c r="A349" s="1254"/>
      <c r="B349" s="1263"/>
      <c r="C349" s="1263"/>
      <c r="D349" s="1317"/>
      <c r="E349" s="1318"/>
      <c r="F349" s="1254"/>
      <c r="G349" s="1254"/>
      <c r="H349" s="1254"/>
      <c r="I349" s="1254"/>
      <c r="J349" s="1254"/>
      <c r="K349" s="1254"/>
      <c r="L349" s="1254"/>
      <c r="M349" s="1254"/>
      <c r="N349" s="1254"/>
      <c r="O349" s="1254"/>
      <c r="P349" s="1254"/>
      <c r="Q349" s="1254"/>
      <c r="R349" s="1254"/>
      <c r="S349" s="1254"/>
      <c r="T349" s="1254"/>
      <c r="U349" s="1254"/>
      <c r="V349" s="1254"/>
      <c r="W349" s="1254"/>
      <c r="X349" s="1254"/>
      <c r="Y349" s="1254"/>
    </row>
    <row r="350">
      <c r="A350" s="1254"/>
      <c r="B350" s="1263"/>
      <c r="C350" s="1263"/>
      <c r="D350" s="1317"/>
      <c r="E350" s="1318"/>
      <c r="F350" s="1254"/>
      <c r="G350" s="1254"/>
      <c r="H350" s="1254"/>
      <c r="I350" s="1254"/>
      <c r="J350" s="1254"/>
      <c r="K350" s="1254"/>
      <c r="L350" s="1254"/>
      <c r="M350" s="1254"/>
      <c r="N350" s="1254"/>
      <c r="O350" s="1254"/>
      <c r="P350" s="1254"/>
      <c r="Q350" s="1254"/>
      <c r="R350" s="1254"/>
      <c r="S350" s="1254"/>
      <c r="T350" s="1254"/>
      <c r="U350" s="1254"/>
      <c r="V350" s="1254"/>
      <c r="W350" s="1254"/>
      <c r="X350" s="1254"/>
      <c r="Y350" s="1254"/>
    </row>
    <row r="351">
      <c r="A351" s="1254"/>
      <c r="B351" s="1263"/>
      <c r="C351" s="1263"/>
      <c r="D351" s="1317"/>
      <c r="E351" s="1318"/>
      <c r="F351" s="1254"/>
      <c r="G351" s="1254"/>
      <c r="H351" s="1254"/>
      <c r="I351" s="1254"/>
      <c r="J351" s="1254"/>
      <c r="K351" s="1254"/>
      <c r="L351" s="1254"/>
      <c r="M351" s="1254"/>
      <c r="N351" s="1254"/>
      <c r="O351" s="1254"/>
      <c r="P351" s="1254"/>
      <c r="Q351" s="1254"/>
      <c r="R351" s="1254"/>
      <c r="S351" s="1254"/>
      <c r="T351" s="1254"/>
      <c r="U351" s="1254"/>
      <c r="V351" s="1254"/>
      <c r="W351" s="1254"/>
      <c r="X351" s="1254"/>
      <c r="Y351" s="1254"/>
    </row>
    <row r="352">
      <c r="A352" s="1254"/>
      <c r="B352" s="1263"/>
      <c r="C352" s="1263"/>
      <c r="D352" s="1317"/>
      <c r="E352" s="1318"/>
      <c r="F352" s="1254"/>
      <c r="G352" s="1254"/>
      <c r="H352" s="1254"/>
      <c r="I352" s="1254"/>
      <c r="J352" s="1254"/>
      <c r="K352" s="1254"/>
      <c r="L352" s="1254"/>
      <c r="M352" s="1254"/>
      <c r="N352" s="1254"/>
      <c r="O352" s="1254"/>
      <c r="P352" s="1254"/>
      <c r="Q352" s="1254"/>
      <c r="R352" s="1254"/>
      <c r="S352" s="1254"/>
      <c r="T352" s="1254"/>
      <c r="U352" s="1254"/>
      <c r="V352" s="1254"/>
      <c r="W352" s="1254"/>
      <c r="X352" s="1254"/>
      <c r="Y352" s="1254"/>
    </row>
    <row r="353">
      <c r="A353" s="1254"/>
      <c r="B353" s="1263"/>
      <c r="C353" s="1263"/>
      <c r="D353" s="1317"/>
      <c r="E353" s="1318"/>
      <c r="F353" s="1254"/>
      <c r="G353" s="1254"/>
      <c r="H353" s="1254"/>
      <c r="I353" s="1254"/>
      <c r="J353" s="1254"/>
      <c r="K353" s="1254"/>
      <c r="L353" s="1254"/>
      <c r="M353" s="1254"/>
      <c r="N353" s="1254"/>
      <c r="O353" s="1254"/>
      <c r="P353" s="1254"/>
      <c r="Q353" s="1254"/>
      <c r="R353" s="1254"/>
      <c r="S353" s="1254"/>
      <c r="T353" s="1254"/>
      <c r="U353" s="1254"/>
      <c r="V353" s="1254"/>
      <c r="W353" s="1254"/>
      <c r="X353" s="1254"/>
      <c r="Y353" s="1254"/>
    </row>
    <row r="354">
      <c r="A354" s="1254"/>
      <c r="B354" s="1263"/>
      <c r="C354" s="1263"/>
      <c r="D354" s="1317"/>
      <c r="E354" s="1318"/>
      <c r="F354" s="1254"/>
      <c r="G354" s="1254"/>
      <c r="H354" s="1254"/>
      <c r="I354" s="1254"/>
      <c r="J354" s="1254"/>
      <c r="K354" s="1254"/>
      <c r="L354" s="1254"/>
      <c r="M354" s="1254"/>
      <c r="N354" s="1254"/>
      <c r="O354" s="1254"/>
      <c r="P354" s="1254"/>
      <c r="Q354" s="1254"/>
      <c r="R354" s="1254"/>
      <c r="S354" s="1254"/>
      <c r="T354" s="1254"/>
      <c r="U354" s="1254"/>
      <c r="V354" s="1254"/>
      <c r="W354" s="1254"/>
      <c r="X354" s="1254"/>
      <c r="Y354" s="1254"/>
    </row>
    <row r="355">
      <c r="A355" s="1254"/>
      <c r="B355" s="1263"/>
      <c r="C355" s="1263"/>
      <c r="D355" s="1317"/>
      <c r="E355" s="1318"/>
      <c r="F355" s="1254"/>
      <c r="G355" s="1254"/>
      <c r="H355" s="1254"/>
      <c r="I355" s="1254"/>
      <c r="J355" s="1254"/>
      <c r="K355" s="1254"/>
      <c r="L355" s="1254"/>
      <c r="M355" s="1254"/>
      <c r="N355" s="1254"/>
      <c r="O355" s="1254"/>
      <c r="P355" s="1254"/>
      <c r="Q355" s="1254"/>
      <c r="R355" s="1254"/>
      <c r="S355" s="1254"/>
      <c r="T355" s="1254"/>
      <c r="U355" s="1254"/>
      <c r="V355" s="1254"/>
      <c r="W355" s="1254"/>
      <c r="X355" s="1254"/>
      <c r="Y355" s="1254"/>
    </row>
    <row r="356">
      <c r="A356" s="1254"/>
      <c r="B356" s="1263"/>
      <c r="C356" s="1263"/>
      <c r="D356" s="1317"/>
      <c r="E356" s="1318"/>
      <c r="F356" s="1254"/>
      <c r="G356" s="1254"/>
      <c r="H356" s="1254"/>
      <c r="I356" s="1254"/>
      <c r="J356" s="1254"/>
      <c r="K356" s="1254"/>
      <c r="L356" s="1254"/>
      <c r="M356" s="1254"/>
      <c r="N356" s="1254"/>
      <c r="O356" s="1254"/>
      <c r="P356" s="1254"/>
      <c r="Q356" s="1254"/>
      <c r="R356" s="1254"/>
      <c r="S356" s="1254"/>
      <c r="T356" s="1254"/>
      <c r="U356" s="1254"/>
      <c r="V356" s="1254"/>
      <c r="W356" s="1254"/>
      <c r="X356" s="1254"/>
      <c r="Y356" s="1254"/>
    </row>
    <row r="357">
      <c r="A357" s="1254"/>
      <c r="B357" s="1263"/>
      <c r="C357" s="1263"/>
      <c r="D357" s="1317"/>
      <c r="E357" s="1318"/>
      <c r="F357" s="1254"/>
      <c r="G357" s="1254"/>
      <c r="H357" s="1254"/>
      <c r="I357" s="1254"/>
      <c r="J357" s="1254"/>
      <c r="K357" s="1254"/>
      <c r="L357" s="1254"/>
      <c r="M357" s="1254"/>
      <c r="N357" s="1254"/>
      <c r="O357" s="1254"/>
      <c r="P357" s="1254"/>
      <c r="Q357" s="1254"/>
      <c r="R357" s="1254"/>
      <c r="S357" s="1254"/>
      <c r="T357" s="1254"/>
      <c r="U357" s="1254"/>
      <c r="V357" s="1254"/>
      <c r="W357" s="1254"/>
      <c r="X357" s="1254"/>
      <c r="Y357" s="1254"/>
    </row>
    <row r="358">
      <c r="A358" s="1254"/>
      <c r="B358" s="1263"/>
      <c r="C358" s="1263"/>
      <c r="D358" s="1317"/>
      <c r="E358" s="1318"/>
      <c r="F358" s="1254"/>
      <c r="G358" s="1254"/>
      <c r="H358" s="1254"/>
      <c r="I358" s="1254"/>
      <c r="J358" s="1254"/>
      <c r="K358" s="1254"/>
      <c r="L358" s="1254"/>
      <c r="M358" s="1254"/>
      <c r="N358" s="1254"/>
      <c r="O358" s="1254"/>
      <c r="P358" s="1254"/>
      <c r="Q358" s="1254"/>
      <c r="R358" s="1254"/>
      <c r="S358" s="1254"/>
      <c r="T358" s="1254"/>
      <c r="U358" s="1254"/>
      <c r="V358" s="1254"/>
      <c r="W358" s="1254"/>
      <c r="X358" s="1254"/>
      <c r="Y358" s="1254"/>
    </row>
    <row r="359">
      <c r="A359" s="1254"/>
      <c r="B359" s="1263"/>
      <c r="C359" s="1263"/>
      <c r="D359" s="1317"/>
      <c r="E359" s="1318"/>
      <c r="F359" s="1254"/>
      <c r="G359" s="1254"/>
      <c r="H359" s="1254"/>
      <c r="I359" s="1254"/>
      <c r="J359" s="1254"/>
      <c r="K359" s="1254"/>
      <c r="L359" s="1254"/>
      <c r="M359" s="1254"/>
      <c r="N359" s="1254"/>
      <c r="O359" s="1254"/>
      <c r="P359" s="1254"/>
      <c r="Q359" s="1254"/>
      <c r="R359" s="1254"/>
      <c r="S359" s="1254"/>
      <c r="T359" s="1254"/>
      <c r="U359" s="1254"/>
      <c r="V359" s="1254"/>
      <c r="W359" s="1254"/>
      <c r="X359" s="1254"/>
      <c r="Y359" s="1254"/>
    </row>
    <row r="360">
      <c r="A360" s="1254"/>
      <c r="B360" s="1263"/>
      <c r="C360" s="1263"/>
      <c r="D360" s="1317"/>
      <c r="E360" s="1318"/>
      <c r="F360" s="1254"/>
      <c r="G360" s="1254"/>
      <c r="H360" s="1254"/>
      <c r="I360" s="1254"/>
      <c r="J360" s="1254"/>
      <c r="K360" s="1254"/>
      <c r="L360" s="1254"/>
      <c r="M360" s="1254"/>
      <c r="N360" s="1254"/>
      <c r="O360" s="1254"/>
      <c r="P360" s="1254"/>
      <c r="Q360" s="1254"/>
      <c r="R360" s="1254"/>
      <c r="S360" s="1254"/>
      <c r="T360" s="1254"/>
      <c r="U360" s="1254"/>
      <c r="V360" s="1254"/>
      <c r="W360" s="1254"/>
      <c r="X360" s="1254"/>
      <c r="Y360" s="1254"/>
    </row>
    <row r="361">
      <c r="A361" s="1254"/>
      <c r="B361" s="1263"/>
      <c r="C361" s="1263"/>
      <c r="D361" s="1317"/>
      <c r="E361" s="1318"/>
      <c r="F361" s="1254"/>
      <c r="G361" s="1254"/>
      <c r="H361" s="1254"/>
      <c r="I361" s="1254"/>
      <c r="J361" s="1254"/>
      <c r="K361" s="1254"/>
      <c r="L361" s="1254"/>
      <c r="M361" s="1254"/>
      <c r="N361" s="1254"/>
      <c r="O361" s="1254"/>
      <c r="P361" s="1254"/>
      <c r="Q361" s="1254"/>
      <c r="R361" s="1254"/>
      <c r="S361" s="1254"/>
      <c r="T361" s="1254"/>
      <c r="U361" s="1254"/>
      <c r="V361" s="1254"/>
      <c r="W361" s="1254"/>
      <c r="X361" s="1254"/>
      <c r="Y361" s="1254"/>
    </row>
    <row r="362">
      <c r="A362" s="1254"/>
      <c r="B362" s="1263"/>
      <c r="C362" s="1263"/>
      <c r="D362" s="1317"/>
      <c r="E362" s="1318"/>
      <c r="F362" s="1254"/>
      <c r="G362" s="1254"/>
      <c r="H362" s="1254"/>
      <c r="I362" s="1254"/>
      <c r="J362" s="1254"/>
      <c r="K362" s="1254"/>
      <c r="L362" s="1254"/>
      <c r="M362" s="1254"/>
      <c r="N362" s="1254"/>
      <c r="O362" s="1254"/>
      <c r="P362" s="1254"/>
      <c r="Q362" s="1254"/>
      <c r="R362" s="1254"/>
      <c r="S362" s="1254"/>
      <c r="T362" s="1254"/>
      <c r="U362" s="1254"/>
      <c r="V362" s="1254"/>
      <c r="W362" s="1254"/>
      <c r="X362" s="1254"/>
      <c r="Y362" s="1254"/>
    </row>
    <row r="363">
      <c r="A363" s="1254"/>
      <c r="B363" s="1263"/>
      <c r="C363" s="1263"/>
      <c r="D363" s="1317"/>
      <c r="E363" s="1318"/>
      <c r="F363" s="1254"/>
      <c r="G363" s="1254"/>
      <c r="H363" s="1254"/>
      <c r="I363" s="1254"/>
      <c r="J363" s="1254"/>
      <c r="K363" s="1254"/>
      <c r="L363" s="1254"/>
      <c r="M363" s="1254"/>
      <c r="N363" s="1254"/>
      <c r="O363" s="1254"/>
      <c r="P363" s="1254"/>
      <c r="Q363" s="1254"/>
      <c r="R363" s="1254"/>
      <c r="S363" s="1254"/>
      <c r="T363" s="1254"/>
      <c r="U363" s="1254"/>
      <c r="V363" s="1254"/>
      <c r="W363" s="1254"/>
      <c r="X363" s="1254"/>
      <c r="Y363" s="1254"/>
    </row>
    <row r="364">
      <c r="A364" s="1254"/>
      <c r="B364" s="1263"/>
      <c r="C364" s="1263"/>
      <c r="D364" s="1317"/>
      <c r="E364" s="1318"/>
      <c r="F364" s="1254"/>
      <c r="G364" s="1254"/>
      <c r="H364" s="1254"/>
      <c r="I364" s="1254"/>
      <c r="J364" s="1254"/>
      <c r="K364" s="1254"/>
      <c r="L364" s="1254"/>
      <c r="M364" s="1254"/>
      <c r="N364" s="1254"/>
      <c r="O364" s="1254"/>
      <c r="P364" s="1254"/>
      <c r="Q364" s="1254"/>
      <c r="R364" s="1254"/>
      <c r="S364" s="1254"/>
      <c r="T364" s="1254"/>
      <c r="U364" s="1254"/>
      <c r="V364" s="1254"/>
      <c r="W364" s="1254"/>
      <c r="X364" s="1254"/>
      <c r="Y364" s="1254"/>
    </row>
    <row r="365">
      <c r="A365" s="1254"/>
      <c r="B365" s="1263"/>
      <c r="C365" s="1263"/>
      <c r="D365" s="1317"/>
      <c r="E365" s="1318"/>
      <c r="F365" s="1254"/>
      <c r="G365" s="1254"/>
      <c r="H365" s="1254"/>
      <c r="I365" s="1254"/>
      <c r="J365" s="1254"/>
      <c r="K365" s="1254"/>
      <c r="L365" s="1254"/>
      <c r="M365" s="1254"/>
      <c r="N365" s="1254"/>
      <c r="O365" s="1254"/>
      <c r="P365" s="1254"/>
      <c r="Q365" s="1254"/>
      <c r="R365" s="1254"/>
      <c r="S365" s="1254"/>
      <c r="T365" s="1254"/>
      <c r="U365" s="1254"/>
      <c r="V365" s="1254"/>
      <c r="W365" s="1254"/>
      <c r="X365" s="1254"/>
      <c r="Y365" s="1254"/>
    </row>
    <row r="366">
      <c r="A366" s="1254"/>
      <c r="B366" s="1263"/>
      <c r="C366" s="1263"/>
      <c r="D366" s="1317"/>
      <c r="E366" s="1318"/>
      <c r="F366" s="1254"/>
      <c r="G366" s="1254"/>
      <c r="H366" s="1254"/>
      <c r="I366" s="1254"/>
      <c r="J366" s="1254"/>
      <c r="K366" s="1254"/>
      <c r="L366" s="1254"/>
      <c r="M366" s="1254"/>
      <c r="N366" s="1254"/>
      <c r="O366" s="1254"/>
      <c r="P366" s="1254"/>
      <c r="Q366" s="1254"/>
      <c r="R366" s="1254"/>
      <c r="S366" s="1254"/>
      <c r="T366" s="1254"/>
      <c r="U366" s="1254"/>
      <c r="V366" s="1254"/>
      <c r="W366" s="1254"/>
      <c r="X366" s="1254"/>
      <c r="Y366" s="1254"/>
    </row>
    <row r="367">
      <c r="A367" s="1254"/>
      <c r="B367" s="1263"/>
      <c r="C367" s="1263"/>
      <c r="D367" s="1317"/>
      <c r="E367" s="1318"/>
      <c r="F367" s="1254"/>
      <c r="G367" s="1254"/>
      <c r="H367" s="1254"/>
      <c r="I367" s="1254"/>
      <c r="J367" s="1254"/>
      <c r="K367" s="1254"/>
      <c r="L367" s="1254"/>
      <c r="M367" s="1254"/>
      <c r="N367" s="1254"/>
      <c r="O367" s="1254"/>
      <c r="P367" s="1254"/>
      <c r="Q367" s="1254"/>
      <c r="R367" s="1254"/>
      <c r="S367" s="1254"/>
      <c r="T367" s="1254"/>
      <c r="U367" s="1254"/>
      <c r="V367" s="1254"/>
      <c r="W367" s="1254"/>
      <c r="X367" s="1254"/>
      <c r="Y367" s="1254"/>
    </row>
    <row r="368">
      <c r="A368" s="1254"/>
      <c r="B368" s="1263"/>
      <c r="C368" s="1263"/>
      <c r="D368" s="1317"/>
      <c r="E368" s="1318"/>
      <c r="F368" s="1254"/>
      <c r="G368" s="1254"/>
      <c r="H368" s="1254"/>
      <c r="I368" s="1254"/>
      <c r="J368" s="1254"/>
      <c r="K368" s="1254"/>
      <c r="L368" s="1254"/>
      <c r="M368" s="1254"/>
      <c r="N368" s="1254"/>
      <c r="O368" s="1254"/>
      <c r="P368" s="1254"/>
      <c r="Q368" s="1254"/>
      <c r="R368" s="1254"/>
      <c r="S368" s="1254"/>
      <c r="T368" s="1254"/>
      <c r="U368" s="1254"/>
      <c r="V368" s="1254"/>
      <c r="W368" s="1254"/>
      <c r="X368" s="1254"/>
      <c r="Y368" s="1254"/>
    </row>
    <row r="369">
      <c r="A369" s="1254"/>
      <c r="B369" s="1263"/>
      <c r="C369" s="1263"/>
      <c r="D369" s="1317"/>
      <c r="E369" s="1318"/>
      <c r="F369" s="1254"/>
      <c r="G369" s="1254"/>
      <c r="H369" s="1254"/>
      <c r="I369" s="1254"/>
      <c r="J369" s="1254"/>
      <c r="K369" s="1254"/>
      <c r="L369" s="1254"/>
      <c r="M369" s="1254"/>
      <c r="N369" s="1254"/>
      <c r="O369" s="1254"/>
      <c r="P369" s="1254"/>
      <c r="Q369" s="1254"/>
      <c r="R369" s="1254"/>
      <c r="S369" s="1254"/>
      <c r="T369" s="1254"/>
      <c r="U369" s="1254"/>
      <c r="V369" s="1254"/>
      <c r="W369" s="1254"/>
      <c r="X369" s="1254"/>
      <c r="Y369" s="1254"/>
    </row>
    <row r="370">
      <c r="A370" s="1254"/>
      <c r="B370" s="1263"/>
      <c r="C370" s="1263"/>
      <c r="D370" s="1317"/>
      <c r="E370" s="1318"/>
      <c r="F370" s="1254"/>
      <c r="G370" s="1254"/>
      <c r="H370" s="1254"/>
      <c r="I370" s="1254"/>
      <c r="J370" s="1254"/>
      <c r="K370" s="1254"/>
      <c r="L370" s="1254"/>
      <c r="M370" s="1254"/>
      <c r="N370" s="1254"/>
      <c r="O370" s="1254"/>
      <c r="P370" s="1254"/>
      <c r="Q370" s="1254"/>
      <c r="R370" s="1254"/>
      <c r="S370" s="1254"/>
      <c r="T370" s="1254"/>
      <c r="U370" s="1254"/>
      <c r="V370" s="1254"/>
      <c r="W370" s="1254"/>
      <c r="X370" s="1254"/>
      <c r="Y370" s="1254"/>
    </row>
    <row r="371">
      <c r="A371" s="1254"/>
      <c r="B371" s="1263"/>
      <c r="C371" s="1263"/>
      <c r="D371" s="1317"/>
      <c r="E371" s="1318"/>
      <c r="F371" s="1254"/>
      <c r="G371" s="1254"/>
      <c r="H371" s="1254"/>
      <c r="I371" s="1254"/>
      <c r="J371" s="1254"/>
      <c r="K371" s="1254"/>
      <c r="L371" s="1254"/>
      <c r="M371" s="1254"/>
      <c r="N371" s="1254"/>
      <c r="O371" s="1254"/>
      <c r="P371" s="1254"/>
      <c r="Q371" s="1254"/>
      <c r="R371" s="1254"/>
      <c r="S371" s="1254"/>
      <c r="T371" s="1254"/>
      <c r="U371" s="1254"/>
      <c r="V371" s="1254"/>
      <c r="W371" s="1254"/>
      <c r="X371" s="1254"/>
      <c r="Y371" s="1254"/>
    </row>
    <row r="372">
      <c r="A372" s="1254"/>
      <c r="B372" s="1263"/>
      <c r="C372" s="1263"/>
      <c r="D372" s="1317"/>
      <c r="E372" s="1318"/>
      <c r="F372" s="1254"/>
      <c r="G372" s="1254"/>
      <c r="H372" s="1254"/>
      <c r="I372" s="1254"/>
      <c r="J372" s="1254"/>
      <c r="K372" s="1254"/>
      <c r="L372" s="1254"/>
      <c r="M372" s="1254"/>
      <c r="N372" s="1254"/>
      <c r="O372" s="1254"/>
      <c r="P372" s="1254"/>
      <c r="Q372" s="1254"/>
      <c r="R372" s="1254"/>
      <c r="S372" s="1254"/>
      <c r="T372" s="1254"/>
      <c r="U372" s="1254"/>
      <c r="V372" s="1254"/>
      <c r="W372" s="1254"/>
      <c r="X372" s="1254"/>
      <c r="Y372" s="1254"/>
    </row>
    <row r="373">
      <c r="A373" s="1254"/>
      <c r="B373" s="1263"/>
      <c r="C373" s="1263"/>
      <c r="D373" s="1317"/>
      <c r="E373" s="1318"/>
      <c r="F373" s="1254"/>
      <c r="G373" s="1254"/>
      <c r="H373" s="1254"/>
      <c r="I373" s="1254"/>
      <c r="J373" s="1254"/>
      <c r="K373" s="1254"/>
      <c r="L373" s="1254"/>
      <c r="M373" s="1254"/>
      <c r="N373" s="1254"/>
      <c r="O373" s="1254"/>
      <c r="P373" s="1254"/>
      <c r="Q373" s="1254"/>
      <c r="R373" s="1254"/>
      <c r="S373" s="1254"/>
      <c r="T373" s="1254"/>
      <c r="U373" s="1254"/>
      <c r="V373" s="1254"/>
      <c r="W373" s="1254"/>
      <c r="X373" s="1254"/>
      <c r="Y373" s="1254"/>
    </row>
    <row r="374">
      <c r="A374" s="1254"/>
      <c r="B374" s="1263"/>
      <c r="C374" s="1263"/>
      <c r="D374" s="1317"/>
      <c r="E374" s="1318"/>
      <c r="F374" s="1254"/>
      <c r="G374" s="1254"/>
      <c r="H374" s="1254"/>
      <c r="I374" s="1254"/>
      <c r="J374" s="1254"/>
      <c r="K374" s="1254"/>
      <c r="L374" s="1254"/>
      <c r="M374" s="1254"/>
      <c r="N374" s="1254"/>
      <c r="O374" s="1254"/>
      <c r="P374" s="1254"/>
      <c r="Q374" s="1254"/>
      <c r="R374" s="1254"/>
      <c r="S374" s="1254"/>
      <c r="T374" s="1254"/>
      <c r="U374" s="1254"/>
      <c r="V374" s="1254"/>
      <c r="W374" s="1254"/>
      <c r="X374" s="1254"/>
      <c r="Y374" s="1254"/>
    </row>
    <row r="375">
      <c r="A375" s="1254"/>
      <c r="B375" s="1263"/>
      <c r="C375" s="1263"/>
      <c r="D375" s="1317"/>
      <c r="E375" s="1318"/>
      <c r="F375" s="1254"/>
      <c r="G375" s="1254"/>
      <c r="H375" s="1254"/>
      <c r="I375" s="1254"/>
      <c r="J375" s="1254"/>
      <c r="K375" s="1254"/>
      <c r="L375" s="1254"/>
      <c r="M375" s="1254"/>
      <c r="N375" s="1254"/>
      <c r="O375" s="1254"/>
      <c r="P375" s="1254"/>
      <c r="Q375" s="1254"/>
      <c r="R375" s="1254"/>
      <c r="S375" s="1254"/>
      <c r="T375" s="1254"/>
      <c r="U375" s="1254"/>
      <c r="V375" s="1254"/>
      <c r="W375" s="1254"/>
      <c r="X375" s="1254"/>
      <c r="Y375" s="1254"/>
    </row>
    <row r="376">
      <c r="A376" s="1254"/>
      <c r="B376" s="1263"/>
      <c r="C376" s="1263"/>
      <c r="D376" s="1317"/>
      <c r="E376" s="1318"/>
      <c r="F376" s="1254"/>
      <c r="G376" s="1254"/>
      <c r="H376" s="1254"/>
      <c r="I376" s="1254"/>
      <c r="J376" s="1254"/>
      <c r="K376" s="1254"/>
      <c r="L376" s="1254"/>
      <c r="M376" s="1254"/>
      <c r="N376" s="1254"/>
      <c r="O376" s="1254"/>
      <c r="P376" s="1254"/>
      <c r="Q376" s="1254"/>
      <c r="R376" s="1254"/>
      <c r="S376" s="1254"/>
      <c r="T376" s="1254"/>
      <c r="U376" s="1254"/>
      <c r="V376" s="1254"/>
      <c r="W376" s="1254"/>
      <c r="X376" s="1254"/>
      <c r="Y376" s="1254"/>
    </row>
    <row r="377">
      <c r="A377" s="1254"/>
      <c r="B377" s="1263"/>
      <c r="C377" s="1263"/>
      <c r="D377" s="1317"/>
      <c r="E377" s="1318"/>
      <c r="F377" s="1254"/>
      <c r="G377" s="1254"/>
      <c r="H377" s="1254"/>
      <c r="I377" s="1254"/>
      <c r="J377" s="1254"/>
      <c r="K377" s="1254"/>
      <c r="L377" s="1254"/>
      <c r="M377" s="1254"/>
      <c r="N377" s="1254"/>
      <c r="O377" s="1254"/>
      <c r="P377" s="1254"/>
      <c r="Q377" s="1254"/>
      <c r="R377" s="1254"/>
      <c r="S377" s="1254"/>
      <c r="T377" s="1254"/>
      <c r="U377" s="1254"/>
      <c r="V377" s="1254"/>
      <c r="W377" s="1254"/>
      <c r="X377" s="1254"/>
      <c r="Y377" s="1254"/>
    </row>
    <row r="378">
      <c r="A378" s="1254"/>
      <c r="B378" s="1263"/>
      <c r="C378" s="1263"/>
      <c r="D378" s="1317"/>
      <c r="E378" s="1318"/>
      <c r="F378" s="1254"/>
      <c r="G378" s="1254"/>
      <c r="H378" s="1254"/>
      <c r="I378" s="1254"/>
      <c r="J378" s="1254"/>
      <c r="K378" s="1254"/>
      <c r="L378" s="1254"/>
      <c r="M378" s="1254"/>
      <c r="N378" s="1254"/>
      <c r="O378" s="1254"/>
      <c r="P378" s="1254"/>
      <c r="Q378" s="1254"/>
      <c r="R378" s="1254"/>
      <c r="S378" s="1254"/>
      <c r="T378" s="1254"/>
      <c r="U378" s="1254"/>
      <c r="V378" s="1254"/>
      <c r="W378" s="1254"/>
      <c r="X378" s="1254"/>
      <c r="Y378" s="1254"/>
    </row>
    <row r="379">
      <c r="A379" s="1254"/>
      <c r="B379" s="1263"/>
      <c r="C379" s="1263"/>
      <c r="D379" s="1317"/>
      <c r="E379" s="1318"/>
      <c r="F379" s="1254"/>
      <c r="G379" s="1254"/>
      <c r="H379" s="1254"/>
      <c r="I379" s="1254"/>
      <c r="J379" s="1254"/>
      <c r="K379" s="1254"/>
      <c r="L379" s="1254"/>
      <c r="M379" s="1254"/>
      <c r="N379" s="1254"/>
      <c r="O379" s="1254"/>
      <c r="P379" s="1254"/>
      <c r="Q379" s="1254"/>
      <c r="R379" s="1254"/>
      <c r="S379" s="1254"/>
      <c r="T379" s="1254"/>
      <c r="U379" s="1254"/>
      <c r="V379" s="1254"/>
      <c r="W379" s="1254"/>
      <c r="X379" s="1254"/>
      <c r="Y379" s="1254"/>
    </row>
    <row r="380">
      <c r="A380" s="1254"/>
      <c r="B380" s="1263"/>
      <c r="C380" s="1263"/>
      <c r="D380" s="1317"/>
      <c r="E380" s="1318"/>
      <c r="F380" s="1254"/>
      <c r="G380" s="1254"/>
      <c r="H380" s="1254"/>
      <c r="I380" s="1254"/>
      <c r="J380" s="1254"/>
      <c r="K380" s="1254"/>
      <c r="L380" s="1254"/>
      <c r="M380" s="1254"/>
      <c r="N380" s="1254"/>
      <c r="O380" s="1254"/>
      <c r="P380" s="1254"/>
      <c r="Q380" s="1254"/>
      <c r="R380" s="1254"/>
      <c r="S380" s="1254"/>
      <c r="T380" s="1254"/>
      <c r="U380" s="1254"/>
      <c r="V380" s="1254"/>
      <c r="W380" s="1254"/>
      <c r="X380" s="1254"/>
      <c r="Y380" s="1254"/>
    </row>
    <row r="381">
      <c r="A381" s="1254"/>
      <c r="B381" s="1263"/>
      <c r="C381" s="1263"/>
      <c r="D381" s="1317"/>
      <c r="E381" s="1318"/>
      <c r="F381" s="1254"/>
      <c r="G381" s="1254"/>
      <c r="H381" s="1254"/>
      <c r="I381" s="1254"/>
      <c r="J381" s="1254"/>
      <c r="K381" s="1254"/>
      <c r="L381" s="1254"/>
      <c r="M381" s="1254"/>
      <c r="N381" s="1254"/>
      <c r="O381" s="1254"/>
      <c r="P381" s="1254"/>
      <c r="Q381" s="1254"/>
      <c r="R381" s="1254"/>
      <c r="S381" s="1254"/>
      <c r="T381" s="1254"/>
      <c r="U381" s="1254"/>
      <c r="V381" s="1254"/>
      <c r="W381" s="1254"/>
      <c r="X381" s="1254"/>
      <c r="Y381" s="1254"/>
    </row>
    <row r="382">
      <c r="A382" s="1254"/>
      <c r="B382" s="1263"/>
      <c r="C382" s="1263"/>
      <c r="D382" s="1317"/>
      <c r="E382" s="1318"/>
      <c r="F382" s="1254"/>
      <c r="G382" s="1254"/>
      <c r="H382" s="1254"/>
      <c r="I382" s="1254"/>
      <c r="J382" s="1254"/>
      <c r="K382" s="1254"/>
      <c r="L382" s="1254"/>
      <c r="M382" s="1254"/>
      <c r="N382" s="1254"/>
      <c r="O382" s="1254"/>
      <c r="P382" s="1254"/>
      <c r="Q382" s="1254"/>
      <c r="R382" s="1254"/>
      <c r="S382" s="1254"/>
      <c r="T382" s="1254"/>
      <c r="U382" s="1254"/>
      <c r="V382" s="1254"/>
      <c r="W382" s="1254"/>
      <c r="X382" s="1254"/>
      <c r="Y382" s="1254"/>
    </row>
    <row r="383">
      <c r="A383" s="1254"/>
      <c r="B383" s="1263"/>
      <c r="C383" s="1263"/>
      <c r="D383" s="1317"/>
      <c r="E383" s="1318"/>
      <c r="F383" s="1254"/>
      <c r="G383" s="1254"/>
      <c r="H383" s="1254"/>
      <c r="I383" s="1254"/>
      <c r="J383" s="1254"/>
      <c r="K383" s="1254"/>
      <c r="L383" s="1254"/>
      <c r="M383" s="1254"/>
      <c r="N383" s="1254"/>
      <c r="O383" s="1254"/>
      <c r="P383" s="1254"/>
      <c r="Q383" s="1254"/>
      <c r="R383" s="1254"/>
      <c r="S383" s="1254"/>
      <c r="T383" s="1254"/>
      <c r="U383" s="1254"/>
      <c r="V383" s="1254"/>
      <c r="W383" s="1254"/>
      <c r="X383" s="1254"/>
      <c r="Y383" s="1254"/>
    </row>
    <row r="384">
      <c r="A384" s="1254"/>
      <c r="B384" s="1263"/>
      <c r="C384" s="1263"/>
      <c r="D384" s="1317"/>
      <c r="E384" s="1318"/>
      <c r="F384" s="1254"/>
      <c r="G384" s="1254"/>
      <c r="H384" s="1254"/>
      <c r="I384" s="1254"/>
      <c r="J384" s="1254"/>
      <c r="K384" s="1254"/>
      <c r="L384" s="1254"/>
      <c r="M384" s="1254"/>
      <c r="N384" s="1254"/>
      <c r="O384" s="1254"/>
      <c r="P384" s="1254"/>
      <c r="Q384" s="1254"/>
      <c r="R384" s="1254"/>
      <c r="S384" s="1254"/>
      <c r="T384" s="1254"/>
      <c r="U384" s="1254"/>
      <c r="V384" s="1254"/>
      <c r="W384" s="1254"/>
      <c r="X384" s="1254"/>
      <c r="Y384" s="1254"/>
    </row>
    <row r="385">
      <c r="A385" s="1254"/>
      <c r="B385" s="1263"/>
      <c r="C385" s="1263"/>
      <c r="D385" s="1317"/>
      <c r="E385" s="1318"/>
      <c r="F385" s="1254"/>
      <c r="G385" s="1254"/>
      <c r="H385" s="1254"/>
      <c r="I385" s="1254"/>
      <c r="J385" s="1254"/>
      <c r="K385" s="1254"/>
      <c r="L385" s="1254"/>
      <c r="M385" s="1254"/>
      <c r="N385" s="1254"/>
      <c r="O385" s="1254"/>
      <c r="P385" s="1254"/>
      <c r="Q385" s="1254"/>
      <c r="R385" s="1254"/>
      <c r="S385" s="1254"/>
      <c r="T385" s="1254"/>
      <c r="U385" s="1254"/>
      <c r="V385" s="1254"/>
      <c r="W385" s="1254"/>
      <c r="X385" s="1254"/>
      <c r="Y385" s="1254"/>
    </row>
    <row r="386">
      <c r="A386" s="1254"/>
      <c r="B386" s="1263"/>
      <c r="C386" s="1263"/>
      <c r="D386" s="1317"/>
      <c r="E386" s="1318"/>
      <c r="F386" s="1254"/>
      <c r="G386" s="1254"/>
      <c r="H386" s="1254"/>
      <c r="I386" s="1254"/>
      <c r="J386" s="1254"/>
      <c r="K386" s="1254"/>
      <c r="L386" s="1254"/>
      <c r="M386" s="1254"/>
      <c r="N386" s="1254"/>
      <c r="O386" s="1254"/>
      <c r="P386" s="1254"/>
      <c r="Q386" s="1254"/>
      <c r="R386" s="1254"/>
      <c r="S386" s="1254"/>
      <c r="T386" s="1254"/>
      <c r="U386" s="1254"/>
      <c r="V386" s="1254"/>
      <c r="W386" s="1254"/>
      <c r="X386" s="1254"/>
      <c r="Y386" s="1254"/>
    </row>
    <row r="387">
      <c r="A387" s="1254"/>
      <c r="B387" s="1263"/>
      <c r="C387" s="1263"/>
      <c r="D387" s="1317"/>
      <c r="E387" s="1318"/>
      <c r="F387" s="1254"/>
      <c r="G387" s="1254"/>
      <c r="H387" s="1254"/>
      <c r="I387" s="1254"/>
      <c r="J387" s="1254"/>
      <c r="K387" s="1254"/>
      <c r="L387" s="1254"/>
      <c r="M387" s="1254"/>
      <c r="N387" s="1254"/>
      <c r="O387" s="1254"/>
      <c r="P387" s="1254"/>
      <c r="Q387" s="1254"/>
      <c r="R387" s="1254"/>
      <c r="S387" s="1254"/>
      <c r="T387" s="1254"/>
      <c r="U387" s="1254"/>
      <c r="V387" s="1254"/>
      <c r="W387" s="1254"/>
      <c r="X387" s="1254"/>
      <c r="Y387" s="1254"/>
    </row>
    <row r="388">
      <c r="A388" s="1254"/>
      <c r="B388" s="1263"/>
      <c r="C388" s="1263"/>
      <c r="D388" s="1317"/>
      <c r="E388" s="1318"/>
      <c r="F388" s="1254"/>
      <c r="G388" s="1254"/>
      <c r="H388" s="1254"/>
      <c r="I388" s="1254"/>
      <c r="J388" s="1254"/>
      <c r="K388" s="1254"/>
      <c r="L388" s="1254"/>
      <c r="M388" s="1254"/>
      <c r="N388" s="1254"/>
      <c r="O388" s="1254"/>
      <c r="P388" s="1254"/>
      <c r="Q388" s="1254"/>
      <c r="R388" s="1254"/>
      <c r="S388" s="1254"/>
      <c r="T388" s="1254"/>
      <c r="U388" s="1254"/>
      <c r="V388" s="1254"/>
      <c r="W388" s="1254"/>
      <c r="X388" s="1254"/>
      <c r="Y388" s="1254"/>
    </row>
    <row r="389">
      <c r="A389" s="1254"/>
      <c r="B389" s="1263"/>
      <c r="C389" s="1263"/>
      <c r="D389" s="1317"/>
      <c r="E389" s="1318"/>
      <c r="F389" s="1254"/>
      <c r="G389" s="1254"/>
      <c r="H389" s="1254"/>
      <c r="I389" s="1254"/>
      <c r="J389" s="1254"/>
      <c r="K389" s="1254"/>
      <c r="L389" s="1254"/>
      <c r="M389" s="1254"/>
      <c r="N389" s="1254"/>
      <c r="O389" s="1254"/>
      <c r="P389" s="1254"/>
      <c r="Q389" s="1254"/>
      <c r="R389" s="1254"/>
      <c r="S389" s="1254"/>
      <c r="T389" s="1254"/>
      <c r="U389" s="1254"/>
      <c r="V389" s="1254"/>
      <c r="W389" s="1254"/>
      <c r="X389" s="1254"/>
      <c r="Y389" s="1254"/>
    </row>
    <row r="390">
      <c r="A390" s="1254"/>
      <c r="B390" s="1263"/>
      <c r="C390" s="1263"/>
      <c r="D390" s="1317"/>
      <c r="E390" s="1318"/>
      <c r="F390" s="1254"/>
      <c r="G390" s="1254"/>
      <c r="H390" s="1254"/>
      <c r="I390" s="1254"/>
      <c r="J390" s="1254"/>
      <c r="K390" s="1254"/>
      <c r="L390" s="1254"/>
      <c r="M390" s="1254"/>
      <c r="N390" s="1254"/>
      <c r="O390" s="1254"/>
      <c r="P390" s="1254"/>
      <c r="Q390" s="1254"/>
      <c r="R390" s="1254"/>
      <c r="S390" s="1254"/>
      <c r="T390" s="1254"/>
      <c r="U390" s="1254"/>
      <c r="V390" s="1254"/>
      <c r="W390" s="1254"/>
      <c r="X390" s="1254"/>
      <c r="Y390" s="1254"/>
    </row>
    <row r="391">
      <c r="A391" s="1254"/>
      <c r="B391" s="1263"/>
      <c r="C391" s="1263"/>
      <c r="D391" s="1317"/>
      <c r="E391" s="1318"/>
      <c r="F391" s="1254"/>
      <c r="G391" s="1254"/>
      <c r="H391" s="1254"/>
      <c r="I391" s="1254"/>
      <c r="J391" s="1254"/>
      <c r="K391" s="1254"/>
      <c r="L391" s="1254"/>
      <c r="M391" s="1254"/>
      <c r="N391" s="1254"/>
      <c r="O391" s="1254"/>
      <c r="P391" s="1254"/>
      <c r="Q391" s="1254"/>
      <c r="R391" s="1254"/>
      <c r="S391" s="1254"/>
      <c r="T391" s="1254"/>
      <c r="U391" s="1254"/>
      <c r="V391" s="1254"/>
      <c r="W391" s="1254"/>
      <c r="X391" s="1254"/>
      <c r="Y391" s="1254"/>
    </row>
    <row r="392">
      <c r="A392" s="1254"/>
      <c r="B392" s="1263"/>
      <c r="C392" s="1263"/>
      <c r="D392" s="1317"/>
      <c r="E392" s="1318"/>
      <c r="F392" s="1254"/>
      <c r="G392" s="1254"/>
      <c r="H392" s="1254"/>
      <c r="I392" s="1254"/>
      <c r="J392" s="1254"/>
      <c r="K392" s="1254"/>
      <c r="L392" s="1254"/>
      <c r="M392" s="1254"/>
      <c r="N392" s="1254"/>
      <c r="O392" s="1254"/>
      <c r="P392" s="1254"/>
      <c r="Q392" s="1254"/>
      <c r="R392" s="1254"/>
      <c r="S392" s="1254"/>
      <c r="T392" s="1254"/>
      <c r="U392" s="1254"/>
      <c r="V392" s="1254"/>
      <c r="W392" s="1254"/>
      <c r="X392" s="1254"/>
      <c r="Y392" s="1254"/>
    </row>
    <row r="393">
      <c r="A393" s="1254"/>
      <c r="B393" s="1263"/>
      <c r="C393" s="1263"/>
      <c r="D393" s="1317"/>
      <c r="E393" s="1318"/>
      <c r="F393" s="1254"/>
      <c r="G393" s="1254"/>
      <c r="H393" s="1254"/>
      <c r="I393" s="1254"/>
      <c r="J393" s="1254"/>
      <c r="K393" s="1254"/>
      <c r="L393" s="1254"/>
      <c r="M393" s="1254"/>
      <c r="N393" s="1254"/>
      <c r="O393" s="1254"/>
      <c r="P393" s="1254"/>
      <c r="Q393" s="1254"/>
      <c r="R393" s="1254"/>
      <c r="S393" s="1254"/>
      <c r="T393" s="1254"/>
      <c r="U393" s="1254"/>
      <c r="V393" s="1254"/>
      <c r="W393" s="1254"/>
      <c r="X393" s="1254"/>
      <c r="Y393" s="1254"/>
    </row>
    <row r="394">
      <c r="A394" s="1254"/>
      <c r="B394" s="1263"/>
      <c r="C394" s="1263"/>
      <c r="D394" s="1317"/>
      <c r="E394" s="1318"/>
      <c r="F394" s="1254"/>
      <c r="G394" s="1254"/>
      <c r="H394" s="1254"/>
      <c r="I394" s="1254"/>
      <c r="J394" s="1254"/>
      <c r="K394" s="1254"/>
      <c r="L394" s="1254"/>
      <c r="M394" s="1254"/>
      <c r="N394" s="1254"/>
      <c r="O394" s="1254"/>
      <c r="P394" s="1254"/>
      <c r="Q394" s="1254"/>
      <c r="R394" s="1254"/>
      <c r="S394" s="1254"/>
      <c r="T394" s="1254"/>
      <c r="U394" s="1254"/>
      <c r="V394" s="1254"/>
      <c r="W394" s="1254"/>
      <c r="X394" s="1254"/>
      <c r="Y394" s="1254"/>
    </row>
    <row r="395">
      <c r="A395" s="1254"/>
      <c r="B395" s="1263"/>
      <c r="C395" s="1263"/>
      <c r="D395" s="1317"/>
      <c r="E395" s="1318"/>
      <c r="F395" s="1254"/>
      <c r="G395" s="1254"/>
      <c r="H395" s="1254"/>
      <c r="I395" s="1254"/>
      <c r="J395" s="1254"/>
      <c r="K395" s="1254"/>
      <c r="L395" s="1254"/>
      <c r="M395" s="1254"/>
      <c r="N395" s="1254"/>
      <c r="O395" s="1254"/>
      <c r="P395" s="1254"/>
      <c r="Q395" s="1254"/>
      <c r="R395" s="1254"/>
      <c r="S395" s="1254"/>
      <c r="T395" s="1254"/>
      <c r="U395" s="1254"/>
      <c r="V395" s="1254"/>
      <c r="W395" s="1254"/>
      <c r="X395" s="1254"/>
      <c r="Y395" s="1254"/>
    </row>
    <row r="396">
      <c r="A396" s="1254"/>
      <c r="B396" s="1263"/>
      <c r="C396" s="1263"/>
      <c r="D396" s="1317"/>
      <c r="E396" s="1318"/>
      <c r="F396" s="1254"/>
      <c r="G396" s="1254"/>
      <c r="H396" s="1254"/>
      <c r="I396" s="1254"/>
      <c r="J396" s="1254"/>
      <c r="K396" s="1254"/>
      <c r="L396" s="1254"/>
      <c r="M396" s="1254"/>
      <c r="N396" s="1254"/>
      <c r="O396" s="1254"/>
      <c r="P396" s="1254"/>
      <c r="Q396" s="1254"/>
      <c r="R396" s="1254"/>
      <c r="S396" s="1254"/>
      <c r="T396" s="1254"/>
      <c r="U396" s="1254"/>
      <c r="V396" s="1254"/>
      <c r="W396" s="1254"/>
      <c r="X396" s="1254"/>
      <c r="Y396" s="1254"/>
    </row>
    <row r="397">
      <c r="A397" s="1254"/>
      <c r="B397" s="1263"/>
      <c r="C397" s="1263"/>
      <c r="D397" s="1317"/>
      <c r="E397" s="1318"/>
      <c r="F397" s="1254"/>
      <c r="G397" s="1254"/>
      <c r="H397" s="1254"/>
      <c r="I397" s="1254"/>
      <c r="J397" s="1254"/>
      <c r="K397" s="1254"/>
      <c r="L397" s="1254"/>
      <c r="M397" s="1254"/>
      <c r="N397" s="1254"/>
      <c r="O397" s="1254"/>
      <c r="P397" s="1254"/>
      <c r="Q397" s="1254"/>
      <c r="R397" s="1254"/>
      <c r="S397" s="1254"/>
      <c r="T397" s="1254"/>
      <c r="U397" s="1254"/>
      <c r="V397" s="1254"/>
      <c r="W397" s="1254"/>
      <c r="X397" s="1254"/>
      <c r="Y397" s="1254"/>
    </row>
    <row r="398">
      <c r="A398" s="1254"/>
      <c r="B398" s="1263"/>
      <c r="C398" s="1263"/>
      <c r="D398" s="1317"/>
      <c r="E398" s="1318"/>
      <c r="F398" s="1254"/>
      <c r="G398" s="1254"/>
      <c r="H398" s="1254"/>
      <c r="I398" s="1254"/>
      <c r="J398" s="1254"/>
      <c r="K398" s="1254"/>
      <c r="L398" s="1254"/>
      <c r="M398" s="1254"/>
      <c r="N398" s="1254"/>
      <c r="O398" s="1254"/>
      <c r="P398" s="1254"/>
      <c r="Q398" s="1254"/>
      <c r="R398" s="1254"/>
      <c r="S398" s="1254"/>
      <c r="T398" s="1254"/>
      <c r="U398" s="1254"/>
      <c r="V398" s="1254"/>
      <c r="W398" s="1254"/>
      <c r="X398" s="1254"/>
      <c r="Y398" s="1254"/>
    </row>
    <row r="399">
      <c r="A399" s="1254"/>
      <c r="B399" s="1263"/>
      <c r="C399" s="1263"/>
      <c r="D399" s="1317"/>
      <c r="E399" s="1318"/>
      <c r="F399" s="1254"/>
      <c r="G399" s="1254"/>
      <c r="H399" s="1254"/>
      <c r="I399" s="1254"/>
      <c r="J399" s="1254"/>
      <c r="K399" s="1254"/>
      <c r="L399" s="1254"/>
      <c r="M399" s="1254"/>
      <c r="N399" s="1254"/>
      <c r="O399" s="1254"/>
      <c r="P399" s="1254"/>
      <c r="Q399" s="1254"/>
      <c r="R399" s="1254"/>
      <c r="S399" s="1254"/>
      <c r="T399" s="1254"/>
      <c r="U399" s="1254"/>
      <c r="V399" s="1254"/>
      <c r="W399" s="1254"/>
      <c r="X399" s="1254"/>
      <c r="Y399" s="1254"/>
    </row>
    <row r="400">
      <c r="A400" s="1254"/>
      <c r="B400" s="1263"/>
      <c r="C400" s="1263"/>
      <c r="D400" s="1317"/>
      <c r="E400" s="1318"/>
      <c r="F400" s="1254"/>
      <c r="G400" s="1254"/>
      <c r="H400" s="1254"/>
      <c r="I400" s="1254"/>
      <c r="J400" s="1254"/>
      <c r="K400" s="1254"/>
      <c r="L400" s="1254"/>
      <c r="M400" s="1254"/>
      <c r="N400" s="1254"/>
      <c r="O400" s="1254"/>
      <c r="P400" s="1254"/>
      <c r="Q400" s="1254"/>
      <c r="R400" s="1254"/>
      <c r="S400" s="1254"/>
      <c r="T400" s="1254"/>
      <c r="U400" s="1254"/>
      <c r="V400" s="1254"/>
      <c r="W400" s="1254"/>
      <c r="X400" s="1254"/>
      <c r="Y400" s="1254"/>
    </row>
    <row r="401">
      <c r="A401" s="1254"/>
      <c r="B401" s="1263"/>
      <c r="C401" s="1263"/>
      <c r="D401" s="1317"/>
      <c r="E401" s="1318"/>
      <c r="F401" s="1254"/>
      <c r="G401" s="1254"/>
      <c r="H401" s="1254"/>
      <c r="I401" s="1254"/>
      <c r="J401" s="1254"/>
      <c r="K401" s="1254"/>
      <c r="L401" s="1254"/>
      <c r="M401" s="1254"/>
      <c r="N401" s="1254"/>
      <c r="O401" s="1254"/>
      <c r="P401" s="1254"/>
      <c r="Q401" s="1254"/>
      <c r="R401" s="1254"/>
      <c r="S401" s="1254"/>
      <c r="T401" s="1254"/>
      <c r="U401" s="1254"/>
      <c r="V401" s="1254"/>
      <c r="W401" s="1254"/>
      <c r="X401" s="1254"/>
      <c r="Y401" s="1254"/>
    </row>
    <row r="402">
      <c r="A402" s="1254"/>
      <c r="B402" s="1263"/>
      <c r="C402" s="1263"/>
      <c r="D402" s="1317"/>
      <c r="E402" s="1318"/>
      <c r="F402" s="1254"/>
      <c r="G402" s="1254"/>
      <c r="H402" s="1254"/>
      <c r="I402" s="1254"/>
      <c r="J402" s="1254"/>
      <c r="K402" s="1254"/>
      <c r="L402" s="1254"/>
      <c r="M402" s="1254"/>
      <c r="N402" s="1254"/>
      <c r="O402" s="1254"/>
      <c r="P402" s="1254"/>
      <c r="Q402" s="1254"/>
      <c r="R402" s="1254"/>
      <c r="S402" s="1254"/>
      <c r="T402" s="1254"/>
      <c r="U402" s="1254"/>
      <c r="V402" s="1254"/>
      <c r="W402" s="1254"/>
      <c r="X402" s="1254"/>
      <c r="Y402" s="1254"/>
    </row>
    <row r="403">
      <c r="A403" s="1254"/>
      <c r="B403" s="1263"/>
      <c r="C403" s="1263"/>
      <c r="D403" s="1317"/>
      <c r="E403" s="1318"/>
      <c r="F403" s="1254"/>
      <c r="G403" s="1254"/>
      <c r="H403" s="1254"/>
      <c r="I403" s="1254"/>
      <c r="J403" s="1254"/>
      <c r="K403" s="1254"/>
      <c r="L403" s="1254"/>
      <c r="M403" s="1254"/>
      <c r="N403" s="1254"/>
      <c r="O403" s="1254"/>
      <c r="P403" s="1254"/>
      <c r="Q403" s="1254"/>
      <c r="R403" s="1254"/>
      <c r="S403" s="1254"/>
      <c r="T403" s="1254"/>
      <c r="U403" s="1254"/>
      <c r="V403" s="1254"/>
      <c r="W403" s="1254"/>
      <c r="X403" s="1254"/>
      <c r="Y403" s="1254"/>
    </row>
    <row r="404">
      <c r="A404" s="1254"/>
      <c r="B404" s="1263"/>
      <c r="C404" s="1263"/>
      <c r="D404" s="1317"/>
      <c r="E404" s="1318"/>
      <c r="F404" s="1254"/>
      <c r="G404" s="1254"/>
      <c r="H404" s="1254"/>
      <c r="I404" s="1254"/>
      <c r="J404" s="1254"/>
      <c r="K404" s="1254"/>
      <c r="L404" s="1254"/>
      <c r="M404" s="1254"/>
      <c r="N404" s="1254"/>
      <c r="O404" s="1254"/>
      <c r="P404" s="1254"/>
      <c r="Q404" s="1254"/>
      <c r="R404" s="1254"/>
      <c r="S404" s="1254"/>
      <c r="T404" s="1254"/>
      <c r="U404" s="1254"/>
      <c r="V404" s="1254"/>
      <c r="W404" s="1254"/>
      <c r="X404" s="1254"/>
      <c r="Y404" s="1254"/>
    </row>
    <row r="405">
      <c r="A405" s="1254"/>
      <c r="B405" s="1263"/>
      <c r="C405" s="1263"/>
      <c r="D405" s="1317"/>
      <c r="E405" s="1318"/>
      <c r="F405" s="1254"/>
      <c r="G405" s="1254"/>
      <c r="H405" s="1254"/>
      <c r="I405" s="1254"/>
      <c r="J405" s="1254"/>
      <c r="K405" s="1254"/>
      <c r="L405" s="1254"/>
      <c r="M405" s="1254"/>
      <c r="N405" s="1254"/>
      <c r="O405" s="1254"/>
      <c r="P405" s="1254"/>
      <c r="Q405" s="1254"/>
      <c r="R405" s="1254"/>
      <c r="S405" s="1254"/>
      <c r="T405" s="1254"/>
      <c r="U405" s="1254"/>
      <c r="V405" s="1254"/>
      <c r="W405" s="1254"/>
      <c r="X405" s="1254"/>
      <c r="Y405" s="1254"/>
    </row>
    <row r="406">
      <c r="A406" s="1254"/>
      <c r="B406" s="1263"/>
      <c r="C406" s="1263"/>
      <c r="D406" s="1317"/>
      <c r="E406" s="1318"/>
      <c r="F406" s="1254"/>
      <c r="G406" s="1254"/>
      <c r="H406" s="1254"/>
      <c r="I406" s="1254"/>
      <c r="J406" s="1254"/>
      <c r="K406" s="1254"/>
      <c r="L406" s="1254"/>
      <c r="M406" s="1254"/>
      <c r="N406" s="1254"/>
      <c r="O406" s="1254"/>
      <c r="P406" s="1254"/>
      <c r="Q406" s="1254"/>
      <c r="R406" s="1254"/>
      <c r="S406" s="1254"/>
      <c r="T406" s="1254"/>
      <c r="U406" s="1254"/>
      <c r="V406" s="1254"/>
      <c r="W406" s="1254"/>
      <c r="X406" s="1254"/>
      <c r="Y406" s="1254"/>
    </row>
    <row r="407">
      <c r="A407" s="1254"/>
      <c r="B407" s="1263"/>
      <c r="C407" s="1263"/>
      <c r="D407" s="1317"/>
      <c r="E407" s="1318"/>
      <c r="F407" s="1254"/>
      <c r="G407" s="1254"/>
      <c r="H407" s="1254"/>
      <c r="I407" s="1254"/>
      <c r="J407" s="1254"/>
      <c r="K407" s="1254"/>
      <c r="L407" s="1254"/>
      <c r="M407" s="1254"/>
      <c r="N407" s="1254"/>
      <c r="O407" s="1254"/>
      <c r="P407" s="1254"/>
      <c r="Q407" s="1254"/>
      <c r="R407" s="1254"/>
      <c r="S407" s="1254"/>
      <c r="T407" s="1254"/>
      <c r="U407" s="1254"/>
      <c r="V407" s="1254"/>
      <c r="W407" s="1254"/>
      <c r="X407" s="1254"/>
      <c r="Y407" s="1254"/>
    </row>
    <row r="408">
      <c r="A408" s="1254"/>
      <c r="B408" s="1263"/>
      <c r="C408" s="1263"/>
      <c r="D408" s="1317"/>
      <c r="E408" s="1318"/>
      <c r="F408" s="1254"/>
      <c r="G408" s="1254"/>
      <c r="H408" s="1254"/>
      <c r="I408" s="1254"/>
      <c r="J408" s="1254"/>
      <c r="K408" s="1254"/>
      <c r="L408" s="1254"/>
      <c r="M408" s="1254"/>
      <c r="N408" s="1254"/>
      <c r="O408" s="1254"/>
      <c r="P408" s="1254"/>
      <c r="Q408" s="1254"/>
      <c r="R408" s="1254"/>
      <c r="S408" s="1254"/>
      <c r="T408" s="1254"/>
      <c r="U408" s="1254"/>
      <c r="V408" s="1254"/>
      <c r="W408" s="1254"/>
      <c r="X408" s="1254"/>
      <c r="Y408" s="1254"/>
    </row>
    <row r="409">
      <c r="A409" s="1254"/>
      <c r="B409" s="1263"/>
      <c r="C409" s="1263"/>
      <c r="D409" s="1317"/>
      <c r="E409" s="1318"/>
      <c r="F409" s="1254"/>
      <c r="G409" s="1254"/>
      <c r="H409" s="1254"/>
      <c r="I409" s="1254"/>
      <c r="J409" s="1254"/>
      <c r="K409" s="1254"/>
      <c r="L409" s="1254"/>
      <c r="M409" s="1254"/>
      <c r="N409" s="1254"/>
      <c r="O409" s="1254"/>
      <c r="P409" s="1254"/>
      <c r="Q409" s="1254"/>
      <c r="R409" s="1254"/>
      <c r="S409" s="1254"/>
      <c r="T409" s="1254"/>
      <c r="U409" s="1254"/>
      <c r="V409" s="1254"/>
      <c r="W409" s="1254"/>
      <c r="X409" s="1254"/>
      <c r="Y409" s="1254"/>
    </row>
    <row r="410">
      <c r="A410" s="1254"/>
      <c r="B410" s="1263"/>
      <c r="C410" s="1263"/>
      <c r="D410" s="1317"/>
      <c r="E410" s="1318"/>
      <c r="F410" s="1254"/>
      <c r="G410" s="1254"/>
      <c r="H410" s="1254"/>
      <c r="I410" s="1254"/>
      <c r="J410" s="1254"/>
      <c r="K410" s="1254"/>
      <c r="L410" s="1254"/>
      <c r="M410" s="1254"/>
      <c r="N410" s="1254"/>
      <c r="O410" s="1254"/>
      <c r="P410" s="1254"/>
      <c r="Q410" s="1254"/>
      <c r="R410" s="1254"/>
      <c r="S410" s="1254"/>
      <c r="T410" s="1254"/>
      <c r="U410" s="1254"/>
      <c r="V410" s="1254"/>
      <c r="W410" s="1254"/>
      <c r="X410" s="1254"/>
      <c r="Y410" s="1254"/>
    </row>
    <row r="411">
      <c r="A411" s="1254"/>
      <c r="B411" s="1263"/>
      <c r="C411" s="1263"/>
      <c r="D411" s="1317"/>
      <c r="E411" s="1318"/>
      <c r="F411" s="1254"/>
      <c r="G411" s="1254"/>
      <c r="H411" s="1254"/>
      <c r="I411" s="1254"/>
      <c r="J411" s="1254"/>
      <c r="K411" s="1254"/>
      <c r="L411" s="1254"/>
      <c r="M411" s="1254"/>
      <c r="N411" s="1254"/>
      <c r="O411" s="1254"/>
      <c r="P411" s="1254"/>
      <c r="Q411" s="1254"/>
      <c r="R411" s="1254"/>
      <c r="S411" s="1254"/>
      <c r="T411" s="1254"/>
      <c r="U411" s="1254"/>
      <c r="V411" s="1254"/>
      <c r="W411" s="1254"/>
      <c r="X411" s="1254"/>
      <c r="Y411" s="1254"/>
    </row>
    <row r="412">
      <c r="A412" s="1254"/>
      <c r="B412" s="1263"/>
      <c r="C412" s="1263"/>
      <c r="D412" s="1317"/>
      <c r="E412" s="1318"/>
      <c r="F412" s="1254"/>
      <c r="G412" s="1254"/>
      <c r="H412" s="1254"/>
      <c r="I412" s="1254"/>
      <c r="J412" s="1254"/>
      <c r="K412" s="1254"/>
      <c r="L412" s="1254"/>
      <c r="M412" s="1254"/>
      <c r="N412" s="1254"/>
      <c r="O412" s="1254"/>
      <c r="P412" s="1254"/>
      <c r="Q412" s="1254"/>
      <c r="R412" s="1254"/>
      <c r="S412" s="1254"/>
      <c r="T412" s="1254"/>
      <c r="U412" s="1254"/>
      <c r="V412" s="1254"/>
      <c r="W412" s="1254"/>
      <c r="X412" s="1254"/>
      <c r="Y412" s="1254"/>
    </row>
    <row r="413">
      <c r="A413" s="1254"/>
      <c r="B413" s="1263"/>
      <c r="C413" s="1263"/>
      <c r="D413" s="1317"/>
      <c r="E413" s="1318"/>
      <c r="F413" s="1254"/>
      <c r="G413" s="1254"/>
      <c r="H413" s="1254"/>
      <c r="I413" s="1254"/>
      <c r="J413" s="1254"/>
      <c r="K413" s="1254"/>
      <c r="L413" s="1254"/>
      <c r="M413" s="1254"/>
      <c r="N413" s="1254"/>
      <c r="O413" s="1254"/>
      <c r="P413" s="1254"/>
      <c r="Q413" s="1254"/>
      <c r="R413" s="1254"/>
      <c r="S413" s="1254"/>
      <c r="T413" s="1254"/>
      <c r="U413" s="1254"/>
      <c r="V413" s="1254"/>
      <c r="W413" s="1254"/>
      <c r="X413" s="1254"/>
      <c r="Y413" s="1254"/>
    </row>
    <row r="414">
      <c r="A414" s="1254"/>
      <c r="B414" s="1263"/>
      <c r="C414" s="1263"/>
      <c r="D414" s="1317"/>
      <c r="E414" s="1318"/>
      <c r="F414" s="1254"/>
      <c r="G414" s="1254"/>
      <c r="H414" s="1254"/>
      <c r="I414" s="1254"/>
      <c r="J414" s="1254"/>
      <c r="K414" s="1254"/>
      <c r="L414" s="1254"/>
      <c r="M414" s="1254"/>
      <c r="N414" s="1254"/>
      <c r="O414" s="1254"/>
      <c r="P414" s="1254"/>
      <c r="Q414" s="1254"/>
      <c r="R414" s="1254"/>
      <c r="S414" s="1254"/>
      <c r="T414" s="1254"/>
      <c r="U414" s="1254"/>
      <c r="V414" s="1254"/>
      <c r="W414" s="1254"/>
      <c r="X414" s="1254"/>
      <c r="Y414" s="1254"/>
    </row>
    <row r="415">
      <c r="A415" s="1254"/>
      <c r="B415" s="1263"/>
      <c r="C415" s="1263"/>
      <c r="D415" s="1317"/>
      <c r="E415" s="1318"/>
      <c r="F415" s="1254"/>
      <c r="G415" s="1254"/>
      <c r="H415" s="1254"/>
      <c r="I415" s="1254"/>
      <c r="J415" s="1254"/>
      <c r="K415" s="1254"/>
      <c r="L415" s="1254"/>
      <c r="M415" s="1254"/>
      <c r="N415" s="1254"/>
      <c r="O415" s="1254"/>
      <c r="P415" s="1254"/>
      <c r="Q415" s="1254"/>
      <c r="R415" s="1254"/>
      <c r="S415" s="1254"/>
      <c r="T415" s="1254"/>
      <c r="U415" s="1254"/>
      <c r="V415" s="1254"/>
      <c r="W415" s="1254"/>
      <c r="X415" s="1254"/>
      <c r="Y415" s="1254"/>
    </row>
    <row r="416">
      <c r="A416" s="1254"/>
      <c r="B416" s="1263"/>
      <c r="C416" s="1263"/>
      <c r="D416" s="1317"/>
      <c r="E416" s="1318"/>
      <c r="F416" s="1254"/>
      <c r="G416" s="1254"/>
      <c r="H416" s="1254"/>
      <c r="I416" s="1254"/>
      <c r="J416" s="1254"/>
      <c r="K416" s="1254"/>
      <c r="L416" s="1254"/>
      <c r="M416" s="1254"/>
      <c r="N416" s="1254"/>
      <c r="O416" s="1254"/>
      <c r="P416" s="1254"/>
      <c r="Q416" s="1254"/>
      <c r="R416" s="1254"/>
      <c r="S416" s="1254"/>
      <c r="T416" s="1254"/>
      <c r="U416" s="1254"/>
      <c r="V416" s="1254"/>
      <c r="W416" s="1254"/>
      <c r="X416" s="1254"/>
      <c r="Y416" s="1254"/>
    </row>
    <row r="417">
      <c r="A417" s="1254"/>
      <c r="B417" s="1263"/>
      <c r="C417" s="1263"/>
      <c r="D417" s="1317"/>
      <c r="E417" s="1318"/>
      <c r="F417" s="1254"/>
      <c r="G417" s="1254"/>
      <c r="H417" s="1254"/>
      <c r="I417" s="1254"/>
      <c r="J417" s="1254"/>
      <c r="K417" s="1254"/>
      <c r="L417" s="1254"/>
      <c r="M417" s="1254"/>
      <c r="N417" s="1254"/>
      <c r="O417" s="1254"/>
      <c r="P417" s="1254"/>
      <c r="Q417" s="1254"/>
      <c r="R417" s="1254"/>
      <c r="S417" s="1254"/>
      <c r="T417" s="1254"/>
      <c r="U417" s="1254"/>
      <c r="V417" s="1254"/>
      <c r="W417" s="1254"/>
      <c r="X417" s="1254"/>
      <c r="Y417" s="1254"/>
    </row>
    <row r="418">
      <c r="A418" s="1254"/>
      <c r="B418" s="1263"/>
      <c r="C418" s="1263"/>
      <c r="D418" s="1317"/>
      <c r="E418" s="1318"/>
      <c r="F418" s="1254"/>
      <c r="G418" s="1254"/>
      <c r="H418" s="1254"/>
      <c r="I418" s="1254"/>
      <c r="J418" s="1254"/>
      <c r="K418" s="1254"/>
      <c r="L418" s="1254"/>
      <c r="M418" s="1254"/>
      <c r="N418" s="1254"/>
      <c r="O418" s="1254"/>
      <c r="P418" s="1254"/>
      <c r="Q418" s="1254"/>
      <c r="R418" s="1254"/>
      <c r="S418" s="1254"/>
      <c r="T418" s="1254"/>
      <c r="U418" s="1254"/>
      <c r="V418" s="1254"/>
      <c r="W418" s="1254"/>
      <c r="X418" s="1254"/>
      <c r="Y418" s="1254"/>
    </row>
    <row r="419">
      <c r="A419" s="1254"/>
      <c r="B419" s="1263"/>
      <c r="C419" s="1263"/>
      <c r="D419" s="1317"/>
      <c r="E419" s="1318"/>
      <c r="F419" s="1254"/>
      <c r="G419" s="1254"/>
      <c r="H419" s="1254"/>
      <c r="I419" s="1254"/>
      <c r="J419" s="1254"/>
      <c r="K419" s="1254"/>
      <c r="L419" s="1254"/>
      <c r="M419" s="1254"/>
      <c r="N419" s="1254"/>
      <c r="O419" s="1254"/>
      <c r="P419" s="1254"/>
      <c r="Q419" s="1254"/>
      <c r="R419" s="1254"/>
      <c r="S419" s="1254"/>
      <c r="T419" s="1254"/>
      <c r="U419" s="1254"/>
      <c r="V419" s="1254"/>
      <c r="W419" s="1254"/>
      <c r="X419" s="1254"/>
      <c r="Y419" s="1254"/>
    </row>
    <row r="420">
      <c r="A420" s="1254"/>
      <c r="B420" s="1263"/>
      <c r="C420" s="1263"/>
      <c r="D420" s="1317"/>
      <c r="E420" s="1318"/>
      <c r="F420" s="1254"/>
      <c r="G420" s="1254"/>
      <c r="H420" s="1254"/>
      <c r="I420" s="1254"/>
      <c r="J420" s="1254"/>
      <c r="K420" s="1254"/>
      <c r="L420" s="1254"/>
      <c r="M420" s="1254"/>
      <c r="N420" s="1254"/>
      <c r="O420" s="1254"/>
      <c r="P420" s="1254"/>
      <c r="Q420" s="1254"/>
      <c r="R420" s="1254"/>
      <c r="S420" s="1254"/>
      <c r="T420" s="1254"/>
      <c r="U420" s="1254"/>
      <c r="V420" s="1254"/>
      <c r="W420" s="1254"/>
      <c r="X420" s="1254"/>
      <c r="Y420" s="1254"/>
    </row>
    <row r="421">
      <c r="A421" s="1254"/>
      <c r="B421" s="1263"/>
      <c r="C421" s="1263"/>
      <c r="D421" s="1317"/>
      <c r="E421" s="1318"/>
      <c r="F421" s="1254"/>
      <c r="G421" s="1254"/>
      <c r="H421" s="1254"/>
      <c r="I421" s="1254"/>
      <c r="J421" s="1254"/>
      <c r="K421" s="1254"/>
      <c r="L421" s="1254"/>
      <c r="M421" s="1254"/>
      <c r="N421" s="1254"/>
      <c r="O421" s="1254"/>
      <c r="P421" s="1254"/>
      <c r="Q421" s="1254"/>
      <c r="R421" s="1254"/>
      <c r="S421" s="1254"/>
      <c r="T421" s="1254"/>
      <c r="U421" s="1254"/>
      <c r="V421" s="1254"/>
      <c r="W421" s="1254"/>
      <c r="X421" s="1254"/>
      <c r="Y421" s="1254"/>
    </row>
    <row r="422">
      <c r="A422" s="1254"/>
      <c r="B422" s="1263"/>
      <c r="C422" s="1263"/>
      <c r="D422" s="1317"/>
      <c r="E422" s="1318"/>
      <c r="F422" s="1254"/>
      <c r="G422" s="1254"/>
      <c r="H422" s="1254"/>
      <c r="I422" s="1254"/>
      <c r="J422" s="1254"/>
      <c r="K422" s="1254"/>
      <c r="L422" s="1254"/>
      <c r="M422" s="1254"/>
      <c r="N422" s="1254"/>
      <c r="O422" s="1254"/>
      <c r="P422" s="1254"/>
      <c r="Q422" s="1254"/>
      <c r="R422" s="1254"/>
      <c r="S422" s="1254"/>
      <c r="T422" s="1254"/>
      <c r="U422" s="1254"/>
      <c r="V422" s="1254"/>
      <c r="W422" s="1254"/>
      <c r="X422" s="1254"/>
      <c r="Y422" s="1254"/>
    </row>
    <row r="423">
      <c r="A423" s="1254"/>
      <c r="B423" s="1263"/>
      <c r="C423" s="1263"/>
      <c r="D423" s="1317"/>
      <c r="E423" s="1318"/>
      <c r="F423" s="1254"/>
      <c r="G423" s="1254"/>
      <c r="H423" s="1254"/>
      <c r="I423" s="1254"/>
      <c r="J423" s="1254"/>
      <c r="K423" s="1254"/>
      <c r="L423" s="1254"/>
      <c r="M423" s="1254"/>
      <c r="N423" s="1254"/>
      <c r="O423" s="1254"/>
      <c r="P423" s="1254"/>
      <c r="Q423" s="1254"/>
      <c r="R423" s="1254"/>
      <c r="S423" s="1254"/>
      <c r="T423" s="1254"/>
      <c r="U423" s="1254"/>
      <c r="V423" s="1254"/>
      <c r="W423" s="1254"/>
      <c r="X423" s="1254"/>
      <c r="Y423" s="1254"/>
    </row>
    <row r="424">
      <c r="A424" s="1254"/>
      <c r="B424" s="1263"/>
      <c r="C424" s="1263"/>
      <c r="D424" s="1317"/>
      <c r="E424" s="1318"/>
      <c r="F424" s="1254"/>
      <c r="G424" s="1254"/>
      <c r="H424" s="1254"/>
      <c r="I424" s="1254"/>
      <c r="J424" s="1254"/>
      <c r="K424" s="1254"/>
      <c r="L424" s="1254"/>
      <c r="M424" s="1254"/>
      <c r="N424" s="1254"/>
      <c r="O424" s="1254"/>
      <c r="P424" s="1254"/>
      <c r="Q424" s="1254"/>
      <c r="R424" s="1254"/>
      <c r="S424" s="1254"/>
      <c r="T424" s="1254"/>
      <c r="U424" s="1254"/>
      <c r="V424" s="1254"/>
      <c r="W424" s="1254"/>
      <c r="X424" s="1254"/>
      <c r="Y424" s="1254"/>
    </row>
    <row r="425">
      <c r="A425" s="1254"/>
      <c r="B425" s="1263"/>
      <c r="C425" s="1263"/>
      <c r="D425" s="1317"/>
      <c r="E425" s="1318"/>
      <c r="F425" s="1254"/>
      <c r="G425" s="1254"/>
      <c r="H425" s="1254"/>
      <c r="I425" s="1254"/>
      <c r="J425" s="1254"/>
      <c r="K425" s="1254"/>
      <c r="L425" s="1254"/>
      <c r="M425" s="1254"/>
      <c r="N425" s="1254"/>
      <c r="O425" s="1254"/>
      <c r="P425" s="1254"/>
      <c r="Q425" s="1254"/>
      <c r="R425" s="1254"/>
      <c r="S425" s="1254"/>
      <c r="T425" s="1254"/>
      <c r="U425" s="1254"/>
      <c r="V425" s="1254"/>
      <c r="W425" s="1254"/>
      <c r="X425" s="1254"/>
      <c r="Y425" s="1254"/>
    </row>
    <row r="426">
      <c r="A426" s="1254"/>
      <c r="B426" s="1263"/>
      <c r="C426" s="1263"/>
      <c r="D426" s="1317"/>
      <c r="E426" s="1318"/>
      <c r="F426" s="1254"/>
      <c r="G426" s="1254"/>
      <c r="H426" s="1254"/>
      <c r="I426" s="1254"/>
      <c r="J426" s="1254"/>
      <c r="K426" s="1254"/>
      <c r="L426" s="1254"/>
      <c r="M426" s="1254"/>
      <c r="N426" s="1254"/>
      <c r="O426" s="1254"/>
      <c r="P426" s="1254"/>
      <c r="Q426" s="1254"/>
      <c r="R426" s="1254"/>
      <c r="S426" s="1254"/>
      <c r="T426" s="1254"/>
      <c r="U426" s="1254"/>
      <c r="V426" s="1254"/>
      <c r="W426" s="1254"/>
      <c r="X426" s="1254"/>
      <c r="Y426" s="1254"/>
    </row>
    <row r="427">
      <c r="A427" s="1254"/>
      <c r="B427" s="1263"/>
      <c r="C427" s="1263"/>
      <c r="D427" s="1317"/>
      <c r="E427" s="1318"/>
      <c r="F427" s="1254"/>
      <c r="G427" s="1254"/>
      <c r="H427" s="1254"/>
      <c r="I427" s="1254"/>
      <c r="J427" s="1254"/>
      <c r="K427" s="1254"/>
      <c r="L427" s="1254"/>
      <c r="M427" s="1254"/>
      <c r="N427" s="1254"/>
      <c r="O427" s="1254"/>
      <c r="P427" s="1254"/>
      <c r="Q427" s="1254"/>
      <c r="R427" s="1254"/>
      <c r="S427" s="1254"/>
      <c r="T427" s="1254"/>
      <c r="U427" s="1254"/>
      <c r="V427" s="1254"/>
      <c r="W427" s="1254"/>
      <c r="X427" s="1254"/>
      <c r="Y427" s="1254"/>
    </row>
    <row r="428">
      <c r="A428" s="1254"/>
      <c r="B428" s="1263"/>
      <c r="C428" s="1263"/>
      <c r="D428" s="1317"/>
      <c r="E428" s="1318"/>
      <c r="F428" s="1254"/>
      <c r="G428" s="1254"/>
      <c r="H428" s="1254"/>
      <c r="I428" s="1254"/>
      <c r="J428" s="1254"/>
      <c r="K428" s="1254"/>
      <c r="L428" s="1254"/>
      <c r="M428" s="1254"/>
      <c r="N428" s="1254"/>
      <c r="O428" s="1254"/>
      <c r="P428" s="1254"/>
      <c r="Q428" s="1254"/>
      <c r="R428" s="1254"/>
      <c r="S428" s="1254"/>
      <c r="T428" s="1254"/>
      <c r="U428" s="1254"/>
      <c r="V428" s="1254"/>
      <c r="W428" s="1254"/>
      <c r="X428" s="1254"/>
      <c r="Y428" s="1254"/>
    </row>
    <row r="429">
      <c r="A429" s="1254"/>
      <c r="B429" s="1263"/>
      <c r="C429" s="1263"/>
      <c r="D429" s="1317"/>
      <c r="E429" s="1318"/>
      <c r="F429" s="1254"/>
      <c r="G429" s="1254"/>
      <c r="H429" s="1254"/>
      <c r="I429" s="1254"/>
      <c r="J429" s="1254"/>
      <c r="K429" s="1254"/>
      <c r="L429" s="1254"/>
      <c r="M429" s="1254"/>
      <c r="N429" s="1254"/>
      <c r="O429" s="1254"/>
      <c r="P429" s="1254"/>
      <c r="Q429" s="1254"/>
      <c r="R429" s="1254"/>
      <c r="S429" s="1254"/>
      <c r="T429" s="1254"/>
      <c r="U429" s="1254"/>
      <c r="V429" s="1254"/>
      <c r="W429" s="1254"/>
      <c r="X429" s="1254"/>
      <c r="Y429" s="1254"/>
    </row>
    <row r="430">
      <c r="A430" s="1254"/>
      <c r="B430" s="1263"/>
      <c r="C430" s="1263"/>
      <c r="D430" s="1317"/>
      <c r="E430" s="1318"/>
      <c r="F430" s="1254"/>
      <c r="G430" s="1254"/>
      <c r="H430" s="1254"/>
      <c r="I430" s="1254"/>
      <c r="J430" s="1254"/>
      <c r="K430" s="1254"/>
      <c r="L430" s="1254"/>
      <c r="M430" s="1254"/>
      <c r="N430" s="1254"/>
      <c r="O430" s="1254"/>
      <c r="P430" s="1254"/>
      <c r="Q430" s="1254"/>
      <c r="R430" s="1254"/>
      <c r="S430" s="1254"/>
      <c r="T430" s="1254"/>
      <c r="U430" s="1254"/>
      <c r="V430" s="1254"/>
      <c r="W430" s="1254"/>
      <c r="X430" s="1254"/>
      <c r="Y430" s="1254"/>
    </row>
    <row r="431">
      <c r="A431" s="1254"/>
      <c r="B431" s="1263"/>
      <c r="C431" s="1263"/>
      <c r="D431" s="1317"/>
      <c r="E431" s="1318"/>
      <c r="F431" s="1254"/>
      <c r="G431" s="1254"/>
      <c r="H431" s="1254"/>
      <c r="I431" s="1254"/>
      <c r="J431" s="1254"/>
      <c r="K431" s="1254"/>
      <c r="L431" s="1254"/>
      <c r="M431" s="1254"/>
      <c r="N431" s="1254"/>
      <c r="O431" s="1254"/>
      <c r="P431" s="1254"/>
      <c r="Q431" s="1254"/>
      <c r="R431" s="1254"/>
      <c r="S431" s="1254"/>
      <c r="T431" s="1254"/>
      <c r="U431" s="1254"/>
      <c r="V431" s="1254"/>
      <c r="W431" s="1254"/>
      <c r="X431" s="1254"/>
      <c r="Y431" s="1254"/>
    </row>
    <row r="432">
      <c r="A432" s="1254"/>
      <c r="B432" s="1263"/>
      <c r="C432" s="1263"/>
      <c r="D432" s="1317"/>
      <c r="E432" s="1318"/>
      <c r="F432" s="1254"/>
      <c r="G432" s="1254"/>
      <c r="H432" s="1254"/>
      <c r="I432" s="1254"/>
      <c r="J432" s="1254"/>
      <c r="K432" s="1254"/>
      <c r="L432" s="1254"/>
      <c r="M432" s="1254"/>
      <c r="N432" s="1254"/>
      <c r="O432" s="1254"/>
      <c r="P432" s="1254"/>
      <c r="Q432" s="1254"/>
      <c r="R432" s="1254"/>
      <c r="S432" s="1254"/>
      <c r="T432" s="1254"/>
      <c r="U432" s="1254"/>
      <c r="V432" s="1254"/>
      <c r="W432" s="1254"/>
      <c r="X432" s="1254"/>
      <c r="Y432" s="1254"/>
    </row>
    <row r="433">
      <c r="A433" s="1254"/>
      <c r="B433" s="1263"/>
      <c r="C433" s="1263"/>
      <c r="D433" s="1317"/>
      <c r="E433" s="1318"/>
      <c r="F433" s="1254"/>
      <c r="G433" s="1254"/>
      <c r="H433" s="1254"/>
      <c r="I433" s="1254"/>
      <c r="J433" s="1254"/>
      <c r="K433" s="1254"/>
      <c r="L433" s="1254"/>
      <c r="M433" s="1254"/>
      <c r="N433" s="1254"/>
      <c r="O433" s="1254"/>
      <c r="P433" s="1254"/>
      <c r="Q433" s="1254"/>
      <c r="R433" s="1254"/>
      <c r="S433" s="1254"/>
      <c r="T433" s="1254"/>
      <c r="U433" s="1254"/>
      <c r="V433" s="1254"/>
      <c r="W433" s="1254"/>
      <c r="X433" s="1254"/>
      <c r="Y433" s="1254"/>
    </row>
    <row r="434">
      <c r="A434" s="1254"/>
      <c r="B434" s="1263"/>
      <c r="C434" s="1263"/>
      <c r="D434" s="1317"/>
      <c r="E434" s="1318"/>
      <c r="F434" s="1254"/>
      <c r="G434" s="1254"/>
      <c r="H434" s="1254"/>
      <c r="I434" s="1254"/>
      <c r="J434" s="1254"/>
      <c r="K434" s="1254"/>
      <c r="L434" s="1254"/>
      <c r="M434" s="1254"/>
      <c r="N434" s="1254"/>
      <c r="O434" s="1254"/>
      <c r="P434" s="1254"/>
      <c r="Q434" s="1254"/>
      <c r="R434" s="1254"/>
      <c r="S434" s="1254"/>
      <c r="T434" s="1254"/>
      <c r="U434" s="1254"/>
      <c r="V434" s="1254"/>
      <c r="W434" s="1254"/>
      <c r="X434" s="1254"/>
      <c r="Y434" s="1254"/>
    </row>
    <row r="435">
      <c r="A435" s="1254"/>
      <c r="B435" s="1263"/>
      <c r="C435" s="1263"/>
      <c r="D435" s="1317"/>
      <c r="E435" s="1318"/>
      <c r="F435" s="1254"/>
      <c r="G435" s="1254"/>
      <c r="H435" s="1254"/>
      <c r="I435" s="1254"/>
      <c r="J435" s="1254"/>
      <c r="K435" s="1254"/>
      <c r="L435" s="1254"/>
      <c r="M435" s="1254"/>
      <c r="N435" s="1254"/>
      <c r="O435" s="1254"/>
      <c r="P435" s="1254"/>
      <c r="Q435" s="1254"/>
      <c r="R435" s="1254"/>
      <c r="S435" s="1254"/>
      <c r="T435" s="1254"/>
      <c r="U435" s="1254"/>
      <c r="V435" s="1254"/>
      <c r="W435" s="1254"/>
      <c r="X435" s="1254"/>
      <c r="Y435" s="1254"/>
    </row>
    <row r="436">
      <c r="A436" s="1254"/>
      <c r="B436" s="1263"/>
      <c r="C436" s="1263"/>
      <c r="D436" s="1317"/>
      <c r="E436" s="1318"/>
      <c r="F436" s="1254"/>
      <c r="G436" s="1254"/>
      <c r="H436" s="1254"/>
      <c r="I436" s="1254"/>
      <c r="J436" s="1254"/>
      <c r="K436" s="1254"/>
      <c r="L436" s="1254"/>
      <c r="M436" s="1254"/>
      <c r="N436" s="1254"/>
      <c r="O436" s="1254"/>
      <c r="P436" s="1254"/>
      <c r="Q436" s="1254"/>
      <c r="R436" s="1254"/>
      <c r="S436" s="1254"/>
      <c r="T436" s="1254"/>
      <c r="U436" s="1254"/>
      <c r="V436" s="1254"/>
      <c r="W436" s="1254"/>
      <c r="X436" s="1254"/>
      <c r="Y436" s="1254"/>
    </row>
    <row r="437">
      <c r="A437" s="1254"/>
      <c r="B437" s="1263"/>
      <c r="C437" s="1263"/>
      <c r="D437" s="1317"/>
      <c r="E437" s="1318"/>
      <c r="F437" s="1254"/>
      <c r="G437" s="1254"/>
      <c r="H437" s="1254"/>
      <c r="I437" s="1254"/>
      <c r="J437" s="1254"/>
      <c r="K437" s="1254"/>
      <c r="L437" s="1254"/>
      <c r="M437" s="1254"/>
      <c r="N437" s="1254"/>
      <c r="O437" s="1254"/>
      <c r="P437" s="1254"/>
      <c r="Q437" s="1254"/>
      <c r="R437" s="1254"/>
      <c r="S437" s="1254"/>
      <c r="T437" s="1254"/>
      <c r="U437" s="1254"/>
      <c r="V437" s="1254"/>
      <c r="W437" s="1254"/>
      <c r="X437" s="1254"/>
      <c r="Y437" s="1254"/>
    </row>
    <row r="438">
      <c r="A438" s="1254"/>
      <c r="B438" s="1263"/>
      <c r="C438" s="1263"/>
      <c r="D438" s="1317"/>
      <c r="E438" s="1318"/>
      <c r="F438" s="1254"/>
      <c r="G438" s="1254"/>
      <c r="H438" s="1254"/>
      <c r="I438" s="1254"/>
      <c r="J438" s="1254"/>
      <c r="K438" s="1254"/>
      <c r="L438" s="1254"/>
      <c r="M438" s="1254"/>
      <c r="N438" s="1254"/>
      <c r="O438" s="1254"/>
      <c r="P438" s="1254"/>
      <c r="Q438" s="1254"/>
      <c r="R438" s="1254"/>
      <c r="S438" s="1254"/>
      <c r="T438" s="1254"/>
      <c r="U438" s="1254"/>
      <c r="V438" s="1254"/>
      <c r="W438" s="1254"/>
      <c r="X438" s="1254"/>
      <c r="Y438" s="1254"/>
    </row>
    <row r="439">
      <c r="A439" s="1254"/>
      <c r="B439" s="1263"/>
      <c r="C439" s="1263"/>
      <c r="D439" s="1317"/>
      <c r="E439" s="1318"/>
      <c r="F439" s="1254"/>
      <c r="G439" s="1254"/>
      <c r="H439" s="1254"/>
      <c r="I439" s="1254"/>
      <c r="J439" s="1254"/>
      <c r="K439" s="1254"/>
      <c r="L439" s="1254"/>
      <c r="M439" s="1254"/>
      <c r="N439" s="1254"/>
      <c r="O439" s="1254"/>
      <c r="P439" s="1254"/>
      <c r="Q439" s="1254"/>
      <c r="R439" s="1254"/>
      <c r="S439" s="1254"/>
      <c r="T439" s="1254"/>
      <c r="U439" s="1254"/>
      <c r="V439" s="1254"/>
      <c r="W439" s="1254"/>
      <c r="X439" s="1254"/>
      <c r="Y439" s="1254"/>
    </row>
    <row r="440">
      <c r="A440" s="1254"/>
      <c r="B440" s="1263"/>
      <c r="C440" s="1263"/>
      <c r="D440" s="1317"/>
      <c r="E440" s="1318"/>
      <c r="F440" s="1254"/>
      <c r="G440" s="1254"/>
      <c r="H440" s="1254"/>
      <c r="I440" s="1254"/>
      <c r="J440" s="1254"/>
      <c r="K440" s="1254"/>
      <c r="L440" s="1254"/>
      <c r="M440" s="1254"/>
      <c r="N440" s="1254"/>
      <c r="O440" s="1254"/>
      <c r="P440" s="1254"/>
      <c r="Q440" s="1254"/>
      <c r="R440" s="1254"/>
      <c r="S440" s="1254"/>
      <c r="T440" s="1254"/>
      <c r="U440" s="1254"/>
      <c r="V440" s="1254"/>
      <c r="W440" s="1254"/>
      <c r="X440" s="1254"/>
      <c r="Y440" s="1254"/>
    </row>
    <row r="441">
      <c r="A441" s="1254"/>
      <c r="B441" s="1263"/>
      <c r="C441" s="1263"/>
      <c r="D441" s="1317"/>
      <c r="E441" s="1318"/>
      <c r="F441" s="1254"/>
      <c r="G441" s="1254"/>
      <c r="H441" s="1254"/>
      <c r="I441" s="1254"/>
      <c r="J441" s="1254"/>
      <c r="K441" s="1254"/>
      <c r="L441" s="1254"/>
      <c r="M441" s="1254"/>
      <c r="N441" s="1254"/>
      <c r="O441" s="1254"/>
      <c r="P441" s="1254"/>
      <c r="Q441" s="1254"/>
      <c r="R441" s="1254"/>
      <c r="S441" s="1254"/>
      <c r="T441" s="1254"/>
      <c r="U441" s="1254"/>
      <c r="V441" s="1254"/>
      <c r="W441" s="1254"/>
      <c r="X441" s="1254"/>
      <c r="Y441" s="1254"/>
    </row>
    <row r="442">
      <c r="A442" s="1254"/>
      <c r="B442" s="1263"/>
      <c r="C442" s="1263"/>
      <c r="D442" s="1317"/>
      <c r="E442" s="1318"/>
      <c r="F442" s="1254"/>
      <c r="G442" s="1254"/>
      <c r="H442" s="1254"/>
      <c r="I442" s="1254"/>
      <c r="J442" s="1254"/>
      <c r="K442" s="1254"/>
      <c r="L442" s="1254"/>
      <c r="M442" s="1254"/>
      <c r="N442" s="1254"/>
      <c r="O442" s="1254"/>
      <c r="P442" s="1254"/>
      <c r="Q442" s="1254"/>
      <c r="R442" s="1254"/>
      <c r="S442" s="1254"/>
      <c r="T442" s="1254"/>
      <c r="U442" s="1254"/>
      <c r="V442" s="1254"/>
      <c r="W442" s="1254"/>
      <c r="X442" s="1254"/>
      <c r="Y442" s="1254"/>
    </row>
    <row r="443">
      <c r="A443" s="1254"/>
      <c r="B443" s="1263"/>
      <c r="C443" s="1263"/>
      <c r="D443" s="1317"/>
      <c r="E443" s="1318"/>
      <c r="F443" s="1254"/>
      <c r="G443" s="1254"/>
      <c r="H443" s="1254"/>
      <c r="I443" s="1254"/>
      <c r="J443" s="1254"/>
      <c r="K443" s="1254"/>
      <c r="L443" s="1254"/>
      <c r="M443" s="1254"/>
      <c r="N443" s="1254"/>
      <c r="O443" s="1254"/>
      <c r="P443" s="1254"/>
      <c r="Q443" s="1254"/>
      <c r="R443" s="1254"/>
      <c r="S443" s="1254"/>
      <c r="T443" s="1254"/>
      <c r="U443" s="1254"/>
      <c r="V443" s="1254"/>
      <c r="W443" s="1254"/>
      <c r="X443" s="1254"/>
      <c r="Y443" s="1254"/>
    </row>
    <row r="444">
      <c r="A444" s="1254"/>
      <c r="B444" s="1263"/>
      <c r="C444" s="1263"/>
      <c r="D444" s="1317"/>
      <c r="E444" s="1318"/>
      <c r="F444" s="1254"/>
      <c r="G444" s="1254"/>
      <c r="H444" s="1254"/>
      <c r="I444" s="1254"/>
      <c r="J444" s="1254"/>
      <c r="K444" s="1254"/>
      <c r="L444" s="1254"/>
      <c r="M444" s="1254"/>
      <c r="N444" s="1254"/>
      <c r="O444" s="1254"/>
      <c r="P444" s="1254"/>
      <c r="Q444" s="1254"/>
      <c r="R444" s="1254"/>
      <c r="S444" s="1254"/>
      <c r="T444" s="1254"/>
      <c r="U444" s="1254"/>
      <c r="V444" s="1254"/>
      <c r="W444" s="1254"/>
      <c r="X444" s="1254"/>
      <c r="Y444" s="1254"/>
    </row>
    <row r="445">
      <c r="A445" s="1254"/>
      <c r="B445" s="1263"/>
      <c r="C445" s="1263"/>
      <c r="D445" s="1317"/>
      <c r="E445" s="1318"/>
      <c r="F445" s="1254"/>
      <c r="G445" s="1254"/>
      <c r="H445" s="1254"/>
      <c r="I445" s="1254"/>
      <c r="J445" s="1254"/>
      <c r="K445" s="1254"/>
      <c r="L445" s="1254"/>
      <c r="M445" s="1254"/>
      <c r="N445" s="1254"/>
      <c r="O445" s="1254"/>
      <c r="P445" s="1254"/>
      <c r="Q445" s="1254"/>
      <c r="R445" s="1254"/>
      <c r="S445" s="1254"/>
      <c r="T445" s="1254"/>
      <c r="U445" s="1254"/>
      <c r="V445" s="1254"/>
      <c r="W445" s="1254"/>
      <c r="X445" s="1254"/>
      <c r="Y445" s="1254"/>
    </row>
    <row r="446">
      <c r="A446" s="1254"/>
      <c r="B446" s="1263"/>
      <c r="C446" s="1263"/>
      <c r="D446" s="1317"/>
      <c r="E446" s="1318"/>
      <c r="F446" s="1254"/>
      <c r="G446" s="1254"/>
      <c r="H446" s="1254"/>
      <c r="I446" s="1254"/>
      <c r="J446" s="1254"/>
      <c r="K446" s="1254"/>
      <c r="L446" s="1254"/>
      <c r="M446" s="1254"/>
      <c r="N446" s="1254"/>
      <c r="O446" s="1254"/>
      <c r="P446" s="1254"/>
      <c r="Q446" s="1254"/>
      <c r="R446" s="1254"/>
      <c r="S446" s="1254"/>
      <c r="T446" s="1254"/>
      <c r="U446" s="1254"/>
      <c r="V446" s="1254"/>
      <c r="W446" s="1254"/>
      <c r="X446" s="1254"/>
      <c r="Y446" s="1254"/>
    </row>
    <row r="447">
      <c r="A447" s="1254"/>
      <c r="B447" s="1263"/>
      <c r="C447" s="1263"/>
      <c r="D447" s="1317"/>
      <c r="E447" s="1318"/>
      <c r="F447" s="1254"/>
      <c r="G447" s="1254"/>
      <c r="H447" s="1254"/>
      <c r="I447" s="1254"/>
      <c r="J447" s="1254"/>
      <c r="K447" s="1254"/>
      <c r="L447" s="1254"/>
      <c r="M447" s="1254"/>
      <c r="N447" s="1254"/>
      <c r="O447" s="1254"/>
      <c r="P447" s="1254"/>
      <c r="Q447" s="1254"/>
      <c r="R447" s="1254"/>
      <c r="S447" s="1254"/>
      <c r="T447" s="1254"/>
      <c r="U447" s="1254"/>
      <c r="V447" s="1254"/>
      <c r="W447" s="1254"/>
      <c r="X447" s="1254"/>
      <c r="Y447" s="1254"/>
    </row>
    <row r="448">
      <c r="A448" s="1254"/>
      <c r="B448" s="1263"/>
      <c r="C448" s="1263"/>
      <c r="D448" s="1317"/>
      <c r="E448" s="1318"/>
      <c r="F448" s="1254"/>
      <c r="G448" s="1254"/>
      <c r="H448" s="1254"/>
      <c r="I448" s="1254"/>
      <c r="J448" s="1254"/>
      <c r="K448" s="1254"/>
      <c r="L448" s="1254"/>
      <c r="M448" s="1254"/>
      <c r="N448" s="1254"/>
      <c r="O448" s="1254"/>
      <c r="P448" s="1254"/>
      <c r="Q448" s="1254"/>
      <c r="R448" s="1254"/>
      <c r="S448" s="1254"/>
      <c r="T448" s="1254"/>
      <c r="U448" s="1254"/>
      <c r="V448" s="1254"/>
      <c r="W448" s="1254"/>
      <c r="X448" s="1254"/>
      <c r="Y448" s="1254"/>
    </row>
    <row r="449">
      <c r="A449" s="1254"/>
      <c r="B449" s="1263"/>
      <c r="C449" s="1263"/>
      <c r="D449" s="1317"/>
      <c r="E449" s="1318"/>
      <c r="F449" s="1254"/>
      <c r="G449" s="1254"/>
      <c r="H449" s="1254"/>
      <c r="I449" s="1254"/>
      <c r="J449" s="1254"/>
      <c r="K449" s="1254"/>
      <c r="L449" s="1254"/>
      <c r="M449" s="1254"/>
      <c r="N449" s="1254"/>
      <c r="O449" s="1254"/>
      <c r="P449" s="1254"/>
      <c r="Q449" s="1254"/>
      <c r="R449" s="1254"/>
      <c r="S449" s="1254"/>
      <c r="T449" s="1254"/>
      <c r="U449" s="1254"/>
      <c r="V449" s="1254"/>
      <c r="W449" s="1254"/>
      <c r="X449" s="1254"/>
      <c r="Y449" s="1254"/>
    </row>
    <row r="450">
      <c r="A450" s="1254"/>
      <c r="B450" s="1263"/>
      <c r="C450" s="1263"/>
      <c r="D450" s="1317"/>
      <c r="E450" s="1318"/>
      <c r="F450" s="1254"/>
      <c r="G450" s="1254"/>
      <c r="H450" s="1254"/>
      <c r="I450" s="1254"/>
      <c r="J450" s="1254"/>
      <c r="K450" s="1254"/>
      <c r="L450" s="1254"/>
      <c r="M450" s="1254"/>
      <c r="N450" s="1254"/>
      <c r="O450" s="1254"/>
      <c r="P450" s="1254"/>
      <c r="Q450" s="1254"/>
      <c r="R450" s="1254"/>
      <c r="S450" s="1254"/>
      <c r="T450" s="1254"/>
      <c r="U450" s="1254"/>
      <c r="V450" s="1254"/>
      <c r="W450" s="1254"/>
      <c r="X450" s="1254"/>
      <c r="Y450" s="1254"/>
    </row>
    <row r="451">
      <c r="A451" s="1254"/>
      <c r="B451" s="1263"/>
      <c r="C451" s="1263"/>
      <c r="D451" s="1317"/>
      <c r="E451" s="1318"/>
      <c r="F451" s="1254"/>
      <c r="G451" s="1254"/>
      <c r="H451" s="1254"/>
      <c r="I451" s="1254"/>
      <c r="J451" s="1254"/>
      <c r="K451" s="1254"/>
      <c r="L451" s="1254"/>
      <c r="M451" s="1254"/>
      <c r="N451" s="1254"/>
      <c r="O451" s="1254"/>
      <c r="P451" s="1254"/>
      <c r="Q451" s="1254"/>
      <c r="R451" s="1254"/>
      <c r="S451" s="1254"/>
      <c r="T451" s="1254"/>
      <c r="U451" s="1254"/>
      <c r="V451" s="1254"/>
      <c r="W451" s="1254"/>
      <c r="X451" s="1254"/>
      <c r="Y451" s="1254"/>
    </row>
    <row r="452">
      <c r="A452" s="1254"/>
      <c r="B452" s="1263"/>
      <c r="C452" s="1263"/>
      <c r="D452" s="1317"/>
      <c r="E452" s="1318"/>
      <c r="F452" s="1254"/>
      <c r="G452" s="1254"/>
      <c r="H452" s="1254"/>
      <c r="I452" s="1254"/>
      <c r="J452" s="1254"/>
      <c r="K452" s="1254"/>
      <c r="L452" s="1254"/>
      <c r="M452" s="1254"/>
      <c r="N452" s="1254"/>
      <c r="O452" s="1254"/>
      <c r="P452" s="1254"/>
      <c r="Q452" s="1254"/>
      <c r="R452" s="1254"/>
      <c r="S452" s="1254"/>
      <c r="T452" s="1254"/>
      <c r="U452" s="1254"/>
      <c r="V452" s="1254"/>
      <c r="W452" s="1254"/>
      <c r="X452" s="1254"/>
      <c r="Y452" s="1254"/>
    </row>
    <row r="453">
      <c r="A453" s="1254"/>
      <c r="B453" s="1263"/>
      <c r="C453" s="1263"/>
      <c r="D453" s="1317"/>
      <c r="E453" s="1318"/>
      <c r="F453" s="1254"/>
      <c r="G453" s="1254"/>
      <c r="H453" s="1254"/>
      <c r="I453" s="1254"/>
      <c r="J453" s="1254"/>
      <c r="K453" s="1254"/>
      <c r="L453" s="1254"/>
      <c r="M453" s="1254"/>
      <c r="N453" s="1254"/>
      <c r="O453" s="1254"/>
      <c r="P453" s="1254"/>
      <c r="Q453" s="1254"/>
      <c r="R453" s="1254"/>
      <c r="S453" s="1254"/>
      <c r="T453" s="1254"/>
      <c r="U453" s="1254"/>
      <c r="V453" s="1254"/>
      <c r="W453" s="1254"/>
      <c r="X453" s="1254"/>
      <c r="Y453" s="1254"/>
    </row>
    <row r="454">
      <c r="A454" s="1254"/>
      <c r="B454" s="1263"/>
      <c r="C454" s="1263"/>
      <c r="D454" s="1317"/>
      <c r="E454" s="1318"/>
      <c r="F454" s="1254"/>
      <c r="G454" s="1254"/>
      <c r="H454" s="1254"/>
      <c r="I454" s="1254"/>
      <c r="J454" s="1254"/>
      <c r="K454" s="1254"/>
      <c r="L454" s="1254"/>
      <c r="M454" s="1254"/>
      <c r="N454" s="1254"/>
      <c r="O454" s="1254"/>
      <c r="P454" s="1254"/>
      <c r="Q454" s="1254"/>
      <c r="R454" s="1254"/>
      <c r="S454" s="1254"/>
      <c r="T454" s="1254"/>
      <c r="U454" s="1254"/>
      <c r="V454" s="1254"/>
      <c r="W454" s="1254"/>
      <c r="X454" s="1254"/>
      <c r="Y454" s="1254"/>
    </row>
    <row r="455">
      <c r="A455" s="1254"/>
      <c r="B455" s="1263"/>
      <c r="C455" s="1263"/>
      <c r="D455" s="1317"/>
      <c r="E455" s="1318"/>
      <c r="F455" s="1254"/>
      <c r="G455" s="1254"/>
      <c r="H455" s="1254"/>
      <c r="I455" s="1254"/>
      <c r="J455" s="1254"/>
      <c r="K455" s="1254"/>
      <c r="L455" s="1254"/>
      <c r="M455" s="1254"/>
      <c r="N455" s="1254"/>
      <c r="O455" s="1254"/>
      <c r="P455" s="1254"/>
      <c r="Q455" s="1254"/>
      <c r="R455" s="1254"/>
      <c r="S455" s="1254"/>
      <c r="T455" s="1254"/>
      <c r="U455" s="1254"/>
      <c r="V455" s="1254"/>
      <c r="W455" s="1254"/>
      <c r="X455" s="1254"/>
      <c r="Y455" s="1254"/>
    </row>
    <row r="456">
      <c r="A456" s="1254"/>
      <c r="B456" s="1263"/>
      <c r="C456" s="1263"/>
      <c r="D456" s="1317"/>
      <c r="E456" s="1318"/>
      <c r="F456" s="1254"/>
      <c r="G456" s="1254"/>
      <c r="H456" s="1254"/>
      <c r="I456" s="1254"/>
      <c r="J456" s="1254"/>
      <c r="K456" s="1254"/>
      <c r="L456" s="1254"/>
      <c r="M456" s="1254"/>
      <c r="N456" s="1254"/>
      <c r="O456" s="1254"/>
      <c r="P456" s="1254"/>
      <c r="Q456" s="1254"/>
      <c r="R456" s="1254"/>
      <c r="S456" s="1254"/>
      <c r="T456" s="1254"/>
      <c r="U456" s="1254"/>
      <c r="V456" s="1254"/>
      <c r="W456" s="1254"/>
      <c r="X456" s="1254"/>
      <c r="Y456" s="1254"/>
    </row>
    <row r="457">
      <c r="A457" s="1254"/>
      <c r="B457" s="1263"/>
      <c r="C457" s="1263"/>
      <c r="D457" s="1317"/>
      <c r="E457" s="1318"/>
      <c r="F457" s="1254"/>
      <c r="G457" s="1254"/>
      <c r="H457" s="1254"/>
      <c r="I457" s="1254"/>
      <c r="J457" s="1254"/>
      <c r="K457" s="1254"/>
      <c r="L457" s="1254"/>
      <c r="M457" s="1254"/>
      <c r="N457" s="1254"/>
      <c r="O457" s="1254"/>
      <c r="P457" s="1254"/>
      <c r="Q457" s="1254"/>
      <c r="R457" s="1254"/>
      <c r="S457" s="1254"/>
      <c r="T457" s="1254"/>
      <c r="U457" s="1254"/>
      <c r="V457" s="1254"/>
      <c r="W457" s="1254"/>
      <c r="X457" s="1254"/>
      <c r="Y457" s="1254"/>
    </row>
    <row r="458">
      <c r="A458" s="1254"/>
      <c r="B458" s="1263"/>
      <c r="C458" s="1263"/>
      <c r="D458" s="1317"/>
      <c r="E458" s="1318"/>
      <c r="F458" s="1254"/>
      <c r="G458" s="1254"/>
      <c r="H458" s="1254"/>
      <c r="I458" s="1254"/>
      <c r="J458" s="1254"/>
      <c r="K458" s="1254"/>
      <c r="L458" s="1254"/>
      <c r="M458" s="1254"/>
      <c r="N458" s="1254"/>
      <c r="O458" s="1254"/>
      <c r="P458" s="1254"/>
      <c r="Q458" s="1254"/>
      <c r="R458" s="1254"/>
      <c r="S458" s="1254"/>
      <c r="T458" s="1254"/>
      <c r="U458" s="1254"/>
      <c r="V458" s="1254"/>
      <c r="W458" s="1254"/>
      <c r="X458" s="1254"/>
      <c r="Y458" s="1254"/>
    </row>
    <row r="459">
      <c r="A459" s="1254"/>
      <c r="B459" s="1263"/>
      <c r="C459" s="1263"/>
      <c r="D459" s="1317"/>
      <c r="E459" s="1318"/>
      <c r="F459" s="1254"/>
      <c r="G459" s="1254"/>
      <c r="H459" s="1254"/>
      <c r="I459" s="1254"/>
      <c r="J459" s="1254"/>
      <c r="K459" s="1254"/>
      <c r="L459" s="1254"/>
      <c r="M459" s="1254"/>
      <c r="N459" s="1254"/>
      <c r="O459" s="1254"/>
      <c r="P459" s="1254"/>
      <c r="Q459" s="1254"/>
      <c r="R459" s="1254"/>
      <c r="S459" s="1254"/>
      <c r="T459" s="1254"/>
      <c r="U459" s="1254"/>
      <c r="V459" s="1254"/>
      <c r="W459" s="1254"/>
      <c r="X459" s="1254"/>
      <c r="Y459" s="1254"/>
    </row>
    <row r="460">
      <c r="A460" s="1254"/>
      <c r="B460" s="1263"/>
      <c r="C460" s="1263"/>
      <c r="D460" s="1317"/>
      <c r="E460" s="1318"/>
      <c r="F460" s="1254"/>
      <c r="G460" s="1254"/>
      <c r="H460" s="1254"/>
      <c r="I460" s="1254"/>
      <c r="J460" s="1254"/>
      <c r="K460" s="1254"/>
      <c r="L460" s="1254"/>
      <c r="M460" s="1254"/>
      <c r="N460" s="1254"/>
      <c r="O460" s="1254"/>
      <c r="P460" s="1254"/>
      <c r="Q460" s="1254"/>
      <c r="R460" s="1254"/>
      <c r="S460" s="1254"/>
      <c r="T460" s="1254"/>
      <c r="U460" s="1254"/>
      <c r="V460" s="1254"/>
      <c r="W460" s="1254"/>
      <c r="X460" s="1254"/>
      <c r="Y460" s="1254"/>
    </row>
    <row r="461">
      <c r="A461" s="1254"/>
      <c r="B461" s="1263"/>
      <c r="C461" s="1263"/>
      <c r="D461" s="1317"/>
      <c r="E461" s="1318"/>
      <c r="F461" s="1254"/>
      <c r="G461" s="1254"/>
      <c r="H461" s="1254"/>
      <c r="I461" s="1254"/>
      <c r="J461" s="1254"/>
      <c r="K461" s="1254"/>
      <c r="L461" s="1254"/>
      <c r="M461" s="1254"/>
      <c r="N461" s="1254"/>
      <c r="O461" s="1254"/>
      <c r="P461" s="1254"/>
      <c r="Q461" s="1254"/>
      <c r="R461" s="1254"/>
      <c r="S461" s="1254"/>
      <c r="T461" s="1254"/>
      <c r="U461" s="1254"/>
      <c r="V461" s="1254"/>
      <c r="W461" s="1254"/>
      <c r="X461" s="1254"/>
      <c r="Y461" s="1254"/>
    </row>
    <row r="462">
      <c r="A462" s="1254"/>
      <c r="B462" s="1263"/>
      <c r="C462" s="1263"/>
      <c r="D462" s="1317"/>
      <c r="E462" s="1318"/>
      <c r="F462" s="1254"/>
      <c r="G462" s="1254"/>
      <c r="H462" s="1254"/>
      <c r="I462" s="1254"/>
      <c r="J462" s="1254"/>
      <c r="K462" s="1254"/>
      <c r="L462" s="1254"/>
      <c r="M462" s="1254"/>
      <c r="N462" s="1254"/>
      <c r="O462" s="1254"/>
      <c r="P462" s="1254"/>
      <c r="Q462" s="1254"/>
      <c r="R462" s="1254"/>
      <c r="S462" s="1254"/>
      <c r="T462" s="1254"/>
      <c r="U462" s="1254"/>
      <c r="V462" s="1254"/>
      <c r="W462" s="1254"/>
      <c r="X462" s="1254"/>
      <c r="Y462" s="1254"/>
    </row>
    <row r="463">
      <c r="A463" s="1254"/>
      <c r="B463" s="1263"/>
      <c r="C463" s="1263"/>
      <c r="D463" s="1317"/>
      <c r="E463" s="1318"/>
      <c r="F463" s="1254"/>
      <c r="G463" s="1254"/>
      <c r="H463" s="1254"/>
      <c r="I463" s="1254"/>
      <c r="J463" s="1254"/>
      <c r="K463" s="1254"/>
      <c r="L463" s="1254"/>
      <c r="M463" s="1254"/>
      <c r="N463" s="1254"/>
      <c r="O463" s="1254"/>
      <c r="P463" s="1254"/>
      <c r="Q463" s="1254"/>
      <c r="R463" s="1254"/>
      <c r="S463" s="1254"/>
      <c r="T463" s="1254"/>
      <c r="U463" s="1254"/>
      <c r="V463" s="1254"/>
      <c r="W463" s="1254"/>
      <c r="X463" s="1254"/>
      <c r="Y463" s="1254"/>
    </row>
    <row r="464">
      <c r="A464" s="1254"/>
      <c r="B464" s="1263"/>
      <c r="C464" s="1263"/>
      <c r="D464" s="1317"/>
      <c r="E464" s="1318"/>
      <c r="F464" s="1254"/>
      <c r="G464" s="1254"/>
      <c r="H464" s="1254"/>
      <c r="I464" s="1254"/>
      <c r="J464" s="1254"/>
      <c r="K464" s="1254"/>
      <c r="L464" s="1254"/>
      <c r="M464" s="1254"/>
      <c r="N464" s="1254"/>
      <c r="O464" s="1254"/>
      <c r="P464" s="1254"/>
      <c r="Q464" s="1254"/>
      <c r="R464" s="1254"/>
      <c r="S464" s="1254"/>
      <c r="T464" s="1254"/>
      <c r="U464" s="1254"/>
      <c r="V464" s="1254"/>
      <c r="W464" s="1254"/>
      <c r="X464" s="1254"/>
      <c r="Y464" s="1254"/>
    </row>
    <row r="465">
      <c r="A465" s="1254"/>
      <c r="B465" s="1263"/>
      <c r="C465" s="1263"/>
      <c r="D465" s="1317"/>
      <c r="E465" s="1318"/>
      <c r="F465" s="1254"/>
      <c r="G465" s="1254"/>
      <c r="H465" s="1254"/>
      <c r="I465" s="1254"/>
      <c r="J465" s="1254"/>
      <c r="K465" s="1254"/>
      <c r="L465" s="1254"/>
      <c r="M465" s="1254"/>
      <c r="N465" s="1254"/>
      <c r="O465" s="1254"/>
      <c r="P465" s="1254"/>
      <c r="Q465" s="1254"/>
      <c r="R465" s="1254"/>
      <c r="S465" s="1254"/>
      <c r="T465" s="1254"/>
      <c r="U465" s="1254"/>
      <c r="V465" s="1254"/>
      <c r="W465" s="1254"/>
      <c r="X465" s="1254"/>
      <c r="Y465" s="1254"/>
    </row>
    <row r="466">
      <c r="A466" s="1254"/>
      <c r="B466" s="1263"/>
      <c r="C466" s="1263"/>
      <c r="D466" s="1317"/>
      <c r="E466" s="1318"/>
      <c r="F466" s="1254"/>
      <c r="G466" s="1254"/>
      <c r="H466" s="1254"/>
      <c r="I466" s="1254"/>
      <c r="J466" s="1254"/>
      <c r="K466" s="1254"/>
      <c r="L466" s="1254"/>
      <c r="M466" s="1254"/>
      <c r="N466" s="1254"/>
      <c r="O466" s="1254"/>
      <c r="P466" s="1254"/>
      <c r="Q466" s="1254"/>
      <c r="R466" s="1254"/>
      <c r="S466" s="1254"/>
      <c r="T466" s="1254"/>
      <c r="U466" s="1254"/>
      <c r="V466" s="1254"/>
      <c r="W466" s="1254"/>
      <c r="X466" s="1254"/>
      <c r="Y466" s="1254"/>
    </row>
    <row r="467">
      <c r="A467" s="1254"/>
      <c r="B467" s="1263"/>
      <c r="C467" s="1263"/>
      <c r="D467" s="1317"/>
      <c r="E467" s="1318"/>
      <c r="F467" s="1254"/>
      <c r="G467" s="1254"/>
      <c r="H467" s="1254"/>
      <c r="I467" s="1254"/>
      <c r="J467" s="1254"/>
      <c r="K467" s="1254"/>
      <c r="L467" s="1254"/>
      <c r="M467" s="1254"/>
      <c r="N467" s="1254"/>
      <c r="O467" s="1254"/>
      <c r="P467" s="1254"/>
      <c r="Q467" s="1254"/>
      <c r="R467" s="1254"/>
      <c r="S467" s="1254"/>
      <c r="T467" s="1254"/>
      <c r="U467" s="1254"/>
      <c r="V467" s="1254"/>
      <c r="W467" s="1254"/>
      <c r="X467" s="1254"/>
      <c r="Y467" s="1254"/>
    </row>
    <row r="468">
      <c r="A468" s="1254"/>
      <c r="B468" s="1263"/>
      <c r="C468" s="1263"/>
      <c r="D468" s="1317"/>
      <c r="E468" s="1318"/>
      <c r="F468" s="1254"/>
      <c r="G468" s="1254"/>
      <c r="H468" s="1254"/>
      <c r="I468" s="1254"/>
      <c r="J468" s="1254"/>
      <c r="K468" s="1254"/>
      <c r="L468" s="1254"/>
      <c r="M468" s="1254"/>
      <c r="N468" s="1254"/>
      <c r="O468" s="1254"/>
      <c r="P468" s="1254"/>
      <c r="Q468" s="1254"/>
      <c r="R468" s="1254"/>
      <c r="S468" s="1254"/>
      <c r="T468" s="1254"/>
      <c r="U468" s="1254"/>
      <c r="V468" s="1254"/>
      <c r="W468" s="1254"/>
      <c r="X468" s="1254"/>
      <c r="Y468" s="1254"/>
    </row>
    <row r="469">
      <c r="A469" s="1254"/>
      <c r="B469" s="1263"/>
      <c r="C469" s="1263"/>
      <c r="D469" s="1317"/>
      <c r="E469" s="1318"/>
      <c r="F469" s="1254"/>
      <c r="G469" s="1254"/>
      <c r="H469" s="1254"/>
      <c r="I469" s="1254"/>
      <c r="J469" s="1254"/>
      <c r="K469" s="1254"/>
      <c r="L469" s="1254"/>
      <c r="M469" s="1254"/>
      <c r="N469" s="1254"/>
      <c r="O469" s="1254"/>
      <c r="P469" s="1254"/>
      <c r="Q469" s="1254"/>
      <c r="R469" s="1254"/>
      <c r="S469" s="1254"/>
      <c r="T469" s="1254"/>
      <c r="U469" s="1254"/>
      <c r="V469" s="1254"/>
      <c r="W469" s="1254"/>
      <c r="X469" s="1254"/>
      <c r="Y469" s="1254"/>
    </row>
    <row r="470">
      <c r="A470" s="1254"/>
      <c r="B470" s="1263"/>
      <c r="C470" s="1263"/>
      <c r="D470" s="1317"/>
      <c r="E470" s="1318"/>
      <c r="F470" s="1254"/>
      <c r="G470" s="1254"/>
      <c r="H470" s="1254"/>
      <c r="I470" s="1254"/>
      <c r="J470" s="1254"/>
      <c r="K470" s="1254"/>
      <c r="L470" s="1254"/>
      <c r="M470" s="1254"/>
      <c r="N470" s="1254"/>
      <c r="O470" s="1254"/>
      <c r="P470" s="1254"/>
      <c r="Q470" s="1254"/>
      <c r="R470" s="1254"/>
      <c r="S470" s="1254"/>
      <c r="T470" s="1254"/>
      <c r="U470" s="1254"/>
      <c r="V470" s="1254"/>
      <c r="W470" s="1254"/>
      <c r="X470" s="1254"/>
      <c r="Y470" s="1254"/>
    </row>
    <row r="471">
      <c r="A471" s="1254"/>
      <c r="B471" s="1263"/>
      <c r="C471" s="1263"/>
      <c r="D471" s="1317"/>
      <c r="E471" s="1318"/>
      <c r="F471" s="1254"/>
      <c r="G471" s="1254"/>
      <c r="H471" s="1254"/>
      <c r="I471" s="1254"/>
      <c r="J471" s="1254"/>
      <c r="K471" s="1254"/>
      <c r="L471" s="1254"/>
      <c r="M471" s="1254"/>
      <c r="N471" s="1254"/>
      <c r="O471" s="1254"/>
      <c r="P471" s="1254"/>
      <c r="Q471" s="1254"/>
      <c r="R471" s="1254"/>
      <c r="S471" s="1254"/>
      <c r="T471" s="1254"/>
      <c r="U471" s="1254"/>
      <c r="V471" s="1254"/>
      <c r="W471" s="1254"/>
      <c r="X471" s="1254"/>
      <c r="Y471" s="1254"/>
    </row>
    <row r="472">
      <c r="A472" s="1254"/>
      <c r="B472" s="1263"/>
      <c r="C472" s="1263"/>
      <c r="D472" s="1317"/>
      <c r="E472" s="1318"/>
      <c r="F472" s="1254"/>
      <c r="G472" s="1254"/>
      <c r="H472" s="1254"/>
      <c r="I472" s="1254"/>
      <c r="J472" s="1254"/>
      <c r="K472" s="1254"/>
      <c r="L472" s="1254"/>
      <c r="M472" s="1254"/>
      <c r="N472" s="1254"/>
      <c r="O472" s="1254"/>
      <c r="P472" s="1254"/>
      <c r="Q472" s="1254"/>
      <c r="R472" s="1254"/>
      <c r="S472" s="1254"/>
      <c r="T472" s="1254"/>
      <c r="U472" s="1254"/>
      <c r="V472" s="1254"/>
      <c r="W472" s="1254"/>
      <c r="X472" s="1254"/>
      <c r="Y472" s="1254"/>
    </row>
    <row r="473">
      <c r="A473" s="1254"/>
      <c r="B473" s="1263"/>
      <c r="C473" s="1263"/>
      <c r="D473" s="1317"/>
      <c r="E473" s="1318"/>
      <c r="F473" s="1254"/>
      <c r="G473" s="1254"/>
      <c r="H473" s="1254"/>
      <c r="I473" s="1254"/>
      <c r="J473" s="1254"/>
      <c r="K473" s="1254"/>
      <c r="L473" s="1254"/>
      <c r="M473" s="1254"/>
      <c r="N473" s="1254"/>
      <c r="O473" s="1254"/>
      <c r="P473" s="1254"/>
      <c r="Q473" s="1254"/>
      <c r="R473" s="1254"/>
      <c r="S473" s="1254"/>
      <c r="T473" s="1254"/>
      <c r="U473" s="1254"/>
      <c r="V473" s="1254"/>
      <c r="W473" s="1254"/>
      <c r="X473" s="1254"/>
      <c r="Y473" s="1254"/>
    </row>
    <row r="474">
      <c r="A474" s="1254"/>
      <c r="B474" s="1263"/>
      <c r="C474" s="1263"/>
      <c r="D474" s="1317"/>
      <c r="E474" s="1318"/>
      <c r="F474" s="1254"/>
      <c r="G474" s="1254"/>
      <c r="H474" s="1254"/>
      <c r="I474" s="1254"/>
      <c r="J474" s="1254"/>
      <c r="K474" s="1254"/>
      <c r="L474" s="1254"/>
      <c r="M474" s="1254"/>
      <c r="N474" s="1254"/>
      <c r="O474" s="1254"/>
      <c r="P474" s="1254"/>
      <c r="Q474" s="1254"/>
      <c r="R474" s="1254"/>
      <c r="S474" s="1254"/>
      <c r="T474" s="1254"/>
      <c r="U474" s="1254"/>
      <c r="V474" s="1254"/>
      <c r="W474" s="1254"/>
      <c r="X474" s="1254"/>
      <c r="Y474" s="1254"/>
    </row>
    <row r="475">
      <c r="A475" s="1254"/>
      <c r="B475" s="1263"/>
      <c r="C475" s="1263"/>
      <c r="D475" s="1317"/>
      <c r="E475" s="1318"/>
      <c r="F475" s="1254"/>
      <c r="G475" s="1254"/>
      <c r="H475" s="1254"/>
      <c r="I475" s="1254"/>
      <c r="J475" s="1254"/>
      <c r="K475" s="1254"/>
      <c r="L475" s="1254"/>
      <c r="M475" s="1254"/>
      <c r="N475" s="1254"/>
      <c r="O475" s="1254"/>
      <c r="P475" s="1254"/>
      <c r="Q475" s="1254"/>
      <c r="R475" s="1254"/>
      <c r="S475" s="1254"/>
      <c r="T475" s="1254"/>
      <c r="U475" s="1254"/>
      <c r="V475" s="1254"/>
      <c r="W475" s="1254"/>
      <c r="X475" s="1254"/>
      <c r="Y475" s="1254"/>
    </row>
    <row r="476">
      <c r="A476" s="1254"/>
      <c r="B476" s="1263"/>
      <c r="C476" s="1263"/>
      <c r="D476" s="1317"/>
      <c r="E476" s="1318"/>
      <c r="F476" s="1254"/>
      <c r="G476" s="1254"/>
      <c r="H476" s="1254"/>
      <c r="I476" s="1254"/>
      <c r="J476" s="1254"/>
      <c r="K476" s="1254"/>
      <c r="L476" s="1254"/>
      <c r="M476" s="1254"/>
      <c r="N476" s="1254"/>
      <c r="O476" s="1254"/>
      <c r="P476" s="1254"/>
      <c r="Q476" s="1254"/>
      <c r="R476" s="1254"/>
      <c r="S476" s="1254"/>
      <c r="T476" s="1254"/>
      <c r="U476" s="1254"/>
      <c r="V476" s="1254"/>
      <c r="W476" s="1254"/>
      <c r="X476" s="1254"/>
      <c r="Y476" s="1254"/>
    </row>
    <row r="477">
      <c r="A477" s="1254"/>
      <c r="B477" s="1263"/>
      <c r="C477" s="1263"/>
      <c r="D477" s="1317"/>
      <c r="E477" s="1318"/>
      <c r="F477" s="1254"/>
      <c r="G477" s="1254"/>
      <c r="H477" s="1254"/>
      <c r="I477" s="1254"/>
      <c r="J477" s="1254"/>
      <c r="K477" s="1254"/>
      <c r="L477" s="1254"/>
      <c r="M477" s="1254"/>
      <c r="N477" s="1254"/>
      <c r="O477" s="1254"/>
      <c r="P477" s="1254"/>
      <c r="Q477" s="1254"/>
      <c r="R477" s="1254"/>
      <c r="S477" s="1254"/>
      <c r="T477" s="1254"/>
      <c r="U477" s="1254"/>
      <c r="V477" s="1254"/>
      <c r="W477" s="1254"/>
      <c r="X477" s="1254"/>
      <c r="Y477" s="1254"/>
    </row>
    <row r="478">
      <c r="A478" s="1254"/>
      <c r="B478" s="1263"/>
      <c r="C478" s="1263"/>
      <c r="D478" s="1317"/>
      <c r="E478" s="1318"/>
      <c r="F478" s="1254"/>
      <c r="G478" s="1254"/>
      <c r="H478" s="1254"/>
      <c r="I478" s="1254"/>
      <c r="J478" s="1254"/>
      <c r="K478" s="1254"/>
      <c r="L478" s="1254"/>
      <c r="M478" s="1254"/>
      <c r="N478" s="1254"/>
      <c r="O478" s="1254"/>
      <c r="P478" s="1254"/>
      <c r="Q478" s="1254"/>
      <c r="R478" s="1254"/>
      <c r="S478" s="1254"/>
      <c r="T478" s="1254"/>
      <c r="U478" s="1254"/>
      <c r="V478" s="1254"/>
      <c r="W478" s="1254"/>
      <c r="X478" s="1254"/>
      <c r="Y478" s="1254"/>
    </row>
    <row r="479">
      <c r="A479" s="1254"/>
      <c r="B479" s="1263"/>
      <c r="C479" s="1263"/>
      <c r="D479" s="1317"/>
      <c r="E479" s="1318"/>
      <c r="F479" s="1254"/>
      <c r="G479" s="1254"/>
      <c r="H479" s="1254"/>
      <c r="I479" s="1254"/>
      <c r="J479" s="1254"/>
      <c r="K479" s="1254"/>
      <c r="L479" s="1254"/>
      <c r="M479" s="1254"/>
      <c r="N479" s="1254"/>
      <c r="O479" s="1254"/>
      <c r="P479" s="1254"/>
      <c r="Q479" s="1254"/>
      <c r="R479" s="1254"/>
      <c r="S479" s="1254"/>
      <c r="T479" s="1254"/>
      <c r="U479" s="1254"/>
      <c r="V479" s="1254"/>
      <c r="W479" s="1254"/>
      <c r="X479" s="1254"/>
      <c r="Y479" s="1254"/>
    </row>
    <row r="480">
      <c r="A480" s="1254"/>
      <c r="B480" s="1263"/>
      <c r="C480" s="1263"/>
      <c r="D480" s="1317"/>
      <c r="E480" s="1318"/>
      <c r="F480" s="1254"/>
      <c r="G480" s="1254"/>
      <c r="H480" s="1254"/>
      <c r="I480" s="1254"/>
      <c r="J480" s="1254"/>
      <c r="K480" s="1254"/>
      <c r="L480" s="1254"/>
      <c r="M480" s="1254"/>
      <c r="N480" s="1254"/>
      <c r="O480" s="1254"/>
      <c r="P480" s="1254"/>
      <c r="Q480" s="1254"/>
      <c r="R480" s="1254"/>
      <c r="S480" s="1254"/>
      <c r="T480" s="1254"/>
      <c r="U480" s="1254"/>
      <c r="V480" s="1254"/>
      <c r="W480" s="1254"/>
      <c r="X480" s="1254"/>
      <c r="Y480" s="1254"/>
    </row>
    <row r="481">
      <c r="A481" s="1254"/>
      <c r="B481" s="1263"/>
      <c r="C481" s="1263"/>
      <c r="D481" s="1317"/>
      <c r="E481" s="1318"/>
      <c r="F481" s="1254"/>
      <c r="G481" s="1254"/>
      <c r="H481" s="1254"/>
      <c r="I481" s="1254"/>
      <c r="J481" s="1254"/>
      <c r="K481" s="1254"/>
      <c r="L481" s="1254"/>
      <c r="M481" s="1254"/>
      <c r="N481" s="1254"/>
      <c r="O481" s="1254"/>
      <c r="P481" s="1254"/>
      <c r="Q481" s="1254"/>
      <c r="R481" s="1254"/>
      <c r="S481" s="1254"/>
      <c r="T481" s="1254"/>
      <c r="U481" s="1254"/>
      <c r="V481" s="1254"/>
      <c r="W481" s="1254"/>
      <c r="X481" s="1254"/>
      <c r="Y481" s="1254"/>
    </row>
    <row r="482">
      <c r="A482" s="1254"/>
      <c r="B482" s="1263"/>
      <c r="C482" s="1263"/>
      <c r="D482" s="1317"/>
      <c r="E482" s="1318"/>
      <c r="F482" s="1254"/>
      <c r="G482" s="1254"/>
      <c r="H482" s="1254"/>
      <c r="I482" s="1254"/>
      <c r="J482" s="1254"/>
      <c r="K482" s="1254"/>
      <c r="L482" s="1254"/>
      <c r="M482" s="1254"/>
      <c r="N482" s="1254"/>
      <c r="O482" s="1254"/>
      <c r="P482" s="1254"/>
      <c r="Q482" s="1254"/>
      <c r="R482" s="1254"/>
      <c r="S482" s="1254"/>
      <c r="T482" s="1254"/>
      <c r="U482" s="1254"/>
      <c r="V482" s="1254"/>
      <c r="W482" s="1254"/>
      <c r="X482" s="1254"/>
      <c r="Y482" s="1254"/>
    </row>
    <row r="483">
      <c r="A483" s="1254"/>
      <c r="B483" s="1263"/>
      <c r="C483" s="1263"/>
      <c r="D483" s="1317"/>
      <c r="E483" s="1318"/>
      <c r="F483" s="1254"/>
      <c r="G483" s="1254"/>
      <c r="H483" s="1254"/>
      <c r="I483" s="1254"/>
      <c r="J483" s="1254"/>
      <c r="K483" s="1254"/>
      <c r="L483" s="1254"/>
      <c r="M483" s="1254"/>
      <c r="N483" s="1254"/>
      <c r="O483" s="1254"/>
      <c r="P483" s="1254"/>
      <c r="Q483" s="1254"/>
      <c r="R483" s="1254"/>
      <c r="S483" s="1254"/>
      <c r="T483" s="1254"/>
      <c r="U483" s="1254"/>
      <c r="V483" s="1254"/>
      <c r="W483" s="1254"/>
      <c r="X483" s="1254"/>
      <c r="Y483" s="1254"/>
    </row>
    <row r="484">
      <c r="A484" s="1254"/>
      <c r="B484" s="1263"/>
      <c r="C484" s="1263"/>
      <c r="D484" s="1317"/>
      <c r="E484" s="1318"/>
      <c r="F484" s="1254"/>
      <c r="G484" s="1254"/>
      <c r="H484" s="1254"/>
      <c r="I484" s="1254"/>
      <c r="J484" s="1254"/>
      <c r="K484" s="1254"/>
      <c r="L484" s="1254"/>
      <c r="M484" s="1254"/>
      <c r="N484" s="1254"/>
      <c r="O484" s="1254"/>
      <c r="P484" s="1254"/>
      <c r="Q484" s="1254"/>
      <c r="R484" s="1254"/>
      <c r="S484" s="1254"/>
      <c r="T484" s="1254"/>
      <c r="U484" s="1254"/>
      <c r="V484" s="1254"/>
      <c r="W484" s="1254"/>
      <c r="X484" s="1254"/>
      <c r="Y484" s="1254"/>
    </row>
    <row r="485">
      <c r="A485" s="1254"/>
      <c r="B485" s="1263"/>
      <c r="C485" s="1263"/>
      <c r="D485" s="1317"/>
      <c r="E485" s="1318"/>
      <c r="F485" s="1254"/>
      <c r="G485" s="1254"/>
      <c r="H485" s="1254"/>
      <c r="I485" s="1254"/>
      <c r="J485" s="1254"/>
      <c r="K485" s="1254"/>
      <c r="L485" s="1254"/>
      <c r="M485" s="1254"/>
      <c r="N485" s="1254"/>
      <c r="O485" s="1254"/>
      <c r="P485" s="1254"/>
      <c r="Q485" s="1254"/>
      <c r="R485" s="1254"/>
      <c r="S485" s="1254"/>
      <c r="T485" s="1254"/>
      <c r="U485" s="1254"/>
      <c r="V485" s="1254"/>
      <c r="W485" s="1254"/>
      <c r="X485" s="1254"/>
      <c r="Y485" s="1254"/>
    </row>
    <row r="486">
      <c r="A486" s="1254"/>
      <c r="B486" s="1263"/>
      <c r="C486" s="1263"/>
      <c r="D486" s="1317"/>
      <c r="E486" s="1318"/>
      <c r="F486" s="1254"/>
      <c r="G486" s="1254"/>
      <c r="H486" s="1254"/>
      <c r="I486" s="1254"/>
      <c r="J486" s="1254"/>
      <c r="K486" s="1254"/>
      <c r="L486" s="1254"/>
      <c r="M486" s="1254"/>
      <c r="N486" s="1254"/>
      <c r="O486" s="1254"/>
      <c r="P486" s="1254"/>
      <c r="Q486" s="1254"/>
      <c r="R486" s="1254"/>
      <c r="S486" s="1254"/>
      <c r="T486" s="1254"/>
      <c r="U486" s="1254"/>
      <c r="V486" s="1254"/>
      <c r="W486" s="1254"/>
      <c r="X486" s="1254"/>
      <c r="Y486" s="1254"/>
    </row>
    <row r="487">
      <c r="A487" s="1254"/>
      <c r="B487" s="1263"/>
      <c r="C487" s="1263"/>
      <c r="D487" s="1317"/>
      <c r="E487" s="1318"/>
      <c r="F487" s="1254"/>
      <c r="G487" s="1254"/>
      <c r="H487" s="1254"/>
      <c r="I487" s="1254"/>
      <c r="J487" s="1254"/>
      <c r="K487" s="1254"/>
      <c r="L487" s="1254"/>
      <c r="M487" s="1254"/>
      <c r="N487" s="1254"/>
      <c r="O487" s="1254"/>
      <c r="P487" s="1254"/>
      <c r="Q487" s="1254"/>
      <c r="R487" s="1254"/>
      <c r="S487" s="1254"/>
      <c r="T487" s="1254"/>
      <c r="U487" s="1254"/>
      <c r="V487" s="1254"/>
      <c r="W487" s="1254"/>
      <c r="X487" s="1254"/>
      <c r="Y487" s="1254"/>
    </row>
    <row r="488">
      <c r="A488" s="1254"/>
      <c r="B488" s="1263"/>
      <c r="C488" s="1263"/>
      <c r="D488" s="1317"/>
      <c r="E488" s="1318"/>
      <c r="F488" s="1254"/>
      <c r="G488" s="1254"/>
      <c r="H488" s="1254"/>
      <c r="I488" s="1254"/>
      <c r="J488" s="1254"/>
      <c r="K488" s="1254"/>
      <c r="L488" s="1254"/>
      <c r="M488" s="1254"/>
      <c r="N488" s="1254"/>
      <c r="O488" s="1254"/>
      <c r="P488" s="1254"/>
      <c r="Q488" s="1254"/>
      <c r="R488" s="1254"/>
      <c r="S488" s="1254"/>
      <c r="T488" s="1254"/>
      <c r="U488" s="1254"/>
      <c r="V488" s="1254"/>
      <c r="W488" s="1254"/>
      <c r="X488" s="1254"/>
      <c r="Y488" s="1254"/>
    </row>
    <row r="489">
      <c r="A489" s="1254"/>
      <c r="B489" s="1263"/>
      <c r="C489" s="1263"/>
      <c r="D489" s="1317"/>
      <c r="E489" s="1318"/>
      <c r="F489" s="1254"/>
      <c r="G489" s="1254"/>
      <c r="H489" s="1254"/>
      <c r="I489" s="1254"/>
      <c r="J489" s="1254"/>
      <c r="K489" s="1254"/>
      <c r="L489" s="1254"/>
      <c r="M489" s="1254"/>
      <c r="N489" s="1254"/>
      <c r="O489" s="1254"/>
      <c r="P489" s="1254"/>
      <c r="Q489" s="1254"/>
      <c r="R489" s="1254"/>
      <c r="S489" s="1254"/>
      <c r="T489" s="1254"/>
      <c r="U489" s="1254"/>
      <c r="V489" s="1254"/>
      <c r="W489" s="1254"/>
      <c r="X489" s="1254"/>
      <c r="Y489" s="1254"/>
    </row>
    <row r="490">
      <c r="A490" s="1254"/>
      <c r="B490" s="1263"/>
      <c r="C490" s="1263"/>
      <c r="D490" s="1317"/>
      <c r="E490" s="1318"/>
      <c r="F490" s="1254"/>
      <c r="G490" s="1254"/>
      <c r="H490" s="1254"/>
      <c r="I490" s="1254"/>
      <c r="J490" s="1254"/>
      <c r="K490" s="1254"/>
      <c r="L490" s="1254"/>
      <c r="M490" s="1254"/>
      <c r="N490" s="1254"/>
      <c r="O490" s="1254"/>
      <c r="P490" s="1254"/>
      <c r="Q490" s="1254"/>
      <c r="R490" s="1254"/>
      <c r="S490" s="1254"/>
      <c r="T490" s="1254"/>
      <c r="U490" s="1254"/>
      <c r="V490" s="1254"/>
      <c r="W490" s="1254"/>
      <c r="X490" s="1254"/>
      <c r="Y490" s="1254"/>
    </row>
    <row r="491">
      <c r="A491" s="1254"/>
      <c r="B491" s="1263"/>
      <c r="C491" s="1263"/>
      <c r="D491" s="1317"/>
      <c r="E491" s="1318"/>
      <c r="F491" s="1254"/>
      <c r="G491" s="1254"/>
      <c r="H491" s="1254"/>
      <c r="I491" s="1254"/>
      <c r="J491" s="1254"/>
      <c r="K491" s="1254"/>
      <c r="L491" s="1254"/>
      <c r="M491" s="1254"/>
      <c r="N491" s="1254"/>
      <c r="O491" s="1254"/>
      <c r="P491" s="1254"/>
      <c r="Q491" s="1254"/>
      <c r="R491" s="1254"/>
      <c r="S491" s="1254"/>
      <c r="T491" s="1254"/>
      <c r="U491" s="1254"/>
      <c r="V491" s="1254"/>
      <c r="W491" s="1254"/>
      <c r="X491" s="1254"/>
      <c r="Y491" s="1254"/>
    </row>
    <row r="492">
      <c r="A492" s="1254"/>
      <c r="B492" s="1263"/>
      <c r="C492" s="1263"/>
      <c r="D492" s="1317"/>
      <c r="E492" s="1318"/>
      <c r="F492" s="1254"/>
      <c r="G492" s="1254"/>
      <c r="H492" s="1254"/>
      <c r="I492" s="1254"/>
      <c r="J492" s="1254"/>
      <c r="K492" s="1254"/>
      <c r="L492" s="1254"/>
      <c r="M492" s="1254"/>
      <c r="N492" s="1254"/>
      <c r="O492" s="1254"/>
      <c r="P492" s="1254"/>
      <c r="Q492" s="1254"/>
      <c r="R492" s="1254"/>
      <c r="S492" s="1254"/>
      <c r="T492" s="1254"/>
      <c r="U492" s="1254"/>
      <c r="V492" s="1254"/>
      <c r="W492" s="1254"/>
      <c r="X492" s="1254"/>
      <c r="Y492" s="1254"/>
    </row>
    <row r="493">
      <c r="A493" s="1254"/>
      <c r="B493" s="1263"/>
      <c r="C493" s="1263"/>
      <c r="D493" s="1317"/>
      <c r="E493" s="1318"/>
      <c r="F493" s="1254"/>
      <c r="G493" s="1254"/>
      <c r="H493" s="1254"/>
      <c r="I493" s="1254"/>
      <c r="J493" s="1254"/>
      <c r="K493" s="1254"/>
      <c r="L493" s="1254"/>
      <c r="M493" s="1254"/>
      <c r="N493" s="1254"/>
      <c r="O493" s="1254"/>
      <c r="P493" s="1254"/>
      <c r="Q493" s="1254"/>
      <c r="R493" s="1254"/>
      <c r="S493" s="1254"/>
      <c r="T493" s="1254"/>
      <c r="U493" s="1254"/>
      <c r="V493" s="1254"/>
      <c r="W493" s="1254"/>
      <c r="X493" s="1254"/>
      <c r="Y493" s="1254"/>
    </row>
    <row r="494">
      <c r="A494" s="1254"/>
      <c r="B494" s="1263"/>
      <c r="C494" s="1263"/>
      <c r="D494" s="1317"/>
      <c r="E494" s="1318"/>
      <c r="F494" s="1254"/>
      <c r="G494" s="1254"/>
      <c r="H494" s="1254"/>
      <c r="I494" s="1254"/>
      <c r="J494" s="1254"/>
      <c r="K494" s="1254"/>
      <c r="L494" s="1254"/>
      <c r="M494" s="1254"/>
      <c r="N494" s="1254"/>
      <c r="O494" s="1254"/>
      <c r="P494" s="1254"/>
      <c r="Q494" s="1254"/>
      <c r="R494" s="1254"/>
      <c r="S494" s="1254"/>
      <c r="T494" s="1254"/>
      <c r="U494" s="1254"/>
      <c r="V494" s="1254"/>
      <c r="W494" s="1254"/>
      <c r="X494" s="1254"/>
      <c r="Y494" s="1254"/>
    </row>
    <row r="495">
      <c r="A495" s="1254"/>
      <c r="B495" s="1263"/>
      <c r="C495" s="1263"/>
      <c r="D495" s="1317"/>
      <c r="E495" s="1318"/>
      <c r="F495" s="1254"/>
      <c r="G495" s="1254"/>
      <c r="H495" s="1254"/>
      <c r="I495" s="1254"/>
      <c r="J495" s="1254"/>
      <c r="K495" s="1254"/>
      <c r="L495" s="1254"/>
      <c r="M495" s="1254"/>
      <c r="N495" s="1254"/>
      <c r="O495" s="1254"/>
      <c r="P495" s="1254"/>
      <c r="Q495" s="1254"/>
      <c r="R495" s="1254"/>
      <c r="S495" s="1254"/>
      <c r="T495" s="1254"/>
      <c r="U495" s="1254"/>
      <c r="V495" s="1254"/>
      <c r="W495" s="1254"/>
      <c r="X495" s="1254"/>
      <c r="Y495" s="1254"/>
    </row>
    <row r="496">
      <c r="A496" s="1254"/>
      <c r="B496" s="1263"/>
      <c r="C496" s="1263"/>
      <c r="D496" s="1317"/>
      <c r="E496" s="1318"/>
      <c r="F496" s="1254"/>
      <c r="G496" s="1254"/>
      <c r="H496" s="1254"/>
      <c r="I496" s="1254"/>
      <c r="J496" s="1254"/>
      <c r="K496" s="1254"/>
      <c r="L496" s="1254"/>
      <c r="M496" s="1254"/>
      <c r="N496" s="1254"/>
      <c r="O496" s="1254"/>
      <c r="P496" s="1254"/>
      <c r="Q496" s="1254"/>
      <c r="R496" s="1254"/>
      <c r="S496" s="1254"/>
      <c r="T496" s="1254"/>
      <c r="U496" s="1254"/>
      <c r="V496" s="1254"/>
      <c r="W496" s="1254"/>
      <c r="X496" s="1254"/>
      <c r="Y496" s="1254"/>
    </row>
    <row r="497">
      <c r="A497" s="1254"/>
      <c r="B497" s="1263"/>
      <c r="C497" s="1263"/>
      <c r="D497" s="1317"/>
      <c r="E497" s="1318"/>
      <c r="F497" s="1254"/>
      <c r="G497" s="1254"/>
      <c r="H497" s="1254"/>
      <c r="I497" s="1254"/>
      <c r="J497" s="1254"/>
      <c r="K497" s="1254"/>
      <c r="L497" s="1254"/>
      <c r="M497" s="1254"/>
      <c r="N497" s="1254"/>
      <c r="O497" s="1254"/>
      <c r="P497" s="1254"/>
      <c r="Q497" s="1254"/>
      <c r="R497" s="1254"/>
      <c r="S497" s="1254"/>
      <c r="T497" s="1254"/>
      <c r="U497" s="1254"/>
      <c r="V497" s="1254"/>
      <c r="W497" s="1254"/>
      <c r="X497" s="1254"/>
      <c r="Y497" s="1254"/>
    </row>
    <row r="498">
      <c r="A498" s="1254"/>
      <c r="B498" s="1263"/>
      <c r="C498" s="1263"/>
      <c r="D498" s="1317"/>
      <c r="E498" s="1318"/>
      <c r="F498" s="1254"/>
      <c r="G498" s="1254"/>
      <c r="H498" s="1254"/>
      <c r="I498" s="1254"/>
      <c r="J498" s="1254"/>
      <c r="K498" s="1254"/>
      <c r="L498" s="1254"/>
      <c r="M498" s="1254"/>
      <c r="N498" s="1254"/>
      <c r="O498" s="1254"/>
      <c r="P498" s="1254"/>
      <c r="Q498" s="1254"/>
      <c r="R498" s="1254"/>
      <c r="S498" s="1254"/>
      <c r="T498" s="1254"/>
      <c r="U498" s="1254"/>
      <c r="V498" s="1254"/>
      <c r="W498" s="1254"/>
      <c r="X498" s="1254"/>
      <c r="Y498" s="1254"/>
    </row>
    <row r="499">
      <c r="A499" s="1254"/>
      <c r="B499" s="1263"/>
      <c r="C499" s="1263"/>
      <c r="D499" s="1317"/>
      <c r="E499" s="1318"/>
      <c r="F499" s="1254"/>
      <c r="G499" s="1254"/>
      <c r="H499" s="1254"/>
      <c r="I499" s="1254"/>
      <c r="J499" s="1254"/>
      <c r="K499" s="1254"/>
      <c r="L499" s="1254"/>
      <c r="M499" s="1254"/>
      <c r="N499" s="1254"/>
      <c r="O499" s="1254"/>
      <c r="P499" s="1254"/>
      <c r="Q499" s="1254"/>
      <c r="R499" s="1254"/>
      <c r="S499" s="1254"/>
      <c r="T499" s="1254"/>
      <c r="U499" s="1254"/>
      <c r="V499" s="1254"/>
      <c r="W499" s="1254"/>
      <c r="X499" s="1254"/>
      <c r="Y499" s="1254"/>
    </row>
    <row r="500">
      <c r="A500" s="1254"/>
      <c r="B500" s="1263"/>
      <c r="C500" s="1263"/>
      <c r="D500" s="1317"/>
      <c r="E500" s="1318"/>
      <c r="F500" s="1254"/>
      <c r="G500" s="1254"/>
      <c r="H500" s="1254"/>
      <c r="I500" s="1254"/>
      <c r="J500" s="1254"/>
      <c r="K500" s="1254"/>
      <c r="L500" s="1254"/>
      <c r="M500" s="1254"/>
      <c r="N500" s="1254"/>
      <c r="O500" s="1254"/>
      <c r="P500" s="1254"/>
      <c r="Q500" s="1254"/>
      <c r="R500" s="1254"/>
      <c r="S500" s="1254"/>
      <c r="T500" s="1254"/>
      <c r="U500" s="1254"/>
      <c r="V500" s="1254"/>
      <c r="W500" s="1254"/>
      <c r="X500" s="1254"/>
      <c r="Y500" s="1254"/>
    </row>
    <row r="501">
      <c r="A501" s="1254"/>
      <c r="B501" s="1263"/>
      <c r="C501" s="1263"/>
      <c r="D501" s="1317"/>
      <c r="E501" s="1318"/>
      <c r="F501" s="1254"/>
      <c r="G501" s="1254"/>
      <c r="H501" s="1254"/>
      <c r="I501" s="1254"/>
      <c r="J501" s="1254"/>
      <c r="K501" s="1254"/>
      <c r="L501" s="1254"/>
      <c r="M501" s="1254"/>
      <c r="N501" s="1254"/>
      <c r="O501" s="1254"/>
      <c r="P501" s="1254"/>
      <c r="Q501" s="1254"/>
      <c r="R501" s="1254"/>
      <c r="S501" s="1254"/>
      <c r="T501" s="1254"/>
      <c r="U501" s="1254"/>
      <c r="V501" s="1254"/>
      <c r="W501" s="1254"/>
      <c r="X501" s="1254"/>
      <c r="Y501" s="1254"/>
    </row>
    <row r="502">
      <c r="A502" s="1254"/>
      <c r="B502" s="1263"/>
      <c r="C502" s="1263"/>
      <c r="D502" s="1317"/>
      <c r="E502" s="1318"/>
      <c r="F502" s="1254"/>
      <c r="G502" s="1254"/>
      <c r="H502" s="1254"/>
      <c r="I502" s="1254"/>
      <c r="J502" s="1254"/>
      <c r="K502" s="1254"/>
      <c r="L502" s="1254"/>
      <c r="M502" s="1254"/>
      <c r="N502" s="1254"/>
      <c r="O502" s="1254"/>
      <c r="P502" s="1254"/>
      <c r="Q502" s="1254"/>
      <c r="R502" s="1254"/>
      <c r="S502" s="1254"/>
      <c r="T502" s="1254"/>
      <c r="U502" s="1254"/>
      <c r="V502" s="1254"/>
      <c r="W502" s="1254"/>
      <c r="X502" s="1254"/>
      <c r="Y502" s="1254"/>
    </row>
    <row r="503">
      <c r="A503" s="1254"/>
      <c r="B503" s="1263"/>
      <c r="C503" s="1263"/>
      <c r="D503" s="1317"/>
      <c r="E503" s="1318"/>
      <c r="F503" s="1254"/>
      <c r="G503" s="1254"/>
      <c r="H503" s="1254"/>
      <c r="I503" s="1254"/>
      <c r="J503" s="1254"/>
      <c r="K503" s="1254"/>
      <c r="L503" s="1254"/>
      <c r="M503" s="1254"/>
      <c r="N503" s="1254"/>
      <c r="O503" s="1254"/>
      <c r="P503" s="1254"/>
      <c r="Q503" s="1254"/>
      <c r="R503" s="1254"/>
      <c r="S503" s="1254"/>
      <c r="T503" s="1254"/>
      <c r="U503" s="1254"/>
      <c r="V503" s="1254"/>
      <c r="W503" s="1254"/>
      <c r="X503" s="1254"/>
      <c r="Y503" s="1254"/>
    </row>
    <row r="504">
      <c r="A504" s="1254"/>
      <c r="B504" s="1263"/>
      <c r="C504" s="1263"/>
      <c r="D504" s="1317"/>
      <c r="E504" s="1318"/>
      <c r="F504" s="1254"/>
      <c r="G504" s="1254"/>
      <c r="H504" s="1254"/>
      <c r="I504" s="1254"/>
      <c r="J504" s="1254"/>
      <c r="K504" s="1254"/>
      <c r="L504" s="1254"/>
      <c r="M504" s="1254"/>
      <c r="N504" s="1254"/>
      <c r="O504" s="1254"/>
      <c r="P504" s="1254"/>
      <c r="Q504" s="1254"/>
      <c r="R504" s="1254"/>
      <c r="S504" s="1254"/>
      <c r="T504" s="1254"/>
      <c r="U504" s="1254"/>
      <c r="V504" s="1254"/>
      <c r="W504" s="1254"/>
      <c r="X504" s="1254"/>
      <c r="Y504" s="1254"/>
    </row>
    <row r="505">
      <c r="A505" s="1254"/>
      <c r="B505" s="1263"/>
      <c r="C505" s="1263"/>
      <c r="D505" s="1317"/>
      <c r="E505" s="1318"/>
      <c r="F505" s="1254"/>
      <c r="G505" s="1254"/>
      <c r="H505" s="1254"/>
      <c r="I505" s="1254"/>
      <c r="J505" s="1254"/>
      <c r="K505" s="1254"/>
      <c r="L505" s="1254"/>
      <c r="M505" s="1254"/>
      <c r="N505" s="1254"/>
      <c r="O505" s="1254"/>
      <c r="P505" s="1254"/>
      <c r="Q505" s="1254"/>
      <c r="R505" s="1254"/>
      <c r="S505" s="1254"/>
      <c r="T505" s="1254"/>
      <c r="U505" s="1254"/>
      <c r="V505" s="1254"/>
      <c r="W505" s="1254"/>
      <c r="X505" s="1254"/>
      <c r="Y505" s="1254"/>
    </row>
    <row r="506">
      <c r="A506" s="1254"/>
      <c r="B506" s="1263"/>
      <c r="C506" s="1263"/>
      <c r="D506" s="1317"/>
      <c r="E506" s="1318"/>
      <c r="F506" s="1254"/>
      <c r="G506" s="1254"/>
      <c r="H506" s="1254"/>
      <c r="I506" s="1254"/>
      <c r="J506" s="1254"/>
      <c r="K506" s="1254"/>
      <c r="L506" s="1254"/>
      <c r="M506" s="1254"/>
      <c r="N506" s="1254"/>
      <c r="O506" s="1254"/>
      <c r="P506" s="1254"/>
      <c r="Q506" s="1254"/>
      <c r="R506" s="1254"/>
      <c r="S506" s="1254"/>
      <c r="T506" s="1254"/>
      <c r="U506" s="1254"/>
      <c r="V506" s="1254"/>
      <c r="W506" s="1254"/>
      <c r="X506" s="1254"/>
      <c r="Y506" s="1254"/>
    </row>
    <row r="507">
      <c r="A507" s="1254"/>
      <c r="B507" s="1263"/>
      <c r="C507" s="1263"/>
      <c r="D507" s="1317"/>
      <c r="E507" s="1318"/>
      <c r="F507" s="1254"/>
      <c r="G507" s="1254"/>
      <c r="H507" s="1254"/>
      <c r="I507" s="1254"/>
      <c r="J507" s="1254"/>
      <c r="K507" s="1254"/>
      <c r="L507" s="1254"/>
      <c r="M507" s="1254"/>
      <c r="N507" s="1254"/>
      <c r="O507" s="1254"/>
      <c r="P507" s="1254"/>
      <c r="Q507" s="1254"/>
      <c r="R507" s="1254"/>
      <c r="S507" s="1254"/>
      <c r="T507" s="1254"/>
      <c r="U507" s="1254"/>
      <c r="V507" s="1254"/>
      <c r="W507" s="1254"/>
      <c r="X507" s="1254"/>
      <c r="Y507" s="1254"/>
    </row>
    <row r="508">
      <c r="A508" s="1254"/>
      <c r="B508" s="1263"/>
      <c r="C508" s="1263"/>
      <c r="D508" s="1317"/>
      <c r="E508" s="1318"/>
      <c r="F508" s="1254"/>
      <c r="G508" s="1254"/>
      <c r="H508" s="1254"/>
      <c r="I508" s="1254"/>
      <c r="J508" s="1254"/>
      <c r="K508" s="1254"/>
      <c r="L508" s="1254"/>
      <c r="M508" s="1254"/>
      <c r="N508" s="1254"/>
      <c r="O508" s="1254"/>
      <c r="P508" s="1254"/>
      <c r="Q508" s="1254"/>
      <c r="R508" s="1254"/>
      <c r="S508" s="1254"/>
      <c r="T508" s="1254"/>
      <c r="U508" s="1254"/>
      <c r="V508" s="1254"/>
      <c r="W508" s="1254"/>
      <c r="X508" s="1254"/>
      <c r="Y508" s="1254"/>
    </row>
    <row r="509">
      <c r="A509" s="1254"/>
      <c r="B509" s="1263"/>
      <c r="C509" s="1263"/>
      <c r="D509" s="1317"/>
      <c r="E509" s="1318"/>
      <c r="F509" s="1254"/>
      <c r="G509" s="1254"/>
      <c r="H509" s="1254"/>
      <c r="I509" s="1254"/>
      <c r="J509" s="1254"/>
      <c r="K509" s="1254"/>
      <c r="L509" s="1254"/>
      <c r="M509" s="1254"/>
      <c r="N509" s="1254"/>
      <c r="O509" s="1254"/>
      <c r="P509" s="1254"/>
      <c r="Q509" s="1254"/>
      <c r="R509" s="1254"/>
      <c r="S509" s="1254"/>
      <c r="T509" s="1254"/>
      <c r="U509" s="1254"/>
      <c r="V509" s="1254"/>
      <c r="W509" s="1254"/>
      <c r="X509" s="1254"/>
      <c r="Y509" s="1254"/>
    </row>
    <row r="510">
      <c r="A510" s="1254"/>
      <c r="B510" s="1263"/>
      <c r="C510" s="1263"/>
      <c r="D510" s="1317"/>
      <c r="E510" s="1318"/>
      <c r="F510" s="1254"/>
      <c r="G510" s="1254"/>
      <c r="H510" s="1254"/>
      <c r="I510" s="1254"/>
      <c r="J510" s="1254"/>
      <c r="K510" s="1254"/>
      <c r="L510" s="1254"/>
      <c r="M510" s="1254"/>
      <c r="N510" s="1254"/>
      <c r="O510" s="1254"/>
      <c r="P510" s="1254"/>
      <c r="Q510" s="1254"/>
      <c r="R510" s="1254"/>
      <c r="S510" s="1254"/>
      <c r="T510" s="1254"/>
      <c r="U510" s="1254"/>
      <c r="V510" s="1254"/>
      <c r="W510" s="1254"/>
      <c r="X510" s="1254"/>
      <c r="Y510" s="1254"/>
    </row>
    <row r="511">
      <c r="A511" s="1254"/>
      <c r="B511" s="1263"/>
      <c r="C511" s="1263"/>
      <c r="D511" s="1317"/>
      <c r="E511" s="1318"/>
      <c r="F511" s="1254"/>
      <c r="G511" s="1254"/>
      <c r="H511" s="1254"/>
      <c r="I511" s="1254"/>
      <c r="J511" s="1254"/>
      <c r="K511" s="1254"/>
      <c r="L511" s="1254"/>
      <c r="M511" s="1254"/>
      <c r="N511" s="1254"/>
      <c r="O511" s="1254"/>
      <c r="P511" s="1254"/>
      <c r="Q511" s="1254"/>
      <c r="R511" s="1254"/>
      <c r="S511" s="1254"/>
      <c r="T511" s="1254"/>
      <c r="U511" s="1254"/>
      <c r="V511" s="1254"/>
      <c r="W511" s="1254"/>
      <c r="X511" s="1254"/>
      <c r="Y511" s="1254"/>
    </row>
    <row r="512">
      <c r="A512" s="1254"/>
      <c r="B512" s="1263"/>
      <c r="C512" s="1263"/>
      <c r="D512" s="1317"/>
      <c r="E512" s="1318"/>
      <c r="F512" s="1254"/>
      <c r="G512" s="1254"/>
      <c r="H512" s="1254"/>
      <c r="I512" s="1254"/>
      <c r="J512" s="1254"/>
      <c r="K512" s="1254"/>
      <c r="L512" s="1254"/>
      <c r="M512" s="1254"/>
      <c r="N512" s="1254"/>
      <c r="O512" s="1254"/>
      <c r="P512" s="1254"/>
      <c r="Q512" s="1254"/>
      <c r="R512" s="1254"/>
      <c r="S512" s="1254"/>
      <c r="T512" s="1254"/>
      <c r="U512" s="1254"/>
      <c r="V512" s="1254"/>
      <c r="W512" s="1254"/>
      <c r="X512" s="1254"/>
      <c r="Y512" s="1254"/>
    </row>
    <row r="513">
      <c r="A513" s="1254"/>
      <c r="B513" s="1263"/>
      <c r="C513" s="1263"/>
      <c r="D513" s="1317"/>
      <c r="E513" s="1318"/>
      <c r="F513" s="1254"/>
      <c r="G513" s="1254"/>
      <c r="H513" s="1254"/>
      <c r="I513" s="1254"/>
      <c r="J513" s="1254"/>
      <c r="K513" s="1254"/>
      <c r="L513" s="1254"/>
      <c r="M513" s="1254"/>
      <c r="N513" s="1254"/>
      <c r="O513" s="1254"/>
      <c r="P513" s="1254"/>
      <c r="Q513" s="1254"/>
      <c r="R513" s="1254"/>
      <c r="S513" s="1254"/>
      <c r="T513" s="1254"/>
      <c r="U513" s="1254"/>
      <c r="V513" s="1254"/>
      <c r="W513" s="1254"/>
      <c r="X513" s="1254"/>
      <c r="Y513" s="1254"/>
    </row>
    <row r="514">
      <c r="A514" s="1254"/>
      <c r="B514" s="1263"/>
      <c r="C514" s="1263"/>
      <c r="D514" s="1317"/>
      <c r="E514" s="1318"/>
      <c r="F514" s="1254"/>
      <c r="G514" s="1254"/>
      <c r="H514" s="1254"/>
      <c r="I514" s="1254"/>
      <c r="J514" s="1254"/>
      <c r="K514" s="1254"/>
      <c r="L514" s="1254"/>
      <c r="M514" s="1254"/>
      <c r="N514" s="1254"/>
      <c r="O514" s="1254"/>
      <c r="P514" s="1254"/>
      <c r="Q514" s="1254"/>
      <c r="R514" s="1254"/>
      <c r="S514" s="1254"/>
      <c r="T514" s="1254"/>
      <c r="U514" s="1254"/>
      <c r="V514" s="1254"/>
      <c r="W514" s="1254"/>
      <c r="X514" s="1254"/>
      <c r="Y514" s="1254"/>
    </row>
    <row r="515">
      <c r="A515" s="1254"/>
      <c r="B515" s="1263"/>
      <c r="C515" s="1263"/>
      <c r="D515" s="1317"/>
      <c r="E515" s="1318"/>
      <c r="F515" s="1254"/>
      <c r="G515" s="1254"/>
      <c r="H515" s="1254"/>
      <c r="I515" s="1254"/>
      <c r="J515" s="1254"/>
      <c r="K515" s="1254"/>
      <c r="L515" s="1254"/>
      <c r="M515" s="1254"/>
      <c r="N515" s="1254"/>
      <c r="O515" s="1254"/>
      <c r="P515" s="1254"/>
      <c r="Q515" s="1254"/>
      <c r="R515" s="1254"/>
      <c r="S515" s="1254"/>
      <c r="T515" s="1254"/>
      <c r="U515" s="1254"/>
      <c r="V515" s="1254"/>
      <c r="W515" s="1254"/>
      <c r="X515" s="1254"/>
      <c r="Y515" s="1254"/>
    </row>
    <row r="516">
      <c r="A516" s="1254"/>
      <c r="B516" s="1263"/>
      <c r="C516" s="1263"/>
      <c r="D516" s="1317"/>
      <c r="E516" s="1318"/>
      <c r="F516" s="1254"/>
      <c r="G516" s="1254"/>
      <c r="H516" s="1254"/>
      <c r="I516" s="1254"/>
      <c r="J516" s="1254"/>
      <c r="K516" s="1254"/>
      <c r="L516" s="1254"/>
      <c r="M516" s="1254"/>
      <c r="N516" s="1254"/>
      <c r="O516" s="1254"/>
      <c r="P516" s="1254"/>
      <c r="Q516" s="1254"/>
      <c r="R516" s="1254"/>
      <c r="S516" s="1254"/>
      <c r="T516" s="1254"/>
      <c r="U516" s="1254"/>
      <c r="V516" s="1254"/>
      <c r="W516" s="1254"/>
      <c r="X516" s="1254"/>
      <c r="Y516" s="1254"/>
    </row>
    <row r="517">
      <c r="A517" s="1254"/>
      <c r="B517" s="1263"/>
      <c r="C517" s="1263"/>
      <c r="D517" s="1317"/>
      <c r="E517" s="1318"/>
      <c r="F517" s="1254"/>
      <c r="G517" s="1254"/>
      <c r="H517" s="1254"/>
      <c r="I517" s="1254"/>
      <c r="J517" s="1254"/>
      <c r="K517" s="1254"/>
      <c r="L517" s="1254"/>
      <c r="M517" s="1254"/>
      <c r="N517" s="1254"/>
      <c r="O517" s="1254"/>
      <c r="P517" s="1254"/>
      <c r="Q517" s="1254"/>
      <c r="R517" s="1254"/>
      <c r="S517" s="1254"/>
      <c r="T517" s="1254"/>
      <c r="U517" s="1254"/>
      <c r="V517" s="1254"/>
      <c r="W517" s="1254"/>
      <c r="X517" s="1254"/>
      <c r="Y517" s="1254"/>
    </row>
    <row r="518">
      <c r="A518" s="1254"/>
      <c r="B518" s="1263"/>
      <c r="C518" s="1263"/>
      <c r="D518" s="1317"/>
      <c r="E518" s="1318"/>
      <c r="F518" s="1254"/>
      <c r="G518" s="1254"/>
      <c r="H518" s="1254"/>
      <c r="I518" s="1254"/>
      <c r="J518" s="1254"/>
      <c r="K518" s="1254"/>
      <c r="L518" s="1254"/>
      <c r="M518" s="1254"/>
      <c r="N518" s="1254"/>
      <c r="O518" s="1254"/>
      <c r="P518" s="1254"/>
      <c r="Q518" s="1254"/>
      <c r="R518" s="1254"/>
      <c r="S518" s="1254"/>
      <c r="T518" s="1254"/>
      <c r="U518" s="1254"/>
      <c r="V518" s="1254"/>
      <c r="W518" s="1254"/>
      <c r="X518" s="1254"/>
      <c r="Y518" s="1254"/>
    </row>
    <row r="519">
      <c r="A519" s="1254"/>
      <c r="B519" s="1263"/>
      <c r="C519" s="1263"/>
      <c r="D519" s="1317"/>
      <c r="E519" s="1318"/>
      <c r="F519" s="1254"/>
      <c r="G519" s="1254"/>
      <c r="H519" s="1254"/>
      <c r="I519" s="1254"/>
      <c r="J519" s="1254"/>
      <c r="K519" s="1254"/>
      <c r="L519" s="1254"/>
      <c r="M519" s="1254"/>
      <c r="N519" s="1254"/>
      <c r="O519" s="1254"/>
      <c r="P519" s="1254"/>
      <c r="Q519" s="1254"/>
      <c r="R519" s="1254"/>
      <c r="S519" s="1254"/>
      <c r="T519" s="1254"/>
      <c r="U519" s="1254"/>
      <c r="V519" s="1254"/>
      <c r="W519" s="1254"/>
      <c r="X519" s="1254"/>
      <c r="Y519" s="1254"/>
    </row>
    <row r="520">
      <c r="A520" s="1254"/>
      <c r="B520" s="1263"/>
      <c r="C520" s="1263"/>
      <c r="D520" s="1317"/>
      <c r="E520" s="1318"/>
      <c r="F520" s="1254"/>
      <c r="G520" s="1254"/>
      <c r="H520" s="1254"/>
      <c r="I520" s="1254"/>
      <c r="J520" s="1254"/>
      <c r="K520" s="1254"/>
      <c r="L520" s="1254"/>
      <c r="M520" s="1254"/>
      <c r="N520" s="1254"/>
      <c r="O520" s="1254"/>
      <c r="P520" s="1254"/>
      <c r="Q520" s="1254"/>
      <c r="R520" s="1254"/>
      <c r="S520" s="1254"/>
      <c r="T520" s="1254"/>
      <c r="U520" s="1254"/>
      <c r="V520" s="1254"/>
      <c r="W520" s="1254"/>
      <c r="X520" s="1254"/>
      <c r="Y520" s="1254"/>
    </row>
    <row r="521">
      <c r="A521" s="1254"/>
      <c r="B521" s="1263"/>
      <c r="C521" s="1263"/>
      <c r="D521" s="1317"/>
      <c r="E521" s="1318"/>
      <c r="F521" s="1254"/>
      <c r="G521" s="1254"/>
      <c r="H521" s="1254"/>
      <c r="I521" s="1254"/>
      <c r="J521" s="1254"/>
      <c r="K521" s="1254"/>
      <c r="L521" s="1254"/>
      <c r="M521" s="1254"/>
      <c r="N521" s="1254"/>
      <c r="O521" s="1254"/>
      <c r="P521" s="1254"/>
      <c r="Q521" s="1254"/>
      <c r="R521" s="1254"/>
      <c r="S521" s="1254"/>
      <c r="T521" s="1254"/>
      <c r="U521" s="1254"/>
      <c r="V521" s="1254"/>
      <c r="W521" s="1254"/>
      <c r="X521" s="1254"/>
      <c r="Y521" s="1254"/>
    </row>
    <row r="522">
      <c r="A522" s="1254"/>
      <c r="B522" s="1263"/>
      <c r="C522" s="1263"/>
      <c r="D522" s="1317"/>
      <c r="E522" s="1318"/>
      <c r="F522" s="1254"/>
      <c r="G522" s="1254"/>
      <c r="H522" s="1254"/>
      <c r="I522" s="1254"/>
      <c r="J522" s="1254"/>
      <c r="K522" s="1254"/>
      <c r="L522" s="1254"/>
      <c r="M522" s="1254"/>
      <c r="N522" s="1254"/>
      <c r="O522" s="1254"/>
      <c r="P522" s="1254"/>
      <c r="Q522" s="1254"/>
      <c r="R522" s="1254"/>
      <c r="S522" s="1254"/>
      <c r="T522" s="1254"/>
      <c r="U522" s="1254"/>
      <c r="V522" s="1254"/>
      <c r="W522" s="1254"/>
      <c r="X522" s="1254"/>
      <c r="Y522" s="1254"/>
    </row>
    <row r="523">
      <c r="A523" s="1254"/>
      <c r="B523" s="1263"/>
      <c r="C523" s="1263"/>
      <c r="D523" s="1317"/>
      <c r="E523" s="1318"/>
      <c r="F523" s="1254"/>
      <c r="G523" s="1254"/>
      <c r="H523" s="1254"/>
      <c r="I523" s="1254"/>
      <c r="J523" s="1254"/>
      <c r="K523" s="1254"/>
      <c r="L523" s="1254"/>
      <c r="M523" s="1254"/>
      <c r="N523" s="1254"/>
      <c r="O523" s="1254"/>
      <c r="P523" s="1254"/>
      <c r="Q523" s="1254"/>
      <c r="R523" s="1254"/>
      <c r="S523" s="1254"/>
      <c r="T523" s="1254"/>
      <c r="U523" s="1254"/>
      <c r="V523" s="1254"/>
      <c r="W523" s="1254"/>
      <c r="X523" s="1254"/>
      <c r="Y523" s="1254"/>
    </row>
    <row r="524">
      <c r="A524" s="1254"/>
      <c r="B524" s="1263"/>
      <c r="C524" s="1263"/>
      <c r="D524" s="1317"/>
      <c r="E524" s="1318"/>
      <c r="F524" s="1254"/>
      <c r="G524" s="1254"/>
      <c r="H524" s="1254"/>
      <c r="I524" s="1254"/>
      <c r="J524" s="1254"/>
      <c r="K524" s="1254"/>
      <c r="L524" s="1254"/>
      <c r="M524" s="1254"/>
      <c r="N524" s="1254"/>
      <c r="O524" s="1254"/>
      <c r="P524" s="1254"/>
      <c r="Q524" s="1254"/>
      <c r="R524" s="1254"/>
      <c r="S524" s="1254"/>
      <c r="T524" s="1254"/>
      <c r="U524" s="1254"/>
      <c r="V524" s="1254"/>
      <c r="W524" s="1254"/>
      <c r="X524" s="1254"/>
      <c r="Y524" s="1254"/>
    </row>
    <row r="525">
      <c r="A525" s="1254"/>
      <c r="B525" s="1263"/>
      <c r="C525" s="1263"/>
      <c r="D525" s="1317"/>
      <c r="E525" s="1318"/>
      <c r="F525" s="1254"/>
      <c r="G525" s="1254"/>
      <c r="H525" s="1254"/>
      <c r="I525" s="1254"/>
      <c r="J525" s="1254"/>
      <c r="K525" s="1254"/>
      <c r="L525" s="1254"/>
      <c r="M525" s="1254"/>
      <c r="N525" s="1254"/>
      <c r="O525" s="1254"/>
      <c r="P525" s="1254"/>
      <c r="Q525" s="1254"/>
      <c r="R525" s="1254"/>
      <c r="S525" s="1254"/>
      <c r="T525" s="1254"/>
      <c r="U525" s="1254"/>
      <c r="V525" s="1254"/>
      <c r="W525" s="1254"/>
      <c r="X525" s="1254"/>
      <c r="Y525" s="1254"/>
    </row>
    <row r="526">
      <c r="A526" s="1254"/>
      <c r="B526" s="1263"/>
      <c r="C526" s="1263"/>
      <c r="D526" s="1317"/>
      <c r="E526" s="1318"/>
      <c r="F526" s="1254"/>
      <c r="G526" s="1254"/>
      <c r="H526" s="1254"/>
      <c r="I526" s="1254"/>
      <c r="J526" s="1254"/>
      <c r="K526" s="1254"/>
      <c r="L526" s="1254"/>
      <c r="M526" s="1254"/>
      <c r="N526" s="1254"/>
      <c r="O526" s="1254"/>
      <c r="P526" s="1254"/>
      <c r="Q526" s="1254"/>
      <c r="R526" s="1254"/>
      <c r="S526" s="1254"/>
      <c r="T526" s="1254"/>
      <c r="U526" s="1254"/>
      <c r="V526" s="1254"/>
      <c r="W526" s="1254"/>
      <c r="X526" s="1254"/>
      <c r="Y526" s="1254"/>
    </row>
    <row r="527">
      <c r="A527" s="1254"/>
      <c r="B527" s="1263"/>
      <c r="C527" s="1263"/>
      <c r="D527" s="1317"/>
      <c r="E527" s="1318"/>
      <c r="F527" s="1254"/>
      <c r="G527" s="1254"/>
      <c r="H527" s="1254"/>
      <c r="I527" s="1254"/>
      <c r="J527" s="1254"/>
      <c r="K527" s="1254"/>
      <c r="L527" s="1254"/>
      <c r="M527" s="1254"/>
      <c r="N527" s="1254"/>
      <c r="O527" s="1254"/>
      <c r="P527" s="1254"/>
      <c r="Q527" s="1254"/>
      <c r="R527" s="1254"/>
      <c r="S527" s="1254"/>
      <c r="T527" s="1254"/>
      <c r="U527" s="1254"/>
      <c r="V527" s="1254"/>
      <c r="W527" s="1254"/>
      <c r="X527" s="1254"/>
      <c r="Y527" s="1254"/>
    </row>
    <row r="528">
      <c r="A528" s="1254"/>
      <c r="B528" s="1263"/>
      <c r="C528" s="1263"/>
      <c r="D528" s="1317"/>
      <c r="E528" s="1318"/>
      <c r="F528" s="1254"/>
      <c r="G528" s="1254"/>
      <c r="H528" s="1254"/>
      <c r="I528" s="1254"/>
      <c r="J528" s="1254"/>
      <c r="K528" s="1254"/>
      <c r="L528" s="1254"/>
      <c r="M528" s="1254"/>
      <c r="N528" s="1254"/>
      <c r="O528" s="1254"/>
      <c r="P528" s="1254"/>
      <c r="Q528" s="1254"/>
      <c r="R528" s="1254"/>
      <c r="S528" s="1254"/>
      <c r="T528" s="1254"/>
      <c r="U528" s="1254"/>
      <c r="V528" s="1254"/>
      <c r="W528" s="1254"/>
      <c r="X528" s="1254"/>
      <c r="Y528" s="1254"/>
    </row>
    <row r="529">
      <c r="A529" s="1254"/>
      <c r="B529" s="1263"/>
      <c r="C529" s="1263"/>
      <c r="D529" s="1317"/>
      <c r="E529" s="1318"/>
      <c r="F529" s="1254"/>
      <c r="G529" s="1254"/>
      <c r="H529" s="1254"/>
      <c r="I529" s="1254"/>
      <c r="J529" s="1254"/>
      <c r="K529" s="1254"/>
      <c r="L529" s="1254"/>
      <c r="M529" s="1254"/>
      <c r="N529" s="1254"/>
      <c r="O529" s="1254"/>
      <c r="P529" s="1254"/>
      <c r="Q529" s="1254"/>
      <c r="R529" s="1254"/>
      <c r="S529" s="1254"/>
      <c r="T529" s="1254"/>
      <c r="U529" s="1254"/>
      <c r="V529" s="1254"/>
      <c r="W529" s="1254"/>
      <c r="X529" s="1254"/>
      <c r="Y529" s="1254"/>
    </row>
    <row r="530">
      <c r="A530" s="1254"/>
      <c r="B530" s="1263"/>
      <c r="C530" s="1263"/>
      <c r="D530" s="1317"/>
      <c r="E530" s="1318"/>
      <c r="F530" s="1254"/>
      <c r="G530" s="1254"/>
      <c r="H530" s="1254"/>
      <c r="I530" s="1254"/>
      <c r="J530" s="1254"/>
      <c r="K530" s="1254"/>
      <c r="L530" s="1254"/>
      <c r="M530" s="1254"/>
      <c r="N530" s="1254"/>
      <c r="O530" s="1254"/>
      <c r="P530" s="1254"/>
      <c r="Q530" s="1254"/>
      <c r="R530" s="1254"/>
      <c r="S530" s="1254"/>
      <c r="T530" s="1254"/>
      <c r="U530" s="1254"/>
      <c r="V530" s="1254"/>
      <c r="W530" s="1254"/>
      <c r="X530" s="1254"/>
      <c r="Y530" s="1254"/>
    </row>
    <row r="531">
      <c r="A531" s="1254"/>
      <c r="B531" s="1263"/>
      <c r="C531" s="1263"/>
      <c r="D531" s="1317"/>
      <c r="E531" s="1318"/>
      <c r="F531" s="1254"/>
      <c r="G531" s="1254"/>
      <c r="H531" s="1254"/>
      <c r="I531" s="1254"/>
      <c r="J531" s="1254"/>
      <c r="K531" s="1254"/>
      <c r="L531" s="1254"/>
      <c r="M531" s="1254"/>
      <c r="N531" s="1254"/>
      <c r="O531" s="1254"/>
      <c r="P531" s="1254"/>
      <c r="Q531" s="1254"/>
      <c r="R531" s="1254"/>
      <c r="S531" s="1254"/>
      <c r="T531" s="1254"/>
      <c r="U531" s="1254"/>
      <c r="V531" s="1254"/>
      <c r="W531" s="1254"/>
      <c r="X531" s="1254"/>
      <c r="Y531" s="1254"/>
    </row>
    <row r="532">
      <c r="A532" s="1254"/>
      <c r="B532" s="1263"/>
      <c r="C532" s="1263"/>
      <c r="D532" s="1317"/>
      <c r="E532" s="1318"/>
      <c r="F532" s="1254"/>
      <c r="G532" s="1254"/>
      <c r="H532" s="1254"/>
      <c r="I532" s="1254"/>
      <c r="J532" s="1254"/>
      <c r="K532" s="1254"/>
      <c r="L532" s="1254"/>
      <c r="M532" s="1254"/>
      <c r="N532" s="1254"/>
      <c r="O532" s="1254"/>
      <c r="P532" s="1254"/>
      <c r="Q532" s="1254"/>
      <c r="R532" s="1254"/>
      <c r="S532" s="1254"/>
      <c r="T532" s="1254"/>
      <c r="U532" s="1254"/>
      <c r="V532" s="1254"/>
      <c r="W532" s="1254"/>
      <c r="X532" s="1254"/>
      <c r="Y532" s="1254"/>
    </row>
    <row r="533">
      <c r="A533" s="1254"/>
      <c r="B533" s="1263"/>
      <c r="C533" s="1263"/>
      <c r="D533" s="1317"/>
      <c r="E533" s="1318"/>
      <c r="F533" s="1254"/>
      <c r="G533" s="1254"/>
      <c r="H533" s="1254"/>
      <c r="I533" s="1254"/>
      <c r="J533" s="1254"/>
      <c r="K533" s="1254"/>
      <c r="L533" s="1254"/>
      <c r="M533" s="1254"/>
      <c r="N533" s="1254"/>
      <c r="O533" s="1254"/>
      <c r="P533" s="1254"/>
      <c r="Q533" s="1254"/>
      <c r="R533" s="1254"/>
      <c r="S533" s="1254"/>
      <c r="T533" s="1254"/>
      <c r="U533" s="1254"/>
      <c r="V533" s="1254"/>
      <c r="W533" s="1254"/>
      <c r="X533" s="1254"/>
      <c r="Y533" s="1254"/>
    </row>
    <row r="534">
      <c r="A534" s="1254"/>
      <c r="B534" s="1263"/>
      <c r="C534" s="1263"/>
      <c r="D534" s="1317"/>
      <c r="E534" s="1318"/>
      <c r="F534" s="1254"/>
      <c r="G534" s="1254"/>
      <c r="H534" s="1254"/>
      <c r="I534" s="1254"/>
      <c r="J534" s="1254"/>
      <c r="K534" s="1254"/>
      <c r="L534" s="1254"/>
      <c r="M534" s="1254"/>
      <c r="N534" s="1254"/>
      <c r="O534" s="1254"/>
      <c r="P534" s="1254"/>
      <c r="Q534" s="1254"/>
      <c r="R534" s="1254"/>
      <c r="S534" s="1254"/>
      <c r="T534" s="1254"/>
      <c r="U534" s="1254"/>
      <c r="V534" s="1254"/>
      <c r="W534" s="1254"/>
      <c r="X534" s="1254"/>
      <c r="Y534" s="1254"/>
    </row>
    <row r="535">
      <c r="A535" s="1254"/>
      <c r="B535" s="1263"/>
      <c r="C535" s="1263"/>
      <c r="D535" s="1317"/>
      <c r="E535" s="1318"/>
      <c r="F535" s="1254"/>
      <c r="G535" s="1254"/>
      <c r="H535" s="1254"/>
      <c r="I535" s="1254"/>
      <c r="J535" s="1254"/>
      <c r="K535" s="1254"/>
      <c r="L535" s="1254"/>
      <c r="M535" s="1254"/>
      <c r="N535" s="1254"/>
      <c r="O535" s="1254"/>
      <c r="P535" s="1254"/>
      <c r="Q535" s="1254"/>
      <c r="R535" s="1254"/>
      <c r="S535" s="1254"/>
      <c r="T535" s="1254"/>
      <c r="U535" s="1254"/>
      <c r="V535" s="1254"/>
      <c r="W535" s="1254"/>
      <c r="X535" s="1254"/>
      <c r="Y535" s="1254"/>
    </row>
    <row r="536">
      <c r="A536" s="1254"/>
      <c r="B536" s="1263"/>
      <c r="C536" s="1263"/>
      <c r="D536" s="1317"/>
      <c r="E536" s="1318"/>
      <c r="F536" s="1254"/>
      <c r="G536" s="1254"/>
      <c r="H536" s="1254"/>
      <c r="I536" s="1254"/>
      <c r="J536" s="1254"/>
      <c r="K536" s="1254"/>
      <c r="L536" s="1254"/>
      <c r="M536" s="1254"/>
      <c r="N536" s="1254"/>
      <c r="O536" s="1254"/>
      <c r="P536" s="1254"/>
      <c r="Q536" s="1254"/>
      <c r="R536" s="1254"/>
      <c r="S536" s="1254"/>
      <c r="T536" s="1254"/>
      <c r="U536" s="1254"/>
      <c r="V536" s="1254"/>
      <c r="W536" s="1254"/>
      <c r="X536" s="1254"/>
      <c r="Y536" s="1254"/>
    </row>
    <row r="537">
      <c r="A537" s="1254"/>
      <c r="B537" s="1263"/>
      <c r="C537" s="1263"/>
      <c r="D537" s="1317"/>
      <c r="E537" s="1318"/>
      <c r="F537" s="1254"/>
      <c r="G537" s="1254"/>
      <c r="H537" s="1254"/>
      <c r="I537" s="1254"/>
      <c r="J537" s="1254"/>
      <c r="K537" s="1254"/>
      <c r="L537" s="1254"/>
      <c r="M537" s="1254"/>
      <c r="N537" s="1254"/>
      <c r="O537" s="1254"/>
      <c r="P537" s="1254"/>
      <c r="Q537" s="1254"/>
      <c r="R537" s="1254"/>
      <c r="S537" s="1254"/>
      <c r="T537" s="1254"/>
      <c r="U537" s="1254"/>
      <c r="V537" s="1254"/>
      <c r="W537" s="1254"/>
      <c r="X537" s="1254"/>
      <c r="Y537" s="1254"/>
    </row>
    <row r="538">
      <c r="A538" s="1254"/>
      <c r="B538" s="1263"/>
      <c r="C538" s="1263"/>
      <c r="D538" s="1317"/>
      <c r="E538" s="1318"/>
      <c r="F538" s="1254"/>
      <c r="G538" s="1254"/>
      <c r="H538" s="1254"/>
      <c r="I538" s="1254"/>
      <c r="J538" s="1254"/>
      <c r="K538" s="1254"/>
      <c r="L538" s="1254"/>
      <c r="M538" s="1254"/>
      <c r="N538" s="1254"/>
      <c r="O538" s="1254"/>
      <c r="P538" s="1254"/>
      <c r="Q538" s="1254"/>
      <c r="R538" s="1254"/>
      <c r="S538" s="1254"/>
      <c r="T538" s="1254"/>
      <c r="U538" s="1254"/>
      <c r="V538" s="1254"/>
      <c r="W538" s="1254"/>
      <c r="X538" s="1254"/>
      <c r="Y538" s="1254"/>
    </row>
    <row r="539">
      <c r="A539" s="1254"/>
      <c r="B539" s="1263"/>
      <c r="C539" s="1263"/>
      <c r="D539" s="1317"/>
      <c r="E539" s="1318"/>
      <c r="F539" s="1254"/>
      <c r="G539" s="1254"/>
      <c r="H539" s="1254"/>
      <c r="I539" s="1254"/>
      <c r="J539" s="1254"/>
      <c r="K539" s="1254"/>
      <c r="L539" s="1254"/>
      <c r="M539" s="1254"/>
      <c r="N539" s="1254"/>
      <c r="O539" s="1254"/>
      <c r="P539" s="1254"/>
      <c r="Q539" s="1254"/>
      <c r="R539" s="1254"/>
      <c r="S539" s="1254"/>
      <c r="T539" s="1254"/>
      <c r="U539" s="1254"/>
      <c r="V539" s="1254"/>
      <c r="W539" s="1254"/>
      <c r="X539" s="1254"/>
      <c r="Y539" s="1254"/>
    </row>
    <row r="540">
      <c r="A540" s="1254"/>
      <c r="B540" s="1263"/>
      <c r="C540" s="1263"/>
      <c r="D540" s="1317"/>
      <c r="E540" s="1318"/>
      <c r="F540" s="1254"/>
      <c r="G540" s="1254"/>
      <c r="H540" s="1254"/>
      <c r="I540" s="1254"/>
      <c r="J540" s="1254"/>
      <c r="K540" s="1254"/>
      <c r="L540" s="1254"/>
      <c r="M540" s="1254"/>
      <c r="N540" s="1254"/>
      <c r="O540" s="1254"/>
      <c r="P540" s="1254"/>
      <c r="Q540" s="1254"/>
      <c r="R540" s="1254"/>
      <c r="S540" s="1254"/>
      <c r="T540" s="1254"/>
      <c r="U540" s="1254"/>
      <c r="V540" s="1254"/>
      <c r="W540" s="1254"/>
      <c r="X540" s="1254"/>
      <c r="Y540" s="1254"/>
    </row>
    <row r="541">
      <c r="A541" s="1254"/>
      <c r="B541" s="1263"/>
      <c r="C541" s="1263"/>
      <c r="D541" s="1317"/>
      <c r="E541" s="1318"/>
      <c r="F541" s="1254"/>
      <c r="G541" s="1254"/>
      <c r="H541" s="1254"/>
      <c r="I541" s="1254"/>
      <c r="J541" s="1254"/>
      <c r="K541" s="1254"/>
      <c r="L541" s="1254"/>
      <c r="M541" s="1254"/>
      <c r="N541" s="1254"/>
      <c r="O541" s="1254"/>
      <c r="P541" s="1254"/>
      <c r="Q541" s="1254"/>
      <c r="R541" s="1254"/>
      <c r="S541" s="1254"/>
      <c r="T541" s="1254"/>
      <c r="U541" s="1254"/>
      <c r="V541" s="1254"/>
      <c r="W541" s="1254"/>
      <c r="X541" s="1254"/>
      <c r="Y541" s="1254"/>
    </row>
    <row r="542">
      <c r="A542" s="1254"/>
      <c r="B542" s="1263"/>
      <c r="C542" s="1263"/>
      <c r="D542" s="1317"/>
      <c r="E542" s="1318"/>
      <c r="F542" s="1254"/>
      <c r="G542" s="1254"/>
      <c r="H542" s="1254"/>
      <c r="I542" s="1254"/>
      <c r="J542" s="1254"/>
      <c r="K542" s="1254"/>
      <c r="L542" s="1254"/>
      <c r="M542" s="1254"/>
      <c r="N542" s="1254"/>
      <c r="O542" s="1254"/>
      <c r="P542" s="1254"/>
      <c r="Q542" s="1254"/>
      <c r="R542" s="1254"/>
      <c r="S542" s="1254"/>
      <c r="T542" s="1254"/>
      <c r="U542" s="1254"/>
      <c r="V542" s="1254"/>
      <c r="W542" s="1254"/>
      <c r="X542" s="1254"/>
      <c r="Y542" s="1254"/>
    </row>
    <row r="543">
      <c r="A543" s="1254"/>
      <c r="B543" s="1263"/>
      <c r="C543" s="1263"/>
      <c r="D543" s="1317"/>
      <c r="E543" s="1318"/>
      <c r="F543" s="1254"/>
      <c r="G543" s="1254"/>
      <c r="H543" s="1254"/>
      <c r="I543" s="1254"/>
      <c r="J543" s="1254"/>
      <c r="K543" s="1254"/>
      <c r="L543" s="1254"/>
      <c r="M543" s="1254"/>
      <c r="N543" s="1254"/>
      <c r="O543" s="1254"/>
      <c r="P543" s="1254"/>
      <c r="Q543" s="1254"/>
      <c r="R543" s="1254"/>
      <c r="S543" s="1254"/>
      <c r="T543" s="1254"/>
      <c r="U543" s="1254"/>
      <c r="V543" s="1254"/>
      <c r="W543" s="1254"/>
      <c r="X543" s="1254"/>
      <c r="Y543" s="1254"/>
    </row>
    <row r="544">
      <c r="A544" s="1254"/>
      <c r="B544" s="1263"/>
      <c r="C544" s="1263"/>
      <c r="D544" s="1317"/>
      <c r="E544" s="1318"/>
      <c r="F544" s="1254"/>
      <c r="G544" s="1254"/>
      <c r="H544" s="1254"/>
      <c r="I544" s="1254"/>
      <c r="J544" s="1254"/>
      <c r="K544" s="1254"/>
      <c r="L544" s="1254"/>
      <c r="M544" s="1254"/>
      <c r="N544" s="1254"/>
      <c r="O544" s="1254"/>
      <c r="P544" s="1254"/>
      <c r="Q544" s="1254"/>
      <c r="R544" s="1254"/>
      <c r="S544" s="1254"/>
      <c r="T544" s="1254"/>
      <c r="U544" s="1254"/>
      <c r="V544" s="1254"/>
      <c r="W544" s="1254"/>
      <c r="X544" s="1254"/>
      <c r="Y544" s="1254"/>
    </row>
    <row r="545">
      <c r="A545" s="1254"/>
      <c r="B545" s="1263"/>
      <c r="C545" s="1263"/>
      <c r="D545" s="1317"/>
      <c r="E545" s="1318"/>
      <c r="F545" s="1254"/>
      <c r="G545" s="1254"/>
      <c r="H545" s="1254"/>
      <c r="I545" s="1254"/>
      <c r="J545" s="1254"/>
      <c r="K545" s="1254"/>
      <c r="L545" s="1254"/>
      <c r="M545" s="1254"/>
      <c r="N545" s="1254"/>
      <c r="O545" s="1254"/>
      <c r="P545" s="1254"/>
      <c r="Q545" s="1254"/>
      <c r="R545" s="1254"/>
      <c r="S545" s="1254"/>
      <c r="T545" s="1254"/>
      <c r="U545" s="1254"/>
      <c r="V545" s="1254"/>
      <c r="W545" s="1254"/>
      <c r="X545" s="1254"/>
      <c r="Y545" s="1254"/>
    </row>
    <row r="546">
      <c r="A546" s="1254"/>
      <c r="B546" s="1263"/>
      <c r="C546" s="1263"/>
      <c r="D546" s="1317"/>
      <c r="E546" s="1318"/>
      <c r="F546" s="1254"/>
      <c r="G546" s="1254"/>
      <c r="H546" s="1254"/>
      <c r="I546" s="1254"/>
      <c r="J546" s="1254"/>
      <c r="K546" s="1254"/>
      <c r="L546" s="1254"/>
      <c r="M546" s="1254"/>
      <c r="N546" s="1254"/>
      <c r="O546" s="1254"/>
      <c r="P546" s="1254"/>
      <c r="Q546" s="1254"/>
      <c r="R546" s="1254"/>
      <c r="S546" s="1254"/>
      <c r="T546" s="1254"/>
      <c r="U546" s="1254"/>
      <c r="V546" s="1254"/>
      <c r="W546" s="1254"/>
      <c r="X546" s="1254"/>
      <c r="Y546" s="1254"/>
    </row>
    <row r="547">
      <c r="A547" s="1254"/>
      <c r="B547" s="1263"/>
      <c r="C547" s="1263"/>
      <c r="D547" s="1317"/>
      <c r="E547" s="1318"/>
      <c r="F547" s="1254"/>
      <c r="G547" s="1254"/>
      <c r="H547" s="1254"/>
      <c r="I547" s="1254"/>
      <c r="J547" s="1254"/>
      <c r="K547" s="1254"/>
      <c r="L547" s="1254"/>
      <c r="M547" s="1254"/>
      <c r="N547" s="1254"/>
      <c r="O547" s="1254"/>
      <c r="P547" s="1254"/>
      <c r="Q547" s="1254"/>
      <c r="R547" s="1254"/>
      <c r="S547" s="1254"/>
      <c r="T547" s="1254"/>
      <c r="U547" s="1254"/>
      <c r="V547" s="1254"/>
      <c r="W547" s="1254"/>
      <c r="X547" s="1254"/>
      <c r="Y547" s="1254"/>
    </row>
    <row r="548">
      <c r="A548" s="1254"/>
      <c r="B548" s="1263"/>
      <c r="C548" s="1263"/>
      <c r="D548" s="1317"/>
      <c r="E548" s="1318"/>
      <c r="F548" s="1254"/>
      <c r="G548" s="1254"/>
      <c r="H548" s="1254"/>
      <c r="I548" s="1254"/>
      <c r="J548" s="1254"/>
      <c r="K548" s="1254"/>
      <c r="L548" s="1254"/>
      <c r="M548" s="1254"/>
      <c r="N548" s="1254"/>
      <c r="O548" s="1254"/>
      <c r="P548" s="1254"/>
      <c r="Q548" s="1254"/>
      <c r="R548" s="1254"/>
      <c r="S548" s="1254"/>
      <c r="T548" s="1254"/>
      <c r="U548" s="1254"/>
      <c r="V548" s="1254"/>
      <c r="W548" s="1254"/>
      <c r="X548" s="1254"/>
      <c r="Y548" s="1254"/>
    </row>
    <row r="549">
      <c r="A549" s="1254"/>
      <c r="B549" s="1263"/>
      <c r="C549" s="1263"/>
      <c r="D549" s="1317"/>
      <c r="E549" s="1318"/>
      <c r="F549" s="1254"/>
      <c r="G549" s="1254"/>
      <c r="H549" s="1254"/>
      <c r="I549" s="1254"/>
      <c r="J549" s="1254"/>
      <c r="K549" s="1254"/>
      <c r="L549" s="1254"/>
      <c r="M549" s="1254"/>
      <c r="N549" s="1254"/>
      <c r="O549" s="1254"/>
      <c r="P549" s="1254"/>
      <c r="Q549" s="1254"/>
      <c r="R549" s="1254"/>
      <c r="S549" s="1254"/>
      <c r="T549" s="1254"/>
      <c r="U549" s="1254"/>
      <c r="V549" s="1254"/>
      <c r="W549" s="1254"/>
      <c r="X549" s="1254"/>
      <c r="Y549" s="1254"/>
    </row>
    <row r="550">
      <c r="A550" s="1254"/>
      <c r="B550" s="1263"/>
      <c r="C550" s="1263"/>
      <c r="D550" s="1317"/>
      <c r="E550" s="1318"/>
      <c r="F550" s="1254"/>
      <c r="G550" s="1254"/>
      <c r="H550" s="1254"/>
      <c r="I550" s="1254"/>
      <c r="J550" s="1254"/>
      <c r="K550" s="1254"/>
      <c r="L550" s="1254"/>
      <c r="M550" s="1254"/>
      <c r="N550" s="1254"/>
      <c r="O550" s="1254"/>
      <c r="P550" s="1254"/>
      <c r="Q550" s="1254"/>
      <c r="R550" s="1254"/>
      <c r="S550" s="1254"/>
      <c r="T550" s="1254"/>
      <c r="U550" s="1254"/>
      <c r="V550" s="1254"/>
      <c r="W550" s="1254"/>
      <c r="X550" s="1254"/>
      <c r="Y550" s="1254"/>
    </row>
    <row r="551">
      <c r="A551" s="1254"/>
      <c r="B551" s="1263"/>
      <c r="C551" s="1263"/>
      <c r="D551" s="1317"/>
      <c r="E551" s="1318"/>
      <c r="F551" s="1254"/>
      <c r="G551" s="1254"/>
      <c r="H551" s="1254"/>
      <c r="I551" s="1254"/>
      <c r="J551" s="1254"/>
      <c r="K551" s="1254"/>
      <c r="L551" s="1254"/>
      <c r="M551" s="1254"/>
      <c r="N551" s="1254"/>
      <c r="O551" s="1254"/>
      <c r="P551" s="1254"/>
      <c r="Q551" s="1254"/>
      <c r="R551" s="1254"/>
      <c r="S551" s="1254"/>
      <c r="T551" s="1254"/>
      <c r="U551" s="1254"/>
      <c r="V551" s="1254"/>
      <c r="W551" s="1254"/>
      <c r="X551" s="1254"/>
      <c r="Y551" s="1254"/>
    </row>
    <row r="552">
      <c r="A552" s="1254"/>
      <c r="B552" s="1263"/>
      <c r="C552" s="1263"/>
      <c r="D552" s="1317"/>
      <c r="E552" s="1318"/>
      <c r="F552" s="1254"/>
      <c r="G552" s="1254"/>
      <c r="H552" s="1254"/>
      <c r="I552" s="1254"/>
      <c r="J552" s="1254"/>
      <c r="K552" s="1254"/>
      <c r="L552" s="1254"/>
      <c r="M552" s="1254"/>
      <c r="N552" s="1254"/>
      <c r="O552" s="1254"/>
      <c r="P552" s="1254"/>
      <c r="Q552" s="1254"/>
      <c r="R552" s="1254"/>
      <c r="S552" s="1254"/>
      <c r="T552" s="1254"/>
      <c r="U552" s="1254"/>
      <c r="V552" s="1254"/>
      <c r="W552" s="1254"/>
      <c r="X552" s="1254"/>
      <c r="Y552" s="1254"/>
    </row>
    <row r="553">
      <c r="A553" s="1254"/>
      <c r="B553" s="1263"/>
      <c r="C553" s="1263"/>
      <c r="D553" s="1317"/>
      <c r="E553" s="1318"/>
      <c r="F553" s="1254"/>
      <c r="G553" s="1254"/>
      <c r="H553" s="1254"/>
      <c r="I553" s="1254"/>
      <c r="J553" s="1254"/>
      <c r="K553" s="1254"/>
      <c r="L553" s="1254"/>
      <c r="M553" s="1254"/>
      <c r="N553" s="1254"/>
      <c r="O553" s="1254"/>
      <c r="P553" s="1254"/>
      <c r="Q553" s="1254"/>
      <c r="R553" s="1254"/>
      <c r="S553" s="1254"/>
      <c r="T553" s="1254"/>
      <c r="U553" s="1254"/>
      <c r="V553" s="1254"/>
      <c r="W553" s="1254"/>
      <c r="X553" s="1254"/>
      <c r="Y553" s="1254"/>
    </row>
    <row r="554">
      <c r="A554" s="1254"/>
      <c r="B554" s="1263"/>
      <c r="C554" s="1263"/>
      <c r="D554" s="1317"/>
      <c r="E554" s="1318"/>
      <c r="F554" s="1254"/>
      <c r="G554" s="1254"/>
      <c r="H554" s="1254"/>
      <c r="I554" s="1254"/>
      <c r="J554" s="1254"/>
      <c r="K554" s="1254"/>
      <c r="L554" s="1254"/>
      <c r="M554" s="1254"/>
      <c r="N554" s="1254"/>
      <c r="O554" s="1254"/>
      <c r="P554" s="1254"/>
      <c r="Q554" s="1254"/>
      <c r="R554" s="1254"/>
      <c r="S554" s="1254"/>
      <c r="T554" s="1254"/>
      <c r="U554" s="1254"/>
      <c r="V554" s="1254"/>
      <c r="W554" s="1254"/>
      <c r="X554" s="1254"/>
      <c r="Y554" s="1254"/>
    </row>
    <row r="555">
      <c r="A555" s="1254"/>
      <c r="B555" s="1263"/>
      <c r="C555" s="1263"/>
      <c r="D555" s="1317"/>
      <c r="E555" s="1318"/>
      <c r="F555" s="1254"/>
      <c r="G555" s="1254"/>
      <c r="H555" s="1254"/>
      <c r="I555" s="1254"/>
      <c r="J555" s="1254"/>
      <c r="K555" s="1254"/>
      <c r="L555" s="1254"/>
      <c r="M555" s="1254"/>
      <c r="N555" s="1254"/>
      <c r="O555" s="1254"/>
      <c r="P555" s="1254"/>
      <c r="Q555" s="1254"/>
      <c r="R555" s="1254"/>
      <c r="S555" s="1254"/>
      <c r="T555" s="1254"/>
      <c r="U555" s="1254"/>
      <c r="V555" s="1254"/>
      <c r="W555" s="1254"/>
      <c r="X555" s="1254"/>
      <c r="Y555" s="1254"/>
    </row>
    <row r="556">
      <c r="A556" s="1254"/>
      <c r="B556" s="1263"/>
      <c r="C556" s="1263"/>
      <c r="D556" s="1317"/>
      <c r="E556" s="1318"/>
      <c r="F556" s="1254"/>
      <c r="G556" s="1254"/>
      <c r="H556" s="1254"/>
      <c r="I556" s="1254"/>
      <c r="J556" s="1254"/>
      <c r="K556" s="1254"/>
      <c r="L556" s="1254"/>
      <c r="M556" s="1254"/>
      <c r="N556" s="1254"/>
      <c r="O556" s="1254"/>
      <c r="P556" s="1254"/>
      <c r="Q556" s="1254"/>
      <c r="R556" s="1254"/>
      <c r="S556" s="1254"/>
      <c r="T556" s="1254"/>
      <c r="U556" s="1254"/>
      <c r="V556" s="1254"/>
      <c r="W556" s="1254"/>
      <c r="X556" s="1254"/>
      <c r="Y556" s="1254"/>
    </row>
    <row r="557">
      <c r="A557" s="1254"/>
      <c r="B557" s="1263"/>
      <c r="C557" s="1263"/>
      <c r="D557" s="1317"/>
      <c r="E557" s="1318"/>
      <c r="F557" s="1254"/>
      <c r="G557" s="1254"/>
      <c r="H557" s="1254"/>
      <c r="I557" s="1254"/>
      <c r="J557" s="1254"/>
      <c r="K557" s="1254"/>
      <c r="L557" s="1254"/>
      <c r="M557" s="1254"/>
      <c r="N557" s="1254"/>
      <c r="O557" s="1254"/>
      <c r="P557" s="1254"/>
      <c r="Q557" s="1254"/>
      <c r="R557" s="1254"/>
      <c r="S557" s="1254"/>
      <c r="T557" s="1254"/>
      <c r="U557" s="1254"/>
      <c r="V557" s="1254"/>
      <c r="W557" s="1254"/>
      <c r="X557" s="1254"/>
      <c r="Y557" s="1254"/>
    </row>
    <row r="558">
      <c r="A558" s="1254"/>
      <c r="B558" s="1263"/>
      <c r="C558" s="1263"/>
      <c r="D558" s="1317"/>
      <c r="E558" s="1318"/>
      <c r="F558" s="1254"/>
      <c r="G558" s="1254"/>
      <c r="H558" s="1254"/>
      <c r="I558" s="1254"/>
      <c r="J558" s="1254"/>
      <c r="K558" s="1254"/>
      <c r="L558" s="1254"/>
      <c r="M558" s="1254"/>
      <c r="N558" s="1254"/>
      <c r="O558" s="1254"/>
      <c r="P558" s="1254"/>
      <c r="Q558" s="1254"/>
      <c r="R558" s="1254"/>
      <c r="S558" s="1254"/>
      <c r="T558" s="1254"/>
      <c r="U558" s="1254"/>
      <c r="V558" s="1254"/>
      <c r="W558" s="1254"/>
      <c r="X558" s="1254"/>
      <c r="Y558" s="1254"/>
    </row>
    <row r="559">
      <c r="A559" s="1254"/>
      <c r="B559" s="1263"/>
      <c r="C559" s="1263"/>
      <c r="D559" s="1317"/>
      <c r="E559" s="1318"/>
      <c r="F559" s="1254"/>
      <c r="G559" s="1254"/>
      <c r="H559" s="1254"/>
      <c r="I559" s="1254"/>
      <c r="J559" s="1254"/>
      <c r="K559" s="1254"/>
      <c r="L559" s="1254"/>
      <c r="M559" s="1254"/>
      <c r="N559" s="1254"/>
      <c r="O559" s="1254"/>
      <c r="P559" s="1254"/>
      <c r="Q559" s="1254"/>
      <c r="R559" s="1254"/>
      <c r="S559" s="1254"/>
      <c r="T559" s="1254"/>
      <c r="U559" s="1254"/>
      <c r="V559" s="1254"/>
      <c r="W559" s="1254"/>
      <c r="X559" s="1254"/>
      <c r="Y559" s="1254"/>
    </row>
    <row r="560">
      <c r="A560" s="1254"/>
      <c r="B560" s="1263"/>
      <c r="C560" s="1263"/>
      <c r="D560" s="1317"/>
      <c r="E560" s="1318"/>
      <c r="F560" s="1254"/>
      <c r="G560" s="1254"/>
      <c r="H560" s="1254"/>
      <c r="I560" s="1254"/>
      <c r="J560" s="1254"/>
      <c r="K560" s="1254"/>
      <c r="L560" s="1254"/>
      <c r="M560" s="1254"/>
      <c r="N560" s="1254"/>
      <c r="O560" s="1254"/>
      <c r="P560" s="1254"/>
      <c r="Q560" s="1254"/>
      <c r="R560" s="1254"/>
      <c r="S560" s="1254"/>
      <c r="T560" s="1254"/>
      <c r="U560" s="1254"/>
      <c r="V560" s="1254"/>
      <c r="W560" s="1254"/>
      <c r="X560" s="1254"/>
      <c r="Y560" s="1254"/>
    </row>
    <row r="561">
      <c r="A561" s="1254"/>
      <c r="B561" s="1263"/>
      <c r="C561" s="1263"/>
      <c r="D561" s="1317"/>
      <c r="E561" s="1318"/>
      <c r="F561" s="1254"/>
      <c r="G561" s="1254"/>
      <c r="H561" s="1254"/>
      <c r="I561" s="1254"/>
      <c r="J561" s="1254"/>
      <c r="K561" s="1254"/>
      <c r="L561" s="1254"/>
      <c r="M561" s="1254"/>
      <c r="N561" s="1254"/>
      <c r="O561" s="1254"/>
      <c r="P561" s="1254"/>
      <c r="Q561" s="1254"/>
      <c r="R561" s="1254"/>
      <c r="S561" s="1254"/>
      <c r="T561" s="1254"/>
      <c r="U561" s="1254"/>
      <c r="V561" s="1254"/>
      <c r="W561" s="1254"/>
      <c r="X561" s="1254"/>
      <c r="Y561" s="1254"/>
    </row>
    <row r="562">
      <c r="A562" s="1254"/>
      <c r="B562" s="1263"/>
      <c r="C562" s="1263"/>
      <c r="D562" s="1317"/>
      <c r="E562" s="1318"/>
      <c r="F562" s="1254"/>
      <c r="G562" s="1254"/>
      <c r="H562" s="1254"/>
      <c r="I562" s="1254"/>
      <c r="J562" s="1254"/>
      <c r="K562" s="1254"/>
      <c r="L562" s="1254"/>
      <c r="M562" s="1254"/>
      <c r="N562" s="1254"/>
      <c r="O562" s="1254"/>
      <c r="P562" s="1254"/>
      <c r="Q562" s="1254"/>
      <c r="R562" s="1254"/>
      <c r="S562" s="1254"/>
      <c r="T562" s="1254"/>
      <c r="U562" s="1254"/>
      <c r="V562" s="1254"/>
      <c r="W562" s="1254"/>
      <c r="X562" s="1254"/>
      <c r="Y562" s="1254"/>
    </row>
    <row r="563">
      <c r="A563" s="1254"/>
      <c r="B563" s="1263"/>
      <c r="C563" s="1263"/>
      <c r="D563" s="1317"/>
      <c r="E563" s="1318"/>
      <c r="F563" s="1254"/>
      <c r="G563" s="1254"/>
      <c r="H563" s="1254"/>
      <c r="I563" s="1254"/>
      <c r="J563" s="1254"/>
      <c r="K563" s="1254"/>
      <c r="L563" s="1254"/>
      <c r="M563" s="1254"/>
      <c r="N563" s="1254"/>
      <c r="O563" s="1254"/>
      <c r="P563" s="1254"/>
      <c r="Q563" s="1254"/>
      <c r="R563" s="1254"/>
      <c r="S563" s="1254"/>
      <c r="T563" s="1254"/>
      <c r="U563" s="1254"/>
      <c r="V563" s="1254"/>
      <c r="W563" s="1254"/>
      <c r="X563" s="1254"/>
      <c r="Y563" s="1254"/>
    </row>
    <row r="564">
      <c r="A564" s="1254"/>
      <c r="B564" s="1263"/>
      <c r="C564" s="1263"/>
      <c r="D564" s="1317"/>
      <c r="E564" s="1318"/>
      <c r="F564" s="1254"/>
      <c r="G564" s="1254"/>
      <c r="H564" s="1254"/>
      <c r="I564" s="1254"/>
      <c r="J564" s="1254"/>
      <c r="K564" s="1254"/>
      <c r="L564" s="1254"/>
      <c r="M564" s="1254"/>
      <c r="N564" s="1254"/>
      <c r="O564" s="1254"/>
      <c r="P564" s="1254"/>
      <c r="Q564" s="1254"/>
      <c r="R564" s="1254"/>
      <c r="S564" s="1254"/>
      <c r="T564" s="1254"/>
      <c r="U564" s="1254"/>
      <c r="V564" s="1254"/>
      <c r="W564" s="1254"/>
      <c r="X564" s="1254"/>
      <c r="Y564" s="1254"/>
    </row>
    <row r="565">
      <c r="A565" s="1254"/>
      <c r="B565" s="1263"/>
      <c r="C565" s="1263"/>
      <c r="D565" s="1317"/>
      <c r="E565" s="1318"/>
      <c r="F565" s="1254"/>
      <c r="G565" s="1254"/>
      <c r="H565" s="1254"/>
      <c r="I565" s="1254"/>
      <c r="J565" s="1254"/>
      <c r="K565" s="1254"/>
      <c r="L565" s="1254"/>
      <c r="M565" s="1254"/>
      <c r="N565" s="1254"/>
      <c r="O565" s="1254"/>
      <c r="P565" s="1254"/>
      <c r="Q565" s="1254"/>
      <c r="R565" s="1254"/>
      <c r="S565" s="1254"/>
      <c r="T565" s="1254"/>
      <c r="U565" s="1254"/>
      <c r="V565" s="1254"/>
      <c r="W565" s="1254"/>
      <c r="X565" s="1254"/>
      <c r="Y565" s="1254"/>
    </row>
    <row r="566">
      <c r="A566" s="1254"/>
      <c r="B566" s="1263"/>
      <c r="C566" s="1263"/>
      <c r="D566" s="1317"/>
      <c r="E566" s="1318"/>
      <c r="F566" s="1254"/>
      <c r="G566" s="1254"/>
      <c r="H566" s="1254"/>
      <c r="I566" s="1254"/>
      <c r="J566" s="1254"/>
      <c r="K566" s="1254"/>
      <c r="L566" s="1254"/>
      <c r="M566" s="1254"/>
      <c r="N566" s="1254"/>
      <c r="O566" s="1254"/>
      <c r="P566" s="1254"/>
      <c r="Q566" s="1254"/>
      <c r="R566" s="1254"/>
      <c r="S566" s="1254"/>
      <c r="T566" s="1254"/>
      <c r="U566" s="1254"/>
      <c r="V566" s="1254"/>
      <c r="W566" s="1254"/>
      <c r="X566" s="1254"/>
      <c r="Y566" s="1254"/>
    </row>
    <row r="567">
      <c r="A567" s="1254"/>
      <c r="B567" s="1263"/>
      <c r="C567" s="1263"/>
      <c r="D567" s="1317"/>
      <c r="E567" s="1318"/>
      <c r="F567" s="1254"/>
      <c r="G567" s="1254"/>
      <c r="H567" s="1254"/>
      <c r="I567" s="1254"/>
      <c r="J567" s="1254"/>
      <c r="K567" s="1254"/>
      <c r="L567" s="1254"/>
      <c r="M567" s="1254"/>
      <c r="N567" s="1254"/>
      <c r="O567" s="1254"/>
      <c r="P567" s="1254"/>
      <c r="Q567" s="1254"/>
      <c r="R567" s="1254"/>
      <c r="S567" s="1254"/>
      <c r="T567" s="1254"/>
      <c r="U567" s="1254"/>
      <c r="V567" s="1254"/>
      <c r="W567" s="1254"/>
      <c r="X567" s="1254"/>
      <c r="Y567" s="1254"/>
    </row>
    <row r="568">
      <c r="A568" s="1254"/>
      <c r="B568" s="1263"/>
      <c r="C568" s="1263"/>
      <c r="D568" s="1317"/>
      <c r="E568" s="1318"/>
      <c r="F568" s="1254"/>
      <c r="G568" s="1254"/>
      <c r="H568" s="1254"/>
      <c r="I568" s="1254"/>
      <c r="J568" s="1254"/>
      <c r="K568" s="1254"/>
      <c r="L568" s="1254"/>
      <c r="M568" s="1254"/>
      <c r="N568" s="1254"/>
      <c r="O568" s="1254"/>
      <c r="P568" s="1254"/>
      <c r="Q568" s="1254"/>
      <c r="R568" s="1254"/>
      <c r="S568" s="1254"/>
      <c r="T568" s="1254"/>
      <c r="U568" s="1254"/>
      <c r="V568" s="1254"/>
      <c r="W568" s="1254"/>
      <c r="X568" s="1254"/>
      <c r="Y568" s="1254"/>
    </row>
    <row r="569">
      <c r="A569" s="1254"/>
      <c r="B569" s="1263"/>
      <c r="C569" s="1263"/>
      <c r="D569" s="1317"/>
      <c r="E569" s="1318"/>
      <c r="F569" s="1254"/>
      <c r="G569" s="1254"/>
      <c r="H569" s="1254"/>
      <c r="I569" s="1254"/>
      <c r="J569" s="1254"/>
      <c r="K569" s="1254"/>
      <c r="L569" s="1254"/>
      <c r="M569" s="1254"/>
      <c r="N569" s="1254"/>
      <c r="O569" s="1254"/>
      <c r="P569" s="1254"/>
      <c r="Q569" s="1254"/>
      <c r="R569" s="1254"/>
      <c r="S569" s="1254"/>
      <c r="T569" s="1254"/>
      <c r="U569" s="1254"/>
      <c r="V569" s="1254"/>
      <c r="W569" s="1254"/>
      <c r="X569" s="1254"/>
      <c r="Y569" s="1254"/>
    </row>
    <row r="570">
      <c r="A570" s="1254"/>
      <c r="B570" s="1263"/>
      <c r="C570" s="1263"/>
      <c r="D570" s="1317"/>
      <c r="E570" s="1318"/>
      <c r="F570" s="1254"/>
      <c r="G570" s="1254"/>
      <c r="H570" s="1254"/>
      <c r="I570" s="1254"/>
      <c r="J570" s="1254"/>
      <c r="K570" s="1254"/>
      <c r="L570" s="1254"/>
      <c r="M570" s="1254"/>
      <c r="N570" s="1254"/>
      <c r="O570" s="1254"/>
      <c r="P570" s="1254"/>
      <c r="Q570" s="1254"/>
      <c r="R570" s="1254"/>
      <c r="S570" s="1254"/>
      <c r="T570" s="1254"/>
      <c r="U570" s="1254"/>
      <c r="V570" s="1254"/>
      <c r="W570" s="1254"/>
      <c r="X570" s="1254"/>
      <c r="Y570" s="1254"/>
    </row>
    <row r="571">
      <c r="A571" s="1254"/>
      <c r="B571" s="1263"/>
      <c r="C571" s="1263"/>
      <c r="D571" s="1317"/>
      <c r="E571" s="1318"/>
      <c r="F571" s="1254"/>
      <c r="G571" s="1254"/>
      <c r="H571" s="1254"/>
      <c r="I571" s="1254"/>
      <c r="J571" s="1254"/>
      <c r="K571" s="1254"/>
      <c r="L571" s="1254"/>
      <c r="M571" s="1254"/>
      <c r="N571" s="1254"/>
      <c r="O571" s="1254"/>
      <c r="P571" s="1254"/>
      <c r="Q571" s="1254"/>
      <c r="R571" s="1254"/>
      <c r="S571" s="1254"/>
      <c r="T571" s="1254"/>
      <c r="U571" s="1254"/>
      <c r="V571" s="1254"/>
      <c r="W571" s="1254"/>
      <c r="X571" s="1254"/>
      <c r="Y571" s="1254"/>
    </row>
    <row r="572">
      <c r="A572" s="1254"/>
      <c r="B572" s="1263"/>
      <c r="C572" s="1263"/>
      <c r="D572" s="1317"/>
      <c r="E572" s="1318"/>
      <c r="F572" s="1254"/>
      <c r="G572" s="1254"/>
      <c r="H572" s="1254"/>
      <c r="I572" s="1254"/>
      <c r="J572" s="1254"/>
      <c r="K572" s="1254"/>
      <c r="L572" s="1254"/>
      <c r="M572" s="1254"/>
      <c r="N572" s="1254"/>
      <c r="O572" s="1254"/>
      <c r="P572" s="1254"/>
      <c r="Q572" s="1254"/>
      <c r="R572" s="1254"/>
      <c r="S572" s="1254"/>
      <c r="T572" s="1254"/>
      <c r="U572" s="1254"/>
      <c r="V572" s="1254"/>
      <c r="W572" s="1254"/>
      <c r="X572" s="1254"/>
      <c r="Y572" s="1254"/>
    </row>
    <row r="573">
      <c r="A573" s="1254"/>
      <c r="B573" s="1263"/>
      <c r="C573" s="1263"/>
      <c r="D573" s="1317"/>
      <c r="E573" s="1318"/>
      <c r="F573" s="1254"/>
      <c r="G573" s="1254"/>
      <c r="H573" s="1254"/>
      <c r="I573" s="1254"/>
      <c r="J573" s="1254"/>
      <c r="K573" s="1254"/>
      <c r="L573" s="1254"/>
      <c r="M573" s="1254"/>
      <c r="N573" s="1254"/>
      <c r="O573" s="1254"/>
      <c r="P573" s="1254"/>
      <c r="Q573" s="1254"/>
      <c r="R573" s="1254"/>
      <c r="S573" s="1254"/>
      <c r="T573" s="1254"/>
      <c r="U573" s="1254"/>
      <c r="V573" s="1254"/>
      <c r="W573" s="1254"/>
      <c r="X573" s="1254"/>
      <c r="Y573" s="1254"/>
    </row>
    <row r="574">
      <c r="A574" s="1254"/>
      <c r="B574" s="1263"/>
      <c r="C574" s="1263"/>
      <c r="D574" s="1317"/>
      <c r="E574" s="1318"/>
      <c r="F574" s="1254"/>
      <c r="G574" s="1254"/>
      <c r="H574" s="1254"/>
      <c r="I574" s="1254"/>
      <c r="J574" s="1254"/>
      <c r="K574" s="1254"/>
      <c r="L574" s="1254"/>
      <c r="M574" s="1254"/>
      <c r="N574" s="1254"/>
      <c r="O574" s="1254"/>
      <c r="P574" s="1254"/>
      <c r="Q574" s="1254"/>
      <c r="R574" s="1254"/>
      <c r="S574" s="1254"/>
      <c r="T574" s="1254"/>
      <c r="U574" s="1254"/>
      <c r="V574" s="1254"/>
      <c r="W574" s="1254"/>
      <c r="X574" s="1254"/>
      <c r="Y574" s="1254"/>
    </row>
    <row r="575">
      <c r="A575" s="1254"/>
      <c r="B575" s="1263"/>
      <c r="C575" s="1263"/>
      <c r="D575" s="1317"/>
      <c r="E575" s="1318"/>
      <c r="F575" s="1254"/>
      <c r="G575" s="1254"/>
      <c r="H575" s="1254"/>
      <c r="I575" s="1254"/>
      <c r="J575" s="1254"/>
      <c r="K575" s="1254"/>
      <c r="L575" s="1254"/>
      <c r="M575" s="1254"/>
      <c r="N575" s="1254"/>
      <c r="O575" s="1254"/>
      <c r="P575" s="1254"/>
      <c r="Q575" s="1254"/>
      <c r="R575" s="1254"/>
      <c r="S575" s="1254"/>
      <c r="T575" s="1254"/>
      <c r="U575" s="1254"/>
      <c r="V575" s="1254"/>
      <c r="W575" s="1254"/>
      <c r="X575" s="1254"/>
      <c r="Y575" s="1254"/>
    </row>
    <row r="576">
      <c r="A576" s="1254"/>
      <c r="B576" s="1263"/>
      <c r="C576" s="1263"/>
      <c r="D576" s="1317"/>
      <c r="E576" s="1318"/>
      <c r="F576" s="1254"/>
      <c r="G576" s="1254"/>
      <c r="H576" s="1254"/>
      <c r="I576" s="1254"/>
      <c r="J576" s="1254"/>
      <c r="K576" s="1254"/>
      <c r="L576" s="1254"/>
      <c r="M576" s="1254"/>
      <c r="N576" s="1254"/>
      <c r="O576" s="1254"/>
      <c r="P576" s="1254"/>
      <c r="Q576" s="1254"/>
      <c r="R576" s="1254"/>
      <c r="S576" s="1254"/>
      <c r="T576" s="1254"/>
      <c r="U576" s="1254"/>
      <c r="V576" s="1254"/>
      <c r="W576" s="1254"/>
      <c r="X576" s="1254"/>
      <c r="Y576" s="1254"/>
    </row>
    <row r="577">
      <c r="A577" s="1254"/>
      <c r="B577" s="1263"/>
      <c r="C577" s="1263"/>
      <c r="D577" s="1317"/>
      <c r="E577" s="1318"/>
      <c r="F577" s="1254"/>
      <c r="G577" s="1254"/>
      <c r="H577" s="1254"/>
      <c r="I577" s="1254"/>
      <c r="J577" s="1254"/>
      <c r="K577" s="1254"/>
      <c r="L577" s="1254"/>
      <c r="M577" s="1254"/>
      <c r="N577" s="1254"/>
      <c r="O577" s="1254"/>
      <c r="P577" s="1254"/>
      <c r="Q577" s="1254"/>
      <c r="R577" s="1254"/>
      <c r="S577" s="1254"/>
      <c r="T577" s="1254"/>
      <c r="U577" s="1254"/>
      <c r="V577" s="1254"/>
      <c r="W577" s="1254"/>
      <c r="X577" s="1254"/>
      <c r="Y577" s="1254"/>
    </row>
    <row r="578">
      <c r="A578" s="1254"/>
      <c r="B578" s="1263"/>
      <c r="C578" s="1263"/>
      <c r="D578" s="1317"/>
      <c r="E578" s="1318"/>
      <c r="F578" s="1254"/>
      <c r="G578" s="1254"/>
      <c r="H578" s="1254"/>
      <c r="I578" s="1254"/>
      <c r="J578" s="1254"/>
      <c r="K578" s="1254"/>
      <c r="L578" s="1254"/>
      <c r="M578" s="1254"/>
      <c r="N578" s="1254"/>
      <c r="O578" s="1254"/>
      <c r="P578" s="1254"/>
      <c r="Q578" s="1254"/>
      <c r="R578" s="1254"/>
      <c r="S578" s="1254"/>
      <c r="T578" s="1254"/>
      <c r="U578" s="1254"/>
      <c r="V578" s="1254"/>
      <c r="W578" s="1254"/>
      <c r="X578" s="1254"/>
      <c r="Y578" s="1254"/>
    </row>
    <row r="579">
      <c r="A579" s="1254"/>
      <c r="B579" s="1263"/>
      <c r="C579" s="1263"/>
      <c r="D579" s="1317"/>
      <c r="E579" s="1318"/>
      <c r="F579" s="1254"/>
      <c r="G579" s="1254"/>
      <c r="H579" s="1254"/>
      <c r="I579" s="1254"/>
      <c r="J579" s="1254"/>
      <c r="K579" s="1254"/>
      <c r="L579" s="1254"/>
      <c r="M579" s="1254"/>
      <c r="N579" s="1254"/>
      <c r="O579" s="1254"/>
      <c r="P579" s="1254"/>
      <c r="Q579" s="1254"/>
      <c r="R579" s="1254"/>
      <c r="S579" s="1254"/>
      <c r="T579" s="1254"/>
      <c r="U579" s="1254"/>
      <c r="V579" s="1254"/>
      <c r="W579" s="1254"/>
      <c r="X579" s="1254"/>
      <c r="Y579" s="1254"/>
    </row>
    <row r="580">
      <c r="A580" s="1254"/>
      <c r="B580" s="1263"/>
      <c r="C580" s="1263"/>
      <c r="D580" s="1317"/>
      <c r="E580" s="1318"/>
      <c r="F580" s="1254"/>
      <c r="G580" s="1254"/>
      <c r="H580" s="1254"/>
      <c r="I580" s="1254"/>
      <c r="J580" s="1254"/>
      <c r="K580" s="1254"/>
      <c r="L580" s="1254"/>
      <c r="M580" s="1254"/>
      <c r="N580" s="1254"/>
      <c r="O580" s="1254"/>
      <c r="P580" s="1254"/>
      <c r="Q580" s="1254"/>
      <c r="R580" s="1254"/>
      <c r="S580" s="1254"/>
      <c r="T580" s="1254"/>
      <c r="U580" s="1254"/>
      <c r="V580" s="1254"/>
      <c r="W580" s="1254"/>
      <c r="X580" s="1254"/>
      <c r="Y580" s="1254"/>
    </row>
    <row r="581">
      <c r="A581" s="1254"/>
      <c r="B581" s="1263"/>
      <c r="C581" s="1263"/>
      <c r="D581" s="1317"/>
      <c r="E581" s="1318"/>
      <c r="F581" s="1254"/>
      <c r="G581" s="1254"/>
      <c r="H581" s="1254"/>
      <c r="I581" s="1254"/>
      <c r="J581" s="1254"/>
      <c r="K581" s="1254"/>
      <c r="L581" s="1254"/>
      <c r="M581" s="1254"/>
      <c r="N581" s="1254"/>
      <c r="O581" s="1254"/>
      <c r="P581" s="1254"/>
      <c r="Q581" s="1254"/>
      <c r="R581" s="1254"/>
      <c r="S581" s="1254"/>
      <c r="T581" s="1254"/>
      <c r="U581" s="1254"/>
      <c r="V581" s="1254"/>
      <c r="W581" s="1254"/>
      <c r="X581" s="1254"/>
      <c r="Y581" s="1254"/>
    </row>
    <row r="582">
      <c r="A582" s="1254"/>
      <c r="B582" s="1263"/>
      <c r="C582" s="1263"/>
      <c r="D582" s="1317"/>
      <c r="E582" s="1318"/>
      <c r="F582" s="1254"/>
      <c r="G582" s="1254"/>
      <c r="H582" s="1254"/>
      <c r="I582" s="1254"/>
      <c r="J582" s="1254"/>
      <c r="K582" s="1254"/>
      <c r="L582" s="1254"/>
      <c r="M582" s="1254"/>
      <c r="N582" s="1254"/>
      <c r="O582" s="1254"/>
      <c r="P582" s="1254"/>
      <c r="Q582" s="1254"/>
      <c r="R582" s="1254"/>
      <c r="S582" s="1254"/>
      <c r="T582" s="1254"/>
      <c r="U582" s="1254"/>
      <c r="V582" s="1254"/>
      <c r="W582" s="1254"/>
      <c r="X582" s="1254"/>
      <c r="Y582" s="1254"/>
    </row>
    <row r="583">
      <c r="A583" s="1254"/>
      <c r="B583" s="1263"/>
      <c r="C583" s="1263"/>
      <c r="D583" s="1317"/>
      <c r="E583" s="1318"/>
      <c r="F583" s="1254"/>
      <c r="G583" s="1254"/>
      <c r="H583" s="1254"/>
      <c r="I583" s="1254"/>
      <c r="J583" s="1254"/>
      <c r="K583" s="1254"/>
      <c r="L583" s="1254"/>
      <c r="M583" s="1254"/>
      <c r="N583" s="1254"/>
      <c r="O583" s="1254"/>
      <c r="P583" s="1254"/>
      <c r="Q583" s="1254"/>
      <c r="R583" s="1254"/>
      <c r="S583" s="1254"/>
      <c r="T583" s="1254"/>
      <c r="U583" s="1254"/>
      <c r="V583" s="1254"/>
      <c r="W583" s="1254"/>
      <c r="X583" s="1254"/>
      <c r="Y583" s="1254"/>
    </row>
    <row r="584">
      <c r="A584" s="1254"/>
      <c r="B584" s="1263"/>
      <c r="C584" s="1263"/>
      <c r="D584" s="1317"/>
      <c r="E584" s="1318"/>
      <c r="F584" s="1254"/>
      <c r="G584" s="1254"/>
      <c r="H584" s="1254"/>
      <c r="I584" s="1254"/>
      <c r="J584" s="1254"/>
      <c r="K584" s="1254"/>
      <c r="L584" s="1254"/>
      <c r="M584" s="1254"/>
      <c r="N584" s="1254"/>
      <c r="O584" s="1254"/>
      <c r="P584" s="1254"/>
      <c r="Q584" s="1254"/>
      <c r="R584" s="1254"/>
      <c r="S584" s="1254"/>
      <c r="T584" s="1254"/>
      <c r="U584" s="1254"/>
      <c r="V584" s="1254"/>
      <c r="W584" s="1254"/>
      <c r="X584" s="1254"/>
      <c r="Y584" s="1254"/>
    </row>
    <row r="585">
      <c r="A585" s="1254"/>
      <c r="B585" s="1263"/>
      <c r="C585" s="1263"/>
      <c r="D585" s="1317"/>
      <c r="E585" s="1318"/>
      <c r="F585" s="1254"/>
      <c r="G585" s="1254"/>
      <c r="H585" s="1254"/>
      <c r="I585" s="1254"/>
      <c r="J585" s="1254"/>
      <c r="K585" s="1254"/>
      <c r="L585" s="1254"/>
      <c r="M585" s="1254"/>
      <c r="N585" s="1254"/>
      <c r="O585" s="1254"/>
      <c r="P585" s="1254"/>
      <c r="Q585" s="1254"/>
      <c r="R585" s="1254"/>
      <c r="S585" s="1254"/>
      <c r="T585" s="1254"/>
      <c r="U585" s="1254"/>
      <c r="V585" s="1254"/>
      <c r="W585" s="1254"/>
      <c r="X585" s="1254"/>
      <c r="Y585" s="1254"/>
    </row>
    <row r="586">
      <c r="A586" s="1254"/>
      <c r="B586" s="1263"/>
      <c r="C586" s="1263"/>
      <c r="D586" s="1317"/>
      <c r="E586" s="1318"/>
      <c r="F586" s="1254"/>
      <c r="G586" s="1254"/>
      <c r="H586" s="1254"/>
      <c r="I586" s="1254"/>
      <c r="J586" s="1254"/>
      <c r="K586" s="1254"/>
      <c r="L586" s="1254"/>
      <c r="M586" s="1254"/>
      <c r="N586" s="1254"/>
      <c r="O586" s="1254"/>
      <c r="P586" s="1254"/>
      <c r="Q586" s="1254"/>
      <c r="R586" s="1254"/>
      <c r="S586" s="1254"/>
      <c r="T586" s="1254"/>
      <c r="U586" s="1254"/>
      <c r="V586" s="1254"/>
      <c r="W586" s="1254"/>
      <c r="X586" s="1254"/>
      <c r="Y586" s="1254"/>
    </row>
    <row r="587">
      <c r="A587" s="1254"/>
      <c r="B587" s="1263"/>
      <c r="C587" s="1263"/>
      <c r="D587" s="1317"/>
      <c r="E587" s="1318"/>
      <c r="F587" s="1254"/>
      <c r="G587" s="1254"/>
      <c r="H587" s="1254"/>
      <c r="I587" s="1254"/>
      <c r="J587" s="1254"/>
      <c r="K587" s="1254"/>
      <c r="L587" s="1254"/>
      <c r="M587" s="1254"/>
      <c r="N587" s="1254"/>
      <c r="O587" s="1254"/>
      <c r="P587" s="1254"/>
      <c r="Q587" s="1254"/>
      <c r="R587" s="1254"/>
      <c r="S587" s="1254"/>
      <c r="T587" s="1254"/>
      <c r="U587" s="1254"/>
      <c r="V587" s="1254"/>
      <c r="W587" s="1254"/>
      <c r="X587" s="1254"/>
      <c r="Y587" s="1254"/>
    </row>
    <row r="588">
      <c r="A588" s="1254"/>
      <c r="B588" s="1263"/>
      <c r="C588" s="1263"/>
      <c r="D588" s="1317"/>
      <c r="E588" s="1318"/>
      <c r="F588" s="1254"/>
      <c r="G588" s="1254"/>
      <c r="H588" s="1254"/>
      <c r="I588" s="1254"/>
      <c r="J588" s="1254"/>
      <c r="K588" s="1254"/>
      <c r="L588" s="1254"/>
      <c r="M588" s="1254"/>
      <c r="N588" s="1254"/>
      <c r="O588" s="1254"/>
      <c r="P588" s="1254"/>
      <c r="Q588" s="1254"/>
      <c r="R588" s="1254"/>
      <c r="S588" s="1254"/>
      <c r="T588" s="1254"/>
      <c r="U588" s="1254"/>
      <c r="V588" s="1254"/>
      <c r="W588" s="1254"/>
      <c r="X588" s="1254"/>
      <c r="Y588" s="1254"/>
    </row>
    <row r="589">
      <c r="A589" s="1254"/>
      <c r="B589" s="1263"/>
      <c r="C589" s="1263"/>
      <c r="D589" s="1317"/>
      <c r="E589" s="1318"/>
      <c r="F589" s="1254"/>
      <c r="G589" s="1254"/>
      <c r="H589" s="1254"/>
      <c r="I589" s="1254"/>
      <c r="J589" s="1254"/>
      <c r="K589" s="1254"/>
      <c r="L589" s="1254"/>
      <c r="M589" s="1254"/>
      <c r="N589" s="1254"/>
      <c r="O589" s="1254"/>
      <c r="P589" s="1254"/>
      <c r="Q589" s="1254"/>
      <c r="R589" s="1254"/>
      <c r="S589" s="1254"/>
      <c r="T589" s="1254"/>
      <c r="U589" s="1254"/>
      <c r="V589" s="1254"/>
      <c r="W589" s="1254"/>
      <c r="X589" s="1254"/>
      <c r="Y589" s="1254"/>
    </row>
    <row r="590">
      <c r="A590" s="1254"/>
      <c r="B590" s="1263"/>
      <c r="C590" s="1263"/>
      <c r="D590" s="1317"/>
      <c r="E590" s="1318"/>
      <c r="F590" s="1254"/>
      <c r="G590" s="1254"/>
      <c r="H590" s="1254"/>
      <c r="I590" s="1254"/>
      <c r="J590" s="1254"/>
      <c r="K590" s="1254"/>
      <c r="L590" s="1254"/>
      <c r="M590" s="1254"/>
      <c r="N590" s="1254"/>
      <c r="O590" s="1254"/>
      <c r="P590" s="1254"/>
      <c r="Q590" s="1254"/>
      <c r="R590" s="1254"/>
      <c r="S590" s="1254"/>
      <c r="T590" s="1254"/>
      <c r="U590" s="1254"/>
      <c r="V590" s="1254"/>
      <c r="W590" s="1254"/>
      <c r="X590" s="1254"/>
      <c r="Y590" s="1254"/>
    </row>
    <row r="591">
      <c r="A591" s="1254"/>
      <c r="B591" s="1263"/>
      <c r="C591" s="1263"/>
      <c r="D591" s="1317"/>
      <c r="E591" s="1318"/>
      <c r="F591" s="1254"/>
      <c r="G591" s="1254"/>
      <c r="H591" s="1254"/>
      <c r="I591" s="1254"/>
      <c r="J591" s="1254"/>
      <c r="K591" s="1254"/>
      <c r="L591" s="1254"/>
      <c r="M591" s="1254"/>
      <c r="N591" s="1254"/>
      <c r="O591" s="1254"/>
      <c r="P591" s="1254"/>
      <c r="Q591" s="1254"/>
      <c r="R591" s="1254"/>
      <c r="S591" s="1254"/>
      <c r="T591" s="1254"/>
      <c r="U591" s="1254"/>
      <c r="V591" s="1254"/>
      <c r="W591" s="1254"/>
      <c r="X591" s="1254"/>
      <c r="Y591" s="1254"/>
    </row>
    <row r="592">
      <c r="A592" s="1254"/>
      <c r="B592" s="1263"/>
      <c r="C592" s="1263"/>
      <c r="D592" s="1317"/>
      <c r="E592" s="1318"/>
      <c r="F592" s="1254"/>
      <c r="G592" s="1254"/>
      <c r="H592" s="1254"/>
      <c r="I592" s="1254"/>
      <c r="J592" s="1254"/>
      <c r="K592" s="1254"/>
      <c r="L592" s="1254"/>
      <c r="M592" s="1254"/>
      <c r="N592" s="1254"/>
      <c r="O592" s="1254"/>
      <c r="P592" s="1254"/>
      <c r="Q592" s="1254"/>
      <c r="R592" s="1254"/>
      <c r="S592" s="1254"/>
      <c r="T592" s="1254"/>
      <c r="U592" s="1254"/>
      <c r="V592" s="1254"/>
      <c r="W592" s="1254"/>
      <c r="X592" s="1254"/>
      <c r="Y592" s="1254"/>
    </row>
    <row r="593">
      <c r="A593" s="1254"/>
      <c r="B593" s="1263"/>
      <c r="C593" s="1263"/>
      <c r="D593" s="1317"/>
      <c r="E593" s="1318"/>
      <c r="F593" s="1254"/>
      <c r="G593" s="1254"/>
      <c r="H593" s="1254"/>
      <c r="I593" s="1254"/>
      <c r="J593" s="1254"/>
      <c r="K593" s="1254"/>
      <c r="L593" s="1254"/>
      <c r="M593" s="1254"/>
      <c r="N593" s="1254"/>
      <c r="O593" s="1254"/>
      <c r="P593" s="1254"/>
      <c r="Q593" s="1254"/>
      <c r="R593" s="1254"/>
      <c r="S593" s="1254"/>
      <c r="T593" s="1254"/>
      <c r="U593" s="1254"/>
      <c r="V593" s="1254"/>
      <c r="W593" s="1254"/>
      <c r="X593" s="1254"/>
      <c r="Y593" s="1254"/>
    </row>
    <row r="594">
      <c r="A594" s="1254"/>
      <c r="B594" s="1263"/>
      <c r="C594" s="1263"/>
      <c r="D594" s="1317"/>
      <c r="E594" s="1318"/>
      <c r="F594" s="1254"/>
      <c r="G594" s="1254"/>
      <c r="H594" s="1254"/>
      <c r="I594" s="1254"/>
      <c r="J594" s="1254"/>
      <c r="K594" s="1254"/>
      <c r="L594" s="1254"/>
      <c r="M594" s="1254"/>
      <c r="N594" s="1254"/>
      <c r="O594" s="1254"/>
      <c r="P594" s="1254"/>
      <c r="Q594" s="1254"/>
      <c r="R594" s="1254"/>
      <c r="S594" s="1254"/>
      <c r="T594" s="1254"/>
      <c r="U594" s="1254"/>
      <c r="V594" s="1254"/>
      <c r="W594" s="1254"/>
      <c r="X594" s="1254"/>
      <c r="Y594" s="1254"/>
    </row>
    <row r="595">
      <c r="A595" s="1254"/>
      <c r="B595" s="1263"/>
      <c r="C595" s="1263"/>
      <c r="D595" s="1317"/>
      <c r="E595" s="1318"/>
      <c r="F595" s="1254"/>
      <c r="G595" s="1254"/>
      <c r="H595" s="1254"/>
      <c r="I595" s="1254"/>
      <c r="J595" s="1254"/>
      <c r="K595" s="1254"/>
      <c r="L595" s="1254"/>
      <c r="M595" s="1254"/>
      <c r="N595" s="1254"/>
      <c r="O595" s="1254"/>
      <c r="P595" s="1254"/>
      <c r="Q595" s="1254"/>
      <c r="R595" s="1254"/>
      <c r="S595" s="1254"/>
      <c r="T595" s="1254"/>
      <c r="U595" s="1254"/>
      <c r="V595" s="1254"/>
      <c r="W595" s="1254"/>
      <c r="X595" s="1254"/>
      <c r="Y595" s="1254"/>
    </row>
    <row r="596">
      <c r="A596" s="1254"/>
      <c r="B596" s="1263"/>
      <c r="C596" s="1263"/>
      <c r="D596" s="1317"/>
      <c r="E596" s="1318"/>
      <c r="F596" s="1254"/>
      <c r="G596" s="1254"/>
      <c r="H596" s="1254"/>
      <c r="I596" s="1254"/>
      <c r="J596" s="1254"/>
      <c r="K596" s="1254"/>
      <c r="L596" s="1254"/>
      <c r="M596" s="1254"/>
      <c r="N596" s="1254"/>
      <c r="O596" s="1254"/>
      <c r="P596" s="1254"/>
      <c r="Q596" s="1254"/>
      <c r="R596" s="1254"/>
      <c r="S596" s="1254"/>
      <c r="T596" s="1254"/>
      <c r="U596" s="1254"/>
      <c r="V596" s="1254"/>
      <c r="W596" s="1254"/>
      <c r="X596" s="1254"/>
      <c r="Y596" s="1254"/>
    </row>
    <row r="597">
      <c r="A597" s="1254"/>
      <c r="B597" s="1263"/>
      <c r="C597" s="1263"/>
      <c r="D597" s="1317"/>
      <c r="E597" s="1318"/>
      <c r="F597" s="1254"/>
      <c r="G597" s="1254"/>
      <c r="H597" s="1254"/>
      <c r="I597" s="1254"/>
      <c r="J597" s="1254"/>
      <c r="K597" s="1254"/>
      <c r="L597" s="1254"/>
      <c r="M597" s="1254"/>
      <c r="N597" s="1254"/>
      <c r="O597" s="1254"/>
      <c r="P597" s="1254"/>
      <c r="Q597" s="1254"/>
      <c r="R597" s="1254"/>
      <c r="S597" s="1254"/>
      <c r="T597" s="1254"/>
      <c r="U597" s="1254"/>
      <c r="V597" s="1254"/>
      <c r="W597" s="1254"/>
      <c r="X597" s="1254"/>
      <c r="Y597" s="1254"/>
    </row>
    <row r="598">
      <c r="A598" s="1254"/>
      <c r="B598" s="1263"/>
      <c r="C598" s="1263"/>
      <c r="D598" s="1317"/>
      <c r="E598" s="1318"/>
      <c r="F598" s="1254"/>
      <c r="G598" s="1254"/>
      <c r="H598" s="1254"/>
      <c r="I598" s="1254"/>
      <c r="J598" s="1254"/>
      <c r="K598" s="1254"/>
      <c r="L598" s="1254"/>
      <c r="M598" s="1254"/>
      <c r="N598" s="1254"/>
      <c r="O598" s="1254"/>
      <c r="P598" s="1254"/>
      <c r="Q598" s="1254"/>
      <c r="R598" s="1254"/>
      <c r="S598" s="1254"/>
      <c r="T598" s="1254"/>
      <c r="U598" s="1254"/>
      <c r="V598" s="1254"/>
      <c r="W598" s="1254"/>
      <c r="X598" s="1254"/>
      <c r="Y598" s="1254"/>
    </row>
    <row r="599">
      <c r="A599" s="1254"/>
      <c r="B599" s="1263"/>
      <c r="C599" s="1263"/>
      <c r="D599" s="1317"/>
      <c r="E599" s="1318"/>
      <c r="F599" s="1254"/>
      <c r="G599" s="1254"/>
      <c r="H599" s="1254"/>
      <c r="I599" s="1254"/>
      <c r="J599" s="1254"/>
      <c r="K599" s="1254"/>
      <c r="L599" s="1254"/>
      <c r="M599" s="1254"/>
      <c r="N599" s="1254"/>
      <c r="O599" s="1254"/>
      <c r="P599" s="1254"/>
      <c r="Q599" s="1254"/>
      <c r="R599" s="1254"/>
      <c r="S599" s="1254"/>
      <c r="T599" s="1254"/>
      <c r="U599" s="1254"/>
      <c r="V599" s="1254"/>
      <c r="W599" s="1254"/>
      <c r="X599" s="1254"/>
      <c r="Y599" s="1254"/>
    </row>
    <row r="600">
      <c r="A600" s="1254"/>
      <c r="B600" s="1263"/>
      <c r="C600" s="1263"/>
      <c r="D600" s="1317"/>
      <c r="E600" s="1318"/>
      <c r="F600" s="1254"/>
      <c r="G600" s="1254"/>
      <c r="H600" s="1254"/>
      <c r="I600" s="1254"/>
      <c r="J600" s="1254"/>
      <c r="K600" s="1254"/>
      <c r="L600" s="1254"/>
      <c r="M600" s="1254"/>
      <c r="N600" s="1254"/>
      <c r="O600" s="1254"/>
      <c r="P600" s="1254"/>
      <c r="Q600" s="1254"/>
      <c r="R600" s="1254"/>
      <c r="S600" s="1254"/>
      <c r="T600" s="1254"/>
      <c r="U600" s="1254"/>
      <c r="V600" s="1254"/>
      <c r="W600" s="1254"/>
      <c r="X600" s="1254"/>
      <c r="Y600" s="1254"/>
    </row>
    <row r="601">
      <c r="A601" s="1254"/>
      <c r="B601" s="1263"/>
      <c r="C601" s="1263"/>
      <c r="D601" s="1317"/>
      <c r="E601" s="1318"/>
      <c r="F601" s="1254"/>
      <c r="G601" s="1254"/>
      <c r="H601" s="1254"/>
      <c r="I601" s="1254"/>
      <c r="J601" s="1254"/>
      <c r="K601" s="1254"/>
      <c r="L601" s="1254"/>
      <c r="M601" s="1254"/>
      <c r="N601" s="1254"/>
      <c r="O601" s="1254"/>
      <c r="P601" s="1254"/>
      <c r="Q601" s="1254"/>
      <c r="R601" s="1254"/>
      <c r="S601" s="1254"/>
      <c r="T601" s="1254"/>
      <c r="U601" s="1254"/>
      <c r="V601" s="1254"/>
      <c r="W601" s="1254"/>
      <c r="X601" s="1254"/>
      <c r="Y601" s="1254"/>
    </row>
    <row r="602">
      <c r="A602" s="1254"/>
      <c r="B602" s="1263"/>
      <c r="C602" s="1263"/>
      <c r="D602" s="1317"/>
      <c r="E602" s="1318"/>
      <c r="F602" s="1254"/>
      <c r="G602" s="1254"/>
      <c r="H602" s="1254"/>
      <c r="I602" s="1254"/>
      <c r="J602" s="1254"/>
      <c r="K602" s="1254"/>
      <c r="L602" s="1254"/>
      <c r="M602" s="1254"/>
      <c r="N602" s="1254"/>
      <c r="O602" s="1254"/>
      <c r="P602" s="1254"/>
      <c r="Q602" s="1254"/>
      <c r="R602" s="1254"/>
      <c r="S602" s="1254"/>
      <c r="T602" s="1254"/>
      <c r="U602" s="1254"/>
      <c r="V602" s="1254"/>
      <c r="W602" s="1254"/>
      <c r="X602" s="1254"/>
      <c r="Y602" s="1254"/>
    </row>
    <row r="603">
      <c r="A603" s="1254"/>
      <c r="B603" s="1263"/>
      <c r="C603" s="1263"/>
      <c r="D603" s="1317"/>
      <c r="E603" s="1318"/>
      <c r="F603" s="1254"/>
      <c r="G603" s="1254"/>
      <c r="H603" s="1254"/>
      <c r="I603" s="1254"/>
      <c r="J603" s="1254"/>
      <c r="K603" s="1254"/>
      <c r="L603" s="1254"/>
      <c r="M603" s="1254"/>
      <c r="N603" s="1254"/>
      <c r="O603" s="1254"/>
      <c r="P603" s="1254"/>
      <c r="Q603" s="1254"/>
      <c r="R603" s="1254"/>
      <c r="S603" s="1254"/>
      <c r="T603" s="1254"/>
      <c r="U603" s="1254"/>
      <c r="V603" s="1254"/>
      <c r="W603" s="1254"/>
      <c r="X603" s="1254"/>
      <c r="Y603" s="1254"/>
    </row>
    <row r="604">
      <c r="A604" s="1254"/>
      <c r="B604" s="1263"/>
      <c r="C604" s="1263"/>
      <c r="D604" s="1317"/>
      <c r="E604" s="1318"/>
      <c r="F604" s="1254"/>
      <c r="G604" s="1254"/>
      <c r="H604" s="1254"/>
      <c r="I604" s="1254"/>
      <c r="J604" s="1254"/>
      <c r="K604" s="1254"/>
      <c r="L604" s="1254"/>
      <c r="M604" s="1254"/>
      <c r="N604" s="1254"/>
      <c r="O604" s="1254"/>
      <c r="P604" s="1254"/>
      <c r="Q604" s="1254"/>
      <c r="R604" s="1254"/>
      <c r="S604" s="1254"/>
      <c r="T604" s="1254"/>
      <c r="U604" s="1254"/>
      <c r="V604" s="1254"/>
      <c r="W604" s="1254"/>
      <c r="X604" s="1254"/>
      <c r="Y604" s="1254"/>
    </row>
    <row r="605">
      <c r="A605" s="1254"/>
      <c r="B605" s="1263"/>
      <c r="C605" s="1263"/>
      <c r="D605" s="1317"/>
      <c r="E605" s="1318"/>
      <c r="F605" s="1254"/>
      <c r="G605" s="1254"/>
      <c r="H605" s="1254"/>
      <c r="I605" s="1254"/>
      <c r="J605" s="1254"/>
      <c r="K605" s="1254"/>
      <c r="L605" s="1254"/>
      <c r="M605" s="1254"/>
      <c r="N605" s="1254"/>
      <c r="O605" s="1254"/>
      <c r="P605" s="1254"/>
      <c r="Q605" s="1254"/>
      <c r="R605" s="1254"/>
      <c r="S605" s="1254"/>
      <c r="T605" s="1254"/>
      <c r="U605" s="1254"/>
      <c r="V605" s="1254"/>
      <c r="W605" s="1254"/>
      <c r="X605" s="1254"/>
      <c r="Y605" s="1254"/>
    </row>
    <row r="606">
      <c r="A606" s="1254"/>
      <c r="B606" s="1263"/>
      <c r="C606" s="1263"/>
      <c r="D606" s="1317"/>
      <c r="E606" s="1318"/>
      <c r="F606" s="1254"/>
      <c r="G606" s="1254"/>
      <c r="H606" s="1254"/>
      <c r="I606" s="1254"/>
      <c r="J606" s="1254"/>
      <c r="K606" s="1254"/>
      <c r="L606" s="1254"/>
      <c r="M606" s="1254"/>
      <c r="N606" s="1254"/>
      <c r="O606" s="1254"/>
      <c r="P606" s="1254"/>
      <c r="Q606" s="1254"/>
      <c r="R606" s="1254"/>
      <c r="S606" s="1254"/>
      <c r="T606" s="1254"/>
      <c r="U606" s="1254"/>
      <c r="V606" s="1254"/>
      <c r="W606" s="1254"/>
      <c r="X606" s="1254"/>
      <c r="Y606" s="1254"/>
    </row>
    <row r="607">
      <c r="A607" s="1254"/>
      <c r="B607" s="1263"/>
      <c r="C607" s="1263"/>
      <c r="D607" s="1317"/>
      <c r="E607" s="1318"/>
      <c r="F607" s="1254"/>
      <c r="G607" s="1254"/>
      <c r="H607" s="1254"/>
      <c r="I607" s="1254"/>
      <c r="J607" s="1254"/>
      <c r="K607" s="1254"/>
      <c r="L607" s="1254"/>
      <c r="M607" s="1254"/>
      <c r="N607" s="1254"/>
      <c r="O607" s="1254"/>
      <c r="P607" s="1254"/>
      <c r="Q607" s="1254"/>
      <c r="R607" s="1254"/>
      <c r="S607" s="1254"/>
      <c r="T607" s="1254"/>
      <c r="U607" s="1254"/>
      <c r="V607" s="1254"/>
      <c r="W607" s="1254"/>
      <c r="X607" s="1254"/>
      <c r="Y607" s="1254"/>
    </row>
    <row r="608">
      <c r="A608" s="1254"/>
      <c r="B608" s="1263"/>
      <c r="C608" s="1263"/>
      <c r="D608" s="1317"/>
      <c r="E608" s="1318"/>
      <c r="F608" s="1254"/>
      <c r="G608" s="1254"/>
      <c r="H608" s="1254"/>
      <c r="I608" s="1254"/>
      <c r="J608" s="1254"/>
      <c r="K608" s="1254"/>
      <c r="L608" s="1254"/>
      <c r="M608" s="1254"/>
      <c r="N608" s="1254"/>
      <c r="O608" s="1254"/>
      <c r="P608" s="1254"/>
      <c r="Q608" s="1254"/>
      <c r="R608" s="1254"/>
      <c r="S608" s="1254"/>
      <c r="T608" s="1254"/>
      <c r="U608" s="1254"/>
      <c r="V608" s="1254"/>
      <c r="W608" s="1254"/>
      <c r="X608" s="1254"/>
      <c r="Y608" s="1254"/>
    </row>
    <row r="609">
      <c r="A609" s="1254"/>
      <c r="B609" s="1263"/>
      <c r="C609" s="1263"/>
      <c r="D609" s="1317"/>
      <c r="E609" s="1318"/>
      <c r="F609" s="1254"/>
      <c r="G609" s="1254"/>
      <c r="H609" s="1254"/>
      <c r="I609" s="1254"/>
      <c r="J609" s="1254"/>
      <c r="K609" s="1254"/>
      <c r="L609" s="1254"/>
      <c r="M609" s="1254"/>
      <c r="N609" s="1254"/>
      <c r="O609" s="1254"/>
      <c r="P609" s="1254"/>
      <c r="Q609" s="1254"/>
      <c r="R609" s="1254"/>
      <c r="S609" s="1254"/>
      <c r="T609" s="1254"/>
      <c r="U609" s="1254"/>
      <c r="V609" s="1254"/>
      <c r="W609" s="1254"/>
      <c r="X609" s="1254"/>
      <c r="Y609" s="1254"/>
    </row>
    <row r="610">
      <c r="A610" s="1254"/>
      <c r="B610" s="1263"/>
      <c r="C610" s="1263"/>
      <c r="D610" s="1317"/>
      <c r="E610" s="1318"/>
      <c r="F610" s="1254"/>
      <c r="G610" s="1254"/>
      <c r="H610" s="1254"/>
      <c r="I610" s="1254"/>
      <c r="J610" s="1254"/>
      <c r="K610" s="1254"/>
      <c r="L610" s="1254"/>
      <c r="M610" s="1254"/>
      <c r="N610" s="1254"/>
      <c r="O610" s="1254"/>
      <c r="P610" s="1254"/>
      <c r="Q610" s="1254"/>
      <c r="R610" s="1254"/>
      <c r="S610" s="1254"/>
      <c r="T610" s="1254"/>
      <c r="U610" s="1254"/>
      <c r="V610" s="1254"/>
      <c r="W610" s="1254"/>
      <c r="X610" s="1254"/>
      <c r="Y610" s="1254"/>
    </row>
    <row r="611">
      <c r="A611" s="1254"/>
      <c r="B611" s="1263"/>
      <c r="C611" s="1263"/>
      <c r="D611" s="1317"/>
      <c r="E611" s="1318"/>
      <c r="F611" s="1254"/>
      <c r="G611" s="1254"/>
      <c r="H611" s="1254"/>
      <c r="I611" s="1254"/>
      <c r="J611" s="1254"/>
      <c r="K611" s="1254"/>
      <c r="L611" s="1254"/>
      <c r="M611" s="1254"/>
      <c r="N611" s="1254"/>
      <c r="O611" s="1254"/>
      <c r="P611" s="1254"/>
      <c r="Q611" s="1254"/>
      <c r="R611" s="1254"/>
      <c r="S611" s="1254"/>
      <c r="T611" s="1254"/>
      <c r="U611" s="1254"/>
      <c r="V611" s="1254"/>
      <c r="W611" s="1254"/>
      <c r="X611" s="1254"/>
      <c r="Y611" s="1254"/>
    </row>
    <row r="612">
      <c r="A612" s="1254"/>
      <c r="B612" s="1263"/>
      <c r="C612" s="1263"/>
      <c r="D612" s="1317"/>
      <c r="E612" s="1318"/>
      <c r="F612" s="1254"/>
      <c r="G612" s="1254"/>
      <c r="H612" s="1254"/>
      <c r="I612" s="1254"/>
      <c r="J612" s="1254"/>
      <c r="K612" s="1254"/>
      <c r="L612" s="1254"/>
      <c r="M612" s="1254"/>
      <c r="N612" s="1254"/>
      <c r="O612" s="1254"/>
      <c r="P612" s="1254"/>
      <c r="Q612" s="1254"/>
      <c r="R612" s="1254"/>
      <c r="S612" s="1254"/>
      <c r="T612" s="1254"/>
      <c r="U612" s="1254"/>
      <c r="V612" s="1254"/>
      <c r="W612" s="1254"/>
      <c r="X612" s="1254"/>
      <c r="Y612" s="1254"/>
    </row>
    <row r="613">
      <c r="A613" s="1254"/>
      <c r="B613" s="1263"/>
      <c r="C613" s="1263"/>
      <c r="D613" s="1317"/>
      <c r="E613" s="1318"/>
      <c r="F613" s="1254"/>
      <c r="G613" s="1254"/>
      <c r="H613" s="1254"/>
      <c r="I613" s="1254"/>
      <c r="J613" s="1254"/>
      <c r="K613" s="1254"/>
      <c r="L613" s="1254"/>
      <c r="M613" s="1254"/>
      <c r="N613" s="1254"/>
      <c r="O613" s="1254"/>
      <c r="P613" s="1254"/>
      <c r="Q613" s="1254"/>
      <c r="R613" s="1254"/>
      <c r="S613" s="1254"/>
      <c r="T613" s="1254"/>
      <c r="U613" s="1254"/>
      <c r="V613" s="1254"/>
      <c r="W613" s="1254"/>
      <c r="X613" s="1254"/>
      <c r="Y613" s="1254"/>
    </row>
    <row r="614">
      <c r="A614" s="1254"/>
      <c r="B614" s="1263"/>
      <c r="C614" s="1263"/>
      <c r="D614" s="1317"/>
      <c r="E614" s="1318"/>
      <c r="F614" s="1254"/>
      <c r="G614" s="1254"/>
      <c r="H614" s="1254"/>
      <c r="I614" s="1254"/>
      <c r="J614" s="1254"/>
      <c r="K614" s="1254"/>
      <c r="L614" s="1254"/>
      <c r="M614" s="1254"/>
      <c r="N614" s="1254"/>
      <c r="O614" s="1254"/>
      <c r="P614" s="1254"/>
      <c r="Q614" s="1254"/>
      <c r="R614" s="1254"/>
      <c r="S614" s="1254"/>
      <c r="T614" s="1254"/>
      <c r="U614" s="1254"/>
      <c r="V614" s="1254"/>
      <c r="W614" s="1254"/>
      <c r="X614" s="1254"/>
      <c r="Y614" s="1254"/>
    </row>
    <row r="615">
      <c r="A615" s="1254"/>
      <c r="B615" s="1263"/>
      <c r="C615" s="1263"/>
      <c r="D615" s="1317"/>
      <c r="E615" s="1318"/>
      <c r="F615" s="1254"/>
      <c r="G615" s="1254"/>
      <c r="H615" s="1254"/>
      <c r="I615" s="1254"/>
      <c r="J615" s="1254"/>
      <c r="K615" s="1254"/>
      <c r="L615" s="1254"/>
      <c r="M615" s="1254"/>
      <c r="N615" s="1254"/>
      <c r="O615" s="1254"/>
      <c r="P615" s="1254"/>
      <c r="Q615" s="1254"/>
      <c r="R615" s="1254"/>
      <c r="S615" s="1254"/>
      <c r="T615" s="1254"/>
      <c r="U615" s="1254"/>
      <c r="V615" s="1254"/>
      <c r="W615" s="1254"/>
      <c r="X615" s="1254"/>
      <c r="Y615" s="1254"/>
    </row>
    <row r="616">
      <c r="A616" s="1254"/>
      <c r="B616" s="1263"/>
      <c r="C616" s="1263"/>
      <c r="D616" s="1317"/>
      <c r="E616" s="1318"/>
      <c r="F616" s="1254"/>
      <c r="G616" s="1254"/>
      <c r="H616" s="1254"/>
      <c r="I616" s="1254"/>
      <c r="J616" s="1254"/>
      <c r="K616" s="1254"/>
      <c r="L616" s="1254"/>
      <c r="M616" s="1254"/>
      <c r="N616" s="1254"/>
      <c r="O616" s="1254"/>
      <c r="P616" s="1254"/>
      <c r="Q616" s="1254"/>
      <c r="R616" s="1254"/>
      <c r="S616" s="1254"/>
      <c r="T616" s="1254"/>
      <c r="U616" s="1254"/>
      <c r="V616" s="1254"/>
      <c r="W616" s="1254"/>
      <c r="X616" s="1254"/>
      <c r="Y616" s="1254"/>
    </row>
    <row r="617">
      <c r="A617" s="1254"/>
      <c r="B617" s="1263"/>
      <c r="C617" s="1263"/>
      <c r="D617" s="1317"/>
      <c r="E617" s="1318"/>
      <c r="F617" s="1254"/>
      <c r="G617" s="1254"/>
      <c r="H617" s="1254"/>
      <c r="I617" s="1254"/>
      <c r="J617" s="1254"/>
      <c r="K617" s="1254"/>
      <c r="L617" s="1254"/>
      <c r="M617" s="1254"/>
      <c r="N617" s="1254"/>
      <c r="O617" s="1254"/>
      <c r="P617" s="1254"/>
      <c r="Q617" s="1254"/>
      <c r="R617" s="1254"/>
      <c r="S617" s="1254"/>
      <c r="T617" s="1254"/>
      <c r="U617" s="1254"/>
      <c r="V617" s="1254"/>
      <c r="W617" s="1254"/>
      <c r="X617" s="1254"/>
      <c r="Y617" s="1254"/>
    </row>
    <row r="618">
      <c r="A618" s="1254"/>
      <c r="B618" s="1263"/>
      <c r="C618" s="1263"/>
      <c r="D618" s="1317"/>
      <c r="E618" s="1318"/>
      <c r="F618" s="1254"/>
      <c r="G618" s="1254"/>
      <c r="H618" s="1254"/>
      <c r="I618" s="1254"/>
      <c r="J618" s="1254"/>
      <c r="K618" s="1254"/>
      <c r="L618" s="1254"/>
      <c r="M618" s="1254"/>
      <c r="N618" s="1254"/>
      <c r="O618" s="1254"/>
      <c r="P618" s="1254"/>
      <c r="Q618" s="1254"/>
      <c r="R618" s="1254"/>
      <c r="S618" s="1254"/>
      <c r="T618" s="1254"/>
      <c r="U618" s="1254"/>
      <c r="V618" s="1254"/>
      <c r="W618" s="1254"/>
      <c r="X618" s="1254"/>
      <c r="Y618" s="1254"/>
    </row>
    <row r="619">
      <c r="A619" s="1254"/>
      <c r="B619" s="1263"/>
      <c r="C619" s="1263"/>
      <c r="D619" s="1317"/>
      <c r="E619" s="1318"/>
      <c r="F619" s="1254"/>
      <c r="G619" s="1254"/>
      <c r="H619" s="1254"/>
      <c r="I619" s="1254"/>
      <c r="J619" s="1254"/>
      <c r="K619" s="1254"/>
      <c r="L619" s="1254"/>
      <c r="M619" s="1254"/>
      <c r="N619" s="1254"/>
      <c r="O619" s="1254"/>
      <c r="P619" s="1254"/>
      <c r="Q619" s="1254"/>
      <c r="R619" s="1254"/>
      <c r="S619" s="1254"/>
      <c r="T619" s="1254"/>
      <c r="U619" s="1254"/>
      <c r="V619" s="1254"/>
      <c r="W619" s="1254"/>
      <c r="X619" s="1254"/>
      <c r="Y619" s="1254"/>
    </row>
    <row r="620">
      <c r="A620" s="1254"/>
      <c r="B620" s="1263"/>
      <c r="C620" s="1263"/>
      <c r="D620" s="1317"/>
      <c r="E620" s="1318"/>
      <c r="F620" s="1254"/>
      <c r="G620" s="1254"/>
      <c r="H620" s="1254"/>
      <c r="I620" s="1254"/>
      <c r="J620" s="1254"/>
      <c r="K620" s="1254"/>
      <c r="L620" s="1254"/>
      <c r="M620" s="1254"/>
      <c r="N620" s="1254"/>
      <c r="O620" s="1254"/>
      <c r="P620" s="1254"/>
      <c r="Q620" s="1254"/>
      <c r="R620" s="1254"/>
      <c r="S620" s="1254"/>
      <c r="T620" s="1254"/>
      <c r="U620" s="1254"/>
      <c r="V620" s="1254"/>
      <c r="W620" s="1254"/>
      <c r="X620" s="1254"/>
      <c r="Y620" s="1254"/>
    </row>
    <row r="621">
      <c r="A621" s="1254"/>
      <c r="B621" s="1263"/>
      <c r="C621" s="1263"/>
      <c r="D621" s="1317"/>
      <c r="E621" s="1318"/>
      <c r="F621" s="1254"/>
      <c r="G621" s="1254"/>
      <c r="H621" s="1254"/>
      <c r="I621" s="1254"/>
      <c r="J621" s="1254"/>
      <c r="K621" s="1254"/>
      <c r="L621" s="1254"/>
      <c r="M621" s="1254"/>
      <c r="N621" s="1254"/>
      <c r="O621" s="1254"/>
      <c r="P621" s="1254"/>
      <c r="Q621" s="1254"/>
      <c r="R621" s="1254"/>
      <c r="S621" s="1254"/>
      <c r="T621" s="1254"/>
      <c r="U621" s="1254"/>
      <c r="V621" s="1254"/>
      <c r="W621" s="1254"/>
      <c r="X621" s="1254"/>
      <c r="Y621" s="1254"/>
    </row>
    <row r="622">
      <c r="A622" s="1254"/>
      <c r="B622" s="1263"/>
      <c r="C622" s="1263"/>
      <c r="D622" s="1317"/>
      <c r="E622" s="1318"/>
      <c r="F622" s="1254"/>
      <c r="G622" s="1254"/>
      <c r="H622" s="1254"/>
      <c r="I622" s="1254"/>
      <c r="J622" s="1254"/>
      <c r="K622" s="1254"/>
      <c r="L622" s="1254"/>
      <c r="M622" s="1254"/>
      <c r="N622" s="1254"/>
      <c r="O622" s="1254"/>
      <c r="P622" s="1254"/>
      <c r="Q622" s="1254"/>
      <c r="R622" s="1254"/>
      <c r="S622" s="1254"/>
      <c r="T622" s="1254"/>
      <c r="U622" s="1254"/>
      <c r="V622" s="1254"/>
      <c r="W622" s="1254"/>
      <c r="X622" s="1254"/>
      <c r="Y622" s="1254"/>
    </row>
    <row r="623">
      <c r="A623" s="1254"/>
      <c r="B623" s="1263"/>
      <c r="C623" s="1263"/>
      <c r="D623" s="1317"/>
      <c r="E623" s="1318"/>
      <c r="F623" s="1254"/>
      <c r="G623" s="1254"/>
      <c r="H623" s="1254"/>
      <c r="I623" s="1254"/>
      <c r="J623" s="1254"/>
      <c r="K623" s="1254"/>
      <c r="L623" s="1254"/>
      <c r="M623" s="1254"/>
      <c r="N623" s="1254"/>
      <c r="O623" s="1254"/>
      <c r="P623" s="1254"/>
      <c r="Q623" s="1254"/>
      <c r="R623" s="1254"/>
      <c r="S623" s="1254"/>
      <c r="T623" s="1254"/>
      <c r="U623" s="1254"/>
      <c r="V623" s="1254"/>
      <c r="W623" s="1254"/>
      <c r="X623" s="1254"/>
      <c r="Y623" s="1254"/>
    </row>
    <row r="624">
      <c r="A624" s="1254"/>
      <c r="B624" s="1263"/>
      <c r="C624" s="1263"/>
      <c r="D624" s="1317"/>
      <c r="E624" s="1318"/>
      <c r="F624" s="1254"/>
      <c r="G624" s="1254"/>
      <c r="H624" s="1254"/>
      <c r="I624" s="1254"/>
      <c r="J624" s="1254"/>
      <c r="K624" s="1254"/>
      <c r="L624" s="1254"/>
      <c r="M624" s="1254"/>
      <c r="N624" s="1254"/>
      <c r="O624" s="1254"/>
      <c r="P624" s="1254"/>
      <c r="Q624" s="1254"/>
      <c r="R624" s="1254"/>
      <c r="S624" s="1254"/>
      <c r="T624" s="1254"/>
      <c r="U624" s="1254"/>
      <c r="V624" s="1254"/>
      <c r="W624" s="1254"/>
      <c r="X624" s="1254"/>
      <c r="Y624" s="1254"/>
    </row>
    <row r="625">
      <c r="A625" s="1254"/>
      <c r="B625" s="1263"/>
      <c r="C625" s="1263"/>
      <c r="D625" s="1317"/>
      <c r="E625" s="1318"/>
      <c r="F625" s="1254"/>
      <c r="G625" s="1254"/>
      <c r="H625" s="1254"/>
      <c r="I625" s="1254"/>
      <c r="J625" s="1254"/>
      <c r="K625" s="1254"/>
      <c r="L625" s="1254"/>
      <c r="M625" s="1254"/>
      <c r="N625" s="1254"/>
      <c r="O625" s="1254"/>
      <c r="P625" s="1254"/>
      <c r="Q625" s="1254"/>
      <c r="R625" s="1254"/>
      <c r="S625" s="1254"/>
      <c r="T625" s="1254"/>
      <c r="U625" s="1254"/>
      <c r="V625" s="1254"/>
      <c r="W625" s="1254"/>
      <c r="X625" s="1254"/>
      <c r="Y625" s="1254"/>
    </row>
    <row r="626">
      <c r="A626" s="1254"/>
      <c r="B626" s="1263"/>
      <c r="C626" s="1263"/>
      <c r="D626" s="1317"/>
      <c r="E626" s="1318"/>
      <c r="F626" s="1254"/>
      <c r="G626" s="1254"/>
      <c r="H626" s="1254"/>
      <c r="I626" s="1254"/>
      <c r="J626" s="1254"/>
      <c r="K626" s="1254"/>
      <c r="L626" s="1254"/>
      <c r="M626" s="1254"/>
      <c r="N626" s="1254"/>
      <c r="O626" s="1254"/>
      <c r="P626" s="1254"/>
      <c r="Q626" s="1254"/>
      <c r="R626" s="1254"/>
      <c r="S626" s="1254"/>
      <c r="T626" s="1254"/>
      <c r="U626" s="1254"/>
      <c r="V626" s="1254"/>
      <c r="W626" s="1254"/>
      <c r="X626" s="1254"/>
      <c r="Y626" s="1254"/>
    </row>
    <row r="627">
      <c r="A627" s="1254"/>
      <c r="B627" s="1263"/>
      <c r="C627" s="1263"/>
      <c r="D627" s="1317"/>
      <c r="E627" s="1318"/>
      <c r="F627" s="1254"/>
      <c r="G627" s="1254"/>
      <c r="H627" s="1254"/>
      <c r="I627" s="1254"/>
      <c r="J627" s="1254"/>
      <c r="K627" s="1254"/>
      <c r="L627" s="1254"/>
      <c r="M627" s="1254"/>
      <c r="N627" s="1254"/>
      <c r="O627" s="1254"/>
      <c r="P627" s="1254"/>
      <c r="Q627" s="1254"/>
      <c r="R627" s="1254"/>
      <c r="S627" s="1254"/>
      <c r="T627" s="1254"/>
      <c r="U627" s="1254"/>
      <c r="V627" s="1254"/>
      <c r="W627" s="1254"/>
      <c r="X627" s="1254"/>
      <c r="Y627" s="1254"/>
    </row>
    <row r="628">
      <c r="A628" s="1254"/>
      <c r="B628" s="1263"/>
      <c r="C628" s="1263"/>
      <c r="D628" s="1317"/>
      <c r="E628" s="1318"/>
      <c r="F628" s="1254"/>
      <c r="G628" s="1254"/>
      <c r="H628" s="1254"/>
      <c r="I628" s="1254"/>
      <c r="J628" s="1254"/>
      <c r="K628" s="1254"/>
      <c r="L628" s="1254"/>
      <c r="M628" s="1254"/>
      <c r="N628" s="1254"/>
      <c r="O628" s="1254"/>
      <c r="P628" s="1254"/>
      <c r="Q628" s="1254"/>
      <c r="R628" s="1254"/>
      <c r="S628" s="1254"/>
      <c r="T628" s="1254"/>
      <c r="U628" s="1254"/>
      <c r="V628" s="1254"/>
      <c r="W628" s="1254"/>
      <c r="X628" s="1254"/>
      <c r="Y628" s="1254"/>
    </row>
    <row r="629">
      <c r="A629" s="1254"/>
      <c r="B629" s="1263"/>
      <c r="C629" s="1263"/>
      <c r="D629" s="1317"/>
      <c r="E629" s="1318"/>
      <c r="F629" s="1254"/>
      <c r="G629" s="1254"/>
      <c r="H629" s="1254"/>
      <c r="I629" s="1254"/>
      <c r="J629" s="1254"/>
      <c r="K629" s="1254"/>
      <c r="L629" s="1254"/>
      <c r="M629" s="1254"/>
      <c r="N629" s="1254"/>
      <c r="O629" s="1254"/>
      <c r="P629" s="1254"/>
      <c r="Q629" s="1254"/>
      <c r="R629" s="1254"/>
      <c r="S629" s="1254"/>
      <c r="T629" s="1254"/>
      <c r="U629" s="1254"/>
      <c r="V629" s="1254"/>
      <c r="W629" s="1254"/>
      <c r="X629" s="1254"/>
      <c r="Y629" s="1254"/>
    </row>
    <row r="630">
      <c r="A630" s="1254"/>
      <c r="B630" s="1263"/>
      <c r="C630" s="1263"/>
      <c r="D630" s="1317"/>
      <c r="E630" s="1318"/>
      <c r="F630" s="1254"/>
      <c r="G630" s="1254"/>
      <c r="H630" s="1254"/>
      <c r="I630" s="1254"/>
      <c r="J630" s="1254"/>
      <c r="K630" s="1254"/>
      <c r="L630" s="1254"/>
      <c r="M630" s="1254"/>
      <c r="N630" s="1254"/>
      <c r="O630" s="1254"/>
      <c r="P630" s="1254"/>
      <c r="Q630" s="1254"/>
      <c r="R630" s="1254"/>
      <c r="S630" s="1254"/>
      <c r="T630" s="1254"/>
      <c r="U630" s="1254"/>
      <c r="V630" s="1254"/>
      <c r="W630" s="1254"/>
      <c r="X630" s="1254"/>
      <c r="Y630" s="1254"/>
    </row>
    <row r="631">
      <c r="A631" s="1254"/>
      <c r="B631" s="1263"/>
      <c r="C631" s="1263"/>
      <c r="D631" s="1317"/>
      <c r="E631" s="1318"/>
      <c r="F631" s="1254"/>
      <c r="G631" s="1254"/>
      <c r="H631" s="1254"/>
      <c r="I631" s="1254"/>
      <c r="J631" s="1254"/>
      <c r="K631" s="1254"/>
      <c r="L631" s="1254"/>
      <c r="M631" s="1254"/>
      <c r="N631" s="1254"/>
      <c r="O631" s="1254"/>
      <c r="P631" s="1254"/>
      <c r="Q631" s="1254"/>
      <c r="R631" s="1254"/>
      <c r="S631" s="1254"/>
      <c r="T631" s="1254"/>
      <c r="U631" s="1254"/>
      <c r="V631" s="1254"/>
      <c r="W631" s="1254"/>
      <c r="X631" s="1254"/>
      <c r="Y631" s="1254"/>
    </row>
    <row r="632">
      <c r="A632" s="1254"/>
      <c r="B632" s="1263"/>
      <c r="C632" s="1263"/>
      <c r="D632" s="1317"/>
      <c r="E632" s="1318"/>
      <c r="F632" s="1254"/>
      <c r="G632" s="1254"/>
      <c r="H632" s="1254"/>
      <c r="I632" s="1254"/>
      <c r="J632" s="1254"/>
      <c r="K632" s="1254"/>
      <c r="L632" s="1254"/>
      <c r="M632" s="1254"/>
      <c r="N632" s="1254"/>
      <c r="O632" s="1254"/>
      <c r="P632" s="1254"/>
      <c r="Q632" s="1254"/>
      <c r="R632" s="1254"/>
      <c r="S632" s="1254"/>
      <c r="T632" s="1254"/>
      <c r="U632" s="1254"/>
      <c r="V632" s="1254"/>
      <c r="W632" s="1254"/>
      <c r="X632" s="1254"/>
      <c r="Y632" s="1254"/>
    </row>
    <row r="633">
      <c r="A633" s="1254"/>
      <c r="B633" s="1263"/>
      <c r="C633" s="1263"/>
      <c r="D633" s="1317"/>
      <c r="E633" s="1318"/>
      <c r="F633" s="1254"/>
      <c r="G633" s="1254"/>
      <c r="H633" s="1254"/>
      <c r="I633" s="1254"/>
      <c r="J633" s="1254"/>
      <c r="K633" s="1254"/>
      <c r="L633" s="1254"/>
      <c r="M633" s="1254"/>
      <c r="N633" s="1254"/>
      <c r="O633" s="1254"/>
      <c r="P633" s="1254"/>
      <c r="Q633" s="1254"/>
      <c r="R633" s="1254"/>
      <c r="S633" s="1254"/>
      <c r="T633" s="1254"/>
      <c r="U633" s="1254"/>
      <c r="V633" s="1254"/>
      <c r="W633" s="1254"/>
      <c r="X633" s="1254"/>
      <c r="Y633" s="1254"/>
    </row>
    <row r="634">
      <c r="A634" s="1254"/>
      <c r="B634" s="1263"/>
      <c r="C634" s="1263"/>
      <c r="D634" s="1317"/>
      <c r="E634" s="1318"/>
      <c r="F634" s="1254"/>
      <c r="G634" s="1254"/>
      <c r="H634" s="1254"/>
      <c r="I634" s="1254"/>
      <c r="J634" s="1254"/>
      <c r="K634" s="1254"/>
      <c r="L634" s="1254"/>
      <c r="M634" s="1254"/>
      <c r="N634" s="1254"/>
      <c r="O634" s="1254"/>
      <c r="P634" s="1254"/>
      <c r="Q634" s="1254"/>
      <c r="R634" s="1254"/>
      <c r="S634" s="1254"/>
      <c r="T634" s="1254"/>
      <c r="U634" s="1254"/>
      <c r="V634" s="1254"/>
      <c r="W634" s="1254"/>
      <c r="X634" s="1254"/>
      <c r="Y634" s="1254"/>
    </row>
    <row r="635">
      <c r="A635" s="1254"/>
      <c r="B635" s="1263"/>
      <c r="C635" s="1263"/>
      <c r="D635" s="1317"/>
      <c r="E635" s="1318"/>
      <c r="F635" s="1254"/>
      <c r="G635" s="1254"/>
      <c r="H635" s="1254"/>
      <c r="I635" s="1254"/>
      <c r="J635" s="1254"/>
      <c r="K635" s="1254"/>
      <c r="L635" s="1254"/>
      <c r="M635" s="1254"/>
      <c r="N635" s="1254"/>
      <c r="O635" s="1254"/>
      <c r="P635" s="1254"/>
      <c r="Q635" s="1254"/>
      <c r="R635" s="1254"/>
      <c r="S635" s="1254"/>
      <c r="T635" s="1254"/>
      <c r="U635" s="1254"/>
      <c r="V635" s="1254"/>
      <c r="W635" s="1254"/>
      <c r="X635" s="1254"/>
      <c r="Y635" s="1254"/>
    </row>
    <row r="636">
      <c r="A636" s="1254"/>
      <c r="B636" s="1263"/>
      <c r="C636" s="1263"/>
      <c r="D636" s="1317"/>
      <c r="E636" s="1318"/>
      <c r="F636" s="1254"/>
      <c r="G636" s="1254"/>
      <c r="H636" s="1254"/>
      <c r="I636" s="1254"/>
      <c r="J636" s="1254"/>
      <c r="K636" s="1254"/>
      <c r="L636" s="1254"/>
      <c r="M636" s="1254"/>
      <c r="N636" s="1254"/>
      <c r="O636" s="1254"/>
      <c r="P636" s="1254"/>
      <c r="Q636" s="1254"/>
      <c r="R636" s="1254"/>
      <c r="S636" s="1254"/>
      <c r="T636" s="1254"/>
      <c r="U636" s="1254"/>
      <c r="V636" s="1254"/>
      <c r="W636" s="1254"/>
      <c r="X636" s="1254"/>
      <c r="Y636" s="1254"/>
    </row>
    <row r="637">
      <c r="A637" s="1254"/>
      <c r="B637" s="1263"/>
      <c r="C637" s="1263"/>
      <c r="D637" s="1317"/>
      <c r="E637" s="1318"/>
      <c r="F637" s="1254"/>
      <c r="G637" s="1254"/>
      <c r="H637" s="1254"/>
      <c r="I637" s="1254"/>
      <c r="J637" s="1254"/>
      <c r="K637" s="1254"/>
      <c r="L637" s="1254"/>
      <c r="M637" s="1254"/>
      <c r="N637" s="1254"/>
      <c r="O637" s="1254"/>
      <c r="P637" s="1254"/>
      <c r="Q637" s="1254"/>
      <c r="R637" s="1254"/>
      <c r="S637" s="1254"/>
      <c r="T637" s="1254"/>
      <c r="U637" s="1254"/>
      <c r="V637" s="1254"/>
      <c r="W637" s="1254"/>
      <c r="X637" s="1254"/>
      <c r="Y637" s="1254"/>
    </row>
    <row r="638">
      <c r="A638" s="1254"/>
      <c r="B638" s="1263"/>
      <c r="C638" s="1263"/>
      <c r="D638" s="1317"/>
      <c r="E638" s="1318"/>
      <c r="F638" s="1254"/>
      <c r="G638" s="1254"/>
      <c r="H638" s="1254"/>
      <c r="I638" s="1254"/>
      <c r="J638" s="1254"/>
      <c r="K638" s="1254"/>
      <c r="L638" s="1254"/>
      <c r="M638" s="1254"/>
      <c r="N638" s="1254"/>
      <c r="O638" s="1254"/>
      <c r="P638" s="1254"/>
      <c r="Q638" s="1254"/>
      <c r="R638" s="1254"/>
      <c r="S638" s="1254"/>
      <c r="T638" s="1254"/>
      <c r="U638" s="1254"/>
      <c r="V638" s="1254"/>
      <c r="W638" s="1254"/>
      <c r="X638" s="1254"/>
      <c r="Y638" s="1254"/>
    </row>
    <row r="639">
      <c r="A639" s="1254"/>
      <c r="B639" s="1263"/>
      <c r="C639" s="1263"/>
      <c r="D639" s="1317"/>
      <c r="E639" s="1318"/>
      <c r="F639" s="1254"/>
      <c r="G639" s="1254"/>
      <c r="H639" s="1254"/>
      <c r="I639" s="1254"/>
      <c r="J639" s="1254"/>
      <c r="K639" s="1254"/>
      <c r="L639" s="1254"/>
      <c r="M639" s="1254"/>
      <c r="N639" s="1254"/>
      <c r="O639" s="1254"/>
      <c r="P639" s="1254"/>
      <c r="Q639" s="1254"/>
      <c r="R639" s="1254"/>
      <c r="S639" s="1254"/>
      <c r="T639" s="1254"/>
      <c r="U639" s="1254"/>
      <c r="V639" s="1254"/>
      <c r="W639" s="1254"/>
      <c r="X639" s="1254"/>
      <c r="Y639" s="1254"/>
    </row>
    <row r="640">
      <c r="A640" s="1254"/>
      <c r="B640" s="1263"/>
      <c r="C640" s="1263"/>
      <c r="D640" s="1317"/>
      <c r="E640" s="1318"/>
      <c r="F640" s="1254"/>
      <c r="G640" s="1254"/>
      <c r="H640" s="1254"/>
      <c r="I640" s="1254"/>
      <c r="J640" s="1254"/>
      <c r="K640" s="1254"/>
      <c r="L640" s="1254"/>
      <c r="M640" s="1254"/>
      <c r="N640" s="1254"/>
      <c r="O640" s="1254"/>
      <c r="P640" s="1254"/>
      <c r="Q640" s="1254"/>
      <c r="R640" s="1254"/>
      <c r="S640" s="1254"/>
      <c r="T640" s="1254"/>
      <c r="U640" s="1254"/>
      <c r="V640" s="1254"/>
      <c r="W640" s="1254"/>
      <c r="X640" s="1254"/>
      <c r="Y640" s="1254"/>
    </row>
    <row r="641">
      <c r="A641" s="1254"/>
      <c r="B641" s="1263"/>
      <c r="C641" s="1263"/>
      <c r="D641" s="1317"/>
      <c r="E641" s="1318"/>
      <c r="F641" s="1254"/>
      <c r="G641" s="1254"/>
      <c r="H641" s="1254"/>
      <c r="I641" s="1254"/>
      <c r="J641" s="1254"/>
      <c r="K641" s="1254"/>
      <c r="L641" s="1254"/>
      <c r="M641" s="1254"/>
      <c r="N641" s="1254"/>
      <c r="O641" s="1254"/>
      <c r="P641" s="1254"/>
      <c r="Q641" s="1254"/>
      <c r="R641" s="1254"/>
      <c r="S641" s="1254"/>
      <c r="T641" s="1254"/>
      <c r="U641" s="1254"/>
      <c r="V641" s="1254"/>
      <c r="W641" s="1254"/>
      <c r="X641" s="1254"/>
      <c r="Y641" s="1254"/>
    </row>
    <row r="642">
      <c r="A642" s="1254"/>
      <c r="B642" s="1263"/>
      <c r="C642" s="1263"/>
      <c r="D642" s="1317"/>
      <c r="E642" s="1318"/>
      <c r="F642" s="1254"/>
      <c r="G642" s="1254"/>
      <c r="H642" s="1254"/>
      <c r="I642" s="1254"/>
      <c r="J642" s="1254"/>
      <c r="K642" s="1254"/>
      <c r="L642" s="1254"/>
      <c r="M642" s="1254"/>
      <c r="N642" s="1254"/>
      <c r="O642" s="1254"/>
      <c r="P642" s="1254"/>
      <c r="Q642" s="1254"/>
      <c r="R642" s="1254"/>
      <c r="S642" s="1254"/>
      <c r="T642" s="1254"/>
      <c r="U642" s="1254"/>
      <c r="V642" s="1254"/>
      <c r="W642" s="1254"/>
      <c r="X642" s="1254"/>
      <c r="Y642" s="1254"/>
    </row>
    <row r="643">
      <c r="A643" s="1254"/>
      <c r="B643" s="1263"/>
      <c r="C643" s="1263"/>
      <c r="D643" s="1317"/>
      <c r="E643" s="1318"/>
      <c r="F643" s="1254"/>
      <c r="G643" s="1254"/>
      <c r="H643" s="1254"/>
      <c r="I643" s="1254"/>
      <c r="J643" s="1254"/>
      <c r="K643" s="1254"/>
      <c r="L643" s="1254"/>
      <c r="M643" s="1254"/>
      <c r="N643" s="1254"/>
      <c r="O643" s="1254"/>
      <c r="P643" s="1254"/>
      <c r="Q643" s="1254"/>
      <c r="R643" s="1254"/>
      <c r="S643" s="1254"/>
      <c r="T643" s="1254"/>
      <c r="U643" s="1254"/>
      <c r="V643" s="1254"/>
      <c r="W643" s="1254"/>
      <c r="X643" s="1254"/>
      <c r="Y643" s="1254"/>
    </row>
    <row r="644">
      <c r="A644" s="1254"/>
      <c r="B644" s="1263"/>
      <c r="C644" s="1263"/>
      <c r="D644" s="1317"/>
      <c r="E644" s="1318"/>
      <c r="F644" s="1254"/>
      <c r="G644" s="1254"/>
      <c r="H644" s="1254"/>
      <c r="I644" s="1254"/>
      <c r="J644" s="1254"/>
      <c r="K644" s="1254"/>
      <c r="L644" s="1254"/>
      <c r="M644" s="1254"/>
      <c r="N644" s="1254"/>
      <c r="O644" s="1254"/>
      <c r="P644" s="1254"/>
      <c r="Q644" s="1254"/>
      <c r="R644" s="1254"/>
      <c r="S644" s="1254"/>
      <c r="T644" s="1254"/>
      <c r="U644" s="1254"/>
      <c r="V644" s="1254"/>
      <c r="W644" s="1254"/>
      <c r="X644" s="1254"/>
      <c r="Y644" s="1254"/>
    </row>
    <row r="645">
      <c r="A645" s="1254"/>
      <c r="B645" s="1263"/>
      <c r="C645" s="1263"/>
      <c r="D645" s="1317"/>
      <c r="E645" s="1318"/>
      <c r="F645" s="1254"/>
      <c r="G645" s="1254"/>
      <c r="H645" s="1254"/>
      <c r="I645" s="1254"/>
      <c r="J645" s="1254"/>
      <c r="K645" s="1254"/>
      <c r="L645" s="1254"/>
      <c r="M645" s="1254"/>
      <c r="N645" s="1254"/>
      <c r="O645" s="1254"/>
      <c r="P645" s="1254"/>
      <c r="Q645" s="1254"/>
      <c r="R645" s="1254"/>
      <c r="S645" s="1254"/>
      <c r="T645" s="1254"/>
      <c r="U645" s="1254"/>
      <c r="V645" s="1254"/>
      <c r="W645" s="1254"/>
      <c r="X645" s="1254"/>
      <c r="Y645" s="1254"/>
    </row>
    <row r="646">
      <c r="A646" s="1254"/>
      <c r="B646" s="1263"/>
      <c r="C646" s="1263"/>
      <c r="D646" s="1317"/>
      <c r="E646" s="1318"/>
      <c r="F646" s="1254"/>
      <c r="G646" s="1254"/>
      <c r="H646" s="1254"/>
      <c r="I646" s="1254"/>
      <c r="J646" s="1254"/>
      <c r="K646" s="1254"/>
      <c r="L646" s="1254"/>
      <c r="M646" s="1254"/>
      <c r="N646" s="1254"/>
      <c r="O646" s="1254"/>
      <c r="P646" s="1254"/>
      <c r="Q646" s="1254"/>
      <c r="R646" s="1254"/>
      <c r="S646" s="1254"/>
      <c r="T646" s="1254"/>
      <c r="U646" s="1254"/>
      <c r="V646" s="1254"/>
      <c r="W646" s="1254"/>
      <c r="X646" s="1254"/>
      <c r="Y646" s="1254"/>
    </row>
    <row r="647">
      <c r="A647" s="1254"/>
      <c r="B647" s="1263"/>
      <c r="C647" s="1263"/>
      <c r="D647" s="1317"/>
      <c r="E647" s="1318"/>
      <c r="F647" s="1254"/>
      <c r="G647" s="1254"/>
      <c r="H647" s="1254"/>
      <c r="I647" s="1254"/>
      <c r="J647" s="1254"/>
      <c r="K647" s="1254"/>
      <c r="L647" s="1254"/>
      <c r="M647" s="1254"/>
      <c r="N647" s="1254"/>
      <c r="O647" s="1254"/>
      <c r="P647" s="1254"/>
      <c r="Q647" s="1254"/>
      <c r="R647" s="1254"/>
      <c r="S647" s="1254"/>
      <c r="T647" s="1254"/>
      <c r="U647" s="1254"/>
      <c r="V647" s="1254"/>
      <c r="W647" s="1254"/>
      <c r="X647" s="1254"/>
      <c r="Y647" s="1254"/>
    </row>
    <row r="648">
      <c r="A648" s="1254"/>
      <c r="B648" s="1263"/>
      <c r="C648" s="1263"/>
      <c r="D648" s="1317"/>
      <c r="E648" s="1318"/>
      <c r="F648" s="1254"/>
      <c r="G648" s="1254"/>
      <c r="H648" s="1254"/>
      <c r="I648" s="1254"/>
      <c r="J648" s="1254"/>
      <c r="K648" s="1254"/>
      <c r="L648" s="1254"/>
      <c r="M648" s="1254"/>
      <c r="N648" s="1254"/>
      <c r="O648" s="1254"/>
      <c r="P648" s="1254"/>
      <c r="Q648" s="1254"/>
      <c r="R648" s="1254"/>
      <c r="S648" s="1254"/>
      <c r="T648" s="1254"/>
      <c r="U648" s="1254"/>
      <c r="V648" s="1254"/>
      <c r="W648" s="1254"/>
      <c r="X648" s="1254"/>
      <c r="Y648" s="1254"/>
    </row>
    <row r="649">
      <c r="A649" s="1254"/>
      <c r="B649" s="1263"/>
      <c r="C649" s="1263"/>
      <c r="D649" s="1317"/>
      <c r="E649" s="1318"/>
      <c r="F649" s="1254"/>
      <c r="G649" s="1254"/>
      <c r="H649" s="1254"/>
      <c r="I649" s="1254"/>
      <c r="J649" s="1254"/>
      <c r="K649" s="1254"/>
      <c r="L649" s="1254"/>
      <c r="M649" s="1254"/>
      <c r="N649" s="1254"/>
      <c r="O649" s="1254"/>
      <c r="P649" s="1254"/>
      <c r="Q649" s="1254"/>
      <c r="R649" s="1254"/>
      <c r="S649" s="1254"/>
      <c r="T649" s="1254"/>
      <c r="U649" s="1254"/>
      <c r="V649" s="1254"/>
      <c r="W649" s="1254"/>
      <c r="X649" s="1254"/>
      <c r="Y649" s="1254"/>
    </row>
    <row r="650">
      <c r="A650" s="1254"/>
      <c r="B650" s="1263"/>
      <c r="C650" s="1263"/>
      <c r="D650" s="1317"/>
      <c r="E650" s="1318"/>
      <c r="F650" s="1254"/>
      <c r="G650" s="1254"/>
      <c r="H650" s="1254"/>
      <c r="I650" s="1254"/>
      <c r="J650" s="1254"/>
      <c r="K650" s="1254"/>
      <c r="L650" s="1254"/>
      <c r="M650" s="1254"/>
      <c r="N650" s="1254"/>
      <c r="O650" s="1254"/>
      <c r="P650" s="1254"/>
      <c r="Q650" s="1254"/>
      <c r="R650" s="1254"/>
      <c r="S650" s="1254"/>
      <c r="T650" s="1254"/>
      <c r="U650" s="1254"/>
      <c r="V650" s="1254"/>
      <c r="W650" s="1254"/>
      <c r="X650" s="1254"/>
      <c r="Y650" s="1254"/>
    </row>
    <row r="651">
      <c r="A651" s="1254"/>
      <c r="B651" s="1263"/>
      <c r="C651" s="1263"/>
      <c r="D651" s="1317"/>
      <c r="E651" s="1318"/>
      <c r="F651" s="1254"/>
      <c r="G651" s="1254"/>
      <c r="H651" s="1254"/>
      <c r="I651" s="1254"/>
      <c r="J651" s="1254"/>
      <c r="K651" s="1254"/>
      <c r="L651" s="1254"/>
      <c r="M651" s="1254"/>
      <c r="N651" s="1254"/>
      <c r="O651" s="1254"/>
      <c r="P651" s="1254"/>
      <c r="Q651" s="1254"/>
      <c r="R651" s="1254"/>
      <c r="S651" s="1254"/>
      <c r="T651" s="1254"/>
      <c r="U651" s="1254"/>
      <c r="V651" s="1254"/>
      <c r="W651" s="1254"/>
      <c r="X651" s="1254"/>
      <c r="Y651" s="1254"/>
    </row>
    <row r="652">
      <c r="A652" s="1254"/>
      <c r="B652" s="1263"/>
      <c r="C652" s="1263"/>
      <c r="D652" s="1317"/>
      <c r="E652" s="1318"/>
      <c r="F652" s="1254"/>
      <c r="G652" s="1254"/>
      <c r="H652" s="1254"/>
      <c r="I652" s="1254"/>
      <c r="J652" s="1254"/>
      <c r="K652" s="1254"/>
      <c r="L652" s="1254"/>
      <c r="M652" s="1254"/>
      <c r="N652" s="1254"/>
      <c r="O652" s="1254"/>
      <c r="P652" s="1254"/>
      <c r="Q652" s="1254"/>
      <c r="R652" s="1254"/>
      <c r="S652" s="1254"/>
      <c r="T652" s="1254"/>
      <c r="U652" s="1254"/>
      <c r="V652" s="1254"/>
      <c r="W652" s="1254"/>
      <c r="X652" s="1254"/>
      <c r="Y652" s="1254"/>
    </row>
    <row r="653">
      <c r="A653" s="1254"/>
      <c r="B653" s="1263"/>
      <c r="C653" s="1263"/>
      <c r="D653" s="1317"/>
      <c r="E653" s="1318"/>
      <c r="F653" s="1254"/>
      <c r="G653" s="1254"/>
      <c r="H653" s="1254"/>
      <c r="I653" s="1254"/>
      <c r="J653" s="1254"/>
      <c r="K653" s="1254"/>
      <c r="L653" s="1254"/>
      <c r="M653" s="1254"/>
      <c r="N653" s="1254"/>
      <c r="O653" s="1254"/>
      <c r="P653" s="1254"/>
      <c r="Q653" s="1254"/>
      <c r="R653" s="1254"/>
      <c r="S653" s="1254"/>
      <c r="T653" s="1254"/>
      <c r="U653" s="1254"/>
      <c r="V653" s="1254"/>
      <c r="W653" s="1254"/>
      <c r="X653" s="1254"/>
      <c r="Y653" s="1254"/>
    </row>
    <row r="654">
      <c r="A654" s="1254"/>
      <c r="B654" s="1263"/>
      <c r="C654" s="1263"/>
      <c r="D654" s="1317"/>
      <c r="E654" s="1318"/>
      <c r="F654" s="1254"/>
      <c r="G654" s="1254"/>
      <c r="H654" s="1254"/>
      <c r="I654" s="1254"/>
      <c r="J654" s="1254"/>
      <c r="K654" s="1254"/>
      <c r="L654" s="1254"/>
      <c r="M654" s="1254"/>
      <c r="N654" s="1254"/>
      <c r="O654" s="1254"/>
      <c r="P654" s="1254"/>
      <c r="Q654" s="1254"/>
      <c r="R654" s="1254"/>
      <c r="S654" s="1254"/>
      <c r="T654" s="1254"/>
      <c r="U654" s="1254"/>
      <c r="V654" s="1254"/>
      <c r="W654" s="1254"/>
      <c r="X654" s="1254"/>
      <c r="Y654" s="1254"/>
    </row>
    <row r="655">
      <c r="A655" s="1254"/>
      <c r="B655" s="1263"/>
      <c r="C655" s="1263"/>
      <c r="D655" s="1317"/>
      <c r="E655" s="1318"/>
      <c r="F655" s="1254"/>
      <c r="G655" s="1254"/>
      <c r="H655" s="1254"/>
      <c r="I655" s="1254"/>
      <c r="J655" s="1254"/>
      <c r="K655" s="1254"/>
      <c r="L655" s="1254"/>
      <c r="M655" s="1254"/>
      <c r="N655" s="1254"/>
      <c r="O655" s="1254"/>
      <c r="P655" s="1254"/>
      <c r="Q655" s="1254"/>
      <c r="R655" s="1254"/>
      <c r="S655" s="1254"/>
      <c r="T655" s="1254"/>
      <c r="U655" s="1254"/>
      <c r="V655" s="1254"/>
      <c r="W655" s="1254"/>
      <c r="X655" s="1254"/>
      <c r="Y655" s="1254"/>
    </row>
    <row r="656">
      <c r="A656" s="1254"/>
      <c r="B656" s="1263"/>
      <c r="C656" s="1263"/>
      <c r="D656" s="1317"/>
      <c r="E656" s="1318"/>
      <c r="F656" s="1254"/>
      <c r="G656" s="1254"/>
      <c r="H656" s="1254"/>
      <c r="I656" s="1254"/>
      <c r="J656" s="1254"/>
      <c r="K656" s="1254"/>
      <c r="L656" s="1254"/>
      <c r="M656" s="1254"/>
      <c r="N656" s="1254"/>
      <c r="O656" s="1254"/>
      <c r="P656" s="1254"/>
      <c r="Q656" s="1254"/>
      <c r="R656" s="1254"/>
      <c r="S656" s="1254"/>
      <c r="T656" s="1254"/>
      <c r="U656" s="1254"/>
      <c r="V656" s="1254"/>
      <c r="W656" s="1254"/>
      <c r="X656" s="1254"/>
      <c r="Y656" s="1254"/>
    </row>
    <row r="657">
      <c r="A657" s="1254"/>
      <c r="B657" s="1263"/>
      <c r="C657" s="1263"/>
      <c r="D657" s="1317"/>
      <c r="E657" s="1318"/>
      <c r="F657" s="1254"/>
      <c r="G657" s="1254"/>
      <c r="H657" s="1254"/>
      <c r="I657" s="1254"/>
      <c r="J657" s="1254"/>
      <c r="K657" s="1254"/>
      <c r="L657" s="1254"/>
      <c r="M657" s="1254"/>
      <c r="N657" s="1254"/>
      <c r="O657" s="1254"/>
      <c r="P657" s="1254"/>
      <c r="Q657" s="1254"/>
      <c r="R657" s="1254"/>
      <c r="S657" s="1254"/>
      <c r="T657" s="1254"/>
      <c r="U657" s="1254"/>
      <c r="V657" s="1254"/>
      <c r="W657" s="1254"/>
      <c r="X657" s="1254"/>
      <c r="Y657" s="1254"/>
    </row>
    <row r="658">
      <c r="A658" s="1254"/>
      <c r="B658" s="1263"/>
      <c r="C658" s="1263"/>
      <c r="D658" s="1317"/>
      <c r="E658" s="1318"/>
      <c r="F658" s="1254"/>
      <c r="G658" s="1254"/>
      <c r="H658" s="1254"/>
      <c r="I658" s="1254"/>
      <c r="J658" s="1254"/>
      <c r="K658" s="1254"/>
      <c r="L658" s="1254"/>
      <c r="M658" s="1254"/>
      <c r="N658" s="1254"/>
      <c r="O658" s="1254"/>
      <c r="P658" s="1254"/>
      <c r="Q658" s="1254"/>
      <c r="R658" s="1254"/>
      <c r="S658" s="1254"/>
      <c r="T658" s="1254"/>
      <c r="U658" s="1254"/>
      <c r="V658" s="1254"/>
      <c r="W658" s="1254"/>
      <c r="X658" s="1254"/>
      <c r="Y658" s="1254"/>
    </row>
    <row r="659">
      <c r="A659" s="1254"/>
      <c r="B659" s="1263"/>
      <c r="C659" s="1263"/>
      <c r="D659" s="1317"/>
      <c r="E659" s="1318"/>
      <c r="F659" s="1254"/>
      <c r="G659" s="1254"/>
      <c r="H659" s="1254"/>
      <c r="I659" s="1254"/>
      <c r="J659" s="1254"/>
      <c r="K659" s="1254"/>
      <c r="L659" s="1254"/>
      <c r="M659" s="1254"/>
      <c r="N659" s="1254"/>
      <c r="O659" s="1254"/>
      <c r="P659" s="1254"/>
      <c r="Q659" s="1254"/>
      <c r="R659" s="1254"/>
      <c r="S659" s="1254"/>
      <c r="T659" s="1254"/>
      <c r="U659" s="1254"/>
      <c r="V659" s="1254"/>
      <c r="W659" s="1254"/>
      <c r="X659" s="1254"/>
      <c r="Y659" s="1254"/>
    </row>
    <row r="660">
      <c r="A660" s="1254"/>
      <c r="B660" s="1263"/>
      <c r="C660" s="1263"/>
      <c r="D660" s="1317"/>
      <c r="E660" s="1318"/>
      <c r="F660" s="1254"/>
      <c r="G660" s="1254"/>
      <c r="H660" s="1254"/>
      <c r="I660" s="1254"/>
      <c r="J660" s="1254"/>
      <c r="K660" s="1254"/>
      <c r="L660" s="1254"/>
      <c r="M660" s="1254"/>
      <c r="N660" s="1254"/>
      <c r="O660" s="1254"/>
      <c r="P660" s="1254"/>
      <c r="Q660" s="1254"/>
      <c r="R660" s="1254"/>
      <c r="S660" s="1254"/>
      <c r="T660" s="1254"/>
      <c r="U660" s="1254"/>
      <c r="V660" s="1254"/>
      <c r="W660" s="1254"/>
      <c r="X660" s="1254"/>
      <c r="Y660" s="1254"/>
    </row>
    <row r="661">
      <c r="A661" s="1254"/>
      <c r="B661" s="1263"/>
      <c r="C661" s="1263"/>
      <c r="D661" s="1317"/>
      <c r="E661" s="1318"/>
      <c r="F661" s="1254"/>
      <c r="G661" s="1254"/>
      <c r="H661" s="1254"/>
      <c r="I661" s="1254"/>
      <c r="J661" s="1254"/>
      <c r="K661" s="1254"/>
      <c r="L661" s="1254"/>
      <c r="M661" s="1254"/>
      <c r="N661" s="1254"/>
      <c r="O661" s="1254"/>
      <c r="P661" s="1254"/>
      <c r="Q661" s="1254"/>
      <c r="R661" s="1254"/>
      <c r="S661" s="1254"/>
      <c r="T661" s="1254"/>
      <c r="U661" s="1254"/>
      <c r="V661" s="1254"/>
      <c r="W661" s="1254"/>
      <c r="X661" s="1254"/>
      <c r="Y661" s="1254"/>
    </row>
    <row r="662">
      <c r="A662" s="1254"/>
      <c r="B662" s="1263"/>
      <c r="C662" s="1263"/>
      <c r="D662" s="1317"/>
      <c r="E662" s="1318"/>
      <c r="F662" s="1254"/>
      <c r="G662" s="1254"/>
      <c r="H662" s="1254"/>
      <c r="I662" s="1254"/>
      <c r="J662" s="1254"/>
      <c r="K662" s="1254"/>
      <c r="L662" s="1254"/>
      <c r="M662" s="1254"/>
      <c r="N662" s="1254"/>
      <c r="O662" s="1254"/>
      <c r="P662" s="1254"/>
      <c r="Q662" s="1254"/>
      <c r="R662" s="1254"/>
      <c r="S662" s="1254"/>
      <c r="T662" s="1254"/>
      <c r="U662" s="1254"/>
      <c r="V662" s="1254"/>
      <c r="W662" s="1254"/>
      <c r="X662" s="1254"/>
      <c r="Y662" s="1254"/>
    </row>
    <row r="663">
      <c r="A663" s="1254"/>
      <c r="B663" s="1263"/>
      <c r="C663" s="1263"/>
      <c r="D663" s="1317"/>
      <c r="E663" s="1318"/>
      <c r="F663" s="1254"/>
      <c r="G663" s="1254"/>
      <c r="H663" s="1254"/>
      <c r="I663" s="1254"/>
      <c r="J663" s="1254"/>
      <c r="K663" s="1254"/>
      <c r="L663" s="1254"/>
      <c r="M663" s="1254"/>
      <c r="N663" s="1254"/>
      <c r="O663" s="1254"/>
      <c r="P663" s="1254"/>
      <c r="Q663" s="1254"/>
      <c r="R663" s="1254"/>
      <c r="S663" s="1254"/>
      <c r="T663" s="1254"/>
      <c r="U663" s="1254"/>
      <c r="V663" s="1254"/>
      <c r="W663" s="1254"/>
      <c r="X663" s="1254"/>
      <c r="Y663" s="1254"/>
    </row>
    <row r="664">
      <c r="A664" s="1254"/>
      <c r="B664" s="1263"/>
      <c r="C664" s="1263"/>
      <c r="D664" s="1317"/>
      <c r="E664" s="1318"/>
      <c r="F664" s="1254"/>
      <c r="G664" s="1254"/>
      <c r="H664" s="1254"/>
      <c r="I664" s="1254"/>
      <c r="J664" s="1254"/>
      <c r="K664" s="1254"/>
      <c r="L664" s="1254"/>
      <c r="M664" s="1254"/>
      <c r="N664" s="1254"/>
      <c r="O664" s="1254"/>
      <c r="P664" s="1254"/>
      <c r="Q664" s="1254"/>
      <c r="R664" s="1254"/>
      <c r="S664" s="1254"/>
      <c r="T664" s="1254"/>
      <c r="U664" s="1254"/>
      <c r="V664" s="1254"/>
      <c r="W664" s="1254"/>
      <c r="X664" s="1254"/>
      <c r="Y664" s="1254"/>
    </row>
    <row r="665">
      <c r="A665" s="1254"/>
      <c r="B665" s="1263"/>
      <c r="C665" s="1263"/>
      <c r="D665" s="1317"/>
      <c r="E665" s="1318"/>
      <c r="F665" s="1254"/>
      <c r="G665" s="1254"/>
      <c r="H665" s="1254"/>
      <c r="I665" s="1254"/>
      <c r="J665" s="1254"/>
      <c r="K665" s="1254"/>
      <c r="L665" s="1254"/>
      <c r="M665" s="1254"/>
      <c r="N665" s="1254"/>
      <c r="O665" s="1254"/>
      <c r="P665" s="1254"/>
      <c r="Q665" s="1254"/>
      <c r="R665" s="1254"/>
      <c r="S665" s="1254"/>
      <c r="T665" s="1254"/>
      <c r="U665" s="1254"/>
      <c r="V665" s="1254"/>
      <c r="W665" s="1254"/>
      <c r="X665" s="1254"/>
      <c r="Y665" s="1254"/>
    </row>
    <row r="666">
      <c r="A666" s="1254"/>
      <c r="B666" s="1263"/>
      <c r="C666" s="1263"/>
      <c r="D666" s="1317"/>
      <c r="E666" s="1318"/>
      <c r="F666" s="1254"/>
      <c r="G666" s="1254"/>
      <c r="H666" s="1254"/>
      <c r="I666" s="1254"/>
      <c r="J666" s="1254"/>
      <c r="K666" s="1254"/>
      <c r="L666" s="1254"/>
      <c r="M666" s="1254"/>
      <c r="N666" s="1254"/>
      <c r="O666" s="1254"/>
      <c r="P666" s="1254"/>
      <c r="Q666" s="1254"/>
      <c r="R666" s="1254"/>
      <c r="S666" s="1254"/>
      <c r="T666" s="1254"/>
      <c r="U666" s="1254"/>
      <c r="V666" s="1254"/>
      <c r="W666" s="1254"/>
      <c r="X666" s="1254"/>
      <c r="Y666" s="1254"/>
    </row>
    <row r="667">
      <c r="A667" s="1254"/>
      <c r="B667" s="1263"/>
      <c r="C667" s="1263"/>
      <c r="D667" s="1317"/>
      <c r="E667" s="1318"/>
      <c r="F667" s="1254"/>
      <c r="G667" s="1254"/>
      <c r="H667" s="1254"/>
      <c r="I667" s="1254"/>
      <c r="J667" s="1254"/>
      <c r="K667" s="1254"/>
      <c r="L667" s="1254"/>
      <c r="M667" s="1254"/>
      <c r="N667" s="1254"/>
      <c r="O667" s="1254"/>
      <c r="P667" s="1254"/>
      <c r="Q667" s="1254"/>
      <c r="R667" s="1254"/>
      <c r="S667" s="1254"/>
      <c r="T667" s="1254"/>
      <c r="U667" s="1254"/>
      <c r="V667" s="1254"/>
      <c r="W667" s="1254"/>
      <c r="X667" s="1254"/>
      <c r="Y667" s="1254"/>
    </row>
    <row r="668">
      <c r="A668" s="1254"/>
      <c r="B668" s="1263"/>
      <c r="C668" s="1263"/>
      <c r="D668" s="1317"/>
      <c r="E668" s="1318"/>
      <c r="F668" s="1254"/>
      <c r="G668" s="1254"/>
      <c r="H668" s="1254"/>
      <c r="I668" s="1254"/>
      <c r="J668" s="1254"/>
      <c r="K668" s="1254"/>
      <c r="L668" s="1254"/>
      <c r="M668" s="1254"/>
      <c r="N668" s="1254"/>
      <c r="O668" s="1254"/>
      <c r="P668" s="1254"/>
      <c r="Q668" s="1254"/>
      <c r="R668" s="1254"/>
      <c r="S668" s="1254"/>
      <c r="T668" s="1254"/>
      <c r="U668" s="1254"/>
      <c r="V668" s="1254"/>
      <c r="W668" s="1254"/>
      <c r="X668" s="1254"/>
      <c r="Y668" s="1254"/>
    </row>
    <row r="669">
      <c r="A669" s="1254"/>
      <c r="B669" s="1263"/>
      <c r="C669" s="1263"/>
      <c r="D669" s="1317"/>
      <c r="E669" s="1318"/>
      <c r="F669" s="1254"/>
      <c r="G669" s="1254"/>
      <c r="H669" s="1254"/>
      <c r="I669" s="1254"/>
      <c r="J669" s="1254"/>
      <c r="K669" s="1254"/>
      <c r="L669" s="1254"/>
      <c r="M669" s="1254"/>
      <c r="N669" s="1254"/>
      <c r="O669" s="1254"/>
      <c r="P669" s="1254"/>
      <c r="Q669" s="1254"/>
      <c r="R669" s="1254"/>
      <c r="S669" s="1254"/>
      <c r="T669" s="1254"/>
      <c r="U669" s="1254"/>
      <c r="V669" s="1254"/>
      <c r="W669" s="1254"/>
      <c r="X669" s="1254"/>
      <c r="Y669" s="1254"/>
    </row>
    <row r="670">
      <c r="A670" s="1254"/>
      <c r="B670" s="1263"/>
      <c r="C670" s="1263"/>
      <c r="D670" s="1317"/>
      <c r="E670" s="1318"/>
      <c r="F670" s="1254"/>
      <c r="G670" s="1254"/>
      <c r="H670" s="1254"/>
      <c r="I670" s="1254"/>
      <c r="J670" s="1254"/>
      <c r="K670" s="1254"/>
      <c r="L670" s="1254"/>
      <c r="M670" s="1254"/>
      <c r="N670" s="1254"/>
      <c r="O670" s="1254"/>
      <c r="P670" s="1254"/>
      <c r="Q670" s="1254"/>
      <c r="R670" s="1254"/>
      <c r="S670" s="1254"/>
      <c r="T670" s="1254"/>
      <c r="U670" s="1254"/>
      <c r="V670" s="1254"/>
      <c r="W670" s="1254"/>
      <c r="X670" s="1254"/>
      <c r="Y670" s="1254"/>
    </row>
    <row r="671">
      <c r="A671" s="1254"/>
      <c r="B671" s="1263"/>
      <c r="C671" s="1263"/>
      <c r="D671" s="1317"/>
      <c r="E671" s="1318"/>
      <c r="F671" s="1254"/>
      <c r="G671" s="1254"/>
      <c r="H671" s="1254"/>
      <c r="I671" s="1254"/>
      <c r="J671" s="1254"/>
      <c r="K671" s="1254"/>
      <c r="L671" s="1254"/>
      <c r="M671" s="1254"/>
      <c r="N671" s="1254"/>
      <c r="O671" s="1254"/>
      <c r="P671" s="1254"/>
      <c r="Q671" s="1254"/>
      <c r="R671" s="1254"/>
      <c r="S671" s="1254"/>
      <c r="T671" s="1254"/>
      <c r="U671" s="1254"/>
      <c r="V671" s="1254"/>
      <c r="W671" s="1254"/>
      <c r="X671" s="1254"/>
      <c r="Y671" s="1254"/>
    </row>
    <row r="672">
      <c r="A672" s="1254"/>
      <c r="B672" s="1263"/>
      <c r="C672" s="1263"/>
      <c r="D672" s="1317"/>
      <c r="E672" s="1318"/>
      <c r="F672" s="1254"/>
      <c r="G672" s="1254"/>
      <c r="H672" s="1254"/>
      <c r="I672" s="1254"/>
      <c r="J672" s="1254"/>
      <c r="K672" s="1254"/>
      <c r="L672" s="1254"/>
      <c r="M672" s="1254"/>
      <c r="N672" s="1254"/>
      <c r="O672" s="1254"/>
      <c r="P672" s="1254"/>
      <c r="Q672" s="1254"/>
      <c r="R672" s="1254"/>
      <c r="S672" s="1254"/>
      <c r="T672" s="1254"/>
      <c r="U672" s="1254"/>
      <c r="V672" s="1254"/>
      <c r="W672" s="1254"/>
      <c r="X672" s="1254"/>
      <c r="Y672" s="1254"/>
    </row>
    <row r="673">
      <c r="A673" s="1254"/>
      <c r="B673" s="1263"/>
      <c r="C673" s="1263"/>
      <c r="D673" s="1317"/>
      <c r="E673" s="1318"/>
      <c r="F673" s="1254"/>
      <c r="G673" s="1254"/>
      <c r="H673" s="1254"/>
      <c r="I673" s="1254"/>
      <c r="J673" s="1254"/>
      <c r="K673" s="1254"/>
      <c r="L673" s="1254"/>
      <c r="M673" s="1254"/>
      <c r="N673" s="1254"/>
      <c r="O673" s="1254"/>
      <c r="P673" s="1254"/>
      <c r="Q673" s="1254"/>
      <c r="R673" s="1254"/>
      <c r="S673" s="1254"/>
      <c r="T673" s="1254"/>
      <c r="U673" s="1254"/>
      <c r="V673" s="1254"/>
      <c r="W673" s="1254"/>
      <c r="X673" s="1254"/>
      <c r="Y673" s="1254"/>
    </row>
    <row r="674">
      <c r="A674" s="1254"/>
      <c r="B674" s="1263"/>
      <c r="C674" s="1263"/>
      <c r="D674" s="1317"/>
      <c r="E674" s="1318"/>
      <c r="F674" s="1254"/>
      <c r="G674" s="1254"/>
      <c r="H674" s="1254"/>
      <c r="I674" s="1254"/>
      <c r="J674" s="1254"/>
      <c r="K674" s="1254"/>
      <c r="L674" s="1254"/>
      <c r="M674" s="1254"/>
      <c r="N674" s="1254"/>
      <c r="O674" s="1254"/>
      <c r="P674" s="1254"/>
      <c r="Q674" s="1254"/>
      <c r="R674" s="1254"/>
      <c r="S674" s="1254"/>
      <c r="T674" s="1254"/>
      <c r="U674" s="1254"/>
      <c r="V674" s="1254"/>
      <c r="W674" s="1254"/>
      <c r="X674" s="1254"/>
      <c r="Y674" s="1254"/>
    </row>
    <row r="675">
      <c r="A675" s="1254"/>
      <c r="B675" s="1263"/>
      <c r="C675" s="1263"/>
      <c r="D675" s="1317"/>
      <c r="E675" s="1318"/>
      <c r="F675" s="1254"/>
      <c r="G675" s="1254"/>
      <c r="H675" s="1254"/>
      <c r="I675" s="1254"/>
      <c r="J675" s="1254"/>
      <c r="K675" s="1254"/>
      <c r="L675" s="1254"/>
      <c r="M675" s="1254"/>
      <c r="N675" s="1254"/>
      <c r="O675" s="1254"/>
      <c r="P675" s="1254"/>
      <c r="Q675" s="1254"/>
      <c r="R675" s="1254"/>
      <c r="S675" s="1254"/>
      <c r="T675" s="1254"/>
      <c r="U675" s="1254"/>
      <c r="V675" s="1254"/>
      <c r="W675" s="1254"/>
      <c r="X675" s="1254"/>
      <c r="Y675" s="1254"/>
    </row>
    <row r="676">
      <c r="A676" s="1254"/>
      <c r="B676" s="1263"/>
      <c r="C676" s="1263"/>
      <c r="D676" s="1317"/>
      <c r="E676" s="1318"/>
      <c r="F676" s="1254"/>
      <c r="G676" s="1254"/>
      <c r="H676" s="1254"/>
      <c r="I676" s="1254"/>
      <c r="J676" s="1254"/>
      <c r="K676" s="1254"/>
      <c r="L676" s="1254"/>
      <c r="M676" s="1254"/>
      <c r="N676" s="1254"/>
      <c r="O676" s="1254"/>
      <c r="P676" s="1254"/>
      <c r="Q676" s="1254"/>
      <c r="R676" s="1254"/>
      <c r="S676" s="1254"/>
      <c r="T676" s="1254"/>
      <c r="U676" s="1254"/>
      <c r="V676" s="1254"/>
      <c r="W676" s="1254"/>
      <c r="X676" s="1254"/>
      <c r="Y676" s="1254"/>
    </row>
    <row r="677">
      <c r="A677" s="1254"/>
      <c r="B677" s="1263"/>
      <c r="C677" s="1263"/>
      <c r="D677" s="1317"/>
      <c r="E677" s="1318"/>
      <c r="F677" s="1254"/>
      <c r="G677" s="1254"/>
      <c r="H677" s="1254"/>
      <c r="I677" s="1254"/>
      <c r="J677" s="1254"/>
      <c r="K677" s="1254"/>
      <c r="L677" s="1254"/>
      <c r="M677" s="1254"/>
      <c r="N677" s="1254"/>
      <c r="O677" s="1254"/>
      <c r="P677" s="1254"/>
      <c r="Q677" s="1254"/>
      <c r="R677" s="1254"/>
      <c r="S677" s="1254"/>
      <c r="T677" s="1254"/>
      <c r="U677" s="1254"/>
      <c r="V677" s="1254"/>
      <c r="W677" s="1254"/>
      <c r="X677" s="1254"/>
      <c r="Y677" s="1254"/>
    </row>
    <row r="678">
      <c r="A678" s="1254"/>
      <c r="B678" s="1263"/>
      <c r="C678" s="1263"/>
      <c r="D678" s="1317"/>
      <c r="E678" s="1318"/>
      <c r="F678" s="1254"/>
      <c r="G678" s="1254"/>
      <c r="H678" s="1254"/>
      <c r="I678" s="1254"/>
      <c r="J678" s="1254"/>
      <c r="K678" s="1254"/>
      <c r="L678" s="1254"/>
      <c r="M678" s="1254"/>
      <c r="N678" s="1254"/>
      <c r="O678" s="1254"/>
      <c r="P678" s="1254"/>
      <c r="Q678" s="1254"/>
      <c r="R678" s="1254"/>
      <c r="S678" s="1254"/>
      <c r="T678" s="1254"/>
      <c r="U678" s="1254"/>
      <c r="V678" s="1254"/>
      <c r="W678" s="1254"/>
      <c r="X678" s="1254"/>
      <c r="Y678" s="1254"/>
    </row>
    <row r="679">
      <c r="A679" s="1254"/>
      <c r="B679" s="1263"/>
      <c r="C679" s="1263"/>
      <c r="D679" s="1317"/>
      <c r="E679" s="1318"/>
      <c r="F679" s="1254"/>
      <c r="G679" s="1254"/>
      <c r="H679" s="1254"/>
      <c r="I679" s="1254"/>
      <c r="J679" s="1254"/>
      <c r="K679" s="1254"/>
      <c r="L679" s="1254"/>
      <c r="M679" s="1254"/>
      <c r="N679" s="1254"/>
      <c r="O679" s="1254"/>
      <c r="P679" s="1254"/>
      <c r="Q679" s="1254"/>
      <c r="R679" s="1254"/>
      <c r="S679" s="1254"/>
      <c r="T679" s="1254"/>
      <c r="U679" s="1254"/>
      <c r="V679" s="1254"/>
      <c r="W679" s="1254"/>
      <c r="X679" s="1254"/>
      <c r="Y679" s="1254"/>
    </row>
    <row r="680">
      <c r="A680" s="1254"/>
      <c r="B680" s="1263"/>
      <c r="C680" s="1263"/>
      <c r="D680" s="1317"/>
      <c r="E680" s="1318"/>
      <c r="F680" s="1254"/>
      <c r="G680" s="1254"/>
      <c r="H680" s="1254"/>
      <c r="I680" s="1254"/>
      <c r="J680" s="1254"/>
      <c r="K680" s="1254"/>
      <c r="L680" s="1254"/>
      <c r="M680" s="1254"/>
      <c r="N680" s="1254"/>
      <c r="O680" s="1254"/>
      <c r="P680" s="1254"/>
      <c r="Q680" s="1254"/>
      <c r="R680" s="1254"/>
      <c r="S680" s="1254"/>
      <c r="T680" s="1254"/>
      <c r="U680" s="1254"/>
      <c r="V680" s="1254"/>
      <c r="W680" s="1254"/>
      <c r="X680" s="1254"/>
      <c r="Y680" s="1254"/>
    </row>
    <row r="681">
      <c r="A681" s="1254"/>
      <c r="B681" s="1263"/>
      <c r="C681" s="1263"/>
      <c r="D681" s="1317"/>
      <c r="E681" s="1318"/>
      <c r="F681" s="1254"/>
      <c r="G681" s="1254"/>
      <c r="H681" s="1254"/>
      <c r="I681" s="1254"/>
      <c r="J681" s="1254"/>
      <c r="K681" s="1254"/>
      <c r="L681" s="1254"/>
      <c r="M681" s="1254"/>
      <c r="N681" s="1254"/>
      <c r="O681" s="1254"/>
      <c r="P681" s="1254"/>
      <c r="Q681" s="1254"/>
      <c r="R681" s="1254"/>
      <c r="S681" s="1254"/>
      <c r="T681" s="1254"/>
      <c r="U681" s="1254"/>
      <c r="V681" s="1254"/>
      <c r="W681" s="1254"/>
      <c r="X681" s="1254"/>
      <c r="Y681" s="1254"/>
    </row>
    <row r="682">
      <c r="A682" s="1254"/>
      <c r="B682" s="1263"/>
      <c r="C682" s="1263"/>
      <c r="D682" s="1317"/>
      <c r="E682" s="1318"/>
      <c r="F682" s="1254"/>
      <c r="G682" s="1254"/>
      <c r="H682" s="1254"/>
      <c r="I682" s="1254"/>
      <c r="J682" s="1254"/>
      <c r="K682" s="1254"/>
      <c r="L682" s="1254"/>
      <c r="M682" s="1254"/>
      <c r="N682" s="1254"/>
      <c r="O682" s="1254"/>
      <c r="P682" s="1254"/>
      <c r="Q682" s="1254"/>
      <c r="R682" s="1254"/>
      <c r="S682" s="1254"/>
      <c r="T682" s="1254"/>
      <c r="U682" s="1254"/>
      <c r="V682" s="1254"/>
      <c r="W682" s="1254"/>
      <c r="X682" s="1254"/>
      <c r="Y682" s="1254"/>
    </row>
    <row r="683">
      <c r="A683" s="1254"/>
      <c r="B683" s="1263"/>
      <c r="C683" s="1263"/>
      <c r="D683" s="1317"/>
      <c r="E683" s="1318"/>
      <c r="F683" s="1254"/>
      <c r="G683" s="1254"/>
      <c r="H683" s="1254"/>
      <c r="I683" s="1254"/>
      <c r="J683" s="1254"/>
      <c r="K683" s="1254"/>
      <c r="L683" s="1254"/>
      <c r="M683" s="1254"/>
      <c r="N683" s="1254"/>
      <c r="O683" s="1254"/>
      <c r="P683" s="1254"/>
      <c r="Q683" s="1254"/>
      <c r="R683" s="1254"/>
      <c r="S683" s="1254"/>
      <c r="T683" s="1254"/>
      <c r="U683" s="1254"/>
      <c r="V683" s="1254"/>
      <c r="W683" s="1254"/>
      <c r="X683" s="1254"/>
      <c r="Y683" s="1254"/>
    </row>
    <row r="684">
      <c r="A684" s="1254"/>
      <c r="B684" s="1263"/>
      <c r="C684" s="1263"/>
      <c r="D684" s="1317"/>
      <c r="E684" s="1318"/>
      <c r="F684" s="1254"/>
      <c r="G684" s="1254"/>
      <c r="H684" s="1254"/>
      <c r="I684" s="1254"/>
      <c r="J684" s="1254"/>
      <c r="K684" s="1254"/>
      <c r="L684" s="1254"/>
      <c r="M684" s="1254"/>
      <c r="N684" s="1254"/>
      <c r="O684" s="1254"/>
      <c r="P684" s="1254"/>
      <c r="Q684" s="1254"/>
      <c r="R684" s="1254"/>
      <c r="S684" s="1254"/>
      <c r="T684" s="1254"/>
      <c r="U684" s="1254"/>
      <c r="V684" s="1254"/>
      <c r="W684" s="1254"/>
      <c r="X684" s="1254"/>
      <c r="Y684" s="1254"/>
    </row>
    <row r="685">
      <c r="A685" s="1254"/>
      <c r="B685" s="1263"/>
      <c r="C685" s="1263"/>
      <c r="D685" s="1317"/>
      <c r="E685" s="1318"/>
      <c r="F685" s="1254"/>
      <c r="G685" s="1254"/>
      <c r="H685" s="1254"/>
      <c r="I685" s="1254"/>
      <c r="J685" s="1254"/>
      <c r="K685" s="1254"/>
      <c r="L685" s="1254"/>
      <c r="M685" s="1254"/>
      <c r="N685" s="1254"/>
      <c r="O685" s="1254"/>
      <c r="P685" s="1254"/>
      <c r="Q685" s="1254"/>
      <c r="R685" s="1254"/>
      <c r="S685" s="1254"/>
      <c r="T685" s="1254"/>
      <c r="U685" s="1254"/>
      <c r="V685" s="1254"/>
      <c r="W685" s="1254"/>
      <c r="X685" s="1254"/>
      <c r="Y685" s="1254"/>
    </row>
    <row r="686">
      <c r="A686" s="1254"/>
      <c r="B686" s="1263"/>
      <c r="C686" s="1263"/>
      <c r="D686" s="1317"/>
      <c r="E686" s="1318"/>
      <c r="F686" s="1254"/>
      <c r="G686" s="1254"/>
      <c r="H686" s="1254"/>
      <c r="I686" s="1254"/>
      <c r="J686" s="1254"/>
      <c r="K686" s="1254"/>
      <c r="L686" s="1254"/>
      <c r="M686" s="1254"/>
      <c r="N686" s="1254"/>
      <c r="O686" s="1254"/>
      <c r="P686" s="1254"/>
      <c r="Q686" s="1254"/>
      <c r="R686" s="1254"/>
      <c r="S686" s="1254"/>
      <c r="T686" s="1254"/>
      <c r="U686" s="1254"/>
      <c r="V686" s="1254"/>
      <c r="W686" s="1254"/>
      <c r="X686" s="1254"/>
      <c r="Y686" s="1254"/>
    </row>
    <row r="687">
      <c r="A687" s="1254"/>
      <c r="B687" s="1263"/>
      <c r="C687" s="1263"/>
      <c r="D687" s="1317"/>
      <c r="E687" s="1318"/>
      <c r="F687" s="1254"/>
      <c r="G687" s="1254"/>
      <c r="H687" s="1254"/>
      <c r="I687" s="1254"/>
      <c r="J687" s="1254"/>
      <c r="K687" s="1254"/>
      <c r="L687" s="1254"/>
      <c r="M687" s="1254"/>
      <c r="N687" s="1254"/>
      <c r="O687" s="1254"/>
      <c r="P687" s="1254"/>
      <c r="Q687" s="1254"/>
      <c r="R687" s="1254"/>
      <c r="S687" s="1254"/>
      <c r="T687" s="1254"/>
      <c r="U687" s="1254"/>
      <c r="V687" s="1254"/>
      <c r="W687" s="1254"/>
      <c r="X687" s="1254"/>
      <c r="Y687" s="1254"/>
    </row>
    <row r="688">
      <c r="A688" s="1254"/>
      <c r="B688" s="1263"/>
      <c r="C688" s="1263"/>
      <c r="D688" s="1317"/>
      <c r="E688" s="1318"/>
      <c r="F688" s="1254"/>
      <c r="G688" s="1254"/>
      <c r="H688" s="1254"/>
      <c r="I688" s="1254"/>
      <c r="J688" s="1254"/>
      <c r="K688" s="1254"/>
      <c r="L688" s="1254"/>
      <c r="M688" s="1254"/>
      <c r="N688" s="1254"/>
      <c r="O688" s="1254"/>
      <c r="P688" s="1254"/>
      <c r="Q688" s="1254"/>
      <c r="R688" s="1254"/>
      <c r="S688" s="1254"/>
      <c r="T688" s="1254"/>
      <c r="U688" s="1254"/>
      <c r="V688" s="1254"/>
      <c r="W688" s="1254"/>
      <c r="X688" s="1254"/>
      <c r="Y688" s="1254"/>
    </row>
    <row r="689">
      <c r="A689" s="1254"/>
      <c r="B689" s="1263"/>
      <c r="C689" s="1263"/>
      <c r="D689" s="1317"/>
      <c r="E689" s="1318"/>
      <c r="F689" s="1254"/>
      <c r="G689" s="1254"/>
      <c r="H689" s="1254"/>
      <c r="I689" s="1254"/>
      <c r="J689" s="1254"/>
      <c r="K689" s="1254"/>
      <c r="L689" s="1254"/>
      <c r="M689" s="1254"/>
      <c r="N689" s="1254"/>
      <c r="O689" s="1254"/>
      <c r="P689" s="1254"/>
      <c r="Q689" s="1254"/>
      <c r="R689" s="1254"/>
      <c r="S689" s="1254"/>
      <c r="T689" s="1254"/>
      <c r="U689" s="1254"/>
      <c r="V689" s="1254"/>
      <c r="W689" s="1254"/>
      <c r="X689" s="1254"/>
      <c r="Y689" s="1254"/>
    </row>
    <row r="690">
      <c r="A690" s="1254"/>
      <c r="B690" s="1263"/>
      <c r="C690" s="1263"/>
      <c r="D690" s="1317"/>
      <c r="E690" s="1318"/>
      <c r="F690" s="1254"/>
      <c r="G690" s="1254"/>
      <c r="H690" s="1254"/>
      <c r="I690" s="1254"/>
      <c r="J690" s="1254"/>
      <c r="K690" s="1254"/>
      <c r="L690" s="1254"/>
      <c r="M690" s="1254"/>
      <c r="N690" s="1254"/>
      <c r="O690" s="1254"/>
      <c r="P690" s="1254"/>
      <c r="Q690" s="1254"/>
      <c r="R690" s="1254"/>
      <c r="S690" s="1254"/>
      <c r="T690" s="1254"/>
      <c r="U690" s="1254"/>
      <c r="V690" s="1254"/>
      <c r="W690" s="1254"/>
      <c r="X690" s="1254"/>
      <c r="Y690" s="1254"/>
    </row>
    <row r="691">
      <c r="A691" s="1254"/>
      <c r="B691" s="1263"/>
      <c r="C691" s="1263"/>
      <c r="D691" s="1317"/>
      <c r="E691" s="1318"/>
      <c r="F691" s="1254"/>
      <c r="G691" s="1254"/>
      <c r="H691" s="1254"/>
      <c r="I691" s="1254"/>
      <c r="J691" s="1254"/>
      <c r="K691" s="1254"/>
      <c r="L691" s="1254"/>
      <c r="M691" s="1254"/>
      <c r="N691" s="1254"/>
      <c r="O691" s="1254"/>
      <c r="P691" s="1254"/>
      <c r="Q691" s="1254"/>
      <c r="R691" s="1254"/>
      <c r="S691" s="1254"/>
      <c r="T691" s="1254"/>
      <c r="U691" s="1254"/>
      <c r="V691" s="1254"/>
      <c r="W691" s="1254"/>
      <c r="X691" s="1254"/>
      <c r="Y691" s="1254"/>
    </row>
    <row r="692">
      <c r="A692" s="1254"/>
      <c r="B692" s="1263"/>
      <c r="C692" s="1263"/>
      <c r="D692" s="1317"/>
      <c r="E692" s="1318"/>
      <c r="F692" s="1254"/>
      <c r="G692" s="1254"/>
      <c r="H692" s="1254"/>
      <c r="I692" s="1254"/>
      <c r="J692" s="1254"/>
      <c r="K692" s="1254"/>
      <c r="L692" s="1254"/>
      <c r="M692" s="1254"/>
      <c r="N692" s="1254"/>
      <c r="O692" s="1254"/>
      <c r="P692" s="1254"/>
      <c r="Q692" s="1254"/>
      <c r="R692" s="1254"/>
      <c r="S692" s="1254"/>
      <c r="T692" s="1254"/>
      <c r="U692" s="1254"/>
      <c r="V692" s="1254"/>
      <c r="W692" s="1254"/>
      <c r="X692" s="1254"/>
      <c r="Y692" s="1254"/>
    </row>
    <row r="693">
      <c r="A693" s="1254"/>
      <c r="B693" s="1263"/>
      <c r="C693" s="1263"/>
      <c r="D693" s="1317"/>
      <c r="E693" s="1318"/>
      <c r="F693" s="1254"/>
      <c r="G693" s="1254"/>
      <c r="H693" s="1254"/>
      <c r="I693" s="1254"/>
      <c r="J693" s="1254"/>
      <c r="K693" s="1254"/>
      <c r="L693" s="1254"/>
      <c r="M693" s="1254"/>
      <c r="N693" s="1254"/>
      <c r="O693" s="1254"/>
      <c r="P693" s="1254"/>
      <c r="Q693" s="1254"/>
      <c r="R693" s="1254"/>
      <c r="S693" s="1254"/>
      <c r="T693" s="1254"/>
      <c r="U693" s="1254"/>
      <c r="V693" s="1254"/>
      <c r="W693" s="1254"/>
      <c r="X693" s="1254"/>
      <c r="Y693" s="1254"/>
    </row>
    <row r="694">
      <c r="A694" s="1254"/>
      <c r="B694" s="1263"/>
      <c r="C694" s="1263"/>
      <c r="D694" s="1317"/>
      <c r="E694" s="1318"/>
      <c r="F694" s="1254"/>
      <c r="G694" s="1254"/>
      <c r="H694" s="1254"/>
      <c r="I694" s="1254"/>
      <c r="J694" s="1254"/>
      <c r="K694" s="1254"/>
      <c r="L694" s="1254"/>
      <c r="M694" s="1254"/>
      <c r="N694" s="1254"/>
      <c r="O694" s="1254"/>
      <c r="P694" s="1254"/>
      <c r="Q694" s="1254"/>
      <c r="R694" s="1254"/>
      <c r="S694" s="1254"/>
      <c r="T694" s="1254"/>
      <c r="U694" s="1254"/>
      <c r="V694" s="1254"/>
      <c r="W694" s="1254"/>
      <c r="X694" s="1254"/>
      <c r="Y694" s="1254"/>
    </row>
    <row r="695">
      <c r="A695" s="1254"/>
      <c r="B695" s="1263"/>
      <c r="C695" s="1263"/>
      <c r="D695" s="1317"/>
      <c r="E695" s="1318"/>
      <c r="F695" s="1254"/>
      <c r="G695" s="1254"/>
      <c r="H695" s="1254"/>
      <c r="I695" s="1254"/>
      <c r="J695" s="1254"/>
      <c r="K695" s="1254"/>
      <c r="L695" s="1254"/>
      <c r="M695" s="1254"/>
      <c r="N695" s="1254"/>
      <c r="O695" s="1254"/>
      <c r="P695" s="1254"/>
      <c r="Q695" s="1254"/>
      <c r="R695" s="1254"/>
      <c r="S695" s="1254"/>
      <c r="T695" s="1254"/>
      <c r="U695" s="1254"/>
      <c r="V695" s="1254"/>
      <c r="W695" s="1254"/>
      <c r="X695" s="1254"/>
      <c r="Y695" s="1254"/>
    </row>
    <row r="696">
      <c r="A696" s="1254"/>
      <c r="B696" s="1263"/>
      <c r="C696" s="1263"/>
      <c r="D696" s="1317"/>
      <c r="E696" s="1318"/>
      <c r="F696" s="1254"/>
      <c r="G696" s="1254"/>
      <c r="H696" s="1254"/>
      <c r="I696" s="1254"/>
      <c r="J696" s="1254"/>
      <c r="K696" s="1254"/>
      <c r="L696" s="1254"/>
      <c r="M696" s="1254"/>
      <c r="N696" s="1254"/>
      <c r="O696" s="1254"/>
      <c r="P696" s="1254"/>
      <c r="Q696" s="1254"/>
      <c r="R696" s="1254"/>
      <c r="S696" s="1254"/>
      <c r="T696" s="1254"/>
      <c r="U696" s="1254"/>
      <c r="V696" s="1254"/>
      <c r="W696" s="1254"/>
      <c r="X696" s="1254"/>
      <c r="Y696" s="1254"/>
    </row>
    <row r="697">
      <c r="A697" s="1254"/>
      <c r="B697" s="1263"/>
      <c r="C697" s="1263"/>
      <c r="D697" s="1317"/>
      <c r="E697" s="1318"/>
      <c r="F697" s="1254"/>
      <c r="G697" s="1254"/>
      <c r="H697" s="1254"/>
      <c r="I697" s="1254"/>
      <c r="J697" s="1254"/>
      <c r="K697" s="1254"/>
      <c r="L697" s="1254"/>
      <c r="M697" s="1254"/>
      <c r="N697" s="1254"/>
      <c r="O697" s="1254"/>
      <c r="P697" s="1254"/>
      <c r="Q697" s="1254"/>
      <c r="R697" s="1254"/>
      <c r="S697" s="1254"/>
      <c r="T697" s="1254"/>
      <c r="U697" s="1254"/>
      <c r="V697" s="1254"/>
      <c r="W697" s="1254"/>
      <c r="X697" s="1254"/>
      <c r="Y697" s="1254"/>
    </row>
    <row r="698">
      <c r="A698" s="1254"/>
      <c r="B698" s="1263"/>
      <c r="C698" s="1263"/>
      <c r="D698" s="1317"/>
      <c r="E698" s="1318"/>
      <c r="F698" s="1254"/>
      <c r="G698" s="1254"/>
      <c r="H698" s="1254"/>
      <c r="I698" s="1254"/>
      <c r="J698" s="1254"/>
      <c r="K698" s="1254"/>
      <c r="L698" s="1254"/>
      <c r="M698" s="1254"/>
      <c r="N698" s="1254"/>
      <c r="O698" s="1254"/>
      <c r="P698" s="1254"/>
      <c r="Q698" s="1254"/>
      <c r="R698" s="1254"/>
      <c r="S698" s="1254"/>
      <c r="T698" s="1254"/>
      <c r="U698" s="1254"/>
      <c r="V698" s="1254"/>
      <c r="W698" s="1254"/>
      <c r="X698" s="1254"/>
      <c r="Y698" s="1254"/>
    </row>
    <row r="699">
      <c r="A699" s="1254"/>
      <c r="B699" s="1263"/>
      <c r="C699" s="1263"/>
      <c r="D699" s="1317"/>
      <c r="E699" s="1318"/>
      <c r="F699" s="1254"/>
      <c r="G699" s="1254"/>
      <c r="H699" s="1254"/>
      <c r="I699" s="1254"/>
      <c r="J699" s="1254"/>
      <c r="K699" s="1254"/>
      <c r="L699" s="1254"/>
      <c r="M699" s="1254"/>
      <c r="N699" s="1254"/>
      <c r="O699" s="1254"/>
      <c r="P699" s="1254"/>
      <c r="Q699" s="1254"/>
      <c r="R699" s="1254"/>
      <c r="S699" s="1254"/>
      <c r="T699" s="1254"/>
      <c r="U699" s="1254"/>
      <c r="V699" s="1254"/>
      <c r="W699" s="1254"/>
      <c r="X699" s="1254"/>
      <c r="Y699" s="1254"/>
    </row>
    <row r="700">
      <c r="A700" s="1254"/>
      <c r="B700" s="1263"/>
      <c r="C700" s="1263"/>
      <c r="D700" s="1317"/>
      <c r="E700" s="1318"/>
      <c r="F700" s="1254"/>
      <c r="G700" s="1254"/>
      <c r="H700" s="1254"/>
      <c r="I700" s="1254"/>
      <c r="J700" s="1254"/>
      <c r="K700" s="1254"/>
      <c r="L700" s="1254"/>
      <c r="M700" s="1254"/>
      <c r="N700" s="1254"/>
      <c r="O700" s="1254"/>
      <c r="P700" s="1254"/>
      <c r="Q700" s="1254"/>
      <c r="R700" s="1254"/>
      <c r="S700" s="1254"/>
      <c r="T700" s="1254"/>
      <c r="U700" s="1254"/>
      <c r="V700" s="1254"/>
      <c r="W700" s="1254"/>
      <c r="X700" s="1254"/>
      <c r="Y700" s="1254"/>
    </row>
    <row r="701">
      <c r="A701" s="1254"/>
      <c r="B701" s="1263"/>
      <c r="C701" s="1263"/>
      <c r="D701" s="1317"/>
      <c r="E701" s="1318"/>
      <c r="F701" s="1254"/>
      <c r="G701" s="1254"/>
      <c r="H701" s="1254"/>
      <c r="I701" s="1254"/>
      <c r="J701" s="1254"/>
      <c r="K701" s="1254"/>
      <c r="L701" s="1254"/>
      <c r="M701" s="1254"/>
      <c r="N701" s="1254"/>
      <c r="O701" s="1254"/>
      <c r="P701" s="1254"/>
      <c r="Q701" s="1254"/>
      <c r="R701" s="1254"/>
      <c r="S701" s="1254"/>
      <c r="T701" s="1254"/>
      <c r="U701" s="1254"/>
      <c r="V701" s="1254"/>
      <c r="W701" s="1254"/>
      <c r="X701" s="1254"/>
      <c r="Y701" s="1254"/>
    </row>
    <row r="702">
      <c r="A702" s="1254"/>
      <c r="B702" s="1263"/>
      <c r="C702" s="1263"/>
      <c r="D702" s="1317"/>
      <c r="E702" s="1318"/>
      <c r="F702" s="1254"/>
      <c r="G702" s="1254"/>
      <c r="H702" s="1254"/>
      <c r="I702" s="1254"/>
      <c r="J702" s="1254"/>
      <c r="K702" s="1254"/>
      <c r="L702" s="1254"/>
      <c r="M702" s="1254"/>
      <c r="N702" s="1254"/>
      <c r="O702" s="1254"/>
      <c r="P702" s="1254"/>
      <c r="Q702" s="1254"/>
      <c r="R702" s="1254"/>
      <c r="S702" s="1254"/>
      <c r="T702" s="1254"/>
      <c r="U702" s="1254"/>
      <c r="V702" s="1254"/>
      <c r="W702" s="1254"/>
      <c r="X702" s="1254"/>
      <c r="Y702" s="1254"/>
    </row>
    <row r="703">
      <c r="A703" s="1254"/>
      <c r="B703" s="1263"/>
      <c r="C703" s="1263"/>
      <c r="D703" s="1317"/>
      <c r="E703" s="1318"/>
      <c r="F703" s="1254"/>
      <c r="G703" s="1254"/>
      <c r="H703" s="1254"/>
      <c r="I703" s="1254"/>
      <c r="J703" s="1254"/>
      <c r="K703" s="1254"/>
      <c r="L703" s="1254"/>
      <c r="M703" s="1254"/>
      <c r="N703" s="1254"/>
      <c r="O703" s="1254"/>
      <c r="P703" s="1254"/>
      <c r="Q703" s="1254"/>
      <c r="R703" s="1254"/>
      <c r="S703" s="1254"/>
      <c r="T703" s="1254"/>
      <c r="U703" s="1254"/>
      <c r="V703" s="1254"/>
      <c r="W703" s="1254"/>
      <c r="X703" s="1254"/>
      <c r="Y703" s="1254"/>
    </row>
    <row r="704">
      <c r="A704" s="1254"/>
      <c r="B704" s="1263"/>
      <c r="C704" s="1263"/>
      <c r="D704" s="1317"/>
      <c r="E704" s="1318"/>
      <c r="F704" s="1254"/>
      <c r="G704" s="1254"/>
      <c r="H704" s="1254"/>
      <c r="I704" s="1254"/>
      <c r="J704" s="1254"/>
      <c r="K704" s="1254"/>
      <c r="L704" s="1254"/>
      <c r="M704" s="1254"/>
      <c r="N704" s="1254"/>
      <c r="O704" s="1254"/>
      <c r="P704" s="1254"/>
      <c r="Q704" s="1254"/>
      <c r="R704" s="1254"/>
      <c r="S704" s="1254"/>
      <c r="T704" s="1254"/>
      <c r="U704" s="1254"/>
      <c r="V704" s="1254"/>
      <c r="W704" s="1254"/>
      <c r="X704" s="1254"/>
      <c r="Y704" s="1254"/>
    </row>
    <row r="705">
      <c r="A705" s="1254"/>
      <c r="B705" s="1263"/>
      <c r="C705" s="1263"/>
      <c r="D705" s="1317"/>
      <c r="E705" s="1318"/>
      <c r="F705" s="1254"/>
      <c r="G705" s="1254"/>
      <c r="H705" s="1254"/>
      <c r="I705" s="1254"/>
      <c r="J705" s="1254"/>
      <c r="K705" s="1254"/>
      <c r="L705" s="1254"/>
      <c r="M705" s="1254"/>
      <c r="N705" s="1254"/>
      <c r="O705" s="1254"/>
      <c r="P705" s="1254"/>
      <c r="Q705" s="1254"/>
      <c r="R705" s="1254"/>
      <c r="S705" s="1254"/>
      <c r="T705" s="1254"/>
      <c r="U705" s="1254"/>
      <c r="V705" s="1254"/>
      <c r="W705" s="1254"/>
      <c r="X705" s="1254"/>
      <c r="Y705" s="1254"/>
    </row>
    <row r="706">
      <c r="A706" s="1254"/>
      <c r="B706" s="1263"/>
      <c r="C706" s="1263"/>
      <c r="D706" s="1317"/>
      <c r="E706" s="1318"/>
      <c r="F706" s="1254"/>
      <c r="G706" s="1254"/>
      <c r="H706" s="1254"/>
      <c r="I706" s="1254"/>
      <c r="J706" s="1254"/>
      <c r="K706" s="1254"/>
      <c r="L706" s="1254"/>
      <c r="M706" s="1254"/>
      <c r="N706" s="1254"/>
      <c r="O706" s="1254"/>
      <c r="P706" s="1254"/>
      <c r="Q706" s="1254"/>
      <c r="R706" s="1254"/>
      <c r="S706" s="1254"/>
      <c r="T706" s="1254"/>
      <c r="U706" s="1254"/>
      <c r="V706" s="1254"/>
      <c r="W706" s="1254"/>
      <c r="X706" s="1254"/>
      <c r="Y706" s="1254"/>
    </row>
    <row r="707">
      <c r="A707" s="1254"/>
      <c r="B707" s="1263"/>
      <c r="C707" s="1263"/>
      <c r="D707" s="1317"/>
      <c r="E707" s="1318"/>
      <c r="F707" s="1254"/>
      <c r="G707" s="1254"/>
      <c r="H707" s="1254"/>
      <c r="I707" s="1254"/>
      <c r="J707" s="1254"/>
      <c r="K707" s="1254"/>
      <c r="L707" s="1254"/>
      <c r="M707" s="1254"/>
      <c r="N707" s="1254"/>
      <c r="O707" s="1254"/>
      <c r="P707" s="1254"/>
      <c r="Q707" s="1254"/>
      <c r="R707" s="1254"/>
      <c r="S707" s="1254"/>
      <c r="T707" s="1254"/>
      <c r="U707" s="1254"/>
      <c r="V707" s="1254"/>
      <c r="W707" s="1254"/>
      <c r="X707" s="1254"/>
      <c r="Y707" s="1254"/>
    </row>
    <row r="708">
      <c r="A708" s="1254"/>
      <c r="B708" s="1263"/>
      <c r="C708" s="1263"/>
      <c r="D708" s="1317"/>
      <c r="E708" s="1318"/>
      <c r="F708" s="1254"/>
      <c r="G708" s="1254"/>
      <c r="H708" s="1254"/>
      <c r="I708" s="1254"/>
      <c r="J708" s="1254"/>
      <c r="K708" s="1254"/>
      <c r="L708" s="1254"/>
      <c r="M708" s="1254"/>
      <c r="N708" s="1254"/>
      <c r="O708" s="1254"/>
      <c r="P708" s="1254"/>
      <c r="Q708" s="1254"/>
      <c r="R708" s="1254"/>
      <c r="S708" s="1254"/>
      <c r="T708" s="1254"/>
      <c r="U708" s="1254"/>
      <c r="V708" s="1254"/>
      <c r="W708" s="1254"/>
      <c r="X708" s="1254"/>
      <c r="Y708" s="1254"/>
    </row>
    <row r="709">
      <c r="A709" s="1254"/>
      <c r="B709" s="1263"/>
      <c r="C709" s="1263"/>
      <c r="D709" s="1317"/>
      <c r="E709" s="1318"/>
      <c r="F709" s="1254"/>
      <c r="G709" s="1254"/>
      <c r="H709" s="1254"/>
      <c r="I709" s="1254"/>
      <c r="J709" s="1254"/>
      <c r="K709" s="1254"/>
      <c r="L709" s="1254"/>
      <c r="M709" s="1254"/>
      <c r="N709" s="1254"/>
      <c r="O709" s="1254"/>
      <c r="P709" s="1254"/>
      <c r="Q709" s="1254"/>
      <c r="R709" s="1254"/>
      <c r="S709" s="1254"/>
      <c r="T709" s="1254"/>
      <c r="U709" s="1254"/>
      <c r="V709" s="1254"/>
      <c r="W709" s="1254"/>
      <c r="X709" s="1254"/>
      <c r="Y709" s="1254"/>
    </row>
    <row r="710">
      <c r="A710" s="1254"/>
      <c r="B710" s="1263"/>
      <c r="C710" s="1263"/>
      <c r="D710" s="1317"/>
      <c r="E710" s="1318"/>
      <c r="F710" s="1254"/>
      <c r="G710" s="1254"/>
      <c r="H710" s="1254"/>
      <c r="I710" s="1254"/>
      <c r="J710" s="1254"/>
      <c r="K710" s="1254"/>
      <c r="L710" s="1254"/>
      <c r="M710" s="1254"/>
      <c r="N710" s="1254"/>
      <c r="O710" s="1254"/>
      <c r="P710" s="1254"/>
      <c r="Q710" s="1254"/>
      <c r="R710" s="1254"/>
      <c r="S710" s="1254"/>
      <c r="T710" s="1254"/>
      <c r="U710" s="1254"/>
      <c r="V710" s="1254"/>
      <c r="W710" s="1254"/>
      <c r="X710" s="1254"/>
      <c r="Y710" s="1254"/>
    </row>
    <row r="711">
      <c r="A711" s="1254"/>
      <c r="B711" s="1263"/>
      <c r="C711" s="1263"/>
      <c r="D711" s="1317"/>
      <c r="E711" s="1318"/>
      <c r="F711" s="1254"/>
      <c r="G711" s="1254"/>
      <c r="H711" s="1254"/>
      <c r="I711" s="1254"/>
      <c r="J711" s="1254"/>
      <c r="K711" s="1254"/>
      <c r="L711" s="1254"/>
      <c r="M711" s="1254"/>
      <c r="N711" s="1254"/>
      <c r="O711" s="1254"/>
      <c r="P711" s="1254"/>
      <c r="Q711" s="1254"/>
      <c r="R711" s="1254"/>
      <c r="S711" s="1254"/>
      <c r="T711" s="1254"/>
      <c r="U711" s="1254"/>
      <c r="V711" s="1254"/>
      <c r="W711" s="1254"/>
      <c r="X711" s="1254"/>
      <c r="Y711" s="1254"/>
    </row>
    <row r="712">
      <c r="A712" s="1254"/>
      <c r="B712" s="1263"/>
      <c r="C712" s="1263"/>
      <c r="D712" s="1317"/>
      <c r="E712" s="1318"/>
      <c r="F712" s="1254"/>
      <c r="G712" s="1254"/>
      <c r="H712" s="1254"/>
      <c r="I712" s="1254"/>
      <c r="J712" s="1254"/>
      <c r="K712" s="1254"/>
      <c r="L712" s="1254"/>
      <c r="M712" s="1254"/>
      <c r="N712" s="1254"/>
      <c r="O712" s="1254"/>
      <c r="P712" s="1254"/>
      <c r="Q712" s="1254"/>
      <c r="R712" s="1254"/>
      <c r="S712" s="1254"/>
      <c r="T712" s="1254"/>
      <c r="U712" s="1254"/>
      <c r="V712" s="1254"/>
      <c r="W712" s="1254"/>
      <c r="X712" s="1254"/>
      <c r="Y712" s="1254"/>
    </row>
    <row r="713">
      <c r="A713" s="1254"/>
      <c r="B713" s="1263"/>
      <c r="C713" s="1263"/>
      <c r="D713" s="1317"/>
      <c r="E713" s="1318"/>
      <c r="F713" s="1254"/>
      <c r="G713" s="1254"/>
      <c r="H713" s="1254"/>
      <c r="I713" s="1254"/>
      <c r="J713" s="1254"/>
      <c r="K713" s="1254"/>
      <c r="L713" s="1254"/>
      <c r="M713" s="1254"/>
      <c r="N713" s="1254"/>
      <c r="O713" s="1254"/>
      <c r="P713" s="1254"/>
      <c r="Q713" s="1254"/>
      <c r="R713" s="1254"/>
      <c r="S713" s="1254"/>
      <c r="T713" s="1254"/>
      <c r="U713" s="1254"/>
      <c r="V713" s="1254"/>
      <c r="W713" s="1254"/>
      <c r="X713" s="1254"/>
      <c r="Y713" s="1254"/>
    </row>
    <row r="714">
      <c r="A714" s="1254"/>
      <c r="B714" s="1263"/>
      <c r="C714" s="1263"/>
      <c r="D714" s="1317"/>
      <c r="E714" s="1318"/>
      <c r="F714" s="1254"/>
      <c r="G714" s="1254"/>
      <c r="H714" s="1254"/>
      <c r="I714" s="1254"/>
      <c r="J714" s="1254"/>
      <c r="K714" s="1254"/>
      <c r="L714" s="1254"/>
      <c r="M714" s="1254"/>
      <c r="N714" s="1254"/>
      <c r="O714" s="1254"/>
      <c r="P714" s="1254"/>
      <c r="Q714" s="1254"/>
      <c r="R714" s="1254"/>
      <c r="S714" s="1254"/>
      <c r="T714" s="1254"/>
      <c r="U714" s="1254"/>
      <c r="V714" s="1254"/>
      <c r="W714" s="1254"/>
      <c r="X714" s="1254"/>
      <c r="Y714" s="1254"/>
    </row>
    <row r="715">
      <c r="A715" s="1254"/>
      <c r="B715" s="1263"/>
      <c r="C715" s="1263"/>
      <c r="D715" s="1317"/>
      <c r="E715" s="1318"/>
      <c r="F715" s="1254"/>
      <c r="G715" s="1254"/>
      <c r="H715" s="1254"/>
      <c r="I715" s="1254"/>
      <c r="J715" s="1254"/>
      <c r="K715" s="1254"/>
      <c r="L715" s="1254"/>
      <c r="M715" s="1254"/>
      <c r="N715" s="1254"/>
      <c r="O715" s="1254"/>
      <c r="P715" s="1254"/>
      <c r="Q715" s="1254"/>
      <c r="R715" s="1254"/>
      <c r="S715" s="1254"/>
      <c r="T715" s="1254"/>
      <c r="U715" s="1254"/>
      <c r="V715" s="1254"/>
      <c r="W715" s="1254"/>
      <c r="X715" s="1254"/>
      <c r="Y715" s="1254"/>
    </row>
    <row r="716">
      <c r="A716" s="1254"/>
      <c r="B716" s="1263"/>
      <c r="C716" s="1263"/>
      <c r="D716" s="1317"/>
      <c r="E716" s="1318"/>
      <c r="F716" s="1254"/>
      <c r="G716" s="1254"/>
      <c r="H716" s="1254"/>
      <c r="I716" s="1254"/>
      <c r="J716" s="1254"/>
      <c r="K716" s="1254"/>
      <c r="L716" s="1254"/>
      <c r="M716" s="1254"/>
      <c r="N716" s="1254"/>
      <c r="O716" s="1254"/>
      <c r="P716" s="1254"/>
      <c r="Q716" s="1254"/>
      <c r="R716" s="1254"/>
      <c r="S716" s="1254"/>
      <c r="T716" s="1254"/>
      <c r="U716" s="1254"/>
      <c r="V716" s="1254"/>
      <c r="W716" s="1254"/>
      <c r="X716" s="1254"/>
      <c r="Y716" s="1254"/>
    </row>
    <row r="717">
      <c r="A717" s="1254"/>
      <c r="B717" s="1263"/>
      <c r="C717" s="1263"/>
      <c r="D717" s="1317"/>
      <c r="E717" s="1318"/>
      <c r="F717" s="1254"/>
      <c r="G717" s="1254"/>
      <c r="H717" s="1254"/>
      <c r="I717" s="1254"/>
      <c r="J717" s="1254"/>
      <c r="K717" s="1254"/>
      <c r="L717" s="1254"/>
      <c r="M717" s="1254"/>
      <c r="N717" s="1254"/>
      <c r="O717" s="1254"/>
      <c r="P717" s="1254"/>
      <c r="Q717" s="1254"/>
      <c r="R717" s="1254"/>
      <c r="S717" s="1254"/>
      <c r="T717" s="1254"/>
      <c r="U717" s="1254"/>
      <c r="V717" s="1254"/>
      <c r="W717" s="1254"/>
      <c r="X717" s="1254"/>
      <c r="Y717" s="1254"/>
    </row>
    <row r="718">
      <c r="A718" s="1254"/>
      <c r="B718" s="1263"/>
      <c r="C718" s="1263"/>
      <c r="D718" s="1317"/>
      <c r="E718" s="1318"/>
      <c r="F718" s="1254"/>
      <c r="G718" s="1254"/>
      <c r="H718" s="1254"/>
      <c r="I718" s="1254"/>
      <c r="J718" s="1254"/>
      <c r="K718" s="1254"/>
      <c r="L718" s="1254"/>
      <c r="M718" s="1254"/>
      <c r="N718" s="1254"/>
      <c r="O718" s="1254"/>
      <c r="P718" s="1254"/>
      <c r="Q718" s="1254"/>
      <c r="R718" s="1254"/>
      <c r="S718" s="1254"/>
      <c r="T718" s="1254"/>
      <c r="U718" s="1254"/>
      <c r="V718" s="1254"/>
      <c r="W718" s="1254"/>
      <c r="X718" s="1254"/>
      <c r="Y718" s="1254"/>
    </row>
    <row r="719">
      <c r="A719" s="1254"/>
      <c r="B719" s="1263"/>
      <c r="C719" s="1263"/>
      <c r="D719" s="1317"/>
      <c r="E719" s="1318"/>
      <c r="F719" s="1254"/>
      <c r="G719" s="1254"/>
      <c r="H719" s="1254"/>
      <c r="I719" s="1254"/>
      <c r="J719" s="1254"/>
      <c r="K719" s="1254"/>
      <c r="L719" s="1254"/>
      <c r="M719" s="1254"/>
      <c r="N719" s="1254"/>
      <c r="O719" s="1254"/>
      <c r="P719" s="1254"/>
      <c r="Q719" s="1254"/>
      <c r="R719" s="1254"/>
      <c r="S719" s="1254"/>
      <c r="T719" s="1254"/>
      <c r="U719" s="1254"/>
      <c r="V719" s="1254"/>
      <c r="W719" s="1254"/>
      <c r="X719" s="1254"/>
      <c r="Y719" s="1254"/>
    </row>
    <row r="720">
      <c r="A720" s="1254"/>
      <c r="B720" s="1263"/>
      <c r="C720" s="1263"/>
      <c r="D720" s="1317"/>
      <c r="E720" s="1318"/>
      <c r="F720" s="1254"/>
      <c r="G720" s="1254"/>
      <c r="H720" s="1254"/>
      <c r="I720" s="1254"/>
      <c r="J720" s="1254"/>
      <c r="K720" s="1254"/>
      <c r="L720" s="1254"/>
      <c r="M720" s="1254"/>
      <c r="N720" s="1254"/>
      <c r="O720" s="1254"/>
      <c r="P720" s="1254"/>
      <c r="Q720" s="1254"/>
      <c r="R720" s="1254"/>
      <c r="S720" s="1254"/>
      <c r="T720" s="1254"/>
      <c r="U720" s="1254"/>
      <c r="V720" s="1254"/>
      <c r="W720" s="1254"/>
      <c r="X720" s="1254"/>
      <c r="Y720" s="1254"/>
    </row>
    <row r="721">
      <c r="A721" s="1254"/>
      <c r="B721" s="1263"/>
      <c r="C721" s="1263"/>
      <c r="D721" s="1317"/>
      <c r="E721" s="1318"/>
      <c r="F721" s="1254"/>
      <c r="G721" s="1254"/>
      <c r="H721" s="1254"/>
      <c r="I721" s="1254"/>
      <c r="J721" s="1254"/>
      <c r="K721" s="1254"/>
      <c r="L721" s="1254"/>
      <c r="M721" s="1254"/>
      <c r="N721" s="1254"/>
      <c r="O721" s="1254"/>
      <c r="P721" s="1254"/>
      <c r="Q721" s="1254"/>
      <c r="R721" s="1254"/>
      <c r="S721" s="1254"/>
      <c r="T721" s="1254"/>
      <c r="U721" s="1254"/>
      <c r="V721" s="1254"/>
      <c r="W721" s="1254"/>
      <c r="X721" s="1254"/>
      <c r="Y721" s="1254"/>
    </row>
    <row r="722">
      <c r="A722" s="1254"/>
      <c r="B722" s="1263"/>
      <c r="C722" s="1263"/>
      <c r="D722" s="1317"/>
      <c r="E722" s="1318"/>
      <c r="F722" s="1254"/>
      <c r="G722" s="1254"/>
      <c r="H722" s="1254"/>
      <c r="I722" s="1254"/>
      <c r="J722" s="1254"/>
      <c r="K722" s="1254"/>
      <c r="L722" s="1254"/>
      <c r="M722" s="1254"/>
      <c r="N722" s="1254"/>
      <c r="O722" s="1254"/>
      <c r="P722" s="1254"/>
      <c r="Q722" s="1254"/>
      <c r="R722" s="1254"/>
      <c r="S722" s="1254"/>
      <c r="T722" s="1254"/>
      <c r="U722" s="1254"/>
      <c r="V722" s="1254"/>
      <c r="W722" s="1254"/>
      <c r="X722" s="1254"/>
      <c r="Y722" s="1254"/>
    </row>
    <row r="723">
      <c r="A723" s="1254"/>
      <c r="B723" s="1263"/>
      <c r="C723" s="1263"/>
      <c r="D723" s="1317"/>
      <c r="E723" s="1318"/>
      <c r="F723" s="1254"/>
      <c r="G723" s="1254"/>
      <c r="H723" s="1254"/>
      <c r="I723" s="1254"/>
      <c r="J723" s="1254"/>
      <c r="K723" s="1254"/>
      <c r="L723" s="1254"/>
      <c r="M723" s="1254"/>
      <c r="N723" s="1254"/>
      <c r="O723" s="1254"/>
      <c r="P723" s="1254"/>
      <c r="Q723" s="1254"/>
      <c r="R723" s="1254"/>
      <c r="S723" s="1254"/>
      <c r="T723" s="1254"/>
      <c r="U723" s="1254"/>
      <c r="V723" s="1254"/>
      <c r="W723" s="1254"/>
      <c r="X723" s="1254"/>
      <c r="Y723" s="1254"/>
    </row>
    <row r="724">
      <c r="A724" s="1254"/>
      <c r="B724" s="1263"/>
      <c r="C724" s="1263"/>
      <c r="D724" s="1317"/>
      <c r="E724" s="1318"/>
      <c r="F724" s="1254"/>
      <c r="G724" s="1254"/>
      <c r="H724" s="1254"/>
      <c r="I724" s="1254"/>
      <c r="J724" s="1254"/>
      <c r="K724" s="1254"/>
      <c r="L724" s="1254"/>
      <c r="M724" s="1254"/>
      <c r="N724" s="1254"/>
      <c r="O724" s="1254"/>
      <c r="P724" s="1254"/>
      <c r="Q724" s="1254"/>
      <c r="R724" s="1254"/>
      <c r="S724" s="1254"/>
      <c r="T724" s="1254"/>
      <c r="U724" s="1254"/>
      <c r="V724" s="1254"/>
      <c r="W724" s="1254"/>
      <c r="X724" s="1254"/>
      <c r="Y724" s="1254"/>
    </row>
    <row r="725">
      <c r="A725" s="1254"/>
      <c r="B725" s="1263"/>
      <c r="C725" s="1263"/>
      <c r="D725" s="1317"/>
      <c r="E725" s="1318"/>
      <c r="F725" s="1254"/>
      <c r="G725" s="1254"/>
      <c r="H725" s="1254"/>
      <c r="I725" s="1254"/>
      <c r="J725" s="1254"/>
      <c r="K725" s="1254"/>
      <c r="L725" s="1254"/>
      <c r="M725" s="1254"/>
      <c r="N725" s="1254"/>
      <c r="O725" s="1254"/>
      <c r="P725" s="1254"/>
      <c r="Q725" s="1254"/>
      <c r="R725" s="1254"/>
      <c r="S725" s="1254"/>
      <c r="T725" s="1254"/>
      <c r="U725" s="1254"/>
      <c r="V725" s="1254"/>
      <c r="W725" s="1254"/>
      <c r="X725" s="1254"/>
      <c r="Y725" s="1254"/>
    </row>
    <row r="726">
      <c r="A726" s="1254"/>
      <c r="B726" s="1263"/>
      <c r="C726" s="1263"/>
      <c r="D726" s="1317"/>
      <c r="E726" s="1318"/>
      <c r="F726" s="1254"/>
      <c r="G726" s="1254"/>
      <c r="H726" s="1254"/>
      <c r="I726" s="1254"/>
      <c r="J726" s="1254"/>
      <c r="K726" s="1254"/>
      <c r="L726" s="1254"/>
      <c r="M726" s="1254"/>
      <c r="N726" s="1254"/>
      <c r="O726" s="1254"/>
      <c r="P726" s="1254"/>
      <c r="Q726" s="1254"/>
      <c r="R726" s="1254"/>
      <c r="S726" s="1254"/>
      <c r="T726" s="1254"/>
      <c r="U726" s="1254"/>
      <c r="V726" s="1254"/>
      <c r="W726" s="1254"/>
      <c r="X726" s="1254"/>
      <c r="Y726" s="1254"/>
    </row>
    <row r="727">
      <c r="A727" s="1254"/>
      <c r="B727" s="1263"/>
      <c r="C727" s="1263"/>
      <c r="D727" s="1317"/>
      <c r="E727" s="1318"/>
      <c r="F727" s="1254"/>
      <c r="G727" s="1254"/>
      <c r="H727" s="1254"/>
      <c r="I727" s="1254"/>
      <c r="J727" s="1254"/>
      <c r="K727" s="1254"/>
      <c r="L727" s="1254"/>
      <c r="M727" s="1254"/>
      <c r="N727" s="1254"/>
      <c r="O727" s="1254"/>
      <c r="P727" s="1254"/>
      <c r="Q727" s="1254"/>
      <c r="R727" s="1254"/>
      <c r="S727" s="1254"/>
      <c r="T727" s="1254"/>
      <c r="U727" s="1254"/>
      <c r="V727" s="1254"/>
      <c r="W727" s="1254"/>
      <c r="X727" s="1254"/>
      <c r="Y727" s="1254"/>
    </row>
    <row r="728">
      <c r="A728" s="1254"/>
      <c r="B728" s="1263"/>
      <c r="C728" s="1263"/>
      <c r="D728" s="1317"/>
      <c r="E728" s="1318"/>
      <c r="F728" s="1254"/>
      <c r="G728" s="1254"/>
      <c r="H728" s="1254"/>
      <c r="I728" s="1254"/>
      <c r="J728" s="1254"/>
      <c r="K728" s="1254"/>
      <c r="L728" s="1254"/>
      <c r="M728" s="1254"/>
      <c r="N728" s="1254"/>
      <c r="O728" s="1254"/>
      <c r="P728" s="1254"/>
      <c r="Q728" s="1254"/>
      <c r="R728" s="1254"/>
      <c r="S728" s="1254"/>
      <c r="T728" s="1254"/>
      <c r="U728" s="1254"/>
      <c r="V728" s="1254"/>
      <c r="W728" s="1254"/>
      <c r="X728" s="1254"/>
      <c r="Y728" s="1254"/>
    </row>
    <row r="729">
      <c r="A729" s="1254"/>
      <c r="B729" s="1263"/>
      <c r="C729" s="1263"/>
      <c r="D729" s="1317"/>
      <c r="E729" s="1318"/>
      <c r="F729" s="1254"/>
      <c r="G729" s="1254"/>
      <c r="H729" s="1254"/>
      <c r="I729" s="1254"/>
      <c r="J729" s="1254"/>
      <c r="K729" s="1254"/>
      <c r="L729" s="1254"/>
      <c r="M729" s="1254"/>
      <c r="N729" s="1254"/>
      <c r="O729" s="1254"/>
      <c r="P729" s="1254"/>
      <c r="Q729" s="1254"/>
      <c r="R729" s="1254"/>
      <c r="S729" s="1254"/>
      <c r="T729" s="1254"/>
      <c r="U729" s="1254"/>
      <c r="V729" s="1254"/>
      <c r="W729" s="1254"/>
      <c r="X729" s="1254"/>
      <c r="Y729" s="1254"/>
    </row>
    <row r="730">
      <c r="A730" s="1254"/>
      <c r="B730" s="1263"/>
      <c r="C730" s="1263"/>
      <c r="D730" s="1317"/>
      <c r="E730" s="1318"/>
      <c r="F730" s="1254"/>
      <c r="G730" s="1254"/>
      <c r="H730" s="1254"/>
      <c r="I730" s="1254"/>
      <c r="J730" s="1254"/>
      <c r="K730" s="1254"/>
      <c r="L730" s="1254"/>
      <c r="M730" s="1254"/>
      <c r="N730" s="1254"/>
      <c r="O730" s="1254"/>
      <c r="P730" s="1254"/>
      <c r="Q730" s="1254"/>
      <c r="R730" s="1254"/>
      <c r="S730" s="1254"/>
      <c r="T730" s="1254"/>
      <c r="U730" s="1254"/>
      <c r="V730" s="1254"/>
      <c r="W730" s="1254"/>
      <c r="X730" s="1254"/>
      <c r="Y730" s="1254"/>
    </row>
    <row r="731">
      <c r="A731" s="1254"/>
      <c r="B731" s="1263"/>
      <c r="C731" s="1263"/>
      <c r="D731" s="1317"/>
      <c r="E731" s="1318"/>
      <c r="F731" s="1254"/>
      <c r="G731" s="1254"/>
      <c r="H731" s="1254"/>
      <c r="I731" s="1254"/>
      <c r="J731" s="1254"/>
      <c r="K731" s="1254"/>
      <c r="L731" s="1254"/>
      <c r="M731" s="1254"/>
      <c r="N731" s="1254"/>
      <c r="O731" s="1254"/>
      <c r="P731" s="1254"/>
      <c r="Q731" s="1254"/>
      <c r="R731" s="1254"/>
      <c r="S731" s="1254"/>
      <c r="T731" s="1254"/>
      <c r="U731" s="1254"/>
      <c r="V731" s="1254"/>
      <c r="W731" s="1254"/>
      <c r="X731" s="1254"/>
      <c r="Y731" s="1254"/>
    </row>
    <row r="732">
      <c r="A732" s="1254"/>
      <c r="B732" s="1263"/>
      <c r="C732" s="1263"/>
      <c r="D732" s="1317"/>
      <c r="E732" s="1318"/>
      <c r="F732" s="1254"/>
      <c r="G732" s="1254"/>
      <c r="H732" s="1254"/>
      <c r="I732" s="1254"/>
      <c r="J732" s="1254"/>
      <c r="K732" s="1254"/>
      <c r="L732" s="1254"/>
      <c r="M732" s="1254"/>
      <c r="N732" s="1254"/>
      <c r="O732" s="1254"/>
      <c r="P732" s="1254"/>
      <c r="Q732" s="1254"/>
      <c r="R732" s="1254"/>
      <c r="S732" s="1254"/>
      <c r="T732" s="1254"/>
      <c r="U732" s="1254"/>
      <c r="V732" s="1254"/>
      <c r="W732" s="1254"/>
      <c r="X732" s="1254"/>
      <c r="Y732" s="1254"/>
    </row>
    <row r="733">
      <c r="A733" s="1254"/>
      <c r="B733" s="1263"/>
      <c r="C733" s="1263"/>
      <c r="D733" s="1317"/>
      <c r="E733" s="1318"/>
      <c r="F733" s="1254"/>
      <c r="G733" s="1254"/>
      <c r="H733" s="1254"/>
      <c r="I733" s="1254"/>
      <c r="J733" s="1254"/>
      <c r="K733" s="1254"/>
      <c r="L733" s="1254"/>
      <c r="M733" s="1254"/>
      <c r="N733" s="1254"/>
      <c r="O733" s="1254"/>
      <c r="P733" s="1254"/>
      <c r="Q733" s="1254"/>
      <c r="R733" s="1254"/>
      <c r="S733" s="1254"/>
      <c r="T733" s="1254"/>
      <c r="U733" s="1254"/>
      <c r="V733" s="1254"/>
      <c r="W733" s="1254"/>
      <c r="X733" s="1254"/>
      <c r="Y733" s="1254"/>
    </row>
    <row r="734">
      <c r="A734" s="1254"/>
      <c r="B734" s="1263"/>
      <c r="C734" s="1263"/>
      <c r="D734" s="1317"/>
      <c r="E734" s="1318"/>
      <c r="F734" s="1254"/>
      <c r="G734" s="1254"/>
      <c r="H734" s="1254"/>
      <c r="I734" s="1254"/>
      <c r="J734" s="1254"/>
      <c r="K734" s="1254"/>
      <c r="L734" s="1254"/>
      <c r="M734" s="1254"/>
      <c r="N734" s="1254"/>
      <c r="O734" s="1254"/>
      <c r="P734" s="1254"/>
      <c r="Q734" s="1254"/>
      <c r="R734" s="1254"/>
      <c r="S734" s="1254"/>
      <c r="T734" s="1254"/>
      <c r="U734" s="1254"/>
      <c r="V734" s="1254"/>
      <c r="W734" s="1254"/>
      <c r="X734" s="1254"/>
      <c r="Y734" s="1254"/>
    </row>
    <row r="735">
      <c r="A735" s="1254"/>
      <c r="B735" s="1263"/>
      <c r="C735" s="1263"/>
      <c r="D735" s="1317"/>
      <c r="E735" s="1318"/>
      <c r="F735" s="1254"/>
      <c r="G735" s="1254"/>
      <c r="H735" s="1254"/>
      <c r="I735" s="1254"/>
      <c r="J735" s="1254"/>
      <c r="K735" s="1254"/>
      <c r="L735" s="1254"/>
      <c r="M735" s="1254"/>
      <c r="N735" s="1254"/>
      <c r="O735" s="1254"/>
      <c r="P735" s="1254"/>
      <c r="Q735" s="1254"/>
      <c r="R735" s="1254"/>
      <c r="S735" s="1254"/>
      <c r="T735" s="1254"/>
      <c r="U735" s="1254"/>
      <c r="V735" s="1254"/>
      <c r="W735" s="1254"/>
      <c r="X735" s="1254"/>
      <c r="Y735" s="1254"/>
    </row>
    <row r="736">
      <c r="A736" s="1254"/>
      <c r="B736" s="1263"/>
      <c r="C736" s="1263"/>
      <c r="D736" s="1317"/>
      <c r="E736" s="1318"/>
      <c r="F736" s="1254"/>
      <c r="G736" s="1254"/>
      <c r="H736" s="1254"/>
      <c r="I736" s="1254"/>
      <c r="J736" s="1254"/>
      <c r="K736" s="1254"/>
      <c r="L736" s="1254"/>
      <c r="M736" s="1254"/>
      <c r="N736" s="1254"/>
      <c r="O736" s="1254"/>
      <c r="P736" s="1254"/>
      <c r="Q736" s="1254"/>
      <c r="R736" s="1254"/>
      <c r="S736" s="1254"/>
      <c r="T736" s="1254"/>
      <c r="U736" s="1254"/>
      <c r="V736" s="1254"/>
      <c r="W736" s="1254"/>
      <c r="X736" s="1254"/>
      <c r="Y736" s="1254"/>
    </row>
    <row r="737">
      <c r="A737" s="1254"/>
      <c r="B737" s="1263"/>
      <c r="C737" s="1263"/>
      <c r="D737" s="1317"/>
      <c r="E737" s="1318"/>
      <c r="F737" s="1254"/>
      <c r="G737" s="1254"/>
      <c r="H737" s="1254"/>
      <c r="I737" s="1254"/>
      <c r="J737" s="1254"/>
      <c r="K737" s="1254"/>
      <c r="L737" s="1254"/>
      <c r="M737" s="1254"/>
      <c r="N737" s="1254"/>
      <c r="O737" s="1254"/>
      <c r="P737" s="1254"/>
      <c r="Q737" s="1254"/>
      <c r="R737" s="1254"/>
      <c r="S737" s="1254"/>
      <c r="T737" s="1254"/>
      <c r="U737" s="1254"/>
      <c r="V737" s="1254"/>
      <c r="W737" s="1254"/>
      <c r="X737" s="1254"/>
      <c r="Y737" s="1254"/>
    </row>
    <row r="738">
      <c r="A738" s="1254"/>
      <c r="B738" s="1263"/>
      <c r="C738" s="1263"/>
      <c r="D738" s="1317"/>
      <c r="E738" s="1318"/>
      <c r="F738" s="1254"/>
      <c r="G738" s="1254"/>
      <c r="H738" s="1254"/>
      <c r="I738" s="1254"/>
      <c r="J738" s="1254"/>
      <c r="K738" s="1254"/>
      <c r="L738" s="1254"/>
      <c r="M738" s="1254"/>
      <c r="N738" s="1254"/>
      <c r="O738" s="1254"/>
      <c r="P738" s="1254"/>
      <c r="Q738" s="1254"/>
      <c r="R738" s="1254"/>
      <c r="S738" s="1254"/>
      <c r="T738" s="1254"/>
      <c r="U738" s="1254"/>
      <c r="V738" s="1254"/>
      <c r="W738" s="1254"/>
      <c r="X738" s="1254"/>
      <c r="Y738" s="1254"/>
    </row>
    <row r="739">
      <c r="A739" s="1254"/>
      <c r="B739" s="1263"/>
      <c r="C739" s="1263"/>
      <c r="D739" s="1317"/>
      <c r="E739" s="1318"/>
      <c r="F739" s="1254"/>
      <c r="G739" s="1254"/>
      <c r="H739" s="1254"/>
      <c r="I739" s="1254"/>
      <c r="J739" s="1254"/>
      <c r="K739" s="1254"/>
      <c r="L739" s="1254"/>
      <c r="M739" s="1254"/>
      <c r="N739" s="1254"/>
      <c r="O739" s="1254"/>
      <c r="P739" s="1254"/>
      <c r="Q739" s="1254"/>
      <c r="R739" s="1254"/>
      <c r="S739" s="1254"/>
      <c r="T739" s="1254"/>
      <c r="U739" s="1254"/>
      <c r="V739" s="1254"/>
      <c r="W739" s="1254"/>
      <c r="X739" s="1254"/>
      <c r="Y739" s="1254"/>
    </row>
    <row r="740">
      <c r="A740" s="1254"/>
      <c r="B740" s="1263"/>
      <c r="C740" s="1263"/>
      <c r="D740" s="1317"/>
      <c r="E740" s="1318"/>
      <c r="F740" s="1254"/>
      <c r="G740" s="1254"/>
      <c r="H740" s="1254"/>
      <c r="I740" s="1254"/>
      <c r="J740" s="1254"/>
      <c r="K740" s="1254"/>
      <c r="L740" s="1254"/>
      <c r="M740" s="1254"/>
      <c r="N740" s="1254"/>
      <c r="O740" s="1254"/>
      <c r="P740" s="1254"/>
      <c r="Q740" s="1254"/>
      <c r="R740" s="1254"/>
      <c r="S740" s="1254"/>
      <c r="T740" s="1254"/>
      <c r="U740" s="1254"/>
      <c r="V740" s="1254"/>
      <c r="W740" s="1254"/>
      <c r="X740" s="1254"/>
      <c r="Y740" s="1254"/>
    </row>
    <row r="741">
      <c r="A741" s="1254"/>
      <c r="B741" s="1263"/>
      <c r="C741" s="1263"/>
      <c r="D741" s="1317"/>
      <c r="E741" s="1318"/>
      <c r="F741" s="1254"/>
      <c r="G741" s="1254"/>
      <c r="H741" s="1254"/>
      <c r="I741" s="1254"/>
      <c r="J741" s="1254"/>
      <c r="K741" s="1254"/>
      <c r="L741" s="1254"/>
      <c r="M741" s="1254"/>
      <c r="N741" s="1254"/>
      <c r="O741" s="1254"/>
      <c r="P741" s="1254"/>
      <c r="Q741" s="1254"/>
      <c r="R741" s="1254"/>
      <c r="S741" s="1254"/>
      <c r="T741" s="1254"/>
      <c r="U741" s="1254"/>
      <c r="V741" s="1254"/>
      <c r="W741" s="1254"/>
      <c r="X741" s="1254"/>
      <c r="Y741" s="1254"/>
    </row>
    <row r="742">
      <c r="A742" s="1254"/>
      <c r="B742" s="1263"/>
      <c r="C742" s="1263"/>
      <c r="D742" s="1317"/>
      <c r="E742" s="1318"/>
      <c r="F742" s="1254"/>
      <c r="G742" s="1254"/>
      <c r="H742" s="1254"/>
      <c r="I742" s="1254"/>
      <c r="J742" s="1254"/>
      <c r="K742" s="1254"/>
      <c r="L742" s="1254"/>
      <c r="M742" s="1254"/>
      <c r="N742" s="1254"/>
      <c r="O742" s="1254"/>
      <c r="P742" s="1254"/>
      <c r="Q742" s="1254"/>
      <c r="R742" s="1254"/>
      <c r="S742" s="1254"/>
      <c r="T742" s="1254"/>
      <c r="U742" s="1254"/>
      <c r="V742" s="1254"/>
      <c r="W742" s="1254"/>
      <c r="X742" s="1254"/>
      <c r="Y742" s="1254"/>
    </row>
    <row r="743">
      <c r="A743" s="1254"/>
      <c r="B743" s="1263"/>
      <c r="C743" s="1263"/>
      <c r="D743" s="1317"/>
      <c r="E743" s="1318"/>
      <c r="F743" s="1254"/>
      <c r="G743" s="1254"/>
      <c r="H743" s="1254"/>
      <c r="I743" s="1254"/>
      <c r="J743" s="1254"/>
      <c r="K743" s="1254"/>
      <c r="L743" s="1254"/>
      <c r="M743" s="1254"/>
      <c r="N743" s="1254"/>
      <c r="O743" s="1254"/>
      <c r="P743" s="1254"/>
      <c r="Q743" s="1254"/>
      <c r="R743" s="1254"/>
      <c r="S743" s="1254"/>
      <c r="T743" s="1254"/>
      <c r="U743" s="1254"/>
      <c r="V743" s="1254"/>
      <c r="W743" s="1254"/>
      <c r="X743" s="1254"/>
      <c r="Y743" s="1254"/>
    </row>
    <row r="744">
      <c r="A744" s="1254"/>
      <c r="B744" s="1263"/>
      <c r="C744" s="1263"/>
      <c r="D744" s="1317"/>
      <c r="E744" s="1318"/>
      <c r="F744" s="1254"/>
      <c r="G744" s="1254"/>
      <c r="H744" s="1254"/>
      <c r="I744" s="1254"/>
      <c r="J744" s="1254"/>
      <c r="K744" s="1254"/>
      <c r="L744" s="1254"/>
      <c r="M744" s="1254"/>
      <c r="N744" s="1254"/>
      <c r="O744" s="1254"/>
      <c r="P744" s="1254"/>
      <c r="Q744" s="1254"/>
      <c r="R744" s="1254"/>
      <c r="S744" s="1254"/>
      <c r="T744" s="1254"/>
      <c r="U744" s="1254"/>
      <c r="V744" s="1254"/>
      <c r="W744" s="1254"/>
      <c r="X744" s="1254"/>
      <c r="Y744" s="1254"/>
    </row>
    <row r="745">
      <c r="A745" s="1254"/>
      <c r="B745" s="1263"/>
      <c r="C745" s="1263"/>
      <c r="D745" s="1317"/>
      <c r="E745" s="1318"/>
      <c r="F745" s="1254"/>
      <c r="G745" s="1254"/>
      <c r="H745" s="1254"/>
      <c r="I745" s="1254"/>
      <c r="J745" s="1254"/>
      <c r="K745" s="1254"/>
      <c r="L745" s="1254"/>
      <c r="M745" s="1254"/>
      <c r="N745" s="1254"/>
      <c r="O745" s="1254"/>
      <c r="P745" s="1254"/>
      <c r="Q745" s="1254"/>
      <c r="R745" s="1254"/>
      <c r="S745" s="1254"/>
      <c r="T745" s="1254"/>
      <c r="U745" s="1254"/>
      <c r="V745" s="1254"/>
      <c r="W745" s="1254"/>
      <c r="X745" s="1254"/>
      <c r="Y745" s="1254"/>
    </row>
    <row r="746">
      <c r="A746" s="1254"/>
      <c r="B746" s="1263"/>
      <c r="C746" s="1263"/>
      <c r="D746" s="1317"/>
      <c r="E746" s="1318"/>
      <c r="F746" s="1254"/>
      <c r="G746" s="1254"/>
      <c r="H746" s="1254"/>
      <c r="I746" s="1254"/>
      <c r="J746" s="1254"/>
      <c r="K746" s="1254"/>
      <c r="L746" s="1254"/>
      <c r="M746" s="1254"/>
      <c r="N746" s="1254"/>
      <c r="O746" s="1254"/>
      <c r="P746" s="1254"/>
      <c r="Q746" s="1254"/>
      <c r="R746" s="1254"/>
      <c r="S746" s="1254"/>
      <c r="T746" s="1254"/>
      <c r="U746" s="1254"/>
      <c r="V746" s="1254"/>
      <c r="W746" s="1254"/>
      <c r="X746" s="1254"/>
      <c r="Y746" s="1254"/>
    </row>
    <row r="747">
      <c r="A747" s="1254"/>
      <c r="B747" s="1263"/>
      <c r="C747" s="1263"/>
      <c r="D747" s="1317"/>
      <c r="E747" s="1318"/>
      <c r="F747" s="1254"/>
      <c r="G747" s="1254"/>
      <c r="H747" s="1254"/>
      <c r="I747" s="1254"/>
      <c r="J747" s="1254"/>
      <c r="K747" s="1254"/>
      <c r="L747" s="1254"/>
      <c r="M747" s="1254"/>
      <c r="N747" s="1254"/>
      <c r="O747" s="1254"/>
      <c r="P747" s="1254"/>
      <c r="Q747" s="1254"/>
      <c r="R747" s="1254"/>
      <c r="S747" s="1254"/>
      <c r="T747" s="1254"/>
      <c r="U747" s="1254"/>
      <c r="V747" s="1254"/>
      <c r="W747" s="1254"/>
      <c r="X747" s="1254"/>
      <c r="Y747" s="1254"/>
    </row>
    <row r="748">
      <c r="A748" s="1254"/>
      <c r="B748" s="1263"/>
      <c r="C748" s="1263"/>
      <c r="D748" s="1317"/>
      <c r="E748" s="1318"/>
      <c r="F748" s="1254"/>
      <c r="G748" s="1254"/>
      <c r="H748" s="1254"/>
      <c r="I748" s="1254"/>
      <c r="J748" s="1254"/>
      <c r="K748" s="1254"/>
      <c r="L748" s="1254"/>
      <c r="M748" s="1254"/>
      <c r="N748" s="1254"/>
      <c r="O748" s="1254"/>
      <c r="P748" s="1254"/>
      <c r="Q748" s="1254"/>
      <c r="R748" s="1254"/>
      <c r="S748" s="1254"/>
      <c r="T748" s="1254"/>
      <c r="U748" s="1254"/>
      <c r="V748" s="1254"/>
      <c r="W748" s="1254"/>
      <c r="X748" s="1254"/>
      <c r="Y748" s="1254"/>
    </row>
    <row r="749">
      <c r="A749" s="1254"/>
      <c r="B749" s="1263"/>
      <c r="C749" s="1263"/>
      <c r="D749" s="1317"/>
      <c r="E749" s="1318"/>
      <c r="F749" s="1254"/>
      <c r="G749" s="1254"/>
      <c r="H749" s="1254"/>
      <c r="I749" s="1254"/>
      <c r="J749" s="1254"/>
      <c r="K749" s="1254"/>
      <c r="L749" s="1254"/>
      <c r="M749" s="1254"/>
      <c r="N749" s="1254"/>
      <c r="O749" s="1254"/>
      <c r="P749" s="1254"/>
      <c r="Q749" s="1254"/>
      <c r="R749" s="1254"/>
      <c r="S749" s="1254"/>
      <c r="T749" s="1254"/>
      <c r="U749" s="1254"/>
      <c r="V749" s="1254"/>
      <c r="W749" s="1254"/>
      <c r="X749" s="1254"/>
      <c r="Y749" s="1254"/>
    </row>
    <row r="750">
      <c r="A750" s="1254"/>
      <c r="B750" s="1263"/>
      <c r="C750" s="1263"/>
      <c r="D750" s="1317"/>
      <c r="E750" s="1318"/>
      <c r="F750" s="1254"/>
      <c r="G750" s="1254"/>
      <c r="H750" s="1254"/>
      <c r="I750" s="1254"/>
      <c r="J750" s="1254"/>
      <c r="K750" s="1254"/>
      <c r="L750" s="1254"/>
      <c r="M750" s="1254"/>
      <c r="N750" s="1254"/>
      <c r="O750" s="1254"/>
      <c r="P750" s="1254"/>
      <c r="Q750" s="1254"/>
      <c r="R750" s="1254"/>
      <c r="S750" s="1254"/>
      <c r="T750" s="1254"/>
      <c r="U750" s="1254"/>
      <c r="V750" s="1254"/>
      <c r="W750" s="1254"/>
      <c r="X750" s="1254"/>
      <c r="Y750" s="1254"/>
    </row>
    <row r="751">
      <c r="A751" s="1254"/>
      <c r="B751" s="1263"/>
      <c r="C751" s="1263"/>
      <c r="D751" s="1317"/>
      <c r="E751" s="1318"/>
      <c r="F751" s="1254"/>
      <c r="G751" s="1254"/>
      <c r="H751" s="1254"/>
      <c r="I751" s="1254"/>
      <c r="J751" s="1254"/>
      <c r="K751" s="1254"/>
      <c r="L751" s="1254"/>
      <c r="M751" s="1254"/>
      <c r="N751" s="1254"/>
      <c r="O751" s="1254"/>
      <c r="P751" s="1254"/>
      <c r="Q751" s="1254"/>
      <c r="R751" s="1254"/>
      <c r="S751" s="1254"/>
      <c r="T751" s="1254"/>
      <c r="U751" s="1254"/>
      <c r="V751" s="1254"/>
      <c r="W751" s="1254"/>
      <c r="X751" s="1254"/>
      <c r="Y751" s="1254"/>
    </row>
    <row r="752">
      <c r="A752" s="1254"/>
      <c r="B752" s="1263"/>
      <c r="C752" s="1263"/>
      <c r="D752" s="1317"/>
      <c r="E752" s="1318"/>
      <c r="F752" s="1254"/>
      <c r="G752" s="1254"/>
      <c r="H752" s="1254"/>
      <c r="I752" s="1254"/>
      <c r="J752" s="1254"/>
      <c r="K752" s="1254"/>
      <c r="L752" s="1254"/>
      <c r="M752" s="1254"/>
      <c r="N752" s="1254"/>
      <c r="O752" s="1254"/>
      <c r="P752" s="1254"/>
      <c r="Q752" s="1254"/>
      <c r="R752" s="1254"/>
      <c r="S752" s="1254"/>
      <c r="T752" s="1254"/>
      <c r="U752" s="1254"/>
      <c r="V752" s="1254"/>
      <c r="W752" s="1254"/>
      <c r="X752" s="1254"/>
      <c r="Y752" s="1254"/>
    </row>
    <row r="753">
      <c r="A753" s="1254"/>
      <c r="B753" s="1263"/>
      <c r="C753" s="1263"/>
      <c r="D753" s="1317"/>
      <c r="E753" s="1318"/>
      <c r="F753" s="1254"/>
      <c r="G753" s="1254"/>
      <c r="H753" s="1254"/>
      <c r="I753" s="1254"/>
      <c r="J753" s="1254"/>
      <c r="K753" s="1254"/>
      <c r="L753" s="1254"/>
      <c r="M753" s="1254"/>
      <c r="N753" s="1254"/>
      <c r="O753" s="1254"/>
      <c r="P753" s="1254"/>
      <c r="Q753" s="1254"/>
      <c r="R753" s="1254"/>
      <c r="S753" s="1254"/>
      <c r="T753" s="1254"/>
      <c r="U753" s="1254"/>
      <c r="V753" s="1254"/>
      <c r="W753" s="1254"/>
      <c r="X753" s="1254"/>
      <c r="Y753" s="1254"/>
    </row>
    <row r="754">
      <c r="A754" s="1254"/>
      <c r="B754" s="1263"/>
      <c r="C754" s="1263"/>
      <c r="D754" s="1317"/>
      <c r="E754" s="1318"/>
      <c r="F754" s="1254"/>
      <c r="G754" s="1254"/>
      <c r="H754" s="1254"/>
      <c r="I754" s="1254"/>
      <c r="J754" s="1254"/>
      <c r="K754" s="1254"/>
      <c r="L754" s="1254"/>
      <c r="M754" s="1254"/>
      <c r="N754" s="1254"/>
      <c r="O754" s="1254"/>
      <c r="P754" s="1254"/>
      <c r="Q754" s="1254"/>
      <c r="R754" s="1254"/>
      <c r="S754" s="1254"/>
      <c r="T754" s="1254"/>
      <c r="U754" s="1254"/>
      <c r="V754" s="1254"/>
      <c r="W754" s="1254"/>
      <c r="X754" s="1254"/>
      <c r="Y754" s="1254"/>
    </row>
    <row r="755">
      <c r="A755" s="1254"/>
      <c r="B755" s="1263"/>
      <c r="C755" s="1263"/>
      <c r="D755" s="1317"/>
      <c r="E755" s="1318"/>
      <c r="F755" s="1254"/>
      <c r="G755" s="1254"/>
      <c r="H755" s="1254"/>
      <c r="I755" s="1254"/>
      <c r="J755" s="1254"/>
      <c r="K755" s="1254"/>
      <c r="L755" s="1254"/>
      <c r="M755" s="1254"/>
      <c r="N755" s="1254"/>
      <c r="O755" s="1254"/>
      <c r="P755" s="1254"/>
      <c r="Q755" s="1254"/>
      <c r="R755" s="1254"/>
      <c r="S755" s="1254"/>
      <c r="T755" s="1254"/>
      <c r="U755" s="1254"/>
      <c r="V755" s="1254"/>
      <c r="W755" s="1254"/>
      <c r="X755" s="1254"/>
      <c r="Y755" s="1254"/>
    </row>
    <row r="756">
      <c r="A756" s="1254"/>
      <c r="B756" s="1263"/>
      <c r="C756" s="1263"/>
      <c r="D756" s="1317"/>
      <c r="E756" s="1318"/>
      <c r="F756" s="1254"/>
      <c r="G756" s="1254"/>
      <c r="H756" s="1254"/>
      <c r="I756" s="1254"/>
      <c r="J756" s="1254"/>
      <c r="K756" s="1254"/>
      <c r="L756" s="1254"/>
      <c r="M756" s="1254"/>
      <c r="N756" s="1254"/>
      <c r="O756" s="1254"/>
      <c r="P756" s="1254"/>
      <c r="Q756" s="1254"/>
      <c r="R756" s="1254"/>
      <c r="S756" s="1254"/>
      <c r="T756" s="1254"/>
      <c r="U756" s="1254"/>
      <c r="V756" s="1254"/>
      <c r="W756" s="1254"/>
      <c r="X756" s="1254"/>
      <c r="Y756" s="1254"/>
    </row>
    <row r="757">
      <c r="A757" s="1254"/>
      <c r="B757" s="1263"/>
      <c r="C757" s="1263"/>
      <c r="D757" s="1317"/>
      <c r="E757" s="1318"/>
      <c r="F757" s="1254"/>
      <c r="G757" s="1254"/>
      <c r="H757" s="1254"/>
      <c r="I757" s="1254"/>
      <c r="J757" s="1254"/>
      <c r="K757" s="1254"/>
      <c r="L757" s="1254"/>
      <c r="M757" s="1254"/>
      <c r="N757" s="1254"/>
      <c r="O757" s="1254"/>
      <c r="P757" s="1254"/>
      <c r="Q757" s="1254"/>
      <c r="R757" s="1254"/>
      <c r="S757" s="1254"/>
      <c r="T757" s="1254"/>
      <c r="U757" s="1254"/>
      <c r="V757" s="1254"/>
      <c r="W757" s="1254"/>
      <c r="X757" s="1254"/>
      <c r="Y757" s="1254"/>
    </row>
    <row r="758">
      <c r="A758" s="1254"/>
      <c r="B758" s="1263"/>
      <c r="C758" s="1263"/>
      <c r="D758" s="1317"/>
      <c r="E758" s="1318"/>
      <c r="F758" s="1254"/>
      <c r="G758" s="1254"/>
      <c r="H758" s="1254"/>
      <c r="I758" s="1254"/>
      <c r="J758" s="1254"/>
      <c r="K758" s="1254"/>
      <c r="L758" s="1254"/>
      <c r="M758" s="1254"/>
      <c r="N758" s="1254"/>
      <c r="O758" s="1254"/>
      <c r="P758" s="1254"/>
      <c r="Q758" s="1254"/>
      <c r="R758" s="1254"/>
      <c r="S758" s="1254"/>
      <c r="T758" s="1254"/>
      <c r="U758" s="1254"/>
      <c r="V758" s="1254"/>
      <c r="W758" s="1254"/>
      <c r="X758" s="1254"/>
      <c r="Y758" s="1254"/>
    </row>
    <row r="759">
      <c r="A759" s="1254"/>
      <c r="B759" s="1263"/>
      <c r="C759" s="1263"/>
      <c r="D759" s="1317"/>
      <c r="E759" s="1318"/>
      <c r="F759" s="1254"/>
      <c r="G759" s="1254"/>
      <c r="H759" s="1254"/>
      <c r="I759" s="1254"/>
      <c r="J759" s="1254"/>
      <c r="K759" s="1254"/>
      <c r="L759" s="1254"/>
      <c r="M759" s="1254"/>
      <c r="N759" s="1254"/>
      <c r="O759" s="1254"/>
      <c r="P759" s="1254"/>
      <c r="Q759" s="1254"/>
      <c r="R759" s="1254"/>
      <c r="S759" s="1254"/>
      <c r="T759" s="1254"/>
      <c r="U759" s="1254"/>
      <c r="V759" s="1254"/>
      <c r="W759" s="1254"/>
      <c r="X759" s="1254"/>
      <c r="Y759" s="1254"/>
    </row>
    <row r="760">
      <c r="A760" s="1254"/>
      <c r="B760" s="1263"/>
      <c r="C760" s="1263"/>
      <c r="D760" s="1317"/>
      <c r="E760" s="1318"/>
      <c r="F760" s="1254"/>
      <c r="G760" s="1254"/>
      <c r="H760" s="1254"/>
      <c r="I760" s="1254"/>
      <c r="J760" s="1254"/>
      <c r="K760" s="1254"/>
      <c r="L760" s="1254"/>
      <c r="M760" s="1254"/>
      <c r="N760" s="1254"/>
      <c r="O760" s="1254"/>
      <c r="P760" s="1254"/>
      <c r="Q760" s="1254"/>
      <c r="R760" s="1254"/>
      <c r="S760" s="1254"/>
      <c r="T760" s="1254"/>
      <c r="U760" s="1254"/>
      <c r="V760" s="1254"/>
      <c r="W760" s="1254"/>
      <c r="X760" s="1254"/>
      <c r="Y760" s="1254"/>
    </row>
    <row r="761">
      <c r="A761" s="1254"/>
      <c r="B761" s="1263"/>
      <c r="C761" s="1263"/>
      <c r="D761" s="1317"/>
      <c r="E761" s="1318"/>
      <c r="F761" s="1254"/>
      <c r="G761" s="1254"/>
      <c r="H761" s="1254"/>
      <c r="I761" s="1254"/>
      <c r="J761" s="1254"/>
      <c r="K761" s="1254"/>
      <c r="L761" s="1254"/>
      <c r="M761" s="1254"/>
      <c r="N761" s="1254"/>
      <c r="O761" s="1254"/>
      <c r="P761" s="1254"/>
      <c r="Q761" s="1254"/>
      <c r="R761" s="1254"/>
      <c r="S761" s="1254"/>
      <c r="T761" s="1254"/>
      <c r="U761" s="1254"/>
      <c r="V761" s="1254"/>
      <c r="W761" s="1254"/>
      <c r="X761" s="1254"/>
      <c r="Y761" s="1254"/>
    </row>
    <row r="762">
      <c r="A762" s="1254"/>
      <c r="B762" s="1263"/>
      <c r="C762" s="1263"/>
      <c r="D762" s="1317"/>
      <c r="E762" s="1318"/>
      <c r="F762" s="1254"/>
      <c r="G762" s="1254"/>
      <c r="H762" s="1254"/>
      <c r="I762" s="1254"/>
      <c r="J762" s="1254"/>
      <c r="K762" s="1254"/>
      <c r="L762" s="1254"/>
      <c r="M762" s="1254"/>
      <c r="N762" s="1254"/>
      <c r="O762" s="1254"/>
      <c r="P762" s="1254"/>
      <c r="Q762" s="1254"/>
      <c r="R762" s="1254"/>
      <c r="S762" s="1254"/>
      <c r="T762" s="1254"/>
      <c r="U762" s="1254"/>
      <c r="V762" s="1254"/>
      <c r="W762" s="1254"/>
      <c r="X762" s="1254"/>
      <c r="Y762" s="1254"/>
    </row>
    <row r="763">
      <c r="A763" s="1254"/>
      <c r="B763" s="1263"/>
      <c r="C763" s="1263"/>
      <c r="D763" s="1317"/>
      <c r="E763" s="1318"/>
      <c r="F763" s="1254"/>
      <c r="G763" s="1254"/>
      <c r="H763" s="1254"/>
      <c r="I763" s="1254"/>
      <c r="J763" s="1254"/>
      <c r="K763" s="1254"/>
      <c r="L763" s="1254"/>
      <c r="M763" s="1254"/>
      <c r="N763" s="1254"/>
      <c r="O763" s="1254"/>
      <c r="P763" s="1254"/>
      <c r="Q763" s="1254"/>
      <c r="R763" s="1254"/>
      <c r="S763" s="1254"/>
      <c r="T763" s="1254"/>
      <c r="U763" s="1254"/>
      <c r="V763" s="1254"/>
      <c r="W763" s="1254"/>
      <c r="X763" s="1254"/>
      <c r="Y763" s="1254"/>
    </row>
    <row r="764">
      <c r="A764" s="1254"/>
      <c r="B764" s="1263"/>
      <c r="C764" s="1263"/>
      <c r="D764" s="1317"/>
      <c r="E764" s="1318"/>
      <c r="F764" s="1254"/>
      <c r="G764" s="1254"/>
      <c r="H764" s="1254"/>
      <c r="I764" s="1254"/>
      <c r="J764" s="1254"/>
      <c r="K764" s="1254"/>
      <c r="L764" s="1254"/>
      <c r="M764" s="1254"/>
      <c r="N764" s="1254"/>
      <c r="O764" s="1254"/>
      <c r="P764" s="1254"/>
      <c r="Q764" s="1254"/>
      <c r="R764" s="1254"/>
      <c r="S764" s="1254"/>
      <c r="T764" s="1254"/>
      <c r="U764" s="1254"/>
      <c r="V764" s="1254"/>
      <c r="W764" s="1254"/>
      <c r="X764" s="1254"/>
      <c r="Y764" s="1254"/>
    </row>
    <row r="765">
      <c r="A765" s="1254"/>
      <c r="B765" s="1263"/>
      <c r="C765" s="1263"/>
      <c r="D765" s="1317"/>
      <c r="E765" s="1318"/>
      <c r="F765" s="1254"/>
      <c r="G765" s="1254"/>
      <c r="H765" s="1254"/>
      <c r="I765" s="1254"/>
      <c r="J765" s="1254"/>
      <c r="K765" s="1254"/>
      <c r="L765" s="1254"/>
      <c r="M765" s="1254"/>
      <c r="N765" s="1254"/>
      <c r="O765" s="1254"/>
      <c r="P765" s="1254"/>
      <c r="Q765" s="1254"/>
      <c r="R765" s="1254"/>
      <c r="S765" s="1254"/>
      <c r="T765" s="1254"/>
      <c r="U765" s="1254"/>
      <c r="V765" s="1254"/>
      <c r="W765" s="1254"/>
      <c r="X765" s="1254"/>
      <c r="Y765" s="1254"/>
    </row>
    <row r="766">
      <c r="A766" s="1254"/>
      <c r="B766" s="1263"/>
      <c r="C766" s="1263"/>
      <c r="D766" s="1317"/>
      <c r="E766" s="1318"/>
      <c r="F766" s="1254"/>
      <c r="G766" s="1254"/>
      <c r="H766" s="1254"/>
      <c r="I766" s="1254"/>
      <c r="J766" s="1254"/>
      <c r="K766" s="1254"/>
      <c r="L766" s="1254"/>
      <c r="M766" s="1254"/>
      <c r="N766" s="1254"/>
      <c r="O766" s="1254"/>
      <c r="P766" s="1254"/>
      <c r="Q766" s="1254"/>
      <c r="R766" s="1254"/>
      <c r="S766" s="1254"/>
      <c r="T766" s="1254"/>
      <c r="U766" s="1254"/>
      <c r="V766" s="1254"/>
      <c r="W766" s="1254"/>
      <c r="X766" s="1254"/>
      <c r="Y766" s="1254"/>
    </row>
    <row r="767">
      <c r="A767" s="1254"/>
      <c r="B767" s="1263"/>
      <c r="C767" s="1263"/>
      <c r="D767" s="1317"/>
      <c r="E767" s="1318"/>
      <c r="F767" s="1254"/>
      <c r="G767" s="1254"/>
      <c r="H767" s="1254"/>
      <c r="I767" s="1254"/>
      <c r="J767" s="1254"/>
      <c r="K767" s="1254"/>
      <c r="L767" s="1254"/>
      <c r="M767" s="1254"/>
      <c r="N767" s="1254"/>
      <c r="O767" s="1254"/>
      <c r="P767" s="1254"/>
      <c r="Q767" s="1254"/>
      <c r="R767" s="1254"/>
      <c r="S767" s="1254"/>
      <c r="T767" s="1254"/>
      <c r="U767" s="1254"/>
      <c r="V767" s="1254"/>
      <c r="W767" s="1254"/>
      <c r="X767" s="1254"/>
      <c r="Y767" s="1254"/>
    </row>
    <row r="768">
      <c r="A768" s="1254"/>
      <c r="B768" s="1263"/>
      <c r="C768" s="1263"/>
      <c r="D768" s="1317"/>
      <c r="E768" s="1318"/>
      <c r="F768" s="1254"/>
      <c r="G768" s="1254"/>
      <c r="H768" s="1254"/>
      <c r="I768" s="1254"/>
      <c r="J768" s="1254"/>
      <c r="K768" s="1254"/>
      <c r="L768" s="1254"/>
      <c r="M768" s="1254"/>
      <c r="N768" s="1254"/>
      <c r="O768" s="1254"/>
      <c r="P768" s="1254"/>
      <c r="Q768" s="1254"/>
      <c r="R768" s="1254"/>
      <c r="S768" s="1254"/>
      <c r="T768" s="1254"/>
      <c r="U768" s="1254"/>
      <c r="V768" s="1254"/>
      <c r="W768" s="1254"/>
      <c r="X768" s="1254"/>
      <c r="Y768" s="1254"/>
    </row>
    <row r="769">
      <c r="A769" s="1254"/>
      <c r="B769" s="1263"/>
      <c r="C769" s="1263"/>
      <c r="D769" s="1317"/>
      <c r="E769" s="1318"/>
      <c r="F769" s="1254"/>
      <c r="G769" s="1254"/>
      <c r="H769" s="1254"/>
      <c r="I769" s="1254"/>
      <c r="J769" s="1254"/>
      <c r="K769" s="1254"/>
      <c r="L769" s="1254"/>
      <c r="M769" s="1254"/>
      <c r="N769" s="1254"/>
      <c r="O769" s="1254"/>
      <c r="P769" s="1254"/>
      <c r="Q769" s="1254"/>
      <c r="R769" s="1254"/>
      <c r="S769" s="1254"/>
      <c r="T769" s="1254"/>
      <c r="U769" s="1254"/>
      <c r="V769" s="1254"/>
      <c r="W769" s="1254"/>
      <c r="X769" s="1254"/>
      <c r="Y769" s="1254"/>
    </row>
    <row r="770">
      <c r="A770" s="1254"/>
      <c r="B770" s="1263"/>
      <c r="C770" s="1263"/>
      <c r="D770" s="1317"/>
      <c r="E770" s="1318"/>
      <c r="F770" s="1254"/>
      <c r="G770" s="1254"/>
      <c r="H770" s="1254"/>
      <c r="I770" s="1254"/>
      <c r="J770" s="1254"/>
      <c r="K770" s="1254"/>
      <c r="L770" s="1254"/>
      <c r="M770" s="1254"/>
      <c r="N770" s="1254"/>
      <c r="O770" s="1254"/>
      <c r="P770" s="1254"/>
      <c r="Q770" s="1254"/>
      <c r="R770" s="1254"/>
      <c r="S770" s="1254"/>
      <c r="T770" s="1254"/>
      <c r="U770" s="1254"/>
      <c r="V770" s="1254"/>
      <c r="W770" s="1254"/>
      <c r="X770" s="1254"/>
      <c r="Y770" s="1254"/>
    </row>
    <row r="771">
      <c r="A771" s="1254"/>
      <c r="B771" s="1263"/>
      <c r="C771" s="1263"/>
      <c r="D771" s="1317"/>
      <c r="E771" s="1318"/>
      <c r="F771" s="1254"/>
      <c r="G771" s="1254"/>
      <c r="H771" s="1254"/>
      <c r="I771" s="1254"/>
      <c r="J771" s="1254"/>
      <c r="K771" s="1254"/>
      <c r="L771" s="1254"/>
      <c r="M771" s="1254"/>
      <c r="N771" s="1254"/>
      <c r="O771" s="1254"/>
      <c r="P771" s="1254"/>
      <c r="Q771" s="1254"/>
      <c r="R771" s="1254"/>
      <c r="S771" s="1254"/>
      <c r="T771" s="1254"/>
      <c r="U771" s="1254"/>
      <c r="V771" s="1254"/>
      <c r="W771" s="1254"/>
      <c r="X771" s="1254"/>
      <c r="Y771" s="1254"/>
    </row>
    <row r="772">
      <c r="A772" s="1254"/>
      <c r="B772" s="1263"/>
      <c r="C772" s="1263"/>
      <c r="D772" s="1317"/>
      <c r="E772" s="1318"/>
      <c r="F772" s="1254"/>
      <c r="G772" s="1254"/>
      <c r="H772" s="1254"/>
      <c r="I772" s="1254"/>
      <c r="J772" s="1254"/>
      <c r="K772" s="1254"/>
      <c r="L772" s="1254"/>
      <c r="M772" s="1254"/>
      <c r="N772" s="1254"/>
      <c r="O772" s="1254"/>
      <c r="P772" s="1254"/>
      <c r="Q772" s="1254"/>
      <c r="R772" s="1254"/>
      <c r="S772" s="1254"/>
      <c r="T772" s="1254"/>
      <c r="U772" s="1254"/>
      <c r="V772" s="1254"/>
      <c r="W772" s="1254"/>
      <c r="X772" s="1254"/>
      <c r="Y772" s="1254"/>
    </row>
    <row r="773">
      <c r="A773" s="1254"/>
      <c r="B773" s="1263"/>
      <c r="C773" s="1263"/>
      <c r="D773" s="1317"/>
      <c r="E773" s="1318"/>
      <c r="F773" s="1254"/>
      <c r="G773" s="1254"/>
      <c r="H773" s="1254"/>
      <c r="I773" s="1254"/>
      <c r="J773" s="1254"/>
      <c r="K773" s="1254"/>
      <c r="L773" s="1254"/>
      <c r="M773" s="1254"/>
      <c r="N773" s="1254"/>
      <c r="O773" s="1254"/>
      <c r="P773" s="1254"/>
      <c r="Q773" s="1254"/>
      <c r="R773" s="1254"/>
      <c r="S773" s="1254"/>
      <c r="T773" s="1254"/>
      <c r="U773" s="1254"/>
      <c r="V773" s="1254"/>
      <c r="W773" s="1254"/>
      <c r="X773" s="1254"/>
      <c r="Y773" s="1254"/>
    </row>
    <row r="774">
      <c r="A774" s="1254"/>
      <c r="B774" s="1263"/>
      <c r="C774" s="1263"/>
      <c r="D774" s="1317"/>
      <c r="E774" s="1318"/>
      <c r="F774" s="1254"/>
      <c r="G774" s="1254"/>
      <c r="H774" s="1254"/>
      <c r="I774" s="1254"/>
      <c r="J774" s="1254"/>
      <c r="K774" s="1254"/>
      <c r="L774" s="1254"/>
      <c r="M774" s="1254"/>
      <c r="N774" s="1254"/>
      <c r="O774" s="1254"/>
      <c r="P774" s="1254"/>
      <c r="Q774" s="1254"/>
      <c r="R774" s="1254"/>
      <c r="S774" s="1254"/>
      <c r="T774" s="1254"/>
      <c r="U774" s="1254"/>
      <c r="V774" s="1254"/>
      <c r="W774" s="1254"/>
      <c r="X774" s="1254"/>
      <c r="Y774" s="1254"/>
    </row>
    <row r="775">
      <c r="A775" s="1254"/>
      <c r="B775" s="1263"/>
      <c r="C775" s="1263"/>
      <c r="D775" s="1317"/>
      <c r="E775" s="1318"/>
      <c r="F775" s="1254"/>
      <c r="G775" s="1254"/>
      <c r="H775" s="1254"/>
      <c r="I775" s="1254"/>
      <c r="J775" s="1254"/>
      <c r="K775" s="1254"/>
      <c r="L775" s="1254"/>
      <c r="M775" s="1254"/>
      <c r="N775" s="1254"/>
      <c r="O775" s="1254"/>
      <c r="P775" s="1254"/>
      <c r="Q775" s="1254"/>
      <c r="R775" s="1254"/>
      <c r="S775" s="1254"/>
      <c r="T775" s="1254"/>
      <c r="U775" s="1254"/>
      <c r="V775" s="1254"/>
      <c r="W775" s="1254"/>
      <c r="X775" s="1254"/>
      <c r="Y775" s="1254"/>
    </row>
    <row r="776">
      <c r="A776" s="1254"/>
      <c r="B776" s="1263"/>
      <c r="C776" s="1263"/>
      <c r="D776" s="1317"/>
      <c r="E776" s="1318"/>
      <c r="F776" s="1254"/>
      <c r="G776" s="1254"/>
      <c r="H776" s="1254"/>
      <c r="I776" s="1254"/>
      <c r="J776" s="1254"/>
      <c r="K776" s="1254"/>
      <c r="L776" s="1254"/>
      <c r="M776" s="1254"/>
      <c r="N776" s="1254"/>
      <c r="O776" s="1254"/>
      <c r="P776" s="1254"/>
      <c r="Q776" s="1254"/>
      <c r="R776" s="1254"/>
      <c r="S776" s="1254"/>
      <c r="T776" s="1254"/>
      <c r="U776" s="1254"/>
      <c r="V776" s="1254"/>
      <c r="W776" s="1254"/>
      <c r="X776" s="1254"/>
      <c r="Y776" s="1254"/>
    </row>
    <row r="777">
      <c r="A777" s="1254"/>
      <c r="B777" s="1263"/>
      <c r="C777" s="1263"/>
      <c r="D777" s="1317"/>
      <c r="E777" s="1318"/>
      <c r="F777" s="1254"/>
      <c r="G777" s="1254"/>
      <c r="H777" s="1254"/>
      <c r="I777" s="1254"/>
      <c r="J777" s="1254"/>
      <c r="K777" s="1254"/>
      <c r="L777" s="1254"/>
      <c r="M777" s="1254"/>
      <c r="N777" s="1254"/>
      <c r="O777" s="1254"/>
      <c r="P777" s="1254"/>
      <c r="Q777" s="1254"/>
      <c r="R777" s="1254"/>
      <c r="S777" s="1254"/>
      <c r="T777" s="1254"/>
      <c r="U777" s="1254"/>
      <c r="V777" s="1254"/>
      <c r="W777" s="1254"/>
      <c r="X777" s="1254"/>
      <c r="Y777" s="1254"/>
    </row>
    <row r="778">
      <c r="A778" s="1254"/>
      <c r="B778" s="1263"/>
      <c r="C778" s="1263"/>
      <c r="D778" s="1317"/>
      <c r="E778" s="1318"/>
      <c r="F778" s="1254"/>
      <c r="G778" s="1254"/>
      <c r="H778" s="1254"/>
      <c r="I778" s="1254"/>
      <c r="J778" s="1254"/>
      <c r="K778" s="1254"/>
      <c r="L778" s="1254"/>
      <c r="M778" s="1254"/>
      <c r="N778" s="1254"/>
      <c r="O778" s="1254"/>
      <c r="P778" s="1254"/>
      <c r="Q778" s="1254"/>
      <c r="R778" s="1254"/>
      <c r="S778" s="1254"/>
      <c r="T778" s="1254"/>
      <c r="U778" s="1254"/>
      <c r="V778" s="1254"/>
      <c r="W778" s="1254"/>
      <c r="X778" s="1254"/>
      <c r="Y778" s="1254"/>
    </row>
    <row r="779">
      <c r="A779" s="1254"/>
      <c r="B779" s="1263"/>
      <c r="C779" s="1263"/>
      <c r="D779" s="1317"/>
      <c r="E779" s="1318"/>
      <c r="F779" s="1254"/>
      <c r="G779" s="1254"/>
      <c r="H779" s="1254"/>
      <c r="I779" s="1254"/>
      <c r="J779" s="1254"/>
      <c r="K779" s="1254"/>
      <c r="L779" s="1254"/>
      <c r="M779" s="1254"/>
      <c r="N779" s="1254"/>
      <c r="O779" s="1254"/>
      <c r="P779" s="1254"/>
      <c r="Q779" s="1254"/>
      <c r="R779" s="1254"/>
      <c r="S779" s="1254"/>
      <c r="T779" s="1254"/>
      <c r="U779" s="1254"/>
      <c r="V779" s="1254"/>
      <c r="W779" s="1254"/>
      <c r="X779" s="1254"/>
      <c r="Y779" s="1254"/>
    </row>
    <row r="780">
      <c r="A780" s="1254"/>
      <c r="B780" s="1263"/>
      <c r="C780" s="1263"/>
      <c r="D780" s="1317"/>
      <c r="E780" s="1318"/>
      <c r="F780" s="1254"/>
      <c r="G780" s="1254"/>
      <c r="H780" s="1254"/>
      <c r="I780" s="1254"/>
      <c r="J780" s="1254"/>
      <c r="K780" s="1254"/>
      <c r="L780" s="1254"/>
      <c r="M780" s="1254"/>
      <c r="N780" s="1254"/>
      <c r="O780" s="1254"/>
      <c r="P780" s="1254"/>
      <c r="Q780" s="1254"/>
      <c r="R780" s="1254"/>
      <c r="S780" s="1254"/>
      <c r="T780" s="1254"/>
      <c r="U780" s="1254"/>
      <c r="V780" s="1254"/>
      <c r="W780" s="1254"/>
      <c r="X780" s="1254"/>
      <c r="Y780" s="1254"/>
    </row>
    <row r="781">
      <c r="A781" s="1254"/>
      <c r="B781" s="1263"/>
      <c r="C781" s="1263"/>
      <c r="D781" s="1317"/>
      <c r="E781" s="1318"/>
      <c r="F781" s="1254"/>
      <c r="G781" s="1254"/>
      <c r="H781" s="1254"/>
      <c r="I781" s="1254"/>
      <c r="J781" s="1254"/>
      <c r="K781" s="1254"/>
      <c r="L781" s="1254"/>
      <c r="M781" s="1254"/>
      <c r="N781" s="1254"/>
      <c r="O781" s="1254"/>
      <c r="P781" s="1254"/>
      <c r="Q781" s="1254"/>
      <c r="R781" s="1254"/>
      <c r="S781" s="1254"/>
      <c r="T781" s="1254"/>
      <c r="U781" s="1254"/>
      <c r="V781" s="1254"/>
      <c r="W781" s="1254"/>
      <c r="X781" s="1254"/>
      <c r="Y781" s="1254"/>
    </row>
    <row r="782">
      <c r="A782" s="1254"/>
      <c r="B782" s="1263"/>
      <c r="C782" s="1263"/>
      <c r="D782" s="1317"/>
      <c r="E782" s="1318"/>
      <c r="F782" s="1254"/>
      <c r="G782" s="1254"/>
      <c r="H782" s="1254"/>
      <c r="I782" s="1254"/>
      <c r="J782" s="1254"/>
      <c r="K782" s="1254"/>
      <c r="L782" s="1254"/>
      <c r="M782" s="1254"/>
      <c r="N782" s="1254"/>
      <c r="O782" s="1254"/>
      <c r="P782" s="1254"/>
      <c r="Q782" s="1254"/>
      <c r="R782" s="1254"/>
      <c r="S782" s="1254"/>
      <c r="T782" s="1254"/>
      <c r="U782" s="1254"/>
      <c r="V782" s="1254"/>
      <c r="W782" s="1254"/>
      <c r="X782" s="1254"/>
      <c r="Y782" s="1254"/>
    </row>
    <row r="783">
      <c r="A783" s="1254"/>
      <c r="B783" s="1263"/>
      <c r="C783" s="1263"/>
      <c r="D783" s="1317"/>
      <c r="E783" s="1318"/>
      <c r="F783" s="1254"/>
      <c r="G783" s="1254"/>
      <c r="H783" s="1254"/>
      <c r="I783" s="1254"/>
      <c r="J783" s="1254"/>
      <c r="K783" s="1254"/>
      <c r="L783" s="1254"/>
      <c r="M783" s="1254"/>
      <c r="N783" s="1254"/>
      <c r="O783" s="1254"/>
      <c r="P783" s="1254"/>
      <c r="Q783" s="1254"/>
      <c r="R783" s="1254"/>
      <c r="S783" s="1254"/>
      <c r="T783" s="1254"/>
      <c r="U783" s="1254"/>
      <c r="V783" s="1254"/>
      <c r="W783" s="1254"/>
      <c r="X783" s="1254"/>
      <c r="Y783" s="1254"/>
    </row>
    <row r="784">
      <c r="A784" s="1254"/>
      <c r="B784" s="1263"/>
      <c r="C784" s="1263"/>
      <c r="D784" s="1317"/>
      <c r="E784" s="1318"/>
      <c r="F784" s="1254"/>
      <c r="G784" s="1254"/>
      <c r="H784" s="1254"/>
      <c r="I784" s="1254"/>
      <c r="J784" s="1254"/>
      <c r="K784" s="1254"/>
      <c r="L784" s="1254"/>
      <c r="M784" s="1254"/>
      <c r="N784" s="1254"/>
      <c r="O784" s="1254"/>
      <c r="P784" s="1254"/>
      <c r="Q784" s="1254"/>
      <c r="R784" s="1254"/>
      <c r="S784" s="1254"/>
      <c r="T784" s="1254"/>
      <c r="U784" s="1254"/>
      <c r="V784" s="1254"/>
      <c r="W784" s="1254"/>
      <c r="X784" s="1254"/>
      <c r="Y784" s="1254"/>
    </row>
    <row r="785">
      <c r="A785" s="1254"/>
      <c r="B785" s="1263"/>
      <c r="C785" s="1263"/>
      <c r="D785" s="1317"/>
      <c r="E785" s="1318"/>
      <c r="F785" s="1254"/>
      <c r="G785" s="1254"/>
      <c r="H785" s="1254"/>
      <c r="I785" s="1254"/>
      <c r="J785" s="1254"/>
      <c r="K785" s="1254"/>
      <c r="L785" s="1254"/>
      <c r="M785" s="1254"/>
      <c r="N785" s="1254"/>
      <c r="O785" s="1254"/>
      <c r="P785" s="1254"/>
      <c r="Q785" s="1254"/>
      <c r="R785" s="1254"/>
      <c r="S785" s="1254"/>
      <c r="T785" s="1254"/>
      <c r="U785" s="1254"/>
      <c r="V785" s="1254"/>
      <c r="W785" s="1254"/>
      <c r="X785" s="1254"/>
      <c r="Y785" s="1254"/>
    </row>
    <row r="786">
      <c r="A786" s="1254"/>
      <c r="B786" s="1263"/>
      <c r="C786" s="1263"/>
      <c r="D786" s="1317"/>
      <c r="E786" s="1318"/>
      <c r="F786" s="1254"/>
      <c r="G786" s="1254"/>
      <c r="H786" s="1254"/>
      <c r="I786" s="1254"/>
      <c r="J786" s="1254"/>
      <c r="K786" s="1254"/>
      <c r="L786" s="1254"/>
      <c r="M786" s="1254"/>
      <c r="N786" s="1254"/>
      <c r="O786" s="1254"/>
      <c r="P786" s="1254"/>
      <c r="Q786" s="1254"/>
      <c r="R786" s="1254"/>
      <c r="S786" s="1254"/>
      <c r="T786" s="1254"/>
      <c r="U786" s="1254"/>
      <c r="V786" s="1254"/>
      <c r="W786" s="1254"/>
      <c r="X786" s="1254"/>
      <c r="Y786" s="1254"/>
    </row>
    <row r="787">
      <c r="A787" s="1254"/>
      <c r="B787" s="1263"/>
      <c r="C787" s="1263"/>
      <c r="D787" s="1317"/>
      <c r="E787" s="1318"/>
      <c r="F787" s="1254"/>
      <c r="G787" s="1254"/>
      <c r="H787" s="1254"/>
      <c r="I787" s="1254"/>
      <c r="J787" s="1254"/>
      <c r="K787" s="1254"/>
      <c r="L787" s="1254"/>
      <c r="M787" s="1254"/>
      <c r="N787" s="1254"/>
      <c r="O787" s="1254"/>
      <c r="P787" s="1254"/>
      <c r="Q787" s="1254"/>
      <c r="R787" s="1254"/>
      <c r="S787" s="1254"/>
      <c r="T787" s="1254"/>
      <c r="U787" s="1254"/>
      <c r="V787" s="1254"/>
      <c r="W787" s="1254"/>
      <c r="X787" s="1254"/>
      <c r="Y787" s="1254"/>
    </row>
    <row r="788">
      <c r="A788" s="1254"/>
      <c r="B788" s="1263"/>
      <c r="C788" s="1263"/>
      <c r="D788" s="1317"/>
      <c r="E788" s="1318"/>
      <c r="F788" s="1254"/>
      <c r="G788" s="1254"/>
      <c r="H788" s="1254"/>
      <c r="I788" s="1254"/>
      <c r="J788" s="1254"/>
      <c r="K788" s="1254"/>
      <c r="L788" s="1254"/>
      <c r="M788" s="1254"/>
      <c r="N788" s="1254"/>
      <c r="O788" s="1254"/>
      <c r="P788" s="1254"/>
      <c r="Q788" s="1254"/>
      <c r="R788" s="1254"/>
      <c r="S788" s="1254"/>
      <c r="T788" s="1254"/>
      <c r="U788" s="1254"/>
      <c r="V788" s="1254"/>
      <c r="W788" s="1254"/>
      <c r="X788" s="1254"/>
      <c r="Y788" s="1254"/>
    </row>
    <row r="789">
      <c r="A789" s="1254"/>
      <c r="B789" s="1263"/>
      <c r="C789" s="1263"/>
      <c r="D789" s="1317"/>
      <c r="E789" s="1318"/>
      <c r="F789" s="1254"/>
      <c r="G789" s="1254"/>
      <c r="H789" s="1254"/>
      <c r="I789" s="1254"/>
      <c r="J789" s="1254"/>
      <c r="K789" s="1254"/>
      <c r="L789" s="1254"/>
      <c r="M789" s="1254"/>
      <c r="N789" s="1254"/>
      <c r="O789" s="1254"/>
      <c r="P789" s="1254"/>
      <c r="Q789" s="1254"/>
      <c r="R789" s="1254"/>
      <c r="S789" s="1254"/>
      <c r="T789" s="1254"/>
      <c r="U789" s="1254"/>
      <c r="V789" s="1254"/>
      <c r="W789" s="1254"/>
      <c r="X789" s="1254"/>
      <c r="Y789" s="1254"/>
    </row>
    <row r="790">
      <c r="A790" s="1254"/>
      <c r="B790" s="1263"/>
      <c r="C790" s="1263"/>
      <c r="D790" s="1317"/>
      <c r="E790" s="1318"/>
      <c r="F790" s="1254"/>
      <c r="G790" s="1254"/>
      <c r="H790" s="1254"/>
      <c r="I790" s="1254"/>
      <c r="J790" s="1254"/>
      <c r="K790" s="1254"/>
      <c r="L790" s="1254"/>
      <c r="M790" s="1254"/>
      <c r="N790" s="1254"/>
      <c r="O790" s="1254"/>
      <c r="P790" s="1254"/>
      <c r="Q790" s="1254"/>
      <c r="R790" s="1254"/>
      <c r="S790" s="1254"/>
      <c r="T790" s="1254"/>
      <c r="U790" s="1254"/>
      <c r="V790" s="1254"/>
      <c r="W790" s="1254"/>
      <c r="X790" s="1254"/>
      <c r="Y790" s="1254"/>
    </row>
    <row r="791">
      <c r="A791" s="1254"/>
      <c r="B791" s="1263"/>
      <c r="C791" s="1263"/>
      <c r="D791" s="1317"/>
      <c r="E791" s="1318"/>
      <c r="F791" s="1254"/>
      <c r="G791" s="1254"/>
      <c r="H791" s="1254"/>
      <c r="I791" s="1254"/>
      <c r="J791" s="1254"/>
      <c r="K791" s="1254"/>
      <c r="L791" s="1254"/>
      <c r="M791" s="1254"/>
      <c r="N791" s="1254"/>
      <c r="O791" s="1254"/>
      <c r="P791" s="1254"/>
      <c r="Q791" s="1254"/>
      <c r="R791" s="1254"/>
      <c r="S791" s="1254"/>
      <c r="T791" s="1254"/>
      <c r="U791" s="1254"/>
      <c r="V791" s="1254"/>
      <c r="W791" s="1254"/>
      <c r="X791" s="1254"/>
      <c r="Y791" s="1254"/>
    </row>
    <row r="792">
      <c r="A792" s="1254"/>
      <c r="B792" s="1263"/>
      <c r="C792" s="1263"/>
      <c r="D792" s="1317"/>
      <c r="E792" s="1318"/>
      <c r="F792" s="1254"/>
      <c r="G792" s="1254"/>
      <c r="H792" s="1254"/>
      <c r="I792" s="1254"/>
      <c r="J792" s="1254"/>
      <c r="K792" s="1254"/>
      <c r="L792" s="1254"/>
      <c r="M792" s="1254"/>
      <c r="N792" s="1254"/>
      <c r="O792" s="1254"/>
      <c r="P792" s="1254"/>
      <c r="Q792" s="1254"/>
      <c r="R792" s="1254"/>
      <c r="S792" s="1254"/>
      <c r="T792" s="1254"/>
      <c r="U792" s="1254"/>
      <c r="V792" s="1254"/>
      <c r="W792" s="1254"/>
      <c r="X792" s="1254"/>
      <c r="Y792" s="1254"/>
    </row>
    <row r="793">
      <c r="A793" s="1254"/>
      <c r="B793" s="1263"/>
      <c r="C793" s="1263"/>
      <c r="D793" s="1317"/>
      <c r="E793" s="1318"/>
      <c r="F793" s="1254"/>
      <c r="G793" s="1254"/>
      <c r="H793" s="1254"/>
      <c r="I793" s="1254"/>
      <c r="J793" s="1254"/>
      <c r="K793" s="1254"/>
      <c r="L793" s="1254"/>
      <c r="M793" s="1254"/>
      <c r="N793" s="1254"/>
      <c r="O793" s="1254"/>
      <c r="P793" s="1254"/>
      <c r="Q793" s="1254"/>
      <c r="R793" s="1254"/>
      <c r="S793" s="1254"/>
      <c r="T793" s="1254"/>
      <c r="U793" s="1254"/>
      <c r="V793" s="1254"/>
      <c r="W793" s="1254"/>
      <c r="X793" s="1254"/>
      <c r="Y793" s="1254"/>
    </row>
    <row r="794">
      <c r="A794" s="1254"/>
      <c r="B794" s="1263"/>
      <c r="C794" s="1263"/>
      <c r="D794" s="1317"/>
      <c r="E794" s="1318"/>
      <c r="F794" s="1254"/>
      <c r="G794" s="1254"/>
      <c r="H794" s="1254"/>
      <c r="I794" s="1254"/>
      <c r="J794" s="1254"/>
      <c r="K794" s="1254"/>
      <c r="L794" s="1254"/>
      <c r="M794" s="1254"/>
      <c r="N794" s="1254"/>
      <c r="O794" s="1254"/>
      <c r="P794" s="1254"/>
      <c r="Q794" s="1254"/>
      <c r="R794" s="1254"/>
      <c r="S794" s="1254"/>
      <c r="T794" s="1254"/>
      <c r="U794" s="1254"/>
      <c r="V794" s="1254"/>
      <c r="W794" s="1254"/>
      <c r="X794" s="1254"/>
      <c r="Y794" s="1254"/>
    </row>
    <row r="795">
      <c r="A795" s="1254"/>
      <c r="B795" s="1263"/>
      <c r="C795" s="1263"/>
      <c r="D795" s="1317"/>
      <c r="E795" s="1318"/>
      <c r="F795" s="1254"/>
      <c r="G795" s="1254"/>
      <c r="H795" s="1254"/>
      <c r="I795" s="1254"/>
      <c r="J795" s="1254"/>
      <c r="K795" s="1254"/>
      <c r="L795" s="1254"/>
      <c r="M795" s="1254"/>
      <c r="N795" s="1254"/>
      <c r="O795" s="1254"/>
      <c r="P795" s="1254"/>
      <c r="Q795" s="1254"/>
      <c r="R795" s="1254"/>
      <c r="S795" s="1254"/>
      <c r="T795" s="1254"/>
      <c r="U795" s="1254"/>
      <c r="V795" s="1254"/>
      <c r="W795" s="1254"/>
      <c r="X795" s="1254"/>
      <c r="Y795" s="1254"/>
    </row>
    <row r="796">
      <c r="A796" s="1254"/>
      <c r="B796" s="1263"/>
      <c r="C796" s="1263"/>
      <c r="D796" s="1317"/>
      <c r="E796" s="1318"/>
      <c r="F796" s="1254"/>
      <c r="G796" s="1254"/>
      <c r="H796" s="1254"/>
      <c r="I796" s="1254"/>
      <c r="J796" s="1254"/>
      <c r="K796" s="1254"/>
      <c r="L796" s="1254"/>
      <c r="M796" s="1254"/>
      <c r="N796" s="1254"/>
      <c r="O796" s="1254"/>
      <c r="P796" s="1254"/>
      <c r="Q796" s="1254"/>
      <c r="R796" s="1254"/>
      <c r="S796" s="1254"/>
      <c r="T796" s="1254"/>
      <c r="U796" s="1254"/>
      <c r="V796" s="1254"/>
      <c r="W796" s="1254"/>
      <c r="X796" s="1254"/>
      <c r="Y796" s="1254"/>
    </row>
    <row r="797">
      <c r="A797" s="1254"/>
      <c r="B797" s="1263"/>
      <c r="C797" s="1263"/>
      <c r="D797" s="1317"/>
      <c r="E797" s="1318"/>
      <c r="F797" s="1254"/>
      <c r="G797" s="1254"/>
      <c r="H797" s="1254"/>
      <c r="I797" s="1254"/>
      <c r="J797" s="1254"/>
      <c r="K797" s="1254"/>
      <c r="L797" s="1254"/>
      <c r="M797" s="1254"/>
      <c r="N797" s="1254"/>
      <c r="O797" s="1254"/>
      <c r="P797" s="1254"/>
      <c r="Q797" s="1254"/>
      <c r="R797" s="1254"/>
      <c r="S797" s="1254"/>
      <c r="T797" s="1254"/>
      <c r="U797" s="1254"/>
      <c r="V797" s="1254"/>
      <c r="W797" s="1254"/>
      <c r="X797" s="1254"/>
      <c r="Y797" s="1254"/>
    </row>
    <row r="798">
      <c r="A798" s="1254"/>
      <c r="B798" s="1263"/>
      <c r="C798" s="1263"/>
      <c r="D798" s="1317"/>
      <c r="E798" s="1318"/>
      <c r="F798" s="1254"/>
      <c r="G798" s="1254"/>
      <c r="H798" s="1254"/>
      <c r="I798" s="1254"/>
      <c r="J798" s="1254"/>
      <c r="K798" s="1254"/>
      <c r="L798" s="1254"/>
      <c r="M798" s="1254"/>
      <c r="N798" s="1254"/>
      <c r="O798" s="1254"/>
      <c r="P798" s="1254"/>
      <c r="Q798" s="1254"/>
      <c r="R798" s="1254"/>
      <c r="S798" s="1254"/>
      <c r="T798" s="1254"/>
      <c r="U798" s="1254"/>
      <c r="V798" s="1254"/>
      <c r="W798" s="1254"/>
      <c r="X798" s="1254"/>
      <c r="Y798" s="1254"/>
    </row>
    <row r="799">
      <c r="A799" s="1254"/>
      <c r="B799" s="1263"/>
      <c r="C799" s="1263"/>
      <c r="D799" s="1317"/>
      <c r="E799" s="1318"/>
      <c r="F799" s="1254"/>
      <c r="G799" s="1254"/>
      <c r="H799" s="1254"/>
      <c r="I799" s="1254"/>
      <c r="J799" s="1254"/>
      <c r="K799" s="1254"/>
      <c r="L799" s="1254"/>
      <c r="M799" s="1254"/>
      <c r="N799" s="1254"/>
      <c r="O799" s="1254"/>
      <c r="P799" s="1254"/>
      <c r="Q799" s="1254"/>
      <c r="R799" s="1254"/>
      <c r="S799" s="1254"/>
      <c r="T799" s="1254"/>
      <c r="U799" s="1254"/>
      <c r="V799" s="1254"/>
      <c r="W799" s="1254"/>
      <c r="X799" s="1254"/>
      <c r="Y799" s="1254"/>
    </row>
    <row r="800">
      <c r="A800" s="1254"/>
      <c r="B800" s="1263"/>
      <c r="C800" s="1263"/>
      <c r="D800" s="1317"/>
      <c r="E800" s="1318"/>
      <c r="F800" s="1254"/>
      <c r="G800" s="1254"/>
      <c r="H800" s="1254"/>
      <c r="I800" s="1254"/>
      <c r="J800" s="1254"/>
      <c r="K800" s="1254"/>
      <c r="L800" s="1254"/>
      <c r="M800" s="1254"/>
      <c r="N800" s="1254"/>
      <c r="O800" s="1254"/>
      <c r="P800" s="1254"/>
      <c r="Q800" s="1254"/>
      <c r="R800" s="1254"/>
      <c r="S800" s="1254"/>
      <c r="T800" s="1254"/>
      <c r="U800" s="1254"/>
      <c r="V800" s="1254"/>
      <c r="W800" s="1254"/>
      <c r="X800" s="1254"/>
      <c r="Y800" s="1254"/>
    </row>
    <row r="801">
      <c r="A801" s="1254"/>
      <c r="B801" s="1263"/>
      <c r="C801" s="1263"/>
      <c r="D801" s="1317"/>
      <c r="E801" s="1318"/>
      <c r="F801" s="1254"/>
      <c r="G801" s="1254"/>
      <c r="H801" s="1254"/>
      <c r="I801" s="1254"/>
      <c r="J801" s="1254"/>
      <c r="K801" s="1254"/>
      <c r="L801" s="1254"/>
      <c r="M801" s="1254"/>
      <c r="N801" s="1254"/>
      <c r="O801" s="1254"/>
      <c r="P801" s="1254"/>
      <c r="Q801" s="1254"/>
      <c r="R801" s="1254"/>
      <c r="S801" s="1254"/>
      <c r="T801" s="1254"/>
      <c r="U801" s="1254"/>
      <c r="V801" s="1254"/>
      <c r="W801" s="1254"/>
      <c r="X801" s="1254"/>
      <c r="Y801" s="1254"/>
    </row>
    <row r="802">
      <c r="A802" s="1254"/>
      <c r="B802" s="1263"/>
      <c r="C802" s="1263"/>
      <c r="D802" s="1317"/>
      <c r="E802" s="1318"/>
      <c r="F802" s="1254"/>
      <c r="G802" s="1254"/>
      <c r="H802" s="1254"/>
      <c r="I802" s="1254"/>
      <c r="J802" s="1254"/>
      <c r="K802" s="1254"/>
      <c r="L802" s="1254"/>
      <c r="M802" s="1254"/>
      <c r="N802" s="1254"/>
      <c r="O802" s="1254"/>
      <c r="P802" s="1254"/>
      <c r="Q802" s="1254"/>
      <c r="R802" s="1254"/>
      <c r="S802" s="1254"/>
      <c r="T802" s="1254"/>
      <c r="U802" s="1254"/>
      <c r="V802" s="1254"/>
      <c r="W802" s="1254"/>
      <c r="X802" s="1254"/>
      <c r="Y802" s="1254"/>
    </row>
    <row r="803">
      <c r="A803" s="1254"/>
      <c r="B803" s="1263"/>
      <c r="C803" s="1263"/>
      <c r="D803" s="1317"/>
      <c r="E803" s="1318"/>
      <c r="F803" s="1254"/>
      <c r="G803" s="1254"/>
      <c r="H803" s="1254"/>
      <c r="I803" s="1254"/>
      <c r="J803" s="1254"/>
      <c r="K803" s="1254"/>
      <c r="L803" s="1254"/>
      <c r="M803" s="1254"/>
      <c r="N803" s="1254"/>
      <c r="O803" s="1254"/>
      <c r="P803" s="1254"/>
      <c r="Q803" s="1254"/>
      <c r="R803" s="1254"/>
      <c r="S803" s="1254"/>
      <c r="T803" s="1254"/>
      <c r="U803" s="1254"/>
      <c r="V803" s="1254"/>
      <c r="W803" s="1254"/>
      <c r="X803" s="1254"/>
      <c r="Y803" s="1254"/>
    </row>
    <row r="804">
      <c r="A804" s="1254"/>
      <c r="B804" s="1263"/>
      <c r="C804" s="1263"/>
      <c r="D804" s="1317"/>
      <c r="E804" s="1318"/>
      <c r="F804" s="1254"/>
      <c r="G804" s="1254"/>
      <c r="H804" s="1254"/>
      <c r="I804" s="1254"/>
      <c r="J804" s="1254"/>
      <c r="K804" s="1254"/>
      <c r="L804" s="1254"/>
      <c r="M804" s="1254"/>
      <c r="N804" s="1254"/>
      <c r="O804" s="1254"/>
      <c r="P804" s="1254"/>
      <c r="Q804" s="1254"/>
      <c r="R804" s="1254"/>
      <c r="S804" s="1254"/>
      <c r="T804" s="1254"/>
      <c r="U804" s="1254"/>
      <c r="V804" s="1254"/>
      <c r="W804" s="1254"/>
      <c r="X804" s="1254"/>
      <c r="Y804" s="1254"/>
    </row>
    <row r="805">
      <c r="A805" s="1254"/>
      <c r="B805" s="1263"/>
      <c r="C805" s="1263"/>
      <c r="D805" s="1317"/>
      <c r="E805" s="1318"/>
      <c r="F805" s="1254"/>
      <c r="G805" s="1254"/>
      <c r="H805" s="1254"/>
      <c r="I805" s="1254"/>
      <c r="J805" s="1254"/>
      <c r="K805" s="1254"/>
      <c r="L805" s="1254"/>
      <c r="M805" s="1254"/>
      <c r="N805" s="1254"/>
      <c r="O805" s="1254"/>
      <c r="P805" s="1254"/>
      <c r="Q805" s="1254"/>
      <c r="R805" s="1254"/>
      <c r="S805" s="1254"/>
      <c r="T805" s="1254"/>
      <c r="U805" s="1254"/>
      <c r="V805" s="1254"/>
      <c r="W805" s="1254"/>
      <c r="X805" s="1254"/>
      <c r="Y805" s="1254"/>
    </row>
    <row r="806">
      <c r="A806" s="1254"/>
      <c r="B806" s="1263"/>
      <c r="C806" s="1263"/>
      <c r="D806" s="1317"/>
      <c r="E806" s="1318"/>
      <c r="F806" s="1254"/>
      <c r="G806" s="1254"/>
      <c r="H806" s="1254"/>
      <c r="I806" s="1254"/>
      <c r="J806" s="1254"/>
      <c r="K806" s="1254"/>
      <c r="L806" s="1254"/>
      <c r="M806" s="1254"/>
      <c r="N806" s="1254"/>
      <c r="O806" s="1254"/>
      <c r="P806" s="1254"/>
      <c r="Q806" s="1254"/>
      <c r="R806" s="1254"/>
      <c r="S806" s="1254"/>
      <c r="T806" s="1254"/>
      <c r="U806" s="1254"/>
      <c r="V806" s="1254"/>
      <c r="W806" s="1254"/>
      <c r="X806" s="1254"/>
      <c r="Y806" s="1254"/>
    </row>
    <row r="807">
      <c r="A807" s="1254"/>
      <c r="B807" s="1263"/>
      <c r="C807" s="1263"/>
      <c r="D807" s="1317"/>
      <c r="E807" s="1318"/>
      <c r="F807" s="1254"/>
      <c r="G807" s="1254"/>
      <c r="H807" s="1254"/>
      <c r="I807" s="1254"/>
      <c r="J807" s="1254"/>
      <c r="K807" s="1254"/>
      <c r="L807" s="1254"/>
      <c r="M807" s="1254"/>
      <c r="N807" s="1254"/>
      <c r="O807" s="1254"/>
      <c r="P807" s="1254"/>
      <c r="Q807" s="1254"/>
      <c r="R807" s="1254"/>
      <c r="S807" s="1254"/>
      <c r="T807" s="1254"/>
      <c r="U807" s="1254"/>
      <c r="V807" s="1254"/>
      <c r="W807" s="1254"/>
      <c r="X807" s="1254"/>
      <c r="Y807" s="1254"/>
    </row>
    <row r="808">
      <c r="A808" s="1254"/>
      <c r="B808" s="1263"/>
      <c r="C808" s="1263"/>
      <c r="D808" s="1317"/>
      <c r="E808" s="1318"/>
      <c r="F808" s="1254"/>
      <c r="G808" s="1254"/>
      <c r="H808" s="1254"/>
      <c r="I808" s="1254"/>
      <c r="J808" s="1254"/>
      <c r="K808" s="1254"/>
      <c r="L808" s="1254"/>
      <c r="M808" s="1254"/>
      <c r="N808" s="1254"/>
      <c r="O808" s="1254"/>
      <c r="P808" s="1254"/>
      <c r="Q808" s="1254"/>
      <c r="R808" s="1254"/>
      <c r="S808" s="1254"/>
      <c r="T808" s="1254"/>
      <c r="U808" s="1254"/>
      <c r="V808" s="1254"/>
      <c r="W808" s="1254"/>
      <c r="X808" s="1254"/>
      <c r="Y808" s="1254"/>
    </row>
    <row r="809">
      <c r="A809" s="1254"/>
      <c r="B809" s="1263"/>
      <c r="C809" s="1263"/>
      <c r="D809" s="1317"/>
      <c r="E809" s="1318"/>
      <c r="F809" s="1254"/>
      <c r="G809" s="1254"/>
      <c r="H809" s="1254"/>
      <c r="I809" s="1254"/>
      <c r="J809" s="1254"/>
      <c r="K809" s="1254"/>
      <c r="L809" s="1254"/>
      <c r="M809" s="1254"/>
      <c r="N809" s="1254"/>
      <c r="O809" s="1254"/>
      <c r="P809" s="1254"/>
      <c r="Q809" s="1254"/>
      <c r="R809" s="1254"/>
      <c r="S809" s="1254"/>
      <c r="T809" s="1254"/>
      <c r="U809" s="1254"/>
      <c r="V809" s="1254"/>
      <c r="W809" s="1254"/>
      <c r="X809" s="1254"/>
      <c r="Y809" s="1254"/>
    </row>
    <row r="810">
      <c r="A810" s="1254"/>
      <c r="B810" s="1263"/>
      <c r="C810" s="1263"/>
      <c r="D810" s="1317"/>
      <c r="E810" s="1318"/>
      <c r="F810" s="1254"/>
      <c r="G810" s="1254"/>
      <c r="H810" s="1254"/>
      <c r="I810" s="1254"/>
      <c r="J810" s="1254"/>
      <c r="K810" s="1254"/>
      <c r="L810" s="1254"/>
      <c r="M810" s="1254"/>
      <c r="N810" s="1254"/>
      <c r="O810" s="1254"/>
      <c r="P810" s="1254"/>
      <c r="Q810" s="1254"/>
      <c r="R810" s="1254"/>
      <c r="S810" s="1254"/>
      <c r="T810" s="1254"/>
      <c r="U810" s="1254"/>
      <c r="V810" s="1254"/>
      <c r="W810" s="1254"/>
      <c r="X810" s="1254"/>
      <c r="Y810" s="1254"/>
    </row>
    <row r="811">
      <c r="A811" s="1254"/>
      <c r="B811" s="1263"/>
      <c r="C811" s="1263"/>
      <c r="D811" s="1317"/>
      <c r="E811" s="1318"/>
      <c r="F811" s="1254"/>
      <c r="G811" s="1254"/>
      <c r="H811" s="1254"/>
      <c r="I811" s="1254"/>
      <c r="J811" s="1254"/>
      <c r="K811" s="1254"/>
      <c r="L811" s="1254"/>
      <c r="M811" s="1254"/>
      <c r="N811" s="1254"/>
      <c r="O811" s="1254"/>
      <c r="P811" s="1254"/>
      <c r="Q811" s="1254"/>
      <c r="R811" s="1254"/>
      <c r="S811" s="1254"/>
      <c r="T811" s="1254"/>
      <c r="U811" s="1254"/>
      <c r="V811" s="1254"/>
      <c r="W811" s="1254"/>
      <c r="X811" s="1254"/>
      <c r="Y811" s="1254"/>
    </row>
    <row r="812">
      <c r="A812" s="1254"/>
      <c r="B812" s="1263"/>
      <c r="C812" s="1263"/>
      <c r="D812" s="1317"/>
      <c r="E812" s="1318"/>
      <c r="F812" s="1254"/>
      <c r="G812" s="1254"/>
      <c r="H812" s="1254"/>
      <c r="I812" s="1254"/>
      <c r="J812" s="1254"/>
      <c r="K812" s="1254"/>
      <c r="L812" s="1254"/>
      <c r="M812" s="1254"/>
      <c r="N812" s="1254"/>
      <c r="O812" s="1254"/>
      <c r="P812" s="1254"/>
      <c r="Q812" s="1254"/>
      <c r="R812" s="1254"/>
      <c r="S812" s="1254"/>
      <c r="T812" s="1254"/>
      <c r="U812" s="1254"/>
      <c r="V812" s="1254"/>
      <c r="W812" s="1254"/>
      <c r="X812" s="1254"/>
      <c r="Y812" s="1254"/>
    </row>
    <row r="813">
      <c r="A813" s="1254"/>
      <c r="B813" s="1263"/>
      <c r="C813" s="1263"/>
      <c r="D813" s="1317"/>
      <c r="E813" s="1318"/>
      <c r="F813" s="1254"/>
      <c r="G813" s="1254"/>
      <c r="H813" s="1254"/>
      <c r="I813" s="1254"/>
      <c r="J813" s="1254"/>
      <c r="K813" s="1254"/>
      <c r="L813" s="1254"/>
      <c r="M813" s="1254"/>
      <c r="N813" s="1254"/>
      <c r="O813" s="1254"/>
      <c r="P813" s="1254"/>
      <c r="Q813" s="1254"/>
      <c r="R813" s="1254"/>
      <c r="S813" s="1254"/>
      <c r="T813" s="1254"/>
      <c r="U813" s="1254"/>
      <c r="V813" s="1254"/>
      <c r="W813" s="1254"/>
      <c r="X813" s="1254"/>
      <c r="Y813" s="1254"/>
    </row>
    <row r="814">
      <c r="A814" s="1254"/>
      <c r="B814" s="1263"/>
      <c r="C814" s="1263"/>
      <c r="D814" s="1317"/>
      <c r="E814" s="1318"/>
      <c r="F814" s="1254"/>
      <c r="G814" s="1254"/>
      <c r="H814" s="1254"/>
      <c r="I814" s="1254"/>
      <c r="J814" s="1254"/>
      <c r="K814" s="1254"/>
      <c r="L814" s="1254"/>
      <c r="M814" s="1254"/>
      <c r="N814" s="1254"/>
      <c r="O814" s="1254"/>
      <c r="P814" s="1254"/>
      <c r="Q814" s="1254"/>
      <c r="R814" s="1254"/>
      <c r="S814" s="1254"/>
      <c r="T814" s="1254"/>
      <c r="U814" s="1254"/>
      <c r="V814" s="1254"/>
      <c r="W814" s="1254"/>
      <c r="X814" s="1254"/>
      <c r="Y814" s="1254"/>
    </row>
    <row r="815">
      <c r="A815" s="1254"/>
      <c r="B815" s="1263"/>
      <c r="C815" s="1263"/>
      <c r="D815" s="1317"/>
      <c r="E815" s="1318"/>
      <c r="F815" s="1254"/>
      <c r="G815" s="1254"/>
      <c r="H815" s="1254"/>
      <c r="I815" s="1254"/>
      <c r="J815" s="1254"/>
      <c r="K815" s="1254"/>
      <c r="L815" s="1254"/>
      <c r="M815" s="1254"/>
      <c r="N815" s="1254"/>
      <c r="O815" s="1254"/>
      <c r="P815" s="1254"/>
      <c r="Q815" s="1254"/>
      <c r="R815" s="1254"/>
      <c r="S815" s="1254"/>
      <c r="T815" s="1254"/>
      <c r="U815" s="1254"/>
      <c r="V815" s="1254"/>
      <c r="W815" s="1254"/>
      <c r="X815" s="1254"/>
      <c r="Y815" s="1254"/>
    </row>
    <row r="816">
      <c r="A816" s="1254"/>
      <c r="B816" s="1263"/>
      <c r="C816" s="1263"/>
      <c r="D816" s="1317"/>
      <c r="E816" s="1318"/>
      <c r="F816" s="1254"/>
      <c r="G816" s="1254"/>
      <c r="H816" s="1254"/>
      <c r="I816" s="1254"/>
      <c r="J816" s="1254"/>
      <c r="K816" s="1254"/>
      <c r="L816" s="1254"/>
      <c r="M816" s="1254"/>
      <c r="N816" s="1254"/>
      <c r="O816" s="1254"/>
      <c r="P816" s="1254"/>
      <c r="Q816" s="1254"/>
      <c r="R816" s="1254"/>
      <c r="S816" s="1254"/>
      <c r="T816" s="1254"/>
      <c r="U816" s="1254"/>
      <c r="V816" s="1254"/>
      <c r="W816" s="1254"/>
      <c r="X816" s="1254"/>
      <c r="Y816" s="1254"/>
    </row>
    <row r="817">
      <c r="A817" s="1254"/>
      <c r="B817" s="1263"/>
      <c r="C817" s="1263"/>
      <c r="D817" s="1317"/>
      <c r="E817" s="1318"/>
      <c r="F817" s="1254"/>
      <c r="G817" s="1254"/>
      <c r="H817" s="1254"/>
      <c r="I817" s="1254"/>
      <c r="J817" s="1254"/>
      <c r="K817" s="1254"/>
      <c r="L817" s="1254"/>
      <c r="M817" s="1254"/>
      <c r="N817" s="1254"/>
      <c r="O817" s="1254"/>
      <c r="P817" s="1254"/>
      <c r="Q817" s="1254"/>
      <c r="R817" s="1254"/>
      <c r="S817" s="1254"/>
      <c r="T817" s="1254"/>
      <c r="U817" s="1254"/>
      <c r="V817" s="1254"/>
      <c r="W817" s="1254"/>
      <c r="X817" s="1254"/>
      <c r="Y817" s="1254"/>
    </row>
    <row r="818">
      <c r="A818" s="1254"/>
      <c r="B818" s="1263"/>
      <c r="C818" s="1263"/>
      <c r="D818" s="1317"/>
      <c r="E818" s="1318"/>
      <c r="F818" s="1254"/>
      <c r="G818" s="1254"/>
      <c r="H818" s="1254"/>
      <c r="I818" s="1254"/>
      <c r="J818" s="1254"/>
      <c r="K818" s="1254"/>
      <c r="L818" s="1254"/>
      <c r="M818" s="1254"/>
      <c r="N818" s="1254"/>
      <c r="O818" s="1254"/>
      <c r="P818" s="1254"/>
      <c r="Q818" s="1254"/>
      <c r="R818" s="1254"/>
      <c r="S818" s="1254"/>
      <c r="T818" s="1254"/>
      <c r="U818" s="1254"/>
      <c r="V818" s="1254"/>
      <c r="W818" s="1254"/>
      <c r="X818" s="1254"/>
      <c r="Y818" s="1254"/>
    </row>
    <row r="819">
      <c r="A819" s="1254"/>
      <c r="B819" s="1263"/>
      <c r="C819" s="1263"/>
      <c r="D819" s="1317"/>
      <c r="E819" s="1318"/>
      <c r="F819" s="1254"/>
      <c r="G819" s="1254"/>
      <c r="H819" s="1254"/>
      <c r="I819" s="1254"/>
      <c r="J819" s="1254"/>
      <c r="K819" s="1254"/>
      <c r="L819" s="1254"/>
      <c r="M819" s="1254"/>
      <c r="N819" s="1254"/>
      <c r="O819" s="1254"/>
      <c r="P819" s="1254"/>
      <c r="Q819" s="1254"/>
      <c r="R819" s="1254"/>
      <c r="S819" s="1254"/>
      <c r="T819" s="1254"/>
      <c r="U819" s="1254"/>
      <c r="V819" s="1254"/>
      <c r="W819" s="1254"/>
      <c r="X819" s="1254"/>
      <c r="Y819" s="1254"/>
    </row>
    <row r="820">
      <c r="A820" s="1254"/>
      <c r="B820" s="1263"/>
      <c r="C820" s="1263"/>
      <c r="D820" s="1317"/>
      <c r="E820" s="1318"/>
      <c r="F820" s="1254"/>
      <c r="G820" s="1254"/>
      <c r="H820" s="1254"/>
      <c r="I820" s="1254"/>
      <c r="J820" s="1254"/>
      <c r="K820" s="1254"/>
      <c r="L820" s="1254"/>
      <c r="M820" s="1254"/>
      <c r="N820" s="1254"/>
      <c r="O820" s="1254"/>
      <c r="P820" s="1254"/>
      <c r="Q820" s="1254"/>
      <c r="R820" s="1254"/>
      <c r="S820" s="1254"/>
      <c r="T820" s="1254"/>
      <c r="U820" s="1254"/>
      <c r="V820" s="1254"/>
      <c r="W820" s="1254"/>
      <c r="X820" s="1254"/>
      <c r="Y820" s="1254"/>
    </row>
    <row r="821">
      <c r="A821" s="1254"/>
      <c r="B821" s="1263"/>
      <c r="C821" s="1263"/>
      <c r="D821" s="1317"/>
      <c r="E821" s="1318"/>
      <c r="F821" s="1254"/>
      <c r="G821" s="1254"/>
      <c r="H821" s="1254"/>
      <c r="I821" s="1254"/>
      <c r="J821" s="1254"/>
      <c r="K821" s="1254"/>
      <c r="L821" s="1254"/>
      <c r="M821" s="1254"/>
      <c r="N821" s="1254"/>
      <c r="O821" s="1254"/>
      <c r="P821" s="1254"/>
      <c r="Q821" s="1254"/>
      <c r="R821" s="1254"/>
      <c r="S821" s="1254"/>
      <c r="T821" s="1254"/>
      <c r="U821" s="1254"/>
      <c r="V821" s="1254"/>
      <c r="W821" s="1254"/>
      <c r="X821" s="1254"/>
      <c r="Y821" s="1254"/>
    </row>
    <row r="822">
      <c r="A822" s="1254"/>
      <c r="B822" s="1263"/>
      <c r="C822" s="1263"/>
      <c r="D822" s="1317"/>
      <c r="E822" s="1318"/>
      <c r="F822" s="1254"/>
      <c r="G822" s="1254"/>
      <c r="H822" s="1254"/>
      <c r="I822" s="1254"/>
      <c r="J822" s="1254"/>
      <c r="K822" s="1254"/>
      <c r="L822" s="1254"/>
      <c r="M822" s="1254"/>
      <c r="N822" s="1254"/>
      <c r="O822" s="1254"/>
      <c r="P822" s="1254"/>
      <c r="Q822" s="1254"/>
      <c r="R822" s="1254"/>
      <c r="S822" s="1254"/>
      <c r="T822" s="1254"/>
      <c r="U822" s="1254"/>
      <c r="V822" s="1254"/>
      <c r="W822" s="1254"/>
      <c r="X822" s="1254"/>
      <c r="Y822" s="1254"/>
    </row>
    <row r="823">
      <c r="A823" s="1254"/>
      <c r="B823" s="1263"/>
      <c r="C823" s="1263"/>
      <c r="D823" s="1317"/>
      <c r="E823" s="1318"/>
      <c r="F823" s="1254"/>
      <c r="G823" s="1254"/>
      <c r="H823" s="1254"/>
      <c r="I823" s="1254"/>
      <c r="J823" s="1254"/>
      <c r="K823" s="1254"/>
      <c r="L823" s="1254"/>
      <c r="M823" s="1254"/>
      <c r="N823" s="1254"/>
      <c r="O823" s="1254"/>
      <c r="P823" s="1254"/>
      <c r="Q823" s="1254"/>
      <c r="R823" s="1254"/>
      <c r="S823" s="1254"/>
      <c r="T823" s="1254"/>
      <c r="U823" s="1254"/>
      <c r="V823" s="1254"/>
      <c r="W823" s="1254"/>
      <c r="X823" s="1254"/>
      <c r="Y823" s="1254"/>
    </row>
    <row r="824">
      <c r="A824" s="1254"/>
      <c r="B824" s="1263"/>
      <c r="C824" s="1263"/>
      <c r="D824" s="1317"/>
      <c r="E824" s="1318"/>
      <c r="F824" s="1254"/>
      <c r="G824" s="1254"/>
      <c r="H824" s="1254"/>
      <c r="I824" s="1254"/>
      <c r="J824" s="1254"/>
      <c r="K824" s="1254"/>
      <c r="L824" s="1254"/>
      <c r="M824" s="1254"/>
      <c r="N824" s="1254"/>
      <c r="O824" s="1254"/>
      <c r="P824" s="1254"/>
      <c r="Q824" s="1254"/>
      <c r="R824" s="1254"/>
      <c r="S824" s="1254"/>
      <c r="T824" s="1254"/>
      <c r="U824" s="1254"/>
      <c r="V824" s="1254"/>
      <c r="W824" s="1254"/>
      <c r="X824" s="1254"/>
      <c r="Y824" s="1254"/>
    </row>
    <row r="825">
      <c r="A825" s="1254"/>
      <c r="B825" s="1263"/>
      <c r="C825" s="1263"/>
      <c r="D825" s="1317"/>
      <c r="E825" s="1318"/>
      <c r="F825" s="1254"/>
      <c r="G825" s="1254"/>
      <c r="H825" s="1254"/>
      <c r="I825" s="1254"/>
      <c r="J825" s="1254"/>
      <c r="K825" s="1254"/>
      <c r="L825" s="1254"/>
      <c r="M825" s="1254"/>
      <c r="N825" s="1254"/>
      <c r="O825" s="1254"/>
      <c r="P825" s="1254"/>
      <c r="Q825" s="1254"/>
      <c r="R825" s="1254"/>
      <c r="S825" s="1254"/>
      <c r="T825" s="1254"/>
      <c r="U825" s="1254"/>
      <c r="V825" s="1254"/>
      <c r="W825" s="1254"/>
      <c r="X825" s="1254"/>
      <c r="Y825" s="1254"/>
    </row>
    <row r="826">
      <c r="A826" s="1254"/>
      <c r="B826" s="1263"/>
      <c r="C826" s="1263"/>
      <c r="D826" s="1317"/>
      <c r="E826" s="1318"/>
      <c r="F826" s="1254"/>
      <c r="G826" s="1254"/>
      <c r="H826" s="1254"/>
      <c r="I826" s="1254"/>
      <c r="J826" s="1254"/>
      <c r="K826" s="1254"/>
      <c r="L826" s="1254"/>
      <c r="M826" s="1254"/>
      <c r="N826" s="1254"/>
      <c r="O826" s="1254"/>
      <c r="P826" s="1254"/>
      <c r="Q826" s="1254"/>
      <c r="R826" s="1254"/>
      <c r="S826" s="1254"/>
      <c r="T826" s="1254"/>
      <c r="U826" s="1254"/>
      <c r="V826" s="1254"/>
      <c r="W826" s="1254"/>
      <c r="X826" s="1254"/>
      <c r="Y826" s="1254"/>
    </row>
    <row r="827">
      <c r="A827" s="1254"/>
      <c r="B827" s="1263"/>
      <c r="C827" s="1263"/>
      <c r="D827" s="1317"/>
      <c r="E827" s="1318"/>
      <c r="F827" s="1254"/>
      <c r="G827" s="1254"/>
      <c r="H827" s="1254"/>
      <c r="I827" s="1254"/>
      <c r="J827" s="1254"/>
      <c r="K827" s="1254"/>
      <c r="L827" s="1254"/>
      <c r="M827" s="1254"/>
      <c r="N827" s="1254"/>
      <c r="O827" s="1254"/>
      <c r="P827" s="1254"/>
      <c r="Q827" s="1254"/>
      <c r="R827" s="1254"/>
      <c r="S827" s="1254"/>
      <c r="T827" s="1254"/>
      <c r="U827" s="1254"/>
      <c r="V827" s="1254"/>
      <c r="W827" s="1254"/>
      <c r="X827" s="1254"/>
      <c r="Y827" s="1254"/>
    </row>
    <row r="828">
      <c r="A828" s="1254"/>
      <c r="B828" s="1263"/>
      <c r="C828" s="1263"/>
      <c r="D828" s="1317"/>
      <c r="E828" s="1318"/>
      <c r="F828" s="1254"/>
      <c r="G828" s="1254"/>
      <c r="H828" s="1254"/>
      <c r="I828" s="1254"/>
      <c r="J828" s="1254"/>
      <c r="K828" s="1254"/>
      <c r="L828" s="1254"/>
      <c r="M828" s="1254"/>
      <c r="N828" s="1254"/>
      <c r="O828" s="1254"/>
      <c r="P828" s="1254"/>
      <c r="Q828" s="1254"/>
      <c r="R828" s="1254"/>
      <c r="S828" s="1254"/>
      <c r="T828" s="1254"/>
      <c r="U828" s="1254"/>
      <c r="V828" s="1254"/>
      <c r="W828" s="1254"/>
      <c r="X828" s="1254"/>
      <c r="Y828" s="1254"/>
    </row>
    <row r="829">
      <c r="A829" s="1254"/>
      <c r="B829" s="1263"/>
      <c r="C829" s="1263"/>
      <c r="D829" s="1317"/>
      <c r="E829" s="1318"/>
      <c r="F829" s="1254"/>
      <c r="G829" s="1254"/>
      <c r="H829" s="1254"/>
      <c r="I829" s="1254"/>
      <c r="J829" s="1254"/>
      <c r="K829" s="1254"/>
      <c r="L829" s="1254"/>
      <c r="M829" s="1254"/>
      <c r="N829" s="1254"/>
      <c r="O829" s="1254"/>
      <c r="P829" s="1254"/>
      <c r="Q829" s="1254"/>
      <c r="R829" s="1254"/>
      <c r="S829" s="1254"/>
      <c r="T829" s="1254"/>
      <c r="U829" s="1254"/>
      <c r="V829" s="1254"/>
      <c r="W829" s="1254"/>
      <c r="X829" s="1254"/>
      <c r="Y829" s="1254"/>
    </row>
    <row r="830">
      <c r="A830" s="1254"/>
      <c r="B830" s="1263"/>
      <c r="C830" s="1263"/>
      <c r="D830" s="1317"/>
      <c r="E830" s="1318"/>
      <c r="F830" s="1254"/>
      <c r="G830" s="1254"/>
      <c r="H830" s="1254"/>
      <c r="I830" s="1254"/>
      <c r="J830" s="1254"/>
      <c r="K830" s="1254"/>
      <c r="L830" s="1254"/>
      <c r="M830" s="1254"/>
      <c r="N830" s="1254"/>
      <c r="O830" s="1254"/>
      <c r="P830" s="1254"/>
      <c r="Q830" s="1254"/>
      <c r="R830" s="1254"/>
      <c r="S830" s="1254"/>
      <c r="T830" s="1254"/>
      <c r="U830" s="1254"/>
      <c r="V830" s="1254"/>
      <c r="W830" s="1254"/>
      <c r="X830" s="1254"/>
      <c r="Y830" s="1254"/>
    </row>
    <row r="831">
      <c r="A831" s="1254"/>
      <c r="B831" s="1263"/>
      <c r="C831" s="1263"/>
      <c r="D831" s="1317"/>
      <c r="E831" s="1318"/>
      <c r="F831" s="1254"/>
      <c r="G831" s="1254"/>
      <c r="H831" s="1254"/>
      <c r="I831" s="1254"/>
      <c r="J831" s="1254"/>
      <c r="K831" s="1254"/>
      <c r="L831" s="1254"/>
      <c r="M831" s="1254"/>
      <c r="N831" s="1254"/>
      <c r="O831" s="1254"/>
      <c r="P831" s="1254"/>
      <c r="Q831" s="1254"/>
      <c r="R831" s="1254"/>
      <c r="S831" s="1254"/>
      <c r="T831" s="1254"/>
      <c r="U831" s="1254"/>
      <c r="V831" s="1254"/>
      <c r="W831" s="1254"/>
      <c r="X831" s="1254"/>
      <c r="Y831" s="1254"/>
    </row>
    <row r="832">
      <c r="A832" s="1254"/>
      <c r="B832" s="1263"/>
      <c r="C832" s="1263"/>
      <c r="D832" s="1317"/>
      <c r="E832" s="1318"/>
      <c r="F832" s="1254"/>
      <c r="G832" s="1254"/>
      <c r="H832" s="1254"/>
      <c r="I832" s="1254"/>
      <c r="J832" s="1254"/>
      <c r="K832" s="1254"/>
      <c r="L832" s="1254"/>
      <c r="M832" s="1254"/>
      <c r="N832" s="1254"/>
      <c r="O832" s="1254"/>
      <c r="P832" s="1254"/>
      <c r="Q832" s="1254"/>
      <c r="R832" s="1254"/>
      <c r="S832" s="1254"/>
      <c r="T832" s="1254"/>
      <c r="U832" s="1254"/>
      <c r="V832" s="1254"/>
      <c r="W832" s="1254"/>
      <c r="X832" s="1254"/>
      <c r="Y832" s="1254"/>
    </row>
    <row r="833">
      <c r="A833" s="1254"/>
      <c r="B833" s="1263"/>
      <c r="C833" s="1263"/>
      <c r="D833" s="1317"/>
      <c r="E833" s="1318"/>
      <c r="F833" s="1254"/>
      <c r="G833" s="1254"/>
      <c r="H833" s="1254"/>
      <c r="I833" s="1254"/>
      <c r="J833" s="1254"/>
      <c r="K833" s="1254"/>
      <c r="L833" s="1254"/>
      <c r="M833" s="1254"/>
      <c r="N833" s="1254"/>
      <c r="O833" s="1254"/>
      <c r="P833" s="1254"/>
      <c r="Q833" s="1254"/>
      <c r="R833" s="1254"/>
      <c r="S833" s="1254"/>
      <c r="T833" s="1254"/>
      <c r="U833" s="1254"/>
      <c r="V833" s="1254"/>
      <c r="W833" s="1254"/>
      <c r="X833" s="1254"/>
      <c r="Y833" s="1254"/>
    </row>
    <row r="834">
      <c r="A834" s="1254"/>
      <c r="B834" s="1263"/>
      <c r="C834" s="1263"/>
      <c r="D834" s="1317"/>
      <c r="E834" s="1318"/>
      <c r="F834" s="1254"/>
      <c r="G834" s="1254"/>
      <c r="H834" s="1254"/>
      <c r="I834" s="1254"/>
      <c r="J834" s="1254"/>
      <c r="K834" s="1254"/>
      <c r="L834" s="1254"/>
      <c r="M834" s="1254"/>
      <c r="N834" s="1254"/>
      <c r="O834" s="1254"/>
      <c r="P834" s="1254"/>
      <c r="Q834" s="1254"/>
      <c r="R834" s="1254"/>
      <c r="S834" s="1254"/>
      <c r="T834" s="1254"/>
      <c r="U834" s="1254"/>
      <c r="V834" s="1254"/>
      <c r="W834" s="1254"/>
      <c r="X834" s="1254"/>
      <c r="Y834" s="1254"/>
    </row>
    <row r="835">
      <c r="A835" s="1254"/>
      <c r="B835" s="1263"/>
      <c r="C835" s="1263"/>
      <c r="D835" s="1317"/>
      <c r="E835" s="1318"/>
      <c r="F835" s="1254"/>
      <c r="G835" s="1254"/>
      <c r="H835" s="1254"/>
      <c r="I835" s="1254"/>
      <c r="J835" s="1254"/>
      <c r="K835" s="1254"/>
      <c r="L835" s="1254"/>
      <c r="M835" s="1254"/>
      <c r="N835" s="1254"/>
      <c r="O835" s="1254"/>
      <c r="P835" s="1254"/>
      <c r="Q835" s="1254"/>
      <c r="R835" s="1254"/>
      <c r="S835" s="1254"/>
      <c r="T835" s="1254"/>
      <c r="U835" s="1254"/>
      <c r="V835" s="1254"/>
      <c r="W835" s="1254"/>
      <c r="X835" s="1254"/>
      <c r="Y835" s="1254"/>
    </row>
    <row r="836">
      <c r="A836" s="1254"/>
      <c r="B836" s="1263"/>
      <c r="C836" s="1263"/>
      <c r="D836" s="1317"/>
      <c r="E836" s="1318"/>
      <c r="F836" s="1254"/>
      <c r="G836" s="1254"/>
      <c r="H836" s="1254"/>
      <c r="I836" s="1254"/>
      <c r="J836" s="1254"/>
      <c r="K836" s="1254"/>
      <c r="L836" s="1254"/>
      <c r="M836" s="1254"/>
      <c r="N836" s="1254"/>
      <c r="O836" s="1254"/>
      <c r="P836" s="1254"/>
      <c r="Q836" s="1254"/>
      <c r="R836" s="1254"/>
      <c r="S836" s="1254"/>
      <c r="T836" s="1254"/>
      <c r="U836" s="1254"/>
      <c r="V836" s="1254"/>
      <c r="W836" s="1254"/>
      <c r="X836" s="1254"/>
      <c r="Y836" s="1254"/>
    </row>
    <row r="837">
      <c r="A837" s="1254"/>
      <c r="B837" s="1263"/>
      <c r="C837" s="1263"/>
      <c r="D837" s="1317"/>
      <c r="E837" s="1318"/>
      <c r="F837" s="1254"/>
      <c r="G837" s="1254"/>
      <c r="H837" s="1254"/>
      <c r="I837" s="1254"/>
      <c r="J837" s="1254"/>
      <c r="K837" s="1254"/>
      <c r="L837" s="1254"/>
      <c r="M837" s="1254"/>
      <c r="N837" s="1254"/>
      <c r="O837" s="1254"/>
      <c r="P837" s="1254"/>
      <c r="Q837" s="1254"/>
      <c r="R837" s="1254"/>
      <c r="S837" s="1254"/>
      <c r="T837" s="1254"/>
      <c r="U837" s="1254"/>
      <c r="V837" s="1254"/>
      <c r="W837" s="1254"/>
      <c r="X837" s="1254"/>
      <c r="Y837" s="1254"/>
    </row>
    <row r="838">
      <c r="A838" s="1254"/>
      <c r="B838" s="1263"/>
      <c r="C838" s="1263"/>
      <c r="D838" s="1317"/>
      <c r="E838" s="1318"/>
      <c r="F838" s="1254"/>
      <c r="G838" s="1254"/>
      <c r="H838" s="1254"/>
      <c r="I838" s="1254"/>
      <c r="J838" s="1254"/>
      <c r="K838" s="1254"/>
      <c r="L838" s="1254"/>
      <c r="M838" s="1254"/>
      <c r="N838" s="1254"/>
      <c r="O838" s="1254"/>
      <c r="P838" s="1254"/>
      <c r="Q838" s="1254"/>
      <c r="R838" s="1254"/>
      <c r="S838" s="1254"/>
      <c r="T838" s="1254"/>
      <c r="U838" s="1254"/>
      <c r="V838" s="1254"/>
      <c r="W838" s="1254"/>
      <c r="X838" s="1254"/>
      <c r="Y838" s="1254"/>
    </row>
    <row r="839">
      <c r="A839" s="1254"/>
      <c r="B839" s="1263"/>
      <c r="C839" s="1263"/>
      <c r="D839" s="1317"/>
      <c r="E839" s="1318"/>
      <c r="F839" s="1254"/>
      <c r="G839" s="1254"/>
      <c r="H839" s="1254"/>
      <c r="I839" s="1254"/>
      <c r="J839" s="1254"/>
      <c r="K839" s="1254"/>
      <c r="L839" s="1254"/>
      <c r="M839" s="1254"/>
      <c r="N839" s="1254"/>
      <c r="O839" s="1254"/>
      <c r="P839" s="1254"/>
      <c r="Q839" s="1254"/>
      <c r="R839" s="1254"/>
      <c r="S839" s="1254"/>
      <c r="T839" s="1254"/>
      <c r="U839" s="1254"/>
      <c r="V839" s="1254"/>
      <c r="W839" s="1254"/>
      <c r="X839" s="1254"/>
      <c r="Y839" s="1254"/>
    </row>
    <row r="840">
      <c r="A840" s="1254"/>
      <c r="B840" s="1263"/>
      <c r="C840" s="1263"/>
      <c r="D840" s="1317"/>
      <c r="E840" s="1318"/>
      <c r="F840" s="1254"/>
      <c r="G840" s="1254"/>
      <c r="H840" s="1254"/>
      <c r="I840" s="1254"/>
      <c r="J840" s="1254"/>
      <c r="K840" s="1254"/>
      <c r="L840" s="1254"/>
      <c r="M840" s="1254"/>
      <c r="N840" s="1254"/>
      <c r="O840" s="1254"/>
      <c r="P840" s="1254"/>
      <c r="Q840" s="1254"/>
      <c r="R840" s="1254"/>
      <c r="S840" s="1254"/>
      <c r="T840" s="1254"/>
      <c r="U840" s="1254"/>
      <c r="V840" s="1254"/>
      <c r="W840" s="1254"/>
      <c r="X840" s="1254"/>
      <c r="Y840" s="1254"/>
    </row>
    <row r="841">
      <c r="A841" s="1254"/>
      <c r="B841" s="1263"/>
      <c r="C841" s="1263"/>
      <c r="D841" s="1317"/>
      <c r="E841" s="1318"/>
      <c r="F841" s="1254"/>
      <c r="G841" s="1254"/>
      <c r="H841" s="1254"/>
      <c r="I841" s="1254"/>
      <c r="J841" s="1254"/>
      <c r="K841" s="1254"/>
      <c r="L841" s="1254"/>
      <c r="M841" s="1254"/>
      <c r="N841" s="1254"/>
      <c r="O841" s="1254"/>
      <c r="P841" s="1254"/>
      <c r="Q841" s="1254"/>
      <c r="R841" s="1254"/>
      <c r="S841" s="1254"/>
      <c r="T841" s="1254"/>
      <c r="U841" s="1254"/>
      <c r="V841" s="1254"/>
      <c r="W841" s="1254"/>
      <c r="X841" s="1254"/>
      <c r="Y841" s="1254"/>
    </row>
    <row r="842">
      <c r="A842" s="1254"/>
      <c r="B842" s="1263"/>
      <c r="C842" s="1263"/>
      <c r="D842" s="1317"/>
      <c r="E842" s="1318"/>
      <c r="F842" s="1254"/>
      <c r="G842" s="1254"/>
      <c r="H842" s="1254"/>
      <c r="I842" s="1254"/>
      <c r="J842" s="1254"/>
      <c r="K842" s="1254"/>
      <c r="L842" s="1254"/>
      <c r="M842" s="1254"/>
      <c r="N842" s="1254"/>
      <c r="O842" s="1254"/>
      <c r="P842" s="1254"/>
      <c r="Q842" s="1254"/>
      <c r="R842" s="1254"/>
      <c r="S842" s="1254"/>
      <c r="T842" s="1254"/>
      <c r="U842" s="1254"/>
      <c r="V842" s="1254"/>
      <c r="W842" s="1254"/>
      <c r="X842" s="1254"/>
      <c r="Y842" s="1254"/>
    </row>
    <row r="843">
      <c r="A843" s="1254"/>
      <c r="B843" s="1263"/>
      <c r="C843" s="1263"/>
      <c r="D843" s="1317"/>
      <c r="E843" s="1318"/>
      <c r="F843" s="1254"/>
      <c r="G843" s="1254"/>
      <c r="H843" s="1254"/>
      <c r="I843" s="1254"/>
      <c r="J843" s="1254"/>
      <c r="K843" s="1254"/>
      <c r="L843" s="1254"/>
      <c r="M843" s="1254"/>
      <c r="N843" s="1254"/>
      <c r="O843" s="1254"/>
      <c r="P843" s="1254"/>
      <c r="Q843" s="1254"/>
      <c r="R843" s="1254"/>
      <c r="S843" s="1254"/>
      <c r="T843" s="1254"/>
      <c r="U843" s="1254"/>
      <c r="V843" s="1254"/>
      <c r="W843" s="1254"/>
      <c r="X843" s="1254"/>
      <c r="Y843" s="1254"/>
    </row>
    <row r="844">
      <c r="A844" s="1254"/>
      <c r="B844" s="1263"/>
      <c r="C844" s="1263"/>
      <c r="D844" s="1317"/>
      <c r="E844" s="1318"/>
      <c r="F844" s="1254"/>
      <c r="G844" s="1254"/>
      <c r="H844" s="1254"/>
      <c r="I844" s="1254"/>
      <c r="J844" s="1254"/>
      <c r="K844" s="1254"/>
      <c r="L844" s="1254"/>
      <c r="M844" s="1254"/>
      <c r="N844" s="1254"/>
      <c r="O844" s="1254"/>
      <c r="P844" s="1254"/>
      <c r="Q844" s="1254"/>
      <c r="R844" s="1254"/>
      <c r="S844" s="1254"/>
      <c r="T844" s="1254"/>
      <c r="U844" s="1254"/>
      <c r="V844" s="1254"/>
      <c r="W844" s="1254"/>
      <c r="X844" s="1254"/>
      <c r="Y844" s="1254"/>
    </row>
    <row r="845">
      <c r="A845" s="1254"/>
      <c r="B845" s="1263"/>
      <c r="C845" s="1263"/>
      <c r="D845" s="1317"/>
      <c r="E845" s="1318"/>
      <c r="F845" s="1254"/>
      <c r="G845" s="1254"/>
      <c r="H845" s="1254"/>
      <c r="I845" s="1254"/>
      <c r="J845" s="1254"/>
      <c r="K845" s="1254"/>
      <c r="L845" s="1254"/>
      <c r="M845" s="1254"/>
      <c r="N845" s="1254"/>
      <c r="O845" s="1254"/>
      <c r="P845" s="1254"/>
      <c r="Q845" s="1254"/>
      <c r="R845" s="1254"/>
      <c r="S845" s="1254"/>
      <c r="T845" s="1254"/>
      <c r="U845" s="1254"/>
      <c r="V845" s="1254"/>
      <c r="W845" s="1254"/>
      <c r="X845" s="1254"/>
      <c r="Y845" s="1254"/>
    </row>
    <row r="846">
      <c r="A846" s="1254"/>
      <c r="B846" s="1263"/>
      <c r="C846" s="1263"/>
      <c r="D846" s="1317"/>
      <c r="E846" s="1318"/>
      <c r="F846" s="1254"/>
      <c r="G846" s="1254"/>
      <c r="H846" s="1254"/>
      <c r="I846" s="1254"/>
      <c r="J846" s="1254"/>
      <c r="K846" s="1254"/>
      <c r="L846" s="1254"/>
      <c r="M846" s="1254"/>
      <c r="N846" s="1254"/>
      <c r="O846" s="1254"/>
      <c r="P846" s="1254"/>
      <c r="Q846" s="1254"/>
      <c r="R846" s="1254"/>
      <c r="S846" s="1254"/>
      <c r="T846" s="1254"/>
      <c r="U846" s="1254"/>
      <c r="V846" s="1254"/>
      <c r="W846" s="1254"/>
      <c r="X846" s="1254"/>
      <c r="Y846" s="1254"/>
    </row>
    <row r="847">
      <c r="A847" s="1254"/>
      <c r="B847" s="1263"/>
      <c r="C847" s="1263"/>
      <c r="D847" s="1317"/>
      <c r="E847" s="1318"/>
      <c r="F847" s="1254"/>
      <c r="G847" s="1254"/>
      <c r="H847" s="1254"/>
      <c r="I847" s="1254"/>
      <c r="J847" s="1254"/>
      <c r="K847" s="1254"/>
      <c r="L847" s="1254"/>
      <c r="M847" s="1254"/>
      <c r="N847" s="1254"/>
      <c r="O847" s="1254"/>
      <c r="P847" s="1254"/>
      <c r="Q847" s="1254"/>
      <c r="R847" s="1254"/>
      <c r="S847" s="1254"/>
      <c r="T847" s="1254"/>
      <c r="U847" s="1254"/>
      <c r="V847" s="1254"/>
      <c r="W847" s="1254"/>
      <c r="X847" s="1254"/>
      <c r="Y847" s="1254"/>
    </row>
    <row r="848">
      <c r="A848" s="1254"/>
      <c r="B848" s="1263"/>
      <c r="C848" s="1263"/>
      <c r="D848" s="1317"/>
      <c r="E848" s="1318"/>
      <c r="F848" s="1254"/>
      <c r="G848" s="1254"/>
      <c r="H848" s="1254"/>
      <c r="I848" s="1254"/>
      <c r="J848" s="1254"/>
      <c r="K848" s="1254"/>
      <c r="L848" s="1254"/>
      <c r="M848" s="1254"/>
      <c r="N848" s="1254"/>
      <c r="O848" s="1254"/>
      <c r="P848" s="1254"/>
      <c r="Q848" s="1254"/>
      <c r="R848" s="1254"/>
      <c r="S848" s="1254"/>
      <c r="T848" s="1254"/>
      <c r="U848" s="1254"/>
      <c r="V848" s="1254"/>
      <c r="W848" s="1254"/>
      <c r="X848" s="1254"/>
      <c r="Y848" s="1254"/>
    </row>
    <row r="849">
      <c r="A849" s="1254"/>
      <c r="B849" s="1263"/>
      <c r="C849" s="1263"/>
      <c r="D849" s="1317"/>
      <c r="E849" s="1318"/>
      <c r="F849" s="1254"/>
      <c r="G849" s="1254"/>
      <c r="H849" s="1254"/>
      <c r="I849" s="1254"/>
      <c r="J849" s="1254"/>
      <c r="K849" s="1254"/>
      <c r="L849" s="1254"/>
      <c r="M849" s="1254"/>
      <c r="N849" s="1254"/>
      <c r="O849" s="1254"/>
      <c r="P849" s="1254"/>
      <c r="Q849" s="1254"/>
      <c r="R849" s="1254"/>
      <c r="S849" s="1254"/>
      <c r="T849" s="1254"/>
      <c r="U849" s="1254"/>
      <c r="V849" s="1254"/>
      <c r="W849" s="1254"/>
      <c r="X849" s="1254"/>
      <c r="Y849" s="1254"/>
    </row>
    <row r="850">
      <c r="A850" s="1254"/>
      <c r="B850" s="1263"/>
      <c r="C850" s="1263"/>
      <c r="D850" s="1317"/>
      <c r="E850" s="1318"/>
      <c r="F850" s="1254"/>
      <c r="G850" s="1254"/>
      <c r="H850" s="1254"/>
      <c r="I850" s="1254"/>
      <c r="J850" s="1254"/>
      <c r="K850" s="1254"/>
      <c r="L850" s="1254"/>
      <c r="M850" s="1254"/>
      <c r="N850" s="1254"/>
      <c r="O850" s="1254"/>
      <c r="P850" s="1254"/>
      <c r="Q850" s="1254"/>
      <c r="R850" s="1254"/>
      <c r="S850" s="1254"/>
      <c r="T850" s="1254"/>
      <c r="U850" s="1254"/>
      <c r="V850" s="1254"/>
      <c r="W850" s="1254"/>
      <c r="X850" s="1254"/>
      <c r="Y850" s="1254"/>
    </row>
    <row r="851">
      <c r="A851" s="1254"/>
      <c r="B851" s="1263"/>
      <c r="C851" s="1263"/>
      <c r="D851" s="1317"/>
      <c r="E851" s="1318"/>
      <c r="F851" s="1254"/>
      <c r="G851" s="1254"/>
      <c r="H851" s="1254"/>
      <c r="I851" s="1254"/>
      <c r="J851" s="1254"/>
      <c r="K851" s="1254"/>
      <c r="L851" s="1254"/>
      <c r="M851" s="1254"/>
      <c r="N851" s="1254"/>
      <c r="O851" s="1254"/>
      <c r="P851" s="1254"/>
      <c r="Q851" s="1254"/>
      <c r="R851" s="1254"/>
      <c r="S851" s="1254"/>
      <c r="T851" s="1254"/>
      <c r="U851" s="1254"/>
      <c r="V851" s="1254"/>
      <c r="W851" s="1254"/>
      <c r="X851" s="1254"/>
      <c r="Y851" s="1254"/>
    </row>
    <row r="852">
      <c r="A852" s="1254"/>
      <c r="B852" s="1263"/>
      <c r="C852" s="1263"/>
      <c r="D852" s="1317"/>
      <c r="E852" s="1318"/>
      <c r="F852" s="1254"/>
      <c r="G852" s="1254"/>
      <c r="H852" s="1254"/>
      <c r="I852" s="1254"/>
      <c r="J852" s="1254"/>
      <c r="K852" s="1254"/>
      <c r="L852" s="1254"/>
      <c r="M852" s="1254"/>
      <c r="N852" s="1254"/>
      <c r="O852" s="1254"/>
      <c r="P852" s="1254"/>
      <c r="Q852" s="1254"/>
      <c r="R852" s="1254"/>
      <c r="S852" s="1254"/>
      <c r="T852" s="1254"/>
      <c r="U852" s="1254"/>
      <c r="V852" s="1254"/>
      <c r="W852" s="1254"/>
      <c r="X852" s="1254"/>
      <c r="Y852" s="1254"/>
    </row>
    <row r="853">
      <c r="A853" s="1254"/>
      <c r="B853" s="1263"/>
      <c r="C853" s="1263"/>
      <c r="D853" s="1317"/>
      <c r="E853" s="1318"/>
      <c r="F853" s="1254"/>
      <c r="G853" s="1254"/>
      <c r="H853" s="1254"/>
      <c r="I853" s="1254"/>
      <c r="J853" s="1254"/>
      <c r="K853" s="1254"/>
      <c r="L853" s="1254"/>
      <c r="M853" s="1254"/>
      <c r="N853" s="1254"/>
      <c r="O853" s="1254"/>
      <c r="P853" s="1254"/>
      <c r="Q853" s="1254"/>
      <c r="R853" s="1254"/>
      <c r="S853" s="1254"/>
      <c r="T853" s="1254"/>
      <c r="U853" s="1254"/>
      <c r="V853" s="1254"/>
      <c r="W853" s="1254"/>
      <c r="X853" s="1254"/>
      <c r="Y853" s="1254"/>
    </row>
    <row r="854">
      <c r="A854" s="1254"/>
      <c r="B854" s="1263"/>
      <c r="C854" s="1263"/>
      <c r="D854" s="1317"/>
      <c r="E854" s="1318"/>
      <c r="F854" s="1254"/>
      <c r="G854" s="1254"/>
      <c r="H854" s="1254"/>
      <c r="I854" s="1254"/>
      <c r="J854" s="1254"/>
      <c r="K854" s="1254"/>
      <c r="L854" s="1254"/>
      <c r="M854" s="1254"/>
      <c r="N854" s="1254"/>
      <c r="O854" s="1254"/>
      <c r="P854" s="1254"/>
      <c r="Q854" s="1254"/>
      <c r="R854" s="1254"/>
      <c r="S854" s="1254"/>
      <c r="T854" s="1254"/>
      <c r="U854" s="1254"/>
      <c r="V854" s="1254"/>
      <c r="W854" s="1254"/>
      <c r="X854" s="1254"/>
      <c r="Y854" s="1254"/>
    </row>
    <row r="855">
      <c r="A855" s="1254"/>
      <c r="B855" s="1263"/>
      <c r="C855" s="1263"/>
      <c r="D855" s="1317"/>
      <c r="E855" s="1318"/>
      <c r="F855" s="1254"/>
      <c r="G855" s="1254"/>
      <c r="H855" s="1254"/>
      <c r="I855" s="1254"/>
      <c r="J855" s="1254"/>
      <c r="K855" s="1254"/>
      <c r="L855" s="1254"/>
      <c r="M855" s="1254"/>
      <c r="N855" s="1254"/>
      <c r="O855" s="1254"/>
      <c r="P855" s="1254"/>
      <c r="Q855" s="1254"/>
      <c r="R855" s="1254"/>
      <c r="S855" s="1254"/>
      <c r="T855" s="1254"/>
      <c r="U855" s="1254"/>
      <c r="V855" s="1254"/>
      <c r="W855" s="1254"/>
      <c r="X855" s="1254"/>
      <c r="Y855" s="1254"/>
    </row>
    <row r="856">
      <c r="A856" s="1254"/>
      <c r="B856" s="1263"/>
      <c r="C856" s="1263"/>
      <c r="D856" s="1317"/>
      <c r="E856" s="1318"/>
      <c r="F856" s="1254"/>
      <c r="G856" s="1254"/>
      <c r="H856" s="1254"/>
      <c r="I856" s="1254"/>
      <c r="J856" s="1254"/>
      <c r="K856" s="1254"/>
      <c r="L856" s="1254"/>
      <c r="M856" s="1254"/>
      <c r="N856" s="1254"/>
      <c r="O856" s="1254"/>
      <c r="P856" s="1254"/>
      <c r="Q856" s="1254"/>
      <c r="R856" s="1254"/>
      <c r="S856" s="1254"/>
      <c r="T856" s="1254"/>
      <c r="U856" s="1254"/>
      <c r="V856" s="1254"/>
      <c r="W856" s="1254"/>
      <c r="X856" s="1254"/>
      <c r="Y856" s="1254"/>
    </row>
    <row r="857">
      <c r="A857" s="1254"/>
      <c r="B857" s="1263"/>
      <c r="C857" s="1263"/>
      <c r="D857" s="1317"/>
      <c r="E857" s="1318"/>
      <c r="F857" s="1254"/>
      <c r="G857" s="1254"/>
      <c r="H857" s="1254"/>
      <c r="I857" s="1254"/>
      <c r="J857" s="1254"/>
      <c r="K857" s="1254"/>
      <c r="L857" s="1254"/>
      <c r="M857" s="1254"/>
      <c r="N857" s="1254"/>
      <c r="O857" s="1254"/>
      <c r="P857" s="1254"/>
      <c r="Q857" s="1254"/>
      <c r="R857" s="1254"/>
      <c r="S857" s="1254"/>
      <c r="T857" s="1254"/>
      <c r="U857" s="1254"/>
      <c r="V857" s="1254"/>
      <c r="W857" s="1254"/>
      <c r="X857" s="1254"/>
      <c r="Y857" s="1254"/>
    </row>
    <row r="858">
      <c r="A858" s="1254"/>
      <c r="B858" s="1263"/>
      <c r="C858" s="1263"/>
      <c r="D858" s="1317"/>
      <c r="E858" s="1318"/>
      <c r="F858" s="1254"/>
      <c r="G858" s="1254"/>
      <c r="H858" s="1254"/>
      <c r="I858" s="1254"/>
      <c r="J858" s="1254"/>
      <c r="K858" s="1254"/>
      <c r="L858" s="1254"/>
      <c r="M858" s="1254"/>
      <c r="N858" s="1254"/>
      <c r="O858" s="1254"/>
      <c r="P858" s="1254"/>
      <c r="Q858" s="1254"/>
      <c r="R858" s="1254"/>
      <c r="S858" s="1254"/>
      <c r="T858" s="1254"/>
      <c r="U858" s="1254"/>
      <c r="V858" s="1254"/>
      <c r="W858" s="1254"/>
      <c r="X858" s="1254"/>
      <c r="Y858" s="1254"/>
    </row>
    <row r="859">
      <c r="A859" s="1254"/>
      <c r="B859" s="1263"/>
      <c r="C859" s="1263"/>
      <c r="D859" s="1317"/>
      <c r="E859" s="1318"/>
      <c r="F859" s="1254"/>
      <c r="G859" s="1254"/>
      <c r="H859" s="1254"/>
      <c r="I859" s="1254"/>
      <c r="J859" s="1254"/>
      <c r="K859" s="1254"/>
      <c r="L859" s="1254"/>
      <c r="M859" s="1254"/>
      <c r="N859" s="1254"/>
      <c r="O859" s="1254"/>
      <c r="P859" s="1254"/>
      <c r="Q859" s="1254"/>
      <c r="R859" s="1254"/>
      <c r="S859" s="1254"/>
      <c r="T859" s="1254"/>
      <c r="U859" s="1254"/>
      <c r="V859" s="1254"/>
      <c r="W859" s="1254"/>
      <c r="X859" s="1254"/>
      <c r="Y859" s="1254"/>
    </row>
    <row r="860">
      <c r="A860" s="1254"/>
      <c r="B860" s="1263"/>
      <c r="C860" s="1263"/>
      <c r="D860" s="1317"/>
      <c r="E860" s="1318"/>
      <c r="F860" s="1254"/>
      <c r="G860" s="1254"/>
      <c r="H860" s="1254"/>
      <c r="I860" s="1254"/>
      <c r="J860" s="1254"/>
      <c r="K860" s="1254"/>
      <c r="L860" s="1254"/>
      <c r="M860" s="1254"/>
      <c r="N860" s="1254"/>
      <c r="O860" s="1254"/>
      <c r="P860" s="1254"/>
      <c r="Q860" s="1254"/>
      <c r="R860" s="1254"/>
      <c r="S860" s="1254"/>
      <c r="T860" s="1254"/>
      <c r="U860" s="1254"/>
      <c r="V860" s="1254"/>
      <c r="W860" s="1254"/>
      <c r="X860" s="1254"/>
      <c r="Y860" s="1254"/>
    </row>
    <row r="861">
      <c r="A861" s="1254"/>
      <c r="B861" s="1263"/>
      <c r="C861" s="1263"/>
      <c r="D861" s="1317"/>
      <c r="E861" s="1318"/>
      <c r="F861" s="1254"/>
      <c r="G861" s="1254"/>
      <c r="H861" s="1254"/>
      <c r="I861" s="1254"/>
      <c r="J861" s="1254"/>
      <c r="K861" s="1254"/>
      <c r="L861" s="1254"/>
      <c r="M861" s="1254"/>
      <c r="N861" s="1254"/>
      <c r="O861" s="1254"/>
      <c r="P861" s="1254"/>
      <c r="Q861" s="1254"/>
      <c r="R861" s="1254"/>
      <c r="S861" s="1254"/>
      <c r="T861" s="1254"/>
      <c r="U861" s="1254"/>
      <c r="V861" s="1254"/>
      <c r="W861" s="1254"/>
      <c r="X861" s="1254"/>
      <c r="Y861" s="1254"/>
    </row>
    <row r="862">
      <c r="A862" s="1254"/>
      <c r="B862" s="1263"/>
      <c r="C862" s="1263"/>
      <c r="D862" s="1317"/>
      <c r="E862" s="1318"/>
      <c r="F862" s="1254"/>
      <c r="G862" s="1254"/>
      <c r="H862" s="1254"/>
      <c r="I862" s="1254"/>
      <c r="J862" s="1254"/>
      <c r="K862" s="1254"/>
      <c r="L862" s="1254"/>
      <c r="M862" s="1254"/>
      <c r="N862" s="1254"/>
      <c r="O862" s="1254"/>
      <c r="P862" s="1254"/>
      <c r="Q862" s="1254"/>
      <c r="R862" s="1254"/>
      <c r="S862" s="1254"/>
      <c r="T862" s="1254"/>
      <c r="U862" s="1254"/>
      <c r="V862" s="1254"/>
      <c r="W862" s="1254"/>
      <c r="X862" s="1254"/>
      <c r="Y862" s="1254"/>
    </row>
    <row r="863">
      <c r="A863" s="1254"/>
      <c r="B863" s="1263"/>
      <c r="C863" s="1263"/>
      <c r="D863" s="1317"/>
      <c r="E863" s="1318"/>
      <c r="F863" s="1254"/>
      <c r="G863" s="1254"/>
      <c r="H863" s="1254"/>
      <c r="I863" s="1254"/>
      <c r="J863" s="1254"/>
      <c r="K863" s="1254"/>
      <c r="L863" s="1254"/>
      <c r="M863" s="1254"/>
      <c r="N863" s="1254"/>
      <c r="O863" s="1254"/>
      <c r="P863" s="1254"/>
      <c r="Q863" s="1254"/>
      <c r="R863" s="1254"/>
      <c r="S863" s="1254"/>
      <c r="T863" s="1254"/>
      <c r="U863" s="1254"/>
      <c r="V863" s="1254"/>
      <c r="W863" s="1254"/>
      <c r="X863" s="1254"/>
      <c r="Y863" s="1254"/>
    </row>
    <row r="864">
      <c r="A864" s="1254"/>
      <c r="B864" s="1263"/>
      <c r="C864" s="1263"/>
      <c r="D864" s="1317"/>
      <c r="E864" s="1318"/>
      <c r="F864" s="1254"/>
      <c r="G864" s="1254"/>
      <c r="H864" s="1254"/>
      <c r="I864" s="1254"/>
      <c r="J864" s="1254"/>
      <c r="K864" s="1254"/>
      <c r="L864" s="1254"/>
      <c r="M864" s="1254"/>
      <c r="N864" s="1254"/>
      <c r="O864" s="1254"/>
      <c r="P864" s="1254"/>
      <c r="Q864" s="1254"/>
      <c r="R864" s="1254"/>
      <c r="S864" s="1254"/>
      <c r="T864" s="1254"/>
      <c r="U864" s="1254"/>
      <c r="V864" s="1254"/>
      <c r="W864" s="1254"/>
      <c r="X864" s="1254"/>
      <c r="Y864" s="1254"/>
    </row>
    <row r="865">
      <c r="A865" s="1254"/>
      <c r="B865" s="1263"/>
      <c r="C865" s="1263"/>
      <c r="D865" s="1317"/>
      <c r="E865" s="1318"/>
      <c r="F865" s="1254"/>
      <c r="G865" s="1254"/>
      <c r="H865" s="1254"/>
      <c r="I865" s="1254"/>
      <c r="J865" s="1254"/>
      <c r="K865" s="1254"/>
      <c r="L865" s="1254"/>
      <c r="M865" s="1254"/>
      <c r="N865" s="1254"/>
      <c r="O865" s="1254"/>
      <c r="P865" s="1254"/>
      <c r="Q865" s="1254"/>
      <c r="R865" s="1254"/>
      <c r="S865" s="1254"/>
      <c r="T865" s="1254"/>
      <c r="U865" s="1254"/>
      <c r="V865" s="1254"/>
      <c r="W865" s="1254"/>
      <c r="X865" s="1254"/>
      <c r="Y865" s="1254"/>
    </row>
    <row r="866">
      <c r="A866" s="1254"/>
      <c r="B866" s="1263"/>
      <c r="C866" s="1263"/>
      <c r="D866" s="1317"/>
      <c r="E866" s="1318"/>
      <c r="F866" s="1254"/>
      <c r="G866" s="1254"/>
      <c r="H866" s="1254"/>
      <c r="I866" s="1254"/>
      <c r="J866" s="1254"/>
      <c r="K866" s="1254"/>
      <c r="L866" s="1254"/>
      <c r="M866" s="1254"/>
      <c r="N866" s="1254"/>
      <c r="O866" s="1254"/>
      <c r="P866" s="1254"/>
      <c r="Q866" s="1254"/>
      <c r="R866" s="1254"/>
      <c r="S866" s="1254"/>
      <c r="T866" s="1254"/>
      <c r="U866" s="1254"/>
      <c r="V866" s="1254"/>
      <c r="W866" s="1254"/>
      <c r="X866" s="1254"/>
      <c r="Y866" s="1254"/>
    </row>
    <row r="867">
      <c r="A867" s="1254"/>
      <c r="B867" s="1263"/>
      <c r="C867" s="1263"/>
      <c r="D867" s="1317"/>
      <c r="E867" s="1318"/>
      <c r="F867" s="1254"/>
      <c r="G867" s="1254"/>
      <c r="H867" s="1254"/>
      <c r="I867" s="1254"/>
      <c r="J867" s="1254"/>
      <c r="K867" s="1254"/>
      <c r="L867" s="1254"/>
      <c r="M867" s="1254"/>
      <c r="N867" s="1254"/>
      <c r="O867" s="1254"/>
      <c r="P867" s="1254"/>
      <c r="Q867" s="1254"/>
      <c r="R867" s="1254"/>
      <c r="S867" s="1254"/>
      <c r="T867" s="1254"/>
      <c r="U867" s="1254"/>
      <c r="V867" s="1254"/>
      <c r="W867" s="1254"/>
      <c r="X867" s="1254"/>
      <c r="Y867" s="1254"/>
    </row>
    <row r="868">
      <c r="A868" s="1254"/>
      <c r="B868" s="1263"/>
      <c r="C868" s="1263"/>
      <c r="D868" s="1317"/>
      <c r="E868" s="1318"/>
      <c r="F868" s="1254"/>
      <c r="G868" s="1254"/>
      <c r="H868" s="1254"/>
      <c r="I868" s="1254"/>
      <c r="J868" s="1254"/>
      <c r="K868" s="1254"/>
      <c r="L868" s="1254"/>
      <c r="M868" s="1254"/>
      <c r="N868" s="1254"/>
      <c r="O868" s="1254"/>
      <c r="P868" s="1254"/>
      <c r="Q868" s="1254"/>
      <c r="R868" s="1254"/>
      <c r="S868" s="1254"/>
      <c r="T868" s="1254"/>
      <c r="U868" s="1254"/>
      <c r="V868" s="1254"/>
      <c r="W868" s="1254"/>
      <c r="X868" s="1254"/>
      <c r="Y868" s="1254"/>
    </row>
    <row r="869">
      <c r="A869" s="1254"/>
      <c r="B869" s="1263"/>
      <c r="C869" s="1263"/>
      <c r="D869" s="1317"/>
      <c r="E869" s="1318"/>
      <c r="F869" s="1254"/>
      <c r="G869" s="1254"/>
      <c r="H869" s="1254"/>
      <c r="I869" s="1254"/>
      <c r="J869" s="1254"/>
      <c r="K869" s="1254"/>
      <c r="L869" s="1254"/>
      <c r="M869" s="1254"/>
      <c r="N869" s="1254"/>
      <c r="O869" s="1254"/>
      <c r="P869" s="1254"/>
      <c r="Q869" s="1254"/>
      <c r="R869" s="1254"/>
      <c r="S869" s="1254"/>
      <c r="T869" s="1254"/>
      <c r="U869" s="1254"/>
      <c r="V869" s="1254"/>
      <c r="W869" s="1254"/>
      <c r="X869" s="1254"/>
      <c r="Y869" s="1254"/>
    </row>
    <row r="870">
      <c r="A870" s="1254"/>
      <c r="B870" s="1263"/>
      <c r="C870" s="1263"/>
      <c r="D870" s="1317"/>
      <c r="E870" s="1318"/>
      <c r="F870" s="1254"/>
      <c r="G870" s="1254"/>
      <c r="H870" s="1254"/>
      <c r="I870" s="1254"/>
      <c r="J870" s="1254"/>
      <c r="K870" s="1254"/>
      <c r="L870" s="1254"/>
      <c r="M870" s="1254"/>
      <c r="N870" s="1254"/>
      <c r="O870" s="1254"/>
      <c r="P870" s="1254"/>
      <c r="Q870" s="1254"/>
      <c r="R870" s="1254"/>
      <c r="S870" s="1254"/>
      <c r="T870" s="1254"/>
      <c r="U870" s="1254"/>
      <c r="V870" s="1254"/>
      <c r="W870" s="1254"/>
      <c r="X870" s="1254"/>
      <c r="Y870" s="1254"/>
    </row>
    <row r="871">
      <c r="A871" s="1254"/>
      <c r="B871" s="1263"/>
      <c r="C871" s="1263"/>
      <c r="D871" s="1317"/>
      <c r="E871" s="1318"/>
      <c r="F871" s="1254"/>
      <c r="G871" s="1254"/>
      <c r="H871" s="1254"/>
      <c r="I871" s="1254"/>
      <c r="J871" s="1254"/>
      <c r="K871" s="1254"/>
      <c r="L871" s="1254"/>
      <c r="M871" s="1254"/>
      <c r="N871" s="1254"/>
      <c r="O871" s="1254"/>
      <c r="P871" s="1254"/>
      <c r="Q871" s="1254"/>
      <c r="R871" s="1254"/>
      <c r="S871" s="1254"/>
      <c r="T871" s="1254"/>
      <c r="U871" s="1254"/>
      <c r="V871" s="1254"/>
      <c r="W871" s="1254"/>
      <c r="X871" s="1254"/>
      <c r="Y871" s="1254"/>
    </row>
    <row r="872">
      <c r="A872" s="1254"/>
      <c r="B872" s="1263"/>
      <c r="C872" s="1263"/>
      <c r="D872" s="1317"/>
      <c r="E872" s="1318"/>
      <c r="F872" s="1254"/>
      <c r="G872" s="1254"/>
      <c r="H872" s="1254"/>
      <c r="I872" s="1254"/>
      <c r="J872" s="1254"/>
      <c r="K872" s="1254"/>
      <c r="L872" s="1254"/>
      <c r="M872" s="1254"/>
      <c r="N872" s="1254"/>
      <c r="O872" s="1254"/>
      <c r="P872" s="1254"/>
      <c r="Q872" s="1254"/>
      <c r="R872" s="1254"/>
      <c r="S872" s="1254"/>
      <c r="T872" s="1254"/>
      <c r="U872" s="1254"/>
      <c r="V872" s="1254"/>
      <c r="W872" s="1254"/>
      <c r="X872" s="1254"/>
      <c r="Y872" s="1254"/>
    </row>
    <row r="873">
      <c r="A873" s="1254"/>
      <c r="B873" s="1263"/>
      <c r="C873" s="1263"/>
      <c r="D873" s="1317"/>
      <c r="E873" s="1318"/>
      <c r="F873" s="1254"/>
      <c r="G873" s="1254"/>
      <c r="H873" s="1254"/>
      <c r="I873" s="1254"/>
      <c r="J873" s="1254"/>
      <c r="K873" s="1254"/>
      <c r="L873" s="1254"/>
      <c r="M873" s="1254"/>
      <c r="N873" s="1254"/>
      <c r="O873" s="1254"/>
      <c r="P873" s="1254"/>
      <c r="Q873" s="1254"/>
      <c r="R873" s="1254"/>
      <c r="S873" s="1254"/>
      <c r="T873" s="1254"/>
      <c r="U873" s="1254"/>
      <c r="V873" s="1254"/>
      <c r="W873" s="1254"/>
      <c r="X873" s="1254"/>
      <c r="Y873" s="1254"/>
    </row>
    <row r="874">
      <c r="A874" s="1254"/>
      <c r="B874" s="1263"/>
      <c r="C874" s="1263"/>
      <c r="D874" s="1317"/>
      <c r="E874" s="1318"/>
      <c r="F874" s="1254"/>
      <c r="G874" s="1254"/>
      <c r="H874" s="1254"/>
      <c r="I874" s="1254"/>
      <c r="J874" s="1254"/>
      <c r="K874" s="1254"/>
      <c r="L874" s="1254"/>
      <c r="M874" s="1254"/>
      <c r="N874" s="1254"/>
      <c r="O874" s="1254"/>
      <c r="P874" s="1254"/>
      <c r="Q874" s="1254"/>
      <c r="R874" s="1254"/>
      <c r="S874" s="1254"/>
      <c r="T874" s="1254"/>
      <c r="U874" s="1254"/>
      <c r="V874" s="1254"/>
      <c r="W874" s="1254"/>
      <c r="X874" s="1254"/>
      <c r="Y874" s="1254"/>
    </row>
    <row r="875">
      <c r="A875" s="1254"/>
      <c r="B875" s="1263"/>
      <c r="C875" s="1263"/>
      <c r="D875" s="1317"/>
      <c r="E875" s="1318"/>
      <c r="F875" s="1254"/>
      <c r="G875" s="1254"/>
      <c r="H875" s="1254"/>
      <c r="I875" s="1254"/>
      <c r="J875" s="1254"/>
      <c r="K875" s="1254"/>
      <c r="L875" s="1254"/>
      <c r="M875" s="1254"/>
      <c r="N875" s="1254"/>
      <c r="O875" s="1254"/>
      <c r="P875" s="1254"/>
      <c r="Q875" s="1254"/>
      <c r="R875" s="1254"/>
      <c r="S875" s="1254"/>
      <c r="T875" s="1254"/>
      <c r="U875" s="1254"/>
      <c r="V875" s="1254"/>
      <c r="W875" s="1254"/>
      <c r="X875" s="1254"/>
      <c r="Y875" s="1254"/>
    </row>
    <row r="876">
      <c r="A876" s="1254"/>
      <c r="B876" s="1263"/>
      <c r="C876" s="1263"/>
      <c r="D876" s="1317"/>
      <c r="E876" s="1318"/>
      <c r="F876" s="1254"/>
      <c r="G876" s="1254"/>
      <c r="H876" s="1254"/>
      <c r="I876" s="1254"/>
      <c r="J876" s="1254"/>
      <c r="K876" s="1254"/>
      <c r="L876" s="1254"/>
      <c r="M876" s="1254"/>
      <c r="N876" s="1254"/>
      <c r="O876" s="1254"/>
      <c r="P876" s="1254"/>
      <c r="Q876" s="1254"/>
      <c r="R876" s="1254"/>
      <c r="S876" s="1254"/>
      <c r="T876" s="1254"/>
      <c r="U876" s="1254"/>
      <c r="V876" s="1254"/>
      <c r="W876" s="1254"/>
      <c r="X876" s="1254"/>
      <c r="Y876" s="1254"/>
    </row>
    <row r="877">
      <c r="A877" s="1254"/>
      <c r="B877" s="1263"/>
      <c r="C877" s="1263"/>
      <c r="D877" s="1317"/>
      <c r="E877" s="1318"/>
      <c r="F877" s="1254"/>
      <c r="G877" s="1254"/>
      <c r="H877" s="1254"/>
      <c r="I877" s="1254"/>
      <c r="J877" s="1254"/>
      <c r="K877" s="1254"/>
      <c r="L877" s="1254"/>
      <c r="M877" s="1254"/>
      <c r="N877" s="1254"/>
      <c r="O877" s="1254"/>
      <c r="P877" s="1254"/>
      <c r="Q877" s="1254"/>
      <c r="R877" s="1254"/>
      <c r="S877" s="1254"/>
      <c r="T877" s="1254"/>
      <c r="U877" s="1254"/>
      <c r="V877" s="1254"/>
      <c r="W877" s="1254"/>
      <c r="X877" s="1254"/>
      <c r="Y877" s="1254"/>
    </row>
    <row r="878">
      <c r="A878" s="1254"/>
      <c r="B878" s="1263"/>
      <c r="C878" s="1263"/>
      <c r="D878" s="1317"/>
      <c r="E878" s="1318"/>
      <c r="F878" s="1254"/>
      <c r="G878" s="1254"/>
      <c r="H878" s="1254"/>
      <c r="I878" s="1254"/>
      <c r="J878" s="1254"/>
      <c r="K878" s="1254"/>
      <c r="L878" s="1254"/>
      <c r="M878" s="1254"/>
      <c r="N878" s="1254"/>
      <c r="O878" s="1254"/>
      <c r="P878" s="1254"/>
      <c r="Q878" s="1254"/>
      <c r="R878" s="1254"/>
      <c r="S878" s="1254"/>
      <c r="T878" s="1254"/>
      <c r="U878" s="1254"/>
      <c r="V878" s="1254"/>
      <c r="W878" s="1254"/>
      <c r="X878" s="1254"/>
      <c r="Y878" s="1254"/>
    </row>
    <row r="879">
      <c r="A879" s="1254"/>
      <c r="B879" s="1263"/>
      <c r="C879" s="1263"/>
      <c r="D879" s="1317"/>
      <c r="E879" s="1318"/>
      <c r="F879" s="1254"/>
      <c r="G879" s="1254"/>
      <c r="H879" s="1254"/>
      <c r="I879" s="1254"/>
      <c r="J879" s="1254"/>
      <c r="K879" s="1254"/>
      <c r="L879" s="1254"/>
      <c r="M879" s="1254"/>
      <c r="N879" s="1254"/>
      <c r="O879" s="1254"/>
      <c r="P879" s="1254"/>
      <c r="Q879" s="1254"/>
      <c r="R879" s="1254"/>
      <c r="S879" s="1254"/>
      <c r="T879" s="1254"/>
      <c r="U879" s="1254"/>
      <c r="V879" s="1254"/>
      <c r="W879" s="1254"/>
      <c r="X879" s="1254"/>
      <c r="Y879" s="1254"/>
    </row>
    <row r="880">
      <c r="A880" s="1254"/>
      <c r="B880" s="1263"/>
      <c r="C880" s="1263"/>
      <c r="D880" s="1317"/>
      <c r="E880" s="1318"/>
      <c r="F880" s="1254"/>
      <c r="G880" s="1254"/>
      <c r="H880" s="1254"/>
      <c r="I880" s="1254"/>
      <c r="J880" s="1254"/>
      <c r="K880" s="1254"/>
      <c r="L880" s="1254"/>
      <c r="M880" s="1254"/>
      <c r="N880" s="1254"/>
      <c r="O880" s="1254"/>
      <c r="P880" s="1254"/>
      <c r="Q880" s="1254"/>
      <c r="R880" s="1254"/>
      <c r="S880" s="1254"/>
      <c r="T880" s="1254"/>
      <c r="U880" s="1254"/>
      <c r="V880" s="1254"/>
      <c r="W880" s="1254"/>
      <c r="X880" s="1254"/>
      <c r="Y880" s="1254"/>
    </row>
    <row r="881">
      <c r="A881" s="1254"/>
      <c r="B881" s="1263"/>
      <c r="C881" s="1263"/>
      <c r="D881" s="1317"/>
      <c r="E881" s="1318"/>
      <c r="F881" s="1254"/>
      <c r="G881" s="1254"/>
      <c r="H881" s="1254"/>
      <c r="I881" s="1254"/>
      <c r="J881" s="1254"/>
      <c r="K881" s="1254"/>
      <c r="L881" s="1254"/>
      <c r="M881" s="1254"/>
      <c r="N881" s="1254"/>
      <c r="O881" s="1254"/>
      <c r="P881" s="1254"/>
      <c r="Q881" s="1254"/>
      <c r="R881" s="1254"/>
      <c r="S881" s="1254"/>
      <c r="T881" s="1254"/>
      <c r="U881" s="1254"/>
      <c r="V881" s="1254"/>
      <c r="W881" s="1254"/>
      <c r="X881" s="1254"/>
      <c r="Y881" s="1254"/>
    </row>
    <row r="882">
      <c r="A882" s="1254"/>
      <c r="B882" s="1263"/>
      <c r="C882" s="1263"/>
      <c r="D882" s="1317"/>
      <c r="E882" s="1318"/>
      <c r="F882" s="1254"/>
      <c r="G882" s="1254"/>
      <c r="H882" s="1254"/>
      <c r="I882" s="1254"/>
      <c r="J882" s="1254"/>
      <c r="K882" s="1254"/>
      <c r="L882" s="1254"/>
      <c r="M882" s="1254"/>
      <c r="N882" s="1254"/>
      <c r="O882" s="1254"/>
      <c r="P882" s="1254"/>
      <c r="Q882" s="1254"/>
      <c r="R882" s="1254"/>
      <c r="S882" s="1254"/>
      <c r="T882" s="1254"/>
      <c r="U882" s="1254"/>
      <c r="V882" s="1254"/>
      <c r="W882" s="1254"/>
      <c r="X882" s="1254"/>
      <c r="Y882" s="1254"/>
    </row>
    <row r="883">
      <c r="A883" s="1254"/>
      <c r="B883" s="1263"/>
      <c r="C883" s="1263"/>
      <c r="D883" s="1317"/>
      <c r="E883" s="1318"/>
      <c r="F883" s="1254"/>
      <c r="G883" s="1254"/>
      <c r="H883" s="1254"/>
      <c r="I883" s="1254"/>
      <c r="J883" s="1254"/>
      <c r="K883" s="1254"/>
      <c r="L883" s="1254"/>
      <c r="M883" s="1254"/>
      <c r="N883" s="1254"/>
      <c r="O883" s="1254"/>
      <c r="P883" s="1254"/>
      <c r="Q883" s="1254"/>
      <c r="R883" s="1254"/>
      <c r="S883" s="1254"/>
      <c r="T883" s="1254"/>
      <c r="U883" s="1254"/>
      <c r="V883" s="1254"/>
      <c r="W883" s="1254"/>
      <c r="X883" s="1254"/>
      <c r="Y883" s="1254"/>
    </row>
    <row r="884">
      <c r="A884" s="1254"/>
      <c r="B884" s="1263"/>
      <c r="C884" s="1263"/>
      <c r="D884" s="1317"/>
      <c r="E884" s="1318"/>
      <c r="F884" s="1254"/>
      <c r="G884" s="1254"/>
      <c r="H884" s="1254"/>
      <c r="I884" s="1254"/>
      <c r="J884" s="1254"/>
      <c r="K884" s="1254"/>
      <c r="L884" s="1254"/>
      <c r="M884" s="1254"/>
      <c r="N884" s="1254"/>
      <c r="O884" s="1254"/>
      <c r="P884" s="1254"/>
      <c r="Q884" s="1254"/>
      <c r="R884" s="1254"/>
      <c r="S884" s="1254"/>
      <c r="T884" s="1254"/>
      <c r="U884" s="1254"/>
      <c r="V884" s="1254"/>
      <c r="W884" s="1254"/>
      <c r="X884" s="1254"/>
      <c r="Y884" s="1254"/>
    </row>
    <row r="885">
      <c r="A885" s="1254"/>
      <c r="B885" s="1263"/>
      <c r="C885" s="1263"/>
      <c r="D885" s="1317"/>
      <c r="E885" s="1318"/>
      <c r="F885" s="1254"/>
      <c r="G885" s="1254"/>
      <c r="H885" s="1254"/>
      <c r="I885" s="1254"/>
      <c r="J885" s="1254"/>
      <c r="K885" s="1254"/>
      <c r="L885" s="1254"/>
      <c r="M885" s="1254"/>
      <c r="N885" s="1254"/>
      <c r="O885" s="1254"/>
      <c r="P885" s="1254"/>
      <c r="Q885" s="1254"/>
      <c r="R885" s="1254"/>
      <c r="S885" s="1254"/>
      <c r="T885" s="1254"/>
      <c r="U885" s="1254"/>
      <c r="V885" s="1254"/>
      <c r="W885" s="1254"/>
      <c r="X885" s="1254"/>
      <c r="Y885" s="1254"/>
    </row>
    <row r="886">
      <c r="A886" s="1254"/>
      <c r="B886" s="1263"/>
      <c r="C886" s="1263"/>
      <c r="D886" s="1317"/>
      <c r="E886" s="1318"/>
      <c r="F886" s="1254"/>
      <c r="G886" s="1254"/>
      <c r="H886" s="1254"/>
      <c r="I886" s="1254"/>
      <c r="J886" s="1254"/>
      <c r="K886" s="1254"/>
      <c r="L886" s="1254"/>
      <c r="M886" s="1254"/>
      <c r="N886" s="1254"/>
      <c r="O886" s="1254"/>
      <c r="P886" s="1254"/>
      <c r="Q886" s="1254"/>
      <c r="R886" s="1254"/>
      <c r="S886" s="1254"/>
      <c r="T886" s="1254"/>
      <c r="U886" s="1254"/>
      <c r="V886" s="1254"/>
      <c r="W886" s="1254"/>
      <c r="X886" s="1254"/>
      <c r="Y886" s="1254"/>
    </row>
    <row r="887">
      <c r="A887" s="1254"/>
      <c r="B887" s="1263"/>
      <c r="C887" s="1263"/>
      <c r="D887" s="1317"/>
      <c r="E887" s="1318"/>
      <c r="F887" s="1254"/>
      <c r="G887" s="1254"/>
      <c r="H887" s="1254"/>
      <c r="I887" s="1254"/>
      <c r="J887" s="1254"/>
      <c r="K887" s="1254"/>
      <c r="L887" s="1254"/>
      <c r="M887" s="1254"/>
      <c r="N887" s="1254"/>
      <c r="O887" s="1254"/>
      <c r="P887" s="1254"/>
      <c r="Q887" s="1254"/>
      <c r="R887" s="1254"/>
      <c r="S887" s="1254"/>
      <c r="T887" s="1254"/>
      <c r="U887" s="1254"/>
      <c r="V887" s="1254"/>
      <c r="W887" s="1254"/>
      <c r="X887" s="1254"/>
      <c r="Y887" s="1254"/>
    </row>
    <row r="888">
      <c r="A888" s="1254"/>
      <c r="B888" s="1263"/>
      <c r="C888" s="1263"/>
      <c r="D888" s="1317"/>
      <c r="E888" s="1318"/>
      <c r="F888" s="1254"/>
      <c r="G888" s="1254"/>
      <c r="H888" s="1254"/>
      <c r="I888" s="1254"/>
      <c r="J888" s="1254"/>
      <c r="K888" s="1254"/>
      <c r="L888" s="1254"/>
      <c r="M888" s="1254"/>
      <c r="N888" s="1254"/>
      <c r="O888" s="1254"/>
      <c r="P888" s="1254"/>
      <c r="Q888" s="1254"/>
      <c r="R888" s="1254"/>
      <c r="S888" s="1254"/>
      <c r="T888" s="1254"/>
      <c r="U888" s="1254"/>
      <c r="V888" s="1254"/>
      <c r="W888" s="1254"/>
      <c r="X888" s="1254"/>
      <c r="Y888" s="1254"/>
    </row>
    <row r="889">
      <c r="A889" s="1254"/>
      <c r="B889" s="1263"/>
      <c r="C889" s="1263"/>
      <c r="D889" s="1317"/>
      <c r="E889" s="1318"/>
      <c r="F889" s="1254"/>
      <c r="G889" s="1254"/>
      <c r="H889" s="1254"/>
      <c r="I889" s="1254"/>
      <c r="J889" s="1254"/>
      <c r="K889" s="1254"/>
      <c r="L889" s="1254"/>
      <c r="M889" s="1254"/>
      <c r="N889" s="1254"/>
      <c r="O889" s="1254"/>
      <c r="P889" s="1254"/>
      <c r="Q889" s="1254"/>
      <c r="R889" s="1254"/>
      <c r="S889" s="1254"/>
      <c r="T889" s="1254"/>
      <c r="U889" s="1254"/>
      <c r="V889" s="1254"/>
      <c r="W889" s="1254"/>
      <c r="X889" s="1254"/>
      <c r="Y889" s="1254"/>
    </row>
    <row r="890">
      <c r="A890" s="1254"/>
      <c r="B890" s="1263"/>
      <c r="C890" s="1263"/>
      <c r="D890" s="1317"/>
      <c r="E890" s="1318"/>
      <c r="F890" s="1254"/>
      <c r="G890" s="1254"/>
      <c r="H890" s="1254"/>
      <c r="I890" s="1254"/>
      <c r="J890" s="1254"/>
      <c r="K890" s="1254"/>
      <c r="L890" s="1254"/>
      <c r="M890" s="1254"/>
      <c r="N890" s="1254"/>
      <c r="O890" s="1254"/>
      <c r="P890" s="1254"/>
      <c r="Q890" s="1254"/>
      <c r="R890" s="1254"/>
      <c r="S890" s="1254"/>
      <c r="T890" s="1254"/>
      <c r="U890" s="1254"/>
      <c r="V890" s="1254"/>
      <c r="W890" s="1254"/>
      <c r="X890" s="1254"/>
      <c r="Y890" s="1254"/>
    </row>
    <row r="891">
      <c r="A891" s="1254"/>
      <c r="B891" s="1263"/>
      <c r="C891" s="1263"/>
      <c r="D891" s="1317"/>
      <c r="E891" s="1318"/>
      <c r="F891" s="1254"/>
      <c r="G891" s="1254"/>
      <c r="H891" s="1254"/>
      <c r="I891" s="1254"/>
      <c r="J891" s="1254"/>
      <c r="K891" s="1254"/>
      <c r="L891" s="1254"/>
      <c r="M891" s="1254"/>
      <c r="N891" s="1254"/>
      <c r="O891" s="1254"/>
      <c r="P891" s="1254"/>
      <c r="Q891" s="1254"/>
      <c r="R891" s="1254"/>
      <c r="S891" s="1254"/>
      <c r="T891" s="1254"/>
      <c r="U891" s="1254"/>
      <c r="V891" s="1254"/>
      <c r="W891" s="1254"/>
      <c r="X891" s="1254"/>
      <c r="Y891" s="1254"/>
    </row>
    <row r="892">
      <c r="A892" s="1254"/>
      <c r="B892" s="1263"/>
      <c r="C892" s="1263"/>
      <c r="D892" s="1317"/>
      <c r="E892" s="1318"/>
      <c r="F892" s="1254"/>
      <c r="G892" s="1254"/>
      <c r="H892" s="1254"/>
      <c r="I892" s="1254"/>
      <c r="J892" s="1254"/>
      <c r="K892" s="1254"/>
      <c r="L892" s="1254"/>
      <c r="M892" s="1254"/>
      <c r="N892" s="1254"/>
      <c r="O892" s="1254"/>
      <c r="P892" s="1254"/>
      <c r="Q892" s="1254"/>
      <c r="R892" s="1254"/>
      <c r="S892" s="1254"/>
      <c r="T892" s="1254"/>
      <c r="U892" s="1254"/>
      <c r="V892" s="1254"/>
      <c r="W892" s="1254"/>
      <c r="X892" s="1254"/>
      <c r="Y892" s="1254"/>
    </row>
    <row r="893">
      <c r="A893" s="1254"/>
      <c r="B893" s="1263"/>
      <c r="C893" s="1263"/>
      <c r="D893" s="1317"/>
      <c r="E893" s="1318"/>
      <c r="F893" s="1254"/>
      <c r="G893" s="1254"/>
      <c r="H893" s="1254"/>
      <c r="I893" s="1254"/>
      <c r="J893" s="1254"/>
      <c r="K893" s="1254"/>
      <c r="L893" s="1254"/>
      <c r="M893" s="1254"/>
      <c r="N893" s="1254"/>
      <c r="O893" s="1254"/>
      <c r="P893" s="1254"/>
      <c r="Q893" s="1254"/>
      <c r="R893" s="1254"/>
      <c r="S893" s="1254"/>
      <c r="T893" s="1254"/>
      <c r="U893" s="1254"/>
      <c r="V893" s="1254"/>
      <c r="W893" s="1254"/>
      <c r="X893" s="1254"/>
      <c r="Y893" s="1254"/>
    </row>
  </sheetData>
  <mergeCells count="8">
    <mergeCell ref="B3:E3"/>
    <mergeCell ref="G3:J3"/>
    <mergeCell ref="L3:M3"/>
    <mergeCell ref="N3:O3"/>
    <mergeCell ref="B14:E14"/>
    <mergeCell ref="G14:J14"/>
    <mergeCell ref="L14:M14"/>
    <mergeCell ref="N14:O14"/>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15.29"/>
    <col customWidth="1" min="2" max="2" width="23.86"/>
    <col customWidth="1" min="3" max="3" width="62.0"/>
    <col customWidth="1" min="6" max="6" width="18.71"/>
    <col customWidth="1" min="7" max="7" width="20.86"/>
    <col customWidth="1" min="8" max="8" width="8.71"/>
    <col customWidth="1" min="9" max="9" width="9.57"/>
    <col customWidth="1" min="10" max="10" width="5.57"/>
    <col customWidth="1" min="11" max="11" width="17.0"/>
    <col customWidth="1" min="12" max="12" width="64.43"/>
    <col customWidth="1" min="13" max="13" width="38.71"/>
    <col customWidth="1" min="14" max="14" width="31.86"/>
    <col customWidth="1" min="15" max="15" width="14.57"/>
  </cols>
  <sheetData>
    <row r="1">
      <c r="A1" s="1254"/>
      <c r="B1" s="1254"/>
      <c r="C1" s="1320"/>
      <c r="D1" s="1254"/>
      <c r="E1" s="1254"/>
      <c r="F1" s="1263"/>
      <c r="G1" s="1317"/>
      <c r="H1" s="1254"/>
      <c r="I1" s="1318"/>
      <c r="J1" s="1254"/>
      <c r="K1" s="1254"/>
      <c r="L1" s="1254"/>
      <c r="M1" s="1254"/>
      <c r="N1" s="1318"/>
      <c r="O1" s="1386"/>
      <c r="P1" s="1254"/>
      <c r="Q1" s="1254"/>
      <c r="R1" s="1254"/>
      <c r="S1" s="1254"/>
      <c r="T1" s="1254"/>
      <c r="U1" s="1254"/>
      <c r="V1" s="1254"/>
      <c r="W1" s="1254"/>
      <c r="X1" s="1254"/>
      <c r="Y1" s="1254"/>
      <c r="Z1" s="1254"/>
    </row>
    <row r="2">
      <c r="A2" s="1254"/>
      <c r="B2" s="1254"/>
      <c r="C2" s="1320"/>
      <c r="D2" s="1254"/>
      <c r="E2" s="1254"/>
      <c r="F2" s="1263"/>
      <c r="G2" s="1317"/>
      <c r="H2" s="1254"/>
      <c r="I2" s="1318"/>
      <c r="J2" s="1254"/>
      <c r="K2" s="1196"/>
      <c r="L2" s="1196" t="s">
        <v>1167</v>
      </c>
      <c r="M2" s="1254"/>
      <c r="N2" s="1318"/>
      <c r="O2" s="1386"/>
      <c r="P2" s="1254"/>
      <c r="Q2" s="1254"/>
      <c r="R2" s="1254"/>
      <c r="S2" s="1254"/>
      <c r="T2" s="1254"/>
      <c r="U2" s="1254"/>
      <c r="V2" s="1254"/>
      <c r="W2" s="1254"/>
      <c r="X2" s="1254"/>
      <c r="Y2" s="1254"/>
      <c r="Z2" s="1254"/>
    </row>
    <row r="3">
      <c r="A3" s="1254"/>
      <c r="B3" s="1387" t="s">
        <v>856</v>
      </c>
      <c r="C3" s="1388" t="s">
        <v>7</v>
      </c>
      <c r="D3" s="1389" t="s">
        <v>244</v>
      </c>
      <c r="E3" s="1390" t="s">
        <v>15</v>
      </c>
      <c r="F3" s="1263"/>
      <c r="G3" s="1332" t="s">
        <v>929</v>
      </c>
      <c r="H3" s="1331" t="s">
        <v>244</v>
      </c>
      <c r="I3" s="1332" t="s">
        <v>930</v>
      </c>
      <c r="J3" s="1254"/>
      <c r="K3" s="1332" t="s">
        <v>236</v>
      </c>
      <c r="L3" s="1332" t="s">
        <v>7</v>
      </c>
      <c r="M3" s="1329" t="s">
        <v>931</v>
      </c>
      <c r="N3" s="1329" t="s">
        <v>11</v>
      </c>
      <c r="O3" s="1329" t="s">
        <v>30</v>
      </c>
      <c r="P3" s="1329" t="s">
        <v>932</v>
      </c>
      <c r="Q3" s="1254"/>
      <c r="R3" s="1254"/>
      <c r="S3" s="1254"/>
      <c r="T3" s="1254"/>
      <c r="U3" s="1254"/>
      <c r="V3" s="1254"/>
      <c r="W3" s="1254"/>
      <c r="X3" s="1254"/>
      <c r="Y3" s="1254"/>
      <c r="Z3" s="1254"/>
    </row>
    <row r="4">
      <c r="A4" s="1254"/>
      <c r="B4" s="1256" t="str">
        <f>IFERROR(__xludf.DUMMYFUNCTION("UNIQUE(
  FILTER(
    {Pricing!B15:B182; 'Block B'!B16:B220},
    {Pricing!A15:A182; 'Block B'!A16:A220} = ""M""
  )
)"),"#N/A")</f>
        <v>#N/A</v>
      </c>
      <c r="C4" s="1262" t="str">
        <f t="array" ref="C4:C15">iferror(vlookup(B4:B15,Pricing!B15:C182,2,false),"")</f>
        <v/>
      </c>
      <c r="D4" s="1391" t="str">
        <f t="array" ref="D4:D15">IF(
    SUMIF(Pricing!$B$15:$B$182, B4:B15, Pricing!$Q$15:$Q$182)
    = 0,
    "",
    SUMIF(Pricing!$B$15:$B$182, B4:B15, Pricing!$Q$15:$Q$182)
  )</f>
        <v/>
      </c>
      <c r="E4" s="1392" t="str">
        <f t="array" ref="E4:E15">IF(B4:B15="",
     ,
     IFERROR(
       VLOOKUP(B4:B15, Pricing!$B$15:$M$182, 10, 0)
     ,"")
  )</f>
        <v>#N/A</v>
      </c>
      <c r="F4" s="1263"/>
      <c r="G4" s="1350"/>
      <c r="H4" s="1349"/>
      <c r="I4" s="126" t="str">
        <f>IFERROR(__xludf.DUMMYFUNCTION("IFERROR(REGEXEXTRACT(L4,""@\s*(\d+(?:\.\d+)?)\s*deg"")&amp;""°"","""")"),"3°")</f>
        <v>3°</v>
      </c>
      <c r="J4" s="1254"/>
      <c r="K4" s="1350">
        <f>IFERROR(__xludf.DUMMYFUNCTION("(1 / COS(RADIANS(REGEXEXTRACT(I4,""(\d+)""))))*G4"),0.0)</f>
        <v>0</v>
      </c>
      <c r="L4" s="1334" t="s">
        <v>500</v>
      </c>
      <c r="M4" s="1342" t="str">
        <f>IFERROR(__xludf.DUMMYFUNCTION("join("" Length/s @ "",H4,K4)")," Length/s @ 0.00 m span")</f>
        <v> Length/s @ 0.00 m span</v>
      </c>
      <c r="N4" s="1342"/>
      <c r="O4" s="1342"/>
      <c r="P4" s="1334" t="s">
        <v>1148</v>
      </c>
      <c r="Q4" s="1254"/>
      <c r="R4" s="1254"/>
      <c r="S4" s="1254"/>
      <c r="T4" s="1254"/>
      <c r="U4" s="1254"/>
      <c r="V4" s="1254"/>
      <c r="W4" s="1254"/>
      <c r="X4" s="1254"/>
      <c r="Y4" s="1254"/>
      <c r="Z4" s="1254"/>
    </row>
    <row r="5">
      <c r="A5" s="1254"/>
      <c r="B5" s="1256"/>
      <c r="C5" s="1262"/>
      <c r="D5" s="1391" t="s">
        <v>42</v>
      </c>
      <c r="E5" s="1392"/>
      <c r="F5" s="1263"/>
      <c r="G5" s="1350"/>
      <c r="H5" s="1349"/>
      <c r="I5" s="126" t="str">
        <f>IFERROR(__xludf.DUMMYFUNCTION("IFERROR(REGEXEXTRACT(L5,""@\s*(\d+(?:\.\d+)?)\s*deg"")&amp;""°"","""")"),"3°")</f>
        <v>3°</v>
      </c>
      <c r="J5" s="1254"/>
      <c r="K5" s="1350">
        <f>IFERROR(__xludf.DUMMYFUNCTION("(1 / COS(RADIANS(REGEXEXTRACT(I5,""(\d+)""))))*G5"),0.0)</f>
        <v>0</v>
      </c>
      <c r="L5" s="1334" t="s">
        <v>500</v>
      </c>
      <c r="M5" s="1342" t="str">
        <f>IFERROR(__xludf.DUMMYFUNCTION("join("" Length/s @ "",H5,K5)")," Length/s @ 0.00 m span")</f>
        <v> Length/s @ 0.00 m span</v>
      </c>
      <c r="N5" s="1342"/>
      <c r="O5" s="1342"/>
      <c r="P5" s="1334" t="s">
        <v>1148</v>
      </c>
      <c r="Q5" s="1254"/>
      <c r="R5" s="1254"/>
      <c r="S5" s="1254"/>
      <c r="T5" s="1254"/>
      <c r="U5" s="1254"/>
      <c r="V5" s="1254"/>
      <c r="W5" s="1254"/>
      <c r="X5" s="1254"/>
      <c r="Y5" s="1254"/>
      <c r="Z5" s="1254"/>
    </row>
    <row r="6">
      <c r="A6" s="1254"/>
      <c r="B6" s="1256"/>
      <c r="C6" s="1262"/>
      <c r="D6" s="1391" t="s">
        <v>42</v>
      </c>
      <c r="E6" s="1392"/>
      <c r="F6" s="1263"/>
      <c r="G6" s="1350"/>
      <c r="H6" s="1349"/>
      <c r="I6" s="126" t="str">
        <f>IFERROR(__xludf.DUMMYFUNCTION("IFERROR(REGEXEXTRACT(L6,""@\s*(\d+(?:\.\d+)?)\s*deg"")&amp;""°"","""")"),"3°")</f>
        <v>3°</v>
      </c>
      <c r="J6" s="1254"/>
      <c r="K6" s="1350">
        <f>IFERROR(__xludf.DUMMYFUNCTION("(1 / COS(RADIANS(REGEXEXTRACT(I6,""(\d+)""))))*G6"),0.0)</f>
        <v>0</v>
      </c>
      <c r="L6" s="1334" t="s">
        <v>500</v>
      </c>
      <c r="M6" s="1342" t="str">
        <f>IFERROR(__xludf.DUMMYFUNCTION("join("" Length/s @ "",H6,K6)")," Length/s @ 0.00 m span")</f>
        <v> Length/s @ 0.00 m span</v>
      </c>
      <c r="N6" s="1342"/>
      <c r="O6" s="1342"/>
      <c r="P6" s="1334" t="s">
        <v>1148</v>
      </c>
      <c r="Q6" s="1254"/>
      <c r="R6" s="1254"/>
      <c r="S6" s="1254"/>
      <c r="T6" s="1254"/>
      <c r="U6" s="1254"/>
      <c r="V6" s="1254"/>
      <c r="W6" s="1254"/>
      <c r="X6" s="1254"/>
      <c r="Y6" s="1254"/>
      <c r="Z6" s="1254"/>
    </row>
    <row r="7">
      <c r="A7" s="1254"/>
      <c r="B7" s="1256"/>
      <c r="C7" s="1262"/>
      <c r="D7" s="1391" t="s">
        <v>42</v>
      </c>
      <c r="E7" s="1392"/>
      <c r="F7" s="1263"/>
      <c r="G7" s="1350"/>
      <c r="H7" s="1349"/>
      <c r="I7" s="126" t="str">
        <f>IFERROR(__xludf.DUMMYFUNCTION("IFERROR(REGEXEXTRACT(L7,""@\s*(\d+(?:\.\d+)?)\s*deg"")&amp;""°"","""")"),"3°")</f>
        <v>3°</v>
      </c>
      <c r="J7" s="1254"/>
      <c r="K7" s="1350">
        <f>IFERROR(__xludf.DUMMYFUNCTION("(1 / COS(RADIANS(REGEXEXTRACT(I7,""(\d+)""))))*G7"),0.0)</f>
        <v>0</v>
      </c>
      <c r="L7" s="1334" t="s">
        <v>500</v>
      </c>
      <c r="M7" s="1342" t="str">
        <f>IFERROR(__xludf.DUMMYFUNCTION("join("" Length/s @ "",H7,K7)")," Length/s @ 0.00 m span")</f>
        <v> Length/s @ 0.00 m span</v>
      </c>
      <c r="N7" s="1342"/>
      <c r="O7" s="1342"/>
      <c r="P7" s="1334" t="s">
        <v>1148</v>
      </c>
      <c r="Q7" s="1254"/>
      <c r="R7" s="1254"/>
      <c r="S7" s="1254"/>
      <c r="T7" s="1254"/>
      <c r="U7" s="1254"/>
      <c r="V7" s="1254"/>
      <c r="W7" s="1254"/>
      <c r="X7" s="1254"/>
      <c r="Y7" s="1254"/>
      <c r="Z7" s="1254"/>
    </row>
    <row r="8">
      <c r="A8" s="1254"/>
      <c r="B8" s="1256"/>
      <c r="C8" s="1262"/>
      <c r="D8" s="1391" t="s">
        <v>42</v>
      </c>
      <c r="E8" s="1392"/>
      <c r="F8" s="1263"/>
      <c r="G8" s="1350"/>
      <c r="H8" s="1349"/>
      <c r="I8" s="126" t="str">
        <f>IFERROR(__xludf.DUMMYFUNCTION("IFERROR(REGEXEXTRACT(L8,""@\s*(\d+(?:\.\d+)?)\s*deg"")&amp;""°"","""")"),"3°")</f>
        <v>3°</v>
      </c>
      <c r="J8" s="1254"/>
      <c r="K8" s="1350">
        <f>IFERROR(__xludf.DUMMYFUNCTION("(1 / COS(RADIANS(REGEXEXTRACT(I8,""(\d+)""))))*G8"),0.0)</f>
        <v>0</v>
      </c>
      <c r="L8" s="1334" t="s">
        <v>500</v>
      </c>
      <c r="M8" s="1342" t="str">
        <f>IFERROR(__xludf.DUMMYFUNCTION("join("" Length/s @ "",H8,K8)")," Length/s @ 0.00 m span")</f>
        <v> Length/s @ 0.00 m span</v>
      </c>
      <c r="N8" s="1342"/>
      <c r="O8" s="1342"/>
      <c r="P8" s="1334" t="s">
        <v>1148</v>
      </c>
      <c r="Q8" s="1254"/>
      <c r="R8" s="1254"/>
      <c r="S8" s="1254"/>
      <c r="T8" s="1254"/>
      <c r="U8" s="1254"/>
      <c r="V8" s="1254"/>
      <c r="W8" s="1254"/>
      <c r="X8" s="1254"/>
      <c r="Y8" s="1254"/>
      <c r="Z8" s="1254"/>
    </row>
    <row r="9">
      <c r="A9" s="1254"/>
      <c r="B9" s="1256"/>
      <c r="C9" s="1262"/>
      <c r="D9" s="1391" t="s">
        <v>42</v>
      </c>
      <c r="E9" s="1392"/>
      <c r="F9" s="1263"/>
      <c r="G9" s="1350"/>
      <c r="H9" s="1349"/>
      <c r="I9" s="126" t="str">
        <f>IFERROR(__xludf.DUMMYFUNCTION("IFERROR(REGEXEXTRACT(L9,""@\s*(\d+(?:\.\d+)?)\s*deg"")&amp;""°"","""")"),"3°")</f>
        <v>3°</v>
      </c>
      <c r="J9" s="1254"/>
      <c r="K9" s="1350">
        <f>IFERROR(__xludf.DUMMYFUNCTION("(1 / COS(RADIANS(REGEXEXTRACT(I9,""(\d+)""))))*G9"),0.0)</f>
        <v>0</v>
      </c>
      <c r="L9" s="1334" t="s">
        <v>500</v>
      </c>
      <c r="M9" s="1342" t="str">
        <f>IFERROR(__xludf.DUMMYFUNCTION("join("" Length/s @ "",H9,K9)")," Length/s @ 0.00 m span")</f>
        <v> Length/s @ 0.00 m span</v>
      </c>
      <c r="N9" s="1342"/>
      <c r="O9" s="1342"/>
      <c r="P9" s="1334" t="s">
        <v>1148</v>
      </c>
      <c r="Q9" s="1254"/>
      <c r="R9" s="1254"/>
      <c r="S9" s="1254"/>
      <c r="T9" s="1254"/>
      <c r="U9" s="1254"/>
      <c r="V9" s="1254"/>
      <c r="W9" s="1254"/>
      <c r="X9" s="1254"/>
      <c r="Y9" s="1254"/>
      <c r="Z9" s="1254"/>
    </row>
    <row r="10">
      <c r="A10" s="1254"/>
      <c r="B10" s="1256"/>
      <c r="C10" s="1262"/>
      <c r="D10" s="1391" t="s">
        <v>42</v>
      </c>
      <c r="E10" s="1392"/>
      <c r="F10" s="1263"/>
      <c r="G10" s="1350"/>
      <c r="H10" s="1349"/>
      <c r="I10" s="126" t="str">
        <f>IFERROR(__xludf.DUMMYFUNCTION("IFERROR(REGEXEXTRACT(L10,""@\s*(\d+(?:\.\d+)?)\s*deg"")&amp;""°"","""")"),"3°")</f>
        <v>3°</v>
      </c>
      <c r="J10" s="1254"/>
      <c r="K10" s="1350">
        <f>IFERROR(__xludf.DUMMYFUNCTION("(1 / COS(RADIANS(REGEXEXTRACT(I10,""(\d+)""))))*G10"),0.0)</f>
        <v>0</v>
      </c>
      <c r="L10" s="1334" t="s">
        <v>500</v>
      </c>
      <c r="M10" s="1342" t="str">
        <f>IFERROR(__xludf.DUMMYFUNCTION("join("" Length/s @ "",H10,K10)")," Length/s @ 0.00 m span")</f>
        <v> Length/s @ 0.00 m span</v>
      </c>
      <c r="N10" s="1342"/>
      <c r="O10" s="1342"/>
      <c r="P10" s="1334" t="s">
        <v>1148</v>
      </c>
      <c r="Q10" s="1254"/>
      <c r="R10" s="1254"/>
      <c r="S10" s="1254"/>
      <c r="T10" s="1254"/>
      <c r="U10" s="1254"/>
      <c r="V10" s="1254"/>
      <c r="W10" s="1254"/>
      <c r="X10" s="1254"/>
      <c r="Y10" s="1254"/>
      <c r="Z10" s="1254"/>
    </row>
    <row r="11">
      <c r="A11" s="1254"/>
      <c r="B11" s="1256"/>
      <c r="C11" s="1262"/>
      <c r="D11" s="1391" t="s">
        <v>42</v>
      </c>
      <c r="E11" s="1392"/>
      <c r="F11" s="1263"/>
      <c r="G11" s="1350"/>
      <c r="H11" s="1349"/>
      <c r="I11" s="126" t="str">
        <f>IFERROR(__xludf.DUMMYFUNCTION("IFERROR(REGEXEXTRACT(L11,""@\s*(\d+(?:\.\d+)?)\s*deg"")&amp;""°"","""")"),"3°")</f>
        <v>3°</v>
      </c>
      <c r="J11" s="1254"/>
      <c r="K11" s="1350">
        <f>IFERROR(__xludf.DUMMYFUNCTION("(1 / COS(RADIANS(REGEXEXTRACT(I11,""(\d+)""))))*G11"),0.0)</f>
        <v>0</v>
      </c>
      <c r="L11" s="1334" t="s">
        <v>500</v>
      </c>
      <c r="M11" s="1342" t="str">
        <f>IFERROR(__xludf.DUMMYFUNCTION("join("" Length/s @ "",H11,K11)")," Length/s @ 0.00 m span")</f>
        <v> Length/s @ 0.00 m span</v>
      </c>
      <c r="N11" s="1342"/>
      <c r="O11" s="1342"/>
      <c r="P11" s="1334" t="s">
        <v>1148</v>
      </c>
      <c r="Q11" s="1254"/>
      <c r="R11" s="1254"/>
      <c r="S11" s="1254"/>
      <c r="T11" s="1254"/>
      <c r="U11" s="1254"/>
      <c r="V11" s="1254"/>
      <c r="W11" s="1254"/>
      <c r="X11" s="1254"/>
      <c r="Y11" s="1254"/>
      <c r="Z11" s="1254"/>
    </row>
    <row r="12">
      <c r="A12" s="1254"/>
      <c r="B12" s="1256"/>
      <c r="C12" s="1262"/>
      <c r="D12" s="1391" t="s">
        <v>42</v>
      </c>
      <c r="E12" s="1392"/>
      <c r="F12" s="1263"/>
      <c r="G12" s="1350"/>
      <c r="H12" s="1349"/>
      <c r="I12" s="126" t="str">
        <f>IFERROR(__xludf.DUMMYFUNCTION("IFERROR(REGEXEXTRACT(L12,""@\s*(\d+(?:\.\d+)?)\s*deg"")&amp;""°"","""")"),"3°")</f>
        <v>3°</v>
      </c>
      <c r="J12" s="1254"/>
      <c r="K12" s="1350">
        <f>IFERROR(__xludf.DUMMYFUNCTION("(1 / COS(RADIANS(REGEXEXTRACT(I12,""(\d+)""))))*G12"),0.0)</f>
        <v>0</v>
      </c>
      <c r="L12" s="1334" t="s">
        <v>500</v>
      </c>
      <c r="M12" s="1342" t="str">
        <f>IFERROR(__xludf.DUMMYFUNCTION("join("" Length/s @ "",H12,K12)")," Length/s @ 0.00 m span")</f>
        <v> Length/s @ 0.00 m span</v>
      </c>
      <c r="N12" s="1342"/>
      <c r="O12" s="1342"/>
      <c r="P12" s="1334" t="s">
        <v>1148</v>
      </c>
      <c r="Q12" s="1254"/>
      <c r="R12" s="1254"/>
      <c r="S12" s="1254"/>
      <c r="T12" s="1254"/>
      <c r="U12" s="1254"/>
      <c r="V12" s="1254"/>
      <c r="W12" s="1254"/>
      <c r="X12" s="1254"/>
      <c r="Y12" s="1254"/>
      <c r="Z12" s="1254"/>
    </row>
    <row r="13">
      <c r="A13" s="1254"/>
      <c r="B13" s="1256"/>
      <c r="C13" s="1262"/>
      <c r="D13" s="1391" t="s">
        <v>42</v>
      </c>
      <c r="E13" s="1392"/>
      <c r="F13" s="1263"/>
      <c r="G13" s="1350"/>
      <c r="H13" s="1349"/>
      <c r="I13" s="126" t="str">
        <f>IFERROR(__xludf.DUMMYFUNCTION("IFERROR(REGEXEXTRACT(L13,""@\s*(\d+(?:\.\d+)?)\s*deg"")&amp;""°"","""")"),"3°")</f>
        <v>3°</v>
      </c>
      <c r="J13" s="1254"/>
      <c r="K13" s="1350">
        <f>IFERROR(__xludf.DUMMYFUNCTION("(1 / COS(RADIANS(REGEXEXTRACT(I13,""(\d+)""))))*G13"),0.0)</f>
        <v>0</v>
      </c>
      <c r="L13" s="1334" t="s">
        <v>500</v>
      </c>
      <c r="M13" s="1342" t="str">
        <f>IFERROR(__xludf.DUMMYFUNCTION("join("" Length/s @ "",H13,K13)")," Length/s @ 0.00 m span")</f>
        <v> Length/s @ 0.00 m span</v>
      </c>
      <c r="N13" s="1342"/>
      <c r="O13" s="1342"/>
      <c r="P13" s="1334" t="s">
        <v>1148</v>
      </c>
      <c r="Q13" s="1254"/>
      <c r="R13" s="1254"/>
      <c r="S13" s="1254"/>
      <c r="T13" s="1254"/>
      <c r="U13" s="1254"/>
      <c r="V13" s="1254"/>
      <c r="W13" s="1254"/>
      <c r="X13" s="1254"/>
      <c r="Y13" s="1254"/>
      <c r="Z13" s="1254"/>
    </row>
    <row r="14">
      <c r="A14" s="1254"/>
      <c r="B14" s="1256"/>
      <c r="C14" s="1262"/>
      <c r="D14" s="1391" t="s">
        <v>42</v>
      </c>
      <c r="E14" s="1392"/>
      <c r="F14" s="1263"/>
      <c r="G14" s="1350"/>
      <c r="H14" s="1349"/>
      <c r="I14" s="126" t="str">
        <f>IFERROR(__xludf.DUMMYFUNCTION("IFERROR(REGEXEXTRACT(L14,""@\s*(\d+(?:\.\d+)?)\s*deg"")&amp;""°"","""")"),"3°")</f>
        <v>3°</v>
      </c>
      <c r="J14" s="1254"/>
      <c r="K14" s="1350">
        <f>IFERROR(__xludf.DUMMYFUNCTION("(1 / COS(RADIANS(REGEXEXTRACT(I14,""(\d+)""))))*G14"),0.0)</f>
        <v>0</v>
      </c>
      <c r="L14" s="1334" t="s">
        <v>500</v>
      </c>
      <c r="M14" s="1342" t="str">
        <f>IFERROR(__xludf.DUMMYFUNCTION("join("" Length/s @ "",H14,K14)")," Length/s @ 0.00 m span")</f>
        <v> Length/s @ 0.00 m span</v>
      </c>
      <c r="N14" s="1342"/>
      <c r="O14" s="1342"/>
      <c r="P14" s="1334" t="s">
        <v>1148</v>
      </c>
      <c r="Q14" s="1254"/>
      <c r="R14" s="1254"/>
      <c r="S14" s="1254"/>
      <c r="T14" s="1254"/>
      <c r="U14" s="1254"/>
      <c r="V14" s="1254"/>
      <c r="W14" s="1254"/>
      <c r="X14" s="1254"/>
      <c r="Y14" s="1254"/>
      <c r="Z14" s="1254"/>
    </row>
    <row r="15">
      <c r="A15" s="1254"/>
      <c r="B15" s="1256"/>
      <c r="C15" s="1262"/>
      <c r="D15" s="1391" t="s">
        <v>42</v>
      </c>
      <c r="E15" s="1392"/>
      <c r="F15" s="1263"/>
      <c r="G15" s="1350"/>
      <c r="H15" s="1349"/>
      <c r="I15" s="126" t="str">
        <f>IFERROR(__xludf.DUMMYFUNCTION("IFERROR(REGEXEXTRACT(L15,""@\s*(\d+(?:\.\d+)?)\s*deg"")&amp;""°"","""")"),"4°")</f>
        <v>4°</v>
      </c>
      <c r="J15" s="1254"/>
      <c r="K15" s="1350">
        <f>IFERROR(__xludf.DUMMYFUNCTION("(1 / COS(RADIANS(REGEXEXTRACT(I15,""(\d+)""))))*G15"),0.0)</f>
        <v>0</v>
      </c>
      <c r="L15" s="1334" t="s">
        <v>1168</v>
      </c>
      <c r="M15" s="1342" t="str">
        <f>IFERROR(__xludf.DUMMYFUNCTION("join("" Length/s @ "",H15,K15)")," Length/s @ 0.00 m span")</f>
        <v> Length/s @ 0.00 m span</v>
      </c>
      <c r="N15" s="1342"/>
      <c r="O15" s="1342"/>
      <c r="P15" s="1334" t="s">
        <v>1148</v>
      </c>
      <c r="Q15" s="1254"/>
      <c r="R15" s="1254"/>
      <c r="S15" s="1254"/>
      <c r="T15" s="1254"/>
      <c r="U15" s="1254"/>
      <c r="V15" s="1254"/>
      <c r="W15" s="1254"/>
      <c r="X15" s="1254"/>
      <c r="Y15" s="1254"/>
      <c r="Z15" s="1254"/>
    </row>
    <row r="16">
      <c r="A16" s="1254"/>
      <c r="B16" s="1260"/>
      <c r="C16" s="1320"/>
      <c r="D16" s="1254"/>
      <c r="E16" s="1254"/>
      <c r="F16" s="1263"/>
      <c r="G16" s="1350"/>
      <c r="H16" s="1349"/>
      <c r="I16" s="126" t="str">
        <f>IFERROR(__xludf.DUMMYFUNCTION("IFERROR(REGEXEXTRACT(L16,""@\s*(\d+(?:\.\d+)?)\s*deg"")&amp;""°"","""")"),"")</f>
        <v/>
      </c>
      <c r="J16" s="1254"/>
      <c r="K16" s="1350"/>
      <c r="L16" s="1334"/>
      <c r="M16" s="1342"/>
      <c r="N16" s="1342"/>
      <c r="O16" s="1342"/>
      <c r="P16" s="1342"/>
      <c r="Q16" s="1254"/>
      <c r="R16" s="1254"/>
      <c r="S16" s="1254"/>
      <c r="T16" s="1254"/>
      <c r="U16" s="1254"/>
      <c r="V16" s="1254"/>
      <c r="W16" s="1254"/>
      <c r="X16" s="1254"/>
      <c r="Y16" s="1254"/>
      <c r="Z16" s="1254"/>
    </row>
    <row r="17">
      <c r="A17" s="1254"/>
      <c r="B17" s="1260"/>
      <c r="C17" s="1320"/>
      <c r="D17" s="1254"/>
      <c r="E17" s="1254"/>
      <c r="F17" s="1263"/>
      <c r="G17" s="1317"/>
      <c r="H17" s="1254"/>
      <c r="I17" s="1318"/>
      <c r="J17" s="1254"/>
      <c r="K17" s="1196"/>
      <c r="L17" s="1196" t="s">
        <v>1169</v>
      </c>
      <c r="M17" s="1254"/>
      <c r="N17" s="1254"/>
      <c r="O17" s="1254"/>
      <c r="P17" s="1254"/>
      <c r="Q17" s="1254"/>
      <c r="R17" s="1254"/>
      <c r="S17" s="1254"/>
      <c r="T17" s="1254"/>
      <c r="U17" s="1254"/>
      <c r="V17" s="1254"/>
      <c r="W17" s="1254"/>
      <c r="X17" s="1254"/>
      <c r="Y17" s="1254"/>
      <c r="Z17" s="1254"/>
    </row>
    <row r="18">
      <c r="A18" s="1254"/>
      <c r="B18" s="1393"/>
      <c r="C18" s="1394"/>
      <c r="D18" s="1254"/>
      <c r="E18" s="1395"/>
      <c r="F18" s="1332" t="s">
        <v>1152</v>
      </c>
      <c r="G18" s="1332" t="s">
        <v>929</v>
      </c>
      <c r="H18" s="1331" t="s">
        <v>244</v>
      </c>
      <c r="I18" s="1332" t="s">
        <v>930</v>
      </c>
      <c r="J18" s="1254"/>
      <c r="K18" s="1332" t="s">
        <v>236</v>
      </c>
      <c r="L18" s="1332" t="s">
        <v>7</v>
      </c>
      <c r="M18" s="1329" t="s">
        <v>940</v>
      </c>
      <c r="N18" s="1329"/>
      <c r="O18" s="1329" t="s">
        <v>30</v>
      </c>
      <c r="P18" s="1329" t="s">
        <v>932</v>
      </c>
      <c r="Q18" s="1254"/>
      <c r="R18" s="1254"/>
      <c r="S18" s="1254"/>
      <c r="T18" s="1254"/>
      <c r="U18" s="1254"/>
      <c r="V18" s="1254"/>
      <c r="W18" s="1254"/>
      <c r="X18" s="1254"/>
      <c r="Y18" s="1254"/>
      <c r="Z18" s="1254"/>
    </row>
    <row r="19">
      <c r="A19" s="1254"/>
      <c r="B19" s="1254"/>
      <c r="C19" s="1320"/>
      <c r="D19" s="1254"/>
      <c r="E19" s="1395"/>
      <c r="F19" s="1350">
        <v>11.0</v>
      </c>
      <c r="G19" s="1350">
        <v>10.0</v>
      </c>
      <c r="H19" s="1349">
        <v>37.0</v>
      </c>
      <c r="I19" s="126" t="str">
        <f>IFERROR(__xludf.DUMMYFUNCTION("IFERROR(REGEXEXTRACT(L19,""@\s*(\d+(?:\.\d+)?)\s*deg"")&amp;""°"",""1°"")"),"1°")</f>
        <v>1°</v>
      </c>
      <c r="J19" s="1254"/>
      <c r="K19" s="1350">
        <f>IFERROR(__xludf.DUMMYFUNCTION("(1 / COS(RADIANS(REGEXEXTRACT(I19,""(\d+)""))))*G19"),10.001523280439077)</f>
        <v>10.00152328</v>
      </c>
      <c r="L19" s="1334" t="str">
        <f t="shared" ref="L19:L37" si="1">"0.55mm BMT Dimondek 630 wall cladding"&amp;CHAR(10)&amp;
"Increment: + 40mm per count after "&amp;G19&amp;"m length"</f>
        <v>0.55mm BMT Dimondek 630 wall cladding
Increment: + 40mm per count after 10m length</v>
      </c>
      <c r="M19" s="1342" t="str">
        <f>IFERROR(__xludf.DUMMYFUNCTION("if(F19="""",join("" Length/s @ "",H19,K19),join("" Length/s @ "",H19,F19))"),"37 Length/s @ 11.00 m span")</f>
        <v>37 Length/s @ 11.00 m span</v>
      </c>
      <c r="N19" s="1334" t="s">
        <v>1154</v>
      </c>
      <c r="O19" s="1342"/>
      <c r="P19" s="1334" t="s">
        <v>1155</v>
      </c>
      <c r="Q19" s="1254"/>
      <c r="R19" s="1254"/>
      <c r="S19" s="1254"/>
      <c r="T19" s="1254"/>
      <c r="U19" s="1254"/>
      <c r="V19" s="1254"/>
      <c r="W19" s="1254"/>
      <c r="X19" s="1254"/>
      <c r="Y19" s="1254"/>
      <c r="Z19" s="1254"/>
    </row>
    <row r="20">
      <c r="A20" s="1254"/>
      <c r="B20" s="1254"/>
      <c r="C20" s="1320"/>
      <c r="D20" s="1254"/>
      <c r="E20" s="1395"/>
      <c r="F20" s="1350">
        <v>10.0</v>
      </c>
      <c r="G20" s="1350">
        <v>7.6</v>
      </c>
      <c r="H20" s="1349">
        <v>53.0</v>
      </c>
      <c r="I20" s="126" t="str">
        <f>IFERROR(__xludf.DUMMYFUNCTION("IFERROR(REGEXEXTRACT(L20,""@\s*(\d+(?:\.\d+)?)\s*deg"")&amp;""°"",""1°"")"),"1°")</f>
        <v>1°</v>
      </c>
      <c r="J20" s="1254"/>
      <c r="K20" s="1350">
        <f>IFERROR(__xludf.DUMMYFUNCTION("(1 / COS(RADIANS(REGEXEXTRACT(I20,""(\d+)""))))*G20"),7.601157693133699)</f>
        <v>7.601157693</v>
      </c>
      <c r="L20" s="1334" t="str">
        <f t="shared" si="1"/>
        <v>0.55mm BMT Dimondek 630 wall cladding
Increment: + 40mm per count after 7.6m length</v>
      </c>
      <c r="M20" s="1342" t="str">
        <f>IFERROR(__xludf.DUMMYFUNCTION("if(F20="""",join("" Length/s @ "",H20,K20),join("" Length/s @ "",H20,F20))"),"53 Length/s @ 10.00 m span")</f>
        <v>53 Length/s @ 10.00 m span</v>
      </c>
      <c r="N20" s="1334" t="s">
        <v>1154</v>
      </c>
      <c r="O20" s="1342"/>
      <c r="P20" s="1334" t="s">
        <v>1155</v>
      </c>
      <c r="Q20" s="1254"/>
      <c r="R20" s="1254"/>
      <c r="S20" s="1254"/>
      <c r="T20" s="1254"/>
      <c r="U20" s="1254"/>
      <c r="V20" s="1254"/>
      <c r="W20" s="1254"/>
      <c r="X20" s="1254"/>
      <c r="Y20" s="1254"/>
      <c r="Z20" s="1254"/>
    </row>
    <row r="21">
      <c r="A21" s="1254"/>
      <c r="B21" s="1254"/>
      <c r="C21" s="1320"/>
      <c r="D21" s="1254"/>
      <c r="E21" s="1395"/>
      <c r="F21" s="1350">
        <v>11.0</v>
      </c>
      <c r="G21" s="1350">
        <v>10.0</v>
      </c>
      <c r="H21" s="1349">
        <v>33.0</v>
      </c>
      <c r="I21" s="126" t="str">
        <f>IFERROR(__xludf.DUMMYFUNCTION("IFERROR(REGEXEXTRACT(L21,""@\s*(\d+(?:\.\d+)?)\s*deg"")&amp;""°"",""1°"")"),"1°")</f>
        <v>1°</v>
      </c>
      <c r="J21" s="1254"/>
      <c r="K21" s="1350">
        <f>IFERROR(__xludf.DUMMYFUNCTION("(1 / COS(RADIANS(REGEXEXTRACT(I21,""(\d+)""))))*G21"),10.001523280439077)</f>
        <v>10.00152328</v>
      </c>
      <c r="L21" s="1334" t="str">
        <f t="shared" si="1"/>
        <v>0.55mm BMT Dimondek 630 wall cladding
Increment: + 40mm per count after 10m length</v>
      </c>
      <c r="M21" s="1342" t="str">
        <f>IFERROR(__xludf.DUMMYFUNCTION("if(F21="""",join("" Length/s @ "",H21,K21),join("" Length/s @ "",H21,F21))"),"33 Length/s @ 11.00 m span")</f>
        <v>33 Length/s @ 11.00 m span</v>
      </c>
      <c r="N21" s="1334" t="s">
        <v>1154</v>
      </c>
      <c r="O21" s="1342"/>
      <c r="P21" s="1334" t="s">
        <v>1148</v>
      </c>
      <c r="Q21" s="1254"/>
      <c r="R21" s="1254"/>
      <c r="S21" s="1254"/>
      <c r="T21" s="1254"/>
      <c r="U21" s="1254"/>
      <c r="V21" s="1254"/>
      <c r="W21" s="1254"/>
      <c r="X21" s="1254"/>
      <c r="Y21" s="1254"/>
      <c r="Z21" s="1254"/>
    </row>
    <row r="22">
      <c r="A22" s="1254"/>
      <c r="B22" s="1254"/>
      <c r="C22" s="1320"/>
      <c r="D22" s="1254"/>
      <c r="E22" s="1395"/>
      <c r="F22" s="1350">
        <v>10.0</v>
      </c>
      <c r="G22" s="1350">
        <v>7.6</v>
      </c>
      <c r="H22" s="1349">
        <v>87.0</v>
      </c>
      <c r="I22" s="126" t="str">
        <f>IFERROR(__xludf.DUMMYFUNCTION("IFERROR(REGEXEXTRACT(L22,""@\s*(\d+(?:\.\d+)?)\s*deg"")&amp;""°"",""1°"")"),"1°")</f>
        <v>1°</v>
      </c>
      <c r="J22" s="1254"/>
      <c r="K22" s="1350">
        <f>IFERROR(__xludf.DUMMYFUNCTION("(1 / COS(RADIANS(REGEXEXTRACT(I22,""(\d+)""))))*G22"),7.601157693133699)</f>
        <v>7.601157693</v>
      </c>
      <c r="L22" s="1334" t="str">
        <f t="shared" si="1"/>
        <v>0.55mm BMT Dimondek 630 wall cladding
Increment: + 40mm per count after 7.6m length</v>
      </c>
      <c r="M22" s="1342" t="str">
        <f>IFERROR(__xludf.DUMMYFUNCTION("if(F22="""",join("" Length/s @ "",H22,K22),join("" Length/s @ "",H22,F22))"),"87 Length/s @ 10.00 m span")</f>
        <v>87 Length/s @ 10.00 m span</v>
      </c>
      <c r="N22" s="1334" t="s">
        <v>1154</v>
      </c>
      <c r="O22" s="1342"/>
      <c r="P22" s="1334" t="s">
        <v>1148</v>
      </c>
      <c r="Q22" s="1254"/>
      <c r="R22" s="1254"/>
      <c r="S22" s="1254"/>
      <c r="T22" s="1254"/>
      <c r="U22" s="1254"/>
      <c r="V22" s="1254"/>
      <c r="W22" s="1254"/>
      <c r="X22" s="1254"/>
      <c r="Y22" s="1254"/>
      <c r="Z22" s="1254"/>
    </row>
    <row r="23">
      <c r="A23" s="1254"/>
      <c r="B23" s="1254"/>
      <c r="C23" s="1320"/>
      <c r="D23" s="1254"/>
      <c r="E23" s="1395"/>
      <c r="F23" s="1350">
        <v>6.0</v>
      </c>
      <c r="G23" s="1350">
        <v>5.9</v>
      </c>
      <c r="H23" s="1349">
        <v>4.0</v>
      </c>
      <c r="I23" s="126" t="str">
        <f>IFERROR(__xludf.DUMMYFUNCTION("IFERROR(REGEXEXTRACT(L23,""@\s*(\d+(?:\.\d+)?)\s*deg"")&amp;""°"",""1°"")"),"1°")</f>
        <v>1°</v>
      </c>
      <c r="J23" s="1254"/>
      <c r="K23" s="1350">
        <f>IFERROR(__xludf.DUMMYFUNCTION("(1 / COS(RADIANS(REGEXEXTRACT(I23,""(\d+)""))))*G23"),5.900898735459056)</f>
        <v>5.900898735</v>
      </c>
      <c r="L23" s="1334" t="str">
        <f t="shared" si="1"/>
        <v>0.55mm BMT Dimondek 630 wall cladding
Increment: + 40mm per count after 5.9m length</v>
      </c>
      <c r="M23" s="1342" t="str">
        <f>IFERROR(__xludf.DUMMYFUNCTION("if(F23="""",join("" Length/s @ "",H23,K23),join("" Length/s @ "",H23,F23))"),"4 Length/s @ 6.00 m span")</f>
        <v>4 Length/s @ 6.00 m span</v>
      </c>
      <c r="N23" s="1334" t="s">
        <v>1156</v>
      </c>
      <c r="O23" s="1342"/>
      <c r="P23" s="1334" t="s">
        <v>1148</v>
      </c>
      <c r="Q23" s="1254"/>
      <c r="R23" s="1254"/>
      <c r="S23" s="1254"/>
      <c r="T23" s="1254"/>
      <c r="U23" s="1254"/>
      <c r="V23" s="1254"/>
      <c r="W23" s="1254"/>
      <c r="X23" s="1254"/>
      <c r="Y23" s="1254"/>
      <c r="Z23" s="1254"/>
    </row>
    <row r="24">
      <c r="A24" s="1254"/>
      <c r="B24" s="1254"/>
      <c r="C24" s="1320"/>
      <c r="D24" s="1254"/>
      <c r="E24" s="1395"/>
      <c r="F24" s="1350">
        <v>3.4</v>
      </c>
      <c r="G24" s="1350">
        <v>3.25</v>
      </c>
      <c r="H24" s="1349">
        <v>7.0</v>
      </c>
      <c r="I24" s="126" t="str">
        <f>IFERROR(__xludf.DUMMYFUNCTION("IFERROR(REGEXEXTRACT(L24,""@\s*(\d+(?:\.\d+)?)\s*deg"")&amp;""°"",""1°"")"),"1°")</f>
        <v>1°</v>
      </c>
      <c r="J24" s="1254"/>
      <c r="K24" s="1350">
        <f>IFERROR(__xludf.DUMMYFUNCTION("(1 / COS(RADIANS(REGEXEXTRACT(I24,""(\d+)""))))*G24"),3.2504950661427)</f>
        <v>3.250495066</v>
      </c>
      <c r="L24" s="1334" t="str">
        <f t="shared" si="1"/>
        <v>0.55mm BMT Dimondek 630 wall cladding
Increment: + 40mm per count after 3.25m length</v>
      </c>
      <c r="M24" s="1342" t="str">
        <f>IFERROR(__xludf.DUMMYFUNCTION("if(F24="""",join("" Length/s @ "",H24,K24),join("" Length/s @ "",H24,F24))"),"7 Length/s @ 3.40 m span")</f>
        <v>7 Length/s @ 3.40 m span</v>
      </c>
      <c r="N24" s="1334" t="s">
        <v>1156</v>
      </c>
      <c r="O24" s="1342"/>
      <c r="P24" s="1334" t="s">
        <v>1148</v>
      </c>
      <c r="Q24" s="1254"/>
      <c r="R24" s="1254"/>
      <c r="S24" s="1254"/>
      <c r="T24" s="1254"/>
      <c r="U24" s="1254"/>
      <c r="V24" s="1254"/>
      <c r="W24" s="1254"/>
      <c r="X24" s="1254"/>
      <c r="Y24" s="1254"/>
      <c r="Z24" s="1254"/>
    </row>
    <row r="25">
      <c r="A25" s="1254"/>
      <c r="B25" s="1254"/>
      <c r="C25" s="1320"/>
      <c r="D25" s="1254"/>
      <c r="E25" s="1395"/>
      <c r="F25" s="1350">
        <v>3.64</v>
      </c>
      <c r="G25" s="1350">
        <v>3.54</v>
      </c>
      <c r="H25" s="1349">
        <v>7.0</v>
      </c>
      <c r="I25" s="126" t="str">
        <f>IFERROR(__xludf.DUMMYFUNCTION("IFERROR(REGEXEXTRACT(L25,""@\s*(\d+(?:\.\d+)?)\s*deg"")&amp;""°"",""1°"")"),"1°")</f>
        <v>1°</v>
      </c>
      <c r="J25" s="1254"/>
      <c r="K25" s="1350">
        <f>IFERROR(__xludf.DUMMYFUNCTION("(1 / COS(RADIANS(REGEXEXTRACT(I25,""(\d+)""))))*G25"),3.5405392412754333)</f>
        <v>3.540539241</v>
      </c>
      <c r="L25" s="1334" t="str">
        <f t="shared" si="1"/>
        <v>0.55mm BMT Dimondek 630 wall cladding
Increment: + 40mm per count after 3.54m length</v>
      </c>
      <c r="M25" s="1342" t="str">
        <f>IFERROR(__xludf.DUMMYFUNCTION("if(F25="""",join("" Length/s @ "",H25,K25),join("" Length/s @ "",H25,F25))"),"7 Length/s @ 3.64 m span")</f>
        <v>7 Length/s @ 3.64 m span</v>
      </c>
      <c r="N25" s="1334" t="s">
        <v>1156</v>
      </c>
      <c r="O25" s="1342"/>
      <c r="P25" s="1334" t="s">
        <v>1148</v>
      </c>
      <c r="Q25" s="1254"/>
      <c r="R25" s="1254"/>
      <c r="S25" s="1254"/>
      <c r="T25" s="1254"/>
      <c r="U25" s="1254"/>
      <c r="V25" s="1254"/>
      <c r="W25" s="1254"/>
      <c r="X25" s="1254"/>
      <c r="Y25" s="1254"/>
      <c r="Z25" s="1254"/>
    </row>
    <row r="26">
      <c r="A26" s="1254"/>
      <c r="B26" s="1254"/>
      <c r="C26" s="1320"/>
      <c r="D26" s="1254"/>
      <c r="E26" s="1395"/>
      <c r="F26" s="1350">
        <v>6.5</v>
      </c>
      <c r="G26" s="1350">
        <v>6.0</v>
      </c>
      <c r="H26" s="1349">
        <v>33.0</v>
      </c>
      <c r="I26" s="126" t="str">
        <f>IFERROR(__xludf.DUMMYFUNCTION("IFERROR(REGEXEXTRACT(L26,""@\s*(\d+(?:\.\d+)?)\s*deg"")&amp;""°"",""1°"")"),"1°")</f>
        <v>1°</v>
      </c>
      <c r="J26" s="1254"/>
      <c r="K26" s="1350">
        <f>IFERROR(__xludf.DUMMYFUNCTION("(1 / COS(RADIANS(REGEXEXTRACT(I26,""(\d+)""))))*G26"),6.000913968263447)</f>
        <v>6.000913968</v>
      </c>
      <c r="L26" s="1334" t="str">
        <f t="shared" si="1"/>
        <v>0.55mm BMT Dimondek 630 wall cladding
Increment: + 40mm per count after 6m length</v>
      </c>
      <c r="M26" s="1342" t="str">
        <f>IFERROR(__xludf.DUMMYFUNCTION("if(F26="""",join("" Length/s @ "",H26,K26),join("" Length/s @ "",H26,F26))"),"33 Length/s @ 6.50 m span")</f>
        <v>33 Length/s @ 6.50 m span</v>
      </c>
      <c r="N26" s="1334" t="s">
        <v>1156</v>
      </c>
      <c r="O26" s="1342"/>
      <c r="P26" s="1334" t="s">
        <v>1148</v>
      </c>
      <c r="Q26" s="1254"/>
      <c r="R26" s="1254"/>
      <c r="S26" s="1254"/>
      <c r="T26" s="1254"/>
      <c r="U26" s="1254"/>
      <c r="V26" s="1254"/>
      <c r="W26" s="1254"/>
      <c r="X26" s="1254"/>
      <c r="Y26" s="1254"/>
      <c r="Z26" s="1254"/>
    </row>
    <row r="27">
      <c r="A27" s="1254"/>
      <c r="B27" s="1254"/>
      <c r="C27" s="1320"/>
      <c r="D27" s="1254"/>
      <c r="E27" s="1395"/>
      <c r="F27" s="1350">
        <v>6.0</v>
      </c>
      <c r="G27" s="1350">
        <v>5.9</v>
      </c>
      <c r="H27" s="1349">
        <v>7.0</v>
      </c>
      <c r="I27" s="126" t="str">
        <f>IFERROR(__xludf.DUMMYFUNCTION("IFERROR(REGEXEXTRACT(L27,""@\s*(\d+(?:\.\d+)?)\s*deg"")&amp;""°"",""1°"")"),"1°")</f>
        <v>1°</v>
      </c>
      <c r="J27" s="1254"/>
      <c r="K27" s="1350">
        <f>IFERROR(__xludf.DUMMYFUNCTION("(1 / COS(RADIANS(REGEXEXTRACT(I27,""(\d+)""))))*G27"),5.900898735459056)</f>
        <v>5.900898735</v>
      </c>
      <c r="L27" s="1334" t="str">
        <f t="shared" si="1"/>
        <v>0.55mm BMT Dimondek 630 wall cladding
Increment: + 40mm per count after 5.9m length</v>
      </c>
      <c r="M27" s="1342" t="str">
        <f>IFERROR(__xludf.DUMMYFUNCTION("if(F27="""",join("" Length/s @ "",H27,K27),join("" Length/s @ "",H27,F27))"),"7 Length/s @ 6.00 m span")</f>
        <v>7 Length/s @ 6.00 m span</v>
      </c>
      <c r="N27" s="1334" t="s">
        <v>1157</v>
      </c>
      <c r="O27" s="1342"/>
      <c r="P27" s="1334" t="s">
        <v>1148</v>
      </c>
      <c r="Q27" s="1254"/>
      <c r="R27" s="1254"/>
      <c r="S27" s="1254"/>
      <c r="T27" s="1254"/>
      <c r="U27" s="1254"/>
      <c r="V27" s="1254"/>
      <c r="W27" s="1254"/>
      <c r="X27" s="1254"/>
      <c r="Y27" s="1254"/>
      <c r="Z27" s="1254"/>
    </row>
    <row r="28">
      <c r="A28" s="1254"/>
      <c r="B28" s="1254"/>
      <c r="C28" s="1320"/>
      <c r="D28" s="1254"/>
      <c r="E28" s="1395"/>
      <c r="F28" s="1350">
        <v>3.5</v>
      </c>
      <c r="G28" s="1350">
        <v>3.3</v>
      </c>
      <c r="H28" s="1349">
        <v>6.0</v>
      </c>
      <c r="I28" s="126" t="str">
        <f>IFERROR(__xludf.DUMMYFUNCTION("IFERROR(REGEXEXTRACT(L28,""@\s*(\d+(?:\.\d+)?)\s*deg"")&amp;""°"",""1°"")"),"1°")</f>
        <v>1°</v>
      </c>
      <c r="J28" s="1254"/>
      <c r="K28" s="1350">
        <f>IFERROR(__xludf.DUMMYFUNCTION("(1 / COS(RADIANS(REGEXEXTRACT(I28,""(\d+)""))))*G28"),3.3005026825448955)</f>
        <v>3.300502683</v>
      </c>
      <c r="L28" s="1334" t="str">
        <f t="shared" si="1"/>
        <v>0.55mm BMT Dimondek 630 wall cladding
Increment: + 40mm per count after 3.3m length</v>
      </c>
      <c r="M28" s="1342" t="str">
        <f>IFERROR(__xludf.DUMMYFUNCTION("if(F28="""",join("" Length/s @ "",H28,K28),join("" Length/s @ "",H28,F28))"),"6 Length/s @ 3.50 m span")</f>
        <v>6 Length/s @ 3.50 m span</v>
      </c>
      <c r="N28" s="1334" t="s">
        <v>1157</v>
      </c>
      <c r="O28" s="1342"/>
      <c r="P28" s="1334" t="s">
        <v>1148</v>
      </c>
      <c r="Q28" s="1254"/>
      <c r="R28" s="1254"/>
      <c r="S28" s="1254"/>
      <c r="T28" s="1254"/>
      <c r="U28" s="1254"/>
      <c r="V28" s="1254"/>
      <c r="W28" s="1254"/>
      <c r="X28" s="1254"/>
      <c r="Y28" s="1254"/>
      <c r="Z28" s="1254"/>
    </row>
    <row r="29">
      <c r="A29" s="1254"/>
      <c r="B29" s="1254"/>
      <c r="C29" s="1320"/>
      <c r="D29" s="1254"/>
      <c r="E29" s="1395"/>
      <c r="F29" s="1350">
        <v>3.8</v>
      </c>
      <c r="G29" s="1350">
        <v>3.55</v>
      </c>
      <c r="H29" s="1349">
        <v>7.0</v>
      </c>
      <c r="I29" s="126" t="str">
        <f>IFERROR(__xludf.DUMMYFUNCTION("IFERROR(REGEXEXTRACT(L29,""@\s*(\d+(?:\.\d+)?)\s*deg"")&amp;""°"",""1°"")"),"1°")</f>
        <v>1°</v>
      </c>
      <c r="J29" s="1254"/>
      <c r="K29" s="1350">
        <f>IFERROR(__xludf.DUMMYFUNCTION("(1 / COS(RADIANS(REGEXEXTRACT(I29,""(\d+)""))))*G29"),3.550540764555872)</f>
        <v>3.550540765</v>
      </c>
      <c r="L29" s="1334" t="str">
        <f t="shared" si="1"/>
        <v>0.55mm BMT Dimondek 630 wall cladding
Increment: + 40mm per count after 3.55m length</v>
      </c>
      <c r="M29" s="1342" t="str">
        <f>IFERROR(__xludf.DUMMYFUNCTION("if(F29="""",join("" Length/s @ "",H29,K29),join("" Length/s @ "",H29,F29))"),"7 Length/s @ 3.80 m span")</f>
        <v>7 Length/s @ 3.80 m span</v>
      </c>
      <c r="N29" s="1334" t="s">
        <v>1157</v>
      </c>
      <c r="O29" s="1342"/>
      <c r="P29" s="1334" t="s">
        <v>1148</v>
      </c>
      <c r="Q29" s="1254"/>
      <c r="R29" s="1254"/>
      <c r="S29" s="1254"/>
      <c r="T29" s="1254"/>
      <c r="U29" s="1254"/>
      <c r="V29" s="1254"/>
      <c r="W29" s="1254"/>
      <c r="X29" s="1254"/>
      <c r="Y29" s="1254"/>
      <c r="Z29" s="1254"/>
    </row>
    <row r="30">
      <c r="A30" s="1254"/>
      <c r="B30" s="1254"/>
      <c r="C30" s="1320"/>
      <c r="D30" s="1254"/>
      <c r="E30" s="1395"/>
      <c r="F30" s="1350">
        <v>4.0</v>
      </c>
      <c r="G30" s="1350">
        <v>3.85</v>
      </c>
      <c r="H30" s="1349">
        <v>6.0</v>
      </c>
      <c r="I30" s="126" t="str">
        <f>IFERROR(__xludf.DUMMYFUNCTION("IFERROR(REGEXEXTRACT(L30,""@\s*(\d+(?:\.\d+)?)\s*deg"")&amp;""°"",""1°"")"),"1°")</f>
        <v>1°</v>
      </c>
      <c r="J30" s="1254"/>
      <c r="K30" s="1350">
        <f>IFERROR(__xludf.DUMMYFUNCTION("(1 / COS(RADIANS(REGEXEXTRACT(I30,""(\d+)""))))*G30"),3.8505864629690447)</f>
        <v>3.850586463</v>
      </c>
      <c r="L30" s="1334" t="str">
        <f t="shared" si="1"/>
        <v>0.55mm BMT Dimondek 630 wall cladding
Increment: + 40mm per count after 3.85m length</v>
      </c>
      <c r="M30" s="1342" t="str">
        <f>IFERROR(__xludf.DUMMYFUNCTION("if(F30="""",join("" Length/s @ "",H30,K30),join("" Length/s @ "",H30,F30))"),"6 Length/s @ 4.00 m span")</f>
        <v>6 Length/s @ 4.00 m span</v>
      </c>
      <c r="N30" s="1334" t="s">
        <v>1157</v>
      </c>
      <c r="O30" s="1342"/>
      <c r="P30" s="1334" t="s">
        <v>1148</v>
      </c>
      <c r="Q30" s="1254"/>
      <c r="R30" s="1254"/>
      <c r="S30" s="1254"/>
      <c r="T30" s="1254"/>
      <c r="U30" s="1254"/>
      <c r="V30" s="1254"/>
      <c r="W30" s="1254"/>
      <c r="X30" s="1254"/>
      <c r="Y30" s="1254"/>
      <c r="Z30" s="1254"/>
    </row>
    <row r="31">
      <c r="A31" s="1254"/>
      <c r="B31" s="1254"/>
      <c r="C31" s="1320"/>
      <c r="D31" s="1254"/>
      <c r="E31" s="1395"/>
      <c r="F31" s="1350">
        <v>6.8</v>
      </c>
      <c r="G31" s="1350">
        <v>6.3</v>
      </c>
      <c r="H31" s="1349">
        <v>26.0</v>
      </c>
      <c r="I31" s="126" t="str">
        <f>IFERROR(__xludf.DUMMYFUNCTION("IFERROR(REGEXEXTRACT(L31,""@\s*(\d+(?:\.\d+)?)\s*deg"")&amp;""°"",""1°"")"),"1°")</f>
        <v>1°</v>
      </c>
      <c r="J31" s="1254"/>
      <c r="K31" s="1350">
        <f>IFERROR(__xludf.DUMMYFUNCTION("(1 / COS(RADIANS(REGEXEXTRACT(I31,""(\d+)""))))*G31"),6.3009596666766186)</f>
        <v>6.300959667</v>
      </c>
      <c r="L31" s="1334" t="str">
        <f t="shared" si="1"/>
        <v>0.55mm BMT Dimondek 630 wall cladding
Increment: + 40mm per count after 6.3m length</v>
      </c>
      <c r="M31" s="1342" t="str">
        <f>IFERROR(__xludf.DUMMYFUNCTION("if(F31="""",join("" Length/s @ "",H31,K31),join("" Length/s @ "",H31,F31))"),"26 Length/s @ 6.80 m span")</f>
        <v>26 Length/s @ 6.80 m span</v>
      </c>
      <c r="N31" s="1334" t="s">
        <v>1157</v>
      </c>
      <c r="O31" s="1342"/>
      <c r="P31" s="1334" t="s">
        <v>1148</v>
      </c>
      <c r="Q31" s="1254"/>
      <c r="R31" s="1254"/>
      <c r="S31" s="1254"/>
      <c r="T31" s="1254"/>
      <c r="U31" s="1254"/>
      <c r="V31" s="1254"/>
      <c r="W31" s="1254"/>
      <c r="X31" s="1254"/>
      <c r="Y31" s="1254"/>
      <c r="Z31" s="1254"/>
    </row>
    <row r="32">
      <c r="A32" s="1254"/>
      <c r="B32" s="1254"/>
      <c r="C32" s="1320"/>
      <c r="D32" s="1254"/>
      <c r="E32" s="1395"/>
      <c r="F32" s="1350">
        <v>6.2</v>
      </c>
      <c r="G32" s="1350">
        <v>6.0</v>
      </c>
      <c r="H32" s="1349">
        <v>11.0</v>
      </c>
      <c r="I32" s="126" t="str">
        <f>IFERROR(__xludf.DUMMYFUNCTION("IFERROR(REGEXEXTRACT(L32,""@\s*(\d+(?:\.\d+)?)\s*deg"")&amp;""°"",""1°"")"),"1°")</f>
        <v>1°</v>
      </c>
      <c r="J32" s="1254"/>
      <c r="K32" s="1350">
        <f>IFERROR(__xludf.DUMMYFUNCTION("(1 / COS(RADIANS(REGEXEXTRACT(I32,""(\d+)""))))*G32"),6.000913968263447)</f>
        <v>6.000913968</v>
      </c>
      <c r="L32" s="1334" t="str">
        <f t="shared" si="1"/>
        <v>0.55mm BMT Dimondek 630 wall cladding
Increment: + 40mm per count after 6m length</v>
      </c>
      <c r="M32" s="1342" t="str">
        <f>IFERROR(__xludf.DUMMYFUNCTION("if(F32="""",join("" Length/s @ "",H32,K32),join("" Length/s @ "",H32,F32))"),"11 Length/s @ 6.20 m span")</f>
        <v>11 Length/s @ 6.20 m span</v>
      </c>
      <c r="N32" s="1334" t="s">
        <v>1158</v>
      </c>
      <c r="O32" s="1342"/>
      <c r="P32" s="1334" t="s">
        <v>1155</v>
      </c>
      <c r="Q32" s="1254"/>
      <c r="R32" s="1254"/>
      <c r="S32" s="1254"/>
      <c r="T32" s="1254"/>
      <c r="U32" s="1254"/>
      <c r="V32" s="1254"/>
      <c r="W32" s="1254"/>
      <c r="X32" s="1254"/>
      <c r="Y32" s="1254"/>
      <c r="Z32" s="1254"/>
    </row>
    <row r="33">
      <c r="A33" s="1254"/>
      <c r="B33" s="1254"/>
      <c r="C33" s="1320"/>
      <c r="D33" s="1254"/>
      <c r="E33" s="1395"/>
      <c r="F33" s="1350">
        <v>3.5</v>
      </c>
      <c r="G33" s="1350">
        <v>3.22</v>
      </c>
      <c r="H33" s="1349">
        <v>7.0</v>
      </c>
      <c r="I33" s="126" t="str">
        <f>IFERROR(__xludf.DUMMYFUNCTION("IFERROR(REGEXEXTRACT(L33,""@\s*(\d+(?:\.\d+)?)\s*deg"")&amp;""°"",""1°"")"),"1°")</f>
        <v>1°</v>
      </c>
      <c r="J33" s="1254"/>
      <c r="K33" s="1350">
        <f>IFERROR(__xludf.DUMMYFUNCTION("(1 / COS(RADIANS(REGEXEXTRACT(I33,""(\d+)""))))*G33"),3.220490496301383)</f>
        <v>3.220490496</v>
      </c>
      <c r="L33" s="1334" t="str">
        <f t="shared" si="1"/>
        <v>0.55mm BMT Dimondek 630 wall cladding
Increment: + 40mm per count after 3.22m length</v>
      </c>
      <c r="M33" s="1342" t="str">
        <f>IFERROR(__xludf.DUMMYFUNCTION("if(F33="""",join("" Length/s @ "",H33,K33),join("" Length/s @ "",H33,F33))"),"7 Length/s @ 3.50 m span")</f>
        <v>7 Length/s @ 3.50 m span</v>
      </c>
      <c r="N33" s="1334" t="s">
        <v>1158</v>
      </c>
      <c r="O33" s="1342"/>
      <c r="P33" s="1334" t="s">
        <v>1155</v>
      </c>
      <c r="Q33" s="1254"/>
      <c r="R33" s="1254"/>
      <c r="S33" s="1254"/>
      <c r="T33" s="1254"/>
      <c r="U33" s="1254"/>
      <c r="V33" s="1254"/>
      <c r="W33" s="1254"/>
      <c r="X33" s="1254"/>
      <c r="Y33" s="1254"/>
      <c r="Z33" s="1254"/>
    </row>
    <row r="34">
      <c r="A34" s="1254"/>
      <c r="B34" s="1254"/>
      <c r="C34" s="1320"/>
      <c r="D34" s="1254"/>
      <c r="E34" s="1395"/>
      <c r="F34" s="1350">
        <v>3.6</v>
      </c>
      <c r="G34" s="1350">
        <v>3.5</v>
      </c>
      <c r="H34" s="1349">
        <v>7.0</v>
      </c>
      <c r="I34" s="126" t="str">
        <f>IFERROR(__xludf.DUMMYFUNCTION("IFERROR(REGEXEXTRACT(L34,""@\s*(\d+(?:\.\d+)?)\s*deg"")&amp;""°"",""1°"")"),"1°")</f>
        <v>1°</v>
      </c>
      <c r="J34" s="1254"/>
      <c r="K34" s="1350">
        <f>IFERROR(__xludf.DUMMYFUNCTION("(1 / COS(RADIANS(REGEXEXTRACT(I34,""(\d+)""))))*G34"),3.500533148153677)</f>
        <v>3.500533148</v>
      </c>
      <c r="L34" s="1334" t="str">
        <f t="shared" si="1"/>
        <v>0.55mm BMT Dimondek 630 wall cladding
Increment: + 40mm per count after 3.5m length</v>
      </c>
      <c r="M34" s="1342" t="str">
        <f>IFERROR(__xludf.DUMMYFUNCTION("if(F34="""",join("" Length/s @ "",H34,K34),join("" Length/s @ "",H34,F34))"),"7 Length/s @ 3.60 m span")</f>
        <v>7 Length/s @ 3.60 m span</v>
      </c>
      <c r="N34" s="1334" t="s">
        <v>1158</v>
      </c>
      <c r="O34" s="1342"/>
      <c r="P34" s="1334" t="s">
        <v>1155</v>
      </c>
      <c r="Q34" s="1254"/>
      <c r="R34" s="1254"/>
      <c r="S34" s="1254"/>
      <c r="T34" s="1254"/>
      <c r="U34" s="1254"/>
      <c r="V34" s="1254"/>
      <c r="W34" s="1254"/>
      <c r="X34" s="1254"/>
      <c r="Y34" s="1254"/>
      <c r="Z34" s="1254"/>
    </row>
    <row r="35">
      <c r="A35" s="1254"/>
      <c r="B35" s="1254"/>
      <c r="C35" s="1320"/>
      <c r="D35" s="1254"/>
      <c r="E35" s="1395"/>
      <c r="F35" s="1350">
        <v>6.2</v>
      </c>
      <c r="G35" s="1350">
        <v>6.0</v>
      </c>
      <c r="H35" s="1349">
        <v>11.0</v>
      </c>
      <c r="I35" s="126" t="str">
        <f>IFERROR(__xludf.DUMMYFUNCTION("IFERROR(REGEXEXTRACT(L35,""@\s*(\d+(?:\.\d+)?)\s*deg"")&amp;""°"",""1°"")"),"1°")</f>
        <v>1°</v>
      </c>
      <c r="J35" s="1254"/>
      <c r="K35" s="1350">
        <f>IFERROR(__xludf.DUMMYFUNCTION("(1 / COS(RADIANS(REGEXEXTRACT(I35,""(\d+)""))))*G35"),6.000913968263447)</f>
        <v>6.000913968</v>
      </c>
      <c r="L35" s="1334" t="str">
        <f t="shared" si="1"/>
        <v>0.55mm BMT Dimondek 630 wall cladding
Increment: + 40mm per count after 6m length</v>
      </c>
      <c r="M35" s="1342" t="str">
        <f>IFERROR(__xludf.DUMMYFUNCTION("if(F35="""",join("" Length/s @ "",H35,K35),join("" Length/s @ "",H35,F35))"),"11 Length/s @ 6.20 m span")</f>
        <v>11 Length/s @ 6.20 m span</v>
      </c>
      <c r="N35" s="1334" t="s">
        <v>1159</v>
      </c>
      <c r="O35" s="1342"/>
      <c r="P35" s="1334" t="s">
        <v>1155</v>
      </c>
      <c r="Q35" s="1254"/>
      <c r="R35" s="1254"/>
      <c r="S35" s="1254"/>
      <c r="T35" s="1254"/>
      <c r="U35" s="1254"/>
      <c r="V35" s="1254"/>
      <c r="W35" s="1254"/>
      <c r="X35" s="1254"/>
      <c r="Y35" s="1254"/>
      <c r="Z35" s="1254"/>
    </row>
    <row r="36">
      <c r="A36" s="1254"/>
      <c r="B36" s="1254"/>
      <c r="C36" s="1320"/>
      <c r="D36" s="1254"/>
      <c r="E36" s="1395"/>
      <c r="F36" s="1350">
        <v>3.5</v>
      </c>
      <c r="G36" s="1350">
        <v>3.22</v>
      </c>
      <c r="H36" s="1349">
        <v>7.0</v>
      </c>
      <c r="I36" s="126" t="str">
        <f>IFERROR(__xludf.DUMMYFUNCTION("IFERROR(REGEXEXTRACT(L36,""@\s*(\d+(?:\.\d+)?)\s*deg"")&amp;""°"",""1°"")"),"1°")</f>
        <v>1°</v>
      </c>
      <c r="J36" s="1254"/>
      <c r="K36" s="1350">
        <f>IFERROR(__xludf.DUMMYFUNCTION("(1 / COS(RADIANS(REGEXEXTRACT(I36,""(\d+)""))))*G36"),3.220490496301383)</f>
        <v>3.220490496</v>
      </c>
      <c r="L36" s="1334" t="str">
        <f t="shared" si="1"/>
        <v>0.55mm BMT Dimondek 630 wall cladding
Increment: + 40mm per count after 3.22m length</v>
      </c>
      <c r="M36" s="1342" t="str">
        <f>IFERROR(__xludf.DUMMYFUNCTION("if(F36="""",join("" Length/s @ "",H36,K36),join("" Length/s @ "",H36,F36))"),"7 Length/s @ 3.50 m span")</f>
        <v>7 Length/s @ 3.50 m span</v>
      </c>
      <c r="N36" s="1334" t="s">
        <v>1159</v>
      </c>
      <c r="O36" s="1342"/>
      <c r="P36" s="1334" t="s">
        <v>1155</v>
      </c>
      <c r="Q36" s="1254"/>
      <c r="R36" s="1254"/>
      <c r="S36" s="1254"/>
      <c r="T36" s="1254"/>
      <c r="U36" s="1254"/>
      <c r="V36" s="1254"/>
      <c r="W36" s="1254"/>
      <c r="X36" s="1254"/>
      <c r="Y36" s="1254"/>
      <c r="Z36" s="1254"/>
    </row>
    <row r="37">
      <c r="A37" s="1254"/>
      <c r="B37" s="1254"/>
      <c r="C37" s="1320"/>
      <c r="D37" s="1254"/>
      <c r="E37" s="1395"/>
      <c r="F37" s="1350">
        <v>3.6</v>
      </c>
      <c r="G37" s="1350">
        <v>3.5</v>
      </c>
      <c r="H37" s="1349">
        <v>7.0</v>
      </c>
      <c r="I37" s="126" t="str">
        <f>IFERROR(__xludf.DUMMYFUNCTION("IFERROR(REGEXEXTRACT(L37,""@\s*(\d+(?:\.\d+)?)\s*deg"")&amp;""°"",""1°"")"),"1°")</f>
        <v>1°</v>
      </c>
      <c r="J37" s="1254"/>
      <c r="K37" s="1350">
        <f>IFERROR(__xludf.DUMMYFUNCTION("(1 / COS(RADIANS(REGEXEXTRACT(I37,""(\d+)""))))*G37"),3.500533148153677)</f>
        <v>3.500533148</v>
      </c>
      <c r="L37" s="1334" t="str">
        <f t="shared" si="1"/>
        <v>0.55mm BMT Dimondek 630 wall cladding
Increment: + 40mm per count after 3.5m length</v>
      </c>
      <c r="M37" s="1342" t="str">
        <f>IFERROR(__xludf.DUMMYFUNCTION("if(F37="""",join("" Length/s @ "",H37,K37),join("" Length/s @ "",H37,F37))"),"7 Length/s @ 3.60 m span")</f>
        <v>7 Length/s @ 3.60 m span</v>
      </c>
      <c r="N37" s="1334" t="s">
        <v>1159</v>
      </c>
      <c r="O37" s="1342"/>
      <c r="P37" s="1334" t="s">
        <v>1155</v>
      </c>
      <c r="Q37" s="1254"/>
      <c r="R37" s="1254"/>
      <c r="S37" s="1254"/>
      <c r="T37" s="1254"/>
      <c r="U37" s="1254"/>
      <c r="V37" s="1254"/>
      <c r="W37" s="1254"/>
      <c r="X37" s="1254"/>
      <c r="Y37" s="1254"/>
      <c r="Z37" s="1254"/>
    </row>
    <row r="38">
      <c r="A38" s="1254"/>
      <c r="B38" s="1254"/>
      <c r="C38" s="1320"/>
      <c r="D38" s="1254"/>
      <c r="E38" s="1395"/>
      <c r="F38" s="1350"/>
      <c r="G38" s="1396">
        <v>7.6</v>
      </c>
      <c r="H38" s="1397">
        <v>19.0</v>
      </c>
      <c r="I38" s="1398" t="str">
        <f>IFERROR(__xludf.DUMMYFUNCTION("IFERROR(REGEXEXTRACT(L38,""@\s*(\d+(?:\.\d+)?)\s*deg"")&amp;""°"",""1°"")"),"1°")</f>
        <v>1°</v>
      </c>
      <c r="J38" s="1399"/>
      <c r="K38" s="1396">
        <f>IFERROR(__xludf.DUMMYFUNCTION("(1 / COS(RADIANS(REGEXEXTRACT(I38,""(\d+)""))))*G38"),7.601157693133699)</f>
        <v>7.601157693</v>
      </c>
      <c r="L38" s="1378" t="s">
        <v>1160</v>
      </c>
      <c r="M38" s="1379" t="str">
        <f>IFERROR(__xludf.DUMMYFUNCTION("if(F38="""",join("" Length/s @ "",H38,K38),join("" Length/s @ "",H38,F38))"),"19 Length/s @ 7.60 m span")</f>
        <v>19 Length/s @ 7.60 m span</v>
      </c>
      <c r="N38" s="1378" t="s">
        <v>1161</v>
      </c>
      <c r="O38" s="1379"/>
      <c r="P38" s="1378" t="s">
        <v>1162</v>
      </c>
      <c r="Q38" s="1254"/>
      <c r="R38" s="1254"/>
      <c r="S38" s="1254"/>
      <c r="T38" s="1254"/>
      <c r="U38" s="1254"/>
      <c r="V38" s="1254"/>
      <c r="W38" s="1254"/>
      <c r="X38" s="1254"/>
      <c r="Y38" s="1254"/>
      <c r="Z38" s="1254"/>
    </row>
    <row r="39">
      <c r="A39" s="1254"/>
      <c r="B39" s="1254"/>
      <c r="C39" s="1320"/>
      <c r="D39" s="1254"/>
      <c r="E39" s="1395"/>
      <c r="F39" s="1350"/>
      <c r="G39" s="1350">
        <v>7.6</v>
      </c>
      <c r="H39" s="1349">
        <v>11.0</v>
      </c>
      <c r="I39" s="126" t="str">
        <f>IFERROR(__xludf.DUMMYFUNCTION("IFERROR(REGEXEXTRACT(L39,""@\s*(\d+(?:\.\d+)?)\s*deg"")&amp;""°"",""1°"")"),"1°")</f>
        <v>1°</v>
      </c>
      <c r="J39" s="1254"/>
      <c r="K39" s="1350">
        <f>IFERROR(__xludf.DUMMYFUNCTION("(1 / COS(RADIANS(REGEXEXTRACT(I39,""(\d+)""))))*G39"),7.601157693133699)</f>
        <v>7.601157693</v>
      </c>
      <c r="L39" s="1334" t="s">
        <v>1153</v>
      </c>
      <c r="M39" s="1342" t="str">
        <f>IFERROR(__xludf.DUMMYFUNCTION("if(F39="""",join("" Length/s @ "",H39,K39),join("" Length/s @ "",H39,F39))"),"11 Length/s @ 7.60 m span")</f>
        <v>11 Length/s @ 7.60 m span</v>
      </c>
      <c r="N39" s="1334" t="s">
        <v>1161</v>
      </c>
      <c r="O39" s="1342"/>
      <c r="P39" s="1334" t="s">
        <v>1163</v>
      </c>
      <c r="Q39" s="1254"/>
      <c r="R39" s="1254"/>
      <c r="S39" s="1254"/>
      <c r="T39" s="1254"/>
      <c r="U39" s="1254"/>
      <c r="V39" s="1254"/>
      <c r="W39" s="1254"/>
      <c r="X39" s="1254"/>
      <c r="Y39" s="1254"/>
      <c r="Z39" s="1254"/>
    </row>
    <row r="40">
      <c r="A40" s="1254"/>
      <c r="B40" s="1254"/>
      <c r="C40" s="1320"/>
      <c r="D40" s="1254"/>
      <c r="E40" s="1395"/>
      <c r="F40" s="1350"/>
      <c r="G40" s="1350">
        <v>7.6</v>
      </c>
      <c r="H40" s="1349">
        <v>92.0</v>
      </c>
      <c r="I40" s="126" t="str">
        <f>IFERROR(__xludf.DUMMYFUNCTION("IFERROR(REGEXEXTRACT(L40,""@\s*(\d+(?:\.\d+)?)\s*deg"")&amp;""°"",""1°"")"),"1°")</f>
        <v>1°</v>
      </c>
      <c r="J40" s="1254"/>
      <c r="K40" s="1350">
        <f>IFERROR(__xludf.DUMMYFUNCTION("(1 / COS(RADIANS(REGEXEXTRACT(I40,""(\d+)""))))*G40"),7.601157693133699)</f>
        <v>7.601157693</v>
      </c>
      <c r="L40" s="1334" t="s">
        <v>1153</v>
      </c>
      <c r="M40" s="1342" t="str">
        <f>IFERROR(__xludf.DUMMYFUNCTION("if(F40="""",join("" Length/s @ "",H40,K40),join("" Length/s @ "",H40,F40))"),"92 Length/s @ 7.60 m span")</f>
        <v>92 Length/s @ 7.60 m span</v>
      </c>
      <c r="N40" s="1334" t="s">
        <v>1161</v>
      </c>
      <c r="O40" s="1342"/>
      <c r="P40" s="1334" t="s">
        <v>1148</v>
      </c>
      <c r="Q40" s="1254"/>
      <c r="R40" s="1254"/>
      <c r="S40" s="1254"/>
      <c r="T40" s="1254"/>
      <c r="U40" s="1254"/>
      <c r="V40" s="1254"/>
      <c r="W40" s="1254"/>
      <c r="X40" s="1254"/>
      <c r="Y40" s="1254"/>
      <c r="Z40" s="1254"/>
    </row>
    <row r="41">
      <c r="A41" s="1254"/>
      <c r="B41" s="1254"/>
      <c r="C41" s="1320"/>
      <c r="D41" s="1254"/>
      <c r="E41" s="1395"/>
      <c r="F41" s="1350"/>
      <c r="G41" s="1350">
        <v>7.6</v>
      </c>
      <c r="H41" s="1349">
        <v>122.0</v>
      </c>
      <c r="I41" s="126" t="str">
        <f>IFERROR(__xludf.DUMMYFUNCTION("IFERROR(REGEXEXTRACT(L41,""@\s*(\d+(?:\.\d+)?)\s*deg"")&amp;""°"",""1°"")"),"1°")</f>
        <v>1°</v>
      </c>
      <c r="J41" s="1254"/>
      <c r="K41" s="1350">
        <f>IFERROR(__xludf.DUMMYFUNCTION("(1 / COS(RADIANS(REGEXEXTRACT(I41,""(\d+)""))))*G41"),7.601157693133699)</f>
        <v>7.601157693</v>
      </c>
      <c r="L41" s="1334" t="s">
        <v>1153</v>
      </c>
      <c r="M41" s="1342" t="str">
        <f>IFERROR(__xludf.DUMMYFUNCTION("if(F41="""",join("" Length/s @ "",H41,K41),join("" Length/s @ "",H41,F41))"),"122 Length/s @ 7.60 m span")</f>
        <v>122 Length/s @ 7.60 m span</v>
      </c>
      <c r="N41" s="1334" t="s">
        <v>1161</v>
      </c>
      <c r="O41" s="1342"/>
      <c r="P41" s="1334" t="s">
        <v>1155</v>
      </c>
      <c r="Q41" s="1254"/>
      <c r="R41" s="1254"/>
      <c r="S41" s="1254"/>
      <c r="T41" s="1254"/>
      <c r="U41" s="1254"/>
      <c r="V41" s="1254"/>
      <c r="W41" s="1254"/>
      <c r="X41" s="1254"/>
      <c r="Y41" s="1254"/>
      <c r="Z41" s="1254"/>
    </row>
    <row r="42">
      <c r="A42" s="1254"/>
      <c r="B42" s="1254"/>
      <c r="C42" s="1320"/>
      <c r="D42" s="1254"/>
      <c r="E42" s="1395"/>
      <c r="F42" s="1350"/>
      <c r="G42" s="1396">
        <v>9.9</v>
      </c>
      <c r="H42" s="1397">
        <v>27.0</v>
      </c>
      <c r="I42" s="1398" t="str">
        <f>IFERROR(__xludf.DUMMYFUNCTION("IFERROR(REGEXEXTRACT(L42,""@\s*(\d+(?:\.\d+)?)\s*deg"")&amp;""°"",""1°"")"),"1°")</f>
        <v>1°</v>
      </c>
      <c r="J42" s="1399"/>
      <c r="K42" s="1396">
        <f>IFERROR(__xludf.DUMMYFUNCTION("(1 / COS(RADIANS(REGEXEXTRACT(I42,""(\d+)""))))*G42"),9.901508047634687)</f>
        <v>9.901508048</v>
      </c>
      <c r="L42" s="1378" t="s">
        <v>1170</v>
      </c>
      <c r="M42" s="1379" t="str">
        <f>IFERROR(__xludf.DUMMYFUNCTION("if(F42="""",join("" Length/s @ "",H42,K42),join("" Length/s @ "",H42,F42))"),"27 Length/s @ 9.90 m span")</f>
        <v>27 Length/s @ 9.90 m span</v>
      </c>
      <c r="N42" s="1378" t="s">
        <v>1164</v>
      </c>
      <c r="O42" s="1379"/>
      <c r="P42" s="1378" t="s">
        <v>1162</v>
      </c>
      <c r="Q42" s="1254"/>
      <c r="R42" s="1254"/>
      <c r="S42" s="1254"/>
      <c r="T42" s="1254"/>
      <c r="U42" s="1254"/>
      <c r="V42" s="1254"/>
      <c r="W42" s="1254"/>
      <c r="X42" s="1254"/>
      <c r="Y42" s="1254"/>
      <c r="Z42" s="1254"/>
    </row>
    <row r="43">
      <c r="A43" s="1254"/>
      <c r="B43" s="1254"/>
      <c r="C43" s="1320"/>
      <c r="D43" s="1254"/>
      <c r="E43" s="1395"/>
      <c r="F43" s="1350"/>
      <c r="G43" s="1350">
        <v>9.9</v>
      </c>
      <c r="H43" s="1349">
        <v>115.0</v>
      </c>
      <c r="I43" s="126" t="str">
        <f>IFERROR(__xludf.DUMMYFUNCTION("IFERROR(REGEXEXTRACT(L43,""@\s*(\d+(?:\.\d+)?)\s*deg"")&amp;""°"",""1°"")"),"1°")</f>
        <v>1°</v>
      </c>
      <c r="J43" s="1254"/>
      <c r="K43" s="1350">
        <f>IFERROR(__xludf.DUMMYFUNCTION("(1 / COS(RADIANS(REGEXEXTRACT(I43,""(\d+)""))))*G43"),9.901508047634687)</f>
        <v>9.901508048</v>
      </c>
      <c r="L43" s="1334" t="s">
        <v>1153</v>
      </c>
      <c r="M43" s="1342" t="str">
        <f>IFERROR(__xludf.DUMMYFUNCTION("if(F43="""",join("" Length/s @ "",H43,K43),join("" Length/s @ "",H43,F43))"),"115 Length/s @ 9.90 m span")</f>
        <v>115 Length/s @ 9.90 m span</v>
      </c>
      <c r="N43" s="1334" t="s">
        <v>1164</v>
      </c>
      <c r="O43" s="1342"/>
      <c r="P43" s="1334" t="s">
        <v>1148</v>
      </c>
      <c r="Q43" s="1254"/>
      <c r="R43" s="1254"/>
      <c r="S43" s="1254"/>
      <c r="T43" s="1254"/>
      <c r="U43" s="1254"/>
      <c r="V43" s="1254"/>
      <c r="W43" s="1254"/>
      <c r="X43" s="1254"/>
      <c r="Y43" s="1254"/>
      <c r="Z43" s="1254"/>
    </row>
    <row r="44">
      <c r="A44" s="1254"/>
      <c r="B44" s="1254"/>
      <c r="C44" s="1320"/>
      <c r="D44" s="1254"/>
      <c r="E44" s="1395"/>
      <c r="F44" s="1350"/>
      <c r="G44" s="1350">
        <v>9.9</v>
      </c>
      <c r="H44" s="1349">
        <v>101.0</v>
      </c>
      <c r="I44" s="126" t="str">
        <f>IFERROR(__xludf.DUMMYFUNCTION("IFERROR(REGEXEXTRACT(L44,""@\s*(\d+(?:\.\d+)?)\s*deg"")&amp;""°"",""1°"")"),"1°")</f>
        <v>1°</v>
      </c>
      <c r="J44" s="1254"/>
      <c r="K44" s="1350">
        <f>IFERROR(__xludf.DUMMYFUNCTION("(1 / COS(RADIANS(REGEXEXTRACT(I44,""(\d+)""))))*G44"),9.901508047634687)</f>
        <v>9.901508048</v>
      </c>
      <c r="L44" s="1334" t="s">
        <v>1153</v>
      </c>
      <c r="M44" s="1342" t="str">
        <f>IFERROR(__xludf.DUMMYFUNCTION("if(F44="""",join("" Length/s @ "",H44,K44),join("" Length/s @ "",H44,F44))"),"101 Length/s @ 9.90 m span")</f>
        <v>101 Length/s @ 9.90 m span</v>
      </c>
      <c r="N44" s="1334" t="s">
        <v>1164</v>
      </c>
      <c r="O44" s="1342"/>
      <c r="P44" s="1334" t="s">
        <v>1155</v>
      </c>
      <c r="Q44" s="1254"/>
      <c r="R44" s="1254"/>
      <c r="S44" s="1254"/>
      <c r="T44" s="1254"/>
      <c r="U44" s="1254"/>
      <c r="V44" s="1254"/>
      <c r="W44" s="1254"/>
      <c r="X44" s="1254"/>
      <c r="Y44" s="1254"/>
      <c r="Z44" s="1254"/>
    </row>
    <row r="45">
      <c r="A45" s="1254"/>
      <c r="B45" s="1254"/>
      <c r="C45" s="1320"/>
      <c r="D45" s="1254"/>
      <c r="E45" s="1395"/>
      <c r="F45" s="1350"/>
      <c r="G45" s="1350">
        <v>5.5</v>
      </c>
      <c r="H45" s="1349">
        <v>224.0</v>
      </c>
      <c r="I45" s="126" t="str">
        <f>IFERROR(__xludf.DUMMYFUNCTION("IFERROR(REGEXEXTRACT(L45,""@\s*(\d+(?:\.\d+)?)\s*deg"")&amp;""°"",""1°"")"),"1°")</f>
        <v>1°</v>
      </c>
      <c r="J45" s="1254"/>
      <c r="K45" s="1350">
        <f>IFERROR(__xludf.DUMMYFUNCTION("(1 / COS(RADIANS(REGEXEXTRACT(I45,""(\d+)""))))*G45"),5.500837804241493)</f>
        <v>5.500837804</v>
      </c>
      <c r="L45" s="1334" t="s">
        <v>1153</v>
      </c>
      <c r="M45" s="1342" t="str">
        <f>IFERROR(__xludf.DUMMYFUNCTION("if(F45="""",join("" Length/s @ "",H45,K45),join("" Length/s @ "",H45,F45))"),"224 Length/s @ 5.50 m span")</f>
        <v>224 Length/s @ 5.50 m span</v>
      </c>
      <c r="N45" s="1334" t="s">
        <v>1165</v>
      </c>
      <c r="O45" s="1342"/>
      <c r="P45" s="1334" t="s">
        <v>1148</v>
      </c>
      <c r="Q45" s="1254"/>
      <c r="R45" s="1254"/>
      <c r="S45" s="1254"/>
      <c r="T45" s="1254"/>
      <c r="U45" s="1254"/>
      <c r="V45" s="1254"/>
      <c r="W45" s="1254"/>
      <c r="X45" s="1254"/>
      <c r="Y45" s="1254"/>
      <c r="Z45" s="1254"/>
    </row>
    <row r="46">
      <c r="A46" s="1254"/>
      <c r="B46" s="1254"/>
      <c r="C46" s="1320"/>
      <c r="D46" s="1254"/>
      <c r="E46" s="1395"/>
      <c r="F46" s="1350"/>
      <c r="G46" s="1350">
        <v>5.4</v>
      </c>
      <c r="H46" s="1349">
        <v>212.0</v>
      </c>
      <c r="I46" s="126" t="str">
        <f>IFERROR(__xludf.DUMMYFUNCTION("IFERROR(REGEXEXTRACT(L46,""@\s*(\d+(?:\.\d+)?)\s*deg"")&amp;""°"",""1°"")"),"1°")</f>
        <v>1°</v>
      </c>
      <c r="J46" s="1254"/>
      <c r="K46" s="1350">
        <f>IFERROR(__xludf.DUMMYFUNCTION("(1 / COS(RADIANS(REGEXEXTRACT(I46,""(\d+)""))))*G46"),5.400822571437102)</f>
        <v>5.400822571</v>
      </c>
      <c r="L46" s="1334" t="s">
        <v>1153</v>
      </c>
      <c r="M46" s="1342" t="str">
        <f>IFERROR(__xludf.DUMMYFUNCTION("if(F46="""",join("" Length/s @ "",H46,K46),join("" Length/s @ "",H46,F46))"),"212 Length/s @ 5.40 m span")</f>
        <v>212 Length/s @ 5.40 m span</v>
      </c>
      <c r="N46" s="1334" t="s">
        <v>1166</v>
      </c>
      <c r="O46" s="1342"/>
      <c r="P46" s="1334" t="s">
        <v>1155</v>
      </c>
      <c r="Q46" s="1254"/>
      <c r="R46" s="1254"/>
      <c r="S46" s="1254"/>
      <c r="T46" s="1254"/>
      <c r="U46" s="1254"/>
      <c r="V46" s="1254"/>
      <c r="W46" s="1254"/>
      <c r="X46" s="1254"/>
      <c r="Y46" s="1254"/>
      <c r="Z46" s="1254"/>
    </row>
    <row r="47">
      <c r="A47" s="1254"/>
      <c r="B47" s="1254"/>
      <c r="C47" s="1320"/>
      <c r="D47" s="1254"/>
      <c r="E47" s="1395"/>
      <c r="F47" s="1350"/>
      <c r="G47" s="1350">
        <v>5.7</v>
      </c>
      <c r="H47" s="1349">
        <v>1.0</v>
      </c>
      <c r="I47" s="126" t="str">
        <f>IFERROR(__xludf.DUMMYFUNCTION("IFERROR(REGEXEXTRACT(L47,""@\s*(\d+(?:\.\d+)?)\s*deg"")&amp;""°"",""1°"")"),"1°")</f>
        <v>1°</v>
      </c>
      <c r="J47" s="1254"/>
      <c r="K47" s="1350">
        <f>IFERROR(__xludf.DUMMYFUNCTION("(1 / COS(RADIANS(REGEXEXTRACT(I47,""(\d+)""))))*G47"),5.700868269850274)</f>
        <v>5.70086827</v>
      </c>
      <c r="L47" s="1334" t="s">
        <v>1153</v>
      </c>
      <c r="M47" s="1342" t="str">
        <f>IFERROR(__xludf.DUMMYFUNCTION("if(F47="""",join("" Length/s @ "",H47,K47),join("" Length/s @ "",H47,F47))"),"1 Length/s @ 5.70 m span")</f>
        <v>1 Length/s @ 5.70 m span</v>
      </c>
      <c r="N47" s="1334" t="s">
        <v>1158</v>
      </c>
      <c r="O47" s="1342"/>
      <c r="P47" s="1334" t="s">
        <v>1155</v>
      </c>
      <c r="Q47" s="1254"/>
      <c r="R47" s="1254"/>
      <c r="S47" s="1254"/>
      <c r="T47" s="1254"/>
      <c r="U47" s="1254"/>
      <c r="V47" s="1254"/>
      <c r="W47" s="1254"/>
      <c r="X47" s="1254"/>
      <c r="Y47" s="1254"/>
      <c r="Z47" s="1254"/>
    </row>
    <row r="48">
      <c r="A48" s="1254"/>
      <c r="B48" s="1254"/>
      <c r="C48" s="1320"/>
      <c r="D48" s="1254"/>
      <c r="E48" s="1395"/>
      <c r="F48" s="1350"/>
      <c r="G48" s="1350">
        <v>5.4</v>
      </c>
      <c r="H48" s="1349">
        <v>3.0</v>
      </c>
      <c r="I48" s="126" t="str">
        <f>IFERROR(__xludf.DUMMYFUNCTION("IFERROR(REGEXEXTRACT(L48,""@\s*(\d+(?:\.\d+)?)\s*deg"")&amp;""°"",""1°"")"),"1°")</f>
        <v>1°</v>
      </c>
      <c r="J48" s="1254"/>
      <c r="K48" s="1350">
        <f>IFERROR(__xludf.DUMMYFUNCTION("(1 / COS(RADIANS(REGEXEXTRACT(I48,""(\d+)""))))*G48"),5.400822571437102)</f>
        <v>5.400822571</v>
      </c>
      <c r="L48" s="1334" t="s">
        <v>1153</v>
      </c>
      <c r="M48" s="1342" t="str">
        <f>IFERROR(__xludf.DUMMYFUNCTION("if(F48="""",join("" Length/s @ "",H48,K48),join("" Length/s @ "",H48,F48))"),"3 Length/s @ 5.40 m span")</f>
        <v>3 Length/s @ 5.40 m span</v>
      </c>
      <c r="N48" s="1334" t="s">
        <v>1158</v>
      </c>
      <c r="O48" s="1342"/>
      <c r="P48" s="1334" t="s">
        <v>1155</v>
      </c>
      <c r="Q48" s="1254"/>
      <c r="R48" s="1254"/>
      <c r="S48" s="1254"/>
      <c r="T48" s="1254"/>
      <c r="U48" s="1254"/>
      <c r="V48" s="1254"/>
      <c r="W48" s="1254"/>
      <c r="X48" s="1254"/>
      <c r="Y48" s="1254"/>
      <c r="Z48" s="1254"/>
    </row>
    <row r="49">
      <c r="A49" s="1254"/>
      <c r="B49" s="1254"/>
      <c r="C49" s="1320"/>
      <c r="D49" s="1254"/>
      <c r="E49" s="1395"/>
      <c r="F49" s="1350"/>
      <c r="G49" s="1350">
        <v>5.7</v>
      </c>
      <c r="H49" s="1349">
        <v>1.0</v>
      </c>
      <c r="I49" s="126" t="str">
        <f>IFERROR(__xludf.DUMMYFUNCTION("IFERROR(REGEXEXTRACT(L49,""@\s*(\d+(?:\.\d+)?)\s*deg"")&amp;""°"",""1°"")"),"1°")</f>
        <v>1°</v>
      </c>
      <c r="J49" s="1254"/>
      <c r="K49" s="1350">
        <f>IFERROR(__xludf.DUMMYFUNCTION("(1 / COS(RADIANS(REGEXEXTRACT(I49,""(\d+)""))))*G49"),5.700868269850274)</f>
        <v>5.70086827</v>
      </c>
      <c r="L49" s="1334" t="s">
        <v>1153</v>
      </c>
      <c r="M49" s="1342" t="str">
        <f>IFERROR(__xludf.DUMMYFUNCTION("if(F49="""",join("" Length/s @ "",H49,K49),join("" Length/s @ "",H49,F49))"),"1 Length/s @ 5.70 m span")</f>
        <v>1 Length/s @ 5.70 m span</v>
      </c>
      <c r="N49" s="1334" t="s">
        <v>1159</v>
      </c>
      <c r="O49" s="1342"/>
      <c r="P49" s="1334" t="s">
        <v>1155</v>
      </c>
      <c r="Q49" s="1254"/>
      <c r="R49" s="1254"/>
      <c r="S49" s="1254"/>
      <c r="T49" s="1254"/>
      <c r="U49" s="1254"/>
      <c r="V49" s="1254"/>
      <c r="W49" s="1254"/>
      <c r="X49" s="1254"/>
      <c r="Y49" s="1254"/>
      <c r="Z49" s="1254"/>
    </row>
    <row r="50">
      <c r="A50" s="1254"/>
      <c r="B50" s="1254"/>
      <c r="C50" s="1320"/>
      <c r="D50" s="1254"/>
      <c r="E50" s="1395"/>
      <c r="F50" s="1350"/>
      <c r="G50" s="1350">
        <v>5.4</v>
      </c>
      <c r="H50" s="1349">
        <v>3.0</v>
      </c>
      <c r="I50" s="126" t="str">
        <f>IFERROR(__xludf.DUMMYFUNCTION("IFERROR(REGEXEXTRACT(L50,""@\s*(\d+(?:\.\d+)?)\s*deg"")&amp;""°"",""1°"")"),"1°")</f>
        <v>1°</v>
      </c>
      <c r="J50" s="1254"/>
      <c r="K50" s="1350">
        <f>IFERROR(__xludf.DUMMYFUNCTION("(1 / COS(RADIANS(REGEXEXTRACT(I50,""(\d+)""))))*G50"),5.400822571437102)</f>
        <v>5.400822571</v>
      </c>
      <c r="L50" s="1334" t="s">
        <v>1153</v>
      </c>
      <c r="M50" s="1342" t="str">
        <f>IFERROR(__xludf.DUMMYFUNCTION("if(F50="""",join("" Length/s @ "",H50,K50),join("" Length/s @ "",H50,F50))"),"3 Length/s @ 5.40 m span")</f>
        <v>3 Length/s @ 5.40 m span</v>
      </c>
      <c r="N50" s="1334" t="s">
        <v>1159</v>
      </c>
      <c r="O50" s="1342"/>
      <c r="P50" s="1334" t="s">
        <v>1155</v>
      </c>
      <c r="Q50" s="1254"/>
      <c r="R50" s="1254"/>
      <c r="S50" s="1254"/>
      <c r="T50" s="1254"/>
      <c r="U50" s="1254"/>
      <c r="V50" s="1254"/>
      <c r="W50" s="1254"/>
      <c r="X50" s="1254"/>
      <c r="Y50" s="1254"/>
      <c r="Z50" s="1254"/>
    </row>
    <row r="51">
      <c r="A51" s="1254"/>
      <c r="B51" s="1254"/>
      <c r="C51" s="1320"/>
      <c r="D51" s="1254"/>
      <c r="E51" s="1254"/>
      <c r="F51" s="1350"/>
      <c r="G51" s="1350"/>
      <c r="H51" s="1349"/>
      <c r="I51" s="126" t="str">
        <f>IFERROR(__xludf.DUMMYFUNCTION("IFERROR(REGEXEXTRACT(L51,""@\s*(\d+(?:\.\d+)?)\s*deg"")&amp;""°"",""1°"")"),"1°")</f>
        <v>1°</v>
      </c>
      <c r="J51" s="1254"/>
      <c r="K51" s="1350">
        <f>IFERROR(__xludf.DUMMYFUNCTION("(1 / COS(RADIANS(REGEXEXTRACT(I51,""(\d+)""))))*G51"),0.0)</f>
        <v>0</v>
      </c>
      <c r="L51" s="1334" t="s">
        <v>1153</v>
      </c>
      <c r="M51" s="1342" t="str">
        <f>IFERROR(__xludf.DUMMYFUNCTION("if(F51="""",join("" Length/s @ "",H51,K51),join("" Length/s @ "",H51,F51))")," Length/s @ 0.00 m span")</f>
        <v> Length/s @ 0.00 m span</v>
      </c>
      <c r="N51" s="1342"/>
      <c r="O51" s="1342"/>
      <c r="P51" s="1334"/>
      <c r="Q51" s="1254"/>
      <c r="R51" s="1254"/>
      <c r="S51" s="1254"/>
      <c r="T51" s="1254"/>
      <c r="U51" s="1254"/>
      <c r="V51" s="1254"/>
      <c r="W51" s="1254"/>
      <c r="X51" s="1254"/>
      <c r="Y51" s="1254"/>
      <c r="Z51" s="1254"/>
    </row>
    <row r="52">
      <c r="A52" s="1254"/>
      <c r="B52" s="1254"/>
      <c r="C52" s="1320"/>
      <c r="D52" s="1254"/>
      <c r="E52" s="1254"/>
      <c r="F52" s="1350"/>
      <c r="G52" s="1350"/>
      <c r="H52" s="1349"/>
      <c r="I52" s="126" t="str">
        <f>IFERROR(__xludf.DUMMYFUNCTION("IFERROR(REGEXEXTRACT(L52,""@\s*(\d+(?:\.\d+)?)\s*deg"")&amp;""°"",""1°"")"),"1°")</f>
        <v>1°</v>
      </c>
      <c r="J52" s="1254"/>
      <c r="K52" s="1350">
        <f>IFERROR(__xludf.DUMMYFUNCTION("(1 / COS(RADIANS(REGEXEXTRACT(I52,""(\d+)""))))*G52"),0.0)</f>
        <v>0</v>
      </c>
      <c r="L52" s="1334" t="s">
        <v>1153</v>
      </c>
      <c r="M52" s="1342" t="str">
        <f>IFERROR(__xludf.DUMMYFUNCTION("if(F52="""",join("" Length/s @ "",H52,K52),join("" Length/s @ "",H52,F52))")," Length/s @ 0.00 m span")</f>
        <v> Length/s @ 0.00 m span</v>
      </c>
      <c r="N52" s="1342"/>
      <c r="O52" s="1342"/>
      <c r="P52" s="1334"/>
      <c r="Q52" s="1254"/>
      <c r="R52" s="1254"/>
      <c r="S52" s="1254"/>
      <c r="T52" s="1254"/>
      <c r="U52" s="1254"/>
      <c r="V52" s="1254"/>
      <c r="W52" s="1254"/>
      <c r="X52" s="1254"/>
      <c r="Y52" s="1254"/>
      <c r="Z52" s="1254"/>
    </row>
    <row r="53">
      <c r="A53" s="1254"/>
      <c r="B53" s="1254"/>
      <c r="C53" s="1320"/>
      <c r="D53" s="1254"/>
      <c r="E53" s="1254"/>
      <c r="F53" s="1350"/>
      <c r="G53" s="1350"/>
      <c r="H53" s="1349"/>
      <c r="I53" s="126" t="str">
        <f>IFERROR(__xludf.DUMMYFUNCTION("IFERROR(REGEXEXTRACT(L53,""@\s*(\d+(?:\.\d+)?)\s*deg"")&amp;""°"",""1°"")"),"1°")</f>
        <v>1°</v>
      </c>
      <c r="J53" s="1254"/>
      <c r="K53" s="1350">
        <f>IFERROR(__xludf.DUMMYFUNCTION("(1 / COS(RADIANS(REGEXEXTRACT(I53,""(\d+)""))))*G53"),0.0)</f>
        <v>0</v>
      </c>
      <c r="L53" s="1334" t="s">
        <v>1153</v>
      </c>
      <c r="M53" s="1342" t="str">
        <f>IFERROR(__xludf.DUMMYFUNCTION("if(F53="""",join("" Length/s @ "",H53,K53),join("" Length/s @ "",H53,F53))")," Length/s @ 0.00 m span")</f>
        <v> Length/s @ 0.00 m span</v>
      </c>
      <c r="N53" s="1342"/>
      <c r="O53" s="1342"/>
      <c r="P53" s="1334"/>
      <c r="Q53" s="1254"/>
      <c r="R53" s="1254"/>
      <c r="S53" s="1254"/>
      <c r="T53" s="1254"/>
      <c r="U53" s="1254"/>
      <c r="V53" s="1254"/>
      <c r="W53" s="1254"/>
      <c r="X53" s="1254"/>
      <c r="Y53" s="1254"/>
      <c r="Z53" s="1254"/>
    </row>
    <row r="54">
      <c r="A54" s="1254"/>
      <c r="B54" s="1254"/>
      <c r="C54" s="1320"/>
      <c r="D54" s="1254"/>
      <c r="E54" s="1254"/>
      <c r="F54" s="1350"/>
      <c r="G54" s="1350"/>
      <c r="H54" s="1349"/>
      <c r="I54" s="126" t="str">
        <f>IFERROR(__xludf.DUMMYFUNCTION("IFERROR(REGEXEXTRACT(L54,""@\s*(\d+(?:\.\d+)?)\s*deg"")&amp;""°"",""1°"")"),"1°")</f>
        <v>1°</v>
      </c>
      <c r="J54" s="1254"/>
      <c r="K54" s="1350">
        <f>IFERROR(__xludf.DUMMYFUNCTION("(1 / COS(RADIANS(REGEXEXTRACT(I54,""(\d+)""))))*G54"),0.0)</f>
        <v>0</v>
      </c>
      <c r="L54" s="1334" t="s">
        <v>1153</v>
      </c>
      <c r="M54" s="1342" t="str">
        <f>IFERROR(__xludf.DUMMYFUNCTION("if(F54="""",join("" Length/s @ "",H54,K54),join("" Length/s @ "",H54,F54))")," Length/s @ 0.00 m span")</f>
        <v> Length/s @ 0.00 m span</v>
      </c>
      <c r="N54" s="1342"/>
      <c r="O54" s="1342"/>
      <c r="P54" s="1334"/>
      <c r="Q54" s="1254"/>
      <c r="R54" s="1254"/>
      <c r="S54" s="1254"/>
      <c r="T54" s="1254"/>
      <c r="U54" s="1254"/>
      <c r="V54" s="1254"/>
      <c r="W54" s="1254"/>
      <c r="X54" s="1254"/>
      <c r="Y54" s="1254"/>
      <c r="Z54" s="1254"/>
    </row>
    <row r="55">
      <c r="A55" s="1254"/>
      <c r="B55" s="1254"/>
      <c r="C55" s="1320"/>
      <c r="D55" s="1254"/>
      <c r="E55" s="1254"/>
      <c r="F55" s="1350"/>
      <c r="G55" s="1350"/>
      <c r="H55" s="1349"/>
      <c r="I55" s="126" t="str">
        <f>IFERROR(__xludf.DUMMYFUNCTION("IFERROR(REGEXEXTRACT(L55,""@\s*(\d+(?:\.\d+)?)\s*deg"")&amp;""°"",""1°"")"),"1°")</f>
        <v>1°</v>
      </c>
      <c r="J55" s="1254"/>
      <c r="K55" s="1350">
        <f>IFERROR(__xludf.DUMMYFUNCTION("(1 / COS(RADIANS(REGEXEXTRACT(I55,""(\d+)""))))*G55"),0.0)</f>
        <v>0</v>
      </c>
      <c r="L55" s="1334" t="s">
        <v>1153</v>
      </c>
      <c r="M55" s="1342" t="str">
        <f>IFERROR(__xludf.DUMMYFUNCTION("if(F55="""",join("" Length/s @ "",H55,K55),join("" Length/s @ "",H55,F55))")," Length/s @ 0.00 m span")</f>
        <v> Length/s @ 0.00 m span</v>
      </c>
      <c r="N55" s="1342"/>
      <c r="O55" s="1342"/>
      <c r="P55" s="1334"/>
      <c r="Q55" s="1254"/>
      <c r="R55" s="1254"/>
      <c r="S55" s="1254"/>
      <c r="T55" s="1254"/>
      <c r="U55" s="1254"/>
      <c r="V55" s="1254"/>
      <c r="W55" s="1254"/>
      <c r="X55" s="1254"/>
      <c r="Y55" s="1254"/>
      <c r="Z55" s="1254"/>
    </row>
    <row r="56">
      <c r="A56" s="1254"/>
      <c r="B56" s="1254"/>
      <c r="C56" s="1320"/>
      <c r="D56" s="1254"/>
      <c r="E56" s="1254"/>
      <c r="F56" s="1350"/>
      <c r="G56" s="1350"/>
      <c r="H56" s="1349"/>
      <c r="I56" s="126" t="str">
        <f>IFERROR(__xludf.DUMMYFUNCTION("IFERROR(REGEXEXTRACT(L56,""@\s*(\d+(?:\.\d+)?)\s*deg"")&amp;""°"",""1°"")"),"1°")</f>
        <v>1°</v>
      </c>
      <c r="J56" s="1254"/>
      <c r="K56" s="1350">
        <f>IFERROR(__xludf.DUMMYFUNCTION("(1 / COS(RADIANS(REGEXEXTRACT(I56,""(\d+)""))))*G56"),0.0)</f>
        <v>0</v>
      </c>
      <c r="L56" s="1334" t="s">
        <v>1153</v>
      </c>
      <c r="M56" s="1342" t="str">
        <f>IFERROR(__xludf.DUMMYFUNCTION("if(F56="""",join("" Length/s @ "",H56,K56),join("" Length/s @ "",H56,F56))")," Length/s @ 0.00 m span")</f>
        <v> Length/s @ 0.00 m span</v>
      </c>
      <c r="N56" s="1342"/>
      <c r="O56" s="1342"/>
      <c r="P56" s="1334"/>
      <c r="Q56" s="1254"/>
      <c r="R56" s="1254"/>
      <c r="S56" s="1254"/>
      <c r="T56" s="1254"/>
      <c r="U56" s="1254"/>
      <c r="V56" s="1254"/>
      <c r="W56" s="1254"/>
      <c r="X56" s="1254"/>
      <c r="Y56" s="1254"/>
      <c r="Z56" s="1254"/>
    </row>
    <row r="57">
      <c r="A57" s="1254"/>
      <c r="B57" s="1254"/>
      <c r="C57" s="1320"/>
      <c r="D57" s="1254"/>
      <c r="E57" s="1254"/>
      <c r="F57" s="1350"/>
      <c r="G57" s="1350"/>
      <c r="H57" s="1349"/>
      <c r="I57" s="126" t="str">
        <f>IFERROR(__xludf.DUMMYFUNCTION("IFERROR(REGEXEXTRACT(L57,""@\s*(\d+(?:\.\d+)?)\s*deg"")&amp;""°"",""1°"")"),"1°")</f>
        <v>1°</v>
      </c>
      <c r="J57" s="1254"/>
      <c r="K57" s="1350">
        <f>IFERROR(__xludf.DUMMYFUNCTION("(1 / COS(RADIANS(REGEXEXTRACT(I57,""(\d+)""))))*G57"),0.0)</f>
        <v>0</v>
      </c>
      <c r="L57" s="1334" t="s">
        <v>1171</v>
      </c>
      <c r="M57" s="1342" t="str">
        <f>IFERROR(__xludf.DUMMYFUNCTION("if(F57="""",join("" Length/s @ "",H57,K57),join("" Length/s @ "",H57,F57))")," Length/s @ 0.00 m span")</f>
        <v> Length/s @ 0.00 m span</v>
      </c>
      <c r="N57" s="1342"/>
      <c r="O57" s="1342"/>
      <c r="P57" s="1334"/>
      <c r="Q57" s="1254"/>
      <c r="R57" s="1254"/>
      <c r="S57" s="1254"/>
      <c r="T57" s="1254"/>
      <c r="U57" s="1254"/>
      <c r="V57" s="1254"/>
      <c r="W57" s="1254"/>
      <c r="X57" s="1254"/>
      <c r="Y57" s="1254"/>
      <c r="Z57" s="1254"/>
    </row>
    <row r="58">
      <c r="A58" s="1254"/>
      <c r="B58" s="1254"/>
      <c r="C58" s="1320"/>
      <c r="D58" s="1254"/>
      <c r="E58" s="1254"/>
      <c r="F58" s="1350"/>
      <c r="G58" s="1350"/>
      <c r="H58" s="1349"/>
      <c r="I58" s="126" t="str">
        <f>IFERROR(__xludf.DUMMYFUNCTION("IFERROR(REGEXEXTRACT(L58,""@\s*(\d+(?:\.\d+)?)\s*deg"")&amp;""°"",""1°"")"),"1°")</f>
        <v>1°</v>
      </c>
      <c r="J58" s="1254"/>
      <c r="K58" s="1350">
        <f>IFERROR(__xludf.DUMMYFUNCTION("(1 / COS(RADIANS(REGEXEXTRACT(I58,""(\d+)""))))*G58"),0.0)</f>
        <v>0</v>
      </c>
      <c r="L58" s="1334" t="s">
        <v>1153</v>
      </c>
      <c r="M58" s="1342" t="str">
        <f>IFERROR(__xludf.DUMMYFUNCTION("if(F58="""",join("" Length/s @ "",H58,K58),join("" Length/s @ "",H58,F58))")," Length/s @ 0.00 m span")</f>
        <v> Length/s @ 0.00 m span</v>
      </c>
      <c r="N58" s="1342"/>
      <c r="O58" s="1342"/>
      <c r="P58" s="1334"/>
      <c r="Q58" s="1254"/>
      <c r="R58" s="1254"/>
      <c r="S58" s="1254"/>
      <c r="T58" s="1254"/>
      <c r="U58" s="1254"/>
      <c r="V58" s="1254"/>
      <c r="W58" s="1254"/>
      <c r="X58" s="1254"/>
      <c r="Y58" s="1254"/>
      <c r="Z58" s="1254"/>
    </row>
    <row r="59">
      <c r="A59" s="1254"/>
      <c r="B59" s="1254"/>
      <c r="C59" s="1320"/>
      <c r="D59" s="1254"/>
      <c r="E59" s="1254"/>
      <c r="F59" s="1350"/>
      <c r="G59" s="1350"/>
      <c r="H59" s="1349"/>
      <c r="I59" s="126" t="str">
        <f>IFERROR(__xludf.DUMMYFUNCTION("IFERROR(REGEXEXTRACT(L59,""@\s*(\d+(?:\.\d+)?)\s*deg"")&amp;""°"",""1°"")"),"1°")</f>
        <v>1°</v>
      </c>
      <c r="J59" s="1254"/>
      <c r="K59" s="1350">
        <f>IFERROR(__xludf.DUMMYFUNCTION("(1 / COS(RADIANS(REGEXEXTRACT(I59,""(\d+)""))))*G59"),0.0)</f>
        <v>0</v>
      </c>
      <c r="L59" s="1334" t="s">
        <v>1153</v>
      </c>
      <c r="M59" s="1342" t="str">
        <f>IFERROR(__xludf.DUMMYFUNCTION("if(F59="""",join("" Length/s @ "",H59,K59),join("" Length/s @ "",H59,F59))")," Length/s @ 0.00 m span")</f>
        <v> Length/s @ 0.00 m span</v>
      </c>
      <c r="N59" s="1342"/>
      <c r="O59" s="1342"/>
      <c r="P59" s="1334"/>
      <c r="Q59" s="1254"/>
      <c r="R59" s="1254"/>
      <c r="S59" s="1254"/>
      <c r="T59" s="1254"/>
      <c r="U59" s="1254"/>
      <c r="V59" s="1254"/>
      <c r="W59" s="1254"/>
      <c r="X59" s="1254"/>
      <c r="Y59" s="1254"/>
      <c r="Z59" s="1254"/>
    </row>
    <row r="60">
      <c r="A60" s="1254"/>
      <c r="B60" s="1254"/>
      <c r="C60" s="1320"/>
      <c r="D60" s="1254"/>
      <c r="E60" s="1254"/>
      <c r="F60" s="1350"/>
      <c r="G60" s="1350"/>
      <c r="H60" s="1349"/>
      <c r="I60" s="126" t="str">
        <f>IFERROR(__xludf.DUMMYFUNCTION("IFERROR(REGEXEXTRACT(L60,""@\s*(\d+(?:\.\d+)?)\s*deg"")&amp;""°"",""1°"")"),"1°")</f>
        <v>1°</v>
      </c>
      <c r="J60" s="1254"/>
      <c r="K60" s="1350">
        <f>IFERROR(__xludf.DUMMYFUNCTION("(1 / COS(RADIANS(REGEXEXTRACT(I60,""(\d+)""))))*G60"),0.0)</f>
        <v>0</v>
      </c>
      <c r="L60" s="1334" t="s">
        <v>1153</v>
      </c>
      <c r="M60" s="1342" t="str">
        <f>IFERROR(__xludf.DUMMYFUNCTION("if(F60="""",join("" Length/s @ "",H60,K60),join("" Length/s @ "",H60,F60))")," Length/s @ 0.00 m span")</f>
        <v> Length/s @ 0.00 m span</v>
      </c>
      <c r="N60" s="1334"/>
      <c r="O60" s="1342"/>
      <c r="P60" s="1334"/>
      <c r="Q60" s="1254"/>
      <c r="R60" s="1254"/>
      <c r="S60" s="1254"/>
      <c r="T60" s="1254"/>
      <c r="U60" s="1254"/>
      <c r="V60" s="1254"/>
      <c r="W60" s="1254"/>
      <c r="X60" s="1254"/>
      <c r="Y60" s="1254"/>
      <c r="Z60" s="1254"/>
    </row>
    <row r="61">
      <c r="A61" s="1254"/>
      <c r="B61" s="1254"/>
      <c r="C61" s="1320"/>
      <c r="D61" s="1254"/>
      <c r="E61" s="1254"/>
      <c r="F61" s="1350"/>
      <c r="G61" s="1350"/>
      <c r="H61" s="1349"/>
      <c r="I61" s="126" t="str">
        <f>IFERROR(__xludf.DUMMYFUNCTION("IFERROR(REGEXEXTRACT(L61,""@\s*(\d+(?:\.\d+)?)\s*deg"")&amp;""°"",""1°"")"),"1°")</f>
        <v>1°</v>
      </c>
      <c r="J61" s="1254"/>
      <c r="K61" s="1350">
        <f>IFERROR(__xludf.DUMMYFUNCTION("(1 / COS(RADIANS(REGEXEXTRACT(I61,""(\d+)""))))*G61"),0.0)</f>
        <v>0</v>
      </c>
      <c r="L61" s="1334" t="s">
        <v>1153</v>
      </c>
      <c r="M61" s="1342" t="str">
        <f>IFERROR(__xludf.DUMMYFUNCTION("if(F61="""",join("" Length/s @ "",H61,K61),join("" Length/s @ "",H61,F61))")," Length/s @ 0.00 m span")</f>
        <v> Length/s @ 0.00 m span</v>
      </c>
      <c r="N61" s="1334"/>
      <c r="O61" s="1342"/>
      <c r="P61" s="1334"/>
      <c r="Q61" s="1254"/>
      <c r="R61" s="1254"/>
      <c r="S61" s="1254"/>
      <c r="T61" s="1254"/>
      <c r="U61" s="1254"/>
      <c r="V61" s="1254"/>
      <c r="W61" s="1254"/>
      <c r="X61" s="1254"/>
      <c r="Y61" s="1254"/>
      <c r="Z61" s="1254"/>
    </row>
    <row r="62">
      <c r="A62" s="1254"/>
      <c r="B62" s="1254"/>
      <c r="C62" s="1320"/>
      <c r="D62" s="1254"/>
      <c r="E62" s="1254"/>
      <c r="F62" s="1350"/>
      <c r="G62" s="1350"/>
      <c r="H62" s="1349"/>
      <c r="I62" s="126" t="str">
        <f>IFERROR(__xludf.DUMMYFUNCTION("IFERROR(REGEXEXTRACT(L62,""@\s*(\d+(?:\.\d+)?)\s*deg"")&amp;""°"",""1°"")"),"1°")</f>
        <v>1°</v>
      </c>
      <c r="J62" s="1254"/>
      <c r="K62" s="1350">
        <f>IFERROR(__xludf.DUMMYFUNCTION("(1 / COS(RADIANS(REGEXEXTRACT(I62,""(\d+)""))))*G62"),0.0)</f>
        <v>0</v>
      </c>
      <c r="L62" s="1334" t="s">
        <v>1153</v>
      </c>
      <c r="M62" s="1342" t="str">
        <f>IFERROR(__xludf.DUMMYFUNCTION("if(F62="""",join("" Length/s @ "",H62,K62),join("" Length/s @ "",H62,F62))")," Length/s @ 0.00 m span")</f>
        <v> Length/s @ 0.00 m span</v>
      </c>
      <c r="N62" s="1334"/>
      <c r="O62" s="1342"/>
      <c r="P62" s="1334"/>
      <c r="Q62" s="1254"/>
      <c r="R62" s="1254"/>
      <c r="S62" s="1254"/>
      <c r="T62" s="1254"/>
      <c r="U62" s="1254"/>
      <c r="V62" s="1254"/>
      <c r="W62" s="1254"/>
      <c r="X62" s="1254"/>
      <c r="Y62" s="1254"/>
      <c r="Z62" s="1254"/>
    </row>
    <row r="63">
      <c r="A63" s="1254"/>
      <c r="B63" s="1254"/>
      <c r="C63" s="1320"/>
      <c r="D63" s="1254"/>
      <c r="E63" s="1254"/>
      <c r="F63" s="1350"/>
      <c r="G63" s="1350"/>
      <c r="H63" s="1349"/>
      <c r="I63" s="126" t="str">
        <f>IFERROR(__xludf.DUMMYFUNCTION("IFERROR(REGEXEXTRACT(L63,""@\s*(\d+(?:\.\d+)?)\s*deg"")&amp;""°"",""1°"")"),"1°")</f>
        <v>1°</v>
      </c>
      <c r="J63" s="1254"/>
      <c r="K63" s="1350">
        <f>IFERROR(__xludf.DUMMYFUNCTION("(1 / COS(RADIANS(REGEXEXTRACT(I63,""(\d+)""))))*G63"),0.0)</f>
        <v>0</v>
      </c>
      <c r="L63" s="1334" t="s">
        <v>1153</v>
      </c>
      <c r="M63" s="1342" t="str">
        <f>IFERROR(__xludf.DUMMYFUNCTION("if(F63="""",join("" Length/s @ "",H63,K63),join("" Length/s @ "",H63,F63))")," Length/s @ 0.00 m span")</f>
        <v> Length/s @ 0.00 m span</v>
      </c>
      <c r="N63" s="1334"/>
      <c r="O63" s="1342"/>
      <c r="P63" s="1334"/>
      <c r="Q63" s="1254"/>
      <c r="R63" s="1254"/>
      <c r="S63" s="1254"/>
      <c r="T63" s="1254"/>
      <c r="U63" s="1254"/>
      <c r="V63" s="1254"/>
      <c r="W63" s="1254"/>
      <c r="X63" s="1254"/>
      <c r="Y63" s="1254"/>
      <c r="Z63" s="1254"/>
    </row>
    <row r="64">
      <c r="A64" s="1254"/>
      <c r="B64" s="1254"/>
      <c r="C64" s="1320"/>
      <c r="D64" s="1254"/>
      <c r="E64" s="1254"/>
      <c r="F64" s="1350"/>
      <c r="G64" s="1350"/>
      <c r="H64" s="1349"/>
      <c r="I64" s="126" t="str">
        <f>IFERROR(__xludf.DUMMYFUNCTION("IFERROR(REGEXEXTRACT(L64,""@\s*(\d+(?:\.\d+)?)\s*deg"")&amp;""°"",""1°"")"),"1°")</f>
        <v>1°</v>
      </c>
      <c r="J64" s="1254"/>
      <c r="K64" s="1350">
        <f>IFERROR(__xludf.DUMMYFUNCTION("(1 / COS(RADIANS(REGEXEXTRACT(I64,""(\d+)""))))*G64"),0.0)</f>
        <v>0</v>
      </c>
      <c r="L64" s="1334" t="s">
        <v>1153</v>
      </c>
      <c r="M64" s="1342" t="str">
        <f>IFERROR(__xludf.DUMMYFUNCTION("if(F64="""",join("" Length/s @ "",H64,K64),join("" Length/s @ "",H64,F64))")," Length/s @ 0.00 m span")</f>
        <v> Length/s @ 0.00 m span</v>
      </c>
      <c r="N64" s="1334"/>
      <c r="O64" s="1342"/>
      <c r="P64" s="1334"/>
      <c r="Q64" s="1254"/>
      <c r="R64" s="1254"/>
      <c r="S64" s="1254"/>
      <c r="T64" s="1254"/>
      <c r="U64" s="1254"/>
      <c r="V64" s="1254"/>
      <c r="W64" s="1254"/>
      <c r="X64" s="1254"/>
      <c r="Y64" s="1254"/>
      <c r="Z64" s="1254"/>
    </row>
    <row r="65">
      <c r="A65" s="1254"/>
      <c r="B65" s="1254"/>
      <c r="C65" s="1320"/>
      <c r="D65" s="1254"/>
      <c r="E65" s="1254"/>
      <c r="F65" s="1350"/>
      <c r="G65" s="1350"/>
      <c r="H65" s="1349"/>
      <c r="I65" s="126" t="str">
        <f>IFERROR(__xludf.DUMMYFUNCTION("IFERROR(REGEXEXTRACT(L65,""@\s*(\d+(?:\.\d+)?)\s*deg"")&amp;""°"",""1°"")"),"1°")</f>
        <v>1°</v>
      </c>
      <c r="J65" s="1254"/>
      <c r="K65" s="1350">
        <f>IFERROR(__xludf.DUMMYFUNCTION("(1 / COS(RADIANS(REGEXEXTRACT(I65,""(\d+)""))))*G65"),0.0)</f>
        <v>0</v>
      </c>
      <c r="L65" s="1334" t="s">
        <v>1153</v>
      </c>
      <c r="M65" s="1342" t="str">
        <f>IFERROR(__xludf.DUMMYFUNCTION("if(F65="""",join("" Length/s @ "",H65,K65),join("" Length/s @ "",H65,F65))")," Length/s @ 0.00 m span")</f>
        <v> Length/s @ 0.00 m span</v>
      </c>
      <c r="N65" s="1342"/>
      <c r="O65" s="1342"/>
      <c r="P65" s="1334"/>
      <c r="Q65" s="1254"/>
      <c r="R65" s="1254"/>
      <c r="S65" s="1254"/>
      <c r="T65" s="1254"/>
      <c r="U65" s="1254"/>
      <c r="V65" s="1254"/>
      <c r="W65" s="1254"/>
      <c r="X65" s="1254"/>
      <c r="Y65" s="1254"/>
      <c r="Z65" s="1254"/>
    </row>
    <row r="66">
      <c r="A66" s="1254"/>
      <c r="B66" s="1254"/>
      <c r="C66" s="1320"/>
      <c r="D66" s="1254"/>
      <c r="E66" s="1254"/>
      <c r="F66" s="1350"/>
      <c r="G66" s="1350"/>
      <c r="H66" s="1349"/>
      <c r="I66" s="126" t="str">
        <f>IFERROR(__xludf.DUMMYFUNCTION("IFERROR(REGEXEXTRACT(L66,""@\s*(\d+(?:\.\d+)?)\s*deg"")&amp;""°"",""1°"")"),"1°")</f>
        <v>1°</v>
      </c>
      <c r="J66" s="1254"/>
      <c r="K66" s="1350">
        <f>IFERROR(__xludf.DUMMYFUNCTION("(1 / COS(RADIANS(REGEXEXTRACT(I66,""(\d+)""))))*G66"),0.0)</f>
        <v>0</v>
      </c>
      <c r="L66" s="1334" t="s">
        <v>1153</v>
      </c>
      <c r="M66" s="1342" t="str">
        <f>IFERROR(__xludf.DUMMYFUNCTION("if(F66="""",join("" Length/s @ "",H66,K66),join("" Length/s @ "",H66,F66))")," Length/s @ 0.00 m span")</f>
        <v> Length/s @ 0.00 m span</v>
      </c>
      <c r="N66" s="1342"/>
      <c r="O66" s="1342"/>
      <c r="P66" s="1334"/>
      <c r="Q66" s="1254"/>
      <c r="R66" s="1254"/>
      <c r="S66" s="1254"/>
      <c r="T66" s="1254"/>
      <c r="U66" s="1254"/>
      <c r="V66" s="1254"/>
      <c r="W66" s="1254"/>
      <c r="X66" s="1254"/>
      <c r="Y66" s="1254"/>
      <c r="Z66" s="1254"/>
    </row>
    <row r="67">
      <c r="A67" s="1254"/>
      <c r="B67" s="1254"/>
      <c r="C67" s="1320"/>
      <c r="D67" s="1254"/>
      <c r="E67" s="1254"/>
      <c r="F67" s="1350"/>
      <c r="G67" s="1350"/>
      <c r="H67" s="1349"/>
      <c r="I67" s="126"/>
      <c r="J67" s="1254"/>
      <c r="K67" s="1350"/>
      <c r="L67" s="1334"/>
      <c r="M67" s="1342"/>
      <c r="N67" s="1342"/>
      <c r="O67" s="1342"/>
      <c r="P67" s="1334"/>
      <c r="Q67" s="1254"/>
      <c r="R67" s="1254"/>
      <c r="S67" s="1254"/>
      <c r="T67" s="1254"/>
      <c r="U67" s="1254"/>
      <c r="V67" s="1254"/>
      <c r="W67" s="1254"/>
      <c r="X67" s="1254"/>
      <c r="Y67" s="1254"/>
      <c r="Z67" s="1254"/>
    </row>
    <row r="68">
      <c r="A68" s="1254"/>
      <c r="B68" s="1254"/>
      <c r="C68" s="1320"/>
      <c r="D68" s="1254"/>
      <c r="E68" s="1254"/>
      <c r="F68" s="1263"/>
      <c r="G68" s="1317"/>
      <c r="H68" s="1254"/>
      <c r="I68" s="1318"/>
      <c r="J68" s="1254"/>
      <c r="K68" s="1254"/>
      <c r="L68" s="1254"/>
      <c r="M68" s="1254"/>
      <c r="N68" s="1254"/>
      <c r="O68" s="1254"/>
      <c r="P68" s="1254"/>
      <c r="Q68" s="1254"/>
      <c r="R68" s="1254"/>
      <c r="S68" s="1254"/>
      <c r="T68" s="1254"/>
      <c r="U68" s="1254"/>
      <c r="V68" s="1254"/>
      <c r="W68" s="1254"/>
      <c r="X68" s="1254"/>
      <c r="Y68" s="1254"/>
      <c r="Z68" s="1254"/>
    </row>
    <row r="69">
      <c r="A69" s="1254"/>
      <c r="B69" s="1254"/>
      <c r="C69" s="1320"/>
      <c r="D69" s="1254"/>
      <c r="E69" s="1254"/>
      <c r="F69" s="1263"/>
      <c r="G69" s="1317"/>
      <c r="H69" s="1254"/>
      <c r="I69" s="1318"/>
      <c r="J69" s="1254"/>
      <c r="K69" s="1254"/>
      <c r="L69" s="1254"/>
      <c r="M69" s="1254"/>
      <c r="N69" s="1318"/>
      <c r="O69" s="1386"/>
      <c r="P69" s="1254"/>
      <c r="Q69" s="1254"/>
      <c r="R69" s="1254"/>
      <c r="S69" s="1254"/>
      <c r="T69" s="1254"/>
      <c r="U69" s="1254"/>
      <c r="V69" s="1254"/>
      <c r="W69" s="1254"/>
      <c r="X69" s="1254"/>
      <c r="Y69" s="1254"/>
      <c r="Z69" s="1254"/>
    </row>
    <row r="70">
      <c r="A70" s="1254"/>
      <c r="B70" s="1254"/>
      <c r="C70" s="1320"/>
      <c r="D70" s="1254"/>
      <c r="E70" s="1254"/>
      <c r="F70" s="1263"/>
      <c r="G70" s="1317"/>
      <c r="H70" s="1254"/>
      <c r="I70" s="1318"/>
      <c r="J70" s="1254"/>
      <c r="K70" s="1254"/>
      <c r="L70" s="1254"/>
      <c r="M70" s="1254"/>
      <c r="N70" s="1318"/>
      <c r="O70" s="1386"/>
      <c r="P70" s="1254"/>
      <c r="Q70" s="1254"/>
      <c r="R70" s="1254"/>
      <c r="S70" s="1254"/>
      <c r="T70" s="1254"/>
      <c r="U70" s="1254"/>
      <c r="V70" s="1254"/>
      <c r="W70" s="1254"/>
      <c r="X70" s="1254"/>
      <c r="Y70" s="1254"/>
      <c r="Z70" s="1254"/>
    </row>
    <row r="71">
      <c r="A71" s="1254"/>
      <c r="B71" s="1254"/>
      <c r="C71" s="1320"/>
      <c r="D71" s="1254"/>
      <c r="E71" s="1254"/>
      <c r="F71" s="1263"/>
      <c r="G71" s="1317"/>
      <c r="H71" s="1254"/>
      <c r="I71" s="1318"/>
      <c r="J71" s="1254"/>
      <c r="K71" s="1254"/>
      <c r="L71" s="1254"/>
      <c r="M71" s="1254"/>
      <c r="N71" s="1318"/>
      <c r="O71" s="1386"/>
      <c r="P71" s="1254"/>
      <c r="Q71" s="1254"/>
      <c r="R71" s="1254"/>
      <c r="S71" s="1254"/>
      <c r="T71" s="1254"/>
      <c r="U71" s="1254"/>
      <c r="V71" s="1254"/>
      <c r="W71" s="1254"/>
      <c r="X71" s="1254"/>
      <c r="Y71" s="1254"/>
      <c r="Z71" s="1254"/>
    </row>
    <row r="72">
      <c r="A72" s="1254"/>
      <c r="B72" s="1254"/>
      <c r="C72" s="1320"/>
      <c r="D72" s="1254"/>
      <c r="E72" s="1254"/>
      <c r="F72" s="1263"/>
      <c r="G72" s="1317"/>
      <c r="H72" s="1254"/>
      <c r="I72" s="1318"/>
      <c r="J72" s="1254"/>
      <c r="K72" s="1254"/>
      <c r="L72" s="1260" t="s">
        <v>1172</v>
      </c>
      <c r="M72" s="1254"/>
      <c r="N72" s="1318"/>
      <c r="O72" s="1386"/>
      <c r="P72" s="1254"/>
      <c r="Q72" s="1254"/>
      <c r="R72" s="1254"/>
      <c r="S72" s="1254"/>
      <c r="T72" s="1254"/>
      <c r="U72" s="1254"/>
      <c r="V72" s="1254"/>
      <c r="W72" s="1254"/>
      <c r="X72" s="1254"/>
      <c r="Y72" s="1254"/>
      <c r="Z72" s="1254"/>
    </row>
    <row r="73">
      <c r="A73" s="1254"/>
      <c r="B73" s="1254"/>
      <c r="C73" s="1320"/>
      <c r="D73" s="1254"/>
      <c r="E73" s="1254"/>
      <c r="F73" s="1263"/>
      <c r="G73" s="1317"/>
      <c r="H73" s="1254"/>
      <c r="I73" s="1318"/>
      <c r="J73" s="1254"/>
      <c r="K73" s="1254"/>
      <c r="L73" s="1260" t="s">
        <v>1173</v>
      </c>
      <c r="M73" s="1254"/>
      <c r="N73" s="1318"/>
      <c r="O73" s="1386"/>
      <c r="P73" s="1254"/>
      <c r="Q73" s="1254"/>
      <c r="R73" s="1254"/>
      <c r="S73" s="1254"/>
      <c r="T73" s="1254"/>
      <c r="U73" s="1254"/>
      <c r="V73" s="1254"/>
      <c r="W73" s="1254"/>
      <c r="X73" s="1254"/>
      <c r="Y73" s="1254"/>
      <c r="Z73" s="1254"/>
    </row>
    <row r="74">
      <c r="A74" s="1254"/>
      <c r="B74" s="1254"/>
      <c r="C74" s="1320"/>
      <c r="D74" s="1254"/>
      <c r="E74" s="1254"/>
      <c r="F74" s="1263"/>
      <c r="G74" s="1317"/>
      <c r="H74" s="1254"/>
      <c r="I74" s="1318"/>
      <c r="J74" s="1254"/>
      <c r="K74" s="1254"/>
      <c r="L74" s="1260" t="s">
        <v>1174</v>
      </c>
      <c r="M74" s="1254"/>
      <c r="N74" s="1318"/>
      <c r="O74" s="1386"/>
      <c r="P74" s="1254"/>
      <c r="Q74" s="1254"/>
      <c r="R74" s="1254"/>
      <c r="S74" s="1254"/>
      <c r="T74" s="1254"/>
      <c r="U74" s="1254"/>
      <c r="V74" s="1254"/>
      <c r="W74" s="1254"/>
      <c r="X74" s="1254"/>
      <c r="Y74" s="1254"/>
      <c r="Z74" s="1254"/>
    </row>
    <row r="75">
      <c r="A75" s="1254"/>
      <c r="B75" s="1254"/>
      <c r="C75" s="1320"/>
      <c r="D75" s="1254"/>
      <c r="E75" s="1254"/>
      <c r="F75" s="1263"/>
      <c r="G75" s="1317"/>
      <c r="H75" s="1254"/>
      <c r="I75" s="1318"/>
      <c r="J75" s="1254"/>
      <c r="K75" s="1254"/>
      <c r="L75" s="1260" t="s">
        <v>1175</v>
      </c>
      <c r="M75" s="1254"/>
      <c r="N75" s="1318"/>
      <c r="O75" s="1386"/>
      <c r="P75" s="1254"/>
      <c r="Q75" s="1254"/>
      <c r="R75" s="1254"/>
      <c r="S75" s="1254"/>
      <c r="T75" s="1254"/>
      <c r="U75" s="1254"/>
      <c r="V75" s="1254"/>
      <c r="W75" s="1254"/>
      <c r="X75" s="1254"/>
      <c r="Y75" s="1254"/>
      <c r="Z75" s="1254"/>
    </row>
    <row r="76">
      <c r="A76" s="1254"/>
      <c r="B76" s="1254"/>
      <c r="C76" s="1320"/>
      <c r="D76" s="1254"/>
      <c r="E76" s="1254"/>
      <c r="F76" s="1263"/>
      <c r="G76" s="1317"/>
      <c r="H76" s="1254"/>
      <c r="I76" s="1318"/>
      <c r="J76" s="1254"/>
      <c r="K76" s="1254"/>
      <c r="L76" s="1260" t="s">
        <v>1176</v>
      </c>
      <c r="M76" s="1254"/>
      <c r="N76" s="1318"/>
      <c r="O76" s="1386"/>
      <c r="P76" s="1254"/>
      <c r="Q76" s="1254"/>
      <c r="R76" s="1254"/>
      <c r="S76" s="1254"/>
      <c r="T76" s="1254"/>
      <c r="U76" s="1254"/>
      <c r="V76" s="1254"/>
      <c r="W76" s="1254"/>
      <c r="X76" s="1254"/>
      <c r="Y76" s="1254"/>
      <c r="Z76" s="1254"/>
    </row>
    <row r="77">
      <c r="A77" s="1254"/>
      <c r="B77" s="1254"/>
      <c r="C77" s="1320"/>
      <c r="D77" s="1254"/>
      <c r="E77" s="1254"/>
      <c r="F77" s="1263"/>
      <c r="G77" s="1317"/>
      <c r="H77" s="1254"/>
      <c r="I77" s="1318"/>
      <c r="J77" s="1254"/>
      <c r="K77" s="1254"/>
      <c r="L77" s="1254"/>
      <c r="M77" s="1254"/>
      <c r="N77" s="1318"/>
      <c r="O77" s="1386"/>
      <c r="P77" s="1254"/>
      <c r="Q77" s="1254"/>
      <c r="R77" s="1254"/>
      <c r="S77" s="1254"/>
      <c r="T77" s="1254"/>
      <c r="U77" s="1254"/>
      <c r="V77" s="1254"/>
      <c r="W77" s="1254"/>
      <c r="X77" s="1254"/>
      <c r="Y77" s="1254"/>
      <c r="Z77" s="1254"/>
    </row>
    <row r="78">
      <c r="A78" s="1254"/>
      <c r="B78" s="1254"/>
      <c r="C78" s="1320"/>
      <c r="D78" s="1254"/>
      <c r="E78" s="1254"/>
      <c r="F78" s="1263"/>
      <c r="G78" s="1317"/>
      <c r="H78" s="1254"/>
      <c r="I78" s="1318"/>
      <c r="J78" s="1254"/>
      <c r="K78" s="1254"/>
      <c r="L78" s="1254"/>
      <c r="M78" s="1254"/>
      <c r="N78" s="1318"/>
      <c r="O78" s="1386"/>
      <c r="P78" s="1254"/>
      <c r="Q78" s="1254"/>
      <c r="R78" s="1254"/>
      <c r="S78" s="1254"/>
      <c r="T78" s="1254"/>
      <c r="U78" s="1254"/>
      <c r="V78" s="1254"/>
      <c r="W78" s="1254"/>
      <c r="X78" s="1254"/>
      <c r="Y78" s="1254"/>
      <c r="Z78" s="1254"/>
    </row>
    <row r="79">
      <c r="A79" s="1254"/>
      <c r="B79" s="1254"/>
      <c r="C79" s="1320"/>
      <c r="D79" s="1254"/>
      <c r="E79" s="1254"/>
      <c r="F79" s="1263"/>
      <c r="G79" s="1317"/>
      <c r="H79" s="1254"/>
      <c r="I79" s="1318"/>
      <c r="J79" s="1254"/>
      <c r="K79" s="1254"/>
      <c r="L79" s="1254"/>
      <c r="M79" s="1254"/>
      <c r="N79" s="1318"/>
      <c r="O79" s="1386"/>
      <c r="P79" s="1254"/>
      <c r="Q79" s="1254"/>
      <c r="R79" s="1254"/>
      <c r="S79" s="1254"/>
      <c r="T79" s="1254"/>
      <c r="U79" s="1254"/>
      <c r="V79" s="1254"/>
      <c r="W79" s="1254"/>
      <c r="X79" s="1254"/>
      <c r="Y79" s="1254"/>
      <c r="Z79" s="1254"/>
    </row>
    <row r="80">
      <c r="A80" s="1254"/>
      <c r="B80" s="1254"/>
      <c r="C80" s="1320"/>
      <c r="D80" s="1254"/>
      <c r="E80" s="1254"/>
      <c r="F80" s="1263"/>
      <c r="G80" s="1317"/>
      <c r="H80" s="1254"/>
      <c r="I80" s="1318"/>
      <c r="J80" s="1254"/>
      <c r="K80" s="1254"/>
      <c r="L80" s="1254"/>
      <c r="M80" s="1254"/>
      <c r="N80" s="1318"/>
      <c r="O80" s="1386"/>
      <c r="P80" s="1254"/>
      <c r="Q80" s="1254"/>
      <c r="R80" s="1254"/>
      <c r="S80" s="1254"/>
      <c r="T80" s="1254"/>
      <c r="U80" s="1254"/>
      <c r="V80" s="1254"/>
      <c r="W80" s="1254"/>
      <c r="X80" s="1254"/>
      <c r="Y80" s="1254"/>
      <c r="Z80" s="1254"/>
    </row>
    <row r="81">
      <c r="A81" s="1254"/>
      <c r="B81" s="1254"/>
      <c r="C81" s="1320"/>
      <c r="D81" s="1254"/>
      <c r="E81" s="1254"/>
      <c r="F81" s="1263"/>
      <c r="G81" s="1317"/>
      <c r="H81" s="1254"/>
      <c r="I81" s="1318"/>
      <c r="J81" s="1254"/>
      <c r="K81" s="1254"/>
      <c r="L81" s="1254"/>
      <c r="M81" s="1254"/>
      <c r="N81" s="1318"/>
      <c r="O81" s="1386"/>
      <c r="P81" s="1254"/>
      <c r="Q81" s="1254"/>
      <c r="R81" s="1254"/>
      <c r="S81" s="1254"/>
      <c r="T81" s="1254"/>
      <c r="U81" s="1254"/>
      <c r="V81" s="1254"/>
      <c r="W81" s="1254"/>
      <c r="X81" s="1254"/>
      <c r="Y81" s="1254"/>
      <c r="Z81" s="1254"/>
    </row>
    <row r="82">
      <c r="A82" s="1254"/>
      <c r="B82" s="1254"/>
      <c r="C82" s="1320"/>
      <c r="D82" s="1254"/>
      <c r="E82" s="1254"/>
      <c r="F82" s="1263"/>
      <c r="G82" s="1317"/>
      <c r="H82" s="1254"/>
      <c r="I82" s="1318"/>
      <c r="J82" s="1254"/>
      <c r="K82" s="1254"/>
      <c r="L82" s="1254"/>
      <c r="M82" s="1254"/>
      <c r="N82" s="1318"/>
      <c r="O82" s="1386"/>
      <c r="P82" s="1254"/>
      <c r="Q82" s="1254"/>
      <c r="R82" s="1254"/>
      <c r="S82" s="1254"/>
      <c r="T82" s="1254"/>
      <c r="U82" s="1254"/>
      <c r="V82" s="1254"/>
      <c r="W82" s="1254"/>
      <c r="X82" s="1254"/>
      <c r="Y82" s="1254"/>
      <c r="Z82" s="1254"/>
    </row>
    <row r="83">
      <c r="A83" s="1254"/>
      <c r="B83" s="1254"/>
      <c r="C83" s="1320"/>
      <c r="D83" s="1254"/>
      <c r="E83" s="1254"/>
      <c r="F83" s="1263"/>
      <c r="G83" s="1317"/>
      <c r="H83" s="1254"/>
      <c r="I83" s="1318"/>
      <c r="J83" s="1254"/>
      <c r="K83" s="1254"/>
      <c r="L83" s="1254"/>
      <c r="M83" s="1254"/>
      <c r="N83" s="1318"/>
      <c r="O83" s="1386"/>
      <c r="P83" s="1254"/>
      <c r="Q83" s="1254"/>
      <c r="R83" s="1254"/>
      <c r="S83" s="1254"/>
      <c r="T83" s="1254"/>
      <c r="U83" s="1254"/>
      <c r="V83" s="1254"/>
      <c r="W83" s="1254"/>
      <c r="X83" s="1254"/>
      <c r="Y83" s="1254"/>
      <c r="Z83" s="1254"/>
    </row>
    <row r="84">
      <c r="A84" s="1254"/>
      <c r="B84" s="1254"/>
      <c r="C84" s="1320"/>
      <c r="D84" s="1254"/>
      <c r="E84" s="1254"/>
      <c r="F84" s="1263"/>
      <c r="G84" s="1317"/>
      <c r="H84" s="1254"/>
      <c r="I84" s="1318"/>
      <c r="J84" s="1254"/>
      <c r="K84" s="1254"/>
      <c r="L84" s="1254"/>
      <c r="M84" s="1254"/>
      <c r="N84" s="1318"/>
      <c r="O84" s="1386"/>
      <c r="P84" s="1254"/>
      <c r="Q84" s="1254"/>
      <c r="R84" s="1254"/>
      <c r="S84" s="1254"/>
      <c r="T84" s="1254"/>
      <c r="U84" s="1254"/>
      <c r="V84" s="1254"/>
      <c r="W84" s="1254"/>
      <c r="X84" s="1254"/>
      <c r="Y84" s="1254"/>
      <c r="Z84" s="1254"/>
    </row>
    <row r="85">
      <c r="A85" s="1254"/>
      <c r="B85" s="1254"/>
      <c r="C85" s="1320"/>
      <c r="D85" s="1254"/>
      <c r="E85" s="1254"/>
      <c r="F85" s="1263"/>
      <c r="G85" s="1317"/>
      <c r="H85" s="1254"/>
      <c r="I85" s="1318"/>
      <c r="J85" s="1254"/>
      <c r="K85" s="1254"/>
      <c r="L85" s="1254"/>
      <c r="M85" s="1254"/>
      <c r="N85" s="1318"/>
      <c r="O85" s="1386"/>
      <c r="P85" s="1254"/>
      <c r="Q85" s="1254"/>
      <c r="R85" s="1254"/>
      <c r="S85" s="1254"/>
      <c r="T85" s="1254"/>
      <c r="U85" s="1254"/>
      <c r="V85" s="1254"/>
      <c r="W85" s="1254"/>
      <c r="X85" s="1254"/>
      <c r="Y85" s="1254"/>
      <c r="Z85" s="1254"/>
    </row>
    <row r="86">
      <c r="A86" s="1254"/>
      <c r="B86" s="1254"/>
      <c r="C86" s="1320"/>
      <c r="D86" s="1254"/>
      <c r="E86" s="1254"/>
      <c r="F86" s="1263"/>
      <c r="G86" s="1317"/>
      <c r="H86" s="1254"/>
      <c r="I86" s="1318"/>
      <c r="J86" s="1254"/>
      <c r="K86" s="1254"/>
      <c r="L86" s="1254"/>
      <c r="M86" s="1254"/>
      <c r="N86" s="1318"/>
      <c r="O86" s="1386"/>
      <c r="P86" s="1254"/>
      <c r="Q86" s="1254"/>
      <c r="R86" s="1254"/>
      <c r="S86" s="1254"/>
      <c r="T86" s="1254"/>
      <c r="U86" s="1254"/>
      <c r="V86" s="1254"/>
      <c r="W86" s="1254"/>
      <c r="X86" s="1254"/>
      <c r="Y86" s="1254"/>
      <c r="Z86" s="1254"/>
    </row>
    <row r="87">
      <c r="A87" s="1254"/>
      <c r="B87" s="1254"/>
      <c r="C87" s="1320"/>
      <c r="D87" s="1254"/>
      <c r="E87" s="1254"/>
      <c r="F87" s="1263"/>
      <c r="G87" s="1317"/>
      <c r="H87" s="1254"/>
      <c r="I87" s="1318"/>
      <c r="J87" s="1254"/>
      <c r="K87" s="1254"/>
      <c r="L87" s="1254"/>
      <c r="M87" s="1254"/>
      <c r="N87" s="1318"/>
      <c r="O87" s="1386"/>
      <c r="P87" s="1254"/>
      <c r="Q87" s="1254"/>
      <c r="R87" s="1254"/>
      <c r="S87" s="1254"/>
      <c r="T87" s="1254"/>
      <c r="U87" s="1254"/>
      <c r="V87" s="1254"/>
      <c r="W87" s="1254"/>
      <c r="X87" s="1254"/>
      <c r="Y87" s="1254"/>
      <c r="Z87" s="1254"/>
    </row>
    <row r="88">
      <c r="A88" s="1254"/>
      <c r="B88" s="1254"/>
      <c r="C88" s="1320"/>
      <c r="D88" s="1254"/>
      <c r="E88" s="1254"/>
      <c r="F88" s="1263"/>
      <c r="G88" s="1317"/>
      <c r="H88" s="1254"/>
      <c r="I88" s="1318"/>
      <c r="J88" s="1254"/>
      <c r="K88" s="1254"/>
      <c r="L88" s="1254"/>
      <c r="M88" s="1254"/>
      <c r="N88" s="1318"/>
      <c r="O88" s="1386"/>
      <c r="P88" s="1254"/>
      <c r="Q88" s="1254"/>
      <c r="R88" s="1254"/>
      <c r="S88" s="1254"/>
      <c r="T88" s="1254"/>
      <c r="U88" s="1254"/>
      <c r="V88" s="1254"/>
      <c r="W88" s="1254"/>
      <c r="X88" s="1254"/>
      <c r="Y88" s="1254"/>
      <c r="Z88" s="1254"/>
    </row>
    <row r="89">
      <c r="A89" s="1254"/>
      <c r="B89" s="1254"/>
      <c r="C89" s="1320"/>
      <c r="D89" s="1254"/>
      <c r="E89" s="1254"/>
      <c r="F89" s="1263"/>
      <c r="G89" s="1317"/>
      <c r="H89" s="1254"/>
      <c r="I89" s="1318"/>
      <c r="J89" s="1254"/>
      <c r="K89" s="1254"/>
      <c r="L89" s="1254"/>
      <c r="M89" s="1254"/>
      <c r="N89" s="1318"/>
      <c r="O89" s="1386"/>
      <c r="P89" s="1254"/>
      <c r="Q89" s="1254"/>
      <c r="R89" s="1254"/>
      <c r="S89" s="1254"/>
      <c r="T89" s="1254"/>
      <c r="U89" s="1254"/>
      <c r="V89" s="1254"/>
      <c r="W89" s="1254"/>
      <c r="X89" s="1254"/>
      <c r="Y89" s="1254"/>
      <c r="Z89" s="1254"/>
    </row>
    <row r="90">
      <c r="A90" s="1254"/>
      <c r="B90" s="1254"/>
      <c r="C90" s="1320"/>
      <c r="D90" s="1254"/>
      <c r="E90" s="1254"/>
      <c r="F90" s="1263"/>
      <c r="G90" s="1317"/>
      <c r="H90" s="1254"/>
      <c r="I90" s="1318"/>
      <c r="J90" s="1254"/>
      <c r="K90" s="1254"/>
      <c r="L90" s="1254"/>
      <c r="M90" s="1254"/>
      <c r="N90" s="1318"/>
      <c r="O90" s="1386"/>
      <c r="P90" s="1254"/>
      <c r="Q90" s="1254"/>
      <c r="R90" s="1254"/>
      <c r="S90" s="1254"/>
      <c r="T90" s="1254"/>
      <c r="U90" s="1254"/>
      <c r="V90" s="1254"/>
      <c r="W90" s="1254"/>
      <c r="X90" s="1254"/>
      <c r="Y90" s="1254"/>
      <c r="Z90" s="1254"/>
    </row>
    <row r="91">
      <c r="A91" s="1254"/>
      <c r="B91" s="1254"/>
      <c r="C91" s="1320"/>
      <c r="D91" s="1254"/>
      <c r="E91" s="1254"/>
      <c r="F91" s="1263"/>
      <c r="G91" s="1317"/>
      <c r="H91" s="1254"/>
      <c r="I91" s="1318"/>
      <c r="J91" s="1254"/>
      <c r="K91" s="1254"/>
      <c r="L91" s="1254"/>
      <c r="M91" s="1254"/>
      <c r="N91" s="1318"/>
      <c r="O91" s="1386"/>
      <c r="P91" s="1254"/>
      <c r="Q91" s="1254"/>
      <c r="R91" s="1254"/>
      <c r="S91" s="1254"/>
      <c r="T91" s="1254"/>
      <c r="U91" s="1254"/>
      <c r="V91" s="1254"/>
      <c r="W91" s="1254"/>
      <c r="X91" s="1254"/>
      <c r="Y91" s="1254"/>
      <c r="Z91" s="1254"/>
    </row>
    <row r="92">
      <c r="A92" s="1254"/>
      <c r="B92" s="1254"/>
      <c r="C92" s="1320"/>
      <c r="D92" s="1254"/>
      <c r="E92" s="1254"/>
      <c r="F92" s="1263"/>
      <c r="G92" s="1317"/>
      <c r="H92" s="1254"/>
      <c r="I92" s="1318"/>
      <c r="J92" s="1254"/>
      <c r="K92" s="1254"/>
      <c r="L92" s="1254"/>
      <c r="M92" s="1254"/>
      <c r="N92" s="1318"/>
      <c r="O92" s="1386"/>
      <c r="P92" s="1254"/>
      <c r="Q92" s="1254"/>
      <c r="R92" s="1254"/>
      <c r="S92" s="1254"/>
      <c r="T92" s="1254"/>
      <c r="U92" s="1254"/>
      <c r="V92" s="1254"/>
      <c r="W92" s="1254"/>
      <c r="X92" s="1254"/>
      <c r="Y92" s="1254"/>
      <c r="Z92" s="1254"/>
    </row>
    <row r="93">
      <c r="A93" s="1254"/>
      <c r="B93" s="1254"/>
      <c r="C93" s="1320"/>
      <c r="D93" s="1254"/>
      <c r="E93" s="1254"/>
      <c r="F93" s="1263"/>
      <c r="G93" s="1317"/>
      <c r="H93" s="1254"/>
      <c r="I93" s="1318"/>
      <c r="J93" s="1254"/>
      <c r="K93" s="1254"/>
      <c r="L93" s="1254"/>
      <c r="M93" s="1254"/>
      <c r="N93" s="1318"/>
      <c r="O93" s="1386"/>
      <c r="P93" s="1254"/>
      <c r="Q93" s="1254"/>
      <c r="R93" s="1254"/>
      <c r="S93" s="1254"/>
      <c r="T93" s="1254"/>
      <c r="U93" s="1254"/>
      <c r="V93" s="1254"/>
      <c r="W93" s="1254"/>
      <c r="X93" s="1254"/>
      <c r="Y93" s="1254"/>
      <c r="Z93" s="1254"/>
    </row>
    <row r="94">
      <c r="A94" s="1254"/>
      <c r="B94" s="1254"/>
      <c r="C94" s="1320"/>
      <c r="D94" s="1254"/>
      <c r="E94" s="1254"/>
      <c r="F94" s="1263"/>
      <c r="G94" s="1317"/>
      <c r="H94" s="1254"/>
      <c r="I94" s="1318"/>
      <c r="J94" s="1254"/>
      <c r="K94" s="1254"/>
      <c r="L94" s="1254"/>
      <c r="M94" s="1254"/>
      <c r="N94" s="1318"/>
      <c r="O94" s="1386"/>
      <c r="P94" s="1254"/>
      <c r="Q94" s="1254"/>
      <c r="R94" s="1254"/>
      <c r="S94" s="1254"/>
      <c r="T94" s="1254"/>
      <c r="U94" s="1254"/>
      <c r="V94" s="1254"/>
      <c r="W94" s="1254"/>
      <c r="X94" s="1254"/>
      <c r="Y94" s="1254"/>
      <c r="Z94" s="1254"/>
    </row>
    <row r="95">
      <c r="A95" s="1254"/>
      <c r="B95" s="1254"/>
      <c r="C95" s="1320"/>
      <c r="D95" s="1254"/>
      <c r="E95" s="1254"/>
      <c r="F95" s="1263"/>
      <c r="G95" s="1317"/>
      <c r="H95" s="1254"/>
      <c r="I95" s="1318"/>
      <c r="J95" s="1254"/>
      <c r="K95" s="1254"/>
      <c r="L95" s="1254"/>
      <c r="M95" s="1254"/>
      <c r="N95" s="1318"/>
      <c r="O95" s="1386"/>
      <c r="P95" s="1254"/>
      <c r="Q95" s="1254"/>
      <c r="R95" s="1254"/>
      <c r="S95" s="1254"/>
      <c r="T95" s="1254"/>
      <c r="U95" s="1254"/>
      <c r="V95" s="1254"/>
      <c r="W95" s="1254"/>
      <c r="X95" s="1254"/>
      <c r="Y95" s="1254"/>
      <c r="Z95" s="1254"/>
    </row>
    <row r="96">
      <c r="A96" s="1254"/>
      <c r="B96" s="1254"/>
      <c r="C96" s="1320"/>
      <c r="D96" s="1254"/>
      <c r="E96" s="1254"/>
      <c r="F96" s="1263"/>
      <c r="G96" s="1317"/>
      <c r="H96" s="1254"/>
      <c r="I96" s="1318"/>
      <c r="J96" s="1254"/>
      <c r="K96" s="1254"/>
      <c r="L96" s="1254"/>
      <c r="M96" s="1254"/>
      <c r="N96" s="1318"/>
      <c r="O96" s="1386"/>
      <c r="P96" s="1254"/>
      <c r="Q96" s="1254"/>
      <c r="R96" s="1254"/>
      <c r="S96" s="1254"/>
      <c r="T96" s="1254"/>
      <c r="U96" s="1254"/>
      <c r="V96" s="1254"/>
      <c r="W96" s="1254"/>
      <c r="X96" s="1254"/>
      <c r="Y96" s="1254"/>
      <c r="Z96" s="1254"/>
    </row>
    <row r="97">
      <c r="A97" s="1254"/>
      <c r="B97" s="1254"/>
      <c r="C97" s="1320"/>
      <c r="D97" s="1254"/>
      <c r="E97" s="1254"/>
      <c r="F97" s="1263"/>
      <c r="G97" s="1317"/>
      <c r="H97" s="1254"/>
      <c r="I97" s="1318"/>
      <c r="J97" s="1254"/>
      <c r="K97" s="1254"/>
      <c r="L97" s="1254"/>
      <c r="M97" s="1254"/>
      <c r="N97" s="1318"/>
      <c r="O97" s="1386"/>
      <c r="P97" s="1254"/>
      <c r="Q97" s="1254"/>
      <c r="R97" s="1254"/>
      <c r="S97" s="1254"/>
      <c r="T97" s="1254"/>
      <c r="U97" s="1254"/>
      <c r="V97" s="1254"/>
      <c r="W97" s="1254"/>
      <c r="X97" s="1254"/>
      <c r="Y97" s="1254"/>
      <c r="Z97" s="1254"/>
    </row>
    <row r="98">
      <c r="A98" s="1254"/>
      <c r="B98" s="1254"/>
      <c r="C98" s="1320"/>
      <c r="D98" s="1254"/>
      <c r="E98" s="1254"/>
      <c r="F98" s="1263"/>
      <c r="G98" s="1317"/>
      <c r="H98" s="1254"/>
      <c r="I98" s="1318"/>
      <c r="J98" s="1254"/>
      <c r="K98" s="1254"/>
      <c r="L98" s="1254"/>
      <c r="M98" s="1254"/>
      <c r="N98" s="1318"/>
      <c r="O98" s="1386"/>
      <c r="P98" s="1254"/>
      <c r="Q98" s="1254"/>
      <c r="R98" s="1254"/>
      <c r="S98" s="1254"/>
      <c r="T98" s="1254"/>
      <c r="U98" s="1254"/>
      <c r="V98" s="1254"/>
      <c r="W98" s="1254"/>
      <c r="X98" s="1254"/>
      <c r="Y98" s="1254"/>
      <c r="Z98" s="1254"/>
    </row>
    <row r="99">
      <c r="A99" s="1254"/>
      <c r="B99" s="1254"/>
      <c r="C99" s="1320"/>
      <c r="D99" s="1254"/>
      <c r="E99" s="1254"/>
      <c r="F99" s="1263"/>
      <c r="G99" s="1317"/>
      <c r="H99" s="1254"/>
      <c r="I99" s="1318"/>
      <c r="J99" s="1254"/>
      <c r="K99" s="1254"/>
      <c r="L99" s="1254"/>
      <c r="M99" s="1254"/>
      <c r="N99" s="1318"/>
      <c r="O99" s="1386"/>
      <c r="P99" s="1254"/>
      <c r="Q99" s="1254"/>
      <c r="R99" s="1254"/>
      <c r="S99" s="1254"/>
      <c r="T99" s="1254"/>
      <c r="U99" s="1254"/>
      <c r="V99" s="1254"/>
      <c r="W99" s="1254"/>
      <c r="X99" s="1254"/>
      <c r="Y99" s="1254"/>
      <c r="Z99" s="1254"/>
    </row>
    <row r="100">
      <c r="A100" s="1254"/>
      <c r="B100" s="1254"/>
      <c r="C100" s="1320"/>
      <c r="D100" s="1254"/>
      <c r="E100" s="1254"/>
      <c r="F100" s="1263"/>
      <c r="G100" s="1317"/>
      <c r="H100" s="1254"/>
      <c r="I100" s="1318"/>
      <c r="J100" s="1254"/>
      <c r="K100" s="1254"/>
      <c r="L100" s="1254"/>
      <c r="M100" s="1254"/>
      <c r="N100" s="1318"/>
      <c r="O100" s="1386"/>
      <c r="P100" s="1254"/>
      <c r="Q100" s="1254"/>
      <c r="R100" s="1254"/>
      <c r="S100" s="1254"/>
      <c r="T100" s="1254"/>
      <c r="U100" s="1254"/>
      <c r="V100" s="1254"/>
      <c r="W100" s="1254"/>
      <c r="X100" s="1254"/>
      <c r="Y100" s="1254"/>
      <c r="Z100" s="1254"/>
    </row>
    <row r="101">
      <c r="A101" s="1254"/>
      <c r="B101" s="1254"/>
      <c r="C101" s="1320"/>
      <c r="D101" s="1254"/>
      <c r="E101" s="1254"/>
      <c r="F101" s="1263"/>
      <c r="G101" s="1317"/>
      <c r="H101" s="1254"/>
      <c r="I101" s="1318"/>
      <c r="J101" s="1254"/>
      <c r="K101" s="1254"/>
      <c r="L101" s="1254"/>
      <c r="M101" s="1254"/>
      <c r="N101" s="1318"/>
      <c r="O101" s="1386"/>
      <c r="P101" s="1254"/>
      <c r="Q101" s="1254"/>
      <c r="R101" s="1254"/>
      <c r="S101" s="1254"/>
      <c r="T101" s="1254"/>
      <c r="U101" s="1254"/>
      <c r="V101" s="1254"/>
      <c r="W101" s="1254"/>
      <c r="X101" s="1254"/>
      <c r="Y101" s="1254"/>
      <c r="Z101" s="1254"/>
    </row>
    <row r="102">
      <c r="A102" s="1254"/>
      <c r="B102" s="1254"/>
      <c r="C102" s="1320"/>
      <c r="D102" s="1254"/>
      <c r="E102" s="1254"/>
      <c r="F102" s="1263"/>
      <c r="G102" s="1317"/>
      <c r="H102" s="1254"/>
      <c r="I102" s="1318"/>
      <c r="J102" s="1254"/>
      <c r="K102" s="1254"/>
      <c r="L102" s="1254"/>
      <c r="M102" s="1254"/>
      <c r="N102" s="1318"/>
      <c r="O102" s="1386"/>
      <c r="P102" s="1254"/>
      <c r="Q102" s="1254"/>
      <c r="R102" s="1254"/>
      <c r="S102" s="1254"/>
      <c r="T102" s="1254"/>
      <c r="U102" s="1254"/>
      <c r="V102" s="1254"/>
      <c r="W102" s="1254"/>
      <c r="X102" s="1254"/>
      <c r="Y102" s="1254"/>
      <c r="Z102" s="1254"/>
    </row>
    <row r="103">
      <c r="A103" s="1254"/>
      <c r="B103" s="1254"/>
      <c r="C103" s="1320"/>
      <c r="D103" s="1254"/>
      <c r="E103" s="1254"/>
      <c r="F103" s="1263"/>
      <c r="G103" s="1317"/>
      <c r="H103" s="1254"/>
      <c r="I103" s="1318"/>
      <c r="J103" s="1254"/>
      <c r="K103" s="1254"/>
      <c r="L103" s="1254"/>
      <c r="M103" s="1254"/>
      <c r="N103" s="1318"/>
      <c r="O103" s="1386"/>
      <c r="P103" s="1254"/>
      <c r="Q103" s="1254"/>
      <c r="R103" s="1254"/>
      <c r="S103" s="1254"/>
      <c r="T103" s="1254"/>
      <c r="U103" s="1254"/>
      <c r="V103" s="1254"/>
      <c r="W103" s="1254"/>
      <c r="X103" s="1254"/>
      <c r="Y103" s="1254"/>
      <c r="Z103" s="1254"/>
    </row>
    <row r="104">
      <c r="A104" s="1254"/>
      <c r="B104" s="1254"/>
      <c r="C104" s="1320"/>
      <c r="D104" s="1254"/>
      <c r="E104" s="1254"/>
      <c r="F104" s="1263"/>
      <c r="G104" s="1317"/>
      <c r="H104" s="1254"/>
      <c r="I104" s="1318"/>
      <c r="J104" s="1254"/>
      <c r="K104" s="1254"/>
      <c r="L104" s="1254"/>
      <c r="M104" s="1254"/>
      <c r="N104" s="1318"/>
      <c r="O104" s="1386"/>
      <c r="P104" s="1254"/>
      <c r="Q104" s="1254"/>
      <c r="R104" s="1254"/>
      <c r="S104" s="1254"/>
      <c r="T104" s="1254"/>
      <c r="U104" s="1254"/>
      <c r="V104" s="1254"/>
      <c r="W104" s="1254"/>
      <c r="X104" s="1254"/>
      <c r="Y104" s="1254"/>
      <c r="Z104" s="1254"/>
    </row>
    <row r="105">
      <c r="A105" s="1254"/>
      <c r="B105" s="1254"/>
      <c r="C105" s="1320"/>
      <c r="D105" s="1254"/>
      <c r="E105" s="1254"/>
      <c r="F105" s="1263"/>
      <c r="G105" s="1317"/>
      <c r="H105" s="1254"/>
      <c r="I105" s="1318"/>
      <c r="J105" s="1254"/>
      <c r="K105" s="1254"/>
      <c r="L105" s="1254"/>
      <c r="M105" s="1254"/>
      <c r="N105" s="1318"/>
      <c r="O105" s="1386"/>
      <c r="P105" s="1254"/>
      <c r="Q105" s="1254"/>
      <c r="R105" s="1254"/>
      <c r="S105" s="1254"/>
      <c r="T105" s="1254"/>
      <c r="U105" s="1254"/>
      <c r="V105" s="1254"/>
      <c r="W105" s="1254"/>
      <c r="X105" s="1254"/>
      <c r="Y105" s="1254"/>
      <c r="Z105" s="1254"/>
    </row>
    <row r="106">
      <c r="A106" s="1254"/>
      <c r="B106" s="1254"/>
      <c r="C106" s="1320"/>
      <c r="D106" s="1254"/>
      <c r="E106" s="1254"/>
      <c r="F106" s="1263"/>
      <c r="G106" s="1317"/>
      <c r="H106" s="1254"/>
      <c r="I106" s="1318"/>
      <c r="J106" s="1254"/>
      <c r="K106" s="1254"/>
      <c r="L106" s="1254"/>
      <c r="M106" s="1254"/>
      <c r="N106" s="1318"/>
      <c r="O106" s="1386"/>
      <c r="P106" s="1254"/>
      <c r="Q106" s="1254"/>
      <c r="R106" s="1254"/>
      <c r="S106" s="1254"/>
      <c r="T106" s="1254"/>
      <c r="U106" s="1254"/>
      <c r="V106" s="1254"/>
      <c r="W106" s="1254"/>
      <c r="X106" s="1254"/>
      <c r="Y106" s="1254"/>
      <c r="Z106" s="1254"/>
    </row>
    <row r="107">
      <c r="A107" s="1254"/>
      <c r="B107" s="1254"/>
      <c r="C107" s="1320"/>
      <c r="D107" s="1254"/>
      <c r="E107" s="1254"/>
      <c r="F107" s="1263"/>
      <c r="G107" s="1317"/>
      <c r="H107" s="1254"/>
      <c r="I107" s="1318"/>
      <c r="J107" s="1254"/>
      <c r="K107" s="1254"/>
      <c r="L107" s="1254"/>
      <c r="M107" s="1254"/>
      <c r="N107" s="1318"/>
      <c r="O107" s="1386"/>
      <c r="P107" s="1254"/>
      <c r="Q107" s="1254"/>
      <c r="R107" s="1254"/>
      <c r="S107" s="1254"/>
      <c r="T107" s="1254"/>
      <c r="U107" s="1254"/>
      <c r="V107" s="1254"/>
      <c r="W107" s="1254"/>
      <c r="X107" s="1254"/>
      <c r="Y107" s="1254"/>
      <c r="Z107" s="1254"/>
    </row>
    <row r="108">
      <c r="A108" s="1254"/>
      <c r="B108" s="1254"/>
      <c r="C108" s="1320"/>
      <c r="D108" s="1254"/>
      <c r="E108" s="1254"/>
      <c r="F108" s="1263"/>
      <c r="G108" s="1317"/>
      <c r="H108" s="1254"/>
      <c r="I108" s="1318"/>
      <c r="J108" s="1254"/>
      <c r="K108" s="1254"/>
      <c r="L108" s="1254"/>
      <c r="M108" s="1254"/>
      <c r="N108" s="1318"/>
      <c r="O108" s="1386"/>
      <c r="P108" s="1254"/>
      <c r="Q108" s="1254"/>
      <c r="R108" s="1254"/>
      <c r="S108" s="1254"/>
      <c r="T108" s="1254"/>
      <c r="U108" s="1254"/>
      <c r="V108" s="1254"/>
      <c r="W108" s="1254"/>
      <c r="X108" s="1254"/>
      <c r="Y108" s="1254"/>
      <c r="Z108" s="1254"/>
    </row>
    <row r="109">
      <c r="A109" s="1254"/>
      <c r="B109" s="1254"/>
      <c r="C109" s="1320"/>
      <c r="D109" s="1254"/>
      <c r="E109" s="1254"/>
      <c r="F109" s="1263"/>
      <c r="G109" s="1317"/>
      <c r="H109" s="1254"/>
      <c r="I109" s="1318"/>
      <c r="J109" s="1254"/>
      <c r="K109" s="1254"/>
      <c r="L109" s="1254"/>
      <c r="M109" s="1254"/>
      <c r="N109" s="1318"/>
      <c r="O109" s="1386"/>
      <c r="P109" s="1254"/>
      <c r="Q109" s="1254"/>
      <c r="R109" s="1254"/>
      <c r="S109" s="1254"/>
      <c r="T109" s="1254"/>
      <c r="U109" s="1254"/>
      <c r="V109" s="1254"/>
      <c r="W109" s="1254"/>
      <c r="X109" s="1254"/>
      <c r="Y109" s="1254"/>
      <c r="Z109" s="1254"/>
    </row>
    <row r="110">
      <c r="A110" s="1254"/>
      <c r="B110" s="1254"/>
      <c r="C110" s="1320"/>
      <c r="D110" s="1254"/>
      <c r="E110" s="1254"/>
      <c r="F110" s="1263"/>
      <c r="G110" s="1317"/>
      <c r="H110" s="1254"/>
      <c r="I110" s="1318"/>
      <c r="J110" s="1254"/>
      <c r="K110" s="1254"/>
      <c r="L110" s="1254"/>
      <c r="M110" s="1254"/>
      <c r="N110" s="1318"/>
      <c r="O110" s="1386"/>
      <c r="P110" s="1254"/>
      <c r="Q110" s="1254"/>
      <c r="R110" s="1254"/>
      <c r="S110" s="1254"/>
      <c r="T110" s="1254"/>
      <c r="U110" s="1254"/>
      <c r="V110" s="1254"/>
      <c r="W110" s="1254"/>
      <c r="X110" s="1254"/>
      <c r="Y110" s="1254"/>
      <c r="Z110" s="1254"/>
    </row>
    <row r="111">
      <c r="A111" s="1254"/>
      <c r="B111" s="1254"/>
      <c r="C111" s="1320"/>
      <c r="D111" s="1254"/>
      <c r="E111" s="1254"/>
      <c r="F111" s="1263"/>
      <c r="G111" s="1317"/>
      <c r="H111" s="1254"/>
      <c r="I111" s="1318"/>
      <c r="J111" s="1254"/>
      <c r="K111" s="1254"/>
      <c r="L111" s="1254"/>
      <c r="M111" s="1254"/>
      <c r="N111" s="1318"/>
      <c r="O111" s="1386"/>
      <c r="P111" s="1254"/>
      <c r="Q111" s="1254"/>
      <c r="R111" s="1254"/>
      <c r="S111" s="1254"/>
      <c r="T111" s="1254"/>
      <c r="U111" s="1254"/>
      <c r="V111" s="1254"/>
      <c r="W111" s="1254"/>
      <c r="X111" s="1254"/>
      <c r="Y111" s="1254"/>
      <c r="Z111" s="1254"/>
    </row>
    <row r="112">
      <c r="A112" s="1254"/>
      <c r="B112" s="1254"/>
      <c r="C112" s="1320"/>
      <c r="D112" s="1254"/>
      <c r="E112" s="1254"/>
      <c r="F112" s="1263"/>
      <c r="G112" s="1317"/>
      <c r="H112" s="1254"/>
      <c r="I112" s="1318"/>
      <c r="J112" s="1254"/>
      <c r="K112" s="1254"/>
      <c r="L112" s="1254"/>
      <c r="M112" s="1254"/>
      <c r="N112" s="1318"/>
      <c r="O112" s="1386"/>
      <c r="P112" s="1254"/>
      <c r="Q112" s="1254"/>
      <c r="R112" s="1254"/>
      <c r="S112" s="1254"/>
      <c r="T112" s="1254"/>
      <c r="U112" s="1254"/>
      <c r="V112" s="1254"/>
      <c r="W112" s="1254"/>
      <c r="X112" s="1254"/>
      <c r="Y112" s="1254"/>
      <c r="Z112" s="1254"/>
    </row>
    <row r="113">
      <c r="A113" s="1254"/>
      <c r="B113" s="1254"/>
      <c r="C113" s="1320"/>
      <c r="D113" s="1254"/>
      <c r="E113" s="1254"/>
      <c r="F113" s="1263"/>
      <c r="G113" s="1317"/>
      <c r="H113" s="1254"/>
      <c r="I113" s="1318"/>
      <c r="J113" s="1254"/>
      <c r="K113" s="1254"/>
      <c r="L113" s="1254"/>
      <c r="M113" s="1254"/>
      <c r="N113" s="1318"/>
      <c r="O113" s="1386"/>
      <c r="P113" s="1254"/>
      <c r="Q113" s="1254"/>
      <c r="R113" s="1254"/>
      <c r="S113" s="1254"/>
      <c r="T113" s="1254"/>
      <c r="U113" s="1254"/>
      <c r="V113" s="1254"/>
      <c r="W113" s="1254"/>
      <c r="X113" s="1254"/>
      <c r="Y113" s="1254"/>
      <c r="Z113" s="1254"/>
    </row>
    <row r="114">
      <c r="A114" s="1254"/>
      <c r="B114" s="1254"/>
      <c r="C114" s="1320"/>
      <c r="D114" s="1254"/>
      <c r="E114" s="1254"/>
      <c r="F114" s="1263"/>
      <c r="G114" s="1317"/>
      <c r="H114" s="1254"/>
      <c r="I114" s="1318"/>
      <c r="J114" s="1254"/>
      <c r="K114" s="1254"/>
      <c r="L114" s="1254"/>
      <c r="M114" s="1254"/>
      <c r="N114" s="1318"/>
      <c r="O114" s="1386"/>
      <c r="P114" s="1254"/>
      <c r="Q114" s="1254"/>
      <c r="R114" s="1254"/>
      <c r="S114" s="1254"/>
      <c r="T114" s="1254"/>
      <c r="U114" s="1254"/>
      <c r="V114" s="1254"/>
      <c r="W114" s="1254"/>
      <c r="X114" s="1254"/>
      <c r="Y114" s="1254"/>
      <c r="Z114" s="1254"/>
    </row>
    <row r="115">
      <c r="A115" s="1254"/>
      <c r="B115" s="1254"/>
      <c r="C115" s="1320"/>
      <c r="D115" s="1254"/>
      <c r="E115" s="1254"/>
      <c r="F115" s="1263"/>
      <c r="G115" s="1317"/>
      <c r="H115" s="1254"/>
      <c r="I115" s="1318"/>
      <c r="J115" s="1254"/>
      <c r="K115" s="1254"/>
      <c r="L115" s="1254"/>
      <c r="M115" s="1254"/>
      <c r="N115" s="1318"/>
      <c r="O115" s="1386"/>
      <c r="P115" s="1254"/>
      <c r="Q115" s="1254"/>
      <c r="R115" s="1254"/>
      <c r="S115" s="1254"/>
      <c r="T115" s="1254"/>
      <c r="U115" s="1254"/>
      <c r="V115" s="1254"/>
      <c r="W115" s="1254"/>
      <c r="X115" s="1254"/>
      <c r="Y115" s="1254"/>
      <c r="Z115" s="1254"/>
    </row>
    <row r="116">
      <c r="A116" s="1254"/>
      <c r="B116" s="1254"/>
      <c r="C116" s="1320"/>
      <c r="D116" s="1254"/>
      <c r="E116" s="1254"/>
      <c r="F116" s="1263"/>
      <c r="G116" s="1317"/>
      <c r="H116" s="1254"/>
      <c r="I116" s="1318"/>
      <c r="J116" s="1254"/>
      <c r="K116" s="1254"/>
      <c r="L116" s="1254"/>
      <c r="M116" s="1254"/>
      <c r="N116" s="1318"/>
      <c r="O116" s="1386"/>
      <c r="P116" s="1254"/>
      <c r="Q116" s="1254"/>
      <c r="R116" s="1254"/>
      <c r="S116" s="1254"/>
      <c r="T116" s="1254"/>
      <c r="U116" s="1254"/>
      <c r="V116" s="1254"/>
      <c r="W116" s="1254"/>
      <c r="X116" s="1254"/>
      <c r="Y116" s="1254"/>
      <c r="Z116" s="1254"/>
    </row>
    <row r="117">
      <c r="A117" s="1254"/>
      <c r="B117" s="1254"/>
      <c r="C117" s="1320"/>
      <c r="D117" s="1254"/>
      <c r="E117" s="1254"/>
      <c r="F117" s="1263"/>
      <c r="G117" s="1317"/>
      <c r="H117" s="1254"/>
      <c r="I117" s="1318"/>
      <c r="J117" s="1254"/>
      <c r="K117" s="1254"/>
      <c r="L117" s="1254"/>
      <c r="M117" s="1254"/>
      <c r="N117" s="1318"/>
      <c r="O117" s="1386"/>
      <c r="P117" s="1254"/>
      <c r="Q117" s="1254"/>
      <c r="R117" s="1254"/>
      <c r="S117" s="1254"/>
      <c r="T117" s="1254"/>
      <c r="U117" s="1254"/>
      <c r="V117" s="1254"/>
      <c r="W117" s="1254"/>
      <c r="X117" s="1254"/>
      <c r="Y117" s="1254"/>
      <c r="Z117" s="1254"/>
    </row>
    <row r="118">
      <c r="A118" s="1254"/>
      <c r="B118" s="1254"/>
      <c r="C118" s="1320"/>
      <c r="D118" s="1254"/>
      <c r="E118" s="1254"/>
      <c r="F118" s="1263"/>
      <c r="G118" s="1317"/>
      <c r="H118" s="1254"/>
      <c r="I118" s="1318"/>
      <c r="J118" s="1254"/>
      <c r="K118" s="1254"/>
      <c r="L118" s="1254"/>
      <c r="M118" s="1254"/>
      <c r="N118" s="1318"/>
      <c r="O118" s="1386"/>
      <c r="P118" s="1254"/>
      <c r="Q118" s="1254"/>
      <c r="R118" s="1254"/>
      <c r="S118" s="1254"/>
      <c r="T118" s="1254"/>
      <c r="U118" s="1254"/>
      <c r="V118" s="1254"/>
      <c r="W118" s="1254"/>
      <c r="X118" s="1254"/>
      <c r="Y118" s="1254"/>
      <c r="Z118" s="1254"/>
    </row>
    <row r="119">
      <c r="A119" s="1254"/>
      <c r="B119" s="1254"/>
      <c r="C119" s="1320"/>
      <c r="D119" s="1254"/>
      <c r="E119" s="1254"/>
      <c r="F119" s="1263"/>
      <c r="G119" s="1317"/>
      <c r="H119" s="1254"/>
      <c r="I119" s="1318"/>
      <c r="J119" s="1254"/>
      <c r="K119" s="1254"/>
      <c r="L119" s="1254"/>
      <c r="M119" s="1254"/>
      <c r="N119" s="1318"/>
      <c r="O119" s="1386"/>
      <c r="P119" s="1254"/>
      <c r="Q119" s="1254"/>
      <c r="R119" s="1254"/>
      <c r="S119" s="1254"/>
      <c r="T119" s="1254"/>
      <c r="U119" s="1254"/>
      <c r="V119" s="1254"/>
      <c r="W119" s="1254"/>
      <c r="X119" s="1254"/>
      <c r="Y119" s="1254"/>
      <c r="Z119" s="1254"/>
    </row>
    <row r="120">
      <c r="A120" s="1254"/>
      <c r="B120" s="1254"/>
      <c r="C120" s="1320"/>
      <c r="D120" s="1254"/>
      <c r="E120" s="1254"/>
      <c r="F120" s="1263"/>
      <c r="G120" s="1317"/>
      <c r="H120" s="1254"/>
      <c r="I120" s="1318"/>
      <c r="J120" s="1254"/>
      <c r="K120" s="1254"/>
      <c r="L120" s="1254"/>
      <c r="M120" s="1254"/>
      <c r="N120" s="1318"/>
      <c r="O120" s="1386"/>
      <c r="P120" s="1254"/>
      <c r="Q120" s="1254"/>
      <c r="R120" s="1254"/>
      <c r="S120" s="1254"/>
      <c r="T120" s="1254"/>
      <c r="U120" s="1254"/>
      <c r="V120" s="1254"/>
      <c r="W120" s="1254"/>
      <c r="X120" s="1254"/>
      <c r="Y120" s="1254"/>
      <c r="Z120" s="1254"/>
    </row>
    <row r="121">
      <c r="A121" s="1254"/>
      <c r="B121" s="1254"/>
      <c r="C121" s="1320"/>
      <c r="D121" s="1254"/>
      <c r="E121" s="1254"/>
      <c r="F121" s="1263"/>
      <c r="G121" s="1317"/>
      <c r="H121" s="1254"/>
      <c r="I121" s="1318"/>
      <c r="J121" s="1254"/>
      <c r="K121" s="1254"/>
      <c r="L121" s="1254"/>
      <c r="M121" s="1254"/>
      <c r="N121" s="1318"/>
      <c r="O121" s="1386"/>
      <c r="P121" s="1254"/>
      <c r="Q121" s="1254"/>
      <c r="R121" s="1254"/>
      <c r="S121" s="1254"/>
      <c r="T121" s="1254"/>
      <c r="U121" s="1254"/>
      <c r="V121" s="1254"/>
      <c r="W121" s="1254"/>
      <c r="X121" s="1254"/>
      <c r="Y121" s="1254"/>
      <c r="Z121" s="1254"/>
    </row>
    <row r="122">
      <c r="A122" s="1254"/>
      <c r="B122" s="1254"/>
      <c r="C122" s="1320"/>
      <c r="D122" s="1254"/>
      <c r="E122" s="1254"/>
      <c r="F122" s="1263"/>
      <c r="G122" s="1317"/>
      <c r="H122" s="1254"/>
      <c r="I122" s="1318"/>
      <c r="J122" s="1254"/>
      <c r="K122" s="1254"/>
      <c r="L122" s="1254"/>
      <c r="M122" s="1254"/>
      <c r="N122" s="1318"/>
      <c r="O122" s="1386"/>
      <c r="P122" s="1254"/>
      <c r="Q122" s="1254"/>
      <c r="R122" s="1254"/>
      <c r="S122" s="1254"/>
      <c r="T122" s="1254"/>
      <c r="U122" s="1254"/>
      <c r="V122" s="1254"/>
      <c r="W122" s="1254"/>
      <c r="X122" s="1254"/>
      <c r="Y122" s="1254"/>
      <c r="Z122" s="1254"/>
    </row>
    <row r="123">
      <c r="A123" s="1254"/>
      <c r="B123" s="1254"/>
      <c r="C123" s="1320"/>
      <c r="D123" s="1254"/>
      <c r="E123" s="1254"/>
      <c r="F123" s="1263"/>
      <c r="G123" s="1317"/>
      <c r="H123" s="1254"/>
      <c r="I123" s="1318"/>
      <c r="J123" s="1254"/>
      <c r="K123" s="1254"/>
      <c r="L123" s="1254"/>
      <c r="M123" s="1254"/>
      <c r="N123" s="1318"/>
      <c r="O123" s="1386"/>
      <c r="P123" s="1254"/>
      <c r="Q123" s="1254"/>
      <c r="R123" s="1254"/>
      <c r="S123" s="1254"/>
      <c r="T123" s="1254"/>
      <c r="U123" s="1254"/>
      <c r="V123" s="1254"/>
      <c r="W123" s="1254"/>
      <c r="X123" s="1254"/>
      <c r="Y123" s="1254"/>
      <c r="Z123" s="1254"/>
    </row>
    <row r="124">
      <c r="A124" s="1254"/>
      <c r="B124" s="1254"/>
      <c r="C124" s="1320"/>
      <c r="D124" s="1254"/>
      <c r="E124" s="1254"/>
      <c r="F124" s="1263"/>
      <c r="G124" s="1317"/>
      <c r="H124" s="1254"/>
      <c r="I124" s="1318"/>
      <c r="J124" s="1254"/>
      <c r="K124" s="1254"/>
      <c r="L124" s="1254"/>
      <c r="M124" s="1254"/>
      <c r="N124" s="1318"/>
      <c r="O124" s="1386"/>
      <c r="P124" s="1254"/>
      <c r="Q124" s="1254"/>
      <c r="R124" s="1254"/>
      <c r="S124" s="1254"/>
      <c r="T124" s="1254"/>
      <c r="U124" s="1254"/>
      <c r="V124" s="1254"/>
      <c r="W124" s="1254"/>
      <c r="X124" s="1254"/>
      <c r="Y124" s="1254"/>
      <c r="Z124" s="1254"/>
    </row>
    <row r="125">
      <c r="A125" s="1254"/>
      <c r="B125" s="1254"/>
      <c r="C125" s="1320"/>
      <c r="D125" s="1254"/>
      <c r="E125" s="1254"/>
      <c r="F125" s="1263"/>
      <c r="G125" s="1317"/>
      <c r="H125" s="1254"/>
      <c r="I125" s="1318"/>
      <c r="J125" s="1254"/>
      <c r="K125" s="1254"/>
      <c r="L125" s="1254"/>
      <c r="M125" s="1254"/>
      <c r="N125" s="1318"/>
      <c r="O125" s="1386"/>
      <c r="P125" s="1254"/>
      <c r="Q125" s="1254"/>
      <c r="R125" s="1254"/>
      <c r="S125" s="1254"/>
      <c r="T125" s="1254"/>
      <c r="U125" s="1254"/>
      <c r="V125" s="1254"/>
      <c r="W125" s="1254"/>
      <c r="X125" s="1254"/>
      <c r="Y125" s="1254"/>
      <c r="Z125" s="1254"/>
    </row>
    <row r="126">
      <c r="A126" s="1254"/>
      <c r="B126" s="1254"/>
      <c r="C126" s="1320"/>
      <c r="D126" s="1254"/>
      <c r="E126" s="1254"/>
      <c r="F126" s="1263"/>
      <c r="G126" s="1317"/>
      <c r="H126" s="1254"/>
      <c r="I126" s="1318"/>
      <c r="J126" s="1254"/>
      <c r="K126" s="1254"/>
      <c r="L126" s="1254"/>
      <c r="M126" s="1254"/>
      <c r="N126" s="1318"/>
      <c r="O126" s="1386"/>
      <c r="P126" s="1254"/>
      <c r="Q126" s="1254"/>
      <c r="R126" s="1254"/>
      <c r="S126" s="1254"/>
      <c r="T126" s="1254"/>
      <c r="U126" s="1254"/>
      <c r="V126" s="1254"/>
      <c r="W126" s="1254"/>
      <c r="X126" s="1254"/>
      <c r="Y126" s="1254"/>
      <c r="Z126" s="1254"/>
    </row>
    <row r="127">
      <c r="A127" s="1254"/>
      <c r="B127" s="1254"/>
      <c r="C127" s="1320"/>
      <c r="D127" s="1254"/>
      <c r="E127" s="1254"/>
      <c r="F127" s="1263"/>
      <c r="G127" s="1317"/>
      <c r="H127" s="1254"/>
      <c r="I127" s="1318"/>
      <c r="J127" s="1254"/>
      <c r="K127" s="1254"/>
      <c r="L127" s="1254"/>
      <c r="M127" s="1254"/>
      <c r="N127" s="1318"/>
      <c r="O127" s="1386"/>
      <c r="P127" s="1254"/>
      <c r="Q127" s="1254"/>
      <c r="R127" s="1254"/>
      <c r="S127" s="1254"/>
      <c r="T127" s="1254"/>
      <c r="U127" s="1254"/>
      <c r="V127" s="1254"/>
      <c r="W127" s="1254"/>
      <c r="X127" s="1254"/>
      <c r="Y127" s="1254"/>
      <c r="Z127" s="1254"/>
    </row>
    <row r="128">
      <c r="A128" s="1254"/>
      <c r="B128" s="1254"/>
      <c r="C128" s="1320"/>
      <c r="D128" s="1254"/>
      <c r="E128" s="1254"/>
      <c r="F128" s="1263"/>
      <c r="G128" s="1317"/>
      <c r="H128" s="1254"/>
      <c r="I128" s="1318"/>
      <c r="J128" s="1254"/>
      <c r="K128" s="1254"/>
      <c r="L128" s="1254"/>
      <c r="M128" s="1254"/>
      <c r="N128" s="1318"/>
      <c r="O128" s="1386"/>
      <c r="P128" s="1254"/>
      <c r="Q128" s="1254"/>
      <c r="R128" s="1254"/>
      <c r="S128" s="1254"/>
      <c r="T128" s="1254"/>
      <c r="U128" s="1254"/>
      <c r="V128" s="1254"/>
      <c r="W128" s="1254"/>
      <c r="X128" s="1254"/>
      <c r="Y128" s="1254"/>
      <c r="Z128" s="1254"/>
    </row>
    <row r="129">
      <c r="A129" s="1254"/>
      <c r="B129" s="1254"/>
      <c r="C129" s="1320"/>
      <c r="D129" s="1254"/>
      <c r="E129" s="1254"/>
      <c r="F129" s="1263"/>
      <c r="G129" s="1317"/>
      <c r="H129" s="1254"/>
      <c r="I129" s="1318"/>
      <c r="J129" s="1254"/>
      <c r="K129" s="1254"/>
      <c r="L129" s="1254"/>
      <c r="M129" s="1254"/>
      <c r="N129" s="1318"/>
      <c r="O129" s="1386"/>
      <c r="P129" s="1254"/>
      <c r="Q129" s="1254"/>
      <c r="R129" s="1254"/>
      <c r="S129" s="1254"/>
      <c r="T129" s="1254"/>
      <c r="U129" s="1254"/>
      <c r="V129" s="1254"/>
      <c r="W129" s="1254"/>
      <c r="X129" s="1254"/>
      <c r="Y129" s="1254"/>
      <c r="Z129" s="1254"/>
    </row>
    <row r="130">
      <c r="A130" s="1254"/>
      <c r="B130" s="1254"/>
      <c r="C130" s="1320"/>
      <c r="D130" s="1254"/>
      <c r="E130" s="1254"/>
      <c r="F130" s="1263"/>
      <c r="G130" s="1317"/>
      <c r="H130" s="1254"/>
      <c r="I130" s="1318"/>
      <c r="J130" s="1254"/>
      <c r="K130" s="1254"/>
      <c r="L130" s="1254"/>
      <c r="M130" s="1254"/>
      <c r="N130" s="1318"/>
      <c r="O130" s="1386"/>
      <c r="P130" s="1254"/>
      <c r="Q130" s="1254"/>
      <c r="R130" s="1254"/>
      <c r="S130" s="1254"/>
      <c r="T130" s="1254"/>
      <c r="U130" s="1254"/>
      <c r="V130" s="1254"/>
      <c r="W130" s="1254"/>
      <c r="X130" s="1254"/>
      <c r="Y130" s="1254"/>
      <c r="Z130" s="1254"/>
    </row>
    <row r="131">
      <c r="A131" s="1254"/>
      <c r="B131" s="1254"/>
      <c r="C131" s="1320"/>
      <c r="D131" s="1254"/>
      <c r="E131" s="1254"/>
      <c r="F131" s="1263"/>
      <c r="G131" s="1317"/>
      <c r="H131" s="1254"/>
      <c r="I131" s="1318"/>
      <c r="J131" s="1254"/>
      <c r="K131" s="1254"/>
      <c r="L131" s="1254"/>
      <c r="M131" s="1254"/>
      <c r="N131" s="1318"/>
      <c r="O131" s="1386"/>
      <c r="P131" s="1254"/>
      <c r="Q131" s="1254"/>
      <c r="R131" s="1254"/>
      <c r="S131" s="1254"/>
      <c r="T131" s="1254"/>
      <c r="U131" s="1254"/>
      <c r="V131" s="1254"/>
      <c r="W131" s="1254"/>
      <c r="X131" s="1254"/>
      <c r="Y131" s="1254"/>
      <c r="Z131" s="1254"/>
    </row>
    <row r="132">
      <c r="A132" s="1254"/>
      <c r="B132" s="1254"/>
      <c r="C132" s="1320"/>
      <c r="D132" s="1254"/>
      <c r="E132" s="1254"/>
      <c r="F132" s="1263"/>
      <c r="G132" s="1317"/>
      <c r="H132" s="1254"/>
      <c r="I132" s="1318"/>
      <c r="J132" s="1254"/>
      <c r="K132" s="1254"/>
      <c r="L132" s="1254"/>
      <c r="M132" s="1254"/>
      <c r="N132" s="1318"/>
      <c r="O132" s="1386"/>
      <c r="P132" s="1254"/>
      <c r="Q132" s="1254"/>
      <c r="R132" s="1254"/>
      <c r="S132" s="1254"/>
      <c r="T132" s="1254"/>
      <c r="U132" s="1254"/>
      <c r="V132" s="1254"/>
      <c r="W132" s="1254"/>
      <c r="X132" s="1254"/>
      <c r="Y132" s="1254"/>
      <c r="Z132" s="1254"/>
    </row>
    <row r="133">
      <c r="A133" s="1254"/>
      <c r="B133" s="1254"/>
      <c r="C133" s="1320"/>
      <c r="D133" s="1254"/>
      <c r="E133" s="1254"/>
      <c r="F133" s="1263"/>
      <c r="G133" s="1317"/>
      <c r="H133" s="1254"/>
      <c r="I133" s="1318"/>
      <c r="J133" s="1254"/>
      <c r="K133" s="1254"/>
      <c r="L133" s="1254"/>
      <c r="M133" s="1254"/>
      <c r="N133" s="1318"/>
      <c r="O133" s="1386"/>
      <c r="P133" s="1254"/>
      <c r="Q133" s="1254"/>
      <c r="R133" s="1254"/>
      <c r="S133" s="1254"/>
      <c r="T133" s="1254"/>
      <c r="U133" s="1254"/>
      <c r="V133" s="1254"/>
      <c r="W133" s="1254"/>
      <c r="X133" s="1254"/>
      <c r="Y133" s="1254"/>
      <c r="Z133" s="1254"/>
    </row>
    <row r="134">
      <c r="A134" s="1254"/>
      <c r="B134" s="1254"/>
      <c r="C134" s="1320"/>
      <c r="D134" s="1254"/>
      <c r="E134" s="1254"/>
      <c r="F134" s="1263"/>
      <c r="G134" s="1317"/>
      <c r="H134" s="1254"/>
      <c r="I134" s="1318"/>
      <c r="J134" s="1254"/>
      <c r="K134" s="1254"/>
      <c r="L134" s="1254"/>
      <c r="M134" s="1254"/>
      <c r="N134" s="1318"/>
      <c r="O134" s="1386"/>
      <c r="P134" s="1254"/>
      <c r="Q134" s="1254"/>
      <c r="R134" s="1254"/>
      <c r="S134" s="1254"/>
      <c r="T134" s="1254"/>
      <c r="U134" s="1254"/>
      <c r="V134" s="1254"/>
      <c r="W134" s="1254"/>
      <c r="X134" s="1254"/>
      <c r="Y134" s="1254"/>
      <c r="Z134" s="1254"/>
    </row>
    <row r="135">
      <c r="A135" s="1254"/>
      <c r="B135" s="1254"/>
      <c r="C135" s="1320"/>
      <c r="D135" s="1254"/>
      <c r="E135" s="1254"/>
      <c r="F135" s="1263"/>
      <c r="G135" s="1317"/>
      <c r="H135" s="1254"/>
      <c r="I135" s="1318"/>
      <c r="J135" s="1254"/>
      <c r="K135" s="1254"/>
      <c r="L135" s="1254"/>
      <c r="M135" s="1254"/>
      <c r="N135" s="1318"/>
      <c r="O135" s="1386"/>
      <c r="P135" s="1254"/>
      <c r="Q135" s="1254"/>
      <c r="R135" s="1254"/>
      <c r="S135" s="1254"/>
      <c r="T135" s="1254"/>
      <c r="U135" s="1254"/>
      <c r="V135" s="1254"/>
      <c r="W135" s="1254"/>
      <c r="X135" s="1254"/>
      <c r="Y135" s="1254"/>
      <c r="Z135" s="1254"/>
    </row>
    <row r="136">
      <c r="A136" s="1254"/>
      <c r="B136" s="1254"/>
      <c r="C136" s="1320"/>
      <c r="D136" s="1254"/>
      <c r="E136" s="1254"/>
      <c r="F136" s="1263"/>
      <c r="G136" s="1317"/>
      <c r="H136" s="1254"/>
      <c r="I136" s="1318"/>
      <c r="J136" s="1254"/>
      <c r="K136" s="1254"/>
      <c r="L136" s="1254"/>
      <c r="M136" s="1254"/>
      <c r="N136" s="1318"/>
      <c r="O136" s="1386"/>
      <c r="P136" s="1254"/>
      <c r="Q136" s="1254"/>
      <c r="R136" s="1254"/>
      <c r="S136" s="1254"/>
      <c r="T136" s="1254"/>
      <c r="U136" s="1254"/>
      <c r="V136" s="1254"/>
      <c r="W136" s="1254"/>
      <c r="X136" s="1254"/>
      <c r="Y136" s="1254"/>
      <c r="Z136" s="1254"/>
    </row>
    <row r="137">
      <c r="A137" s="1254"/>
      <c r="B137" s="1254"/>
      <c r="C137" s="1320"/>
      <c r="D137" s="1254"/>
      <c r="E137" s="1254"/>
      <c r="F137" s="1263"/>
      <c r="G137" s="1317"/>
      <c r="H137" s="1254"/>
      <c r="I137" s="1318"/>
      <c r="J137" s="1254"/>
      <c r="K137" s="1254"/>
      <c r="L137" s="1254"/>
      <c r="M137" s="1254"/>
      <c r="N137" s="1318"/>
      <c r="O137" s="1386"/>
      <c r="P137" s="1254"/>
      <c r="Q137" s="1254"/>
      <c r="R137" s="1254"/>
      <c r="S137" s="1254"/>
      <c r="T137" s="1254"/>
      <c r="U137" s="1254"/>
      <c r="V137" s="1254"/>
      <c r="W137" s="1254"/>
      <c r="X137" s="1254"/>
      <c r="Y137" s="1254"/>
      <c r="Z137" s="1254"/>
    </row>
    <row r="138">
      <c r="A138" s="1254"/>
      <c r="B138" s="1254"/>
      <c r="C138" s="1320"/>
      <c r="D138" s="1254"/>
      <c r="E138" s="1254"/>
      <c r="F138" s="1263"/>
      <c r="G138" s="1317"/>
      <c r="H138" s="1254"/>
      <c r="I138" s="1318"/>
      <c r="J138" s="1254"/>
      <c r="K138" s="1254"/>
      <c r="L138" s="1254"/>
      <c r="M138" s="1254"/>
      <c r="N138" s="1318"/>
      <c r="O138" s="1386"/>
      <c r="P138" s="1254"/>
      <c r="Q138" s="1254"/>
      <c r="R138" s="1254"/>
      <c r="S138" s="1254"/>
      <c r="T138" s="1254"/>
      <c r="U138" s="1254"/>
      <c r="V138" s="1254"/>
      <c r="W138" s="1254"/>
      <c r="X138" s="1254"/>
      <c r="Y138" s="1254"/>
      <c r="Z138" s="1254"/>
    </row>
    <row r="139">
      <c r="A139" s="1254"/>
      <c r="B139" s="1254"/>
      <c r="C139" s="1320"/>
      <c r="D139" s="1254"/>
      <c r="E139" s="1254"/>
      <c r="F139" s="1263"/>
      <c r="G139" s="1317"/>
      <c r="H139" s="1254"/>
      <c r="I139" s="1318"/>
      <c r="J139" s="1254"/>
      <c r="K139" s="1254"/>
      <c r="L139" s="1254"/>
      <c r="M139" s="1254"/>
      <c r="N139" s="1318"/>
      <c r="O139" s="1386"/>
      <c r="P139" s="1254"/>
      <c r="Q139" s="1254"/>
      <c r="R139" s="1254"/>
      <c r="S139" s="1254"/>
      <c r="T139" s="1254"/>
      <c r="U139" s="1254"/>
      <c r="V139" s="1254"/>
      <c r="W139" s="1254"/>
      <c r="X139" s="1254"/>
      <c r="Y139" s="1254"/>
      <c r="Z139" s="1254"/>
    </row>
    <row r="140">
      <c r="A140" s="1254"/>
      <c r="B140" s="1254"/>
      <c r="C140" s="1320"/>
      <c r="D140" s="1254"/>
      <c r="E140" s="1254"/>
      <c r="F140" s="1263"/>
      <c r="G140" s="1317"/>
      <c r="H140" s="1254"/>
      <c r="I140" s="1318"/>
      <c r="J140" s="1254"/>
      <c r="K140" s="1254"/>
      <c r="L140" s="1254"/>
      <c r="M140" s="1254"/>
      <c r="N140" s="1318"/>
      <c r="O140" s="1386"/>
      <c r="P140" s="1254"/>
      <c r="Q140" s="1254"/>
      <c r="R140" s="1254"/>
      <c r="S140" s="1254"/>
      <c r="T140" s="1254"/>
      <c r="U140" s="1254"/>
      <c r="V140" s="1254"/>
      <c r="W140" s="1254"/>
      <c r="X140" s="1254"/>
      <c r="Y140" s="1254"/>
      <c r="Z140" s="1254"/>
    </row>
    <row r="141">
      <c r="A141" s="1254"/>
      <c r="B141" s="1254"/>
      <c r="C141" s="1320"/>
      <c r="D141" s="1254"/>
      <c r="E141" s="1254"/>
      <c r="F141" s="1263"/>
      <c r="G141" s="1317"/>
      <c r="H141" s="1254"/>
      <c r="I141" s="1318"/>
      <c r="J141" s="1254"/>
      <c r="K141" s="1254"/>
      <c r="L141" s="1254"/>
      <c r="M141" s="1254"/>
      <c r="N141" s="1318"/>
      <c r="O141" s="1386"/>
      <c r="P141" s="1254"/>
      <c r="Q141" s="1254"/>
      <c r="R141" s="1254"/>
      <c r="S141" s="1254"/>
      <c r="T141" s="1254"/>
      <c r="U141" s="1254"/>
      <c r="V141" s="1254"/>
      <c r="W141" s="1254"/>
      <c r="X141" s="1254"/>
      <c r="Y141" s="1254"/>
      <c r="Z141" s="1254"/>
    </row>
    <row r="142">
      <c r="A142" s="1254"/>
      <c r="B142" s="1254"/>
      <c r="C142" s="1320"/>
      <c r="D142" s="1254"/>
      <c r="E142" s="1254"/>
      <c r="F142" s="1263"/>
      <c r="G142" s="1317"/>
      <c r="H142" s="1254"/>
      <c r="I142" s="1318"/>
      <c r="J142" s="1254"/>
      <c r="K142" s="1254"/>
      <c r="L142" s="1254"/>
      <c r="M142" s="1254"/>
      <c r="N142" s="1318"/>
      <c r="O142" s="1386"/>
      <c r="P142" s="1254"/>
      <c r="Q142" s="1254"/>
      <c r="R142" s="1254"/>
      <c r="S142" s="1254"/>
      <c r="T142" s="1254"/>
      <c r="U142" s="1254"/>
      <c r="V142" s="1254"/>
      <c r="W142" s="1254"/>
      <c r="X142" s="1254"/>
      <c r="Y142" s="1254"/>
      <c r="Z142" s="1254"/>
    </row>
    <row r="143">
      <c r="A143" s="1254"/>
      <c r="B143" s="1254"/>
      <c r="C143" s="1320"/>
      <c r="D143" s="1254"/>
      <c r="E143" s="1254"/>
      <c r="F143" s="1263"/>
      <c r="G143" s="1317"/>
      <c r="H143" s="1254"/>
      <c r="I143" s="1318"/>
      <c r="J143" s="1254"/>
      <c r="K143" s="1254"/>
      <c r="L143" s="1254"/>
      <c r="M143" s="1254"/>
      <c r="N143" s="1318"/>
      <c r="O143" s="1386"/>
      <c r="P143" s="1254"/>
      <c r="Q143" s="1254"/>
      <c r="R143" s="1254"/>
      <c r="S143" s="1254"/>
      <c r="T143" s="1254"/>
      <c r="U143" s="1254"/>
      <c r="V143" s="1254"/>
      <c r="W143" s="1254"/>
      <c r="X143" s="1254"/>
      <c r="Y143" s="1254"/>
      <c r="Z143" s="1254"/>
    </row>
    <row r="144">
      <c r="A144" s="1254"/>
      <c r="B144" s="1254"/>
      <c r="C144" s="1320"/>
      <c r="D144" s="1254"/>
      <c r="E144" s="1254"/>
      <c r="F144" s="1263"/>
      <c r="G144" s="1317"/>
      <c r="H144" s="1254"/>
      <c r="I144" s="1318"/>
      <c r="J144" s="1254"/>
      <c r="K144" s="1254"/>
      <c r="L144" s="1254"/>
      <c r="M144" s="1254"/>
      <c r="N144" s="1318"/>
      <c r="O144" s="1386"/>
      <c r="P144" s="1254"/>
      <c r="Q144" s="1254"/>
      <c r="R144" s="1254"/>
      <c r="S144" s="1254"/>
      <c r="T144" s="1254"/>
      <c r="U144" s="1254"/>
      <c r="V144" s="1254"/>
      <c r="W144" s="1254"/>
      <c r="X144" s="1254"/>
      <c r="Y144" s="1254"/>
      <c r="Z144" s="1254"/>
    </row>
    <row r="145">
      <c r="A145" s="1254"/>
      <c r="B145" s="1254"/>
      <c r="C145" s="1320"/>
      <c r="D145" s="1254"/>
      <c r="E145" s="1254"/>
      <c r="F145" s="1263"/>
      <c r="G145" s="1317"/>
      <c r="H145" s="1254"/>
      <c r="I145" s="1318"/>
      <c r="J145" s="1254"/>
      <c r="K145" s="1254"/>
      <c r="L145" s="1254"/>
      <c r="M145" s="1254"/>
      <c r="N145" s="1318"/>
      <c r="O145" s="1386"/>
      <c r="P145" s="1254"/>
      <c r="Q145" s="1254"/>
      <c r="R145" s="1254"/>
      <c r="S145" s="1254"/>
      <c r="T145" s="1254"/>
      <c r="U145" s="1254"/>
      <c r="V145" s="1254"/>
      <c r="W145" s="1254"/>
      <c r="X145" s="1254"/>
      <c r="Y145" s="1254"/>
      <c r="Z145" s="1254"/>
    </row>
    <row r="146">
      <c r="A146" s="1254"/>
      <c r="B146" s="1254"/>
      <c r="C146" s="1320"/>
      <c r="D146" s="1254"/>
      <c r="E146" s="1254"/>
      <c r="F146" s="1263"/>
      <c r="G146" s="1317"/>
      <c r="H146" s="1254"/>
      <c r="I146" s="1318"/>
      <c r="J146" s="1254"/>
      <c r="K146" s="1254"/>
      <c r="L146" s="1254"/>
      <c r="M146" s="1254"/>
      <c r="N146" s="1318"/>
      <c r="O146" s="1386"/>
      <c r="P146" s="1254"/>
      <c r="Q146" s="1254"/>
      <c r="R146" s="1254"/>
      <c r="S146" s="1254"/>
      <c r="T146" s="1254"/>
      <c r="U146" s="1254"/>
      <c r="V146" s="1254"/>
      <c r="W146" s="1254"/>
      <c r="X146" s="1254"/>
      <c r="Y146" s="1254"/>
      <c r="Z146" s="1254"/>
    </row>
    <row r="147">
      <c r="A147" s="1254"/>
      <c r="B147" s="1254"/>
      <c r="C147" s="1320"/>
      <c r="D147" s="1254"/>
      <c r="E147" s="1254"/>
      <c r="F147" s="1263"/>
      <c r="G147" s="1317"/>
      <c r="H147" s="1254"/>
      <c r="I147" s="1318"/>
      <c r="J147" s="1254"/>
      <c r="K147" s="1254"/>
      <c r="L147" s="1254"/>
      <c r="M147" s="1254"/>
      <c r="N147" s="1318"/>
      <c r="O147" s="1386"/>
      <c r="P147" s="1254"/>
      <c r="Q147" s="1254"/>
      <c r="R147" s="1254"/>
      <c r="S147" s="1254"/>
      <c r="T147" s="1254"/>
      <c r="U147" s="1254"/>
      <c r="V147" s="1254"/>
      <c r="W147" s="1254"/>
      <c r="X147" s="1254"/>
      <c r="Y147" s="1254"/>
      <c r="Z147" s="1254"/>
    </row>
    <row r="148">
      <c r="A148" s="1254"/>
      <c r="B148" s="1254"/>
      <c r="C148" s="1320"/>
      <c r="D148" s="1254"/>
      <c r="E148" s="1254"/>
      <c r="F148" s="1263"/>
      <c r="G148" s="1317"/>
      <c r="H148" s="1254"/>
      <c r="I148" s="1318"/>
      <c r="J148" s="1254"/>
      <c r="K148" s="1254"/>
      <c r="L148" s="1254"/>
      <c r="M148" s="1254"/>
      <c r="N148" s="1318"/>
      <c r="O148" s="1386"/>
      <c r="P148" s="1254"/>
      <c r="Q148" s="1254"/>
      <c r="R148" s="1254"/>
      <c r="S148" s="1254"/>
      <c r="T148" s="1254"/>
      <c r="U148" s="1254"/>
      <c r="V148" s="1254"/>
      <c r="W148" s="1254"/>
      <c r="X148" s="1254"/>
      <c r="Y148" s="1254"/>
      <c r="Z148" s="1254"/>
    </row>
    <row r="149">
      <c r="A149" s="1254"/>
      <c r="B149" s="1254"/>
      <c r="C149" s="1320"/>
      <c r="D149" s="1254"/>
      <c r="E149" s="1254"/>
      <c r="F149" s="1263"/>
      <c r="G149" s="1317"/>
      <c r="H149" s="1254"/>
      <c r="I149" s="1318"/>
      <c r="J149" s="1254"/>
      <c r="K149" s="1254"/>
      <c r="L149" s="1254"/>
      <c r="M149" s="1254"/>
      <c r="N149" s="1318"/>
      <c r="O149" s="1386"/>
      <c r="P149" s="1254"/>
      <c r="Q149" s="1254"/>
      <c r="R149" s="1254"/>
      <c r="S149" s="1254"/>
      <c r="T149" s="1254"/>
      <c r="U149" s="1254"/>
      <c r="V149" s="1254"/>
      <c r="W149" s="1254"/>
      <c r="X149" s="1254"/>
      <c r="Y149" s="1254"/>
      <c r="Z149" s="1254"/>
    </row>
    <row r="150">
      <c r="A150" s="1254"/>
      <c r="B150" s="1254"/>
      <c r="C150" s="1320"/>
      <c r="D150" s="1254"/>
      <c r="E150" s="1254"/>
      <c r="F150" s="1263"/>
      <c r="G150" s="1317"/>
      <c r="H150" s="1254"/>
      <c r="I150" s="1318"/>
      <c r="J150" s="1254"/>
      <c r="K150" s="1254"/>
      <c r="L150" s="1254"/>
      <c r="M150" s="1254"/>
      <c r="N150" s="1318"/>
      <c r="O150" s="1386"/>
      <c r="P150" s="1254"/>
      <c r="Q150" s="1254"/>
      <c r="R150" s="1254"/>
      <c r="S150" s="1254"/>
      <c r="T150" s="1254"/>
      <c r="U150" s="1254"/>
      <c r="V150" s="1254"/>
      <c r="W150" s="1254"/>
      <c r="X150" s="1254"/>
      <c r="Y150" s="1254"/>
      <c r="Z150" s="1254"/>
    </row>
    <row r="151">
      <c r="A151" s="1254"/>
      <c r="B151" s="1254"/>
      <c r="C151" s="1320"/>
      <c r="D151" s="1254"/>
      <c r="E151" s="1254"/>
      <c r="F151" s="1263"/>
      <c r="G151" s="1317"/>
      <c r="H151" s="1254"/>
      <c r="I151" s="1318"/>
      <c r="J151" s="1254"/>
      <c r="K151" s="1254"/>
      <c r="L151" s="1254"/>
      <c r="M151" s="1254"/>
      <c r="N151" s="1318"/>
      <c r="O151" s="1386"/>
      <c r="P151" s="1254"/>
      <c r="Q151" s="1254"/>
      <c r="R151" s="1254"/>
      <c r="S151" s="1254"/>
      <c r="T151" s="1254"/>
      <c r="U151" s="1254"/>
      <c r="V151" s="1254"/>
      <c r="W151" s="1254"/>
      <c r="X151" s="1254"/>
      <c r="Y151" s="1254"/>
      <c r="Z151" s="1254"/>
    </row>
    <row r="152">
      <c r="A152" s="1254"/>
      <c r="B152" s="1254"/>
      <c r="C152" s="1320"/>
      <c r="D152" s="1254"/>
      <c r="E152" s="1254"/>
      <c r="F152" s="1263"/>
      <c r="G152" s="1317"/>
      <c r="H152" s="1254"/>
      <c r="I152" s="1318"/>
      <c r="J152" s="1254"/>
      <c r="K152" s="1254"/>
      <c r="L152" s="1254"/>
      <c r="M152" s="1254"/>
      <c r="N152" s="1318"/>
      <c r="O152" s="1386"/>
      <c r="P152" s="1254"/>
      <c r="Q152" s="1254"/>
      <c r="R152" s="1254"/>
      <c r="S152" s="1254"/>
      <c r="T152" s="1254"/>
      <c r="U152" s="1254"/>
      <c r="V152" s="1254"/>
      <c r="W152" s="1254"/>
      <c r="X152" s="1254"/>
      <c r="Y152" s="1254"/>
      <c r="Z152" s="1254"/>
    </row>
    <row r="153">
      <c r="A153" s="1254"/>
      <c r="B153" s="1254"/>
      <c r="C153" s="1320"/>
      <c r="D153" s="1254"/>
      <c r="E153" s="1254"/>
      <c r="F153" s="1263"/>
      <c r="G153" s="1317"/>
      <c r="H153" s="1254"/>
      <c r="I153" s="1318"/>
      <c r="J153" s="1254"/>
      <c r="K153" s="1254"/>
      <c r="L153" s="1254"/>
      <c r="M153" s="1254"/>
      <c r="N153" s="1318"/>
      <c r="O153" s="1386"/>
      <c r="P153" s="1254"/>
      <c r="Q153" s="1254"/>
      <c r="R153" s="1254"/>
      <c r="S153" s="1254"/>
      <c r="T153" s="1254"/>
      <c r="U153" s="1254"/>
      <c r="V153" s="1254"/>
      <c r="W153" s="1254"/>
      <c r="X153" s="1254"/>
      <c r="Y153" s="1254"/>
      <c r="Z153" s="1254"/>
    </row>
    <row r="154">
      <c r="A154" s="1254"/>
      <c r="B154" s="1254"/>
      <c r="C154" s="1320"/>
      <c r="D154" s="1254"/>
      <c r="E154" s="1254"/>
      <c r="F154" s="1263"/>
      <c r="G154" s="1317"/>
      <c r="H154" s="1254"/>
      <c r="I154" s="1318"/>
      <c r="J154" s="1254"/>
      <c r="K154" s="1254"/>
      <c r="L154" s="1254"/>
      <c r="M154" s="1254"/>
      <c r="N154" s="1318"/>
      <c r="O154" s="1386"/>
      <c r="P154" s="1254"/>
      <c r="Q154" s="1254"/>
      <c r="R154" s="1254"/>
      <c r="S154" s="1254"/>
      <c r="T154" s="1254"/>
      <c r="U154" s="1254"/>
      <c r="V154" s="1254"/>
      <c r="W154" s="1254"/>
      <c r="X154" s="1254"/>
      <c r="Y154" s="1254"/>
      <c r="Z154" s="1254"/>
    </row>
    <row r="155">
      <c r="A155" s="1254"/>
      <c r="B155" s="1254"/>
      <c r="C155" s="1320"/>
      <c r="D155" s="1254"/>
      <c r="E155" s="1254"/>
      <c r="F155" s="1263"/>
      <c r="G155" s="1317"/>
      <c r="H155" s="1254"/>
      <c r="I155" s="1318"/>
      <c r="J155" s="1254"/>
      <c r="K155" s="1254"/>
      <c r="L155" s="1254"/>
      <c r="M155" s="1254"/>
      <c r="N155" s="1318"/>
      <c r="O155" s="1386"/>
      <c r="P155" s="1254"/>
      <c r="Q155" s="1254"/>
      <c r="R155" s="1254"/>
      <c r="S155" s="1254"/>
      <c r="T155" s="1254"/>
      <c r="U155" s="1254"/>
      <c r="V155" s="1254"/>
      <c r="W155" s="1254"/>
      <c r="X155" s="1254"/>
      <c r="Y155" s="1254"/>
      <c r="Z155" s="1254"/>
    </row>
    <row r="156">
      <c r="A156" s="1254"/>
      <c r="B156" s="1254"/>
      <c r="C156" s="1320"/>
      <c r="D156" s="1254"/>
      <c r="E156" s="1254"/>
      <c r="F156" s="1263"/>
      <c r="G156" s="1317"/>
      <c r="H156" s="1254"/>
      <c r="I156" s="1318"/>
      <c r="J156" s="1254"/>
      <c r="K156" s="1254"/>
      <c r="L156" s="1254"/>
      <c r="M156" s="1254"/>
      <c r="N156" s="1318"/>
      <c r="O156" s="1386"/>
      <c r="P156" s="1254"/>
      <c r="Q156" s="1254"/>
      <c r="R156" s="1254"/>
      <c r="S156" s="1254"/>
      <c r="T156" s="1254"/>
      <c r="U156" s="1254"/>
      <c r="V156" s="1254"/>
      <c r="W156" s="1254"/>
      <c r="X156" s="1254"/>
      <c r="Y156" s="1254"/>
      <c r="Z156" s="1254"/>
    </row>
    <row r="157">
      <c r="A157" s="1254"/>
      <c r="B157" s="1254"/>
      <c r="C157" s="1320"/>
      <c r="D157" s="1254"/>
      <c r="E157" s="1254"/>
      <c r="F157" s="1263"/>
      <c r="G157" s="1317"/>
      <c r="H157" s="1254"/>
      <c r="I157" s="1318"/>
      <c r="J157" s="1254"/>
      <c r="K157" s="1254"/>
      <c r="L157" s="1254"/>
      <c r="M157" s="1254"/>
      <c r="N157" s="1318"/>
      <c r="O157" s="1386"/>
      <c r="P157" s="1254"/>
      <c r="Q157" s="1254"/>
      <c r="R157" s="1254"/>
      <c r="S157" s="1254"/>
      <c r="T157" s="1254"/>
      <c r="U157" s="1254"/>
      <c r="V157" s="1254"/>
      <c r="W157" s="1254"/>
      <c r="X157" s="1254"/>
      <c r="Y157" s="1254"/>
      <c r="Z157" s="1254"/>
    </row>
    <row r="158">
      <c r="A158" s="1254"/>
      <c r="B158" s="1254"/>
      <c r="C158" s="1320"/>
      <c r="D158" s="1254"/>
      <c r="E158" s="1254"/>
      <c r="F158" s="1263"/>
      <c r="G158" s="1317"/>
      <c r="H158" s="1254"/>
      <c r="I158" s="1318"/>
      <c r="J158" s="1254"/>
      <c r="K158" s="1254"/>
      <c r="L158" s="1254"/>
      <c r="M158" s="1254"/>
      <c r="N158" s="1318"/>
      <c r="O158" s="1386"/>
      <c r="P158" s="1254"/>
      <c r="Q158" s="1254"/>
      <c r="R158" s="1254"/>
      <c r="S158" s="1254"/>
      <c r="T158" s="1254"/>
      <c r="U158" s="1254"/>
      <c r="V158" s="1254"/>
      <c r="W158" s="1254"/>
      <c r="X158" s="1254"/>
      <c r="Y158" s="1254"/>
      <c r="Z158" s="1254"/>
    </row>
    <row r="159">
      <c r="A159" s="1254"/>
      <c r="B159" s="1254"/>
      <c r="C159" s="1320"/>
      <c r="D159" s="1254"/>
      <c r="E159" s="1254"/>
      <c r="F159" s="1263"/>
      <c r="G159" s="1317"/>
      <c r="H159" s="1254"/>
      <c r="I159" s="1318"/>
      <c r="J159" s="1254"/>
      <c r="K159" s="1254"/>
      <c r="L159" s="1254"/>
      <c r="M159" s="1254"/>
      <c r="N159" s="1318"/>
      <c r="O159" s="1386"/>
      <c r="P159" s="1254"/>
      <c r="Q159" s="1254"/>
      <c r="R159" s="1254"/>
      <c r="S159" s="1254"/>
      <c r="T159" s="1254"/>
      <c r="U159" s="1254"/>
      <c r="V159" s="1254"/>
      <c r="W159" s="1254"/>
      <c r="X159" s="1254"/>
      <c r="Y159" s="1254"/>
      <c r="Z159" s="1254"/>
    </row>
    <row r="160">
      <c r="A160" s="1254"/>
      <c r="B160" s="1254"/>
      <c r="C160" s="1320"/>
      <c r="D160" s="1254"/>
      <c r="E160" s="1254"/>
      <c r="F160" s="1263"/>
      <c r="G160" s="1317"/>
      <c r="H160" s="1254"/>
      <c r="I160" s="1318"/>
      <c r="J160" s="1254"/>
      <c r="K160" s="1254"/>
      <c r="L160" s="1254"/>
      <c r="M160" s="1254"/>
      <c r="N160" s="1318"/>
      <c r="O160" s="1386"/>
      <c r="P160" s="1254"/>
      <c r="Q160" s="1254"/>
      <c r="R160" s="1254"/>
      <c r="S160" s="1254"/>
      <c r="T160" s="1254"/>
      <c r="U160" s="1254"/>
      <c r="V160" s="1254"/>
      <c r="W160" s="1254"/>
      <c r="X160" s="1254"/>
      <c r="Y160" s="1254"/>
      <c r="Z160" s="1254"/>
    </row>
    <row r="161">
      <c r="A161" s="1254"/>
      <c r="B161" s="1254"/>
      <c r="C161" s="1320"/>
      <c r="D161" s="1254"/>
      <c r="E161" s="1254"/>
      <c r="F161" s="1263"/>
      <c r="G161" s="1317"/>
      <c r="H161" s="1254"/>
      <c r="I161" s="1318"/>
      <c r="J161" s="1254"/>
      <c r="K161" s="1254"/>
      <c r="L161" s="1254"/>
      <c r="M161" s="1254"/>
      <c r="N161" s="1318"/>
      <c r="O161" s="1386"/>
      <c r="P161" s="1254"/>
      <c r="Q161" s="1254"/>
      <c r="R161" s="1254"/>
      <c r="S161" s="1254"/>
      <c r="T161" s="1254"/>
      <c r="U161" s="1254"/>
      <c r="V161" s="1254"/>
      <c r="W161" s="1254"/>
      <c r="X161" s="1254"/>
      <c r="Y161" s="1254"/>
      <c r="Z161" s="1254"/>
    </row>
    <row r="162">
      <c r="A162" s="1254"/>
      <c r="B162" s="1254"/>
      <c r="C162" s="1320"/>
      <c r="D162" s="1254"/>
      <c r="E162" s="1254"/>
      <c r="F162" s="1263"/>
      <c r="G162" s="1317"/>
      <c r="H162" s="1254"/>
      <c r="I162" s="1318"/>
      <c r="J162" s="1254"/>
      <c r="K162" s="1254"/>
      <c r="L162" s="1254"/>
      <c r="M162" s="1254"/>
      <c r="N162" s="1318"/>
      <c r="O162" s="1386"/>
      <c r="P162" s="1254"/>
      <c r="Q162" s="1254"/>
      <c r="R162" s="1254"/>
      <c r="S162" s="1254"/>
      <c r="T162" s="1254"/>
      <c r="U162" s="1254"/>
      <c r="V162" s="1254"/>
      <c r="W162" s="1254"/>
      <c r="X162" s="1254"/>
      <c r="Y162" s="1254"/>
      <c r="Z162" s="1254"/>
    </row>
    <row r="163">
      <c r="A163" s="1254"/>
      <c r="B163" s="1254"/>
      <c r="C163" s="1320"/>
      <c r="D163" s="1254"/>
      <c r="E163" s="1254"/>
      <c r="F163" s="1263"/>
      <c r="G163" s="1317"/>
      <c r="H163" s="1254"/>
      <c r="I163" s="1318"/>
      <c r="J163" s="1254"/>
      <c r="K163" s="1254"/>
      <c r="L163" s="1254"/>
      <c r="M163" s="1254"/>
      <c r="N163" s="1318"/>
      <c r="O163" s="1386"/>
      <c r="P163" s="1254"/>
      <c r="Q163" s="1254"/>
      <c r="R163" s="1254"/>
      <c r="S163" s="1254"/>
      <c r="T163" s="1254"/>
      <c r="U163" s="1254"/>
      <c r="V163" s="1254"/>
      <c r="W163" s="1254"/>
      <c r="X163" s="1254"/>
      <c r="Y163" s="1254"/>
      <c r="Z163" s="1254"/>
    </row>
    <row r="164">
      <c r="A164" s="1254"/>
      <c r="B164" s="1254"/>
      <c r="C164" s="1320"/>
      <c r="D164" s="1254"/>
      <c r="E164" s="1254"/>
      <c r="F164" s="1263"/>
      <c r="G164" s="1317"/>
      <c r="H164" s="1254"/>
      <c r="I164" s="1318"/>
      <c r="J164" s="1254"/>
      <c r="K164" s="1254"/>
      <c r="L164" s="1254"/>
      <c r="M164" s="1254"/>
      <c r="N164" s="1318"/>
      <c r="O164" s="1386"/>
      <c r="P164" s="1254"/>
      <c r="Q164" s="1254"/>
      <c r="R164" s="1254"/>
      <c r="S164" s="1254"/>
      <c r="T164" s="1254"/>
      <c r="U164" s="1254"/>
      <c r="V164" s="1254"/>
      <c r="W164" s="1254"/>
      <c r="X164" s="1254"/>
      <c r="Y164" s="1254"/>
      <c r="Z164" s="1254"/>
    </row>
    <row r="165">
      <c r="A165" s="1254"/>
      <c r="B165" s="1254"/>
      <c r="C165" s="1320"/>
      <c r="D165" s="1254"/>
      <c r="E165" s="1254"/>
      <c r="F165" s="1263"/>
      <c r="G165" s="1317"/>
      <c r="H165" s="1254"/>
      <c r="I165" s="1318"/>
      <c r="J165" s="1254"/>
      <c r="K165" s="1254"/>
      <c r="L165" s="1254"/>
      <c r="M165" s="1254"/>
      <c r="N165" s="1318"/>
      <c r="O165" s="1386"/>
      <c r="P165" s="1254"/>
      <c r="Q165" s="1254"/>
      <c r="R165" s="1254"/>
      <c r="S165" s="1254"/>
      <c r="T165" s="1254"/>
      <c r="U165" s="1254"/>
      <c r="V165" s="1254"/>
      <c r="W165" s="1254"/>
      <c r="X165" s="1254"/>
      <c r="Y165" s="1254"/>
      <c r="Z165" s="1254"/>
    </row>
    <row r="166">
      <c r="A166" s="1254"/>
      <c r="B166" s="1254"/>
      <c r="C166" s="1320"/>
      <c r="D166" s="1254"/>
      <c r="E166" s="1254"/>
      <c r="F166" s="1263"/>
      <c r="G166" s="1317"/>
      <c r="H166" s="1254"/>
      <c r="I166" s="1318"/>
      <c r="J166" s="1254"/>
      <c r="K166" s="1254"/>
      <c r="L166" s="1254"/>
      <c r="M166" s="1254"/>
      <c r="N166" s="1318"/>
      <c r="O166" s="1386"/>
      <c r="P166" s="1254"/>
      <c r="Q166" s="1254"/>
      <c r="R166" s="1254"/>
      <c r="S166" s="1254"/>
      <c r="T166" s="1254"/>
      <c r="U166" s="1254"/>
      <c r="V166" s="1254"/>
      <c r="W166" s="1254"/>
      <c r="X166" s="1254"/>
      <c r="Y166" s="1254"/>
      <c r="Z166" s="1254"/>
    </row>
    <row r="167">
      <c r="A167" s="1254"/>
      <c r="B167" s="1254"/>
      <c r="C167" s="1320"/>
      <c r="D167" s="1254"/>
      <c r="E167" s="1254"/>
      <c r="F167" s="1263"/>
      <c r="G167" s="1317"/>
      <c r="H167" s="1254"/>
      <c r="I167" s="1318"/>
      <c r="J167" s="1254"/>
      <c r="K167" s="1254"/>
      <c r="L167" s="1254"/>
      <c r="M167" s="1254"/>
      <c r="N167" s="1318"/>
      <c r="O167" s="1386"/>
      <c r="P167" s="1254"/>
      <c r="Q167" s="1254"/>
      <c r="R167" s="1254"/>
      <c r="S167" s="1254"/>
      <c r="T167" s="1254"/>
      <c r="U167" s="1254"/>
      <c r="V167" s="1254"/>
      <c r="W167" s="1254"/>
      <c r="X167" s="1254"/>
      <c r="Y167" s="1254"/>
      <c r="Z167" s="1254"/>
    </row>
    <row r="168">
      <c r="A168" s="1254"/>
      <c r="B168" s="1254"/>
      <c r="C168" s="1320"/>
      <c r="D168" s="1254"/>
      <c r="E168" s="1254"/>
      <c r="F168" s="1263"/>
      <c r="G168" s="1317"/>
      <c r="H168" s="1254"/>
      <c r="I168" s="1318"/>
      <c r="J168" s="1254"/>
      <c r="K168" s="1254"/>
      <c r="L168" s="1254"/>
      <c r="M168" s="1254"/>
      <c r="N168" s="1318"/>
      <c r="O168" s="1386"/>
      <c r="P168" s="1254"/>
      <c r="Q168" s="1254"/>
      <c r="R168" s="1254"/>
      <c r="S168" s="1254"/>
      <c r="T168" s="1254"/>
      <c r="U168" s="1254"/>
      <c r="V168" s="1254"/>
      <c r="W168" s="1254"/>
      <c r="X168" s="1254"/>
      <c r="Y168" s="1254"/>
      <c r="Z168" s="1254"/>
    </row>
    <row r="169">
      <c r="A169" s="1254"/>
      <c r="B169" s="1254"/>
      <c r="C169" s="1320"/>
      <c r="D169" s="1254"/>
      <c r="E169" s="1254"/>
      <c r="F169" s="1263"/>
      <c r="G169" s="1317"/>
      <c r="H169" s="1254"/>
      <c r="I169" s="1318"/>
      <c r="J169" s="1254"/>
      <c r="K169" s="1254"/>
      <c r="L169" s="1254"/>
      <c r="M169" s="1254"/>
      <c r="N169" s="1318"/>
      <c r="O169" s="1386"/>
      <c r="P169" s="1254"/>
      <c r="Q169" s="1254"/>
      <c r="R169" s="1254"/>
      <c r="S169" s="1254"/>
      <c r="T169" s="1254"/>
      <c r="U169" s="1254"/>
      <c r="V169" s="1254"/>
      <c r="W169" s="1254"/>
      <c r="X169" s="1254"/>
      <c r="Y169" s="1254"/>
      <c r="Z169" s="1254"/>
    </row>
    <row r="170">
      <c r="A170" s="1254"/>
      <c r="B170" s="1254"/>
      <c r="C170" s="1320"/>
      <c r="D170" s="1254"/>
      <c r="E170" s="1254"/>
      <c r="F170" s="1263"/>
      <c r="G170" s="1317"/>
      <c r="H170" s="1254"/>
      <c r="I170" s="1318"/>
      <c r="J170" s="1254"/>
      <c r="K170" s="1254"/>
      <c r="L170" s="1254"/>
      <c r="M170" s="1254"/>
      <c r="N170" s="1318"/>
      <c r="O170" s="1386"/>
      <c r="P170" s="1254"/>
      <c r="Q170" s="1254"/>
      <c r="R170" s="1254"/>
      <c r="S170" s="1254"/>
      <c r="T170" s="1254"/>
      <c r="U170" s="1254"/>
      <c r="V170" s="1254"/>
      <c r="W170" s="1254"/>
      <c r="X170" s="1254"/>
      <c r="Y170" s="1254"/>
      <c r="Z170" s="1254"/>
    </row>
    <row r="171">
      <c r="A171" s="1254"/>
      <c r="B171" s="1254"/>
      <c r="C171" s="1320"/>
      <c r="D171" s="1254"/>
      <c r="E171" s="1254"/>
      <c r="F171" s="1263"/>
      <c r="G171" s="1317"/>
      <c r="H171" s="1254"/>
      <c r="I171" s="1318"/>
      <c r="J171" s="1254"/>
      <c r="K171" s="1254"/>
      <c r="L171" s="1254"/>
      <c r="M171" s="1254"/>
      <c r="N171" s="1318"/>
      <c r="O171" s="1386"/>
      <c r="P171" s="1254"/>
      <c r="Q171" s="1254"/>
      <c r="R171" s="1254"/>
      <c r="S171" s="1254"/>
      <c r="T171" s="1254"/>
      <c r="U171" s="1254"/>
      <c r="V171" s="1254"/>
      <c r="W171" s="1254"/>
      <c r="X171" s="1254"/>
      <c r="Y171" s="1254"/>
      <c r="Z171" s="1254"/>
    </row>
    <row r="172">
      <c r="A172" s="1254"/>
      <c r="B172" s="1254"/>
      <c r="C172" s="1320"/>
      <c r="D172" s="1254"/>
      <c r="E172" s="1254"/>
      <c r="F172" s="1263"/>
      <c r="G172" s="1317"/>
      <c r="H172" s="1254"/>
      <c r="I172" s="1318"/>
      <c r="J172" s="1254"/>
      <c r="K172" s="1254"/>
      <c r="L172" s="1254"/>
      <c r="M172" s="1254"/>
      <c r="N172" s="1318"/>
      <c r="O172" s="1386"/>
      <c r="P172" s="1254"/>
      <c r="Q172" s="1254"/>
      <c r="R172" s="1254"/>
      <c r="S172" s="1254"/>
      <c r="T172" s="1254"/>
      <c r="U172" s="1254"/>
      <c r="V172" s="1254"/>
      <c r="W172" s="1254"/>
      <c r="X172" s="1254"/>
      <c r="Y172" s="1254"/>
      <c r="Z172" s="1254"/>
    </row>
    <row r="173">
      <c r="A173" s="1254"/>
      <c r="B173" s="1254"/>
      <c r="C173" s="1320"/>
      <c r="D173" s="1254"/>
      <c r="E173" s="1254"/>
      <c r="F173" s="1263"/>
      <c r="G173" s="1317"/>
      <c r="H173" s="1254"/>
      <c r="I173" s="1318"/>
      <c r="J173" s="1254"/>
      <c r="K173" s="1254"/>
      <c r="L173" s="1254"/>
      <c r="M173" s="1254"/>
      <c r="N173" s="1318"/>
      <c r="O173" s="1386"/>
      <c r="P173" s="1254"/>
      <c r="Q173" s="1254"/>
      <c r="R173" s="1254"/>
      <c r="S173" s="1254"/>
      <c r="T173" s="1254"/>
      <c r="U173" s="1254"/>
      <c r="V173" s="1254"/>
      <c r="W173" s="1254"/>
      <c r="X173" s="1254"/>
      <c r="Y173" s="1254"/>
      <c r="Z173" s="1254"/>
    </row>
    <row r="174">
      <c r="A174" s="1254"/>
      <c r="B174" s="1254"/>
      <c r="C174" s="1320"/>
      <c r="D174" s="1254"/>
      <c r="E174" s="1254"/>
      <c r="F174" s="1263"/>
      <c r="G174" s="1317"/>
      <c r="H174" s="1254"/>
      <c r="I174" s="1318"/>
      <c r="J174" s="1254"/>
      <c r="K174" s="1254"/>
      <c r="L174" s="1254"/>
      <c r="M174" s="1254"/>
      <c r="N174" s="1318"/>
      <c r="O174" s="1386"/>
      <c r="P174" s="1254"/>
      <c r="Q174" s="1254"/>
      <c r="R174" s="1254"/>
      <c r="S174" s="1254"/>
      <c r="T174" s="1254"/>
      <c r="U174" s="1254"/>
      <c r="V174" s="1254"/>
      <c r="W174" s="1254"/>
      <c r="X174" s="1254"/>
      <c r="Y174" s="1254"/>
      <c r="Z174" s="1254"/>
    </row>
    <row r="175">
      <c r="A175" s="1254"/>
      <c r="B175" s="1254"/>
      <c r="C175" s="1320"/>
      <c r="D175" s="1254"/>
      <c r="E175" s="1254"/>
      <c r="F175" s="1263"/>
      <c r="G175" s="1317"/>
      <c r="H175" s="1254"/>
      <c r="I175" s="1318"/>
      <c r="J175" s="1254"/>
      <c r="K175" s="1254"/>
      <c r="L175" s="1254"/>
      <c r="M175" s="1254"/>
      <c r="N175" s="1318"/>
      <c r="O175" s="1386"/>
      <c r="P175" s="1254"/>
      <c r="Q175" s="1254"/>
      <c r="R175" s="1254"/>
      <c r="S175" s="1254"/>
      <c r="T175" s="1254"/>
      <c r="U175" s="1254"/>
      <c r="V175" s="1254"/>
      <c r="W175" s="1254"/>
      <c r="X175" s="1254"/>
      <c r="Y175" s="1254"/>
      <c r="Z175" s="1254"/>
    </row>
    <row r="176">
      <c r="A176" s="1254"/>
      <c r="B176" s="1254"/>
      <c r="C176" s="1320"/>
      <c r="D176" s="1254"/>
      <c r="E176" s="1254"/>
      <c r="F176" s="1263"/>
      <c r="G176" s="1317"/>
      <c r="H176" s="1254"/>
      <c r="I176" s="1318"/>
      <c r="J176" s="1254"/>
      <c r="K176" s="1254"/>
      <c r="L176" s="1254"/>
      <c r="M176" s="1254"/>
      <c r="N176" s="1318"/>
      <c r="O176" s="1386"/>
      <c r="P176" s="1254"/>
      <c r="Q176" s="1254"/>
      <c r="R176" s="1254"/>
      <c r="S176" s="1254"/>
      <c r="T176" s="1254"/>
      <c r="U176" s="1254"/>
      <c r="V176" s="1254"/>
      <c r="W176" s="1254"/>
      <c r="X176" s="1254"/>
      <c r="Y176" s="1254"/>
      <c r="Z176" s="1254"/>
    </row>
    <row r="177">
      <c r="A177" s="1254"/>
      <c r="B177" s="1254"/>
      <c r="C177" s="1320"/>
      <c r="D177" s="1254"/>
      <c r="E177" s="1254"/>
      <c r="F177" s="1263"/>
      <c r="G177" s="1317"/>
      <c r="H177" s="1254"/>
      <c r="I177" s="1318"/>
      <c r="J177" s="1254"/>
      <c r="K177" s="1254"/>
      <c r="L177" s="1254"/>
      <c r="M177" s="1254"/>
      <c r="N177" s="1318"/>
      <c r="O177" s="1386"/>
      <c r="P177" s="1254"/>
      <c r="Q177" s="1254"/>
      <c r="R177" s="1254"/>
      <c r="S177" s="1254"/>
      <c r="T177" s="1254"/>
      <c r="U177" s="1254"/>
      <c r="V177" s="1254"/>
      <c r="W177" s="1254"/>
      <c r="X177" s="1254"/>
      <c r="Y177" s="1254"/>
      <c r="Z177" s="1254"/>
    </row>
    <row r="178">
      <c r="A178" s="1254"/>
      <c r="B178" s="1254"/>
      <c r="C178" s="1320"/>
      <c r="D178" s="1254"/>
      <c r="E178" s="1254"/>
      <c r="F178" s="1263"/>
      <c r="G178" s="1317"/>
      <c r="H178" s="1254"/>
      <c r="I178" s="1318"/>
      <c r="J178" s="1254"/>
      <c r="K178" s="1254"/>
      <c r="L178" s="1254"/>
      <c r="M178" s="1254"/>
      <c r="N178" s="1318"/>
      <c r="O178" s="1386"/>
      <c r="P178" s="1254"/>
      <c r="Q178" s="1254"/>
      <c r="R178" s="1254"/>
      <c r="S178" s="1254"/>
      <c r="T178" s="1254"/>
      <c r="U178" s="1254"/>
      <c r="V178" s="1254"/>
      <c r="W178" s="1254"/>
      <c r="X178" s="1254"/>
      <c r="Y178" s="1254"/>
      <c r="Z178" s="1254"/>
    </row>
    <row r="179">
      <c r="A179" s="1254"/>
      <c r="B179" s="1254"/>
      <c r="C179" s="1320"/>
      <c r="D179" s="1254"/>
      <c r="E179" s="1254"/>
      <c r="F179" s="1263"/>
      <c r="G179" s="1317"/>
      <c r="H179" s="1254"/>
      <c r="I179" s="1318"/>
      <c r="J179" s="1254"/>
      <c r="K179" s="1254"/>
      <c r="L179" s="1254"/>
      <c r="M179" s="1254"/>
      <c r="N179" s="1318"/>
      <c r="O179" s="1386"/>
      <c r="P179" s="1254"/>
      <c r="Q179" s="1254"/>
      <c r="R179" s="1254"/>
      <c r="S179" s="1254"/>
      <c r="T179" s="1254"/>
      <c r="U179" s="1254"/>
      <c r="V179" s="1254"/>
      <c r="W179" s="1254"/>
      <c r="X179" s="1254"/>
      <c r="Y179" s="1254"/>
      <c r="Z179" s="1254"/>
    </row>
    <row r="180">
      <c r="A180" s="1254"/>
      <c r="B180" s="1254"/>
      <c r="C180" s="1320"/>
      <c r="D180" s="1254"/>
      <c r="E180" s="1254"/>
      <c r="F180" s="1263"/>
      <c r="G180" s="1317"/>
      <c r="H180" s="1254"/>
      <c r="I180" s="1318"/>
      <c r="J180" s="1254"/>
      <c r="K180" s="1254"/>
      <c r="L180" s="1254"/>
      <c r="M180" s="1254"/>
      <c r="N180" s="1318"/>
      <c r="O180" s="1386"/>
      <c r="P180" s="1254"/>
      <c r="Q180" s="1254"/>
      <c r="R180" s="1254"/>
      <c r="S180" s="1254"/>
      <c r="T180" s="1254"/>
      <c r="U180" s="1254"/>
      <c r="V180" s="1254"/>
      <c r="W180" s="1254"/>
      <c r="X180" s="1254"/>
      <c r="Y180" s="1254"/>
      <c r="Z180" s="1254"/>
    </row>
    <row r="181">
      <c r="A181" s="1254"/>
      <c r="B181" s="1254"/>
      <c r="C181" s="1320"/>
      <c r="D181" s="1254"/>
      <c r="E181" s="1254"/>
      <c r="F181" s="1263"/>
      <c r="G181" s="1317"/>
      <c r="H181" s="1254"/>
      <c r="I181" s="1318"/>
      <c r="J181" s="1254"/>
      <c r="K181" s="1254"/>
      <c r="L181" s="1254"/>
      <c r="M181" s="1254"/>
      <c r="N181" s="1318"/>
      <c r="O181" s="1386"/>
      <c r="P181" s="1254"/>
      <c r="Q181" s="1254"/>
      <c r="R181" s="1254"/>
      <c r="S181" s="1254"/>
      <c r="T181" s="1254"/>
      <c r="U181" s="1254"/>
      <c r="V181" s="1254"/>
      <c r="W181" s="1254"/>
      <c r="X181" s="1254"/>
      <c r="Y181" s="1254"/>
      <c r="Z181" s="1254"/>
    </row>
    <row r="182">
      <c r="A182" s="1254"/>
      <c r="B182" s="1254"/>
      <c r="C182" s="1320"/>
      <c r="D182" s="1254"/>
      <c r="E182" s="1254"/>
      <c r="F182" s="1263"/>
      <c r="G182" s="1317"/>
      <c r="H182" s="1254"/>
      <c r="I182" s="1318"/>
      <c r="J182" s="1254"/>
      <c r="K182" s="1254"/>
      <c r="L182" s="1254"/>
      <c r="M182" s="1254"/>
      <c r="N182" s="1318"/>
      <c r="O182" s="1386"/>
      <c r="P182" s="1254"/>
      <c r="Q182" s="1254"/>
      <c r="R182" s="1254"/>
      <c r="S182" s="1254"/>
      <c r="T182" s="1254"/>
      <c r="U182" s="1254"/>
      <c r="V182" s="1254"/>
      <c r="W182" s="1254"/>
      <c r="X182" s="1254"/>
      <c r="Y182" s="1254"/>
      <c r="Z182" s="1254"/>
    </row>
    <row r="183">
      <c r="A183" s="1254"/>
      <c r="B183" s="1254"/>
      <c r="C183" s="1320"/>
      <c r="D183" s="1254"/>
      <c r="E183" s="1254"/>
      <c r="F183" s="1263"/>
      <c r="G183" s="1317"/>
      <c r="H183" s="1254"/>
      <c r="I183" s="1318"/>
      <c r="J183" s="1254"/>
      <c r="K183" s="1254"/>
      <c r="L183" s="1254"/>
      <c r="M183" s="1254"/>
      <c r="N183" s="1318"/>
      <c r="O183" s="1386"/>
      <c r="P183" s="1254"/>
      <c r="Q183" s="1254"/>
      <c r="R183" s="1254"/>
      <c r="S183" s="1254"/>
      <c r="T183" s="1254"/>
      <c r="U183" s="1254"/>
      <c r="V183" s="1254"/>
      <c r="W183" s="1254"/>
      <c r="X183" s="1254"/>
      <c r="Y183" s="1254"/>
      <c r="Z183" s="1254"/>
    </row>
    <row r="184">
      <c r="A184" s="1254"/>
      <c r="B184" s="1254"/>
      <c r="C184" s="1320"/>
      <c r="D184" s="1254"/>
      <c r="E184" s="1254"/>
      <c r="F184" s="1263"/>
      <c r="G184" s="1317"/>
      <c r="H184" s="1254"/>
      <c r="I184" s="1318"/>
      <c r="J184" s="1254"/>
      <c r="K184" s="1254"/>
      <c r="L184" s="1254"/>
      <c r="M184" s="1254"/>
      <c r="N184" s="1318"/>
      <c r="O184" s="1386"/>
      <c r="P184" s="1254"/>
      <c r="Q184" s="1254"/>
      <c r="R184" s="1254"/>
      <c r="S184" s="1254"/>
      <c r="T184" s="1254"/>
      <c r="U184" s="1254"/>
      <c r="V184" s="1254"/>
      <c r="W184" s="1254"/>
      <c r="X184" s="1254"/>
      <c r="Y184" s="1254"/>
      <c r="Z184" s="1254"/>
    </row>
    <row r="185">
      <c r="A185" s="1254"/>
      <c r="B185" s="1254"/>
      <c r="C185" s="1320"/>
      <c r="D185" s="1254"/>
      <c r="E185" s="1254"/>
      <c r="F185" s="1263"/>
      <c r="G185" s="1317"/>
      <c r="H185" s="1254"/>
      <c r="I185" s="1318"/>
      <c r="J185" s="1254"/>
      <c r="K185" s="1254"/>
      <c r="L185" s="1254"/>
      <c r="M185" s="1254"/>
      <c r="N185" s="1318"/>
      <c r="O185" s="1386"/>
      <c r="P185" s="1254"/>
      <c r="Q185" s="1254"/>
      <c r="R185" s="1254"/>
      <c r="S185" s="1254"/>
      <c r="T185" s="1254"/>
      <c r="U185" s="1254"/>
      <c r="V185" s="1254"/>
      <c r="W185" s="1254"/>
      <c r="X185" s="1254"/>
      <c r="Y185" s="1254"/>
      <c r="Z185" s="1254"/>
    </row>
    <row r="186">
      <c r="A186" s="1254"/>
      <c r="B186" s="1254"/>
      <c r="C186" s="1320"/>
      <c r="D186" s="1254"/>
      <c r="E186" s="1254"/>
      <c r="F186" s="1263"/>
      <c r="G186" s="1317"/>
      <c r="H186" s="1254"/>
      <c r="I186" s="1318"/>
      <c r="J186" s="1254"/>
      <c r="K186" s="1254"/>
      <c r="L186" s="1254"/>
      <c r="M186" s="1254"/>
      <c r="N186" s="1318"/>
      <c r="O186" s="1386"/>
      <c r="P186" s="1254"/>
      <c r="Q186" s="1254"/>
      <c r="R186" s="1254"/>
      <c r="S186" s="1254"/>
      <c r="T186" s="1254"/>
      <c r="U186" s="1254"/>
      <c r="V186" s="1254"/>
      <c r="W186" s="1254"/>
      <c r="X186" s="1254"/>
      <c r="Y186" s="1254"/>
      <c r="Z186" s="1254"/>
    </row>
    <row r="187">
      <c r="A187" s="1254"/>
      <c r="B187" s="1254"/>
      <c r="C187" s="1320"/>
      <c r="D187" s="1254"/>
      <c r="E187" s="1254"/>
      <c r="F187" s="1263"/>
      <c r="G187" s="1317"/>
      <c r="H187" s="1254"/>
      <c r="I187" s="1318"/>
      <c r="J187" s="1254"/>
      <c r="K187" s="1254"/>
      <c r="L187" s="1254"/>
      <c r="M187" s="1254"/>
      <c r="N187" s="1318"/>
      <c r="O187" s="1386"/>
      <c r="P187" s="1254"/>
      <c r="Q187" s="1254"/>
      <c r="R187" s="1254"/>
      <c r="S187" s="1254"/>
      <c r="T187" s="1254"/>
      <c r="U187" s="1254"/>
      <c r="V187" s="1254"/>
      <c r="W187" s="1254"/>
      <c r="X187" s="1254"/>
      <c r="Y187" s="1254"/>
      <c r="Z187" s="1254"/>
    </row>
    <row r="188">
      <c r="A188" s="1254"/>
      <c r="B188" s="1254"/>
      <c r="C188" s="1320"/>
      <c r="D188" s="1254"/>
      <c r="E188" s="1254"/>
      <c r="F188" s="1263"/>
      <c r="G188" s="1317"/>
      <c r="H188" s="1254"/>
      <c r="I188" s="1318"/>
      <c r="J188" s="1254"/>
      <c r="K188" s="1254"/>
      <c r="L188" s="1254"/>
      <c r="M188" s="1254"/>
      <c r="N188" s="1318"/>
      <c r="O188" s="1386"/>
      <c r="P188" s="1254"/>
      <c r="Q188" s="1254"/>
      <c r="R188" s="1254"/>
      <c r="S188" s="1254"/>
      <c r="T188" s="1254"/>
      <c r="U188" s="1254"/>
      <c r="V188" s="1254"/>
      <c r="W188" s="1254"/>
      <c r="X188" s="1254"/>
      <c r="Y188" s="1254"/>
      <c r="Z188" s="1254"/>
    </row>
    <row r="189">
      <c r="A189" s="1254"/>
      <c r="B189" s="1254"/>
      <c r="C189" s="1320"/>
      <c r="D189" s="1254"/>
      <c r="E189" s="1254"/>
      <c r="F189" s="1263"/>
      <c r="G189" s="1317"/>
      <c r="H189" s="1254"/>
      <c r="I189" s="1318"/>
      <c r="J189" s="1254"/>
      <c r="K189" s="1254"/>
      <c r="L189" s="1254"/>
      <c r="M189" s="1254"/>
      <c r="N189" s="1318"/>
      <c r="O189" s="1386"/>
      <c r="P189" s="1254"/>
      <c r="Q189" s="1254"/>
      <c r="R189" s="1254"/>
      <c r="S189" s="1254"/>
      <c r="T189" s="1254"/>
      <c r="U189" s="1254"/>
      <c r="V189" s="1254"/>
      <c r="W189" s="1254"/>
      <c r="X189" s="1254"/>
      <c r="Y189" s="1254"/>
      <c r="Z189" s="1254"/>
    </row>
    <row r="190">
      <c r="A190" s="1254"/>
      <c r="B190" s="1254"/>
      <c r="C190" s="1320"/>
      <c r="D190" s="1254"/>
      <c r="E190" s="1254"/>
      <c r="F190" s="1263"/>
      <c r="G190" s="1317"/>
      <c r="H190" s="1254"/>
      <c r="I190" s="1318"/>
      <c r="J190" s="1254"/>
      <c r="K190" s="1254"/>
      <c r="L190" s="1254"/>
      <c r="M190" s="1254"/>
      <c r="N190" s="1318"/>
      <c r="O190" s="1386"/>
      <c r="P190" s="1254"/>
      <c r="Q190" s="1254"/>
      <c r="R190" s="1254"/>
      <c r="S190" s="1254"/>
      <c r="T190" s="1254"/>
      <c r="U190" s="1254"/>
      <c r="V190" s="1254"/>
      <c r="W190" s="1254"/>
      <c r="X190" s="1254"/>
      <c r="Y190" s="1254"/>
      <c r="Z190" s="1254"/>
    </row>
    <row r="191">
      <c r="A191" s="1254"/>
      <c r="B191" s="1254"/>
      <c r="C191" s="1320"/>
      <c r="D191" s="1254"/>
      <c r="E191" s="1254"/>
      <c r="F191" s="1263"/>
      <c r="G191" s="1317"/>
      <c r="H191" s="1254"/>
      <c r="I191" s="1318"/>
      <c r="J191" s="1254"/>
      <c r="K191" s="1254"/>
      <c r="L191" s="1254"/>
      <c r="M191" s="1254"/>
      <c r="N191" s="1318"/>
      <c r="O191" s="1386"/>
      <c r="P191" s="1254"/>
      <c r="Q191" s="1254"/>
      <c r="R191" s="1254"/>
      <c r="S191" s="1254"/>
      <c r="T191" s="1254"/>
      <c r="U191" s="1254"/>
      <c r="V191" s="1254"/>
      <c r="W191" s="1254"/>
      <c r="X191" s="1254"/>
      <c r="Y191" s="1254"/>
      <c r="Z191" s="1254"/>
    </row>
    <row r="192">
      <c r="A192" s="1254"/>
      <c r="B192" s="1254"/>
      <c r="C192" s="1320"/>
      <c r="D192" s="1254"/>
      <c r="E192" s="1254"/>
      <c r="F192" s="1263"/>
      <c r="G192" s="1317"/>
      <c r="H192" s="1254"/>
      <c r="I192" s="1318"/>
      <c r="J192" s="1254"/>
      <c r="K192" s="1254"/>
      <c r="L192" s="1254"/>
      <c r="M192" s="1254"/>
      <c r="N192" s="1318"/>
      <c r="O192" s="1386"/>
      <c r="P192" s="1254"/>
      <c r="Q192" s="1254"/>
      <c r="R192" s="1254"/>
      <c r="S192" s="1254"/>
      <c r="T192" s="1254"/>
      <c r="U192" s="1254"/>
      <c r="V192" s="1254"/>
      <c r="W192" s="1254"/>
      <c r="X192" s="1254"/>
      <c r="Y192" s="1254"/>
      <c r="Z192" s="1254"/>
    </row>
    <row r="193">
      <c r="A193" s="1254"/>
      <c r="B193" s="1254"/>
      <c r="C193" s="1320"/>
      <c r="D193" s="1254"/>
      <c r="E193" s="1254"/>
      <c r="F193" s="1263"/>
      <c r="G193" s="1317"/>
      <c r="H193" s="1254"/>
      <c r="I193" s="1318"/>
      <c r="J193" s="1254"/>
      <c r="K193" s="1254"/>
      <c r="L193" s="1254"/>
      <c r="M193" s="1254"/>
      <c r="N193" s="1318"/>
      <c r="O193" s="1386"/>
      <c r="P193" s="1254"/>
      <c r="Q193" s="1254"/>
      <c r="R193" s="1254"/>
      <c r="S193" s="1254"/>
      <c r="T193" s="1254"/>
      <c r="U193" s="1254"/>
      <c r="V193" s="1254"/>
      <c r="W193" s="1254"/>
      <c r="X193" s="1254"/>
      <c r="Y193" s="1254"/>
      <c r="Z193" s="1254"/>
    </row>
    <row r="194">
      <c r="A194" s="1254"/>
      <c r="B194" s="1254"/>
      <c r="C194" s="1320"/>
      <c r="D194" s="1254"/>
      <c r="E194" s="1254"/>
      <c r="F194" s="1263"/>
      <c r="G194" s="1317"/>
      <c r="H194" s="1254"/>
      <c r="I194" s="1318"/>
      <c r="J194" s="1254"/>
      <c r="K194" s="1254"/>
      <c r="L194" s="1254"/>
      <c r="M194" s="1254"/>
      <c r="N194" s="1318"/>
      <c r="O194" s="1386"/>
      <c r="P194" s="1254"/>
      <c r="Q194" s="1254"/>
      <c r="R194" s="1254"/>
      <c r="S194" s="1254"/>
      <c r="T194" s="1254"/>
      <c r="U194" s="1254"/>
      <c r="V194" s="1254"/>
      <c r="W194" s="1254"/>
      <c r="X194" s="1254"/>
      <c r="Y194" s="1254"/>
      <c r="Z194" s="1254"/>
    </row>
    <row r="195">
      <c r="A195" s="1254"/>
      <c r="B195" s="1254"/>
      <c r="C195" s="1320"/>
      <c r="D195" s="1254"/>
      <c r="E195" s="1254"/>
      <c r="F195" s="1263"/>
      <c r="G195" s="1317"/>
      <c r="H195" s="1254"/>
      <c r="I195" s="1318"/>
      <c r="J195" s="1254"/>
      <c r="K195" s="1254"/>
      <c r="L195" s="1254"/>
      <c r="M195" s="1254"/>
      <c r="N195" s="1318"/>
      <c r="O195" s="1386"/>
      <c r="P195" s="1254"/>
      <c r="Q195" s="1254"/>
      <c r="R195" s="1254"/>
      <c r="S195" s="1254"/>
      <c r="T195" s="1254"/>
      <c r="U195" s="1254"/>
      <c r="V195" s="1254"/>
      <c r="W195" s="1254"/>
      <c r="X195" s="1254"/>
      <c r="Y195" s="1254"/>
      <c r="Z195" s="1254"/>
    </row>
    <row r="196">
      <c r="A196" s="1254"/>
      <c r="B196" s="1254"/>
      <c r="C196" s="1320"/>
      <c r="D196" s="1254"/>
      <c r="E196" s="1254"/>
      <c r="F196" s="1263"/>
      <c r="G196" s="1317"/>
      <c r="H196" s="1254"/>
      <c r="I196" s="1318"/>
      <c r="J196" s="1254"/>
      <c r="K196" s="1254"/>
      <c r="L196" s="1254"/>
      <c r="M196" s="1254"/>
      <c r="N196" s="1318"/>
      <c r="O196" s="1386"/>
      <c r="P196" s="1254"/>
      <c r="Q196" s="1254"/>
      <c r="R196" s="1254"/>
      <c r="S196" s="1254"/>
      <c r="T196" s="1254"/>
      <c r="U196" s="1254"/>
      <c r="V196" s="1254"/>
      <c r="W196" s="1254"/>
      <c r="X196" s="1254"/>
      <c r="Y196" s="1254"/>
      <c r="Z196" s="1254"/>
    </row>
    <row r="197">
      <c r="A197" s="1254"/>
      <c r="B197" s="1254"/>
      <c r="C197" s="1320"/>
      <c r="D197" s="1254"/>
      <c r="E197" s="1254"/>
      <c r="F197" s="1263"/>
      <c r="G197" s="1317"/>
      <c r="H197" s="1254"/>
      <c r="I197" s="1318"/>
      <c r="J197" s="1254"/>
      <c r="K197" s="1254"/>
      <c r="L197" s="1254"/>
      <c r="M197" s="1254"/>
      <c r="N197" s="1318"/>
      <c r="O197" s="1386"/>
      <c r="P197" s="1254"/>
      <c r="Q197" s="1254"/>
      <c r="R197" s="1254"/>
      <c r="S197" s="1254"/>
      <c r="T197" s="1254"/>
      <c r="U197" s="1254"/>
      <c r="V197" s="1254"/>
      <c r="W197" s="1254"/>
      <c r="X197" s="1254"/>
      <c r="Y197" s="1254"/>
      <c r="Z197" s="1254"/>
    </row>
    <row r="198">
      <c r="A198" s="1254"/>
      <c r="B198" s="1254"/>
      <c r="C198" s="1320"/>
      <c r="D198" s="1254"/>
      <c r="E198" s="1254"/>
      <c r="F198" s="1263"/>
      <c r="G198" s="1317"/>
      <c r="H198" s="1254"/>
      <c r="I198" s="1318"/>
      <c r="J198" s="1254"/>
      <c r="K198" s="1254"/>
      <c r="L198" s="1254"/>
      <c r="M198" s="1254"/>
      <c r="N198" s="1318"/>
      <c r="O198" s="1386"/>
      <c r="P198" s="1254"/>
      <c r="Q198" s="1254"/>
      <c r="R198" s="1254"/>
      <c r="S198" s="1254"/>
      <c r="T198" s="1254"/>
      <c r="U198" s="1254"/>
      <c r="V198" s="1254"/>
      <c r="W198" s="1254"/>
      <c r="X198" s="1254"/>
      <c r="Y198" s="1254"/>
      <c r="Z198" s="1254"/>
    </row>
    <row r="199">
      <c r="A199" s="1254"/>
      <c r="B199" s="1254"/>
      <c r="C199" s="1320"/>
      <c r="D199" s="1254"/>
      <c r="E199" s="1254"/>
      <c r="F199" s="1263"/>
      <c r="G199" s="1317"/>
      <c r="H199" s="1254"/>
      <c r="I199" s="1318"/>
      <c r="J199" s="1254"/>
      <c r="K199" s="1254"/>
      <c r="L199" s="1254"/>
      <c r="M199" s="1254"/>
      <c r="N199" s="1318"/>
      <c r="O199" s="1386"/>
      <c r="P199" s="1254"/>
      <c r="Q199" s="1254"/>
      <c r="R199" s="1254"/>
      <c r="S199" s="1254"/>
      <c r="T199" s="1254"/>
      <c r="U199" s="1254"/>
      <c r="V199" s="1254"/>
      <c r="W199" s="1254"/>
      <c r="X199" s="1254"/>
      <c r="Y199" s="1254"/>
      <c r="Z199" s="1254"/>
    </row>
    <row r="200">
      <c r="A200" s="1254"/>
      <c r="B200" s="1254"/>
      <c r="C200" s="1320"/>
      <c r="D200" s="1254"/>
      <c r="E200" s="1254"/>
      <c r="F200" s="1263"/>
      <c r="G200" s="1317"/>
      <c r="H200" s="1254"/>
      <c r="I200" s="1318"/>
      <c r="J200" s="1254"/>
      <c r="K200" s="1254"/>
      <c r="L200" s="1254"/>
      <c r="M200" s="1254"/>
      <c r="N200" s="1318"/>
      <c r="O200" s="1386"/>
      <c r="P200" s="1254"/>
      <c r="Q200" s="1254"/>
      <c r="R200" s="1254"/>
      <c r="S200" s="1254"/>
      <c r="T200" s="1254"/>
      <c r="U200" s="1254"/>
      <c r="V200" s="1254"/>
      <c r="W200" s="1254"/>
      <c r="X200" s="1254"/>
      <c r="Y200" s="1254"/>
      <c r="Z200" s="1254"/>
    </row>
    <row r="201">
      <c r="A201" s="1254"/>
      <c r="B201" s="1254"/>
      <c r="C201" s="1320"/>
      <c r="D201" s="1254"/>
      <c r="E201" s="1254"/>
      <c r="F201" s="1263"/>
      <c r="G201" s="1317"/>
      <c r="H201" s="1254"/>
      <c r="I201" s="1318"/>
      <c r="J201" s="1254"/>
      <c r="K201" s="1254"/>
      <c r="L201" s="1254"/>
      <c r="M201" s="1254"/>
      <c r="N201" s="1318"/>
      <c r="O201" s="1386"/>
      <c r="P201" s="1254"/>
      <c r="Q201" s="1254"/>
      <c r="R201" s="1254"/>
      <c r="S201" s="1254"/>
      <c r="T201" s="1254"/>
      <c r="U201" s="1254"/>
      <c r="V201" s="1254"/>
      <c r="W201" s="1254"/>
      <c r="X201" s="1254"/>
      <c r="Y201" s="1254"/>
      <c r="Z201" s="1254"/>
    </row>
    <row r="202">
      <c r="A202" s="1254"/>
      <c r="B202" s="1254"/>
      <c r="C202" s="1320"/>
      <c r="D202" s="1254"/>
      <c r="E202" s="1254"/>
      <c r="F202" s="1263"/>
      <c r="G202" s="1317"/>
      <c r="H202" s="1254"/>
      <c r="I202" s="1318"/>
      <c r="J202" s="1254"/>
      <c r="K202" s="1254"/>
      <c r="L202" s="1254"/>
      <c r="M202" s="1254"/>
      <c r="N202" s="1318"/>
      <c r="O202" s="1386"/>
      <c r="P202" s="1254"/>
      <c r="Q202" s="1254"/>
      <c r="R202" s="1254"/>
      <c r="S202" s="1254"/>
      <c r="T202" s="1254"/>
      <c r="U202" s="1254"/>
      <c r="V202" s="1254"/>
      <c r="W202" s="1254"/>
      <c r="X202" s="1254"/>
      <c r="Y202" s="1254"/>
      <c r="Z202" s="1254"/>
    </row>
    <row r="203">
      <c r="A203" s="1254"/>
      <c r="B203" s="1254"/>
      <c r="C203" s="1320"/>
      <c r="D203" s="1254"/>
      <c r="E203" s="1254"/>
      <c r="F203" s="1263"/>
      <c r="G203" s="1317"/>
      <c r="H203" s="1254"/>
      <c r="I203" s="1318"/>
      <c r="J203" s="1254"/>
      <c r="K203" s="1254"/>
      <c r="L203" s="1254"/>
      <c r="M203" s="1254"/>
      <c r="N203" s="1318"/>
      <c r="O203" s="1386"/>
      <c r="P203" s="1254"/>
      <c r="Q203" s="1254"/>
      <c r="R203" s="1254"/>
      <c r="S203" s="1254"/>
      <c r="T203" s="1254"/>
      <c r="U203" s="1254"/>
      <c r="V203" s="1254"/>
      <c r="W203" s="1254"/>
      <c r="X203" s="1254"/>
      <c r="Y203" s="1254"/>
      <c r="Z203" s="1254"/>
    </row>
    <row r="204">
      <c r="A204" s="1254"/>
      <c r="B204" s="1254"/>
      <c r="C204" s="1320"/>
      <c r="D204" s="1254"/>
      <c r="E204" s="1254"/>
      <c r="F204" s="1263"/>
      <c r="G204" s="1317"/>
      <c r="H204" s="1254"/>
      <c r="I204" s="1318"/>
      <c r="J204" s="1254"/>
      <c r="K204" s="1254"/>
      <c r="L204" s="1254"/>
      <c r="M204" s="1254"/>
      <c r="N204" s="1318"/>
      <c r="O204" s="1386"/>
      <c r="P204" s="1254"/>
      <c r="Q204" s="1254"/>
      <c r="R204" s="1254"/>
      <c r="S204" s="1254"/>
      <c r="T204" s="1254"/>
      <c r="U204" s="1254"/>
      <c r="V204" s="1254"/>
      <c r="W204" s="1254"/>
      <c r="X204" s="1254"/>
      <c r="Y204" s="1254"/>
      <c r="Z204" s="1254"/>
    </row>
    <row r="205">
      <c r="A205" s="1254"/>
      <c r="B205" s="1254"/>
      <c r="C205" s="1320"/>
      <c r="D205" s="1254"/>
      <c r="E205" s="1254"/>
      <c r="F205" s="1263"/>
      <c r="G205" s="1317"/>
      <c r="H205" s="1254"/>
      <c r="I205" s="1318"/>
      <c r="J205" s="1254"/>
      <c r="K205" s="1254"/>
      <c r="L205" s="1254"/>
      <c r="M205" s="1254"/>
      <c r="N205" s="1318"/>
      <c r="O205" s="1386"/>
      <c r="P205" s="1254"/>
      <c r="Q205" s="1254"/>
      <c r="R205" s="1254"/>
      <c r="S205" s="1254"/>
      <c r="T205" s="1254"/>
      <c r="U205" s="1254"/>
      <c r="V205" s="1254"/>
      <c r="W205" s="1254"/>
      <c r="X205" s="1254"/>
      <c r="Y205" s="1254"/>
      <c r="Z205" s="1254"/>
    </row>
    <row r="206">
      <c r="A206" s="1254"/>
      <c r="B206" s="1254"/>
      <c r="C206" s="1320"/>
      <c r="D206" s="1254"/>
      <c r="E206" s="1254"/>
      <c r="F206" s="1263"/>
      <c r="G206" s="1317"/>
      <c r="H206" s="1254"/>
      <c r="I206" s="1318"/>
      <c r="J206" s="1254"/>
      <c r="K206" s="1254"/>
      <c r="L206" s="1254"/>
      <c r="M206" s="1254"/>
      <c r="N206" s="1318"/>
      <c r="O206" s="1386"/>
      <c r="P206" s="1254"/>
      <c r="Q206" s="1254"/>
      <c r="R206" s="1254"/>
      <c r="S206" s="1254"/>
      <c r="T206" s="1254"/>
      <c r="U206" s="1254"/>
      <c r="V206" s="1254"/>
      <c r="W206" s="1254"/>
      <c r="X206" s="1254"/>
      <c r="Y206" s="1254"/>
      <c r="Z206" s="1254"/>
    </row>
    <row r="207">
      <c r="A207" s="1254"/>
      <c r="B207" s="1254"/>
      <c r="C207" s="1320"/>
      <c r="D207" s="1254"/>
      <c r="E207" s="1254"/>
      <c r="F207" s="1263"/>
      <c r="G207" s="1317"/>
      <c r="H207" s="1254"/>
      <c r="I207" s="1318"/>
      <c r="J207" s="1254"/>
      <c r="K207" s="1254"/>
      <c r="L207" s="1254"/>
      <c r="M207" s="1254"/>
      <c r="N207" s="1318"/>
      <c r="O207" s="1386"/>
      <c r="P207" s="1254"/>
      <c r="Q207" s="1254"/>
      <c r="R207" s="1254"/>
      <c r="S207" s="1254"/>
      <c r="T207" s="1254"/>
      <c r="U207" s="1254"/>
      <c r="V207" s="1254"/>
      <c r="W207" s="1254"/>
      <c r="X207" s="1254"/>
      <c r="Y207" s="1254"/>
      <c r="Z207" s="1254"/>
    </row>
    <row r="208">
      <c r="A208" s="1254"/>
      <c r="B208" s="1254"/>
      <c r="C208" s="1320"/>
      <c r="D208" s="1254"/>
      <c r="E208" s="1254"/>
      <c r="F208" s="1263"/>
      <c r="G208" s="1317"/>
      <c r="H208" s="1254"/>
      <c r="I208" s="1318"/>
      <c r="J208" s="1254"/>
      <c r="K208" s="1254"/>
      <c r="L208" s="1254"/>
      <c r="M208" s="1254"/>
      <c r="N208" s="1318"/>
      <c r="O208" s="1386"/>
      <c r="P208" s="1254"/>
      <c r="Q208" s="1254"/>
      <c r="R208" s="1254"/>
      <c r="S208" s="1254"/>
      <c r="T208" s="1254"/>
      <c r="U208" s="1254"/>
      <c r="V208" s="1254"/>
      <c r="W208" s="1254"/>
      <c r="X208" s="1254"/>
      <c r="Y208" s="1254"/>
      <c r="Z208" s="1254"/>
    </row>
    <row r="209">
      <c r="A209" s="1254"/>
      <c r="B209" s="1254"/>
      <c r="C209" s="1320"/>
      <c r="D209" s="1254"/>
      <c r="E209" s="1254"/>
      <c r="F209" s="1263"/>
      <c r="G209" s="1317"/>
      <c r="H209" s="1254"/>
      <c r="I209" s="1318"/>
      <c r="J209" s="1254"/>
      <c r="K209" s="1254"/>
      <c r="L209" s="1254"/>
      <c r="M209" s="1254"/>
      <c r="N209" s="1318"/>
      <c r="O209" s="1386"/>
      <c r="P209" s="1254"/>
      <c r="Q209" s="1254"/>
      <c r="R209" s="1254"/>
      <c r="S209" s="1254"/>
      <c r="T209" s="1254"/>
      <c r="U209" s="1254"/>
      <c r="V209" s="1254"/>
      <c r="W209" s="1254"/>
      <c r="X209" s="1254"/>
      <c r="Y209" s="1254"/>
      <c r="Z209" s="1254"/>
    </row>
    <row r="210">
      <c r="A210" s="1254"/>
      <c r="B210" s="1254"/>
      <c r="C210" s="1320"/>
      <c r="D210" s="1254"/>
      <c r="E210" s="1254"/>
      <c r="F210" s="1263"/>
      <c r="G210" s="1317"/>
      <c r="H210" s="1254"/>
      <c r="I210" s="1318"/>
      <c r="J210" s="1254"/>
      <c r="K210" s="1254"/>
      <c r="L210" s="1254"/>
      <c r="M210" s="1254"/>
      <c r="N210" s="1318"/>
      <c r="O210" s="1386"/>
      <c r="P210" s="1254"/>
      <c r="Q210" s="1254"/>
      <c r="R210" s="1254"/>
      <c r="S210" s="1254"/>
      <c r="T210" s="1254"/>
      <c r="U210" s="1254"/>
      <c r="V210" s="1254"/>
      <c r="W210" s="1254"/>
      <c r="X210" s="1254"/>
      <c r="Y210" s="1254"/>
      <c r="Z210" s="1254"/>
    </row>
    <row r="211">
      <c r="A211" s="1254"/>
      <c r="B211" s="1254"/>
      <c r="C211" s="1320"/>
      <c r="D211" s="1254"/>
      <c r="E211" s="1254"/>
      <c r="F211" s="1263"/>
      <c r="G211" s="1317"/>
      <c r="H211" s="1254"/>
      <c r="I211" s="1318"/>
      <c r="J211" s="1254"/>
      <c r="K211" s="1254"/>
      <c r="L211" s="1254"/>
      <c r="M211" s="1254"/>
      <c r="N211" s="1318"/>
      <c r="O211" s="1386"/>
      <c r="P211" s="1254"/>
      <c r="Q211" s="1254"/>
      <c r="R211" s="1254"/>
      <c r="S211" s="1254"/>
      <c r="T211" s="1254"/>
      <c r="U211" s="1254"/>
      <c r="V211" s="1254"/>
      <c r="W211" s="1254"/>
      <c r="X211" s="1254"/>
      <c r="Y211" s="1254"/>
      <c r="Z211" s="1254"/>
    </row>
    <row r="212">
      <c r="A212" s="1254"/>
      <c r="B212" s="1254"/>
      <c r="C212" s="1320"/>
      <c r="D212" s="1254"/>
      <c r="E212" s="1254"/>
      <c r="F212" s="1263"/>
      <c r="G212" s="1317"/>
      <c r="H212" s="1254"/>
      <c r="I212" s="1318"/>
      <c r="J212" s="1254"/>
      <c r="K212" s="1254"/>
      <c r="L212" s="1254"/>
      <c r="M212" s="1254"/>
      <c r="N212" s="1318"/>
      <c r="O212" s="1386"/>
      <c r="P212" s="1254"/>
      <c r="Q212" s="1254"/>
      <c r="R212" s="1254"/>
      <c r="S212" s="1254"/>
      <c r="T212" s="1254"/>
      <c r="U212" s="1254"/>
      <c r="V212" s="1254"/>
      <c r="W212" s="1254"/>
      <c r="X212" s="1254"/>
      <c r="Y212" s="1254"/>
      <c r="Z212" s="1254"/>
    </row>
    <row r="213">
      <c r="A213" s="1254"/>
      <c r="B213" s="1254"/>
      <c r="C213" s="1320"/>
      <c r="D213" s="1254"/>
      <c r="E213" s="1254"/>
      <c r="F213" s="1263"/>
      <c r="G213" s="1317"/>
      <c r="H213" s="1254"/>
      <c r="I213" s="1318"/>
      <c r="J213" s="1254"/>
      <c r="K213" s="1254"/>
      <c r="L213" s="1254"/>
      <c r="M213" s="1254"/>
      <c r="N213" s="1318"/>
      <c r="O213" s="1386"/>
      <c r="P213" s="1254"/>
      <c r="Q213" s="1254"/>
      <c r="R213" s="1254"/>
      <c r="S213" s="1254"/>
      <c r="T213" s="1254"/>
      <c r="U213" s="1254"/>
      <c r="V213" s="1254"/>
      <c r="W213" s="1254"/>
      <c r="X213" s="1254"/>
      <c r="Y213" s="1254"/>
      <c r="Z213" s="1254"/>
    </row>
    <row r="214">
      <c r="A214" s="1254"/>
      <c r="B214" s="1254"/>
      <c r="C214" s="1320"/>
      <c r="D214" s="1254"/>
      <c r="E214" s="1254"/>
      <c r="F214" s="1263"/>
      <c r="G214" s="1317"/>
      <c r="H214" s="1254"/>
      <c r="I214" s="1318"/>
      <c r="J214" s="1254"/>
      <c r="K214" s="1254"/>
      <c r="L214" s="1254"/>
      <c r="M214" s="1254"/>
      <c r="N214" s="1318"/>
      <c r="O214" s="1386"/>
      <c r="P214" s="1254"/>
      <c r="Q214" s="1254"/>
      <c r="R214" s="1254"/>
      <c r="S214" s="1254"/>
      <c r="T214" s="1254"/>
      <c r="U214" s="1254"/>
      <c r="V214" s="1254"/>
      <c r="W214" s="1254"/>
      <c r="X214" s="1254"/>
      <c r="Y214" s="1254"/>
      <c r="Z214" s="1254"/>
    </row>
    <row r="215">
      <c r="A215" s="1254"/>
      <c r="B215" s="1254"/>
      <c r="C215" s="1320"/>
      <c r="D215" s="1254"/>
      <c r="E215" s="1254"/>
      <c r="F215" s="1263"/>
      <c r="G215" s="1317"/>
      <c r="H215" s="1254"/>
      <c r="I215" s="1318"/>
      <c r="J215" s="1254"/>
      <c r="K215" s="1254"/>
      <c r="L215" s="1254"/>
      <c r="M215" s="1254"/>
      <c r="N215" s="1318"/>
      <c r="O215" s="1386"/>
      <c r="P215" s="1254"/>
      <c r="Q215" s="1254"/>
      <c r="R215" s="1254"/>
      <c r="S215" s="1254"/>
      <c r="T215" s="1254"/>
      <c r="U215" s="1254"/>
      <c r="V215" s="1254"/>
      <c r="W215" s="1254"/>
      <c r="X215" s="1254"/>
      <c r="Y215" s="1254"/>
      <c r="Z215" s="1254"/>
    </row>
    <row r="216">
      <c r="A216" s="1254"/>
      <c r="B216" s="1254"/>
      <c r="C216" s="1320"/>
      <c r="D216" s="1254"/>
      <c r="E216" s="1254"/>
      <c r="F216" s="1263"/>
      <c r="G216" s="1317"/>
      <c r="H216" s="1254"/>
      <c r="I216" s="1318"/>
      <c r="J216" s="1254"/>
      <c r="K216" s="1254"/>
      <c r="L216" s="1254"/>
      <c r="M216" s="1254"/>
      <c r="N216" s="1318"/>
      <c r="O216" s="1386"/>
      <c r="P216" s="1254"/>
      <c r="Q216" s="1254"/>
      <c r="R216" s="1254"/>
      <c r="S216" s="1254"/>
      <c r="T216" s="1254"/>
      <c r="U216" s="1254"/>
      <c r="V216" s="1254"/>
      <c r="W216" s="1254"/>
      <c r="X216" s="1254"/>
      <c r="Y216" s="1254"/>
      <c r="Z216" s="1254"/>
    </row>
    <row r="217">
      <c r="A217" s="1254"/>
      <c r="B217" s="1254"/>
      <c r="C217" s="1320"/>
      <c r="D217" s="1254"/>
      <c r="E217" s="1254"/>
      <c r="F217" s="1263"/>
      <c r="G217" s="1317"/>
      <c r="H217" s="1254"/>
      <c r="I217" s="1318"/>
      <c r="J217" s="1254"/>
      <c r="K217" s="1254"/>
      <c r="L217" s="1254"/>
      <c r="M217" s="1254"/>
      <c r="N217" s="1318"/>
      <c r="O217" s="1386"/>
      <c r="P217" s="1254"/>
      <c r="Q217" s="1254"/>
      <c r="R217" s="1254"/>
      <c r="S217" s="1254"/>
      <c r="T217" s="1254"/>
      <c r="U217" s="1254"/>
      <c r="V217" s="1254"/>
      <c r="W217" s="1254"/>
      <c r="X217" s="1254"/>
      <c r="Y217" s="1254"/>
      <c r="Z217" s="1254"/>
    </row>
    <row r="218">
      <c r="A218" s="1254"/>
      <c r="B218" s="1254"/>
      <c r="C218" s="1320"/>
      <c r="D218" s="1254"/>
      <c r="E218" s="1254"/>
      <c r="F218" s="1263"/>
      <c r="G218" s="1317"/>
      <c r="H218" s="1254"/>
      <c r="I218" s="1318"/>
      <c r="J218" s="1254"/>
      <c r="K218" s="1254"/>
      <c r="L218" s="1254"/>
      <c r="M218" s="1254"/>
      <c r="N218" s="1318"/>
      <c r="O218" s="1386"/>
      <c r="P218" s="1254"/>
      <c r="Q218" s="1254"/>
      <c r="R218" s="1254"/>
      <c r="S218" s="1254"/>
      <c r="T218" s="1254"/>
      <c r="U218" s="1254"/>
      <c r="V218" s="1254"/>
      <c r="W218" s="1254"/>
      <c r="X218" s="1254"/>
      <c r="Y218" s="1254"/>
      <c r="Z218" s="1254"/>
    </row>
    <row r="219">
      <c r="A219" s="1254"/>
      <c r="B219" s="1254"/>
      <c r="C219" s="1320"/>
      <c r="D219" s="1254"/>
      <c r="E219" s="1254"/>
      <c r="F219" s="1263"/>
      <c r="G219" s="1317"/>
      <c r="H219" s="1254"/>
      <c r="I219" s="1318"/>
      <c r="J219" s="1254"/>
      <c r="K219" s="1254"/>
      <c r="L219" s="1254"/>
      <c r="M219" s="1254"/>
      <c r="N219" s="1318"/>
      <c r="O219" s="1386"/>
      <c r="P219" s="1254"/>
      <c r="Q219" s="1254"/>
      <c r="R219" s="1254"/>
      <c r="S219" s="1254"/>
      <c r="T219" s="1254"/>
      <c r="U219" s="1254"/>
      <c r="V219" s="1254"/>
      <c r="W219" s="1254"/>
      <c r="X219" s="1254"/>
      <c r="Y219" s="1254"/>
      <c r="Z219" s="1254"/>
    </row>
    <row r="220">
      <c r="A220" s="1254"/>
      <c r="B220" s="1254"/>
      <c r="C220" s="1320"/>
      <c r="D220" s="1254"/>
      <c r="E220" s="1254"/>
      <c r="F220" s="1263"/>
      <c r="G220" s="1317"/>
      <c r="H220" s="1254"/>
      <c r="I220" s="1318"/>
      <c r="J220" s="1254"/>
      <c r="K220" s="1254"/>
      <c r="L220" s="1254"/>
      <c r="M220" s="1254"/>
      <c r="N220" s="1318"/>
      <c r="O220" s="1386"/>
      <c r="P220" s="1254"/>
      <c r="Q220" s="1254"/>
      <c r="R220" s="1254"/>
      <c r="S220" s="1254"/>
      <c r="T220" s="1254"/>
      <c r="U220" s="1254"/>
      <c r="V220" s="1254"/>
      <c r="W220" s="1254"/>
      <c r="X220" s="1254"/>
      <c r="Y220" s="1254"/>
      <c r="Z220" s="1254"/>
    </row>
    <row r="221">
      <c r="A221" s="1254"/>
      <c r="B221" s="1254"/>
      <c r="C221" s="1320"/>
      <c r="D221" s="1254"/>
      <c r="E221" s="1254"/>
      <c r="F221" s="1263"/>
      <c r="G221" s="1317"/>
      <c r="H221" s="1254"/>
      <c r="I221" s="1318"/>
      <c r="J221" s="1254"/>
      <c r="K221" s="1254"/>
      <c r="L221" s="1254"/>
      <c r="M221" s="1254"/>
      <c r="N221" s="1318"/>
      <c r="O221" s="1386"/>
      <c r="P221" s="1254"/>
      <c r="Q221" s="1254"/>
      <c r="R221" s="1254"/>
      <c r="S221" s="1254"/>
      <c r="T221" s="1254"/>
      <c r="U221" s="1254"/>
      <c r="V221" s="1254"/>
      <c r="W221" s="1254"/>
      <c r="X221" s="1254"/>
      <c r="Y221" s="1254"/>
      <c r="Z221" s="1254"/>
    </row>
    <row r="222">
      <c r="A222" s="1254"/>
      <c r="B222" s="1254"/>
      <c r="C222" s="1320"/>
      <c r="D222" s="1254"/>
      <c r="E222" s="1254"/>
      <c r="F222" s="1263"/>
      <c r="G222" s="1317"/>
      <c r="H222" s="1254"/>
      <c r="I222" s="1318"/>
      <c r="J222" s="1254"/>
      <c r="K222" s="1254"/>
      <c r="L222" s="1254"/>
      <c r="M222" s="1254"/>
      <c r="N222" s="1318"/>
      <c r="O222" s="1386"/>
      <c r="P222" s="1254"/>
      <c r="Q222" s="1254"/>
      <c r="R222" s="1254"/>
      <c r="S222" s="1254"/>
      <c r="T222" s="1254"/>
      <c r="U222" s="1254"/>
      <c r="V222" s="1254"/>
      <c r="W222" s="1254"/>
      <c r="X222" s="1254"/>
      <c r="Y222" s="1254"/>
      <c r="Z222" s="1254"/>
    </row>
    <row r="223">
      <c r="A223" s="1254"/>
      <c r="B223" s="1254"/>
      <c r="C223" s="1320"/>
      <c r="D223" s="1254"/>
      <c r="E223" s="1254"/>
      <c r="F223" s="1263"/>
      <c r="G223" s="1317"/>
      <c r="H223" s="1254"/>
      <c r="I223" s="1318"/>
      <c r="J223" s="1254"/>
      <c r="K223" s="1254"/>
      <c r="L223" s="1254"/>
      <c r="M223" s="1254"/>
      <c r="N223" s="1318"/>
      <c r="O223" s="1386"/>
      <c r="P223" s="1254"/>
      <c r="Q223" s="1254"/>
      <c r="R223" s="1254"/>
      <c r="S223" s="1254"/>
      <c r="T223" s="1254"/>
      <c r="U223" s="1254"/>
      <c r="V223" s="1254"/>
      <c r="W223" s="1254"/>
      <c r="X223" s="1254"/>
      <c r="Y223" s="1254"/>
      <c r="Z223" s="1254"/>
    </row>
    <row r="224">
      <c r="A224" s="1254"/>
      <c r="B224" s="1254"/>
      <c r="C224" s="1320"/>
      <c r="D224" s="1254"/>
      <c r="E224" s="1254"/>
      <c r="F224" s="1263"/>
      <c r="G224" s="1317"/>
      <c r="H224" s="1254"/>
      <c r="I224" s="1318"/>
      <c r="J224" s="1254"/>
      <c r="K224" s="1254"/>
      <c r="L224" s="1254"/>
      <c r="M224" s="1254"/>
      <c r="N224" s="1318"/>
      <c r="O224" s="1386"/>
      <c r="P224" s="1254"/>
      <c r="Q224" s="1254"/>
      <c r="R224" s="1254"/>
      <c r="S224" s="1254"/>
      <c r="T224" s="1254"/>
      <c r="U224" s="1254"/>
      <c r="V224" s="1254"/>
      <c r="W224" s="1254"/>
      <c r="X224" s="1254"/>
      <c r="Y224" s="1254"/>
      <c r="Z224" s="1254"/>
    </row>
    <row r="225">
      <c r="A225" s="1254"/>
      <c r="B225" s="1254"/>
      <c r="C225" s="1320"/>
      <c r="D225" s="1254"/>
      <c r="E225" s="1254"/>
      <c r="F225" s="1263"/>
      <c r="G225" s="1317"/>
      <c r="H225" s="1254"/>
      <c r="I225" s="1318"/>
      <c r="J225" s="1254"/>
      <c r="K225" s="1254"/>
      <c r="L225" s="1254"/>
      <c r="M225" s="1254"/>
      <c r="N225" s="1318"/>
      <c r="O225" s="1386"/>
      <c r="P225" s="1254"/>
      <c r="Q225" s="1254"/>
      <c r="R225" s="1254"/>
      <c r="S225" s="1254"/>
      <c r="T225" s="1254"/>
      <c r="U225" s="1254"/>
      <c r="V225" s="1254"/>
      <c r="W225" s="1254"/>
      <c r="X225" s="1254"/>
      <c r="Y225" s="1254"/>
      <c r="Z225" s="1254"/>
    </row>
    <row r="226">
      <c r="A226" s="1254"/>
      <c r="B226" s="1254"/>
      <c r="C226" s="1320"/>
      <c r="D226" s="1254"/>
      <c r="E226" s="1254"/>
      <c r="F226" s="1263"/>
      <c r="G226" s="1317"/>
      <c r="H226" s="1254"/>
      <c r="I226" s="1318"/>
      <c r="J226" s="1254"/>
      <c r="K226" s="1254"/>
      <c r="L226" s="1254"/>
      <c r="M226" s="1254"/>
      <c r="N226" s="1318"/>
      <c r="O226" s="1386"/>
      <c r="P226" s="1254"/>
      <c r="Q226" s="1254"/>
      <c r="R226" s="1254"/>
      <c r="S226" s="1254"/>
      <c r="T226" s="1254"/>
      <c r="U226" s="1254"/>
      <c r="V226" s="1254"/>
      <c r="W226" s="1254"/>
      <c r="X226" s="1254"/>
      <c r="Y226" s="1254"/>
      <c r="Z226" s="1254"/>
    </row>
    <row r="227">
      <c r="A227" s="1254"/>
      <c r="B227" s="1254"/>
      <c r="C227" s="1320"/>
      <c r="D227" s="1254"/>
      <c r="E227" s="1254"/>
      <c r="F227" s="1263"/>
      <c r="G227" s="1317"/>
      <c r="H227" s="1254"/>
      <c r="I227" s="1318"/>
      <c r="J227" s="1254"/>
      <c r="K227" s="1254"/>
      <c r="L227" s="1254"/>
      <c r="M227" s="1254"/>
      <c r="N227" s="1318"/>
      <c r="O227" s="1386"/>
      <c r="P227" s="1254"/>
      <c r="Q227" s="1254"/>
      <c r="R227" s="1254"/>
      <c r="S227" s="1254"/>
      <c r="T227" s="1254"/>
      <c r="U227" s="1254"/>
      <c r="V227" s="1254"/>
      <c r="W227" s="1254"/>
      <c r="X227" s="1254"/>
      <c r="Y227" s="1254"/>
      <c r="Z227" s="1254"/>
    </row>
    <row r="228">
      <c r="A228" s="1254"/>
      <c r="B228" s="1254"/>
      <c r="C228" s="1320"/>
      <c r="D228" s="1254"/>
      <c r="E228" s="1254"/>
      <c r="F228" s="1263"/>
      <c r="G228" s="1317"/>
      <c r="H228" s="1254"/>
      <c r="I228" s="1318"/>
      <c r="J228" s="1254"/>
      <c r="K228" s="1254"/>
      <c r="L228" s="1254"/>
      <c r="M228" s="1254"/>
      <c r="N228" s="1318"/>
      <c r="O228" s="1386"/>
      <c r="P228" s="1254"/>
      <c r="Q228" s="1254"/>
      <c r="R228" s="1254"/>
      <c r="S228" s="1254"/>
      <c r="T228" s="1254"/>
      <c r="U228" s="1254"/>
      <c r="V228" s="1254"/>
      <c r="W228" s="1254"/>
      <c r="X228" s="1254"/>
      <c r="Y228" s="1254"/>
      <c r="Z228" s="1254"/>
    </row>
    <row r="229">
      <c r="A229" s="1254"/>
      <c r="B229" s="1254"/>
      <c r="C229" s="1320"/>
      <c r="D229" s="1254"/>
      <c r="E229" s="1254"/>
      <c r="F229" s="1263"/>
      <c r="G229" s="1317"/>
      <c r="H229" s="1254"/>
      <c r="I229" s="1318"/>
      <c r="J229" s="1254"/>
      <c r="K229" s="1254"/>
      <c r="L229" s="1254"/>
      <c r="M229" s="1254"/>
      <c r="N229" s="1318"/>
      <c r="O229" s="1386"/>
      <c r="P229" s="1254"/>
      <c r="Q229" s="1254"/>
      <c r="R229" s="1254"/>
      <c r="S229" s="1254"/>
      <c r="T229" s="1254"/>
      <c r="U229" s="1254"/>
      <c r="V229" s="1254"/>
      <c r="W229" s="1254"/>
      <c r="X229" s="1254"/>
      <c r="Y229" s="1254"/>
      <c r="Z229" s="1254"/>
    </row>
    <row r="230">
      <c r="A230" s="1254"/>
      <c r="B230" s="1254"/>
      <c r="C230" s="1320"/>
      <c r="D230" s="1254"/>
      <c r="E230" s="1254"/>
      <c r="F230" s="1263"/>
      <c r="G230" s="1317"/>
      <c r="H230" s="1254"/>
      <c r="I230" s="1318"/>
      <c r="J230" s="1254"/>
      <c r="K230" s="1254"/>
      <c r="L230" s="1254"/>
      <c r="M230" s="1254"/>
      <c r="N230" s="1318"/>
      <c r="O230" s="1386"/>
      <c r="P230" s="1254"/>
      <c r="Q230" s="1254"/>
      <c r="R230" s="1254"/>
      <c r="S230" s="1254"/>
      <c r="T230" s="1254"/>
      <c r="U230" s="1254"/>
      <c r="V230" s="1254"/>
      <c r="W230" s="1254"/>
      <c r="X230" s="1254"/>
      <c r="Y230" s="1254"/>
      <c r="Z230" s="1254"/>
    </row>
    <row r="231">
      <c r="A231" s="1254"/>
      <c r="B231" s="1254"/>
      <c r="C231" s="1320"/>
      <c r="D231" s="1254"/>
      <c r="E231" s="1254"/>
      <c r="F231" s="1263"/>
      <c r="G231" s="1317"/>
      <c r="H231" s="1254"/>
      <c r="I231" s="1318"/>
      <c r="J231" s="1254"/>
      <c r="K231" s="1254"/>
      <c r="L231" s="1254"/>
      <c r="M231" s="1254"/>
      <c r="N231" s="1318"/>
      <c r="O231" s="1386"/>
      <c r="P231" s="1254"/>
      <c r="Q231" s="1254"/>
      <c r="R231" s="1254"/>
      <c r="S231" s="1254"/>
      <c r="T231" s="1254"/>
      <c r="U231" s="1254"/>
      <c r="V231" s="1254"/>
      <c r="W231" s="1254"/>
      <c r="X231" s="1254"/>
      <c r="Y231" s="1254"/>
      <c r="Z231" s="1254"/>
    </row>
    <row r="232">
      <c r="A232" s="1254"/>
      <c r="B232" s="1254"/>
      <c r="C232" s="1320"/>
      <c r="D232" s="1254"/>
      <c r="E232" s="1254"/>
      <c r="F232" s="1263"/>
      <c r="G232" s="1317"/>
      <c r="H232" s="1254"/>
      <c r="I232" s="1318"/>
      <c r="J232" s="1254"/>
      <c r="K232" s="1254"/>
      <c r="L232" s="1254"/>
      <c r="M232" s="1254"/>
      <c r="N232" s="1318"/>
      <c r="O232" s="1386"/>
      <c r="P232" s="1254"/>
      <c r="Q232" s="1254"/>
      <c r="R232" s="1254"/>
      <c r="S232" s="1254"/>
      <c r="T232" s="1254"/>
      <c r="U232" s="1254"/>
      <c r="V232" s="1254"/>
      <c r="W232" s="1254"/>
      <c r="X232" s="1254"/>
      <c r="Y232" s="1254"/>
      <c r="Z232" s="1254"/>
    </row>
    <row r="233">
      <c r="A233" s="1254"/>
      <c r="B233" s="1254"/>
      <c r="C233" s="1320"/>
      <c r="D233" s="1254"/>
      <c r="E233" s="1254"/>
      <c r="F233" s="1263"/>
      <c r="G233" s="1317"/>
      <c r="H233" s="1254"/>
      <c r="I233" s="1318"/>
      <c r="J233" s="1254"/>
      <c r="K233" s="1254"/>
      <c r="L233" s="1254"/>
      <c r="M233" s="1254"/>
      <c r="N233" s="1318"/>
      <c r="O233" s="1386"/>
      <c r="P233" s="1254"/>
      <c r="Q233" s="1254"/>
      <c r="R233" s="1254"/>
      <c r="S233" s="1254"/>
      <c r="T233" s="1254"/>
      <c r="U233" s="1254"/>
      <c r="V233" s="1254"/>
      <c r="W233" s="1254"/>
      <c r="X233" s="1254"/>
      <c r="Y233" s="1254"/>
      <c r="Z233" s="1254"/>
    </row>
    <row r="234">
      <c r="A234" s="1254"/>
      <c r="B234" s="1254"/>
      <c r="C234" s="1320"/>
      <c r="D234" s="1254"/>
      <c r="E234" s="1254"/>
      <c r="F234" s="1263"/>
      <c r="G234" s="1317"/>
      <c r="H234" s="1254"/>
      <c r="I234" s="1318"/>
      <c r="J234" s="1254"/>
      <c r="K234" s="1254"/>
      <c r="L234" s="1254"/>
      <c r="M234" s="1254"/>
      <c r="N234" s="1318"/>
      <c r="O234" s="1386"/>
      <c r="P234" s="1254"/>
      <c r="Q234" s="1254"/>
      <c r="R234" s="1254"/>
      <c r="S234" s="1254"/>
      <c r="T234" s="1254"/>
      <c r="U234" s="1254"/>
      <c r="V234" s="1254"/>
      <c r="W234" s="1254"/>
      <c r="X234" s="1254"/>
      <c r="Y234" s="1254"/>
      <c r="Z234" s="1254"/>
    </row>
    <row r="235">
      <c r="A235" s="1254"/>
      <c r="B235" s="1254"/>
      <c r="C235" s="1320"/>
      <c r="D235" s="1254"/>
      <c r="E235" s="1254"/>
      <c r="F235" s="1263"/>
      <c r="G235" s="1317"/>
      <c r="H235" s="1254"/>
      <c r="I235" s="1318"/>
      <c r="J235" s="1254"/>
      <c r="K235" s="1254"/>
      <c r="L235" s="1254"/>
      <c r="M235" s="1254"/>
      <c r="N235" s="1318"/>
      <c r="O235" s="1386"/>
      <c r="P235" s="1254"/>
      <c r="Q235" s="1254"/>
      <c r="R235" s="1254"/>
      <c r="S235" s="1254"/>
      <c r="T235" s="1254"/>
      <c r="U235" s="1254"/>
      <c r="V235" s="1254"/>
      <c r="W235" s="1254"/>
      <c r="X235" s="1254"/>
      <c r="Y235" s="1254"/>
      <c r="Z235" s="1254"/>
    </row>
    <row r="236">
      <c r="A236" s="1254"/>
      <c r="B236" s="1254"/>
      <c r="C236" s="1320"/>
      <c r="D236" s="1254"/>
      <c r="E236" s="1254"/>
      <c r="F236" s="1263"/>
      <c r="G236" s="1317"/>
      <c r="H236" s="1254"/>
      <c r="I236" s="1318"/>
      <c r="J236" s="1254"/>
      <c r="K236" s="1254"/>
      <c r="L236" s="1254"/>
      <c r="M236" s="1254"/>
      <c r="N236" s="1318"/>
      <c r="O236" s="1386"/>
      <c r="P236" s="1254"/>
      <c r="Q236" s="1254"/>
      <c r="R236" s="1254"/>
      <c r="S236" s="1254"/>
      <c r="T236" s="1254"/>
      <c r="U236" s="1254"/>
      <c r="V236" s="1254"/>
      <c r="W236" s="1254"/>
      <c r="X236" s="1254"/>
      <c r="Y236" s="1254"/>
      <c r="Z236" s="1254"/>
    </row>
    <row r="237">
      <c r="A237" s="1254"/>
      <c r="B237" s="1254"/>
      <c r="C237" s="1320"/>
      <c r="D237" s="1254"/>
      <c r="E237" s="1254"/>
      <c r="F237" s="1263"/>
      <c r="G237" s="1317"/>
      <c r="H237" s="1254"/>
      <c r="I237" s="1318"/>
      <c r="J237" s="1254"/>
      <c r="K237" s="1254"/>
      <c r="L237" s="1254"/>
      <c r="M237" s="1254"/>
      <c r="N237" s="1318"/>
      <c r="O237" s="1386"/>
      <c r="P237" s="1254"/>
      <c r="Q237" s="1254"/>
      <c r="R237" s="1254"/>
      <c r="S237" s="1254"/>
      <c r="T237" s="1254"/>
      <c r="U237" s="1254"/>
      <c r="V237" s="1254"/>
      <c r="W237" s="1254"/>
      <c r="X237" s="1254"/>
      <c r="Y237" s="1254"/>
      <c r="Z237" s="1254"/>
    </row>
    <row r="238">
      <c r="A238" s="1254"/>
      <c r="B238" s="1254"/>
      <c r="C238" s="1320"/>
      <c r="D238" s="1254"/>
      <c r="E238" s="1254"/>
      <c r="F238" s="1263"/>
      <c r="G238" s="1317"/>
      <c r="H238" s="1254"/>
      <c r="I238" s="1318"/>
      <c r="J238" s="1254"/>
      <c r="K238" s="1254"/>
      <c r="L238" s="1254"/>
      <c r="M238" s="1254"/>
      <c r="N238" s="1318"/>
      <c r="O238" s="1386"/>
      <c r="P238" s="1254"/>
      <c r="Q238" s="1254"/>
      <c r="R238" s="1254"/>
      <c r="S238" s="1254"/>
      <c r="T238" s="1254"/>
      <c r="U238" s="1254"/>
      <c r="V238" s="1254"/>
      <c r="W238" s="1254"/>
      <c r="X238" s="1254"/>
      <c r="Y238" s="1254"/>
      <c r="Z238" s="1254"/>
    </row>
    <row r="239">
      <c r="A239" s="1254"/>
      <c r="B239" s="1254"/>
      <c r="C239" s="1320"/>
      <c r="D239" s="1254"/>
      <c r="E239" s="1254"/>
      <c r="F239" s="1263"/>
      <c r="G239" s="1317"/>
      <c r="H239" s="1254"/>
      <c r="I239" s="1318"/>
      <c r="J239" s="1254"/>
      <c r="K239" s="1254"/>
      <c r="L239" s="1254"/>
      <c r="M239" s="1254"/>
      <c r="N239" s="1318"/>
      <c r="O239" s="1386"/>
      <c r="P239" s="1254"/>
      <c r="Q239" s="1254"/>
      <c r="R239" s="1254"/>
      <c r="S239" s="1254"/>
      <c r="T239" s="1254"/>
      <c r="U239" s="1254"/>
      <c r="V239" s="1254"/>
      <c r="W239" s="1254"/>
      <c r="X239" s="1254"/>
      <c r="Y239" s="1254"/>
      <c r="Z239" s="1254"/>
    </row>
    <row r="240">
      <c r="A240" s="1254"/>
      <c r="B240" s="1254"/>
      <c r="C240" s="1320"/>
      <c r="D240" s="1254"/>
      <c r="E240" s="1254"/>
      <c r="F240" s="1263"/>
      <c r="G240" s="1317"/>
      <c r="H240" s="1254"/>
      <c r="I240" s="1318"/>
      <c r="J240" s="1254"/>
      <c r="K240" s="1254"/>
      <c r="L240" s="1254"/>
      <c r="M240" s="1254"/>
      <c r="N240" s="1318"/>
      <c r="O240" s="1386"/>
      <c r="P240" s="1254"/>
      <c r="Q240" s="1254"/>
      <c r="R240" s="1254"/>
      <c r="S240" s="1254"/>
      <c r="T240" s="1254"/>
      <c r="U240" s="1254"/>
      <c r="V240" s="1254"/>
      <c r="W240" s="1254"/>
      <c r="X240" s="1254"/>
      <c r="Y240" s="1254"/>
      <c r="Z240" s="1254"/>
    </row>
    <row r="241">
      <c r="A241" s="1254"/>
      <c r="B241" s="1254"/>
      <c r="C241" s="1320"/>
      <c r="D241" s="1254"/>
      <c r="E241" s="1254"/>
      <c r="F241" s="1263"/>
      <c r="G241" s="1317"/>
      <c r="H241" s="1254"/>
      <c r="I241" s="1318"/>
      <c r="J241" s="1254"/>
      <c r="K241" s="1254"/>
      <c r="L241" s="1254"/>
      <c r="M241" s="1254"/>
      <c r="N241" s="1318"/>
      <c r="O241" s="1386"/>
      <c r="P241" s="1254"/>
      <c r="Q241" s="1254"/>
      <c r="R241" s="1254"/>
      <c r="S241" s="1254"/>
      <c r="T241" s="1254"/>
      <c r="U241" s="1254"/>
      <c r="V241" s="1254"/>
      <c r="W241" s="1254"/>
      <c r="X241" s="1254"/>
      <c r="Y241" s="1254"/>
      <c r="Z241" s="1254"/>
    </row>
    <row r="242">
      <c r="A242" s="1254"/>
      <c r="B242" s="1254"/>
      <c r="C242" s="1320"/>
      <c r="D242" s="1254"/>
      <c r="E242" s="1254"/>
      <c r="F242" s="1263"/>
      <c r="G242" s="1317"/>
      <c r="H242" s="1254"/>
      <c r="I242" s="1318"/>
      <c r="J242" s="1254"/>
      <c r="K242" s="1254"/>
      <c r="L242" s="1254"/>
      <c r="M242" s="1254"/>
      <c r="N242" s="1318"/>
      <c r="O242" s="1386"/>
      <c r="P242" s="1254"/>
      <c r="Q242" s="1254"/>
      <c r="R242" s="1254"/>
      <c r="S242" s="1254"/>
      <c r="T242" s="1254"/>
      <c r="U242" s="1254"/>
      <c r="V242" s="1254"/>
      <c r="W242" s="1254"/>
      <c r="X242" s="1254"/>
      <c r="Y242" s="1254"/>
      <c r="Z242" s="1254"/>
    </row>
    <row r="243">
      <c r="A243" s="1254"/>
      <c r="B243" s="1254"/>
      <c r="C243" s="1320"/>
      <c r="D243" s="1254"/>
      <c r="E243" s="1254"/>
      <c r="F243" s="1263"/>
      <c r="G243" s="1317"/>
      <c r="H243" s="1254"/>
      <c r="I243" s="1318"/>
      <c r="J243" s="1254"/>
      <c r="K243" s="1254"/>
      <c r="L243" s="1254"/>
      <c r="M243" s="1254"/>
      <c r="N243" s="1318"/>
      <c r="O243" s="1386"/>
      <c r="P243" s="1254"/>
      <c r="Q243" s="1254"/>
      <c r="R243" s="1254"/>
      <c r="S243" s="1254"/>
      <c r="T243" s="1254"/>
      <c r="U243" s="1254"/>
      <c r="V243" s="1254"/>
      <c r="W243" s="1254"/>
      <c r="X243" s="1254"/>
      <c r="Y243" s="1254"/>
      <c r="Z243" s="1254"/>
    </row>
    <row r="244">
      <c r="A244" s="1254"/>
      <c r="B244" s="1254"/>
      <c r="C244" s="1320"/>
      <c r="D244" s="1254"/>
      <c r="E244" s="1254"/>
      <c r="F244" s="1263"/>
      <c r="G244" s="1317"/>
      <c r="H244" s="1254"/>
      <c r="I244" s="1318"/>
      <c r="J244" s="1254"/>
      <c r="K244" s="1254"/>
      <c r="L244" s="1254"/>
      <c r="M244" s="1254"/>
      <c r="N244" s="1318"/>
      <c r="O244" s="1386"/>
      <c r="P244" s="1254"/>
      <c r="Q244" s="1254"/>
      <c r="R244" s="1254"/>
      <c r="S244" s="1254"/>
      <c r="T244" s="1254"/>
      <c r="U244" s="1254"/>
      <c r="V244" s="1254"/>
      <c r="W244" s="1254"/>
      <c r="X244" s="1254"/>
      <c r="Y244" s="1254"/>
      <c r="Z244" s="1254"/>
    </row>
    <row r="245">
      <c r="A245" s="1254"/>
      <c r="B245" s="1254"/>
      <c r="C245" s="1320"/>
      <c r="D245" s="1254"/>
      <c r="E245" s="1254"/>
      <c r="F245" s="1263"/>
      <c r="G245" s="1317"/>
      <c r="H245" s="1254"/>
      <c r="I245" s="1318"/>
      <c r="J245" s="1254"/>
      <c r="K245" s="1254"/>
      <c r="L245" s="1254"/>
      <c r="M245" s="1254"/>
      <c r="N245" s="1318"/>
      <c r="O245" s="1386"/>
      <c r="P245" s="1254"/>
      <c r="Q245" s="1254"/>
      <c r="R245" s="1254"/>
      <c r="S245" s="1254"/>
      <c r="T245" s="1254"/>
      <c r="U245" s="1254"/>
      <c r="V245" s="1254"/>
      <c r="W245" s="1254"/>
      <c r="X245" s="1254"/>
      <c r="Y245" s="1254"/>
      <c r="Z245" s="1254"/>
    </row>
    <row r="246">
      <c r="A246" s="1254"/>
      <c r="B246" s="1254"/>
      <c r="C246" s="1320"/>
      <c r="D246" s="1254"/>
      <c r="E246" s="1254"/>
      <c r="F246" s="1263"/>
      <c r="G246" s="1317"/>
      <c r="H246" s="1254"/>
      <c r="I246" s="1318"/>
      <c r="J246" s="1254"/>
      <c r="K246" s="1254"/>
      <c r="L246" s="1254"/>
      <c r="M246" s="1254"/>
      <c r="N246" s="1318"/>
      <c r="O246" s="1386"/>
      <c r="P246" s="1254"/>
      <c r="Q246" s="1254"/>
      <c r="R246" s="1254"/>
      <c r="S246" s="1254"/>
      <c r="T246" s="1254"/>
      <c r="U246" s="1254"/>
      <c r="V246" s="1254"/>
      <c r="W246" s="1254"/>
      <c r="X246" s="1254"/>
      <c r="Y246" s="1254"/>
      <c r="Z246" s="1254"/>
    </row>
    <row r="247">
      <c r="A247" s="1254"/>
      <c r="B247" s="1254"/>
      <c r="C247" s="1320"/>
      <c r="D247" s="1254"/>
      <c r="E247" s="1254"/>
      <c r="F247" s="1263"/>
      <c r="G247" s="1317"/>
      <c r="H247" s="1254"/>
      <c r="I247" s="1318"/>
      <c r="J247" s="1254"/>
      <c r="K247" s="1254"/>
      <c r="L247" s="1254"/>
      <c r="M247" s="1254"/>
      <c r="N247" s="1318"/>
      <c r="O247" s="1386"/>
      <c r="P247" s="1254"/>
      <c r="Q247" s="1254"/>
      <c r="R247" s="1254"/>
      <c r="S247" s="1254"/>
      <c r="T247" s="1254"/>
      <c r="U247" s="1254"/>
      <c r="V247" s="1254"/>
      <c r="W247" s="1254"/>
      <c r="X247" s="1254"/>
      <c r="Y247" s="1254"/>
      <c r="Z247" s="1254"/>
    </row>
    <row r="248">
      <c r="A248" s="1254"/>
      <c r="B248" s="1254"/>
      <c r="C248" s="1320"/>
      <c r="D248" s="1254"/>
      <c r="E248" s="1254"/>
      <c r="F248" s="1263"/>
      <c r="G248" s="1317"/>
      <c r="H248" s="1254"/>
      <c r="I248" s="1318"/>
      <c r="J248" s="1254"/>
      <c r="K248" s="1254"/>
      <c r="L248" s="1254"/>
      <c r="M248" s="1254"/>
      <c r="N248" s="1318"/>
      <c r="O248" s="1386"/>
      <c r="P248" s="1254"/>
      <c r="Q248" s="1254"/>
      <c r="R248" s="1254"/>
      <c r="S248" s="1254"/>
      <c r="T248" s="1254"/>
      <c r="U248" s="1254"/>
      <c r="V248" s="1254"/>
      <c r="W248" s="1254"/>
      <c r="X248" s="1254"/>
      <c r="Y248" s="1254"/>
      <c r="Z248" s="1254"/>
    </row>
    <row r="249">
      <c r="A249" s="1254"/>
      <c r="B249" s="1254"/>
      <c r="C249" s="1320"/>
      <c r="D249" s="1254"/>
      <c r="E249" s="1254"/>
      <c r="F249" s="1263"/>
      <c r="G249" s="1317"/>
      <c r="H249" s="1254"/>
      <c r="I249" s="1318"/>
      <c r="J249" s="1254"/>
      <c r="K249" s="1254"/>
      <c r="L249" s="1254"/>
      <c r="M249" s="1254"/>
      <c r="N249" s="1318"/>
      <c r="O249" s="1386"/>
      <c r="P249" s="1254"/>
      <c r="Q249" s="1254"/>
      <c r="R249" s="1254"/>
      <c r="S249" s="1254"/>
      <c r="T249" s="1254"/>
      <c r="U249" s="1254"/>
      <c r="V249" s="1254"/>
      <c r="W249" s="1254"/>
      <c r="X249" s="1254"/>
      <c r="Y249" s="1254"/>
      <c r="Z249" s="1254"/>
    </row>
    <row r="250">
      <c r="A250" s="1254"/>
      <c r="B250" s="1254"/>
      <c r="C250" s="1320"/>
      <c r="D250" s="1254"/>
      <c r="E250" s="1254"/>
      <c r="F250" s="1263"/>
      <c r="G250" s="1317"/>
      <c r="H250" s="1254"/>
      <c r="I250" s="1318"/>
      <c r="J250" s="1254"/>
      <c r="K250" s="1254"/>
      <c r="L250" s="1254"/>
      <c r="M250" s="1254"/>
      <c r="N250" s="1318"/>
      <c r="O250" s="1386"/>
      <c r="P250" s="1254"/>
      <c r="Q250" s="1254"/>
      <c r="R250" s="1254"/>
      <c r="S250" s="1254"/>
      <c r="T250" s="1254"/>
      <c r="U250" s="1254"/>
      <c r="V250" s="1254"/>
      <c r="W250" s="1254"/>
      <c r="X250" s="1254"/>
      <c r="Y250" s="1254"/>
      <c r="Z250" s="1254"/>
    </row>
    <row r="251">
      <c r="A251" s="1254"/>
      <c r="B251" s="1254"/>
      <c r="C251" s="1320"/>
      <c r="D251" s="1254"/>
      <c r="E251" s="1254"/>
      <c r="F251" s="1263"/>
      <c r="G251" s="1317"/>
      <c r="H251" s="1254"/>
      <c r="I251" s="1318"/>
      <c r="J251" s="1254"/>
      <c r="K251" s="1254"/>
      <c r="L251" s="1254"/>
      <c r="M251" s="1254"/>
      <c r="N251" s="1318"/>
      <c r="O251" s="1386"/>
      <c r="P251" s="1254"/>
      <c r="Q251" s="1254"/>
      <c r="R251" s="1254"/>
      <c r="S251" s="1254"/>
      <c r="T251" s="1254"/>
      <c r="U251" s="1254"/>
      <c r="V251" s="1254"/>
      <c r="W251" s="1254"/>
      <c r="X251" s="1254"/>
      <c r="Y251" s="1254"/>
      <c r="Z251" s="1254"/>
    </row>
    <row r="252">
      <c r="A252" s="1254"/>
      <c r="B252" s="1254"/>
      <c r="C252" s="1320"/>
      <c r="D252" s="1254"/>
      <c r="E252" s="1254"/>
      <c r="F252" s="1263"/>
      <c r="G252" s="1317"/>
      <c r="H252" s="1254"/>
      <c r="I252" s="1318"/>
      <c r="J252" s="1254"/>
      <c r="K252" s="1254"/>
      <c r="L252" s="1254"/>
      <c r="M252" s="1254"/>
      <c r="N252" s="1318"/>
      <c r="O252" s="1386"/>
      <c r="P252" s="1254"/>
      <c r="Q252" s="1254"/>
      <c r="R252" s="1254"/>
      <c r="S252" s="1254"/>
      <c r="T252" s="1254"/>
      <c r="U252" s="1254"/>
      <c r="V252" s="1254"/>
      <c r="W252" s="1254"/>
      <c r="X252" s="1254"/>
      <c r="Y252" s="1254"/>
      <c r="Z252" s="1254"/>
    </row>
    <row r="253">
      <c r="A253" s="1254"/>
      <c r="B253" s="1254"/>
      <c r="C253" s="1320"/>
      <c r="D253" s="1254"/>
      <c r="E253" s="1254"/>
      <c r="F253" s="1263"/>
      <c r="G253" s="1317"/>
      <c r="H253" s="1254"/>
      <c r="I253" s="1318"/>
      <c r="J253" s="1254"/>
      <c r="K253" s="1254"/>
      <c r="L253" s="1254"/>
      <c r="M253" s="1254"/>
      <c r="N253" s="1318"/>
      <c r="O253" s="1386"/>
      <c r="P253" s="1254"/>
      <c r="Q253" s="1254"/>
      <c r="R253" s="1254"/>
      <c r="S253" s="1254"/>
      <c r="T253" s="1254"/>
      <c r="U253" s="1254"/>
      <c r="V253" s="1254"/>
      <c r="W253" s="1254"/>
      <c r="X253" s="1254"/>
      <c r="Y253" s="1254"/>
      <c r="Z253" s="1254"/>
    </row>
    <row r="254">
      <c r="A254" s="1254"/>
      <c r="B254" s="1254"/>
      <c r="C254" s="1320"/>
      <c r="D254" s="1254"/>
      <c r="E254" s="1254"/>
      <c r="F254" s="1263"/>
      <c r="G254" s="1317"/>
      <c r="H254" s="1254"/>
      <c r="I254" s="1318"/>
      <c r="J254" s="1254"/>
      <c r="K254" s="1254"/>
      <c r="L254" s="1254"/>
      <c r="M254" s="1254"/>
      <c r="N254" s="1318"/>
      <c r="O254" s="1386"/>
      <c r="P254" s="1254"/>
      <c r="Q254" s="1254"/>
      <c r="R254" s="1254"/>
      <c r="S254" s="1254"/>
      <c r="T254" s="1254"/>
      <c r="U254" s="1254"/>
      <c r="V254" s="1254"/>
      <c r="W254" s="1254"/>
      <c r="X254" s="1254"/>
      <c r="Y254" s="1254"/>
      <c r="Z254" s="1254"/>
    </row>
    <row r="255">
      <c r="A255" s="1254"/>
      <c r="B255" s="1254"/>
      <c r="C255" s="1320"/>
      <c r="D255" s="1254"/>
      <c r="E255" s="1254"/>
      <c r="F255" s="1263"/>
      <c r="G255" s="1317"/>
      <c r="H255" s="1254"/>
      <c r="I255" s="1318"/>
      <c r="J255" s="1254"/>
      <c r="K255" s="1254"/>
      <c r="L255" s="1254"/>
      <c r="M255" s="1254"/>
      <c r="N255" s="1318"/>
      <c r="O255" s="1386"/>
      <c r="P255" s="1254"/>
      <c r="Q255" s="1254"/>
      <c r="R255" s="1254"/>
      <c r="S255" s="1254"/>
      <c r="T255" s="1254"/>
      <c r="U255" s="1254"/>
      <c r="V255" s="1254"/>
      <c r="W255" s="1254"/>
      <c r="X255" s="1254"/>
      <c r="Y255" s="1254"/>
      <c r="Z255" s="1254"/>
    </row>
    <row r="256">
      <c r="A256" s="1254"/>
      <c r="B256" s="1254"/>
      <c r="C256" s="1320"/>
      <c r="D256" s="1254"/>
      <c r="E256" s="1254"/>
      <c r="F256" s="1263"/>
      <c r="G256" s="1317"/>
      <c r="H256" s="1254"/>
      <c r="I256" s="1318"/>
      <c r="J256" s="1254"/>
      <c r="K256" s="1254"/>
      <c r="L256" s="1254"/>
      <c r="M256" s="1254"/>
      <c r="N256" s="1318"/>
      <c r="O256" s="1386"/>
      <c r="P256" s="1254"/>
      <c r="Q256" s="1254"/>
      <c r="R256" s="1254"/>
      <c r="S256" s="1254"/>
      <c r="T256" s="1254"/>
      <c r="U256" s="1254"/>
      <c r="V256" s="1254"/>
      <c r="W256" s="1254"/>
      <c r="X256" s="1254"/>
      <c r="Y256" s="1254"/>
      <c r="Z256" s="1254"/>
    </row>
    <row r="257">
      <c r="A257" s="1254"/>
      <c r="B257" s="1254"/>
      <c r="C257" s="1320"/>
      <c r="D257" s="1254"/>
      <c r="E257" s="1254"/>
      <c r="F257" s="1263"/>
      <c r="G257" s="1317"/>
      <c r="H257" s="1254"/>
      <c r="I257" s="1318"/>
      <c r="J257" s="1254"/>
      <c r="K257" s="1254"/>
      <c r="L257" s="1254"/>
      <c r="M257" s="1254"/>
      <c r="N257" s="1318"/>
      <c r="O257" s="1386"/>
      <c r="P257" s="1254"/>
      <c r="Q257" s="1254"/>
      <c r="R257" s="1254"/>
      <c r="S257" s="1254"/>
      <c r="T257" s="1254"/>
      <c r="U257" s="1254"/>
      <c r="V257" s="1254"/>
      <c r="W257" s="1254"/>
      <c r="X257" s="1254"/>
      <c r="Y257" s="1254"/>
      <c r="Z257" s="1254"/>
    </row>
    <row r="258">
      <c r="A258" s="1254"/>
      <c r="B258" s="1254"/>
      <c r="C258" s="1320"/>
      <c r="D258" s="1254"/>
      <c r="E258" s="1254"/>
      <c r="F258" s="1263"/>
      <c r="G258" s="1317"/>
      <c r="H258" s="1254"/>
      <c r="I258" s="1318"/>
      <c r="J258" s="1254"/>
      <c r="K258" s="1254"/>
      <c r="L258" s="1254"/>
      <c r="M258" s="1254"/>
      <c r="N258" s="1318"/>
      <c r="O258" s="1386"/>
      <c r="P258" s="1254"/>
      <c r="Q258" s="1254"/>
      <c r="R258" s="1254"/>
      <c r="S258" s="1254"/>
      <c r="T258" s="1254"/>
      <c r="U258" s="1254"/>
      <c r="V258" s="1254"/>
      <c r="W258" s="1254"/>
      <c r="X258" s="1254"/>
      <c r="Y258" s="1254"/>
      <c r="Z258" s="1254"/>
    </row>
    <row r="259">
      <c r="A259" s="1254"/>
      <c r="B259" s="1254"/>
      <c r="C259" s="1320"/>
      <c r="D259" s="1254"/>
      <c r="E259" s="1254"/>
      <c r="F259" s="1263"/>
      <c r="G259" s="1317"/>
      <c r="H259" s="1254"/>
      <c r="I259" s="1318"/>
      <c r="J259" s="1254"/>
      <c r="K259" s="1254"/>
      <c r="L259" s="1254"/>
      <c r="M259" s="1254"/>
      <c r="N259" s="1318"/>
      <c r="O259" s="1386"/>
      <c r="P259" s="1254"/>
      <c r="Q259" s="1254"/>
      <c r="R259" s="1254"/>
      <c r="S259" s="1254"/>
      <c r="T259" s="1254"/>
      <c r="U259" s="1254"/>
      <c r="V259" s="1254"/>
      <c r="W259" s="1254"/>
      <c r="X259" s="1254"/>
      <c r="Y259" s="1254"/>
      <c r="Z259" s="1254"/>
    </row>
    <row r="260">
      <c r="A260" s="1254"/>
      <c r="B260" s="1254"/>
      <c r="C260" s="1320"/>
      <c r="D260" s="1254"/>
      <c r="E260" s="1254"/>
      <c r="F260" s="1263"/>
      <c r="G260" s="1317"/>
      <c r="H260" s="1254"/>
      <c r="I260" s="1318"/>
      <c r="J260" s="1254"/>
      <c r="K260" s="1254"/>
      <c r="L260" s="1254"/>
      <c r="M260" s="1254"/>
      <c r="N260" s="1318"/>
      <c r="O260" s="1386"/>
      <c r="P260" s="1254"/>
      <c r="Q260" s="1254"/>
      <c r="R260" s="1254"/>
      <c r="S260" s="1254"/>
      <c r="T260" s="1254"/>
      <c r="U260" s="1254"/>
      <c r="V260" s="1254"/>
      <c r="W260" s="1254"/>
      <c r="X260" s="1254"/>
      <c r="Y260" s="1254"/>
      <c r="Z260" s="1254"/>
    </row>
    <row r="261">
      <c r="A261" s="1254"/>
      <c r="B261" s="1254"/>
      <c r="C261" s="1320"/>
      <c r="D261" s="1254"/>
      <c r="E261" s="1254"/>
      <c r="F261" s="1263"/>
      <c r="G261" s="1317"/>
      <c r="H261" s="1254"/>
      <c r="I261" s="1318"/>
      <c r="J261" s="1254"/>
      <c r="K261" s="1254"/>
      <c r="L261" s="1254"/>
      <c r="M261" s="1254"/>
      <c r="N261" s="1318"/>
      <c r="O261" s="1386"/>
      <c r="P261" s="1254"/>
      <c r="Q261" s="1254"/>
      <c r="R261" s="1254"/>
      <c r="S261" s="1254"/>
      <c r="T261" s="1254"/>
      <c r="U261" s="1254"/>
      <c r="V261" s="1254"/>
      <c r="W261" s="1254"/>
      <c r="X261" s="1254"/>
      <c r="Y261" s="1254"/>
      <c r="Z261" s="1254"/>
    </row>
    <row r="262">
      <c r="A262" s="1254"/>
      <c r="B262" s="1254"/>
      <c r="C262" s="1320"/>
      <c r="D262" s="1254"/>
      <c r="E262" s="1254"/>
      <c r="F262" s="1263"/>
      <c r="G262" s="1317"/>
      <c r="H262" s="1254"/>
      <c r="I262" s="1318"/>
      <c r="J262" s="1254"/>
      <c r="K262" s="1254"/>
      <c r="L262" s="1254"/>
      <c r="M262" s="1254"/>
      <c r="N262" s="1318"/>
      <c r="O262" s="1386"/>
      <c r="P262" s="1254"/>
      <c r="Q262" s="1254"/>
      <c r="R262" s="1254"/>
      <c r="S262" s="1254"/>
      <c r="T262" s="1254"/>
      <c r="U262" s="1254"/>
      <c r="V262" s="1254"/>
      <c r="W262" s="1254"/>
      <c r="X262" s="1254"/>
      <c r="Y262" s="1254"/>
      <c r="Z262" s="1254"/>
    </row>
    <row r="263">
      <c r="A263" s="1254"/>
      <c r="B263" s="1254"/>
      <c r="C263" s="1320"/>
      <c r="D263" s="1254"/>
      <c r="E263" s="1254"/>
      <c r="F263" s="1263"/>
      <c r="G263" s="1317"/>
      <c r="H263" s="1254"/>
      <c r="I263" s="1318"/>
      <c r="J263" s="1254"/>
      <c r="K263" s="1254"/>
      <c r="L263" s="1254"/>
      <c r="M263" s="1254"/>
      <c r="N263" s="1318"/>
      <c r="O263" s="1386"/>
      <c r="P263" s="1254"/>
      <c r="Q263" s="1254"/>
      <c r="R263" s="1254"/>
      <c r="S263" s="1254"/>
      <c r="T263" s="1254"/>
      <c r="U263" s="1254"/>
      <c r="V263" s="1254"/>
      <c r="W263" s="1254"/>
      <c r="X263" s="1254"/>
      <c r="Y263" s="1254"/>
      <c r="Z263" s="1254"/>
    </row>
    <row r="264">
      <c r="A264" s="1254"/>
      <c r="B264" s="1254"/>
      <c r="C264" s="1320"/>
      <c r="D264" s="1254"/>
      <c r="E264" s="1254"/>
      <c r="F264" s="1263"/>
      <c r="G264" s="1317"/>
      <c r="H264" s="1254"/>
      <c r="I264" s="1318"/>
      <c r="J264" s="1254"/>
      <c r="K264" s="1254"/>
      <c r="L264" s="1254"/>
      <c r="M264" s="1254"/>
      <c r="N264" s="1318"/>
      <c r="O264" s="1386"/>
      <c r="P264" s="1254"/>
      <c r="Q264" s="1254"/>
      <c r="R264" s="1254"/>
      <c r="S264" s="1254"/>
      <c r="T264" s="1254"/>
      <c r="U264" s="1254"/>
      <c r="V264" s="1254"/>
      <c r="W264" s="1254"/>
      <c r="X264" s="1254"/>
      <c r="Y264" s="1254"/>
      <c r="Z264" s="1254"/>
    </row>
    <row r="265">
      <c r="A265" s="1254"/>
      <c r="B265" s="1254"/>
      <c r="C265" s="1320"/>
      <c r="D265" s="1254"/>
      <c r="E265" s="1254"/>
      <c r="F265" s="1263"/>
      <c r="G265" s="1317"/>
      <c r="H265" s="1254"/>
      <c r="I265" s="1318"/>
      <c r="J265" s="1254"/>
      <c r="K265" s="1254"/>
      <c r="L265" s="1254"/>
      <c r="M265" s="1254"/>
      <c r="N265" s="1318"/>
      <c r="O265" s="1386"/>
      <c r="P265" s="1254"/>
      <c r="Q265" s="1254"/>
      <c r="R265" s="1254"/>
      <c r="S265" s="1254"/>
      <c r="T265" s="1254"/>
      <c r="U265" s="1254"/>
      <c r="V265" s="1254"/>
      <c r="W265" s="1254"/>
      <c r="X265" s="1254"/>
      <c r="Y265" s="1254"/>
      <c r="Z265" s="1254"/>
    </row>
    <row r="266">
      <c r="A266" s="1254"/>
      <c r="B266" s="1254"/>
      <c r="C266" s="1320"/>
      <c r="D266" s="1254"/>
      <c r="E266" s="1254"/>
      <c r="F266" s="1263"/>
      <c r="G266" s="1317"/>
      <c r="H266" s="1254"/>
      <c r="I266" s="1318"/>
      <c r="J266" s="1254"/>
      <c r="K266" s="1254"/>
      <c r="L266" s="1254"/>
      <c r="M266" s="1254"/>
      <c r="N266" s="1318"/>
      <c r="O266" s="1386"/>
      <c r="P266" s="1254"/>
      <c r="Q266" s="1254"/>
      <c r="R266" s="1254"/>
      <c r="S266" s="1254"/>
      <c r="T266" s="1254"/>
      <c r="U266" s="1254"/>
      <c r="V266" s="1254"/>
      <c r="W266" s="1254"/>
      <c r="X266" s="1254"/>
      <c r="Y266" s="1254"/>
      <c r="Z266" s="1254"/>
    </row>
    <row r="267">
      <c r="A267" s="1254"/>
      <c r="B267" s="1254"/>
      <c r="C267" s="1320"/>
      <c r="D267" s="1254"/>
      <c r="E267" s="1254"/>
      <c r="F267" s="1263"/>
      <c r="G267" s="1317"/>
      <c r="H267" s="1254"/>
      <c r="I267" s="1318"/>
      <c r="J267" s="1254"/>
      <c r="K267" s="1254"/>
      <c r="L267" s="1254"/>
      <c r="M267" s="1254"/>
      <c r="N267" s="1318"/>
      <c r="O267" s="1386"/>
      <c r="P267" s="1254"/>
      <c r="Q267" s="1254"/>
      <c r="R267" s="1254"/>
      <c r="S267" s="1254"/>
      <c r="T267" s="1254"/>
      <c r="U267" s="1254"/>
      <c r="V267" s="1254"/>
      <c r="W267" s="1254"/>
      <c r="X267" s="1254"/>
      <c r="Y267" s="1254"/>
      <c r="Z267" s="1254"/>
    </row>
    <row r="268">
      <c r="A268" s="1254"/>
      <c r="B268" s="1254"/>
      <c r="C268" s="1320"/>
      <c r="D268" s="1254"/>
      <c r="E268" s="1254"/>
      <c r="F268" s="1263"/>
      <c r="G268" s="1317"/>
      <c r="H268" s="1254"/>
      <c r="I268" s="1318"/>
      <c r="J268" s="1254"/>
      <c r="K268" s="1254"/>
      <c r="L268" s="1254"/>
      <c r="M268" s="1254"/>
      <c r="N268" s="1318"/>
      <c r="O268" s="1386"/>
      <c r="P268" s="1254"/>
      <c r="Q268" s="1254"/>
      <c r="R268" s="1254"/>
      <c r="S268" s="1254"/>
      <c r="T268" s="1254"/>
      <c r="U268" s="1254"/>
      <c r="V268" s="1254"/>
      <c r="W268" s="1254"/>
      <c r="X268" s="1254"/>
      <c r="Y268" s="1254"/>
      <c r="Z268" s="1254"/>
    </row>
    <row r="269">
      <c r="A269" s="1254"/>
      <c r="B269" s="1254"/>
      <c r="C269" s="1320"/>
      <c r="D269" s="1254"/>
      <c r="E269" s="1254"/>
      <c r="F269" s="1263"/>
      <c r="G269" s="1317"/>
      <c r="H269" s="1254"/>
      <c r="I269" s="1318"/>
      <c r="J269" s="1254"/>
      <c r="K269" s="1254"/>
      <c r="L269" s="1254"/>
      <c r="M269" s="1254"/>
      <c r="N269" s="1318"/>
      <c r="O269" s="1386"/>
      <c r="P269" s="1254"/>
      <c r="Q269" s="1254"/>
      <c r="R269" s="1254"/>
      <c r="S269" s="1254"/>
      <c r="T269" s="1254"/>
      <c r="U269" s="1254"/>
      <c r="V269" s="1254"/>
      <c r="W269" s="1254"/>
      <c r="X269" s="1254"/>
      <c r="Y269" s="1254"/>
      <c r="Z269" s="1254"/>
    </row>
    <row r="270">
      <c r="A270" s="1254"/>
      <c r="B270" s="1254"/>
      <c r="C270" s="1320"/>
      <c r="D270" s="1254"/>
      <c r="E270" s="1254"/>
      <c r="F270" s="1263"/>
      <c r="G270" s="1317"/>
      <c r="H270" s="1254"/>
      <c r="I270" s="1318"/>
      <c r="J270" s="1254"/>
      <c r="K270" s="1254"/>
      <c r="L270" s="1254"/>
      <c r="M270" s="1254"/>
      <c r="N270" s="1318"/>
      <c r="O270" s="1386"/>
      <c r="P270" s="1254"/>
      <c r="Q270" s="1254"/>
      <c r="R270" s="1254"/>
      <c r="S270" s="1254"/>
      <c r="T270" s="1254"/>
      <c r="U270" s="1254"/>
      <c r="V270" s="1254"/>
      <c r="W270" s="1254"/>
      <c r="X270" s="1254"/>
      <c r="Y270" s="1254"/>
      <c r="Z270" s="1254"/>
    </row>
    <row r="271">
      <c r="A271" s="1254"/>
      <c r="B271" s="1254"/>
      <c r="C271" s="1320"/>
      <c r="D271" s="1254"/>
      <c r="E271" s="1254"/>
      <c r="F271" s="1263"/>
      <c r="G271" s="1317"/>
      <c r="H271" s="1254"/>
      <c r="I271" s="1318"/>
      <c r="J271" s="1254"/>
      <c r="K271" s="1254"/>
      <c r="L271" s="1254"/>
      <c r="M271" s="1254"/>
      <c r="N271" s="1318"/>
      <c r="O271" s="1386"/>
      <c r="P271" s="1254"/>
      <c r="Q271" s="1254"/>
      <c r="R271" s="1254"/>
      <c r="S271" s="1254"/>
      <c r="T271" s="1254"/>
      <c r="U271" s="1254"/>
      <c r="V271" s="1254"/>
      <c r="W271" s="1254"/>
      <c r="X271" s="1254"/>
      <c r="Y271" s="1254"/>
      <c r="Z271" s="1254"/>
    </row>
    <row r="272">
      <c r="A272" s="1254"/>
      <c r="B272" s="1254"/>
      <c r="C272" s="1320"/>
      <c r="D272" s="1254"/>
      <c r="E272" s="1254"/>
      <c r="F272" s="1263"/>
      <c r="G272" s="1317"/>
      <c r="H272" s="1254"/>
      <c r="I272" s="1318"/>
      <c r="J272" s="1254"/>
      <c r="K272" s="1254"/>
      <c r="L272" s="1254"/>
      <c r="M272" s="1254"/>
      <c r="N272" s="1318"/>
      <c r="O272" s="1386"/>
      <c r="P272" s="1254"/>
      <c r="Q272" s="1254"/>
      <c r="R272" s="1254"/>
      <c r="S272" s="1254"/>
      <c r="T272" s="1254"/>
      <c r="U272" s="1254"/>
      <c r="V272" s="1254"/>
      <c r="W272" s="1254"/>
      <c r="X272" s="1254"/>
      <c r="Y272" s="1254"/>
      <c r="Z272" s="1254"/>
    </row>
    <row r="273">
      <c r="A273" s="1254"/>
      <c r="B273" s="1254"/>
      <c r="C273" s="1320"/>
      <c r="D273" s="1254"/>
      <c r="E273" s="1254"/>
      <c r="F273" s="1263"/>
      <c r="G273" s="1317"/>
      <c r="H273" s="1254"/>
      <c r="I273" s="1318"/>
      <c r="J273" s="1254"/>
      <c r="K273" s="1254"/>
      <c r="L273" s="1254"/>
      <c r="M273" s="1254"/>
      <c r="N273" s="1318"/>
      <c r="O273" s="1386"/>
      <c r="P273" s="1254"/>
      <c r="Q273" s="1254"/>
      <c r="R273" s="1254"/>
      <c r="S273" s="1254"/>
      <c r="T273" s="1254"/>
      <c r="U273" s="1254"/>
      <c r="V273" s="1254"/>
      <c r="W273" s="1254"/>
      <c r="X273" s="1254"/>
      <c r="Y273" s="1254"/>
      <c r="Z273" s="1254"/>
    </row>
    <row r="274">
      <c r="A274" s="1254"/>
      <c r="B274" s="1254"/>
      <c r="C274" s="1320"/>
      <c r="D274" s="1254"/>
      <c r="E274" s="1254"/>
      <c r="F274" s="1263"/>
      <c r="G274" s="1317"/>
      <c r="H274" s="1254"/>
      <c r="I274" s="1318"/>
      <c r="J274" s="1254"/>
      <c r="K274" s="1254"/>
      <c r="L274" s="1254"/>
      <c r="M274" s="1254"/>
      <c r="N274" s="1318"/>
      <c r="O274" s="1386"/>
      <c r="P274" s="1254"/>
      <c r="Q274" s="1254"/>
      <c r="R274" s="1254"/>
      <c r="S274" s="1254"/>
      <c r="T274" s="1254"/>
      <c r="U274" s="1254"/>
      <c r="V274" s="1254"/>
      <c r="W274" s="1254"/>
      <c r="X274" s="1254"/>
      <c r="Y274" s="1254"/>
      <c r="Z274" s="1254"/>
    </row>
    <row r="275">
      <c r="A275" s="1254"/>
      <c r="B275" s="1254"/>
      <c r="C275" s="1320"/>
      <c r="D275" s="1254"/>
      <c r="E275" s="1254"/>
      <c r="F275" s="1263"/>
      <c r="G275" s="1317"/>
      <c r="H275" s="1254"/>
      <c r="I275" s="1318"/>
      <c r="J275" s="1254"/>
      <c r="K275" s="1254"/>
      <c r="L275" s="1254"/>
      <c r="M275" s="1254"/>
      <c r="N275" s="1318"/>
      <c r="O275" s="1386"/>
      <c r="P275" s="1254"/>
      <c r="Q275" s="1254"/>
      <c r="R275" s="1254"/>
      <c r="S275" s="1254"/>
      <c r="T275" s="1254"/>
      <c r="U275" s="1254"/>
      <c r="V275" s="1254"/>
      <c r="W275" s="1254"/>
      <c r="X275" s="1254"/>
      <c r="Y275" s="1254"/>
      <c r="Z275" s="1254"/>
    </row>
    <row r="276">
      <c r="A276" s="1254"/>
      <c r="B276" s="1254"/>
      <c r="C276" s="1320"/>
      <c r="D276" s="1254"/>
      <c r="E276" s="1254"/>
      <c r="F276" s="1263"/>
      <c r="G276" s="1317"/>
      <c r="H276" s="1254"/>
      <c r="I276" s="1318"/>
      <c r="J276" s="1254"/>
      <c r="K276" s="1254"/>
      <c r="L276" s="1254"/>
      <c r="M276" s="1254"/>
      <c r="N276" s="1318"/>
      <c r="O276" s="1386"/>
      <c r="P276" s="1254"/>
      <c r="Q276" s="1254"/>
      <c r="R276" s="1254"/>
      <c r="S276" s="1254"/>
      <c r="T276" s="1254"/>
      <c r="U276" s="1254"/>
      <c r="V276" s="1254"/>
      <c r="W276" s="1254"/>
      <c r="X276" s="1254"/>
      <c r="Y276" s="1254"/>
      <c r="Z276" s="1254"/>
    </row>
    <row r="277">
      <c r="A277" s="1254"/>
      <c r="B277" s="1254"/>
      <c r="C277" s="1320"/>
      <c r="D277" s="1254"/>
      <c r="E277" s="1254"/>
      <c r="F277" s="1263"/>
      <c r="G277" s="1317"/>
      <c r="H277" s="1254"/>
      <c r="I277" s="1318"/>
      <c r="J277" s="1254"/>
      <c r="K277" s="1254"/>
      <c r="L277" s="1254"/>
      <c r="M277" s="1254"/>
      <c r="N277" s="1318"/>
      <c r="O277" s="1386"/>
      <c r="P277" s="1254"/>
      <c r="Q277" s="1254"/>
      <c r="R277" s="1254"/>
      <c r="S277" s="1254"/>
      <c r="T277" s="1254"/>
      <c r="U277" s="1254"/>
      <c r="V277" s="1254"/>
      <c r="W277" s="1254"/>
      <c r="X277" s="1254"/>
      <c r="Y277" s="1254"/>
      <c r="Z277" s="1254"/>
    </row>
    <row r="278">
      <c r="A278" s="1254"/>
      <c r="B278" s="1254"/>
      <c r="C278" s="1320"/>
      <c r="D278" s="1254"/>
      <c r="E278" s="1254"/>
      <c r="F278" s="1263"/>
      <c r="G278" s="1317"/>
      <c r="H278" s="1254"/>
      <c r="I278" s="1318"/>
      <c r="J278" s="1254"/>
      <c r="K278" s="1254"/>
      <c r="L278" s="1254"/>
      <c r="M278" s="1254"/>
      <c r="N278" s="1318"/>
      <c r="O278" s="1386"/>
      <c r="P278" s="1254"/>
      <c r="Q278" s="1254"/>
      <c r="R278" s="1254"/>
      <c r="S278" s="1254"/>
      <c r="T278" s="1254"/>
      <c r="U278" s="1254"/>
      <c r="V278" s="1254"/>
      <c r="W278" s="1254"/>
      <c r="X278" s="1254"/>
      <c r="Y278" s="1254"/>
      <c r="Z278" s="1254"/>
    </row>
    <row r="279">
      <c r="A279" s="1254"/>
      <c r="B279" s="1254"/>
      <c r="C279" s="1320"/>
      <c r="D279" s="1254"/>
      <c r="E279" s="1254"/>
      <c r="F279" s="1263"/>
      <c r="G279" s="1317"/>
      <c r="H279" s="1254"/>
      <c r="I279" s="1318"/>
      <c r="J279" s="1254"/>
      <c r="K279" s="1254"/>
      <c r="L279" s="1254"/>
      <c r="M279" s="1254"/>
      <c r="N279" s="1318"/>
      <c r="O279" s="1386"/>
      <c r="P279" s="1254"/>
      <c r="Q279" s="1254"/>
      <c r="R279" s="1254"/>
      <c r="S279" s="1254"/>
      <c r="T279" s="1254"/>
      <c r="U279" s="1254"/>
      <c r="V279" s="1254"/>
      <c r="W279" s="1254"/>
      <c r="X279" s="1254"/>
      <c r="Y279" s="1254"/>
      <c r="Z279" s="1254"/>
    </row>
    <row r="280">
      <c r="A280" s="1254"/>
      <c r="B280" s="1254"/>
      <c r="C280" s="1320"/>
      <c r="D280" s="1254"/>
      <c r="E280" s="1254"/>
      <c r="F280" s="1263"/>
      <c r="G280" s="1317"/>
      <c r="H280" s="1254"/>
      <c r="I280" s="1318"/>
      <c r="J280" s="1254"/>
      <c r="K280" s="1254"/>
      <c r="L280" s="1254"/>
      <c r="M280" s="1254"/>
      <c r="N280" s="1318"/>
      <c r="O280" s="1386"/>
      <c r="P280" s="1254"/>
      <c r="Q280" s="1254"/>
      <c r="R280" s="1254"/>
      <c r="S280" s="1254"/>
      <c r="T280" s="1254"/>
      <c r="U280" s="1254"/>
      <c r="V280" s="1254"/>
      <c r="W280" s="1254"/>
      <c r="X280" s="1254"/>
      <c r="Y280" s="1254"/>
      <c r="Z280" s="1254"/>
    </row>
    <row r="281">
      <c r="A281" s="1254"/>
      <c r="B281" s="1254"/>
      <c r="C281" s="1320"/>
      <c r="D281" s="1254"/>
      <c r="E281" s="1254"/>
      <c r="F281" s="1263"/>
      <c r="G281" s="1317"/>
      <c r="H281" s="1254"/>
      <c r="I281" s="1318"/>
      <c r="J281" s="1254"/>
      <c r="K281" s="1254"/>
      <c r="L281" s="1254"/>
      <c r="M281" s="1254"/>
      <c r="N281" s="1318"/>
      <c r="O281" s="1386"/>
      <c r="P281" s="1254"/>
      <c r="Q281" s="1254"/>
      <c r="R281" s="1254"/>
      <c r="S281" s="1254"/>
      <c r="T281" s="1254"/>
      <c r="U281" s="1254"/>
      <c r="V281" s="1254"/>
      <c r="W281" s="1254"/>
      <c r="X281" s="1254"/>
      <c r="Y281" s="1254"/>
      <c r="Z281" s="1254"/>
    </row>
    <row r="282">
      <c r="A282" s="1254"/>
      <c r="B282" s="1254"/>
      <c r="C282" s="1320"/>
      <c r="D282" s="1254"/>
      <c r="E282" s="1254"/>
      <c r="F282" s="1263"/>
      <c r="G282" s="1317"/>
      <c r="H282" s="1254"/>
      <c r="I282" s="1318"/>
      <c r="J282" s="1254"/>
      <c r="K282" s="1254"/>
      <c r="L282" s="1254"/>
      <c r="M282" s="1254"/>
      <c r="N282" s="1318"/>
      <c r="O282" s="1386"/>
      <c r="P282" s="1254"/>
      <c r="Q282" s="1254"/>
      <c r="R282" s="1254"/>
      <c r="S282" s="1254"/>
      <c r="T282" s="1254"/>
      <c r="U282" s="1254"/>
      <c r="V282" s="1254"/>
      <c r="W282" s="1254"/>
      <c r="X282" s="1254"/>
      <c r="Y282" s="1254"/>
      <c r="Z282" s="1254"/>
    </row>
    <row r="283">
      <c r="A283" s="1254"/>
      <c r="B283" s="1254"/>
      <c r="C283" s="1320"/>
      <c r="D283" s="1254"/>
      <c r="E283" s="1254"/>
      <c r="F283" s="1263"/>
      <c r="G283" s="1317"/>
      <c r="H283" s="1254"/>
      <c r="I283" s="1318"/>
      <c r="J283" s="1254"/>
      <c r="K283" s="1254"/>
      <c r="L283" s="1254"/>
      <c r="M283" s="1254"/>
      <c r="N283" s="1318"/>
      <c r="O283" s="1386"/>
      <c r="P283" s="1254"/>
      <c r="Q283" s="1254"/>
      <c r="R283" s="1254"/>
      <c r="S283" s="1254"/>
      <c r="T283" s="1254"/>
      <c r="U283" s="1254"/>
      <c r="V283" s="1254"/>
      <c r="W283" s="1254"/>
      <c r="X283" s="1254"/>
      <c r="Y283" s="1254"/>
      <c r="Z283" s="1254"/>
    </row>
    <row r="284">
      <c r="A284" s="1254"/>
      <c r="B284" s="1254"/>
      <c r="C284" s="1320"/>
      <c r="D284" s="1254"/>
      <c r="E284" s="1254"/>
      <c r="F284" s="1263"/>
      <c r="G284" s="1317"/>
      <c r="H284" s="1254"/>
      <c r="I284" s="1318"/>
      <c r="J284" s="1254"/>
      <c r="K284" s="1254"/>
      <c r="L284" s="1254"/>
      <c r="M284" s="1254"/>
      <c r="N284" s="1318"/>
      <c r="O284" s="1386"/>
      <c r="P284" s="1254"/>
      <c r="Q284" s="1254"/>
      <c r="R284" s="1254"/>
      <c r="S284" s="1254"/>
      <c r="T284" s="1254"/>
      <c r="U284" s="1254"/>
      <c r="V284" s="1254"/>
      <c r="W284" s="1254"/>
      <c r="X284" s="1254"/>
      <c r="Y284" s="1254"/>
      <c r="Z284" s="1254"/>
    </row>
    <row r="285">
      <c r="A285" s="1254"/>
      <c r="B285" s="1254"/>
      <c r="C285" s="1320"/>
      <c r="D285" s="1254"/>
      <c r="E285" s="1254"/>
      <c r="F285" s="1263"/>
      <c r="G285" s="1317"/>
      <c r="H285" s="1254"/>
      <c r="I285" s="1318"/>
      <c r="J285" s="1254"/>
      <c r="K285" s="1254"/>
      <c r="L285" s="1254"/>
      <c r="M285" s="1254"/>
      <c r="N285" s="1318"/>
      <c r="O285" s="1386"/>
      <c r="P285" s="1254"/>
      <c r="Q285" s="1254"/>
      <c r="R285" s="1254"/>
      <c r="S285" s="1254"/>
      <c r="T285" s="1254"/>
      <c r="U285" s="1254"/>
      <c r="V285" s="1254"/>
      <c r="W285" s="1254"/>
      <c r="X285" s="1254"/>
      <c r="Y285" s="1254"/>
      <c r="Z285" s="1254"/>
    </row>
    <row r="286">
      <c r="A286" s="1254"/>
      <c r="B286" s="1254"/>
      <c r="C286" s="1320"/>
      <c r="D286" s="1254"/>
      <c r="E286" s="1254"/>
      <c r="F286" s="1263"/>
      <c r="G286" s="1317"/>
      <c r="H286" s="1254"/>
      <c r="I286" s="1318"/>
      <c r="J286" s="1254"/>
      <c r="K286" s="1254"/>
      <c r="L286" s="1254"/>
      <c r="M286" s="1254"/>
      <c r="N286" s="1318"/>
      <c r="O286" s="1386"/>
      <c r="P286" s="1254"/>
      <c r="Q286" s="1254"/>
      <c r="R286" s="1254"/>
      <c r="S286" s="1254"/>
      <c r="T286" s="1254"/>
      <c r="U286" s="1254"/>
      <c r="V286" s="1254"/>
      <c r="W286" s="1254"/>
      <c r="X286" s="1254"/>
      <c r="Y286" s="1254"/>
      <c r="Z286" s="1254"/>
    </row>
    <row r="287">
      <c r="A287" s="1254"/>
      <c r="B287" s="1254"/>
      <c r="C287" s="1320"/>
      <c r="D287" s="1254"/>
      <c r="E287" s="1254"/>
      <c r="F287" s="1263"/>
      <c r="G287" s="1317"/>
      <c r="H287" s="1254"/>
      <c r="I287" s="1318"/>
      <c r="J287" s="1254"/>
      <c r="K287" s="1254"/>
      <c r="L287" s="1254"/>
      <c r="M287" s="1254"/>
      <c r="N287" s="1318"/>
      <c r="O287" s="1386"/>
      <c r="P287" s="1254"/>
      <c r="Q287" s="1254"/>
      <c r="R287" s="1254"/>
      <c r="S287" s="1254"/>
      <c r="T287" s="1254"/>
      <c r="U287" s="1254"/>
      <c r="V287" s="1254"/>
      <c r="W287" s="1254"/>
      <c r="X287" s="1254"/>
      <c r="Y287" s="1254"/>
      <c r="Z287" s="1254"/>
    </row>
    <row r="288">
      <c r="A288" s="1254"/>
      <c r="B288" s="1254"/>
      <c r="C288" s="1320"/>
      <c r="D288" s="1254"/>
      <c r="E288" s="1254"/>
      <c r="F288" s="1263"/>
      <c r="G288" s="1317"/>
      <c r="H288" s="1254"/>
      <c r="I288" s="1318"/>
      <c r="J288" s="1254"/>
      <c r="K288" s="1254"/>
      <c r="L288" s="1254"/>
      <c r="M288" s="1254"/>
      <c r="N288" s="1318"/>
      <c r="O288" s="1386"/>
      <c r="P288" s="1254"/>
      <c r="Q288" s="1254"/>
      <c r="R288" s="1254"/>
      <c r="S288" s="1254"/>
      <c r="T288" s="1254"/>
      <c r="U288" s="1254"/>
      <c r="V288" s="1254"/>
      <c r="W288" s="1254"/>
      <c r="X288" s="1254"/>
      <c r="Y288" s="1254"/>
      <c r="Z288" s="1254"/>
    </row>
    <row r="289">
      <c r="A289" s="1254"/>
      <c r="B289" s="1254"/>
      <c r="C289" s="1320"/>
      <c r="D289" s="1254"/>
      <c r="E289" s="1254"/>
      <c r="F289" s="1263"/>
      <c r="G289" s="1317"/>
      <c r="H289" s="1254"/>
      <c r="I289" s="1318"/>
      <c r="J289" s="1254"/>
      <c r="K289" s="1254"/>
      <c r="L289" s="1254"/>
      <c r="M289" s="1254"/>
      <c r="N289" s="1318"/>
      <c r="O289" s="1386"/>
      <c r="P289" s="1254"/>
      <c r="Q289" s="1254"/>
      <c r="R289" s="1254"/>
      <c r="S289" s="1254"/>
      <c r="T289" s="1254"/>
      <c r="U289" s="1254"/>
      <c r="V289" s="1254"/>
      <c r="W289" s="1254"/>
      <c r="X289" s="1254"/>
      <c r="Y289" s="1254"/>
      <c r="Z289" s="1254"/>
    </row>
    <row r="290">
      <c r="A290" s="1254"/>
      <c r="B290" s="1254"/>
      <c r="C290" s="1320"/>
      <c r="D290" s="1254"/>
      <c r="E290" s="1254"/>
      <c r="F290" s="1263"/>
      <c r="G290" s="1317"/>
      <c r="H290" s="1254"/>
      <c r="I290" s="1318"/>
      <c r="J290" s="1254"/>
      <c r="K290" s="1254"/>
      <c r="L290" s="1254"/>
      <c r="M290" s="1254"/>
      <c r="N290" s="1318"/>
      <c r="O290" s="1386"/>
      <c r="P290" s="1254"/>
      <c r="Q290" s="1254"/>
      <c r="R290" s="1254"/>
      <c r="S290" s="1254"/>
      <c r="T290" s="1254"/>
      <c r="U290" s="1254"/>
      <c r="V290" s="1254"/>
      <c r="W290" s="1254"/>
      <c r="X290" s="1254"/>
      <c r="Y290" s="1254"/>
      <c r="Z290" s="1254"/>
    </row>
    <row r="291">
      <c r="A291" s="1254"/>
      <c r="B291" s="1254"/>
      <c r="C291" s="1320"/>
      <c r="D291" s="1254"/>
      <c r="E291" s="1254"/>
      <c r="F291" s="1263"/>
      <c r="G291" s="1317"/>
      <c r="H291" s="1254"/>
      <c r="I291" s="1318"/>
      <c r="J291" s="1254"/>
      <c r="K291" s="1254"/>
      <c r="L291" s="1254"/>
      <c r="M291" s="1254"/>
      <c r="N291" s="1318"/>
      <c r="O291" s="1386"/>
      <c r="P291" s="1254"/>
      <c r="Q291" s="1254"/>
      <c r="R291" s="1254"/>
      <c r="S291" s="1254"/>
      <c r="T291" s="1254"/>
      <c r="U291" s="1254"/>
      <c r="V291" s="1254"/>
      <c r="W291" s="1254"/>
      <c r="X291" s="1254"/>
      <c r="Y291" s="1254"/>
      <c r="Z291" s="1254"/>
    </row>
    <row r="292">
      <c r="A292" s="1254"/>
      <c r="B292" s="1254"/>
      <c r="C292" s="1320"/>
      <c r="D292" s="1254"/>
      <c r="E292" s="1254"/>
      <c r="F292" s="1263"/>
      <c r="G292" s="1317"/>
      <c r="H292" s="1254"/>
      <c r="I292" s="1318"/>
      <c r="J292" s="1254"/>
      <c r="K292" s="1254"/>
      <c r="L292" s="1254"/>
      <c r="M292" s="1254"/>
      <c r="N292" s="1318"/>
      <c r="O292" s="1386"/>
      <c r="P292" s="1254"/>
      <c r="Q292" s="1254"/>
      <c r="R292" s="1254"/>
      <c r="S292" s="1254"/>
      <c r="T292" s="1254"/>
      <c r="U292" s="1254"/>
      <c r="V292" s="1254"/>
      <c r="W292" s="1254"/>
      <c r="X292" s="1254"/>
      <c r="Y292" s="1254"/>
      <c r="Z292" s="1254"/>
    </row>
    <row r="293">
      <c r="A293" s="1254"/>
      <c r="B293" s="1254"/>
      <c r="C293" s="1320"/>
      <c r="D293" s="1254"/>
      <c r="E293" s="1254"/>
      <c r="F293" s="1263"/>
      <c r="G293" s="1317"/>
      <c r="H293" s="1254"/>
      <c r="I293" s="1318"/>
      <c r="J293" s="1254"/>
      <c r="K293" s="1254"/>
      <c r="L293" s="1254"/>
      <c r="M293" s="1254"/>
      <c r="N293" s="1318"/>
      <c r="O293" s="1386"/>
      <c r="P293" s="1254"/>
      <c r="Q293" s="1254"/>
      <c r="R293" s="1254"/>
      <c r="S293" s="1254"/>
      <c r="T293" s="1254"/>
      <c r="U293" s="1254"/>
      <c r="V293" s="1254"/>
      <c r="W293" s="1254"/>
      <c r="X293" s="1254"/>
      <c r="Y293" s="1254"/>
      <c r="Z293" s="1254"/>
    </row>
    <row r="294">
      <c r="A294" s="1254"/>
      <c r="B294" s="1254"/>
      <c r="C294" s="1320"/>
      <c r="D294" s="1254"/>
      <c r="E294" s="1254"/>
      <c r="F294" s="1263"/>
      <c r="G294" s="1317"/>
      <c r="H294" s="1254"/>
      <c r="I294" s="1318"/>
      <c r="J294" s="1254"/>
      <c r="K294" s="1254"/>
      <c r="L294" s="1254"/>
      <c r="M294" s="1254"/>
      <c r="N294" s="1318"/>
      <c r="O294" s="1386"/>
      <c r="P294" s="1254"/>
      <c r="Q294" s="1254"/>
      <c r="R294" s="1254"/>
      <c r="S294" s="1254"/>
      <c r="T294" s="1254"/>
      <c r="U294" s="1254"/>
      <c r="V294" s="1254"/>
      <c r="W294" s="1254"/>
      <c r="X294" s="1254"/>
      <c r="Y294" s="1254"/>
      <c r="Z294" s="1254"/>
    </row>
    <row r="295">
      <c r="A295" s="1254"/>
      <c r="B295" s="1254"/>
      <c r="C295" s="1320"/>
      <c r="D295" s="1254"/>
      <c r="E295" s="1254"/>
      <c r="F295" s="1263"/>
      <c r="G295" s="1317"/>
      <c r="H295" s="1254"/>
      <c r="I295" s="1318"/>
      <c r="J295" s="1254"/>
      <c r="K295" s="1254"/>
      <c r="L295" s="1254"/>
      <c r="M295" s="1254"/>
      <c r="N295" s="1318"/>
      <c r="O295" s="1386"/>
      <c r="P295" s="1254"/>
      <c r="Q295" s="1254"/>
      <c r="R295" s="1254"/>
      <c r="S295" s="1254"/>
      <c r="T295" s="1254"/>
      <c r="U295" s="1254"/>
      <c r="V295" s="1254"/>
      <c r="W295" s="1254"/>
      <c r="X295" s="1254"/>
      <c r="Y295" s="1254"/>
      <c r="Z295" s="1254"/>
    </row>
    <row r="296">
      <c r="A296" s="1254"/>
      <c r="B296" s="1254"/>
      <c r="C296" s="1320"/>
      <c r="D296" s="1254"/>
      <c r="E296" s="1254"/>
      <c r="F296" s="1263"/>
      <c r="G296" s="1317"/>
      <c r="H296" s="1254"/>
      <c r="I296" s="1318"/>
      <c r="J296" s="1254"/>
      <c r="K296" s="1254"/>
      <c r="L296" s="1254"/>
      <c r="M296" s="1254"/>
      <c r="N296" s="1318"/>
      <c r="O296" s="1386"/>
      <c r="P296" s="1254"/>
      <c r="Q296" s="1254"/>
      <c r="R296" s="1254"/>
      <c r="S296" s="1254"/>
      <c r="T296" s="1254"/>
      <c r="U296" s="1254"/>
      <c r="V296" s="1254"/>
      <c r="W296" s="1254"/>
      <c r="X296" s="1254"/>
      <c r="Y296" s="1254"/>
      <c r="Z296" s="1254"/>
    </row>
    <row r="297">
      <c r="A297" s="1254"/>
      <c r="B297" s="1254"/>
      <c r="C297" s="1320"/>
      <c r="D297" s="1254"/>
      <c r="E297" s="1254"/>
      <c r="F297" s="1263"/>
      <c r="G297" s="1317"/>
      <c r="H297" s="1254"/>
      <c r="I297" s="1318"/>
      <c r="J297" s="1254"/>
      <c r="K297" s="1254"/>
      <c r="L297" s="1254"/>
      <c r="M297" s="1254"/>
      <c r="N297" s="1318"/>
      <c r="O297" s="1386"/>
      <c r="P297" s="1254"/>
      <c r="Q297" s="1254"/>
      <c r="R297" s="1254"/>
      <c r="S297" s="1254"/>
      <c r="T297" s="1254"/>
      <c r="U297" s="1254"/>
      <c r="V297" s="1254"/>
      <c r="W297" s="1254"/>
      <c r="X297" s="1254"/>
      <c r="Y297" s="1254"/>
      <c r="Z297" s="1254"/>
    </row>
    <row r="298">
      <c r="A298" s="1254"/>
      <c r="B298" s="1254"/>
      <c r="C298" s="1320"/>
      <c r="D298" s="1254"/>
      <c r="E298" s="1254"/>
      <c r="F298" s="1263"/>
      <c r="G298" s="1317"/>
      <c r="H298" s="1254"/>
      <c r="I298" s="1318"/>
      <c r="J298" s="1254"/>
      <c r="K298" s="1254"/>
      <c r="L298" s="1254"/>
      <c r="M298" s="1254"/>
      <c r="N298" s="1318"/>
      <c r="O298" s="1386"/>
      <c r="P298" s="1254"/>
      <c r="Q298" s="1254"/>
      <c r="R298" s="1254"/>
      <c r="S298" s="1254"/>
      <c r="T298" s="1254"/>
      <c r="U298" s="1254"/>
      <c r="V298" s="1254"/>
      <c r="W298" s="1254"/>
      <c r="X298" s="1254"/>
      <c r="Y298" s="1254"/>
      <c r="Z298" s="1254"/>
    </row>
    <row r="299">
      <c r="A299" s="1254"/>
      <c r="B299" s="1254"/>
      <c r="C299" s="1320"/>
      <c r="D299" s="1254"/>
      <c r="E299" s="1254"/>
      <c r="F299" s="1263"/>
      <c r="G299" s="1317"/>
      <c r="H299" s="1254"/>
      <c r="I299" s="1318"/>
      <c r="J299" s="1254"/>
      <c r="K299" s="1254"/>
      <c r="L299" s="1254"/>
      <c r="M299" s="1254"/>
      <c r="N299" s="1318"/>
      <c r="O299" s="1386"/>
      <c r="P299" s="1254"/>
      <c r="Q299" s="1254"/>
      <c r="R299" s="1254"/>
      <c r="S299" s="1254"/>
      <c r="T299" s="1254"/>
      <c r="U299" s="1254"/>
      <c r="V299" s="1254"/>
      <c r="W299" s="1254"/>
      <c r="X299" s="1254"/>
      <c r="Y299" s="1254"/>
      <c r="Z299" s="1254"/>
    </row>
    <row r="300">
      <c r="A300" s="1254"/>
      <c r="B300" s="1254"/>
      <c r="C300" s="1320"/>
      <c r="D300" s="1254"/>
      <c r="E300" s="1254"/>
      <c r="F300" s="1263"/>
      <c r="G300" s="1317"/>
      <c r="H300" s="1254"/>
      <c r="I300" s="1318"/>
      <c r="J300" s="1254"/>
      <c r="K300" s="1254"/>
      <c r="L300" s="1254"/>
      <c r="M300" s="1254"/>
      <c r="N300" s="1318"/>
      <c r="O300" s="1386"/>
      <c r="P300" s="1254"/>
      <c r="Q300" s="1254"/>
      <c r="R300" s="1254"/>
      <c r="S300" s="1254"/>
      <c r="T300" s="1254"/>
      <c r="U300" s="1254"/>
      <c r="V300" s="1254"/>
      <c r="W300" s="1254"/>
      <c r="X300" s="1254"/>
      <c r="Y300" s="1254"/>
      <c r="Z300" s="1254"/>
    </row>
    <row r="301">
      <c r="A301" s="1254"/>
      <c r="B301" s="1254"/>
      <c r="C301" s="1320"/>
      <c r="D301" s="1254"/>
      <c r="E301" s="1254"/>
      <c r="F301" s="1263"/>
      <c r="G301" s="1317"/>
      <c r="H301" s="1254"/>
      <c r="I301" s="1318"/>
      <c r="J301" s="1254"/>
      <c r="K301" s="1254"/>
      <c r="L301" s="1254"/>
      <c r="M301" s="1254"/>
      <c r="N301" s="1318"/>
      <c r="O301" s="1386"/>
      <c r="P301" s="1254"/>
      <c r="Q301" s="1254"/>
      <c r="R301" s="1254"/>
      <c r="S301" s="1254"/>
      <c r="T301" s="1254"/>
      <c r="U301" s="1254"/>
      <c r="V301" s="1254"/>
      <c r="W301" s="1254"/>
      <c r="X301" s="1254"/>
      <c r="Y301" s="1254"/>
      <c r="Z301" s="1254"/>
    </row>
    <row r="302">
      <c r="A302" s="1254"/>
      <c r="B302" s="1254"/>
      <c r="C302" s="1320"/>
      <c r="D302" s="1254"/>
      <c r="E302" s="1254"/>
      <c r="F302" s="1263"/>
      <c r="G302" s="1317"/>
      <c r="H302" s="1254"/>
      <c r="I302" s="1318"/>
      <c r="J302" s="1254"/>
      <c r="K302" s="1254"/>
      <c r="L302" s="1254"/>
      <c r="M302" s="1254"/>
      <c r="N302" s="1318"/>
      <c r="O302" s="1386"/>
      <c r="P302" s="1254"/>
      <c r="Q302" s="1254"/>
      <c r="R302" s="1254"/>
      <c r="S302" s="1254"/>
      <c r="T302" s="1254"/>
      <c r="U302" s="1254"/>
      <c r="V302" s="1254"/>
      <c r="W302" s="1254"/>
      <c r="X302" s="1254"/>
      <c r="Y302" s="1254"/>
      <c r="Z302" s="1254"/>
    </row>
    <row r="303">
      <c r="A303" s="1254"/>
      <c r="B303" s="1254"/>
      <c r="C303" s="1320"/>
      <c r="D303" s="1254"/>
      <c r="E303" s="1254"/>
      <c r="F303" s="1263"/>
      <c r="G303" s="1317"/>
      <c r="H303" s="1254"/>
      <c r="I303" s="1318"/>
      <c r="J303" s="1254"/>
      <c r="K303" s="1254"/>
      <c r="L303" s="1254"/>
      <c r="M303" s="1254"/>
      <c r="N303" s="1318"/>
      <c r="O303" s="1386"/>
      <c r="P303" s="1254"/>
      <c r="Q303" s="1254"/>
      <c r="R303" s="1254"/>
      <c r="S303" s="1254"/>
      <c r="T303" s="1254"/>
      <c r="U303" s="1254"/>
      <c r="V303" s="1254"/>
      <c r="W303" s="1254"/>
      <c r="X303" s="1254"/>
      <c r="Y303" s="1254"/>
      <c r="Z303" s="1254"/>
    </row>
    <row r="304">
      <c r="A304" s="1254"/>
      <c r="B304" s="1254"/>
      <c r="C304" s="1320"/>
      <c r="D304" s="1254"/>
      <c r="E304" s="1254"/>
      <c r="F304" s="1263"/>
      <c r="G304" s="1317"/>
      <c r="H304" s="1254"/>
      <c r="I304" s="1318"/>
      <c r="J304" s="1254"/>
      <c r="K304" s="1254"/>
      <c r="L304" s="1254"/>
      <c r="M304" s="1254"/>
      <c r="N304" s="1318"/>
      <c r="O304" s="1386"/>
      <c r="P304" s="1254"/>
      <c r="Q304" s="1254"/>
      <c r="R304" s="1254"/>
      <c r="S304" s="1254"/>
      <c r="T304" s="1254"/>
      <c r="U304" s="1254"/>
      <c r="V304" s="1254"/>
      <c r="W304" s="1254"/>
      <c r="X304" s="1254"/>
      <c r="Y304" s="1254"/>
      <c r="Z304" s="1254"/>
    </row>
    <row r="305">
      <c r="A305" s="1254"/>
      <c r="B305" s="1254"/>
      <c r="C305" s="1320"/>
      <c r="D305" s="1254"/>
      <c r="E305" s="1254"/>
      <c r="F305" s="1263"/>
      <c r="G305" s="1317"/>
      <c r="H305" s="1254"/>
      <c r="I305" s="1318"/>
      <c r="J305" s="1254"/>
      <c r="K305" s="1254"/>
      <c r="L305" s="1254"/>
      <c r="M305" s="1254"/>
      <c r="N305" s="1318"/>
      <c r="O305" s="1386"/>
      <c r="P305" s="1254"/>
      <c r="Q305" s="1254"/>
      <c r="R305" s="1254"/>
      <c r="S305" s="1254"/>
      <c r="T305" s="1254"/>
      <c r="U305" s="1254"/>
      <c r="V305" s="1254"/>
      <c r="W305" s="1254"/>
      <c r="X305" s="1254"/>
      <c r="Y305" s="1254"/>
      <c r="Z305" s="1254"/>
    </row>
    <row r="306">
      <c r="A306" s="1254"/>
      <c r="B306" s="1254"/>
      <c r="C306" s="1320"/>
      <c r="D306" s="1254"/>
      <c r="E306" s="1254"/>
      <c r="F306" s="1263"/>
      <c r="G306" s="1317"/>
      <c r="H306" s="1254"/>
      <c r="I306" s="1318"/>
      <c r="J306" s="1254"/>
      <c r="K306" s="1254"/>
      <c r="L306" s="1254"/>
      <c r="M306" s="1254"/>
      <c r="N306" s="1318"/>
      <c r="O306" s="1386"/>
      <c r="P306" s="1254"/>
      <c r="Q306" s="1254"/>
      <c r="R306" s="1254"/>
      <c r="S306" s="1254"/>
      <c r="T306" s="1254"/>
      <c r="U306" s="1254"/>
      <c r="V306" s="1254"/>
      <c r="W306" s="1254"/>
      <c r="X306" s="1254"/>
      <c r="Y306" s="1254"/>
      <c r="Z306" s="1254"/>
    </row>
    <row r="307">
      <c r="A307" s="1254"/>
      <c r="B307" s="1254"/>
      <c r="C307" s="1320"/>
      <c r="D307" s="1254"/>
      <c r="E307" s="1254"/>
      <c r="F307" s="1263"/>
      <c r="G307" s="1317"/>
      <c r="H307" s="1254"/>
      <c r="I307" s="1318"/>
      <c r="J307" s="1254"/>
      <c r="K307" s="1254"/>
      <c r="L307" s="1254"/>
      <c r="M307" s="1254"/>
      <c r="N307" s="1318"/>
      <c r="O307" s="1386"/>
      <c r="P307" s="1254"/>
      <c r="Q307" s="1254"/>
      <c r="R307" s="1254"/>
      <c r="S307" s="1254"/>
      <c r="T307" s="1254"/>
      <c r="U307" s="1254"/>
      <c r="V307" s="1254"/>
      <c r="W307" s="1254"/>
      <c r="X307" s="1254"/>
      <c r="Y307" s="1254"/>
      <c r="Z307" s="1254"/>
    </row>
    <row r="308">
      <c r="A308" s="1254"/>
      <c r="B308" s="1254"/>
      <c r="C308" s="1320"/>
      <c r="D308" s="1254"/>
      <c r="E308" s="1254"/>
      <c r="F308" s="1263"/>
      <c r="G308" s="1317"/>
      <c r="H308" s="1254"/>
      <c r="I308" s="1318"/>
      <c r="J308" s="1254"/>
      <c r="K308" s="1254"/>
      <c r="L308" s="1254"/>
      <c r="M308" s="1254"/>
      <c r="N308" s="1318"/>
      <c r="O308" s="1386"/>
      <c r="P308" s="1254"/>
      <c r="Q308" s="1254"/>
      <c r="R308" s="1254"/>
      <c r="S308" s="1254"/>
      <c r="T308" s="1254"/>
      <c r="U308" s="1254"/>
      <c r="V308" s="1254"/>
      <c r="W308" s="1254"/>
      <c r="X308" s="1254"/>
      <c r="Y308" s="1254"/>
      <c r="Z308" s="1254"/>
    </row>
    <row r="309">
      <c r="A309" s="1254"/>
      <c r="B309" s="1254"/>
      <c r="C309" s="1320"/>
      <c r="D309" s="1254"/>
      <c r="E309" s="1254"/>
      <c r="F309" s="1263"/>
      <c r="G309" s="1317"/>
      <c r="H309" s="1254"/>
      <c r="I309" s="1318"/>
      <c r="J309" s="1254"/>
      <c r="K309" s="1254"/>
      <c r="L309" s="1254"/>
      <c r="M309" s="1254"/>
      <c r="N309" s="1318"/>
      <c r="O309" s="1386"/>
      <c r="P309" s="1254"/>
      <c r="Q309" s="1254"/>
      <c r="R309" s="1254"/>
      <c r="S309" s="1254"/>
      <c r="T309" s="1254"/>
      <c r="U309" s="1254"/>
      <c r="V309" s="1254"/>
      <c r="W309" s="1254"/>
      <c r="X309" s="1254"/>
      <c r="Y309" s="1254"/>
      <c r="Z309" s="1254"/>
    </row>
    <row r="310">
      <c r="A310" s="1254"/>
      <c r="B310" s="1254"/>
      <c r="C310" s="1320"/>
      <c r="D310" s="1254"/>
      <c r="E310" s="1254"/>
      <c r="F310" s="1263"/>
      <c r="G310" s="1317"/>
      <c r="H310" s="1254"/>
      <c r="I310" s="1318"/>
      <c r="J310" s="1254"/>
      <c r="K310" s="1254"/>
      <c r="L310" s="1254"/>
      <c r="M310" s="1254"/>
      <c r="N310" s="1318"/>
      <c r="O310" s="1386"/>
      <c r="P310" s="1254"/>
      <c r="Q310" s="1254"/>
      <c r="R310" s="1254"/>
      <c r="S310" s="1254"/>
      <c r="T310" s="1254"/>
      <c r="U310" s="1254"/>
      <c r="V310" s="1254"/>
      <c r="W310" s="1254"/>
      <c r="X310" s="1254"/>
      <c r="Y310" s="1254"/>
      <c r="Z310" s="1254"/>
    </row>
    <row r="311">
      <c r="A311" s="1254"/>
      <c r="B311" s="1254"/>
      <c r="C311" s="1320"/>
      <c r="D311" s="1254"/>
      <c r="E311" s="1254"/>
      <c r="F311" s="1263"/>
      <c r="G311" s="1317"/>
      <c r="H311" s="1254"/>
      <c r="I311" s="1318"/>
      <c r="J311" s="1254"/>
      <c r="K311" s="1254"/>
      <c r="L311" s="1254"/>
      <c r="M311" s="1254"/>
      <c r="N311" s="1318"/>
      <c r="O311" s="1386"/>
      <c r="P311" s="1254"/>
      <c r="Q311" s="1254"/>
      <c r="R311" s="1254"/>
      <c r="S311" s="1254"/>
      <c r="T311" s="1254"/>
      <c r="U311" s="1254"/>
      <c r="V311" s="1254"/>
      <c r="W311" s="1254"/>
      <c r="X311" s="1254"/>
      <c r="Y311" s="1254"/>
      <c r="Z311" s="1254"/>
    </row>
    <row r="312">
      <c r="A312" s="1254"/>
      <c r="B312" s="1254"/>
      <c r="C312" s="1320"/>
      <c r="D312" s="1254"/>
      <c r="E312" s="1254"/>
      <c r="F312" s="1263"/>
      <c r="G312" s="1317"/>
      <c r="H312" s="1254"/>
      <c r="I312" s="1318"/>
      <c r="J312" s="1254"/>
      <c r="K312" s="1254"/>
      <c r="L312" s="1254"/>
      <c r="M312" s="1254"/>
      <c r="N312" s="1318"/>
      <c r="O312" s="1386"/>
      <c r="P312" s="1254"/>
      <c r="Q312" s="1254"/>
      <c r="R312" s="1254"/>
      <c r="S312" s="1254"/>
      <c r="T312" s="1254"/>
      <c r="U312" s="1254"/>
      <c r="V312" s="1254"/>
      <c r="W312" s="1254"/>
      <c r="X312" s="1254"/>
      <c r="Y312" s="1254"/>
      <c r="Z312" s="1254"/>
    </row>
    <row r="313">
      <c r="A313" s="1254"/>
      <c r="B313" s="1254"/>
      <c r="C313" s="1320"/>
      <c r="D313" s="1254"/>
      <c r="E313" s="1254"/>
      <c r="F313" s="1263"/>
      <c r="G313" s="1317"/>
      <c r="H313" s="1254"/>
      <c r="I313" s="1318"/>
      <c r="J313" s="1254"/>
      <c r="K313" s="1254"/>
      <c r="L313" s="1254"/>
      <c r="M313" s="1254"/>
      <c r="N313" s="1318"/>
      <c r="O313" s="1386"/>
      <c r="P313" s="1254"/>
      <c r="Q313" s="1254"/>
      <c r="R313" s="1254"/>
      <c r="S313" s="1254"/>
      <c r="T313" s="1254"/>
      <c r="U313" s="1254"/>
      <c r="V313" s="1254"/>
      <c r="W313" s="1254"/>
      <c r="X313" s="1254"/>
      <c r="Y313" s="1254"/>
      <c r="Z313" s="1254"/>
    </row>
    <row r="314">
      <c r="A314" s="1254"/>
      <c r="B314" s="1254"/>
      <c r="C314" s="1320"/>
      <c r="D314" s="1254"/>
      <c r="E314" s="1254"/>
      <c r="F314" s="1263"/>
      <c r="G314" s="1317"/>
      <c r="H314" s="1254"/>
      <c r="I314" s="1318"/>
      <c r="J314" s="1254"/>
      <c r="K314" s="1254"/>
      <c r="L314" s="1254"/>
      <c r="M314" s="1254"/>
      <c r="N314" s="1318"/>
      <c r="O314" s="1386"/>
      <c r="P314" s="1254"/>
      <c r="Q314" s="1254"/>
      <c r="R314" s="1254"/>
      <c r="S314" s="1254"/>
      <c r="T314" s="1254"/>
      <c r="U314" s="1254"/>
      <c r="V314" s="1254"/>
      <c r="W314" s="1254"/>
      <c r="X314" s="1254"/>
      <c r="Y314" s="1254"/>
      <c r="Z314" s="1254"/>
    </row>
    <row r="315">
      <c r="A315" s="1254"/>
      <c r="B315" s="1254"/>
      <c r="C315" s="1320"/>
      <c r="D315" s="1254"/>
      <c r="E315" s="1254"/>
      <c r="F315" s="1263"/>
      <c r="G315" s="1317"/>
      <c r="H315" s="1254"/>
      <c r="I315" s="1318"/>
      <c r="J315" s="1254"/>
      <c r="K315" s="1254"/>
      <c r="L315" s="1254"/>
      <c r="M315" s="1254"/>
      <c r="N315" s="1318"/>
      <c r="O315" s="1386"/>
      <c r="P315" s="1254"/>
      <c r="Q315" s="1254"/>
      <c r="R315" s="1254"/>
      <c r="S315" s="1254"/>
      <c r="T315" s="1254"/>
      <c r="U315" s="1254"/>
      <c r="V315" s="1254"/>
      <c r="W315" s="1254"/>
      <c r="X315" s="1254"/>
      <c r="Y315" s="1254"/>
      <c r="Z315" s="1254"/>
    </row>
    <row r="316">
      <c r="A316" s="1254"/>
      <c r="B316" s="1254"/>
      <c r="C316" s="1320"/>
      <c r="D316" s="1254"/>
      <c r="E316" s="1254"/>
      <c r="F316" s="1263"/>
      <c r="G316" s="1317"/>
      <c r="H316" s="1254"/>
      <c r="I316" s="1318"/>
      <c r="J316" s="1254"/>
      <c r="K316" s="1254"/>
      <c r="L316" s="1254"/>
      <c r="M316" s="1254"/>
      <c r="N316" s="1318"/>
      <c r="O316" s="1386"/>
      <c r="P316" s="1254"/>
      <c r="Q316" s="1254"/>
      <c r="R316" s="1254"/>
      <c r="S316" s="1254"/>
      <c r="T316" s="1254"/>
      <c r="U316" s="1254"/>
      <c r="V316" s="1254"/>
      <c r="W316" s="1254"/>
      <c r="X316" s="1254"/>
      <c r="Y316" s="1254"/>
      <c r="Z316" s="1254"/>
    </row>
    <row r="317">
      <c r="A317" s="1254"/>
      <c r="B317" s="1254"/>
      <c r="C317" s="1320"/>
      <c r="D317" s="1254"/>
      <c r="E317" s="1254"/>
      <c r="F317" s="1263"/>
      <c r="G317" s="1317"/>
      <c r="H317" s="1254"/>
      <c r="I317" s="1318"/>
      <c r="J317" s="1254"/>
      <c r="K317" s="1254"/>
      <c r="L317" s="1254"/>
      <c r="M317" s="1254"/>
      <c r="N317" s="1318"/>
      <c r="O317" s="1386"/>
      <c r="P317" s="1254"/>
      <c r="Q317" s="1254"/>
      <c r="R317" s="1254"/>
      <c r="S317" s="1254"/>
      <c r="T317" s="1254"/>
      <c r="U317" s="1254"/>
      <c r="V317" s="1254"/>
      <c r="W317" s="1254"/>
      <c r="X317" s="1254"/>
      <c r="Y317" s="1254"/>
      <c r="Z317" s="1254"/>
    </row>
    <row r="318">
      <c r="A318" s="1254"/>
      <c r="B318" s="1254"/>
      <c r="C318" s="1320"/>
      <c r="D318" s="1254"/>
      <c r="E318" s="1254"/>
      <c r="F318" s="1263"/>
      <c r="G318" s="1317"/>
      <c r="H318" s="1254"/>
      <c r="I318" s="1318"/>
      <c r="J318" s="1254"/>
      <c r="K318" s="1254"/>
      <c r="L318" s="1254"/>
      <c r="M318" s="1254"/>
      <c r="N318" s="1318"/>
      <c r="O318" s="1386"/>
      <c r="P318" s="1254"/>
      <c r="Q318" s="1254"/>
      <c r="R318" s="1254"/>
      <c r="S318" s="1254"/>
      <c r="T318" s="1254"/>
      <c r="U318" s="1254"/>
      <c r="V318" s="1254"/>
      <c r="W318" s="1254"/>
      <c r="X318" s="1254"/>
      <c r="Y318" s="1254"/>
      <c r="Z318" s="1254"/>
    </row>
    <row r="319">
      <c r="A319" s="1254"/>
      <c r="B319" s="1254"/>
      <c r="C319" s="1320"/>
      <c r="D319" s="1254"/>
      <c r="E319" s="1254"/>
      <c r="F319" s="1263"/>
      <c r="G319" s="1317"/>
      <c r="H319" s="1254"/>
      <c r="I319" s="1318"/>
      <c r="J319" s="1254"/>
      <c r="K319" s="1254"/>
      <c r="L319" s="1254"/>
      <c r="M319" s="1254"/>
      <c r="N319" s="1318"/>
      <c r="O319" s="1386"/>
      <c r="P319" s="1254"/>
      <c r="Q319" s="1254"/>
      <c r="R319" s="1254"/>
      <c r="S319" s="1254"/>
      <c r="T319" s="1254"/>
      <c r="U319" s="1254"/>
      <c r="V319" s="1254"/>
      <c r="W319" s="1254"/>
      <c r="X319" s="1254"/>
      <c r="Y319" s="1254"/>
      <c r="Z319" s="1254"/>
    </row>
    <row r="320">
      <c r="A320" s="1254"/>
      <c r="B320" s="1254"/>
      <c r="C320" s="1320"/>
      <c r="D320" s="1254"/>
      <c r="E320" s="1254"/>
      <c r="F320" s="1263"/>
      <c r="G320" s="1317"/>
      <c r="H320" s="1254"/>
      <c r="I320" s="1318"/>
      <c r="J320" s="1254"/>
      <c r="K320" s="1254"/>
      <c r="L320" s="1254"/>
      <c r="M320" s="1254"/>
      <c r="N320" s="1318"/>
      <c r="O320" s="1386"/>
      <c r="P320" s="1254"/>
      <c r="Q320" s="1254"/>
      <c r="R320" s="1254"/>
      <c r="S320" s="1254"/>
      <c r="T320" s="1254"/>
      <c r="U320" s="1254"/>
      <c r="V320" s="1254"/>
      <c r="W320" s="1254"/>
      <c r="X320" s="1254"/>
      <c r="Y320" s="1254"/>
      <c r="Z320" s="1254"/>
    </row>
    <row r="321">
      <c r="A321" s="1254"/>
      <c r="B321" s="1254"/>
      <c r="C321" s="1320"/>
      <c r="D321" s="1254"/>
      <c r="E321" s="1254"/>
      <c r="F321" s="1263"/>
      <c r="G321" s="1317"/>
      <c r="H321" s="1254"/>
      <c r="I321" s="1318"/>
      <c r="J321" s="1254"/>
      <c r="K321" s="1254"/>
      <c r="L321" s="1254"/>
      <c r="M321" s="1254"/>
      <c r="N321" s="1318"/>
      <c r="O321" s="1386"/>
      <c r="P321" s="1254"/>
      <c r="Q321" s="1254"/>
      <c r="R321" s="1254"/>
      <c r="S321" s="1254"/>
      <c r="T321" s="1254"/>
      <c r="U321" s="1254"/>
      <c r="V321" s="1254"/>
      <c r="W321" s="1254"/>
      <c r="X321" s="1254"/>
      <c r="Y321" s="1254"/>
      <c r="Z321" s="1254"/>
    </row>
    <row r="322">
      <c r="A322" s="1254"/>
      <c r="B322" s="1254"/>
      <c r="C322" s="1320"/>
      <c r="D322" s="1254"/>
      <c r="E322" s="1254"/>
      <c r="F322" s="1263"/>
      <c r="G322" s="1317"/>
      <c r="H322" s="1254"/>
      <c r="I322" s="1318"/>
      <c r="J322" s="1254"/>
      <c r="K322" s="1254"/>
      <c r="L322" s="1254"/>
      <c r="M322" s="1254"/>
      <c r="N322" s="1318"/>
      <c r="O322" s="1386"/>
      <c r="P322" s="1254"/>
      <c r="Q322" s="1254"/>
      <c r="R322" s="1254"/>
      <c r="S322" s="1254"/>
      <c r="T322" s="1254"/>
      <c r="U322" s="1254"/>
      <c r="V322" s="1254"/>
      <c r="W322" s="1254"/>
      <c r="X322" s="1254"/>
      <c r="Y322" s="1254"/>
      <c r="Z322" s="1254"/>
    </row>
    <row r="323">
      <c r="A323" s="1254"/>
      <c r="B323" s="1254"/>
      <c r="C323" s="1320"/>
      <c r="D323" s="1254"/>
      <c r="E323" s="1254"/>
      <c r="F323" s="1263"/>
      <c r="G323" s="1317"/>
      <c r="H323" s="1254"/>
      <c r="I323" s="1318"/>
      <c r="J323" s="1254"/>
      <c r="K323" s="1254"/>
      <c r="L323" s="1254"/>
      <c r="M323" s="1254"/>
      <c r="N323" s="1318"/>
      <c r="O323" s="1386"/>
      <c r="P323" s="1254"/>
      <c r="Q323" s="1254"/>
      <c r="R323" s="1254"/>
      <c r="S323" s="1254"/>
      <c r="T323" s="1254"/>
      <c r="U323" s="1254"/>
      <c r="V323" s="1254"/>
      <c r="W323" s="1254"/>
      <c r="X323" s="1254"/>
      <c r="Y323" s="1254"/>
      <c r="Z323" s="1254"/>
    </row>
    <row r="324">
      <c r="A324" s="1254"/>
      <c r="B324" s="1254"/>
      <c r="C324" s="1320"/>
      <c r="D324" s="1254"/>
      <c r="E324" s="1254"/>
      <c r="F324" s="1263"/>
      <c r="G324" s="1317"/>
      <c r="H324" s="1254"/>
      <c r="I324" s="1318"/>
      <c r="J324" s="1254"/>
      <c r="K324" s="1254"/>
      <c r="L324" s="1254"/>
      <c r="M324" s="1254"/>
      <c r="N324" s="1318"/>
      <c r="O324" s="1386"/>
      <c r="P324" s="1254"/>
      <c r="Q324" s="1254"/>
      <c r="R324" s="1254"/>
      <c r="S324" s="1254"/>
      <c r="T324" s="1254"/>
      <c r="U324" s="1254"/>
      <c r="V324" s="1254"/>
      <c r="W324" s="1254"/>
      <c r="X324" s="1254"/>
      <c r="Y324" s="1254"/>
      <c r="Z324" s="1254"/>
    </row>
    <row r="325">
      <c r="A325" s="1254"/>
      <c r="B325" s="1254"/>
      <c r="C325" s="1320"/>
      <c r="D325" s="1254"/>
      <c r="E325" s="1254"/>
      <c r="F325" s="1263"/>
      <c r="G325" s="1317"/>
      <c r="H325" s="1254"/>
      <c r="I325" s="1318"/>
      <c r="J325" s="1254"/>
      <c r="K325" s="1254"/>
      <c r="L325" s="1254"/>
      <c r="M325" s="1254"/>
      <c r="N325" s="1318"/>
      <c r="O325" s="1386"/>
      <c r="P325" s="1254"/>
      <c r="Q325" s="1254"/>
      <c r="R325" s="1254"/>
      <c r="S325" s="1254"/>
      <c r="T325" s="1254"/>
      <c r="U325" s="1254"/>
      <c r="V325" s="1254"/>
      <c r="W325" s="1254"/>
      <c r="X325" s="1254"/>
      <c r="Y325" s="1254"/>
      <c r="Z325" s="1254"/>
    </row>
    <row r="326">
      <c r="A326" s="1254"/>
      <c r="B326" s="1254"/>
      <c r="C326" s="1320"/>
      <c r="D326" s="1254"/>
      <c r="E326" s="1254"/>
      <c r="F326" s="1263"/>
      <c r="G326" s="1317"/>
      <c r="H326" s="1254"/>
      <c r="I326" s="1318"/>
      <c r="J326" s="1254"/>
      <c r="K326" s="1254"/>
      <c r="L326" s="1254"/>
      <c r="M326" s="1254"/>
      <c r="N326" s="1318"/>
      <c r="O326" s="1386"/>
      <c r="P326" s="1254"/>
      <c r="Q326" s="1254"/>
      <c r="R326" s="1254"/>
      <c r="S326" s="1254"/>
      <c r="T326" s="1254"/>
      <c r="U326" s="1254"/>
      <c r="V326" s="1254"/>
      <c r="W326" s="1254"/>
      <c r="X326" s="1254"/>
      <c r="Y326" s="1254"/>
      <c r="Z326" s="1254"/>
    </row>
    <row r="327">
      <c r="A327" s="1254"/>
      <c r="B327" s="1254"/>
      <c r="C327" s="1320"/>
      <c r="D327" s="1254"/>
      <c r="E327" s="1254"/>
      <c r="F327" s="1263"/>
      <c r="G327" s="1317"/>
      <c r="H327" s="1254"/>
      <c r="I327" s="1318"/>
      <c r="J327" s="1254"/>
      <c r="K327" s="1254"/>
      <c r="L327" s="1254"/>
      <c r="M327" s="1254"/>
      <c r="N327" s="1318"/>
      <c r="O327" s="1386"/>
      <c r="P327" s="1254"/>
      <c r="Q327" s="1254"/>
      <c r="R327" s="1254"/>
      <c r="S327" s="1254"/>
      <c r="T327" s="1254"/>
      <c r="U327" s="1254"/>
      <c r="V327" s="1254"/>
      <c r="W327" s="1254"/>
      <c r="X327" s="1254"/>
      <c r="Y327" s="1254"/>
      <c r="Z327" s="1254"/>
    </row>
    <row r="328">
      <c r="A328" s="1254"/>
      <c r="B328" s="1254"/>
      <c r="C328" s="1320"/>
      <c r="D328" s="1254"/>
      <c r="E328" s="1254"/>
      <c r="F328" s="1263"/>
      <c r="G328" s="1317"/>
      <c r="H328" s="1254"/>
      <c r="I328" s="1318"/>
      <c r="J328" s="1254"/>
      <c r="K328" s="1254"/>
      <c r="L328" s="1254"/>
      <c r="M328" s="1254"/>
      <c r="N328" s="1318"/>
      <c r="O328" s="1386"/>
      <c r="P328" s="1254"/>
      <c r="Q328" s="1254"/>
      <c r="R328" s="1254"/>
      <c r="S328" s="1254"/>
      <c r="T328" s="1254"/>
      <c r="U328" s="1254"/>
      <c r="V328" s="1254"/>
      <c r="W328" s="1254"/>
      <c r="X328" s="1254"/>
      <c r="Y328" s="1254"/>
      <c r="Z328" s="1254"/>
    </row>
    <row r="329">
      <c r="A329" s="1254"/>
      <c r="B329" s="1254"/>
      <c r="C329" s="1320"/>
      <c r="D329" s="1254"/>
      <c r="E329" s="1254"/>
      <c r="F329" s="1263"/>
      <c r="G329" s="1317"/>
      <c r="H329" s="1254"/>
      <c r="I329" s="1318"/>
      <c r="J329" s="1254"/>
      <c r="K329" s="1254"/>
      <c r="L329" s="1254"/>
      <c r="M329" s="1254"/>
      <c r="N329" s="1318"/>
      <c r="O329" s="1386"/>
      <c r="P329" s="1254"/>
      <c r="Q329" s="1254"/>
      <c r="R329" s="1254"/>
      <c r="S329" s="1254"/>
      <c r="T329" s="1254"/>
      <c r="U329" s="1254"/>
      <c r="V329" s="1254"/>
      <c r="W329" s="1254"/>
      <c r="X329" s="1254"/>
      <c r="Y329" s="1254"/>
      <c r="Z329" s="1254"/>
    </row>
    <row r="330">
      <c r="A330" s="1254"/>
      <c r="B330" s="1254"/>
      <c r="C330" s="1320"/>
      <c r="D330" s="1254"/>
      <c r="E330" s="1254"/>
      <c r="F330" s="1263"/>
      <c r="G330" s="1317"/>
      <c r="H330" s="1254"/>
      <c r="I330" s="1318"/>
      <c r="J330" s="1254"/>
      <c r="K330" s="1254"/>
      <c r="L330" s="1254"/>
      <c r="M330" s="1254"/>
      <c r="N330" s="1318"/>
      <c r="O330" s="1386"/>
      <c r="P330" s="1254"/>
      <c r="Q330" s="1254"/>
      <c r="R330" s="1254"/>
      <c r="S330" s="1254"/>
      <c r="T330" s="1254"/>
      <c r="U330" s="1254"/>
      <c r="V330" s="1254"/>
      <c r="W330" s="1254"/>
      <c r="X330" s="1254"/>
      <c r="Y330" s="1254"/>
      <c r="Z330" s="1254"/>
    </row>
    <row r="331">
      <c r="A331" s="1254"/>
      <c r="B331" s="1254"/>
      <c r="C331" s="1320"/>
      <c r="D331" s="1254"/>
      <c r="E331" s="1254"/>
      <c r="F331" s="1263"/>
      <c r="G331" s="1317"/>
      <c r="H331" s="1254"/>
      <c r="I331" s="1318"/>
      <c r="J331" s="1254"/>
      <c r="K331" s="1254"/>
      <c r="L331" s="1254"/>
      <c r="M331" s="1254"/>
      <c r="N331" s="1318"/>
      <c r="O331" s="1386"/>
      <c r="P331" s="1254"/>
      <c r="Q331" s="1254"/>
      <c r="R331" s="1254"/>
      <c r="S331" s="1254"/>
      <c r="T331" s="1254"/>
      <c r="U331" s="1254"/>
      <c r="V331" s="1254"/>
      <c r="W331" s="1254"/>
      <c r="X331" s="1254"/>
      <c r="Y331" s="1254"/>
      <c r="Z331" s="1254"/>
    </row>
    <row r="332">
      <c r="A332" s="1254"/>
      <c r="B332" s="1254"/>
      <c r="C332" s="1320"/>
      <c r="D332" s="1254"/>
      <c r="E332" s="1254"/>
      <c r="F332" s="1263"/>
      <c r="G332" s="1317"/>
      <c r="H332" s="1254"/>
      <c r="I332" s="1318"/>
      <c r="J332" s="1254"/>
      <c r="K332" s="1254"/>
      <c r="L332" s="1254"/>
      <c r="M332" s="1254"/>
      <c r="N332" s="1318"/>
      <c r="O332" s="1386"/>
      <c r="P332" s="1254"/>
      <c r="Q332" s="1254"/>
      <c r="R332" s="1254"/>
      <c r="S332" s="1254"/>
      <c r="T332" s="1254"/>
      <c r="U332" s="1254"/>
      <c r="V332" s="1254"/>
      <c r="W332" s="1254"/>
      <c r="X332" s="1254"/>
      <c r="Y332" s="1254"/>
      <c r="Z332" s="1254"/>
    </row>
    <row r="333">
      <c r="A333" s="1254"/>
      <c r="B333" s="1254"/>
      <c r="C333" s="1320"/>
      <c r="D333" s="1254"/>
      <c r="E333" s="1254"/>
      <c r="F333" s="1263"/>
      <c r="G333" s="1317"/>
      <c r="H333" s="1254"/>
      <c r="I333" s="1318"/>
      <c r="J333" s="1254"/>
      <c r="K333" s="1254"/>
      <c r="L333" s="1254"/>
      <c r="M333" s="1254"/>
      <c r="N333" s="1318"/>
      <c r="O333" s="1386"/>
      <c r="P333" s="1254"/>
      <c r="Q333" s="1254"/>
      <c r="R333" s="1254"/>
      <c r="S333" s="1254"/>
      <c r="T333" s="1254"/>
      <c r="U333" s="1254"/>
      <c r="V333" s="1254"/>
      <c r="W333" s="1254"/>
      <c r="X333" s="1254"/>
      <c r="Y333" s="1254"/>
      <c r="Z333" s="1254"/>
    </row>
    <row r="334">
      <c r="A334" s="1254"/>
      <c r="B334" s="1254"/>
      <c r="C334" s="1320"/>
      <c r="D334" s="1254"/>
      <c r="E334" s="1254"/>
      <c r="F334" s="1263"/>
      <c r="G334" s="1317"/>
      <c r="H334" s="1254"/>
      <c r="I334" s="1318"/>
      <c r="J334" s="1254"/>
      <c r="K334" s="1254"/>
      <c r="L334" s="1254"/>
      <c r="M334" s="1254"/>
      <c r="N334" s="1318"/>
      <c r="O334" s="1386"/>
      <c r="P334" s="1254"/>
      <c r="Q334" s="1254"/>
      <c r="R334" s="1254"/>
      <c r="S334" s="1254"/>
      <c r="T334" s="1254"/>
      <c r="U334" s="1254"/>
      <c r="V334" s="1254"/>
      <c r="W334" s="1254"/>
      <c r="X334" s="1254"/>
      <c r="Y334" s="1254"/>
      <c r="Z334" s="1254"/>
    </row>
    <row r="335">
      <c r="A335" s="1254"/>
      <c r="B335" s="1254"/>
      <c r="C335" s="1320"/>
      <c r="D335" s="1254"/>
      <c r="E335" s="1254"/>
      <c r="F335" s="1263"/>
      <c r="G335" s="1317"/>
      <c r="H335" s="1254"/>
      <c r="I335" s="1318"/>
      <c r="J335" s="1254"/>
      <c r="K335" s="1254"/>
      <c r="L335" s="1254"/>
      <c r="M335" s="1254"/>
      <c r="N335" s="1318"/>
      <c r="O335" s="1386"/>
      <c r="P335" s="1254"/>
      <c r="Q335" s="1254"/>
      <c r="R335" s="1254"/>
      <c r="S335" s="1254"/>
      <c r="T335" s="1254"/>
      <c r="U335" s="1254"/>
      <c r="V335" s="1254"/>
      <c r="W335" s="1254"/>
      <c r="X335" s="1254"/>
      <c r="Y335" s="1254"/>
      <c r="Z335" s="1254"/>
    </row>
    <row r="336">
      <c r="A336" s="1254"/>
      <c r="B336" s="1254"/>
      <c r="C336" s="1320"/>
      <c r="D336" s="1254"/>
      <c r="E336" s="1254"/>
      <c r="F336" s="1263"/>
      <c r="G336" s="1317"/>
      <c r="H336" s="1254"/>
      <c r="I336" s="1318"/>
      <c r="J336" s="1254"/>
      <c r="K336" s="1254"/>
      <c r="L336" s="1254"/>
      <c r="M336" s="1254"/>
      <c r="N336" s="1318"/>
      <c r="O336" s="1386"/>
      <c r="P336" s="1254"/>
      <c r="Q336" s="1254"/>
      <c r="R336" s="1254"/>
      <c r="S336" s="1254"/>
      <c r="T336" s="1254"/>
      <c r="U336" s="1254"/>
      <c r="V336" s="1254"/>
      <c r="W336" s="1254"/>
      <c r="X336" s="1254"/>
      <c r="Y336" s="1254"/>
      <c r="Z336" s="1254"/>
    </row>
    <row r="337">
      <c r="A337" s="1254"/>
      <c r="B337" s="1254"/>
      <c r="C337" s="1320"/>
      <c r="D337" s="1254"/>
      <c r="E337" s="1254"/>
      <c r="F337" s="1263"/>
      <c r="G337" s="1317"/>
      <c r="H337" s="1254"/>
      <c r="I337" s="1318"/>
      <c r="J337" s="1254"/>
      <c r="K337" s="1254"/>
      <c r="L337" s="1254"/>
      <c r="M337" s="1254"/>
      <c r="N337" s="1318"/>
      <c r="O337" s="1386"/>
      <c r="P337" s="1254"/>
      <c r="Q337" s="1254"/>
      <c r="R337" s="1254"/>
      <c r="S337" s="1254"/>
      <c r="T337" s="1254"/>
      <c r="U337" s="1254"/>
      <c r="V337" s="1254"/>
      <c r="W337" s="1254"/>
      <c r="X337" s="1254"/>
      <c r="Y337" s="1254"/>
      <c r="Z337" s="1254"/>
    </row>
    <row r="338">
      <c r="A338" s="1254"/>
      <c r="B338" s="1254"/>
      <c r="C338" s="1320"/>
      <c r="D338" s="1254"/>
      <c r="E338" s="1254"/>
      <c r="F338" s="1263"/>
      <c r="G338" s="1317"/>
      <c r="H338" s="1254"/>
      <c r="I338" s="1318"/>
      <c r="J338" s="1254"/>
      <c r="K338" s="1254"/>
      <c r="L338" s="1254"/>
      <c r="M338" s="1254"/>
      <c r="N338" s="1318"/>
      <c r="O338" s="1386"/>
      <c r="P338" s="1254"/>
      <c r="Q338" s="1254"/>
      <c r="R338" s="1254"/>
      <c r="S338" s="1254"/>
      <c r="T338" s="1254"/>
      <c r="U338" s="1254"/>
      <c r="V338" s="1254"/>
      <c r="W338" s="1254"/>
      <c r="X338" s="1254"/>
      <c r="Y338" s="1254"/>
      <c r="Z338" s="1254"/>
    </row>
    <row r="339">
      <c r="A339" s="1254"/>
      <c r="B339" s="1254"/>
      <c r="C339" s="1320"/>
      <c r="D339" s="1254"/>
      <c r="E339" s="1254"/>
      <c r="F339" s="1263"/>
      <c r="G339" s="1317"/>
      <c r="H339" s="1254"/>
      <c r="I339" s="1318"/>
      <c r="J339" s="1254"/>
      <c r="K339" s="1254"/>
      <c r="L339" s="1254"/>
      <c r="M339" s="1254"/>
      <c r="N339" s="1318"/>
      <c r="O339" s="1386"/>
      <c r="P339" s="1254"/>
      <c r="Q339" s="1254"/>
      <c r="R339" s="1254"/>
      <c r="S339" s="1254"/>
      <c r="T339" s="1254"/>
      <c r="U339" s="1254"/>
      <c r="V339" s="1254"/>
      <c r="W339" s="1254"/>
      <c r="X339" s="1254"/>
      <c r="Y339" s="1254"/>
      <c r="Z339" s="1254"/>
    </row>
    <row r="340">
      <c r="A340" s="1254"/>
      <c r="B340" s="1254"/>
      <c r="C340" s="1320"/>
      <c r="D340" s="1254"/>
      <c r="E340" s="1254"/>
      <c r="F340" s="1263"/>
      <c r="G340" s="1317"/>
      <c r="H340" s="1254"/>
      <c r="I340" s="1318"/>
      <c r="J340" s="1254"/>
      <c r="K340" s="1254"/>
      <c r="L340" s="1254"/>
      <c r="M340" s="1254"/>
      <c r="N340" s="1318"/>
      <c r="O340" s="1386"/>
      <c r="P340" s="1254"/>
      <c r="Q340" s="1254"/>
      <c r="R340" s="1254"/>
      <c r="S340" s="1254"/>
      <c r="T340" s="1254"/>
      <c r="U340" s="1254"/>
      <c r="V340" s="1254"/>
      <c r="W340" s="1254"/>
      <c r="X340" s="1254"/>
      <c r="Y340" s="1254"/>
      <c r="Z340" s="1254"/>
    </row>
    <row r="341">
      <c r="A341" s="1254"/>
      <c r="B341" s="1254"/>
      <c r="C341" s="1320"/>
      <c r="D341" s="1254"/>
      <c r="E341" s="1254"/>
      <c r="F341" s="1263"/>
      <c r="G341" s="1317"/>
      <c r="H341" s="1254"/>
      <c r="I341" s="1318"/>
      <c r="J341" s="1254"/>
      <c r="K341" s="1254"/>
      <c r="L341" s="1254"/>
      <c r="M341" s="1254"/>
      <c r="N341" s="1318"/>
      <c r="O341" s="1386"/>
      <c r="P341" s="1254"/>
      <c r="Q341" s="1254"/>
      <c r="R341" s="1254"/>
      <c r="S341" s="1254"/>
      <c r="T341" s="1254"/>
      <c r="U341" s="1254"/>
      <c r="V341" s="1254"/>
      <c r="W341" s="1254"/>
      <c r="X341" s="1254"/>
      <c r="Y341" s="1254"/>
      <c r="Z341" s="1254"/>
    </row>
    <row r="342">
      <c r="A342" s="1254"/>
      <c r="B342" s="1254"/>
      <c r="C342" s="1320"/>
      <c r="D342" s="1254"/>
      <c r="E342" s="1254"/>
      <c r="F342" s="1263"/>
      <c r="G342" s="1317"/>
      <c r="H342" s="1254"/>
      <c r="I342" s="1318"/>
      <c r="J342" s="1254"/>
      <c r="K342" s="1254"/>
      <c r="L342" s="1254"/>
      <c r="M342" s="1254"/>
      <c r="N342" s="1318"/>
      <c r="O342" s="1386"/>
      <c r="P342" s="1254"/>
      <c r="Q342" s="1254"/>
      <c r="R342" s="1254"/>
      <c r="S342" s="1254"/>
      <c r="T342" s="1254"/>
      <c r="U342" s="1254"/>
      <c r="V342" s="1254"/>
      <c r="W342" s="1254"/>
      <c r="X342" s="1254"/>
      <c r="Y342" s="1254"/>
      <c r="Z342" s="1254"/>
    </row>
    <row r="343">
      <c r="A343" s="1254"/>
      <c r="B343" s="1254"/>
      <c r="C343" s="1320"/>
      <c r="D343" s="1254"/>
      <c r="E343" s="1254"/>
      <c r="F343" s="1263"/>
      <c r="G343" s="1317"/>
      <c r="H343" s="1254"/>
      <c r="I343" s="1318"/>
      <c r="J343" s="1254"/>
      <c r="K343" s="1254"/>
      <c r="L343" s="1254"/>
      <c r="M343" s="1254"/>
      <c r="N343" s="1318"/>
      <c r="O343" s="1386"/>
      <c r="P343" s="1254"/>
      <c r="Q343" s="1254"/>
      <c r="R343" s="1254"/>
      <c r="S343" s="1254"/>
      <c r="T343" s="1254"/>
      <c r="U343" s="1254"/>
      <c r="V343" s="1254"/>
      <c r="W343" s="1254"/>
      <c r="X343" s="1254"/>
      <c r="Y343" s="1254"/>
      <c r="Z343" s="1254"/>
    </row>
    <row r="344">
      <c r="A344" s="1254"/>
      <c r="B344" s="1254"/>
      <c r="C344" s="1320"/>
      <c r="D344" s="1254"/>
      <c r="E344" s="1254"/>
      <c r="F344" s="1263"/>
      <c r="G344" s="1317"/>
      <c r="H344" s="1254"/>
      <c r="I344" s="1318"/>
      <c r="J344" s="1254"/>
      <c r="K344" s="1254"/>
      <c r="L344" s="1254"/>
      <c r="M344" s="1254"/>
      <c r="N344" s="1318"/>
      <c r="O344" s="1386"/>
      <c r="P344" s="1254"/>
      <c r="Q344" s="1254"/>
      <c r="R344" s="1254"/>
      <c r="S344" s="1254"/>
      <c r="T344" s="1254"/>
      <c r="U344" s="1254"/>
      <c r="V344" s="1254"/>
      <c r="W344" s="1254"/>
      <c r="X344" s="1254"/>
      <c r="Y344" s="1254"/>
      <c r="Z344" s="1254"/>
    </row>
    <row r="345">
      <c r="A345" s="1254"/>
      <c r="B345" s="1254"/>
      <c r="C345" s="1320"/>
      <c r="D345" s="1254"/>
      <c r="E345" s="1254"/>
      <c r="F345" s="1263"/>
      <c r="G345" s="1317"/>
      <c r="H345" s="1254"/>
      <c r="I345" s="1318"/>
      <c r="J345" s="1254"/>
      <c r="K345" s="1254"/>
      <c r="L345" s="1254"/>
      <c r="M345" s="1254"/>
      <c r="N345" s="1318"/>
      <c r="O345" s="1386"/>
      <c r="P345" s="1254"/>
      <c r="Q345" s="1254"/>
      <c r="R345" s="1254"/>
      <c r="S345" s="1254"/>
      <c r="T345" s="1254"/>
      <c r="U345" s="1254"/>
      <c r="V345" s="1254"/>
      <c r="W345" s="1254"/>
      <c r="X345" s="1254"/>
      <c r="Y345" s="1254"/>
      <c r="Z345" s="1254"/>
    </row>
    <row r="346">
      <c r="A346" s="1254"/>
      <c r="B346" s="1254"/>
      <c r="C346" s="1320"/>
      <c r="D346" s="1254"/>
      <c r="E346" s="1254"/>
      <c r="F346" s="1263"/>
      <c r="G346" s="1317"/>
      <c r="H346" s="1254"/>
      <c r="I346" s="1318"/>
      <c r="J346" s="1254"/>
      <c r="K346" s="1254"/>
      <c r="L346" s="1254"/>
      <c r="M346" s="1254"/>
      <c r="N346" s="1318"/>
      <c r="O346" s="1386"/>
      <c r="P346" s="1254"/>
      <c r="Q346" s="1254"/>
      <c r="R346" s="1254"/>
      <c r="S346" s="1254"/>
      <c r="T346" s="1254"/>
      <c r="U346" s="1254"/>
      <c r="V346" s="1254"/>
      <c r="W346" s="1254"/>
      <c r="X346" s="1254"/>
      <c r="Y346" s="1254"/>
      <c r="Z346" s="1254"/>
    </row>
    <row r="347">
      <c r="A347" s="1254"/>
      <c r="B347" s="1254"/>
      <c r="C347" s="1320"/>
      <c r="D347" s="1254"/>
      <c r="E347" s="1254"/>
      <c r="F347" s="1263"/>
      <c r="G347" s="1317"/>
      <c r="H347" s="1254"/>
      <c r="I347" s="1318"/>
      <c r="J347" s="1254"/>
      <c r="K347" s="1254"/>
      <c r="L347" s="1254"/>
      <c r="M347" s="1254"/>
      <c r="N347" s="1318"/>
      <c r="O347" s="1386"/>
      <c r="P347" s="1254"/>
      <c r="Q347" s="1254"/>
      <c r="R347" s="1254"/>
      <c r="S347" s="1254"/>
      <c r="T347" s="1254"/>
      <c r="U347" s="1254"/>
      <c r="V347" s="1254"/>
      <c r="W347" s="1254"/>
      <c r="X347" s="1254"/>
      <c r="Y347" s="1254"/>
      <c r="Z347" s="1254"/>
    </row>
    <row r="348">
      <c r="A348" s="1254"/>
      <c r="B348" s="1254"/>
      <c r="C348" s="1320"/>
      <c r="D348" s="1254"/>
      <c r="E348" s="1254"/>
      <c r="F348" s="1263"/>
      <c r="G348" s="1317"/>
      <c r="H348" s="1254"/>
      <c r="I348" s="1318"/>
      <c r="J348" s="1254"/>
      <c r="K348" s="1254"/>
      <c r="L348" s="1254"/>
      <c r="M348" s="1254"/>
      <c r="N348" s="1318"/>
      <c r="O348" s="1386"/>
      <c r="P348" s="1254"/>
      <c r="Q348" s="1254"/>
      <c r="R348" s="1254"/>
      <c r="S348" s="1254"/>
      <c r="T348" s="1254"/>
      <c r="U348" s="1254"/>
      <c r="V348" s="1254"/>
      <c r="W348" s="1254"/>
      <c r="X348" s="1254"/>
      <c r="Y348" s="1254"/>
      <c r="Z348" s="1254"/>
    </row>
    <row r="349">
      <c r="A349" s="1254"/>
      <c r="B349" s="1254"/>
      <c r="C349" s="1320"/>
      <c r="D349" s="1254"/>
      <c r="E349" s="1254"/>
      <c r="F349" s="1263"/>
      <c r="G349" s="1317"/>
      <c r="H349" s="1254"/>
      <c r="I349" s="1318"/>
      <c r="J349" s="1254"/>
      <c r="K349" s="1254"/>
      <c r="L349" s="1254"/>
      <c r="M349" s="1254"/>
      <c r="N349" s="1318"/>
      <c r="O349" s="1386"/>
      <c r="P349" s="1254"/>
      <c r="Q349" s="1254"/>
      <c r="R349" s="1254"/>
      <c r="S349" s="1254"/>
      <c r="T349" s="1254"/>
      <c r="U349" s="1254"/>
      <c r="V349" s="1254"/>
      <c r="W349" s="1254"/>
      <c r="X349" s="1254"/>
      <c r="Y349" s="1254"/>
      <c r="Z349" s="1254"/>
    </row>
    <row r="350">
      <c r="A350" s="1254"/>
      <c r="B350" s="1254"/>
      <c r="C350" s="1320"/>
      <c r="D350" s="1254"/>
      <c r="E350" s="1254"/>
      <c r="F350" s="1263"/>
      <c r="G350" s="1317"/>
      <c r="H350" s="1254"/>
      <c r="I350" s="1318"/>
      <c r="J350" s="1254"/>
      <c r="K350" s="1254"/>
      <c r="L350" s="1254"/>
      <c r="M350" s="1254"/>
      <c r="N350" s="1318"/>
      <c r="O350" s="1386"/>
      <c r="P350" s="1254"/>
      <c r="Q350" s="1254"/>
      <c r="R350" s="1254"/>
      <c r="S350" s="1254"/>
      <c r="T350" s="1254"/>
      <c r="U350" s="1254"/>
      <c r="V350" s="1254"/>
      <c r="W350" s="1254"/>
      <c r="X350" s="1254"/>
      <c r="Y350" s="1254"/>
      <c r="Z350" s="1254"/>
    </row>
    <row r="351">
      <c r="A351" s="1254"/>
      <c r="B351" s="1254"/>
      <c r="C351" s="1320"/>
      <c r="D351" s="1254"/>
      <c r="E351" s="1254"/>
      <c r="F351" s="1263"/>
      <c r="G351" s="1317"/>
      <c r="H351" s="1254"/>
      <c r="I351" s="1318"/>
      <c r="J351" s="1254"/>
      <c r="K351" s="1254"/>
      <c r="L351" s="1254"/>
      <c r="M351" s="1254"/>
      <c r="N351" s="1318"/>
      <c r="O351" s="1386"/>
      <c r="P351" s="1254"/>
      <c r="Q351" s="1254"/>
      <c r="R351" s="1254"/>
      <c r="S351" s="1254"/>
      <c r="T351" s="1254"/>
      <c r="U351" s="1254"/>
      <c r="V351" s="1254"/>
      <c r="W351" s="1254"/>
      <c r="X351" s="1254"/>
      <c r="Y351" s="1254"/>
      <c r="Z351" s="1254"/>
    </row>
    <row r="352">
      <c r="A352" s="1254"/>
      <c r="B352" s="1254"/>
      <c r="C352" s="1320"/>
      <c r="D352" s="1254"/>
      <c r="E352" s="1254"/>
      <c r="F352" s="1263"/>
      <c r="G352" s="1317"/>
      <c r="H352" s="1254"/>
      <c r="I352" s="1318"/>
      <c r="J352" s="1254"/>
      <c r="K352" s="1254"/>
      <c r="L352" s="1254"/>
      <c r="M352" s="1254"/>
      <c r="N352" s="1318"/>
      <c r="O352" s="1386"/>
      <c r="P352" s="1254"/>
      <c r="Q352" s="1254"/>
      <c r="R352" s="1254"/>
      <c r="S352" s="1254"/>
      <c r="T352" s="1254"/>
      <c r="U352" s="1254"/>
      <c r="V352" s="1254"/>
      <c r="W352" s="1254"/>
      <c r="X352" s="1254"/>
      <c r="Y352" s="1254"/>
      <c r="Z352" s="1254"/>
    </row>
    <row r="353">
      <c r="A353" s="1254"/>
      <c r="B353" s="1254"/>
      <c r="C353" s="1320"/>
      <c r="D353" s="1254"/>
      <c r="E353" s="1254"/>
      <c r="F353" s="1263"/>
      <c r="G353" s="1317"/>
      <c r="H353" s="1254"/>
      <c r="I353" s="1318"/>
      <c r="J353" s="1254"/>
      <c r="K353" s="1254"/>
      <c r="L353" s="1254"/>
      <c r="M353" s="1254"/>
      <c r="N353" s="1318"/>
      <c r="O353" s="1386"/>
      <c r="P353" s="1254"/>
      <c r="Q353" s="1254"/>
      <c r="R353" s="1254"/>
      <c r="S353" s="1254"/>
      <c r="T353" s="1254"/>
      <c r="U353" s="1254"/>
      <c r="V353" s="1254"/>
      <c r="W353" s="1254"/>
      <c r="X353" s="1254"/>
      <c r="Y353" s="1254"/>
      <c r="Z353" s="1254"/>
    </row>
    <row r="354">
      <c r="A354" s="1254"/>
      <c r="B354" s="1254"/>
      <c r="C354" s="1320"/>
      <c r="D354" s="1254"/>
      <c r="E354" s="1254"/>
      <c r="F354" s="1263"/>
      <c r="G354" s="1317"/>
      <c r="H354" s="1254"/>
      <c r="I354" s="1318"/>
      <c r="J354" s="1254"/>
      <c r="K354" s="1254"/>
      <c r="L354" s="1254"/>
      <c r="M354" s="1254"/>
      <c r="N354" s="1318"/>
      <c r="O354" s="1386"/>
      <c r="P354" s="1254"/>
      <c r="Q354" s="1254"/>
      <c r="R354" s="1254"/>
      <c r="S354" s="1254"/>
      <c r="T354" s="1254"/>
      <c r="U354" s="1254"/>
      <c r="V354" s="1254"/>
      <c r="W354" s="1254"/>
      <c r="X354" s="1254"/>
      <c r="Y354" s="1254"/>
      <c r="Z354" s="1254"/>
    </row>
    <row r="355">
      <c r="A355" s="1254"/>
      <c r="B355" s="1254"/>
      <c r="C355" s="1320"/>
      <c r="D355" s="1254"/>
      <c r="E355" s="1254"/>
      <c r="F355" s="1263"/>
      <c r="G355" s="1317"/>
      <c r="H355" s="1254"/>
      <c r="I355" s="1318"/>
      <c r="J355" s="1254"/>
      <c r="K355" s="1254"/>
      <c r="L355" s="1254"/>
      <c r="M355" s="1254"/>
      <c r="N355" s="1318"/>
      <c r="O355" s="1386"/>
      <c r="P355" s="1254"/>
      <c r="Q355" s="1254"/>
      <c r="R355" s="1254"/>
      <c r="S355" s="1254"/>
      <c r="T355" s="1254"/>
      <c r="U355" s="1254"/>
      <c r="V355" s="1254"/>
      <c r="W355" s="1254"/>
      <c r="X355" s="1254"/>
      <c r="Y355" s="1254"/>
      <c r="Z355" s="1254"/>
    </row>
    <row r="356">
      <c r="A356" s="1254"/>
      <c r="B356" s="1254"/>
      <c r="C356" s="1320"/>
      <c r="D356" s="1254"/>
      <c r="E356" s="1254"/>
      <c r="F356" s="1263"/>
      <c r="G356" s="1317"/>
      <c r="H356" s="1254"/>
      <c r="I356" s="1318"/>
      <c r="J356" s="1254"/>
      <c r="K356" s="1254"/>
      <c r="L356" s="1254"/>
      <c r="M356" s="1254"/>
      <c r="N356" s="1318"/>
      <c r="O356" s="1386"/>
      <c r="P356" s="1254"/>
      <c r="Q356" s="1254"/>
      <c r="R356" s="1254"/>
      <c r="S356" s="1254"/>
      <c r="T356" s="1254"/>
      <c r="U356" s="1254"/>
      <c r="V356" s="1254"/>
      <c r="W356" s="1254"/>
      <c r="X356" s="1254"/>
      <c r="Y356" s="1254"/>
      <c r="Z356" s="1254"/>
    </row>
    <row r="357">
      <c r="A357" s="1254"/>
      <c r="B357" s="1254"/>
      <c r="C357" s="1320"/>
      <c r="D357" s="1254"/>
      <c r="E357" s="1254"/>
      <c r="F357" s="1263"/>
      <c r="G357" s="1317"/>
      <c r="H357" s="1254"/>
      <c r="I357" s="1318"/>
      <c r="J357" s="1254"/>
      <c r="K357" s="1254"/>
      <c r="L357" s="1254"/>
      <c r="M357" s="1254"/>
      <c r="N357" s="1318"/>
      <c r="O357" s="1386"/>
      <c r="P357" s="1254"/>
      <c r="Q357" s="1254"/>
      <c r="R357" s="1254"/>
      <c r="S357" s="1254"/>
      <c r="T357" s="1254"/>
      <c r="U357" s="1254"/>
      <c r="V357" s="1254"/>
      <c r="W357" s="1254"/>
      <c r="X357" s="1254"/>
      <c r="Y357" s="1254"/>
      <c r="Z357" s="1254"/>
    </row>
    <row r="358">
      <c r="A358" s="1254"/>
      <c r="B358" s="1254"/>
      <c r="C358" s="1320"/>
      <c r="D358" s="1254"/>
      <c r="E358" s="1254"/>
      <c r="F358" s="1263"/>
      <c r="G358" s="1317"/>
      <c r="H358" s="1254"/>
      <c r="I358" s="1318"/>
      <c r="J358" s="1254"/>
      <c r="K358" s="1254"/>
      <c r="L358" s="1254"/>
      <c r="M358" s="1254"/>
      <c r="N358" s="1318"/>
      <c r="O358" s="1386"/>
      <c r="P358" s="1254"/>
      <c r="Q358" s="1254"/>
      <c r="R358" s="1254"/>
      <c r="S358" s="1254"/>
      <c r="T358" s="1254"/>
      <c r="U358" s="1254"/>
      <c r="V358" s="1254"/>
      <c r="W358" s="1254"/>
      <c r="X358" s="1254"/>
      <c r="Y358" s="1254"/>
      <c r="Z358" s="1254"/>
    </row>
    <row r="359">
      <c r="A359" s="1254"/>
      <c r="B359" s="1254"/>
      <c r="C359" s="1320"/>
      <c r="D359" s="1254"/>
      <c r="E359" s="1254"/>
      <c r="F359" s="1263"/>
      <c r="G359" s="1317"/>
      <c r="H359" s="1254"/>
      <c r="I359" s="1318"/>
      <c r="J359" s="1254"/>
      <c r="K359" s="1254"/>
      <c r="L359" s="1254"/>
      <c r="M359" s="1254"/>
      <c r="N359" s="1318"/>
      <c r="O359" s="1386"/>
      <c r="P359" s="1254"/>
      <c r="Q359" s="1254"/>
      <c r="R359" s="1254"/>
      <c r="S359" s="1254"/>
      <c r="T359" s="1254"/>
      <c r="U359" s="1254"/>
      <c r="V359" s="1254"/>
      <c r="W359" s="1254"/>
      <c r="X359" s="1254"/>
      <c r="Y359" s="1254"/>
      <c r="Z359" s="1254"/>
    </row>
    <row r="360">
      <c r="A360" s="1254"/>
      <c r="B360" s="1254"/>
      <c r="C360" s="1320"/>
      <c r="D360" s="1254"/>
      <c r="E360" s="1254"/>
      <c r="F360" s="1263"/>
      <c r="G360" s="1317"/>
      <c r="H360" s="1254"/>
      <c r="I360" s="1318"/>
      <c r="J360" s="1254"/>
      <c r="K360" s="1254"/>
      <c r="L360" s="1254"/>
      <c r="M360" s="1254"/>
      <c r="N360" s="1318"/>
      <c r="O360" s="1386"/>
      <c r="P360" s="1254"/>
      <c r="Q360" s="1254"/>
      <c r="R360" s="1254"/>
      <c r="S360" s="1254"/>
      <c r="T360" s="1254"/>
      <c r="U360" s="1254"/>
      <c r="V360" s="1254"/>
      <c r="W360" s="1254"/>
      <c r="X360" s="1254"/>
      <c r="Y360" s="1254"/>
      <c r="Z360" s="1254"/>
    </row>
    <row r="361">
      <c r="A361" s="1254"/>
      <c r="B361" s="1254"/>
      <c r="C361" s="1320"/>
      <c r="D361" s="1254"/>
      <c r="E361" s="1254"/>
      <c r="F361" s="1263"/>
      <c r="G361" s="1317"/>
      <c r="H361" s="1254"/>
      <c r="I361" s="1318"/>
      <c r="J361" s="1254"/>
      <c r="K361" s="1254"/>
      <c r="L361" s="1254"/>
      <c r="M361" s="1254"/>
      <c r="N361" s="1318"/>
      <c r="O361" s="1386"/>
      <c r="P361" s="1254"/>
      <c r="Q361" s="1254"/>
      <c r="R361" s="1254"/>
      <c r="S361" s="1254"/>
      <c r="T361" s="1254"/>
      <c r="U361" s="1254"/>
      <c r="V361" s="1254"/>
      <c r="W361" s="1254"/>
      <c r="X361" s="1254"/>
      <c r="Y361" s="1254"/>
      <c r="Z361" s="1254"/>
    </row>
    <row r="362">
      <c r="A362" s="1254"/>
      <c r="B362" s="1254"/>
      <c r="C362" s="1320"/>
      <c r="D362" s="1254"/>
      <c r="E362" s="1254"/>
      <c r="F362" s="1263"/>
      <c r="G362" s="1317"/>
      <c r="H362" s="1254"/>
      <c r="I362" s="1318"/>
      <c r="J362" s="1254"/>
      <c r="K362" s="1254"/>
      <c r="L362" s="1254"/>
      <c r="M362" s="1254"/>
      <c r="N362" s="1318"/>
      <c r="O362" s="1386"/>
      <c r="P362" s="1254"/>
      <c r="Q362" s="1254"/>
      <c r="R362" s="1254"/>
      <c r="S362" s="1254"/>
      <c r="T362" s="1254"/>
      <c r="U362" s="1254"/>
      <c r="V362" s="1254"/>
      <c r="W362" s="1254"/>
      <c r="X362" s="1254"/>
      <c r="Y362" s="1254"/>
      <c r="Z362" s="1254"/>
    </row>
    <row r="363">
      <c r="A363" s="1254"/>
      <c r="B363" s="1254"/>
      <c r="C363" s="1320"/>
      <c r="D363" s="1254"/>
      <c r="E363" s="1254"/>
      <c r="F363" s="1263"/>
      <c r="G363" s="1317"/>
      <c r="H363" s="1254"/>
      <c r="I363" s="1318"/>
      <c r="J363" s="1254"/>
      <c r="K363" s="1254"/>
      <c r="L363" s="1254"/>
      <c r="M363" s="1254"/>
      <c r="N363" s="1318"/>
      <c r="O363" s="1386"/>
      <c r="P363" s="1254"/>
      <c r="Q363" s="1254"/>
      <c r="R363" s="1254"/>
      <c r="S363" s="1254"/>
      <c r="T363" s="1254"/>
      <c r="U363" s="1254"/>
      <c r="V363" s="1254"/>
      <c r="W363" s="1254"/>
      <c r="X363" s="1254"/>
      <c r="Y363" s="1254"/>
      <c r="Z363" s="1254"/>
    </row>
    <row r="364">
      <c r="A364" s="1254"/>
      <c r="B364" s="1254"/>
      <c r="C364" s="1320"/>
      <c r="D364" s="1254"/>
      <c r="E364" s="1254"/>
      <c r="F364" s="1263"/>
      <c r="G364" s="1317"/>
      <c r="H364" s="1254"/>
      <c r="I364" s="1318"/>
      <c r="J364" s="1254"/>
      <c r="K364" s="1254"/>
      <c r="L364" s="1254"/>
      <c r="M364" s="1254"/>
      <c r="N364" s="1318"/>
      <c r="O364" s="1386"/>
      <c r="P364" s="1254"/>
      <c r="Q364" s="1254"/>
      <c r="R364" s="1254"/>
      <c r="S364" s="1254"/>
      <c r="T364" s="1254"/>
      <c r="U364" s="1254"/>
      <c r="V364" s="1254"/>
      <c r="W364" s="1254"/>
      <c r="X364" s="1254"/>
      <c r="Y364" s="1254"/>
      <c r="Z364" s="1254"/>
    </row>
    <row r="365">
      <c r="A365" s="1254"/>
      <c r="B365" s="1254"/>
      <c r="C365" s="1320"/>
      <c r="D365" s="1254"/>
      <c r="E365" s="1254"/>
      <c r="F365" s="1263"/>
      <c r="G365" s="1317"/>
      <c r="H365" s="1254"/>
      <c r="I365" s="1318"/>
      <c r="J365" s="1254"/>
      <c r="K365" s="1254"/>
      <c r="L365" s="1254"/>
      <c r="M365" s="1254"/>
      <c r="N365" s="1318"/>
      <c r="O365" s="1386"/>
      <c r="P365" s="1254"/>
      <c r="Q365" s="1254"/>
      <c r="R365" s="1254"/>
      <c r="S365" s="1254"/>
      <c r="T365" s="1254"/>
      <c r="U365" s="1254"/>
      <c r="V365" s="1254"/>
      <c r="W365" s="1254"/>
      <c r="X365" s="1254"/>
      <c r="Y365" s="1254"/>
      <c r="Z365" s="1254"/>
    </row>
    <row r="366">
      <c r="A366" s="1254"/>
      <c r="B366" s="1254"/>
      <c r="C366" s="1320"/>
      <c r="D366" s="1254"/>
      <c r="E366" s="1254"/>
      <c r="F366" s="1263"/>
      <c r="G366" s="1317"/>
      <c r="H366" s="1254"/>
      <c r="I366" s="1318"/>
      <c r="J366" s="1254"/>
      <c r="K366" s="1254"/>
      <c r="L366" s="1254"/>
      <c r="M366" s="1254"/>
      <c r="N366" s="1318"/>
      <c r="O366" s="1386"/>
      <c r="P366" s="1254"/>
      <c r="Q366" s="1254"/>
      <c r="R366" s="1254"/>
      <c r="S366" s="1254"/>
      <c r="T366" s="1254"/>
      <c r="U366" s="1254"/>
      <c r="V366" s="1254"/>
      <c r="W366" s="1254"/>
      <c r="X366" s="1254"/>
      <c r="Y366" s="1254"/>
      <c r="Z366" s="1254"/>
    </row>
    <row r="367">
      <c r="A367" s="1254"/>
      <c r="B367" s="1254"/>
      <c r="C367" s="1320"/>
      <c r="D367" s="1254"/>
      <c r="E367" s="1254"/>
      <c r="F367" s="1263"/>
      <c r="G367" s="1317"/>
      <c r="H367" s="1254"/>
      <c r="I367" s="1318"/>
      <c r="J367" s="1254"/>
      <c r="K367" s="1254"/>
      <c r="L367" s="1254"/>
      <c r="M367" s="1254"/>
      <c r="N367" s="1318"/>
      <c r="O367" s="1386"/>
      <c r="P367" s="1254"/>
      <c r="Q367" s="1254"/>
      <c r="R367" s="1254"/>
      <c r="S367" s="1254"/>
      <c r="T367" s="1254"/>
      <c r="U367" s="1254"/>
      <c r="V367" s="1254"/>
      <c r="W367" s="1254"/>
      <c r="X367" s="1254"/>
      <c r="Y367" s="1254"/>
      <c r="Z367" s="1254"/>
    </row>
    <row r="368">
      <c r="A368" s="1254"/>
      <c r="B368" s="1254"/>
      <c r="C368" s="1320"/>
      <c r="D368" s="1254"/>
      <c r="E368" s="1254"/>
      <c r="F368" s="1263"/>
      <c r="G368" s="1317"/>
      <c r="H368" s="1254"/>
      <c r="I368" s="1318"/>
      <c r="J368" s="1254"/>
      <c r="K368" s="1254"/>
      <c r="L368" s="1254"/>
      <c r="M368" s="1254"/>
      <c r="N368" s="1318"/>
      <c r="O368" s="1386"/>
      <c r="P368" s="1254"/>
      <c r="Q368" s="1254"/>
      <c r="R368" s="1254"/>
      <c r="S368" s="1254"/>
      <c r="T368" s="1254"/>
      <c r="U368" s="1254"/>
      <c r="V368" s="1254"/>
      <c r="W368" s="1254"/>
      <c r="X368" s="1254"/>
      <c r="Y368" s="1254"/>
      <c r="Z368" s="1254"/>
    </row>
    <row r="369">
      <c r="A369" s="1254"/>
      <c r="B369" s="1254"/>
      <c r="C369" s="1320"/>
      <c r="D369" s="1254"/>
      <c r="E369" s="1254"/>
      <c r="F369" s="1263"/>
      <c r="G369" s="1317"/>
      <c r="H369" s="1254"/>
      <c r="I369" s="1318"/>
      <c r="J369" s="1254"/>
      <c r="K369" s="1254"/>
      <c r="L369" s="1254"/>
      <c r="M369" s="1254"/>
      <c r="N369" s="1318"/>
      <c r="O369" s="1386"/>
      <c r="P369" s="1254"/>
      <c r="Q369" s="1254"/>
      <c r="R369" s="1254"/>
      <c r="S369" s="1254"/>
      <c r="T369" s="1254"/>
      <c r="U369" s="1254"/>
      <c r="V369" s="1254"/>
      <c r="W369" s="1254"/>
      <c r="X369" s="1254"/>
      <c r="Y369" s="1254"/>
      <c r="Z369" s="1254"/>
    </row>
    <row r="370">
      <c r="A370" s="1254"/>
      <c r="B370" s="1254"/>
      <c r="C370" s="1320"/>
      <c r="D370" s="1254"/>
      <c r="E370" s="1254"/>
      <c r="F370" s="1263"/>
      <c r="G370" s="1317"/>
      <c r="H370" s="1254"/>
      <c r="I370" s="1318"/>
      <c r="J370" s="1254"/>
      <c r="K370" s="1254"/>
      <c r="L370" s="1254"/>
      <c r="M370" s="1254"/>
      <c r="N370" s="1318"/>
      <c r="O370" s="1386"/>
      <c r="P370" s="1254"/>
      <c r="Q370" s="1254"/>
      <c r="R370" s="1254"/>
      <c r="S370" s="1254"/>
      <c r="T370" s="1254"/>
      <c r="U370" s="1254"/>
      <c r="V370" s="1254"/>
      <c r="W370" s="1254"/>
      <c r="X370" s="1254"/>
      <c r="Y370" s="1254"/>
      <c r="Z370" s="1254"/>
    </row>
    <row r="371">
      <c r="A371" s="1254"/>
      <c r="B371" s="1254"/>
      <c r="C371" s="1320"/>
      <c r="D371" s="1254"/>
      <c r="E371" s="1254"/>
      <c r="F371" s="1263"/>
      <c r="G371" s="1317"/>
      <c r="H371" s="1254"/>
      <c r="I371" s="1318"/>
      <c r="J371" s="1254"/>
      <c r="K371" s="1254"/>
      <c r="L371" s="1254"/>
      <c r="M371" s="1254"/>
      <c r="N371" s="1318"/>
      <c r="O371" s="1386"/>
      <c r="P371" s="1254"/>
      <c r="Q371" s="1254"/>
      <c r="R371" s="1254"/>
      <c r="S371" s="1254"/>
      <c r="T371" s="1254"/>
      <c r="U371" s="1254"/>
      <c r="V371" s="1254"/>
      <c r="W371" s="1254"/>
      <c r="X371" s="1254"/>
      <c r="Y371" s="1254"/>
      <c r="Z371" s="1254"/>
    </row>
    <row r="372">
      <c r="A372" s="1254"/>
      <c r="B372" s="1254"/>
      <c r="C372" s="1320"/>
      <c r="D372" s="1254"/>
      <c r="E372" s="1254"/>
      <c r="F372" s="1263"/>
      <c r="G372" s="1317"/>
      <c r="H372" s="1254"/>
      <c r="I372" s="1318"/>
      <c r="J372" s="1254"/>
      <c r="K372" s="1254"/>
      <c r="L372" s="1254"/>
      <c r="M372" s="1254"/>
      <c r="N372" s="1318"/>
      <c r="O372" s="1386"/>
      <c r="P372" s="1254"/>
      <c r="Q372" s="1254"/>
      <c r="R372" s="1254"/>
      <c r="S372" s="1254"/>
      <c r="T372" s="1254"/>
      <c r="U372" s="1254"/>
      <c r="V372" s="1254"/>
      <c r="W372" s="1254"/>
      <c r="X372" s="1254"/>
      <c r="Y372" s="1254"/>
      <c r="Z372" s="1254"/>
    </row>
    <row r="373">
      <c r="A373" s="1254"/>
      <c r="B373" s="1254"/>
      <c r="C373" s="1320"/>
      <c r="D373" s="1254"/>
      <c r="E373" s="1254"/>
      <c r="F373" s="1263"/>
      <c r="G373" s="1317"/>
      <c r="H373" s="1254"/>
      <c r="I373" s="1318"/>
      <c r="J373" s="1254"/>
      <c r="K373" s="1254"/>
      <c r="L373" s="1254"/>
      <c r="M373" s="1254"/>
      <c r="N373" s="1318"/>
      <c r="O373" s="1386"/>
      <c r="P373" s="1254"/>
      <c r="Q373" s="1254"/>
      <c r="R373" s="1254"/>
      <c r="S373" s="1254"/>
      <c r="T373" s="1254"/>
      <c r="U373" s="1254"/>
      <c r="V373" s="1254"/>
      <c r="W373" s="1254"/>
      <c r="X373" s="1254"/>
      <c r="Y373" s="1254"/>
      <c r="Z373" s="1254"/>
    </row>
    <row r="374">
      <c r="A374" s="1254"/>
      <c r="B374" s="1254"/>
      <c r="C374" s="1320"/>
      <c r="D374" s="1254"/>
      <c r="E374" s="1254"/>
      <c r="F374" s="1263"/>
      <c r="G374" s="1317"/>
      <c r="H374" s="1254"/>
      <c r="I374" s="1318"/>
      <c r="J374" s="1254"/>
      <c r="K374" s="1254"/>
      <c r="L374" s="1254"/>
      <c r="M374" s="1254"/>
      <c r="N374" s="1318"/>
      <c r="O374" s="1386"/>
      <c r="P374" s="1254"/>
      <c r="Q374" s="1254"/>
      <c r="R374" s="1254"/>
      <c r="S374" s="1254"/>
      <c r="T374" s="1254"/>
      <c r="U374" s="1254"/>
      <c r="V374" s="1254"/>
      <c r="W374" s="1254"/>
      <c r="X374" s="1254"/>
      <c r="Y374" s="1254"/>
      <c r="Z374" s="1254"/>
    </row>
    <row r="375">
      <c r="A375" s="1254"/>
      <c r="B375" s="1254"/>
      <c r="C375" s="1320"/>
      <c r="D375" s="1254"/>
      <c r="E375" s="1254"/>
      <c r="F375" s="1263"/>
      <c r="G375" s="1317"/>
      <c r="H375" s="1254"/>
      <c r="I375" s="1318"/>
      <c r="J375" s="1254"/>
      <c r="K375" s="1254"/>
      <c r="L375" s="1254"/>
      <c r="M375" s="1254"/>
      <c r="N375" s="1318"/>
      <c r="O375" s="1386"/>
      <c r="P375" s="1254"/>
      <c r="Q375" s="1254"/>
      <c r="R375" s="1254"/>
      <c r="S375" s="1254"/>
      <c r="T375" s="1254"/>
      <c r="U375" s="1254"/>
      <c r="V375" s="1254"/>
      <c r="W375" s="1254"/>
      <c r="X375" s="1254"/>
      <c r="Y375" s="1254"/>
      <c r="Z375" s="1254"/>
    </row>
    <row r="376">
      <c r="A376" s="1254"/>
      <c r="B376" s="1254"/>
      <c r="C376" s="1320"/>
      <c r="D376" s="1254"/>
      <c r="E376" s="1254"/>
      <c r="F376" s="1263"/>
      <c r="G376" s="1317"/>
      <c r="H376" s="1254"/>
      <c r="I376" s="1318"/>
      <c r="J376" s="1254"/>
      <c r="K376" s="1254"/>
      <c r="L376" s="1254"/>
      <c r="M376" s="1254"/>
      <c r="N376" s="1318"/>
      <c r="O376" s="1386"/>
      <c r="P376" s="1254"/>
      <c r="Q376" s="1254"/>
      <c r="R376" s="1254"/>
      <c r="S376" s="1254"/>
      <c r="T376" s="1254"/>
      <c r="U376" s="1254"/>
      <c r="V376" s="1254"/>
      <c r="W376" s="1254"/>
      <c r="X376" s="1254"/>
      <c r="Y376" s="1254"/>
      <c r="Z376" s="1254"/>
    </row>
    <row r="377">
      <c r="A377" s="1254"/>
      <c r="B377" s="1254"/>
      <c r="C377" s="1320"/>
      <c r="D377" s="1254"/>
      <c r="E377" s="1254"/>
      <c r="F377" s="1263"/>
      <c r="G377" s="1317"/>
      <c r="H377" s="1254"/>
      <c r="I377" s="1318"/>
      <c r="J377" s="1254"/>
      <c r="K377" s="1254"/>
      <c r="L377" s="1254"/>
      <c r="M377" s="1254"/>
      <c r="N377" s="1318"/>
      <c r="O377" s="1386"/>
      <c r="P377" s="1254"/>
      <c r="Q377" s="1254"/>
      <c r="R377" s="1254"/>
      <c r="S377" s="1254"/>
      <c r="T377" s="1254"/>
      <c r="U377" s="1254"/>
      <c r="V377" s="1254"/>
      <c r="W377" s="1254"/>
      <c r="X377" s="1254"/>
      <c r="Y377" s="1254"/>
      <c r="Z377" s="1254"/>
    </row>
    <row r="378">
      <c r="A378" s="1254"/>
      <c r="B378" s="1254"/>
      <c r="C378" s="1320"/>
      <c r="D378" s="1254"/>
      <c r="E378" s="1254"/>
      <c r="F378" s="1263"/>
      <c r="G378" s="1317"/>
      <c r="H378" s="1254"/>
      <c r="I378" s="1318"/>
      <c r="J378" s="1254"/>
      <c r="K378" s="1254"/>
      <c r="L378" s="1254"/>
      <c r="M378" s="1254"/>
      <c r="N378" s="1318"/>
      <c r="O378" s="1386"/>
      <c r="P378" s="1254"/>
      <c r="Q378" s="1254"/>
      <c r="R378" s="1254"/>
      <c r="S378" s="1254"/>
      <c r="T378" s="1254"/>
      <c r="U378" s="1254"/>
      <c r="V378" s="1254"/>
      <c r="W378" s="1254"/>
      <c r="X378" s="1254"/>
      <c r="Y378" s="1254"/>
      <c r="Z378" s="1254"/>
    </row>
    <row r="379">
      <c r="A379" s="1254"/>
      <c r="B379" s="1254"/>
      <c r="C379" s="1320"/>
      <c r="D379" s="1254"/>
      <c r="E379" s="1254"/>
      <c r="F379" s="1263"/>
      <c r="G379" s="1317"/>
      <c r="H379" s="1254"/>
      <c r="I379" s="1318"/>
      <c r="J379" s="1254"/>
      <c r="K379" s="1254"/>
      <c r="L379" s="1254"/>
      <c r="M379" s="1254"/>
      <c r="N379" s="1318"/>
      <c r="O379" s="1386"/>
      <c r="P379" s="1254"/>
      <c r="Q379" s="1254"/>
      <c r="R379" s="1254"/>
      <c r="S379" s="1254"/>
      <c r="T379" s="1254"/>
      <c r="U379" s="1254"/>
      <c r="V379" s="1254"/>
      <c r="W379" s="1254"/>
      <c r="X379" s="1254"/>
      <c r="Y379" s="1254"/>
      <c r="Z379" s="1254"/>
    </row>
    <row r="380">
      <c r="A380" s="1254"/>
      <c r="B380" s="1254"/>
      <c r="C380" s="1320"/>
      <c r="D380" s="1254"/>
      <c r="E380" s="1254"/>
      <c r="F380" s="1263"/>
      <c r="G380" s="1317"/>
      <c r="H380" s="1254"/>
      <c r="I380" s="1318"/>
      <c r="J380" s="1254"/>
      <c r="K380" s="1254"/>
      <c r="L380" s="1254"/>
      <c r="M380" s="1254"/>
      <c r="N380" s="1318"/>
      <c r="O380" s="1386"/>
      <c r="P380" s="1254"/>
      <c r="Q380" s="1254"/>
      <c r="R380" s="1254"/>
      <c r="S380" s="1254"/>
      <c r="T380" s="1254"/>
      <c r="U380" s="1254"/>
      <c r="V380" s="1254"/>
      <c r="W380" s="1254"/>
      <c r="X380" s="1254"/>
      <c r="Y380" s="1254"/>
      <c r="Z380" s="1254"/>
    </row>
    <row r="381">
      <c r="A381" s="1254"/>
      <c r="B381" s="1254"/>
      <c r="C381" s="1320"/>
      <c r="D381" s="1254"/>
      <c r="E381" s="1254"/>
      <c r="F381" s="1263"/>
      <c r="G381" s="1317"/>
      <c r="H381" s="1254"/>
      <c r="I381" s="1318"/>
      <c r="J381" s="1254"/>
      <c r="K381" s="1254"/>
      <c r="L381" s="1254"/>
      <c r="M381" s="1254"/>
      <c r="N381" s="1318"/>
      <c r="O381" s="1386"/>
      <c r="P381" s="1254"/>
      <c r="Q381" s="1254"/>
      <c r="R381" s="1254"/>
      <c r="S381" s="1254"/>
      <c r="T381" s="1254"/>
      <c r="U381" s="1254"/>
      <c r="V381" s="1254"/>
      <c r="W381" s="1254"/>
      <c r="X381" s="1254"/>
      <c r="Y381" s="1254"/>
      <c r="Z381" s="1254"/>
    </row>
    <row r="382">
      <c r="A382" s="1254"/>
      <c r="B382" s="1254"/>
      <c r="C382" s="1320"/>
      <c r="D382" s="1254"/>
      <c r="E382" s="1254"/>
      <c r="F382" s="1263"/>
      <c r="G382" s="1317"/>
      <c r="H382" s="1254"/>
      <c r="I382" s="1318"/>
      <c r="J382" s="1254"/>
      <c r="K382" s="1254"/>
      <c r="L382" s="1254"/>
      <c r="M382" s="1254"/>
      <c r="N382" s="1318"/>
      <c r="O382" s="1386"/>
      <c r="P382" s="1254"/>
      <c r="Q382" s="1254"/>
      <c r="R382" s="1254"/>
      <c r="S382" s="1254"/>
      <c r="T382" s="1254"/>
      <c r="U382" s="1254"/>
      <c r="V382" s="1254"/>
      <c r="W382" s="1254"/>
      <c r="X382" s="1254"/>
      <c r="Y382" s="1254"/>
      <c r="Z382" s="1254"/>
    </row>
    <row r="383">
      <c r="A383" s="1254"/>
      <c r="B383" s="1254"/>
      <c r="C383" s="1320"/>
      <c r="D383" s="1254"/>
      <c r="E383" s="1254"/>
      <c r="F383" s="1263"/>
      <c r="G383" s="1317"/>
      <c r="H383" s="1254"/>
      <c r="I383" s="1318"/>
      <c r="J383" s="1254"/>
      <c r="K383" s="1254"/>
      <c r="L383" s="1254"/>
      <c r="M383" s="1254"/>
      <c r="N383" s="1318"/>
      <c r="O383" s="1386"/>
      <c r="P383" s="1254"/>
      <c r="Q383" s="1254"/>
      <c r="R383" s="1254"/>
      <c r="S383" s="1254"/>
      <c r="T383" s="1254"/>
      <c r="U383" s="1254"/>
      <c r="V383" s="1254"/>
      <c r="W383" s="1254"/>
      <c r="X383" s="1254"/>
      <c r="Y383" s="1254"/>
      <c r="Z383" s="1254"/>
    </row>
    <row r="384">
      <c r="A384" s="1254"/>
      <c r="B384" s="1254"/>
      <c r="C384" s="1320"/>
      <c r="D384" s="1254"/>
      <c r="E384" s="1254"/>
      <c r="F384" s="1263"/>
      <c r="G384" s="1317"/>
      <c r="H384" s="1254"/>
      <c r="I384" s="1318"/>
      <c r="J384" s="1254"/>
      <c r="K384" s="1254"/>
      <c r="L384" s="1254"/>
      <c r="M384" s="1254"/>
      <c r="N384" s="1318"/>
      <c r="O384" s="1386"/>
      <c r="P384" s="1254"/>
      <c r="Q384" s="1254"/>
      <c r="R384" s="1254"/>
      <c r="S384" s="1254"/>
      <c r="T384" s="1254"/>
      <c r="U384" s="1254"/>
      <c r="V384" s="1254"/>
      <c r="W384" s="1254"/>
      <c r="X384" s="1254"/>
      <c r="Y384" s="1254"/>
      <c r="Z384" s="1254"/>
    </row>
    <row r="385">
      <c r="A385" s="1254"/>
      <c r="B385" s="1254"/>
      <c r="C385" s="1320"/>
      <c r="D385" s="1254"/>
      <c r="E385" s="1254"/>
      <c r="F385" s="1263"/>
      <c r="G385" s="1317"/>
      <c r="H385" s="1254"/>
      <c r="I385" s="1318"/>
      <c r="J385" s="1254"/>
      <c r="K385" s="1254"/>
      <c r="L385" s="1254"/>
      <c r="M385" s="1254"/>
      <c r="N385" s="1318"/>
      <c r="O385" s="1386"/>
      <c r="P385" s="1254"/>
      <c r="Q385" s="1254"/>
      <c r="R385" s="1254"/>
      <c r="S385" s="1254"/>
      <c r="T385" s="1254"/>
      <c r="U385" s="1254"/>
      <c r="V385" s="1254"/>
      <c r="W385" s="1254"/>
      <c r="X385" s="1254"/>
      <c r="Y385" s="1254"/>
      <c r="Z385" s="1254"/>
    </row>
    <row r="386">
      <c r="A386" s="1254"/>
      <c r="B386" s="1254"/>
      <c r="C386" s="1320"/>
      <c r="D386" s="1254"/>
      <c r="E386" s="1254"/>
      <c r="F386" s="1263"/>
      <c r="G386" s="1317"/>
      <c r="H386" s="1254"/>
      <c r="I386" s="1318"/>
      <c r="J386" s="1254"/>
      <c r="K386" s="1254"/>
      <c r="L386" s="1254"/>
      <c r="M386" s="1254"/>
      <c r="N386" s="1318"/>
      <c r="O386" s="1386"/>
      <c r="P386" s="1254"/>
      <c r="Q386" s="1254"/>
      <c r="R386" s="1254"/>
      <c r="S386" s="1254"/>
      <c r="T386" s="1254"/>
      <c r="U386" s="1254"/>
      <c r="V386" s="1254"/>
      <c r="W386" s="1254"/>
      <c r="X386" s="1254"/>
      <c r="Y386" s="1254"/>
      <c r="Z386" s="1254"/>
    </row>
    <row r="387">
      <c r="A387" s="1254"/>
      <c r="B387" s="1254"/>
      <c r="C387" s="1320"/>
      <c r="D387" s="1254"/>
      <c r="E387" s="1254"/>
      <c r="F387" s="1263"/>
      <c r="G387" s="1317"/>
      <c r="H387" s="1254"/>
      <c r="I387" s="1318"/>
      <c r="J387" s="1254"/>
      <c r="K387" s="1254"/>
      <c r="L387" s="1254"/>
      <c r="M387" s="1254"/>
      <c r="N387" s="1318"/>
      <c r="O387" s="1386"/>
      <c r="P387" s="1254"/>
      <c r="Q387" s="1254"/>
      <c r="R387" s="1254"/>
      <c r="S387" s="1254"/>
      <c r="T387" s="1254"/>
      <c r="U387" s="1254"/>
      <c r="V387" s="1254"/>
      <c r="W387" s="1254"/>
      <c r="X387" s="1254"/>
      <c r="Y387" s="1254"/>
      <c r="Z387" s="1254"/>
    </row>
    <row r="388">
      <c r="A388" s="1254"/>
      <c r="B388" s="1254"/>
      <c r="C388" s="1320"/>
      <c r="D388" s="1254"/>
      <c r="E388" s="1254"/>
      <c r="F388" s="1263"/>
      <c r="G388" s="1317"/>
      <c r="H388" s="1254"/>
      <c r="I388" s="1318"/>
      <c r="J388" s="1254"/>
      <c r="K388" s="1254"/>
      <c r="L388" s="1254"/>
      <c r="M388" s="1254"/>
      <c r="N388" s="1318"/>
      <c r="O388" s="1386"/>
      <c r="P388" s="1254"/>
      <c r="Q388" s="1254"/>
      <c r="R388" s="1254"/>
      <c r="S388" s="1254"/>
      <c r="T388" s="1254"/>
      <c r="U388" s="1254"/>
      <c r="V388" s="1254"/>
      <c r="W388" s="1254"/>
      <c r="X388" s="1254"/>
      <c r="Y388" s="1254"/>
      <c r="Z388" s="1254"/>
    </row>
    <row r="389">
      <c r="A389" s="1254"/>
      <c r="B389" s="1254"/>
      <c r="C389" s="1320"/>
      <c r="D389" s="1254"/>
      <c r="E389" s="1254"/>
      <c r="F389" s="1263"/>
      <c r="G389" s="1317"/>
      <c r="H389" s="1254"/>
      <c r="I389" s="1318"/>
      <c r="J389" s="1254"/>
      <c r="K389" s="1254"/>
      <c r="L389" s="1254"/>
      <c r="M389" s="1254"/>
      <c r="N389" s="1318"/>
      <c r="O389" s="1386"/>
      <c r="P389" s="1254"/>
      <c r="Q389" s="1254"/>
      <c r="R389" s="1254"/>
      <c r="S389" s="1254"/>
      <c r="T389" s="1254"/>
      <c r="U389" s="1254"/>
      <c r="V389" s="1254"/>
      <c r="W389" s="1254"/>
      <c r="X389" s="1254"/>
      <c r="Y389" s="1254"/>
      <c r="Z389" s="1254"/>
    </row>
    <row r="390">
      <c r="A390" s="1254"/>
      <c r="B390" s="1254"/>
      <c r="C390" s="1320"/>
      <c r="D390" s="1254"/>
      <c r="E390" s="1254"/>
      <c r="F390" s="1263"/>
      <c r="G390" s="1317"/>
      <c r="H390" s="1254"/>
      <c r="I390" s="1318"/>
      <c r="J390" s="1254"/>
      <c r="K390" s="1254"/>
      <c r="L390" s="1254"/>
      <c r="M390" s="1254"/>
      <c r="N390" s="1318"/>
      <c r="O390" s="1386"/>
      <c r="P390" s="1254"/>
      <c r="Q390" s="1254"/>
      <c r="R390" s="1254"/>
      <c r="S390" s="1254"/>
      <c r="T390" s="1254"/>
      <c r="U390" s="1254"/>
      <c r="V390" s="1254"/>
      <c r="W390" s="1254"/>
      <c r="X390" s="1254"/>
      <c r="Y390" s="1254"/>
      <c r="Z390" s="1254"/>
    </row>
    <row r="391">
      <c r="A391" s="1254"/>
      <c r="B391" s="1254"/>
      <c r="C391" s="1320"/>
      <c r="D391" s="1254"/>
      <c r="E391" s="1254"/>
      <c r="F391" s="1263"/>
      <c r="G391" s="1317"/>
      <c r="H391" s="1254"/>
      <c r="I391" s="1318"/>
      <c r="J391" s="1254"/>
      <c r="K391" s="1254"/>
      <c r="L391" s="1254"/>
      <c r="M391" s="1254"/>
      <c r="N391" s="1318"/>
      <c r="O391" s="1386"/>
      <c r="P391" s="1254"/>
      <c r="Q391" s="1254"/>
      <c r="R391" s="1254"/>
      <c r="S391" s="1254"/>
      <c r="T391" s="1254"/>
      <c r="U391" s="1254"/>
      <c r="V391" s="1254"/>
      <c r="W391" s="1254"/>
      <c r="X391" s="1254"/>
      <c r="Y391" s="1254"/>
      <c r="Z391" s="1254"/>
    </row>
    <row r="392">
      <c r="A392" s="1254"/>
      <c r="B392" s="1254"/>
      <c r="C392" s="1320"/>
      <c r="D392" s="1254"/>
      <c r="E392" s="1254"/>
      <c r="F392" s="1263"/>
      <c r="G392" s="1317"/>
      <c r="H392" s="1254"/>
      <c r="I392" s="1318"/>
      <c r="J392" s="1254"/>
      <c r="K392" s="1254"/>
      <c r="L392" s="1254"/>
      <c r="M392" s="1254"/>
      <c r="N392" s="1318"/>
      <c r="O392" s="1386"/>
      <c r="P392" s="1254"/>
      <c r="Q392" s="1254"/>
      <c r="R392" s="1254"/>
      <c r="S392" s="1254"/>
      <c r="T392" s="1254"/>
      <c r="U392" s="1254"/>
      <c r="V392" s="1254"/>
      <c r="W392" s="1254"/>
      <c r="X392" s="1254"/>
      <c r="Y392" s="1254"/>
      <c r="Z392" s="1254"/>
    </row>
    <row r="393">
      <c r="A393" s="1254"/>
      <c r="B393" s="1254"/>
      <c r="C393" s="1320"/>
      <c r="D393" s="1254"/>
      <c r="E393" s="1254"/>
      <c r="F393" s="1263"/>
      <c r="G393" s="1317"/>
      <c r="H393" s="1254"/>
      <c r="I393" s="1318"/>
      <c r="J393" s="1254"/>
      <c r="K393" s="1254"/>
      <c r="L393" s="1254"/>
      <c r="M393" s="1254"/>
      <c r="N393" s="1318"/>
      <c r="O393" s="1386"/>
      <c r="P393" s="1254"/>
      <c r="Q393" s="1254"/>
      <c r="R393" s="1254"/>
      <c r="S393" s="1254"/>
      <c r="T393" s="1254"/>
      <c r="U393" s="1254"/>
      <c r="V393" s="1254"/>
      <c r="W393" s="1254"/>
      <c r="X393" s="1254"/>
      <c r="Y393" s="1254"/>
      <c r="Z393" s="1254"/>
    </row>
    <row r="394">
      <c r="A394" s="1254"/>
      <c r="B394" s="1254"/>
      <c r="C394" s="1320"/>
      <c r="D394" s="1254"/>
      <c r="E394" s="1254"/>
      <c r="F394" s="1263"/>
      <c r="G394" s="1317"/>
      <c r="H394" s="1254"/>
      <c r="I394" s="1318"/>
      <c r="J394" s="1254"/>
      <c r="K394" s="1254"/>
      <c r="L394" s="1254"/>
      <c r="M394" s="1254"/>
      <c r="N394" s="1318"/>
      <c r="O394" s="1386"/>
      <c r="P394" s="1254"/>
      <c r="Q394" s="1254"/>
      <c r="R394" s="1254"/>
      <c r="S394" s="1254"/>
      <c r="T394" s="1254"/>
      <c r="U394" s="1254"/>
      <c r="V394" s="1254"/>
      <c r="W394" s="1254"/>
      <c r="X394" s="1254"/>
      <c r="Y394" s="1254"/>
      <c r="Z394" s="1254"/>
    </row>
    <row r="395">
      <c r="A395" s="1254"/>
      <c r="B395" s="1254"/>
      <c r="C395" s="1320"/>
      <c r="D395" s="1254"/>
      <c r="E395" s="1254"/>
      <c r="F395" s="1263"/>
      <c r="G395" s="1317"/>
      <c r="H395" s="1254"/>
      <c r="I395" s="1318"/>
      <c r="J395" s="1254"/>
      <c r="K395" s="1254"/>
      <c r="L395" s="1254"/>
      <c r="M395" s="1254"/>
      <c r="N395" s="1318"/>
      <c r="O395" s="1386"/>
      <c r="P395" s="1254"/>
      <c r="Q395" s="1254"/>
      <c r="R395" s="1254"/>
      <c r="S395" s="1254"/>
      <c r="T395" s="1254"/>
      <c r="U395" s="1254"/>
      <c r="V395" s="1254"/>
      <c r="W395" s="1254"/>
      <c r="X395" s="1254"/>
      <c r="Y395" s="1254"/>
      <c r="Z395" s="1254"/>
    </row>
    <row r="396">
      <c r="A396" s="1254"/>
      <c r="B396" s="1254"/>
      <c r="C396" s="1320"/>
      <c r="D396" s="1254"/>
      <c r="E396" s="1254"/>
      <c r="F396" s="1263"/>
      <c r="G396" s="1317"/>
      <c r="H396" s="1254"/>
      <c r="I396" s="1318"/>
      <c r="J396" s="1254"/>
      <c r="K396" s="1254"/>
      <c r="L396" s="1254"/>
      <c r="M396" s="1254"/>
      <c r="N396" s="1318"/>
      <c r="O396" s="1386"/>
      <c r="P396" s="1254"/>
      <c r="Q396" s="1254"/>
      <c r="R396" s="1254"/>
      <c r="S396" s="1254"/>
      <c r="T396" s="1254"/>
      <c r="U396" s="1254"/>
      <c r="V396" s="1254"/>
      <c r="W396" s="1254"/>
      <c r="X396" s="1254"/>
      <c r="Y396" s="1254"/>
      <c r="Z396" s="1254"/>
    </row>
    <row r="397">
      <c r="A397" s="1254"/>
      <c r="B397" s="1254"/>
      <c r="C397" s="1320"/>
      <c r="D397" s="1254"/>
      <c r="E397" s="1254"/>
      <c r="F397" s="1263"/>
      <c r="G397" s="1317"/>
      <c r="H397" s="1254"/>
      <c r="I397" s="1318"/>
      <c r="J397" s="1254"/>
      <c r="K397" s="1254"/>
      <c r="L397" s="1254"/>
      <c r="M397" s="1254"/>
      <c r="N397" s="1318"/>
      <c r="O397" s="1386"/>
      <c r="P397" s="1254"/>
      <c r="Q397" s="1254"/>
      <c r="R397" s="1254"/>
      <c r="S397" s="1254"/>
      <c r="T397" s="1254"/>
      <c r="U397" s="1254"/>
      <c r="V397" s="1254"/>
      <c r="W397" s="1254"/>
      <c r="X397" s="1254"/>
      <c r="Y397" s="1254"/>
      <c r="Z397" s="1254"/>
    </row>
    <row r="398">
      <c r="A398" s="1254"/>
      <c r="B398" s="1254"/>
      <c r="C398" s="1320"/>
      <c r="D398" s="1254"/>
      <c r="E398" s="1254"/>
      <c r="F398" s="1263"/>
      <c r="G398" s="1317"/>
      <c r="H398" s="1254"/>
      <c r="I398" s="1318"/>
      <c r="J398" s="1254"/>
      <c r="K398" s="1254"/>
      <c r="L398" s="1254"/>
      <c r="M398" s="1254"/>
      <c r="N398" s="1318"/>
      <c r="O398" s="1386"/>
      <c r="P398" s="1254"/>
      <c r="Q398" s="1254"/>
      <c r="R398" s="1254"/>
      <c r="S398" s="1254"/>
      <c r="T398" s="1254"/>
      <c r="U398" s="1254"/>
      <c r="V398" s="1254"/>
      <c r="W398" s="1254"/>
      <c r="X398" s="1254"/>
      <c r="Y398" s="1254"/>
      <c r="Z398" s="1254"/>
    </row>
    <row r="399">
      <c r="A399" s="1254"/>
      <c r="B399" s="1254"/>
      <c r="C399" s="1320"/>
      <c r="D399" s="1254"/>
      <c r="E399" s="1254"/>
      <c r="F399" s="1263"/>
      <c r="G399" s="1317"/>
      <c r="H399" s="1254"/>
      <c r="I399" s="1318"/>
      <c r="J399" s="1254"/>
      <c r="K399" s="1254"/>
      <c r="L399" s="1254"/>
      <c r="M399" s="1254"/>
      <c r="N399" s="1318"/>
      <c r="O399" s="1386"/>
      <c r="P399" s="1254"/>
      <c r="Q399" s="1254"/>
      <c r="R399" s="1254"/>
      <c r="S399" s="1254"/>
      <c r="T399" s="1254"/>
      <c r="U399" s="1254"/>
      <c r="V399" s="1254"/>
      <c r="W399" s="1254"/>
      <c r="X399" s="1254"/>
      <c r="Y399" s="1254"/>
      <c r="Z399" s="1254"/>
    </row>
    <row r="400">
      <c r="A400" s="1254"/>
      <c r="B400" s="1254"/>
      <c r="C400" s="1320"/>
      <c r="D400" s="1254"/>
      <c r="E400" s="1254"/>
      <c r="F400" s="1263"/>
      <c r="G400" s="1317"/>
      <c r="H400" s="1254"/>
      <c r="I400" s="1318"/>
      <c r="J400" s="1254"/>
      <c r="K400" s="1254"/>
      <c r="L400" s="1254"/>
      <c r="M400" s="1254"/>
      <c r="N400" s="1318"/>
      <c r="O400" s="1386"/>
      <c r="P400" s="1254"/>
      <c r="Q400" s="1254"/>
      <c r="R400" s="1254"/>
      <c r="S400" s="1254"/>
      <c r="T400" s="1254"/>
      <c r="U400" s="1254"/>
      <c r="V400" s="1254"/>
      <c r="W400" s="1254"/>
      <c r="X400" s="1254"/>
      <c r="Y400" s="1254"/>
      <c r="Z400" s="1254"/>
    </row>
    <row r="401">
      <c r="A401" s="1254"/>
      <c r="B401" s="1254"/>
      <c r="C401" s="1320"/>
      <c r="D401" s="1254"/>
      <c r="E401" s="1254"/>
      <c r="F401" s="1263"/>
      <c r="G401" s="1317"/>
      <c r="H401" s="1254"/>
      <c r="I401" s="1318"/>
      <c r="J401" s="1254"/>
      <c r="K401" s="1254"/>
      <c r="L401" s="1254"/>
      <c r="M401" s="1254"/>
      <c r="N401" s="1318"/>
      <c r="O401" s="1386"/>
      <c r="P401" s="1254"/>
      <c r="Q401" s="1254"/>
      <c r="R401" s="1254"/>
      <c r="S401" s="1254"/>
      <c r="T401" s="1254"/>
      <c r="U401" s="1254"/>
      <c r="V401" s="1254"/>
      <c r="W401" s="1254"/>
      <c r="X401" s="1254"/>
      <c r="Y401" s="1254"/>
      <c r="Z401" s="1254"/>
    </row>
    <row r="402">
      <c r="A402" s="1254"/>
      <c r="B402" s="1254"/>
      <c r="C402" s="1320"/>
      <c r="D402" s="1254"/>
      <c r="E402" s="1254"/>
      <c r="F402" s="1263"/>
      <c r="G402" s="1317"/>
      <c r="H402" s="1254"/>
      <c r="I402" s="1318"/>
      <c r="J402" s="1254"/>
      <c r="K402" s="1254"/>
      <c r="L402" s="1254"/>
      <c r="M402" s="1254"/>
      <c r="N402" s="1318"/>
      <c r="O402" s="1386"/>
      <c r="P402" s="1254"/>
      <c r="Q402" s="1254"/>
      <c r="R402" s="1254"/>
      <c r="S402" s="1254"/>
      <c r="T402" s="1254"/>
      <c r="U402" s="1254"/>
      <c r="V402" s="1254"/>
      <c r="W402" s="1254"/>
      <c r="X402" s="1254"/>
      <c r="Y402" s="1254"/>
      <c r="Z402" s="1254"/>
    </row>
    <row r="403">
      <c r="A403" s="1254"/>
      <c r="B403" s="1254"/>
      <c r="C403" s="1320"/>
      <c r="D403" s="1254"/>
      <c r="E403" s="1254"/>
      <c r="F403" s="1263"/>
      <c r="G403" s="1317"/>
      <c r="H403" s="1254"/>
      <c r="I403" s="1318"/>
      <c r="J403" s="1254"/>
      <c r="K403" s="1254"/>
      <c r="L403" s="1254"/>
      <c r="M403" s="1254"/>
      <c r="N403" s="1318"/>
      <c r="O403" s="1386"/>
      <c r="P403" s="1254"/>
      <c r="Q403" s="1254"/>
      <c r="R403" s="1254"/>
      <c r="S403" s="1254"/>
      <c r="T403" s="1254"/>
      <c r="U403" s="1254"/>
      <c r="V403" s="1254"/>
      <c r="W403" s="1254"/>
      <c r="X403" s="1254"/>
      <c r="Y403" s="1254"/>
      <c r="Z403" s="1254"/>
    </row>
    <row r="404">
      <c r="A404" s="1254"/>
      <c r="B404" s="1254"/>
      <c r="C404" s="1320"/>
      <c r="D404" s="1254"/>
      <c r="E404" s="1254"/>
      <c r="F404" s="1263"/>
      <c r="G404" s="1317"/>
      <c r="H404" s="1254"/>
      <c r="I404" s="1318"/>
      <c r="J404" s="1254"/>
      <c r="K404" s="1254"/>
      <c r="L404" s="1254"/>
      <c r="M404" s="1254"/>
      <c r="N404" s="1318"/>
      <c r="O404" s="1386"/>
      <c r="P404" s="1254"/>
      <c r="Q404" s="1254"/>
      <c r="R404" s="1254"/>
      <c r="S404" s="1254"/>
      <c r="T404" s="1254"/>
      <c r="U404" s="1254"/>
      <c r="V404" s="1254"/>
      <c r="W404" s="1254"/>
      <c r="X404" s="1254"/>
      <c r="Y404" s="1254"/>
      <c r="Z404" s="1254"/>
    </row>
    <row r="405">
      <c r="A405" s="1254"/>
      <c r="B405" s="1254"/>
      <c r="C405" s="1320"/>
      <c r="D405" s="1254"/>
      <c r="E405" s="1254"/>
      <c r="F405" s="1263"/>
      <c r="G405" s="1317"/>
      <c r="H405" s="1254"/>
      <c r="I405" s="1318"/>
      <c r="J405" s="1254"/>
      <c r="K405" s="1254"/>
      <c r="L405" s="1254"/>
      <c r="M405" s="1254"/>
      <c r="N405" s="1318"/>
      <c r="O405" s="1386"/>
      <c r="P405" s="1254"/>
      <c r="Q405" s="1254"/>
      <c r="R405" s="1254"/>
      <c r="S405" s="1254"/>
      <c r="T405" s="1254"/>
      <c r="U405" s="1254"/>
      <c r="V405" s="1254"/>
      <c r="W405" s="1254"/>
      <c r="X405" s="1254"/>
      <c r="Y405" s="1254"/>
      <c r="Z405" s="1254"/>
    </row>
    <row r="406">
      <c r="A406" s="1254"/>
      <c r="B406" s="1254"/>
      <c r="C406" s="1320"/>
      <c r="D406" s="1254"/>
      <c r="E406" s="1254"/>
      <c r="F406" s="1263"/>
      <c r="G406" s="1317"/>
      <c r="H406" s="1254"/>
      <c r="I406" s="1318"/>
      <c r="J406" s="1254"/>
      <c r="K406" s="1254"/>
      <c r="L406" s="1254"/>
      <c r="M406" s="1254"/>
      <c r="N406" s="1318"/>
      <c r="O406" s="1386"/>
      <c r="P406" s="1254"/>
      <c r="Q406" s="1254"/>
      <c r="R406" s="1254"/>
      <c r="S406" s="1254"/>
      <c r="T406" s="1254"/>
      <c r="U406" s="1254"/>
      <c r="V406" s="1254"/>
      <c r="W406" s="1254"/>
      <c r="X406" s="1254"/>
      <c r="Y406" s="1254"/>
      <c r="Z406" s="1254"/>
    </row>
    <row r="407">
      <c r="A407" s="1254"/>
      <c r="B407" s="1254"/>
      <c r="C407" s="1320"/>
      <c r="D407" s="1254"/>
      <c r="E407" s="1254"/>
      <c r="F407" s="1263"/>
      <c r="G407" s="1317"/>
      <c r="H407" s="1254"/>
      <c r="I407" s="1318"/>
      <c r="J407" s="1254"/>
      <c r="K407" s="1254"/>
      <c r="L407" s="1254"/>
      <c r="M407" s="1254"/>
      <c r="N407" s="1318"/>
      <c r="O407" s="1386"/>
      <c r="P407" s="1254"/>
      <c r="Q407" s="1254"/>
      <c r="R407" s="1254"/>
      <c r="S407" s="1254"/>
      <c r="T407" s="1254"/>
      <c r="U407" s="1254"/>
      <c r="V407" s="1254"/>
      <c r="W407" s="1254"/>
      <c r="X407" s="1254"/>
      <c r="Y407" s="1254"/>
      <c r="Z407" s="1254"/>
    </row>
    <row r="408">
      <c r="A408" s="1254"/>
      <c r="B408" s="1254"/>
      <c r="C408" s="1320"/>
      <c r="D408" s="1254"/>
      <c r="E408" s="1254"/>
      <c r="F408" s="1263"/>
      <c r="G408" s="1317"/>
      <c r="H408" s="1254"/>
      <c r="I408" s="1318"/>
      <c r="J408" s="1254"/>
      <c r="K408" s="1254"/>
      <c r="L408" s="1254"/>
      <c r="M408" s="1254"/>
      <c r="N408" s="1318"/>
      <c r="O408" s="1386"/>
      <c r="P408" s="1254"/>
      <c r="Q408" s="1254"/>
      <c r="R408" s="1254"/>
      <c r="S408" s="1254"/>
      <c r="T408" s="1254"/>
      <c r="U408" s="1254"/>
      <c r="V408" s="1254"/>
      <c r="W408" s="1254"/>
      <c r="X408" s="1254"/>
      <c r="Y408" s="1254"/>
      <c r="Z408" s="1254"/>
    </row>
    <row r="409">
      <c r="A409" s="1254"/>
      <c r="B409" s="1254"/>
      <c r="C409" s="1320"/>
      <c r="D409" s="1254"/>
      <c r="E409" s="1254"/>
      <c r="F409" s="1263"/>
      <c r="G409" s="1317"/>
      <c r="H409" s="1254"/>
      <c r="I409" s="1318"/>
      <c r="J409" s="1254"/>
      <c r="K409" s="1254"/>
      <c r="L409" s="1254"/>
      <c r="M409" s="1254"/>
      <c r="N409" s="1318"/>
      <c r="O409" s="1386"/>
      <c r="P409" s="1254"/>
      <c r="Q409" s="1254"/>
      <c r="R409" s="1254"/>
      <c r="S409" s="1254"/>
      <c r="T409" s="1254"/>
      <c r="U409" s="1254"/>
      <c r="V409" s="1254"/>
      <c r="W409" s="1254"/>
      <c r="X409" s="1254"/>
      <c r="Y409" s="1254"/>
      <c r="Z409" s="1254"/>
    </row>
    <row r="410">
      <c r="A410" s="1254"/>
      <c r="B410" s="1254"/>
      <c r="C410" s="1320"/>
      <c r="D410" s="1254"/>
      <c r="E410" s="1254"/>
      <c r="F410" s="1263"/>
      <c r="G410" s="1317"/>
      <c r="H410" s="1254"/>
      <c r="I410" s="1318"/>
      <c r="J410" s="1254"/>
      <c r="K410" s="1254"/>
      <c r="L410" s="1254"/>
      <c r="M410" s="1254"/>
      <c r="N410" s="1318"/>
      <c r="O410" s="1386"/>
      <c r="P410" s="1254"/>
      <c r="Q410" s="1254"/>
      <c r="R410" s="1254"/>
      <c r="S410" s="1254"/>
      <c r="T410" s="1254"/>
      <c r="U410" s="1254"/>
      <c r="V410" s="1254"/>
      <c r="W410" s="1254"/>
      <c r="X410" s="1254"/>
      <c r="Y410" s="1254"/>
      <c r="Z410" s="1254"/>
    </row>
    <row r="411">
      <c r="A411" s="1254"/>
      <c r="B411" s="1254"/>
      <c r="C411" s="1320"/>
      <c r="D411" s="1254"/>
      <c r="E411" s="1254"/>
      <c r="F411" s="1263"/>
      <c r="G411" s="1317"/>
      <c r="H411" s="1254"/>
      <c r="I411" s="1318"/>
      <c r="J411" s="1254"/>
      <c r="K411" s="1254"/>
      <c r="L411" s="1254"/>
      <c r="M411" s="1254"/>
      <c r="N411" s="1318"/>
      <c r="O411" s="1386"/>
      <c r="P411" s="1254"/>
      <c r="Q411" s="1254"/>
      <c r="R411" s="1254"/>
      <c r="S411" s="1254"/>
      <c r="T411" s="1254"/>
      <c r="U411" s="1254"/>
      <c r="V411" s="1254"/>
      <c r="W411" s="1254"/>
      <c r="X411" s="1254"/>
      <c r="Y411" s="1254"/>
      <c r="Z411" s="1254"/>
    </row>
    <row r="412">
      <c r="A412" s="1254"/>
      <c r="B412" s="1254"/>
      <c r="C412" s="1320"/>
      <c r="D412" s="1254"/>
      <c r="E412" s="1254"/>
      <c r="F412" s="1263"/>
      <c r="G412" s="1317"/>
      <c r="H412" s="1254"/>
      <c r="I412" s="1318"/>
      <c r="J412" s="1254"/>
      <c r="K412" s="1254"/>
      <c r="L412" s="1254"/>
      <c r="M412" s="1254"/>
      <c r="N412" s="1318"/>
      <c r="O412" s="1386"/>
      <c r="P412" s="1254"/>
      <c r="Q412" s="1254"/>
      <c r="R412" s="1254"/>
      <c r="S412" s="1254"/>
      <c r="T412" s="1254"/>
      <c r="U412" s="1254"/>
      <c r="V412" s="1254"/>
      <c r="W412" s="1254"/>
      <c r="X412" s="1254"/>
      <c r="Y412" s="1254"/>
      <c r="Z412" s="1254"/>
    </row>
    <row r="413">
      <c r="A413" s="1254"/>
      <c r="B413" s="1254"/>
      <c r="C413" s="1320"/>
      <c r="D413" s="1254"/>
      <c r="E413" s="1254"/>
      <c r="F413" s="1263"/>
      <c r="G413" s="1317"/>
      <c r="H413" s="1254"/>
      <c r="I413" s="1318"/>
      <c r="J413" s="1254"/>
      <c r="K413" s="1254"/>
      <c r="L413" s="1254"/>
      <c r="M413" s="1254"/>
      <c r="N413" s="1318"/>
      <c r="O413" s="1386"/>
      <c r="P413" s="1254"/>
      <c r="Q413" s="1254"/>
      <c r="R413" s="1254"/>
      <c r="S413" s="1254"/>
      <c r="T413" s="1254"/>
      <c r="U413" s="1254"/>
      <c r="V413" s="1254"/>
      <c r="W413" s="1254"/>
      <c r="X413" s="1254"/>
      <c r="Y413" s="1254"/>
      <c r="Z413" s="1254"/>
    </row>
    <row r="414">
      <c r="A414" s="1254"/>
      <c r="B414" s="1254"/>
      <c r="C414" s="1320"/>
      <c r="D414" s="1254"/>
      <c r="E414" s="1254"/>
      <c r="F414" s="1263"/>
      <c r="G414" s="1317"/>
      <c r="H414" s="1254"/>
      <c r="I414" s="1318"/>
      <c r="J414" s="1254"/>
      <c r="K414" s="1254"/>
      <c r="L414" s="1254"/>
      <c r="M414" s="1254"/>
      <c r="N414" s="1318"/>
      <c r="O414" s="1386"/>
      <c r="P414" s="1254"/>
      <c r="Q414" s="1254"/>
      <c r="R414" s="1254"/>
      <c r="S414" s="1254"/>
      <c r="T414" s="1254"/>
      <c r="U414" s="1254"/>
      <c r="V414" s="1254"/>
      <c r="W414" s="1254"/>
      <c r="X414" s="1254"/>
      <c r="Y414" s="1254"/>
      <c r="Z414" s="1254"/>
    </row>
    <row r="415">
      <c r="A415" s="1254"/>
      <c r="B415" s="1254"/>
      <c r="C415" s="1320"/>
      <c r="D415" s="1254"/>
      <c r="E415" s="1254"/>
      <c r="F415" s="1263"/>
      <c r="G415" s="1317"/>
      <c r="H415" s="1254"/>
      <c r="I415" s="1318"/>
      <c r="J415" s="1254"/>
      <c r="K415" s="1254"/>
      <c r="L415" s="1254"/>
      <c r="M415" s="1254"/>
      <c r="N415" s="1318"/>
      <c r="O415" s="1386"/>
      <c r="P415" s="1254"/>
      <c r="Q415" s="1254"/>
      <c r="R415" s="1254"/>
      <c r="S415" s="1254"/>
      <c r="T415" s="1254"/>
      <c r="U415" s="1254"/>
      <c r="V415" s="1254"/>
      <c r="W415" s="1254"/>
      <c r="X415" s="1254"/>
      <c r="Y415" s="1254"/>
      <c r="Z415" s="1254"/>
    </row>
    <row r="416">
      <c r="A416" s="1254"/>
      <c r="B416" s="1254"/>
      <c r="C416" s="1320"/>
      <c r="D416" s="1254"/>
      <c r="E416" s="1254"/>
      <c r="F416" s="1263"/>
      <c r="G416" s="1317"/>
      <c r="H416" s="1254"/>
      <c r="I416" s="1318"/>
      <c r="J416" s="1254"/>
      <c r="K416" s="1254"/>
      <c r="L416" s="1254"/>
      <c r="M416" s="1254"/>
      <c r="N416" s="1318"/>
      <c r="O416" s="1386"/>
      <c r="P416" s="1254"/>
      <c r="Q416" s="1254"/>
      <c r="R416" s="1254"/>
      <c r="S416" s="1254"/>
      <c r="T416" s="1254"/>
      <c r="U416" s="1254"/>
      <c r="V416" s="1254"/>
      <c r="W416" s="1254"/>
      <c r="X416" s="1254"/>
      <c r="Y416" s="1254"/>
      <c r="Z416" s="1254"/>
    </row>
    <row r="417">
      <c r="A417" s="1254"/>
      <c r="B417" s="1254"/>
      <c r="C417" s="1320"/>
      <c r="D417" s="1254"/>
      <c r="E417" s="1254"/>
      <c r="F417" s="1263"/>
      <c r="G417" s="1317"/>
      <c r="H417" s="1254"/>
      <c r="I417" s="1318"/>
      <c r="J417" s="1254"/>
      <c r="K417" s="1254"/>
      <c r="L417" s="1254"/>
      <c r="M417" s="1254"/>
      <c r="N417" s="1318"/>
      <c r="O417" s="1386"/>
      <c r="P417" s="1254"/>
      <c r="Q417" s="1254"/>
      <c r="R417" s="1254"/>
      <c r="S417" s="1254"/>
      <c r="T417" s="1254"/>
      <c r="U417" s="1254"/>
      <c r="V417" s="1254"/>
      <c r="W417" s="1254"/>
      <c r="X417" s="1254"/>
      <c r="Y417" s="1254"/>
      <c r="Z417" s="1254"/>
    </row>
    <row r="418">
      <c r="A418" s="1254"/>
      <c r="B418" s="1254"/>
      <c r="C418" s="1320"/>
      <c r="D418" s="1254"/>
      <c r="E418" s="1254"/>
      <c r="F418" s="1263"/>
      <c r="G418" s="1317"/>
      <c r="H418" s="1254"/>
      <c r="I418" s="1318"/>
      <c r="J418" s="1254"/>
      <c r="K418" s="1254"/>
      <c r="L418" s="1254"/>
      <c r="M418" s="1254"/>
      <c r="N418" s="1318"/>
      <c r="O418" s="1386"/>
      <c r="P418" s="1254"/>
      <c r="Q418" s="1254"/>
      <c r="R418" s="1254"/>
      <c r="S418" s="1254"/>
      <c r="T418" s="1254"/>
      <c r="U418" s="1254"/>
      <c r="V418" s="1254"/>
      <c r="W418" s="1254"/>
      <c r="X418" s="1254"/>
      <c r="Y418" s="1254"/>
      <c r="Z418" s="1254"/>
    </row>
    <row r="419">
      <c r="A419" s="1254"/>
      <c r="B419" s="1254"/>
      <c r="C419" s="1320"/>
      <c r="D419" s="1254"/>
      <c r="E419" s="1254"/>
      <c r="F419" s="1263"/>
      <c r="G419" s="1317"/>
      <c r="H419" s="1254"/>
      <c r="I419" s="1318"/>
      <c r="J419" s="1254"/>
      <c r="K419" s="1254"/>
      <c r="L419" s="1254"/>
      <c r="M419" s="1254"/>
      <c r="N419" s="1318"/>
      <c r="O419" s="1386"/>
      <c r="P419" s="1254"/>
      <c r="Q419" s="1254"/>
      <c r="R419" s="1254"/>
      <c r="S419" s="1254"/>
      <c r="T419" s="1254"/>
      <c r="U419" s="1254"/>
      <c r="V419" s="1254"/>
      <c r="W419" s="1254"/>
      <c r="X419" s="1254"/>
      <c r="Y419" s="1254"/>
      <c r="Z419" s="1254"/>
    </row>
    <row r="420">
      <c r="A420" s="1254"/>
      <c r="B420" s="1254"/>
      <c r="C420" s="1320"/>
      <c r="D420" s="1254"/>
      <c r="E420" s="1254"/>
      <c r="F420" s="1263"/>
      <c r="G420" s="1317"/>
      <c r="H420" s="1254"/>
      <c r="I420" s="1318"/>
      <c r="J420" s="1254"/>
      <c r="K420" s="1254"/>
      <c r="L420" s="1254"/>
      <c r="M420" s="1254"/>
      <c r="N420" s="1318"/>
      <c r="O420" s="1386"/>
      <c r="P420" s="1254"/>
      <c r="Q420" s="1254"/>
      <c r="R420" s="1254"/>
      <c r="S420" s="1254"/>
      <c r="T420" s="1254"/>
      <c r="U420" s="1254"/>
      <c r="V420" s="1254"/>
      <c r="W420" s="1254"/>
      <c r="X420" s="1254"/>
      <c r="Y420" s="1254"/>
      <c r="Z420" s="1254"/>
    </row>
    <row r="421">
      <c r="A421" s="1254"/>
      <c r="B421" s="1254"/>
      <c r="C421" s="1320"/>
      <c r="D421" s="1254"/>
      <c r="E421" s="1254"/>
      <c r="F421" s="1263"/>
      <c r="G421" s="1317"/>
      <c r="H421" s="1254"/>
      <c r="I421" s="1318"/>
      <c r="J421" s="1254"/>
      <c r="K421" s="1254"/>
      <c r="L421" s="1254"/>
      <c r="M421" s="1254"/>
      <c r="N421" s="1318"/>
      <c r="O421" s="1386"/>
      <c r="P421" s="1254"/>
      <c r="Q421" s="1254"/>
      <c r="R421" s="1254"/>
      <c r="S421" s="1254"/>
      <c r="T421" s="1254"/>
      <c r="U421" s="1254"/>
      <c r="V421" s="1254"/>
      <c r="W421" s="1254"/>
      <c r="X421" s="1254"/>
      <c r="Y421" s="1254"/>
      <c r="Z421" s="1254"/>
    </row>
    <row r="422">
      <c r="A422" s="1254"/>
      <c r="B422" s="1254"/>
      <c r="C422" s="1320"/>
      <c r="D422" s="1254"/>
      <c r="E422" s="1254"/>
      <c r="F422" s="1263"/>
      <c r="G422" s="1317"/>
      <c r="H422" s="1254"/>
      <c r="I422" s="1318"/>
      <c r="J422" s="1254"/>
      <c r="K422" s="1254"/>
      <c r="L422" s="1254"/>
      <c r="M422" s="1254"/>
      <c r="N422" s="1318"/>
      <c r="O422" s="1386"/>
      <c r="P422" s="1254"/>
      <c r="Q422" s="1254"/>
      <c r="R422" s="1254"/>
      <c r="S422" s="1254"/>
      <c r="T422" s="1254"/>
      <c r="U422" s="1254"/>
      <c r="V422" s="1254"/>
      <c r="W422" s="1254"/>
      <c r="X422" s="1254"/>
      <c r="Y422" s="1254"/>
      <c r="Z422" s="1254"/>
    </row>
    <row r="423">
      <c r="A423" s="1254"/>
      <c r="B423" s="1254"/>
      <c r="C423" s="1320"/>
      <c r="D423" s="1254"/>
      <c r="E423" s="1254"/>
      <c r="F423" s="1263"/>
      <c r="G423" s="1317"/>
      <c r="H423" s="1254"/>
      <c r="I423" s="1318"/>
      <c r="J423" s="1254"/>
      <c r="K423" s="1254"/>
      <c r="L423" s="1254"/>
      <c r="M423" s="1254"/>
      <c r="N423" s="1318"/>
      <c r="O423" s="1386"/>
      <c r="P423" s="1254"/>
      <c r="Q423" s="1254"/>
      <c r="R423" s="1254"/>
      <c r="S423" s="1254"/>
      <c r="T423" s="1254"/>
      <c r="U423" s="1254"/>
      <c r="V423" s="1254"/>
      <c r="W423" s="1254"/>
      <c r="X423" s="1254"/>
      <c r="Y423" s="1254"/>
      <c r="Z423" s="1254"/>
    </row>
    <row r="424">
      <c r="A424" s="1254"/>
      <c r="B424" s="1254"/>
      <c r="C424" s="1320"/>
      <c r="D424" s="1254"/>
      <c r="E424" s="1254"/>
      <c r="F424" s="1263"/>
      <c r="G424" s="1317"/>
      <c r="H424" s="1254"/>
      <c r="I424" s="1318"/>
      <c r="J424" s="1254"/>
      <c r="K424" s="1254"/>
      <c r="L424" s="1254"/>
      <c r="M424" s="1254"/>
      <c r="N424" s="1318"/>
      <c r="O424" s="1386"/>
      <c r="P424" s="1254"/>
      <c r="Q424" s="1254"/>
      <c r="R424" s="1254"/>
      <c r="S424" s="1254"/>
      <c r="T424" s="1254"/>
      <c r="U424" s="1254"/>
      <c r="V424" s="1254"/>
      <c r="W424" s="1254"/>
      <c r="X424" s="1254"/>
      <c r="Y424" s="1254"/>
      <c r="Z424" s="1254"/>
    </row>
    <row r="425">
      <c r="A425" s="1254"/>
      <c r="B425" s="1254"/>
      <c r="C425" s="1320"/>
      <c r="D425" s="1254"/>
      <c r="E425" s="1254"/>
      <c r="F425" s="1263"/>
      <c r="G425" s="1317"/>
      <c r="H425" s="1254"/>
      <c r="I425" s="1318"/>
      <c r="J425" s="1254"/>
      <c r="K425" s="1254"/>
      <c r="L425" s="1254"/>
      <c r="M425" s="1254"/>
      <c r="N425" s="1318"/>
      <c r="O425" s="1386"/>
      <c r="P425" s="1254"/>
      <c r="Q425" s="1254"/>
      <c r="R425" s="1254"/>
      <c r="S425" s="1254"/>
      <c r="T425" s="1254"/>
      <c r="U425" s="1254"/>
      <c r="V425" s="1254"/>
      <c r="W425" s="1254"/>
      <c r="X425" s="1254"/>
      <c r="Y425" s="1254"/>
      <c r="Z425" s="1254"/>
    </row>
    <row r="426">
      <c r="A426" s="1254"/>
      <c r="B426" s="1254"/>
      <c r="C426" s="1320"/>
      <c r="D426" s="1254"/>
      <c r="E426" s="1254"/>
      <c r="F426" s="1263"/>
      <c r="G426" s="1317"/>
      <c r="H426" s="1254"/>
      <c r="I426" s="1318"/>
      <c r="J426" s="1254"/>
      <c r="K426" s="1254"/>
      <c r="L426" s="1254"/>
      <c r="M426" s="1254"/>
      <c r="N426" s="1318"/>
      <c r="O426" s="1386"/>
      <c r="P426" s="1254"/>
      <c r="Q426" s="1254"/>
      <c r="R426" s="1254"/>
      <c r="S426" s="1254"/>
      <c r="T426" s="1254"/>
      <c r="U426" s="1254"/>
      <c r="V426" s="1254"/>
      <c r="W426" s="1254"/>
      <c r="X426" s="1254"/>
      <c r="Y426" s="1254"/>
      <c r="Z426" s="1254"/>
    </row>
    <row r="427">
      <c r="A427" s="1254"/>
      <c r="B427" s="1254"/>
      <c r="C427" s="1320"/>
      <c r="D427" s="1254"/>
      <c r="E427" s="1254"/>
      <c r="F427" s="1263"/>
      <c r="G427" s="1317"/>
      <c r="H427" s="1254"/>
      <c r="I427" s="1318"/>
      <c r="J427" s="1254"/>
      <c r="K427" s="1254"/>
      <c r="L427" s="1254"/>
      <c r="M427" s="1254"/>
      <c r="N427" s="1318"/>
      <c r="O427" s="1386"/>
      <c r="P427" s="1254"/>
      <c r="Q427" s="1254"/>
      <c r="R427" s="1254"/>
      <c r="S427" s="1254"/>
      <c r="T427" s="1254"/>
      <c r="U427" s="1254"/>
      <c r="V427" s="1254"/>
      <c r="W427" s="1254"/>
      <c r="X427" s="1254"/>
      <c r="Y427" s="1254"/>
      <c r="Z427" s="1254"/>
    </row>
    <row r="428">
      <c r="A428" s="1254"/>
      <c r="B428" s="1254"/>
      <c r="C428" s="1320"/>
      <c r="D428" s="1254"/>
      <c r="E428" s="1254"/>
      <c r="F428" s="1263"/>
      <c r="G428" s="1317"/>
      <c r="H428" s="1254"/>
      <c r="I428" s="1318"/>
      <c r="J428" s="1254"/>
      <c r="K428" s="1254"/>
      <c r="L428" s="1254"/>
      <c r="M428" s="1254"/>
      <c r="N428" s="1318"/>
      <c r="O428" s="1386"/>
      <c r="P428" s="1254"/>
      <c r="Q428" s="1254"/>
      <c r="R428" s="1254"/>
      <c r="S428" s="1254"/>
      <c r="T428" s="1254"/>
      <c r="U428" s="1254"/>
      <c r="V428" s="1254"/>
      <c r="W428" s="1254"/>
      <c r="X428" s="1254"/>
      <c r="Y428" s="1254"/>
      <c r="Z428" s="1254"/>
    </row>
    <row r="429">
      <c r="A429" s="1254"/>
      <c r="B429" s="1254"/>
      <c r="C429" s="1320"/>
      <c r="D429" s="1254"/>
      <c r="E429" s="1254"/>
      <c r="F429" s="1263"/>
      <c r="G429" s="1317"/>
      <c r="H429" s="1254"/>
      <c r="I429" s="1318"/>
      <c r="J429" s="1254"/>
      <c r="K429" s="1254"/>
      <c r="L429" s="1254"/>
      <c r="M429" s="1254"/>
      <c r="N429" s="1318"/>
      <c r="O429" s="1386"/>
      <c r="P429" s="1254"/>
      <c r="Q429" s="1254"/>
      <c r="R429" s="1254"/>
      <c r="S429" s="1254"/>
      <c r="T429" s="1254"/>
      <c r="U429" s="1254"/>
      <c r="V429" s="1254"/>
      <c r="W429" s="1254"/>
      <c r="X429" s="1254"/>
      <c r="Y429" s="1254"/>
      <c r="Z429" s="1254"/>
    </row>
    <row r="430">
      <c r="A430" s="1254"/>
      <c r="B430" s="1254"/>
      <c r="C430" s="1320"/>
      <c r="D430" s="1254"/>
      <c r="E430" s="1254"/>
      <c r="F430" s="1263"/>
      <c r="G430" s="1317"/>
      <c r="H430" s="1254"/>
      <c r="I430" s="1318"/>
      <c r="J430" s="1254"/>
      <c r="K430" s="1254"/>
      <c r="L430" s="1254"/>
      <c r="M430" s="1254"/>
      <c r="N430" s="1318"/>
      <c r="O430" s="1386"/>
      <c r="P430" s="1254"/>
      <c r="Q430" s="1254"/>
      <c r="R430" s="1254"/>
      <c r="S430" s="1254"/>
      <c r="T430" s="1254"/>
      <c r="U430" s="1254"/>
      <c r="V430" s="1254"/>
      <c r="W430" s="1254"/>
      <c r="X430" s="1254"/>
      <c r="Y430" s="1254"/>
      <c r="Z430" s="1254"/>
    </row>
    <row r="431">
      <c r="A431" s="1254"/>
      <c r="B431" s="1254"/>
      <c r="C431" s="1320"/>
      <c r="D431" s="1254"/>
      <c r="E431" s="1254"/>
      <c r="F431" s="1263"/>
      <c r="G431" s="1317"/>
      <c r="H431" s="1254"/>
      <c r="I431" s="1318"/>
      <c r="J431" s="1254"/>
      <c r="K431" s="1254"/>
      <c r="L431" s="1254"/>
      <c r="M431" s="1254"/>
      <c r="N431" s="1318"/>
      <c r="O431" s="1386"/>
      <c r="P431" s="1254"/>
      <c r="Q431" s="1254"/>
      <c r="R431" s="1254"/>
      <c r="S431" s="1254"/>
      <c r="T431" s="1254"/>
      <c r="U431" s="1254"/>
      <c r="V431" s="1254"/>
      <c r="W431" s="1254"/>
      <c r="X431" s="1254"/>
      <c r="Y431" s="1254"/>
      <c r="Z431" s="1254"/>
    </row>
    <row r="432">
      <c r="A432" s="1254"/>
      <c r="B432" s="1254"/>
      <c r="C432" s="1320"/>
      <c r="D432" s="1254"/>
      <c r="E432" s="1254"/>
      <c r="F432" s="1263"/>
      <c r="G432" s="1317"/>
      <c r="H432" s="1254"/>
      <c r="I432" s="1318"/>
      <c r="J432" s="1254"/>
      <c r="K432" s="1254"/>
      <c r="L432" s="1254"/>
      <c r="M432" s="1254"/>
      <c r="N432" s="1318"/>
      <c r="O432" s="1386"/>
      <c r="P432" s="1254"/>
      <c r="Q432" s="1254"/>
      <c r="R432" s="1254"/>
      <c r="S432" s="1254"/>
      <c r="T432" s="1254"/>
      <c r="U432" s="1254"/>
      <c r="V432" s="1254"/>
      <c r="W432" s="1254"/>
      <c r="X432" s="1254"/>
      <c r="Y432" s="1254"/>
      <c r="Z432" s="1254"/>
    </row>
    <row r="433">
      <c r="A433" s="1254"/>
      <c r="B433" s="1254"/>
      <c r="C433" s="1320"/>
      <c r="D433" s="1254"/>
      <c r="E433" s="1254"/>
      <c r="F433" s="1263"/>
      <c r="G433" s="1317"/>
      <c r="H433" s="1254"/>
      <c r="I433" s="1318"/>
      <c r="J433" s="1254"/>
      <c r="K433" s="1254"/>
      <c r="L433" s="1254"/>
      <c r="M433" s="1254"/>
      <c r="N433" s="1318"/>
      <c r="O433" s="1386"/>
      <c r="P433" s="1254"/>
      <c r="Q433" s="1254"/>
      <c r="R433" s="1254"/>
      <c r="S433" s="1254"/>
      <c r="T433" s="1254"/>
      <c r="U433" s="1254"/>
      <c r="V433" s="1254"/>
      <c r="W433" s="1254"/>
      <c r="X433" s="1254"/>
      <c r="Y433" s="1254"/>
      <c r="Z433" s="1254"/>
    </row>
    <row r="434">
      <c r="A434" s="1254"/>
      <c r="B434" s="1254"/>
      <c r="C434" s="1320"/>
      <c r="D434" s="1254"/>
      <c r="E434" s="1254"/>
      <c r="F434" s="1263"/>
      <c r="G434" s="1317"/>
      <c r="H434" s="1254"/>
      <c r="I434" s="1318"/>
      <c r="J434" s="1254"/>
      <c r="K434" s="1254"/>
      <c r="L434" s="1254"/>
      <c r="M434" s="1254"/>
      <c r="N434" s="1318"/>
      <c r="O434" s="1386"/>
      <c r="P434" s="1254"/>
      <c r="Q434" s="1254"/>
      <c r="R434" s="1254"/>
      <c r="S434" s="1254"/>
      <c r="T434" s="1254"/>
      <c r="U434" s="1254"/>
      <c r="V434" s="1254"/>
      <c r="W434" s="1254"/>
      <c r="X434" s="1254"/>
      <c r="Y434" s="1254"/>
      <c r="Z434" s="1254"/>
    </row>
    <row r="435">
      <c r="A435" s="1254"/>
      <c r="B435" s="1254"/>
      <c r="C435" s="1320"/>
      <c r="D435" s="1254"/>
      <c r="E435" s="1254"/>
      <c r="F435" s="1263"/>
      <c r="G435" s="1317"/>
      <c r="H435" s="1254"/>
      <c r="I435" s="1318"/>
      <c r="J435" s="1254"/>
      <c r="K435" s="1254"/>
      <c r="L435" s="1254"/>
      <c r="M435" s="1254"/>
      <c r="N435" s="1318"/>
      <c r="O435" s="1386"/>
      <c r="P435" s="1254"/>
      <c r="Q435" s="1254"/>
      <c r="R435" s="1254"/>
      <c r="S435" s="1254"/>
      <c r="T435" s="1254"/>
      <c r="U435" s="1254"/>
      <c r="V435" s="1254"/>
      <c r="W435" s="1254"/>
      <c r="X435" s="1254"/>
      <c r="Y435" s="1254"/>
      <c r="Z435" s="1254"/>
    </row>
    <row r="436">
      <c r="A436" s="1254"/>
      <c r="B436" s="1254"/>
      <c r="C436" s="1320"/>
      <c r="D436" s="1254"/>
      <c r="E436" s="1254"/>
      <c r="F436" s="1263"/>
      <c r="G436" s="1317"/>
      <c r="H436" s="1254"/>
      <c r="I436" s="1318"/>
      <c r="J436" s="1254"/>
      <c r="K436" s="1254"/>
      <c r="L436" s="1254"/>
      <c r="M436" s="1254"/>
      <c r="N436" s="1318"/>
      <c r="O436" s="1386"/>
      <c r="P436" s="1254"/>
      <c r="Q436" s="1254"/>
      <c r="R436" s="1254"/>
      <c r="S436" s="1254"/>
      <c r="T436" s="1254"/>
      <c r="U436" s="1254"/>
      <c r="V436" s="1254"/>
      <c r="W436" s="1254"/>
      <c r="X436" s="1254"/>
      <c r="Y436" s="1254"/>
      <c r="Z436" s="1254"/>
    </row>
    <row r="437">
      <c r="A437" s="1254"/>
      <c r="B437" s="1254"/>
      <c r="C437" s="1320"/>
      <c r="D437" s="1254"/>
      <c r="E437" s="1254"/>
      <c r="F437" s="1263"/>
      <c r="G437" s="1317"/>
      <c r="H437" s="1254"/>
      <c r="I437" s="1318"/>
      <c r="J437" s="1254"/>
      <c r="K437" s="1254"/>
      <c r="L437" s="1254"/>
      <c r="M437" s="1254"/>
      <c r="N437" s="1318"/>
      <c r="O437" s="1386"/>
      <c r="P437" s="1254"/>
      <c r="Q437" s="1254"/>
      <c r="R437" s="1254"/>
      <c r="S437" s="1254"/>
      <c r="T437" s="1254"/>
      <c r="U437" s="1254"/>
      <c r="V437" s="1254"/>
      <c r="W437" s="1254"/>
      <c r="X437" s="1254"/>
      <c r="Y437" s="1254"/>
      <c r="Z437" s="1254"/>
    </row>
    <row r="438">
      <c r="A438" s="1254"/>
      <c r="B438" s="1254"/>
      <c r="C438" s="1320"/>
      <c r="D438" s="1254"/>
      <c r="E438" s="1254"/>
      <c r="F438" s="1263"/>
      <c r="G438" s="1317"/>
      <c r="H438" s="1254"/>
      <c r="I438" s="1318"/>
      <c r="J438" s="1254"/>
      <c r="K438" s="1254"/>
      <c r="L438" s="1254"/>
      <c r="M438" s="1254"/>
      <c r="N438" s="1318"/>
      <c r="O438" s="1386"/>
      <c r="P438" s="1254"/>
      <c r="Q438" s="1254"/>
      <c r="R438" s="1254"/>
      <c r="S438" s="1254"/>
      <c r="T438" s="1254"/>
      <c r="U438" s="1254"/>
      <c r="V438" s="1254"/>
      <c r="W438" s="1254"/>
      <c r="X438" s="1254"/>
      <c r="Y438" s="1254"/>
      <c r="Z438" s="1254"/>
    </row>
    <row r="439">
      <c r="A439" s="1254"/>
      <c r="B439" s="1254"/>
      <c r="C439" s="1320"/>
      <c r="D439" s="1254"/>
      <c r="E439" s="1254"/>
      <c r="F439" s="1263"/>
      <c r="G439" s="1317"/>
      <c r="H439" s="1254"/>
      <c r="I439" s="1318"/>
      <c r="J439" s="1254"/>
      <c r="K439" s="1254"/>
      <c r="L439" s="1254"/>
      <c r="M439" s="1254"/>
      <c r="N439" s="1318"/>
      <c r="O439" s="1386"/>
      <c r="P439" s="1254"/>
      <c r="Q439" s="1254"/>
      <c r="R439" s="1254"/>
      <c r="S439" s="1254"/>
      <c r="T439" s="1254"/>
      <c r="U439" s="1254"/>
      <c r="V439" s="1254"/>
      <c r="W439" s="1254"/>
      <c r="X439" s="1254"/>
      <c r="Y439" s="1254"/>
      <c r="Z439" s="1254"/>
    </row>
    <row r="440">
      <c r="A440" s="1254"/>
      <c r="B440" s="1254"/>
      <c r="C440" s="1320"/>
      <c r="D440" s="1254"/>
      <c r="E440" s="1254"/>
      <c r="F440" s="1263"/>
      <c r="G440" s="1317"/>
      <c r="H440" s="1254"/>
      <c r="I440" s="1318"/>
      <c r="J440" s="1254"/>
      <c r="K440" s="1254"/>
      <c r="L440" s="1254"/>
      <c r="M440" s="1254"/>
      <c r="N440" s="1318"/>
      <c r="O440" s="1386"/>
      <c r="P440" s="1254"/>
      <c r="Q440" s="1254"/>
      <c r="R440" s="1254"/>
      <c r="S440" s="1254"/>
      <c r="T440" s="1254"/>
      <c r="U440" s="1254"/>
      <c r="V440" s="1254"/>
      <c r="W440" s="1254"/>
      <c r="X440" s="1254"/>
      <c r="Y440" s="1254"/>
      <c r="Z440" s="1254"/>
    </row>
    <row r="441">
      <c r="A441" s="1254"/>
      <c r="B441" s="1254"/>
      <c r="C441" s="1320"/>
      <c r="D441" s="1254"/>
      <c r="E441" s="1254"/>
      <c r="F441" s="1263"/>
      <c r="G441" s="1317"/>
      <c r="H441" s="1254"/>
      <c r="I441" s="1318"/>
      <c r="J441" s="1254"/>
      <c r="K441" s="1254"/>
      <c r="L441" s="1254"/>
      <c r="M441" s="1254"/>
      <c r="N441" s="1318"/>
      <c r="O441" s="1386"/>
      <c r="P441" s="1254"/>
      <c r="Q441" s="1254"/>
      <c r="R441" s="1254"/>
      <c r="S441" s="1254"/>
      <c r="T441" s="1254"/>
      <c r="U441" s="1254"/>
      <c r="V441" s="1254"/>
      <c r="W441" s="1254"/>
      <c r="X441" s="1254"/>
      <c r="Y441" s="1254"/>
      <c r="Z441" s="1254"/>
    </row>
    <row r="442">
      <c r="A442" s="1254"/>
      <c r="B442" s="1254"/>
      <c r="C442" s="1320"/>
      <c r="D442" s="1254"/>
      <c r="E442" s="1254"/>
      <c r="F442" s="1263"/>
      <c r="G442" s="1317"/>
      <c r="H442" s="1254"/>
      <c r="I442" s="1318"/>
      <c r="J442" s="1254"/>
      <c r="K442" s="1254"/>
      <c r="L442" s="1254"/>
      <c r="M442" s="1254"/>
      <c r="N442" s="1318"/>
      <c r="O442" s="1386"/>
      <c r="P442" s="1254"/>
      <c r="Q442" s="1254"/>
      <c r="R442" s="1254"/>
      <c r="S442" s="1254"/>
      <c r="T442" s="1254"/>
      <c r="U442" s="1254"/>
      <c r="V442" s="1254"/>
      <c r="W442" s="1254"/>
      <c r="X442" s="1254"/>
      <c r="Y442" s="1254"/>
      <c r="Z442" s="1254"/>
    </row>
    <row r="443">
      <c r="A443" s="1254"/>
      <c r="B443" s="1254"/>
      <c r="C443" s="1320"/>
      <c r="D443" s="1254"/>
      <c r="E443" s="1254"/>
      <c r="F443" s="1263"/>
      <c r="G443" s="1317"/>
      <c r="H443" s="1254"/>
      <c r="I443" s="1318"/>
      <c r="J443" s="1254"/>
      <c r="K443" s="1254"/>
      <c r="L443" s="1254"/>
      <c r="M443" s="1254"/>
      <c r="N443" s="1318"/>
      <c r="O443" s="1386"/>
      <c r="P443" s="1254"/>
      <c r="Q443" s="1254"/>
      <c r="R443" s="1254"/>
      <c r="S443" s="1254"/>
      <c r="T443" s="1254"/>
      <c r="U443" s="1254"/>
      <c r="V443" s="1254"/>
      <c r="W443" s="1254"/>
      <c r="X443" s="1254"/>
      <c r="Y443" s="1254"/>
      <c r="Z443" s="1254"/>
    </row>
    <row r="444">
      <c r="A444" s="1254"/>
      <c r="B444" s="1254"/>
      <c r="C444" s="1320"/>
      <c r="D444" s="1254"/>
      <c r="E444" s="1254"/>
      <c r="F444" s="1263"/>
      <c r="G444" s="1317"/>
      <c r="H444" s="1254"/>
      <c r="I444" s="1318"/>
      <c r="J444" s="1254"/>
      <c r="K444" s="1254"/>
      <c r="L444" s="1254"/>
      <c r="M444" s="1254"/>
      <c r="N444" s="1318"/>
      <c r="O444" s="1386"/>
      <c r="P444" s="1254"/>
      <c r="Q444" s="1254"/>
      <c r="R444" s="1254"/>
      <c r="S444" s="1254"/>
      <c r="T444" s="1254"/>
      <c r="U444" s="1254"/>
      <c r="V444" s="1254"/>
      <c r="W444" s="1254"/>
      <c r="X444" s="1254"/>
      <c r="Y444" s="1254"/>
      <c r="Z444" s="1254"/>
    </row>
    <row r="445">
      <c r="A445" s="1254"/>
      <c r="B445" s="1254"/>
      <c r="C445" s="1320"/>
      <c r="D445" s="1254"/>
      <c r="E445" s="1254"/>
      <c r="F445" s="1263"/>
      <c r="G445" s="1317"/>
      <c r="H445" s="1254"/>
      <c r="I445" s="1318"/>
      <c r="J445" s="1254"/>
      <c r="K445" s="1254"/>
      <c r="L445" s="1254"/>
      <c r="M445" s="1254"/>
      <c r="N445" s="1318"/>
      <c r="O445" s="1386"/>
      <c r="P445" s="1254"/>
      <c r="Q445" s="1254"/>
      <c r="R445" s="1254"/>
      <c r="S445" s="1254"/>
      <c r="T445" s="1254"/>
      <c r="U445" s="1254"/>
      <c r="V445" s="1254"/>
      <c r="W445" s="1254"/>
      <c r="X445" s="1254"/>
      <c r="Y445" s="1254"/>
      <c r="Z445" s="1254"/>
    </row>
    <row r="446">
      <c r="A446" s="1254"/>
      <c r="B446" s="1254"/>
      <c r="C446" s="1320"/>
      <c r="D446" s="1254"/>
      <c r="E446" s="1254"/>
      <c r="F446" s="1263"/>
      <c r="G446" s="1317"/>
      <c r="H446" s="1254"/>
      <c r="I446" s="1318"/>
      <c r="J446" s="1254"/>
      <c r="K446" s="1254"/>
      <c r="L446" s="1254"/>
      <c r="M446" s="1254"/>
      <c r="N446" s="1318"/>
      <c r="O446" s="1386"/>
      <c r="P446" s="1254"/>
      <c r="Q446" s="1254"/>
      <c r="R446" s="1254"/>
      <c r="S446" s="1254"/>
      <c r="T446" s="1254"/>
      <c r="U446" s="1254"/>
      <c r="V446" s="1254"/>
      <c r="W446" s="1254"/>
      <c r="X446" s="1254"/>
      <c r="Y446" s="1254"/>
      <c r="Z446" s="1254"/>
    </row>
    <row r="447">
      <c r="A447" s="1254"/>
      <c r="B447" s="1254"/>
      <c r="C447" s="1320"/>
      <c r="D447" s="1254"/>
      <c r="E447" s="1254"/>
      <c r="F447" s="1263"/>
      <c r="G447" s="1317"/>
      <c r="H447" s="1254"/>
      <c r="I447" s="1318"/>
      <c r="J447" s="1254"/>
      <c r="K447" s="1254"/>
      <c r="L447" s="1254"/>
      <c r="M447" s="1254"/>
      <c r="N447" s="1318"/>
      <c r="O447" s="1386"/>
      <c r="P447" s="1254"/>
      <c r="Q447" s="1254"/>
      <c r="R447" s="1254"/>
      <c r="S447" s="1254"/>
      <c r="T447" s="1254"/>
      <c r="U447" s="1254"/>
      <c r="V447" s="1254"/>
      <c r="W447" s="1254"/>
      <c r="X447" s="1254"/>
      <c r="Y447" s="1254"/>
      <c r="Z447" s="1254"/>
    </row>
    <row r="448">
      <c r="A448" s="1254"/>
      <c r="B448" s="1254"/>
      <c r="C448" s="1320"/>
      <c r="D448" s="1254"/>
      <c r="E448" s="1254"/>
      <c r="F448" s="1263"/>
      <c r="G448" s="1317"/>
      <c r="H448" s="1254"/>
      <c r="I448" s="1318"/>
      <c r="J448" s="1254"/>
      <c r="K448" s="1254"/>
      <c r="L448" s="1254"/>
      <c r="M448" s="1254"/>
      <c r="N448" s="1318"/>
      <c r="O448" s="1386"/>
      <c r="P448" s="1254"/>
      <c r="Q448" s="1254"/>
      <c r="R448" s="1254"/>
      <c r="S448" s="1254"/>
      <c r="T448" s="1254"/>
      <c r="U448" s="1254"/>
      <c r="V448" s="1254"/>
      <c r="W448" s="1254"/>
      <c r="X448" s="1254"/>
      <c r="Y448" s="1254"/>
      <c r="Z448" s="1254"/>
    </row>
    <row r="449">
      <c r="A449" s="1254"/>
      <c r="B449" s="1254"/>
      <c r="C449" s="1320"/>
      <c r="D449" s="1254"/>
      <c r="E449" s="1254"/>
      <c r="F449" s="1263"/>
      <c r="G449" s="1317"/>
      <c r="H449" s="1254"/>
      <c r="I449" s="1318"/>
      <c r="J449" s="1254"/>
      <c r="K449" s="1254"/>
      <c r="L449" s="1254"/>
      <c r="M449" s="1254"/>
      <c r="N449" s="1318"/>
      <c r="O449" s="1386"/>
      <c r="P449" s="1254"/>
      <c r="Q449" s="1254"/>
      <c r="R449" s="1254"/>
      <c r="S449" s="1254"/>
      <c r="T449" s="1254"/>
      <c r="U449" s="1254"/>
      <c r="V449" s="1254"/>
      <c r="W449" s="1254"/>
      <c r="X449" s="1254"/>
      <c r="Y449" s="1254"/>
      <c r="Z449" s="1254"/>
    </row>
    <row r="450">
      <c r="A450" s="1254"/>
      <c r="B450" s="1254"/>
      <c r="C450" s="1320"/>
      <c r="D450" s="1254"/>
      <c r="E450" s="1254"/>
      <c r="F450" s="1263"/>
      <c r="G450" s="1317"/>
      <c r="H450" s="1254"/>
      <c r="I450" s="1318"/>
      <c r="J450" s="1254"/>
      <c r="K450" s="1254"/>
      <c r="L450" s="1254"/>
      <c r="M450" s="1254"/>
      <c r="N450" s="1318"/>
      <c r="O450" s="1386"/>
      <c r="P450" s="1254"/>
      <c r="Q450" s="1254"/>
      <c r="R450" s="1254"/>
      <c r="S450" s="1254"/>
      <c r="T450" s="1254"/>
      <c r="U450" s="1254"/>
      <c r="V450" s="1254"/>
      <c r="W450" s="1254"/>
      <c r="X450" s="1254"/>
      <c r="Y450" s="1254"/>
      <c r="Z450" s="1254"/>
    </row>
    <row r="451">
      <c r="A451" s="1254"/>
      <c r="B451" s="1254"/>
      <c r="C451" s="1320"/>
      <c r="D451" s="1254"/>
      <c r="E451" s="1254"/>
      <c r="F451" s="1263"/>
      <c r="G451" s="1317"/>
      <c r="H451" s="1254"/>
      <c r="I451" s="1318"/>
      <c r="J451" s="1254"/>
      <c r="K451" s="1254"/>
      <c r="L451" s="1254"/>
      <c r="M451" s="1254"/>
      <c r="N451" s="1318"/>
      <c r="O451" s="1386"/>
      <c r="P451" s="1254"/>
      <c r="Q451" s="1254"/>
      <c r="R451" s="1254"/>
      <c r="S451" s="1254"/>
      <c r="T451" s="1254"/>
      <c r="U451" s="1254"/>
      <c r="V451" s="1254"/>
      <c r="W451" s="1254"/>
      <c r="X451" s="1254"/>
      <c r="Y451" s="1254"/>
      <c r="Z451" s="1254"/>
    </row>
    <row r="452">
      <c r="A452" s="1254"/>
      <c r="B452" s="1254"/>
      <c r="C452" s="1320"/>
      <c r="D452" s="1254"/>
      <c r="E452" s="1254"/>
      <c r="F452" s="1263"/>
      <c r="G452" s="1317"/>
      <c r="H452" s="1254"/>
      <c r="I452" s="1318"/>
      <c r="J452" s="1254"/>
      <c r="K452" s="1254"/>
      <c r="L452" s="1254"/>
      <c r="M452" s="1254"/>
      <c r="N452" s="1318"/>
      <c r="O452" s="1386"/>
      <c r="P452" s="1254"/>
      <c r="Q452" s="1254"/>
      <c r="R452" s="1254"/>
      <c r="S452" s="1254"/>
      <c r="T452" s="1254"/>
      <c r="U452" s="1254"/>
      <c r="V452" s="1254"/>
      <c r="W452" s="1254"/>
      <c r="X452" s="1254"/>
      <c r="Y452" s="1254"/>
      <c r="Z452" s="1254"/>
    </row>
    <row r="453">
      <c r="A453" s="1254"/>
      <c r="B453" s="1254"/>
      <c r="C453" s="1320"/>
      <c r="D453" s="1254"/>
      <c r="E453" s="1254"/>
      <c r="F453" s="1263"/>
      <c r="G453" s="1317"/>
      <c r="H453" s="1254"/>
      <c r="I453" s="1318"/>
      <c r="J453" s="1254"/>
      <c r="K453" s="1254"/>
      <c r="L453" s="1254"/>
      <c r="M453" s="1254"/>
      <c r="N453" s="1318"/>
      <c r="O453" s="1386"/>
      <c r="P453" s="1254"/>
      <c r="Q453" s="1254"/>
      <c r="R453" s="1254"/>
      <c r="S453" s="1254"/>
      <c r="T453" s="1254"/>
      <c r="U453" s="1254"/>
      <c r="V453" s="1254"/>
      <c r="W453" s="1254"/>
      <c r="X453" s="1254"/>
      <c r="Y453" s="1254"/>
      <c r="Z453" s="1254"/>
    </row>
    <row r="454">
      <c r="A454" s="1254"/>
      <c r="B454" s="1254"/>
      <c r="C454" s="1320"/>
      <c r="D454" s="1254"/>
      <c r="E454" s="1254"/>
      <c r="F454" s="1263"/>
      <c r="G454" s="1317"/>
      <c r="H454" s="1254"/>
      <c r="I454" s="1318"/>
      <c r="J454" s="1254"/>
      <c r="K454" s="1254"/>
      <c r="L454" s="1254"/>
      <c r="M454" s="1254"/>
      <c r="N454" s="1318"/>
      <c r="O454" s="1386"/>
      <c r="P454" s="1254"/>
      <c r="Q454" s="1254"/>
      <c r="R454" s="1254"/>
      <c r="S454" s="1254"/>
      <c r="T454" s="1254"/>
      <c r="U454" s="1254"/>
      <c r="V454" s="1254"/>
      <c r="W454" s="1254"/>
      <c r="X454" s="1254"/>
      <c r="Y454" s="1254"/>
      <c r="Z454" s="1254"/>
    </row>
    <row r="455">
      <c r="A455" s="1254"/>
      <c r="B455" s="1254"/>
      <c r="C455" s="1320"/>
      <c r="D455" s="1254"/>
      <c r="E455" s="1254"/>
      <c r="F455" s="1263"/>
      <c r="G455" s="1317"/>
      <c r="H455" s="1254"/>
      <c r="I455" s="1318"/>
      <c r="J455" s="1254"/>
      <c r="K455" s="1254"/>
      <c r="L455" s="1254"/>
      <c r="M455" s="1254"/>
      <c r="N455" s="1318"/>
      <c r="O455" s="1386"/>
      <c r="P455" s="1254"/>
      <c r="Q455" s="1254"/>
      <c r="R455" s="1254"/>
      <c r="S455" s="1254"/>
      <c r="T455" s="1254"/>
      <c r="U455" s="1254"/>
      <c r="V455" s="1254"/>
      <c r="W455" s="1254"/>
      <c r="X455" s="1254"/>
      <c r="Y455" s="1254"/>
      <c r="Z455" s="1254"/>
    </row>
    <row r="456">
      <c r="A456" s="1254"/>
      <c r="B456" s="1254"/>
      <c r="C456" s="1320"/>
      <c r="D456" s="1254"/>
      <c r="E456" s="1254"/>
      <c r="F456" s="1263"/>
      <c r="G456" s="1317"/>
      <c r="H456" s="1254"/>
      <c r="I456" s="1318"/>
      <c r="J456" s="1254"/>
      <c r="K456" s="1254"/>
      <c r="L456" s="1254"/>
      <c r="M456" s="1254"/>
      <c r="N456" s="1318"/>
      <c r="O456" s="1386"/>
      <c r="P456" s="1254"/>
      <c r="Q456" s="1254"/>
      <c r="R456" s="1254"/>
      <c r="S456" s="1254"/>
      <c r="T456" s="1254"/>
      <c r="U456" s="1254"/>
      <c r="V456" s="1254"/>
      <c r="W456" s="1254"/>
      <c r="X456" s="1254"/>
      <c r="Y456" s="1254"/>
      <c r="Z456" s="1254"/>
    </row>
    <row r="457">
      <c r="A457" s="1254"/>
      <c r="B457" s="1254"/>
      <c r="C457" s="1320"/>
      <c r="D457" s="1254"/>
      <c r="E457" s="1254"/>
      <c r="F457" s="1263"/>
      <c r="G457" s="1317"/>
      <c r="H457" s="1254"/>
      <c r="I457" s="1318"/>
      <c r="J457" s="1254"/>
      <c r="K457" s="1254"/>
      <c r="L457" s="1254"/>
      <c r="M457" s="1254"/>
      <c r="N457" s="1318"/>
      <c r="O457" s="1386"/>
      <c r="P457" s="1254"/>
      <c r="Q457" s="1254"/>
      <c r="R457" s="1254"/>
      <c r="S457" s="1254"/>
      <c r="T457" s="1254"/>
      <c r="U457" s="1254"/>
      <c r="V457" s="1254"/>
      <c r="W457" s="1254"/>
      <c r="X457" s="1254"/>
      <c r="Y457" s="1254"/>
      <c r="Z457" s="1254"/>
    </row>
    <row r="458">
      <c r="A458" s="1254"/>
      <c r="B458" s="1254"/>
      <c r="C458" s="1320"/>
      <c r="D458" s="1254"/>
      <c r="E458" s="1254"/>
      <c r="F458" s="1263"/>
      <c r="G458" s="1317"/>
      <c r="H458" s="1254"/>
      <c r="I458" s="1318"/>
      <c r="J458" s="1254"/>
      <c r="K458" s="1254"/>
      <c r="L458" s="1254"/>
      <c r="M458" s="1254"/>
      <c r="N458" s="1318"/>
      <c r="O458" s="1386"/>
      <c r="P458" s="1254"/>
      <c r="Q458" s="1254"/>
      <c r="R458" s="1254"/>
      <c r="S458" s="1254"/>
      <c r="T458" s="1254"/>
      <c r="U458" s="1254"/>
      <c r="V458" s="1254"/>
      <c r="W458" s="1254"/>
      <c r="X458" s="1254"/>
      <c r="Y458" s="1254"/>
      <c r="Z458" s="1254"/>
    </row>
    <row r="459">
      <c r="A459" s="1254"/>
      <c r="B459" s="1254"/>
      <c r="C459" s="1320"/>
      <c r="D459" s="1254"/>
      <c r="E459" s="1254"/>
      <c r="F459" s="1263"/>
      <c r="G459" s="1317"/>
      <c r="H459" s="1254"/>
      <c r="I459" s="1318"/>
      <c r="J459" s="1254"/>
      <c r="K459" s="1254"/>
      <c r="L459" s="1254"/>
      <c r="M459" s="1254"/>
      <c r="N459" s="1318"/>
      <c r="O459" s="1386"/>
      <c r="P459" s="1254"/>
      <c r="Q459" s="1254"/>
      <c r="R459" s="1254"/>
      <c r="S459" s="1254"/>
      <c r="T459" s="1254"/>
      <c r="U459" s="1254"/>
      <c r="V459" s="1254"/>
      <c r="W459" s="1254"/>
      <c r="X459" s="1254"/>
      <c r="Y459" s="1254"/>
      <c r="Z459" s="1254"/>
    </row>
    <row r="460">
      <c r="A460" s="1254"/>
      <c r="B460" s="1254"/>
      <c r="C460" s="1320"/>
      <c r="D460" s="1254"/>
      <c r="E460" s="1254"/>
      <c r="F460" s="1263"/>
      <c r="G460" s="1317"/>
      <c r="H460" s="1254"/>
      <c r="I460" s="1318"/>
      <c r="J460" s="1254"/>
      <c r="K460" s="1254"/>
      <c r="L460" s="1254"/>
      <c r="M460" s="1254"/>
      <c r="N460" s="1318"/>
      <c r="O460" s="1386"/>
      <c r="P460" s="1254"/>
      <c r="Q460" s="1254"/>
      <c r="R460" s="1254"/>
      <c r="S460" s="1254"/>
      <c r="T460" s="1254"/>
      <c r="U460" s="1254"/>
      <c r="V460" s="1254"/>
      <c r="W460" s="1254"/>
      <c r="X460" s="1254"/>
      <c r="Y460" s="1254"/>
      <c r="Z460" s="1254"/>
    </row>
    <row r="461">
      <c r="A461" s="1254"/>
      <c r="B461" s="1254"/>
      <c r="C461" s="1320"/>
      <c r="D461" s="1254"/>
      <c r="E461" s="1254"/>
      <c r="F461" s="1263"/>
      <c r="G461" s="1317"/>
      <c r="H461" s="1254"/>
      <c r="I461" s="1318"/>
      <c r="J461" s="1254"/>
      <c r="K461" s="1254"/>
      <c r="L461" s="1254"/>
      <c r="M461" s="1254"/>
      <c r="N461" s="1318"/>
      <c r="O461" s="1386"/>
      <c r="P461" s="1254"/>
      <c r="Q461" s="1254"/>
      <c r="R461" s="1254"/>
      <c r="S461" s="1254"/>
      <c r="T461" s="1254"/>
      <c r="U461" s="1254"/>
      <c r="V461" s="1254"/>
      <c r="W461" s="1254"/>
      <c r="X461" s="1254"/>
      <c r="Y461" s="1254"/>
      <c r="Z461" s="1254"/>
    </row>
    <row r="462">
      <c r="A462" s="1254"/>
      <c r="B462" s="1254"/>
      <c r="C462" s="1320"/>
      <c r="D462" s="1254"/>
      <c r="E462" s="1254"/>
      <c r="F462" s="1263"/>
      <c r="G462" s="1317"/>
      <c r="H462" s="1254"/>
      <c r="I462" s="1318"/>
      <c r="J462" s="1254"/>
      <c r="K462" s="1254"/>
      <c r="L462" s="1254"/>
      <c r="M462" s="1254"/>
      <c r="N462" s="1318"/>
      <c r="O462" s="1386"/>
      <c r="P462" s="1254"/>
      <c r="Q462" s="1254"/>
      <c r="R462" s="1254"/>
      <c r="S462" s="1254"/>
      <c r="T462" s="1254"/>
      <c r="U462" s="1254"/>
      <c r="V462" s="1254"/>
      <c r="W462" s="1254"/>
      <c r="X462" s="1254"/>
      <c r="Y462" s="1254"/>
      <c r="Z462" s="1254"/>
    </row>
    <row r="463">
      <c r="A463" s="1254"/>
      <c r="B463" s="1254"/>
      <c r="C463" s="1320"/>
      <c r="D463" s="1254"/>
      <c r="E463" s="1254"/>
      <c r="F463" s="1263"/>
      <c r="G463" s="1317"/>
      <c r="H463" s="1254"/>
      <c r="I463" s="1318"/>
      <c r="J463" s="1254"/>
      <c r="K463" s="1254"/>
      <c r="L463" s="1254"/>
      <c r="M463" s="1254"/>
      <c r="N463" s="1318"/>
      <c r="O463" s="1386"/>
      <c r="P463" s="1254"/>
      <c r="Q463" s="1254"/>
      <c r="R463" s="1254"/>
      <c r="S463" s="1254"/>
      <c r="T463" s="1254"/>
      <c r="U463" s="1254"/>
      <c r="V463" s="1254"/>
      <c r="W463" s="1254"/>
      <c r="X463" s="1254"/>
      <c r="Y463" s="1254"/>
      <c r="Z463" s="1254"/>
    </row>
    <row r="464">
      <c r="A464" s="1254"/>
      <c r="B464" s="1254"/>
      <c r="C464" s="1320"/>
      <c r="D464" s="1254"/>
      <c r="E464" s="1254"/>
      <c r="F464" s="1263"/>
      <c r="G464" s="1317"/>
      <c r="H464" s="1254"/>
      <c r="I464" s="1318"/>
      <c r="J464" s="1254"/>
      <c r="K464" s="1254"/>
      <c r="L464" s="1254"/>
      <c r="M464" s="1254"/>
      <c r="N464" s="1318"/>
      <c r="O464" s="1386"/>
      <c r="P464" s="1254"/>
      <c r="Q464" s="1254"/>
      <c r="R464" s="1254"/>
      <c r="S464" s="1254"/>
      <c r="T464" s="1254"/>
      <c r="U464" s="1254"/>
      <c r="V464" s="1254"/>
      <c r="W464" s="1254"/>
      <c r="X464" s="1254"/>
      <c r="Y464" s="1254"/>
      <c r="Z464" s="1254"/>
    </row>
    <row r="465">
      <c r="A465" s="1254"/>
      <c r="B465" s="1254"/>
      <c r="C465" s="1320"/>
      <c r="D465" s="1254"/>
      <c r="E465" s="1254"/>
      <c r="F465" s="1263"/>
      <c r="G465" s="1317"/>
      <c r="H465" s="1254"/>
      <c r="I465" s="1318"/>
      <c r="J465" s="1254"/>
      <c r="K465" s="1254"/>
      <c r="L465" s="1254"/>
      <c r="M465" s="1254"/>
      <c r="N465" s="1318"/>
      <c r="O465" s="1386"/>
      <c r="P465" s="1254"/>
      <c r="Q465" s="1254"/>
      <c r="R465" s="1254"/>
      <c r="S465" s="1254"/>
      <c r="T465" s="1254"/>
      <c r="U465" s="1254"/>
      <c r="V465" s="1254"/>
      <c r="W465" s="1254"/>
      <c r="X465" s="1254"/>
      <c r="Y465" s="1254"/>
      <c r="Z465" s="1254"/>
    </row>
    <row r="466">
      <c r="A466" s="1254"/>
      <c r="B466" s="1254"/>
      <c r="C466" s="1320"/>
      <c r="D466" s="1254"/>
      <c r="E466" s="1254"/>
      <c r="F466" s="1263"/>
      <c r="G466" s="1317"/>
      <c r="H466" s="1254"/>
      <c r="I466" s="1318"/>
      <c r="J466" s="1254"/>
      <c r="K466" s="1254"/>
      <c r="L466" s="1254"/>
      <c r="M466" s="1254"/>
      <c r="N466" s="1318"/>
      <c r="O466" s="1386"/>
      <c r="P466" s="1254"/>
      <c r="Q466" s="1254"/>
      <c r="R466" s="1254"/>
      <c r="S466" s="1254"/>
      <c r="T466" s="1254"/>
      <c r="U466" s="1254"/>
      <c r="V466" s="1254"/>
      <c r="W466" s="1254"/>
      <c r="X466" s="1254"/>
      <c r="Y466" s="1254"/>
      <c r="Z466" s="1254"/>
    </row>
    <row r="467">
      <c r="A467" s="1254"/>
      <c r="B467" s="1254"/>
      <c r="C467" s="1320"/>
      <c r="D467" s="1254"/>
      <c r="E467" s="1254"/>
      <c r="F467" s="1263"/>
      <c r="G467" s="1317"/>
      <c r="H467" s="1254"/>
      <c r="I467" s="1318"/>
      <c r="J467" s="1254"/>
      <c r="K467" s="1254"/>
      <c r="L467" s="1254"/>
      <c r="M467" s="1254"/>
      <c r="N467" s="1318"/>
      <c r="O467" s="1386"/>
      <c r="P467" s="1254"/>
      <c r="Q467" s="1254"/>
      <c r="R467" s="1254"/>
      <c r="S467" s="1254"/>
      <c r="T467" s="1254"/>
      <c r="U467" s="1254"/>
      <c r="V467" s="1254"/>
      <c r="W467" s="1254"/>
      <c r="X467" s="1254"/>
      <c r="Y467" s="1254"/>
      <c r="Z467" s="1254"/>
    </row>
    <row r="468">
      <c r="A468" s="1254"/>
      <c r="B468" s="1254"/>
      <c r="C468" s="1320"/>
      <c r="D468" s="1254"/>
      <c r="E468" s="1254"/>
      <c r="F468" s="1263"/>
      <c r="G468" s="1317"/>
      <c r="H468" s="1254"/>
      <c r="I468" s="1318"/>
      <c r="J468" s="1254"/>
      <c r="K468" s="1254"/>
      <c r="L468" s="1254"/>
      <c r="M468" s="1254"/>
      <c r="N468" s="1318"/>
      <c r="O468" s="1386"/>
      <c r="P468" s="1254"/>
      <c r="Q468" s="1254"/>
      <c r="R468" s="1254"/>
      <c r="S468" s="1254"/>
      <c r="T468" s="1254"/>
      <c r="U468" s="1254"/>
      <c r="V468" s="1254"/>
      <c r="W468" s="1254"/>
      <c r="X468" s="1254"/>
      <c r="Y468" s="1254"/>
      <c r="Z468" s="1254"/>
    </row>
    <row r="469">
      <c r="A469" s="1254"/>
      <c r="B469" s="1254"/>
      <c r="C469" s="1320"/>
      <c r="D469" s="1254"/>
      <c r="E469" s="1254"/>
      <c r="F469" s="1263"/>
      <c r="G469" s="1317"/>
      <c r="H469" s="1254"/>
      <c r="I469" s="1318"/>
      <c r="J469" s="1254"/>
      <c r="K469" s="1254"/>
      <c r="L469" s="1254"/>
      <c r="M469" s="1254"/>
      <c r="N469" s="1318"/>
      <c r="O469" s="1386"/>
      <c r="P469" s="1254"/>
      <c r="Q469" s="1254"/>
      <c r="R469" s="1254"/>
      <c r="S469" s="1254"/>
      <c r="T469" s="1254"/>
      <c r="U469" s="1254"/>
      <c r="V469" s="1254"/>
      <c r="W469" s="1254"/>
      <c r="X469" s="1254"/>
      <c r="Y469" s="1254"/>
      <c r="Z469" s="1254"/>
    </row>
    <row r="470">
      <c r="A470" s="1254"/>
      <c r="B470" s="1254"/>
      <c r="C470" s="1320"/>
      <c r="D470" s="1254"/>
      <c r="E470" s="1254"/>
      <c r="F470" s="1263"/>
      <c r="G470" s="1317"/>
      <c r="H470" s="1254"/>
      <c r="I470" s="1318"/>
      <c r="J470" s="1254"/>
      <c r="K470" s="1254"/>
      <c r="L470" s="1254"/>
      <c r="M470" s="1254"/>
      <c r="N470" s="1318"/>
      <c r="O470" s="1386"/>
      <c r="P470" s="1254"/>
      <c r="Q470" s="1254"/>
      <c r="R470" s="1254"/>
      <c r="S470" s="1254"/>
      <c r="T470" s="1254"/>
      <c r="U470" s="1254"/>
      <c r="V470" s="1254"/>
      <c r="W470" s="1254"/>
      <c r="X470" s="1254"/>
      <c r="Y470" s="1254"/>
      <c r="Z470" s="1254"/>
    </row>
    <row r="471">
      <c r="A471" s="1254"/>
      <c r="B471" s="1254"/>
      <c r="C471" s="1320"/>
      <c r="D471" s="1254"/>
      <c r="E471" s="1254"/>
      <c r="F471" s="1263"/>
      <c r="G471" s="1317"/>
      <c r="H471" s="1254"/>
      <c r="I471" s="1318"/>
      <c r="J471" s="1254"/>
      <c r="K471" s="1254"/>
      <c r="L471" s="1254"/>
      <c r="M471" s="1254"/>
      <c r="N471" s="1318"/>
      <c r="O471" s="1386"/>
      <c r="P471" s="1254"/>
      <c r="Q471" s="1254"/>
      <c r="R471" s="1254"/>
      <c r="S471" s="1254"/>
      <c r="T471" s="1254"/>
      <c r="U471" s="1254"/>
      <c r="V471" s="1254"/>
      <c r="W471" s="1254"/>
      <c r="X471" s="1254"/>
      <c r="Y471" s="1254"/>
      <c r="Z471" s="1254"/>
    </row>
    <row r="472">
      <c r="A472" s="1254"/>
      <c r="B472" s="1254"/>
      <c r="C472" s="1320"/>
      <c r="D472" s="1254"/>
      <c r="E472" s="1254"/>
      <c r="F472" s="1263"/>
      <c r="G472" s="1317"/>
      <c r="H472" s="1254"/>
      <c r="I472" s="1318"/>
      <c r="J472" s="1254"/>
      <c r="K472" s="1254"/>
      <c r="L472" s="1254"/>
      <c r="M472" s="1254"/>
      <c r="N472" s="1318"/>
      <c r="O472" s="1386"/>
      <c r="P472" s="1254"/>
      <c r="Q472" s="1254"/>
      <c r="R472" s="1254"/>
      <c r="S472" s="1254"/>
      <c r="T472" s="1254"/>
      <c r="U472" s="1254"/>
      <c r="V472" s="1254"/>
      <c r="W472" s="1254"/>
      <c r="X472" s="1254"/>
      <c r="Y472" s="1254"/>
      <c r="Z472" s="1254"/>
    </row>
    <row r="473">
      <c r="A473" s="1254"/>
      <c r="B473" s="1254"/>
      <c r="C473" s="1320"/>
      <c r="D473" s="1254"/>
      <c r="E473" s="1254"/>
      <c r="F473" s="1263"/>
      <c r="G473" s="1317"/>
      <c r="H473" s="1254"/>
      <c r="I473" s="1318"/>
      <c r="J473" s="1254"/>
      <c r="K473" s="1254"/>
      <c r="L473" s="1254"/>
      <c r="M473" s="1254"/>
      <c r="N473" s="1318"/>
      <c r="O473" s="1386"/>
      <c r="P473" s="1254"/>
      <c r="Q473" s="1254"/>
      <c r="R473" s="1254"/>
      <c r="S473" s="1254"/>
      <c r="T473" s="1254"/>
      <c r="U473" s="1254"/>
      <c r="V473" s="1254"/>
      <c r="W473" s="1254"/>
      <c r="X473" s="1254"/>
      <c r="Y473" s="1254"/>
      <c r="Z473" s="1254"/>
    </row>
    <row r="474">
      <c r="A474" s="1254"/>
      <c r="B474" s="1254"/>
      <c r="C474" s="1320"/>
      <c r="D474" s="1254"/>
      <c r="E474" s="1254"/>
      <c r="F474" s="1263"/>
      <c r="G474" s="1317"/>
      <c r="H474" s="1254"/>
      <c r="I474" s="1318"/>
      <c r="J474" s="1254"/>
      <c r="K474" s="1254"/>
      <c r="L474" s="1254"/>
      <c r="M474" s="1254"/>
      <c r="N474" s="1318"/>
      <c r="O474" s="1386"/>
      <c r="P474" s="1254"/>
      <c r="Q474" s="1254"/>
      <c r="R474" s="1254"/>
      <c r="S474" s="1254"/>
      <c r="T474" s="1254"/>
      <c r="U474" s="1254"/>
      <c r="V474" s="1254"/>
      <c r="W474" s="1254"/>
      <c r="X474" s="1254"/>
      <c r="Y474" s="1254"/>
      <c r="Z474" s="1254"/>
    </row>
    <row r="475">
      <c r="A475" s="1254"/>
      <c r="B475" s="1254"/>
      <c r="C475" s="1320"/>
      <c r="D475" s="1254"/>
      <c r="E475" s="1254"/>
      <c r="F475" s="1263"/>
      <c r="G475" s="1317"/>
      <c r="H475" s="1254"/>
      <c r="I475" s="1318"/>
      <c r="J475" s="1254"/>
      <c r="K475" s="1254"/>
      <c r="L475" s="1254"/>
      <c r="M475" s="1254"/>
      <c r="N475" s="1318"/>
      <c r="O475" s="1386"/>
      <c r="P475" s="1254"/>
      <c r="Q475" s="1254"/>
      <c r="R475" s="1254"/>
      <c r="S475" s="1254"/>
      <c r="T475" s="1254"/>
      <c r="U475" s="1254"/>
      <c r="V475" s="1254"/>
      <c r="W475" s="1254"/>
      <c r="X475" s="1254"/>
      <c r="Y475" s="1254"/>
      <c r="Z475" s="1254"/>
    </row>
    <row r="476">
      <c r="A476" s="1254"/>
      <c r="B476" s="1254"/>
      <c r="C476" s="1320"/>
      <c r="D476" s="1254"/>
      <c r="E476" s="1254"/>
      <c r="F476" s="1263"/>
      <c r="G476" s="1317"/>
      <c r="H476" s="1254"/>
      <c r="I476" s="1318"/>
      <c r="J476" s="1254"/>
      <c r="K476" s="1254"/>
      <c r="L476" s="1254"/>
      <c r="M476" s="1254"/>
      <c r="N476" s="1318"/>
      <c r="O476" s="1386"/>
      <c r="P476" s="1254"/>
      <c r="Q476" s="1254"/>
      <c r="R476" s="1254"/>
      <c r="S476" s="1254"/>
      <c r="T476" s="1254"/>
      <c r="U476" s="1254"/>
      <c r="V476" s="1254"/>
      <c r="W476" s="1254"/>
      <c r="X476" s="1254"/>
      <c r="Y476" s="1254"/>
      <c r="Z476" s="1254"/>
    </row>
    <row r="477">
      <c r="A477" s="1254"/>
      <c r="B477" s="1254"/>
      <c r="C477" s="1320"/>
      <c r="D477" s="1254"/>
      <c r="E477" s="1254"/>
      <c r="F477" s="1263"/>
      <c r="G477" s="1317"/>
      <c r="H477" s="1254"/>
      <c r="I477" s="1318"/>
      <c r="J477" s="1254"/>
      <c r="K477" s="1254"/>
      <c r="L477" s="1254"/>
      <c r="M477" s="1254"/>
      <c r="N477" s="1318"/>
      <c r="O477" s="1386"/>
      <c r="P477" s="1254"/>
      <c r="Q477" s="1254"/>
      <c r="R477" s="1254"/>
      <c r="S477" s="1254"/>
      <c r="T477" s="1254"/>
      <c r="U477" s="1254"/>
      <c r="V477" s="1254"/>
      <c r="W477" s="1254"/>
      <c r="X477" s="1254"/>
      <c r="Y477" s="1254"/>
      <c r="Z477" s="1254"/>
    </row>
    <row r="478">
      <c r="A478" s="1254"/>
      <c r="B478" s="1254"/>
      <c r="C478" s="1320"/>
      <c r="D478" s="1254"/>
      <c r="E478" s="1254"/>
      <c r="F478" s="1263"/>
      <c r="G478" s="1317"/>
      <c r="H478" s="1254"/>
      <c r="I478" s="1318"/>
      <c r="J478" s="1254"/>
      <c r="K478" s="1254"/>
      <c r="L478" s="1254"/>
      <c r="M478" s="1254"/>
      <c r="N478" s="1318"/>
      <c r="O478" s="1386"/>
      <c r="P478" s="1254"/>
      <c r="Q478" s="1254"/>
      <c r="R478" s="1254"/>
      <c r="S478" s="1254"/>
      <c r="T478" s="1254"/>
      <c r="U478" s="1254"/>
      <c r="V478" s="1254"/>
      <c r="W478" s="1254"/>
      <c r="X478" s="1254"/>
      <c r="Y478" s="1254"/>
      <c r="Z478" s="1254"/>
    </row>
    <row r="479">
      <c r="A479" s="1254"/>
      <c r="B479" s="1254"/>
      <c r="C479" s="1320"/>
      <c r="D479" s="1254"/>
      <c r="E479" s="1254"/>
      <c r="F479" s="1263"/>
      <c r="G479" s="1317"/>
      <c r="H479" s="1254"/>
      <c r="I479" s="1318"/>
      <c r="J479" s="1254"/>
      <c r="K479" s="1254"/>
      <c r="L479" s="1254"/>
      <c r="M479" s="1254"/>
      <c r="N479" s="1318"/>
      <c r="O479" s="1386"/>
      <c r="P479" s="1254"/>
      <c r="Q479" s="1254"/>
      <c r="R479" s="1254"/>
      <c r="S479" s="1254"/>
      <c r="T479" s="1254"/>
      <c r="U479" s="1254"/>
      <c r="V479" s="1254"/>
      <c r="W479" s="1254"/>
      <c r="X479" s="1254"/>
      <c r="Y479" s="1254"/>
      <c r="Z479" s="1254"/>
    </row>
    <row r="480">
      <c r="A480" s="1254"/>
      <c r="B480" s="1254"/>
      <c r="C480" s="1320"/>
      <c r="D480" s="1254"/>
      <c r="E480" s="1254"/>
      <c r="F480" s="1263"/>
      <c r="G480" s="1317"/>
      <c r="H480" s="1254"/>
      <c r="I480" s="1318"/>
      <c r="J480" s="1254"/>
      <c r="K480" s="1254"/>
      <c r="L480" s="1254"/>
      <c r="M480" s="1254"/>
      <c r="N480" s="1318"/>
      <c r="O480" s="1386"/>
      <c r="P480" s="1254"/>
      <c r="Q480" s="1254"/>
      <c r="R480" s="1254"/>
      <c r="S480" s="1254"/>
      <c r="T480" s="1254"/>
      <c r="U480" s="1254"/>
      <c r="V480" s="1254"/>
      <c r="W480" s="1254"/>
      <c r="X480" s="1254"/>
      <c r="Y480" s="1254"/>
      <c r="Z480" s="1254"/>
    </row>
    <row r="481">
      <c r="A481" s="1254"/>
      <c r="B481" s="1254"/>
      <c r="C481" s="1320"/>
      <c r="D481" s="1254"/>
      <c r="E481" s="1254"/>
      <c r="F481" s="1263"/>
      <c r="G481" s="1317"/>
      <c r="H481" s="1254"/>
      <c r="I481" s="1318"/>
      <c r="J481" s="1254"/>
      <c r="K481" s="1254"/>
      <c r="L481" s="1254"/>
      <c r="M481" s="1254"/>
      <c r="N481" s="1318"/>
      <c r="O481" s="1386"/>
      <c r="P481" s="1254"/>
      <c r="Q481" s="1254"/>
      <c r="R481" s="1254"/>
      <c r="S481" s="1254"/>
      <c r="T481" s="1254"/>
      <c r="U481" s="1254"/>
      <c r="V481" s="1254"/>
      <c r="W481" s="1254"/>
      <c r="X481" s="1254"/>
      <c r="Y481" s="1254"/>
      <c r="Z481" s="1254"/>
    </row>
    <row r="482">
      <c r="A482" s="1254"/>
      <c r="B482" s="1254"/>
      <c r="C482" s="1320"/>
      <c r="D482" s="1254"/>
      <c r="E482" s="1254"/>
      <c r="F482" s="1263"/>
      <c r="G482" s="1317"/>
      <c r="H482" s="1254"/>
      <c r="I482" s="1318"/>
      <c r="J482" s="1254"/>
      <c r="K482" s="1254"/>
      <c r="L482" s="1254"/>
      <c r="M482" s="1254"/>
      <c r="N482" s="1318"/>
      <c r="O482" s="1386"/>
      <c r="P482" s="1254"/>
      <c r="Q482" s="1254"/>
      <c r="R482" s="1254"/>
      <c r="S482" s="1254"/>
      <c r="T482" s="1254"/>
      <c r="U482" s="1254"/>
      <c r="V482" s="1254"/>
      <c r="W482" s="1254"/>
      <c r="X482" s="1254"/>
      <c r="Y482" s="1254"/>
      <c r="Z482" s="1254"/>
    </row>
    <row r="483">
      <c r="A483" s="1254"/>
      <c r="B483" s="1254"/>
      <c r="C483" s="1320"/>
      <c r="D483" s="1254"/>
      <c r="E483" s="1254"/>
      <c r="F483" s="1263"/>
      <c r="G483" s="1317"/>
      <c r="H483" s="1254"/>
      <c r="I483" s="1318"/>
      <c r="J483" s="1254"/>
      <c r="K483" s="1254"/>
      <c r="L483" s="1254"/>
      <c r="M483" s="1254"/>
      <c r="N483" s="1318"/>
      <c r="O483" s="1386"/>
      <c r="P483" s="1254"/>
      <c r="Q483" s="1254"/>
      <c r="R483" s="1254"/>
      <c r="S483" s="1254"/>
      <c r="T483" s="1254"/>
      <c r="U483" s="1254"/>
      <c r="V483" s="1254"/>
      <c r="W483" s="1254"/>
      <c r="X483" s="1254"/>
      <c r="Y483" s="1254"/>
      <c r="Z483" s="1254"/>
    </row>
    <row r="484">
      <c r="A484" s="1254"/>
      <c r="B484" s="1254"/>
      <c r="C484" s="1320"/>
      <c r="D484" s="1254"/>
      <c r="E484" s="1254"/>
      <c r="F484" s="1263"/>
      <c r="G484" s="1317"/>
      <c r="H484" s="1254"/>
      <c r="I484" s="1318"/>
      <c r="J484" s="1254"/>
      <c r="K484" s="1254"/>
      <c r="L484" s="1254"/>
      <c r="M484" s="1254"/>
      <c r="N484" s="1318"/>
      <c r="O484" s="1386"/>
      <c r="P484" s="1254"/>
      <c r="Q484" s="1254"/>
      <c r="R484" s="1254"/>
      <c r="S484" s="1254"/>
      <c r="T484" s="1254"/>
      <c r="U484" s="1254"/>
      <c r="V484" s="1254"/>
      <c r="W484" s="1254"/>
      <c r="X484" s="1254"/>
      <c r="Y484" s="1254"/>
      <c r="Z484" s="1254"/>
    </row>
    <row r="485">
      <c r="A485" s="1254"/>
      <c r="B485" s="1254"/>
      <c r="C485" s="1320"/>
      <c r="D485" s="1254"/>
      <c r="E485" s="1254"/>
      <c r="F485" s="1263"/>
      <c r="G485" s="1317"/>
      <c r="H485" s="1254"/>
      <c r="I485" s="1318"/>
      <c r="J485" s="1254"/>
      <c r="K485" s="1254"/>
      <c r="L485" s="1254"/>
      <c r="M485" s="1254"/>
      <c r="N485" s="1318"/>
      <c r="O485" s="1386"/>
      <c r="P485" s="1254"/>
      <c r="Q485" s="1254"/>
      <c r="R485" s="1254"/>
      <c r="S485" s="1254"/>
      <c r="T485" s="1254"/>
      <c r="U485" s="1254"/>
      <c r="V485" s="1254"/>
      <c r="W485" s="1254"/>
      <c r="X485" s="1254"/>
      <c r="Y485" s="1254"/>
      <c r="Z485" s="1254"/>
    </row>
    <row r="486">
      <c r="A486" s="1254"/>
      <c r="B486" s="1254"/>
      <c r="C486" s="1320"/>
      <c r="D486" s="1254"/>
      <c r="E486" s="1254"/>
      <c r="F486" s="1263"/>
      <c r="G486" s="1317"/>
      <c r="H486" s="1254"/>
      <c r="I486" s="1318"/>
      <c r="J486" s="1254"/>
      <c r="K486" s="1254"/>
      <c r="L486" s="1254"/>
      <c r="M486" s="1254"/>
      <c r="N486" s="1318"/>
      <c r="O486" s="1386"/>
      <c r="P486" s="1254"/>
      <c r="Q486" s="1254"/>
      <c r="R486" s="1254"/>
      <c r="S486" s="1254"/>
      <c r="T486" s="1254"/>
      <c r="U486" s="1254"/>
      <c r="V486" s="1254"/>
      <c r="W486" s="1254"/>
      <c r="X486" s="1254"/>
      <c r="Y486" s="1254"/>
      <c r="Z486" s="1254"/>
    </row>
    <row r="487">
      <c r="A487" s="1254"/>
      <c r="B487" s="1254"/>
      <c r="C487" s="1320"/>
      <c r="D487" s="1254"/>
      <c r="E487" s="1254"/>
      <c r="F487" s="1263"/>
      <c r="G487" s="1317"/>
      <c r="H487" s="1254"/>
      <c r="I487" s="1318"/>
      <c r="J487" s="1254"/>
      <c r="K487" s="1254"/>
      <c r="L487" s="1254"/>
      <c r="M487" s="1254"/>
      <c r="N487" s="1318"/>
      <c r="O487" s="1386"/>
      <c r="P487" s="1254"/>
      <c r="Q487" s="1254"/>
      <c r="R487" s="1254"/>
      <c r="S487" s="1254"/>
      <c r="T487" s="1254"/>
      <c r="U487" s="1254"/>
      <c r="V487" s="1254"/>
      <c r="W487" s="1254"/>
      <c r="X487" s="1254"/>
      <c r="Y487" s="1254"/>
      <c r="Z487" s="1254"/>
    </row>
    <row r="488">
      <c r="A488" s="1254"/>
      <c r="B488" s="1254"/>
      <c r="C488" s="1320"/>
      <c r="D488" s="1254"/>
      <c r="E488" s="1254"/>
      <c r="F488" s="1263"/>
      <c r="G488" s="1317"/>
      <c r="H488" s="1254"/>
      <c r="I488" s="1318"/>
      <c r="J488" s="1254"/>
      <c r="K488" s="1254"/>
      <c r="L488" s="1254"/>
      <c r="M488" s="1254"/>
      <c r="N488" s="1318"/>
      <c r="O488" s="1386"/>
      <c r="P488" s="1254"/>
      <c r="Q488" s="1254"/>
      <c r="R488" s="1254"/>
      <c r="S488" s="1254"/>
      <c r="T488" s="1254"/>
      <c r="U488" s="1254"/>
      <c r="V488" s="1254"/>
      <c r="W488" s="1254"/>
      <c r="X488" s="1254"/>
      <c r="Y488" s="1254"/>
      <c r="Z488" s="1254"/>
    </row>
    <row r="489">
      <c r="A489" s="1254"/>
      <c r="B489" s="1254"/>
      <c r="C489" s="1320"/>
      <c r="D489" s="1254"/>
      <c r="E489" s="1254"/>
      <c r="F489" s="1263"/>
      <c r="G489" s="1317"/>
      <c r="H489" s="1254"/>
      <c r="I489" s="1318"/>
      <c r="J489" s="1254"/>
      <c r="K489" s="1254"/>
      <c r="L489" s="1254"/>
      <c r="M489" s="1254"/>
      <c r="N489" s="1318"/>
      <c r="O489" s="1386"/>
      <c r="P489" s="1254"/>
      <c r="Q489" s="1254"/>
      <c r="R489" s="1254"/>
      <c r="S489" s="1254"/>
      <c r="T489" s="1254"/>
      <c r="U489" s="1254"/>
      <c r="V489" s="1254"/>
      <c r="W489" s="1254"/>
      <c r="X489" s="1254"/>
      <c r="Y489" s="1254"/>
      <c r="Z489" s="1254"/>
    </row>
    <row r="490">
      <c r="A490" s="1254"/>
      <c r="B490" s="1254"/>
      <c r="C490" s="1320"/>
      <c r="D490" s="1254"/>
      <c r="E490" s="1254"/>
      <c r="F490" s="1263"/>
      <c r="G490" s="1317"/>
      <c r="H490" s="1254"/>
      <c r="I490" s="1318"/>
      <c r="J490" s="1254"/>
      <c r="K490" s="1254"/>
      <c r="L490" s="1254"/>
      <c r="M490" s="1254"/>
      <c r="N490" s="1318"/>
      <c r="O490" s="1386"/>
      <c r="P490" s="1254"/>
      <c r="Q490" s="1254"/>
      <c r="R490" s="1254"/>
      <c r="S490" s="1254"/>
      <c r="T490" s="1254"/>
      <c r="U490" s="1254"/>
      <c r="V490" s="1254"/>
      <c r="W490" s="1254"/>
      <c r="X490" s="1254"/>
      <c r="Y490" s="1254"/>
      <c r="Z490" s="1254"/>
    </row>
    <row r="491">
      <c r="A491" s="1254"/>
      <c r="B491" s="1254"/>
      <c r="C491" s="1320"/>
      <c r="D491" s="1254"/>
      <c r="E491" s="1254"/>
      <c r="F491" s="1263"/>
      <c r="G491" s="1317"/>
      <c r="H491" s="1254"/>
      <c r="I491" s="1318"/>
      <c r="J491" s="1254"/>
      <c r="K491" s="1254"/>
      <c r="L491" s="1254"/>
      <c r="M491" s="1254"/>
      <c r="N491" s="1318"/>
      <c r="O491" s="1386"/>
      <c r="P491" s="1254"/>
      <c r="Q491" s="1254"/>
      <c r="R491" s="1254"/>
      <c r="S491" s="1254"/>
      <c r="T491" s="1254"/>
      <c r="U491" s="1254"/>
      <c r="V491" s="1254"/>
      <c r="W491" s="1254"/>
      <c r="X491" s="1254"/>
      <c r="Y491" s="1254"/>
      <c r="Z491" s="1254"/>
    </row>
    <row r="492">
      <c r="A492" s="1254"/>
      <c r="B492" s="1254"/>
      <c r="C492" s="1320"/>
      <c r="D492" s="1254"/>
      <c r="E492" s="1254"/>
      <c r="F492" s="1263"/>
      <c r="G492" s="1317"/>
      <c r="H492" s="1254"/>
      <c r="I492" s="1318"/>
      <c r="J492" s="1254"/>
      <c r="K492" s="1254"/>
      <c r="L492" s="1254"/>
      <c r="M492" s="1254"/>
      <c r="N492" s="1318"/>
      <c r="O492" s="1386"/>
      <c r="P492" s="1254"/>
      <c r="Q492" s="1254"/>
      <c r="R492" s="1254"/>
      <c r="S492" s="1254"/>
      <c r="T492" s="1254"/>
      <c r="U492" s="1254"/>
      <c r="V492" s="1254"/>
      <c r="W492" s="1254"/>
      <c r="X492" s="1254"/>
      <c r="Y492" s="1254"/>
      <c r="Z492" s="1254"/>
    </row>
    <row r="493">
      <c r="A493" s="1254"/>
      <c r="B493" s="1254"/>
      <c r="C493" s="1320"/>
      <c r="D493" s="1254"/>
      <c r="E493" s="1254"/>
      <c r="F493" s="1263"/>
      <c r="G493" s="1317"/>
      <c r="H493" s="1254"/>
      <c r="I493" s="1318"/>
      <c r="J493" s="1254"/>
      <c r="K493" s="1254"/>
      <c r="L493" s="1254"/>
      <c r="M493" s="1254"/>
      <c r="N493" s="1318"/>
      <c r="O493" s="1386"/>
      <c r="P493" s="1254"/>
      <c r="Q493" s="1254"/>
      <c r="R493" s="1254"/>
      <c r="S493" s="1254"/>
      <c r="T493" s="1254"/>
      <c r="U493" s="1254"/>
      <c r="V493" s="1254"/>
      <c r="W493" s="1254"/>
      <c r="X493" s="1254"/>
      <c r="Y493" s="1254"/>
      <c r="Z493" s="1254"/>
    </row>
    <row r="494">
      <c r="A494" s="1254"/>
      <c r="B494" s="1254"/>
      <c r="C494" s="1320"/>
      <c r="D494" s="1254"/>
      <c r="E494" s="1254"/>
      <c r="F494" s="1263"/>
      <c r="G494" s="1317"/>
      <c r="H494" s="1254"/>
      <c r="I494" s="1318"/>
      <c r="J494" s="1254"/>
      <c r="K494" s="1254"/>
      <c r="L494" s="1254"/>
      <c r="M494" s="1254"/>
      <c r="N494" s="1318"/>
      <c r="O494" s="1386"/>
      <c r="P494" s="1254"/>
      <c r="Q494" s="1254"/>
      <c r="R494" s="1254"/>
      <c r="S494" s="1254"/>
      <c r="T494" s="1254"/>
      <c r="U494" s="1254"/>
      <c r="V494" s="1254"/>
      <c r="W494" s="1254"/>
      <c r="X494" s="1254"/>
      <c r="Y494" s="1254"/>
      <c r="Z494" s="1254"/>
    </row>
    <row r="495">
      <c r="A495" s="1254"/>
      <c r="B495" s="1254"/>
      <c r="C495" s="1320"/>
      <c r="D495" s="1254"/>
      <c r="E495" s="1254"/>
      <c r="F495" s="1263"/>
      <c r="G495" s="1317"/>
      <c r="H495" s="1254"/>
      <c r="I495" s="1318"/>
      <c r="J495" s="1254"/>
      <c r="K495" s="1254"/>
      <c r="L495" s="1254"/>
      <c r="M495" s="1254"/>
      <c r="N495" s="1318"/>
      <c r="O495" s="1386"/>
      <c r="P495" s="1254"/>
      <c r="Q495" s="1254"/>
      <c r="R495" s="1254"/>
      <c r="S495" s="1254"/>
      <c r="T495" s="1254"/>
      <c r="U495" s="1254"/>
      <c r="V495" s="1254"/>
      <c r="W495" s="1254"/>
      <c r="X495" s="1254"/>
      <c r="Y495" s="1254"/>
      <c r="Z495" s="1254"/>
    </row>
    <row r="496">
      <c r="A496" s="1254"/>
      <c r="B496" s="1254"/>
      <c r="C496" s="1320"/>
      <c r="D496" s="1254"/>
      <c r="E496" s="1254"/>
      <c r="F496" s="1263"/>
      <c r="G496" s="1317"/>
      <c r="H496" s="1254"/>
      <c r="I496" s="1318"/>
      <c r="J496" s="1254"/>
      <c r="K496" s="1254"/>
      <c r="L496" s="1254"/>
      <c r="M496" s="1254"/>
      <c r="N496" s="1318"/>
      <c r="O496" s="1386"/>
      <c r="P496" s="1254"/>
      <c r="Q496" s="1254"/>
      <c r="R496" s="1254"/>
      <c r="S496" s="1254"/>
      <c r="T496" s="1254"/>
      <c r="U496" s="1254"/>
      <c r="V496" s="1254"/>
      <c r="W496" s="1254"/>
      <c r="X496" s="1254"/>
      <c r="Y496" s="1254"/>
      <c r="Z496" s="1254"/>
    </row>
    <row r="497">
      <c r="A497" s="1254"/>
      <c r="B497" s="1254"/>
      <c r="C497" s="1320"/>
      <c r="D497" s="1254"/>
      <c r="E497" s="1254"/>
      <c r="F497" s="1263"/>
      <c r="G497" s="1317"/>
      <c r="H497" s="1254"/>
      <c r="I497" s="1318"/>
      <c r="J497" s="1254"/>
      <c r="K497" s="1254"/>
      <c r="L497" s="1254"/>
      <c r="M497" s="1254"/>
      <c r="N497" s="1318"/>
      <c r="O497" s="1386"/>
      <c r="P497" s="1254"/>
      <c r="Q497" s="1254"/>
      <c r="R497" s="1254"/>
      <c r="S497" s="1254"/>
      <c r="T497" s="1254"/>
      <c r="U497" s="1254"/>
      <c r="V497" s="1254"/>
      <c r="W497" s="1254"/>
      <c r="X497" s="1254"/>
      <c r="Y497" s="1254"/>
      <c r="Z497" s="1254"/>
    </row>
    <row r="498">
      <c r="A498" s="1254"/>
      <c r="B498" s="1254"/>
      <c r="C498" s="1320"/>
      <c r="D498" s="1254"/>
      <c r="E498" s="1254"/>
      <c r="F498" s="1263"/>
      <c r="G498" s="1317"/>
      <c r="H498" s="1254"/>
      <c r="I498" s="1318"/>
      <c r="J498" s="1254"/>
      <c r="K498" s="1254"/>
      <c r="L498" s="1254"/>
      <c r="M498" s="1254"/>
      <c r="N498" s="1318"/>
      <c r="O498" s="1386"/>
      <c r="P498" s="1254"/>
      <c r="Q498" s="1254"/>
      <c r="R498" s="1254"/>
      <c r="S498" s="1254"/>
      <c r="T498" s="1254"/>
      <c r="U498" s="1254"/>
      <c r="V498" s="1254"/>
      <c r="W498" s="1254"/>
      <c r="X498" s="1254"/>
      <c r="Y498" s="1254"/>
      <c r="Z498" s="1254"/>
    </row>
    <row r="499">
      <c r="A499" s="1254"/>
      <c r="B499" s="1254"/>
      <c r="C499" s="1320"/>
      <c r="D499" s="1254"/>
      <c r="E499" s="1254"/>
      <c r="F499" s="1263"/>
      <c r="G499" s="1317"/>
      <c r="H499" s="1254"/>
      <c r="I499" s="1318"/>
      <c r="J499" s="1254"/>
      <c r="K499" s="1254"/>
      <c r="L499" s="1254"/>
      <c r="M499" s="1254"/>
      <c r="N499" s="1318"/>
      <c r="O499" s="1386"/>
      <c r="P499" s="1254"/>
      <c r="Q499" s="1254"/>
      <c r="R499" s="1254"/>
      <c r="S499" s="1254"/>
      <c r="T499" s="1254"/>
      <c r="U499" s="1254"/>
      <c r="V499" s="1254"/>
      <c r="W499" s="1254"/>
      <c r="X499" s="1254"/>
      <c r="Y499" s="1254"/>
      <c r="Z499" s="1254"/>
    </row>
    <row r="500">
      <c r="A500" s="1254"/>
      <c r="B500" s="1254"/>
      <c r="C500" s="1320"/>
      <c r="D500" s="1254"/>
      <c r="E500" s="1254"/>
      <c r="F500" s="1263"/>
      <c r="G500" s="1317"/>
      <c r="H500" s="1254"/>
      <c r="I500" s="1318"/>
      <c r="J500" s="1254"/>
      <c r="K500" s="1254"/>
      <c r="L500" s="1254"/>
      <c r="M500" s="1254"/>
      <c r="N500" s="1318"/>
      <c r="O500" s="1386"/>
      <c r="P500" s="1254"/>
      <c r="Q500" s="1254"/>
      <c r="R500" s="1254"/>
      <c r="S500" s="1254"/>
      <c r="T500" s="1254"/>
      <c r="U500" s="1254"/>
      <c r="V500" s="1254"/>
      <c r="W500" s="1254"/>
      <c r="X500" s="1254"/>
      <c r="Y500" s="1254"/>
      <c r="Z500" s="1254"/>
    </row>
    <row r="501">
      <c r="A501" s="1254"/>
      <c r="B501" s="1254"/>
      <c r="C501" s="1320"/>
      <c r="D501" s="1254"/>
      <c r="E501" s="1254"/>
      <c r="F501" s="1263"/>
      <c r="G501" s="1317"/>
      <c r="H501" s="1254"/>
      <c r="I501" s="1318"/>
      <c r="J501" s="1254"/>
      <c r="K501" s="1254"/>
      <c r="L501" s="1254"/>
      <c r="M501" s="1254"/>
      <c r="N501" s="1318"/>
      <c r="O501" s="1386"/>
      <c r="P501" s="1254"/>
      <c r="Q501" s="1254"/>
      <c r="R501" s="1254"/>
      <c r="S501" s="1254"/>
      <c r="T501" s="1254"/>
      <c r="U501" s="1254"/>
      <c r="V501" s="1254"/>
      <c r="W501" s="1254"/>
      <c r="X501" s="1254"/>
      <c r="Y501" s="1254"/>
      <c r="Z501" s="1254"/>
    </row>
    <row r="502">
      <c r="A502" s="1254"/>
      <c r="B502" s="1254"/>
      <c r="C502" s="1320"/>
      <c r="D502" s="1254"/>
      <c r="E502" s="1254"/>
      <c r="F502" s="1263"/>
      <c r="G502" s="1317"/>
      <c r="H502" s="1254"/>
      <c r="I502" s="1318"/>
      <c r="J502" s="1254"/>
      <c r="K502" s="1254"/>
      <c r="L502" s="1254"/>
      <c r="M502" s="1254"/>
      <c r="N502" s="1318"/>
      <c r="O502" s="1386"/>
      <c r="P502" s="1254"/>
      <c r="Q502" s="1254"/>
      <c r="R502" s="1254"/>
      <c r="S502" s="1254"/>
      <c r="T502" s="1254"/>
      <c r="U502" s="1254"/>
      <c r="V502" s="1254"/>
      <c r="W502" s="1254"/>
      <c r="X502" s="1254"/>
      <c r="Y502" s="1254"/>
      <c r="Z502" s="1254"/>
    </row>
    <row r="503">
      <c r="A503" s="1254"/>
      <c r="B503" s="1254"/>
      <c r="C503" s="1320"/>
      <c r="D503" s="1254"/>
      <c r="E503" s="1254"/>
      <c r="F503" s="1263"/>
      <c r="G503" s="1317"/>
      <c r="H503" s="1254"/>
      <c r="I503" s="1318"/>
      <c r="J503" s="1254"/>
      <c r="K503" s="1254"/>
      <c r="L503" s="1254"/>
      <c r="M503" s="1254"/>
      <c r="N503" s="1318"/>
      <c r="O503" s="1386"/>
      <c r="P503" s="1254"/>
      <c r="Q503" s="1254"/>
      <c r="R503" s="1254"/>
      <c r="S503" s="1254"/>
      <c r="T503" s="1254"/>
      <c r="U503" s="1254"/>
      <c r="V503" s="1254"/>
      <c r="W503" s="1254"/>
      <c r="X503" s="1254"/>
      <c r="Y503" s="1254"/>
      <c r="Z503" s="1254"/>
    </row>
    <row r="504">
      <c r="A504" s="1254"/>
      <c r="B504" s="1254"/>
      <c r="C504" s="1320"/>
      <c r="D504" s="1254"/>
      <c r="E504" s="1254"/>
      <c r="F504" s="1263"/>
      <c r="G504" s="1317"/>
      <c r="H504" s="1254"/>
      <c r="I504" s="1318"/>
      <c r="J504" s="1254"/>
      <c r="K504" s="1254"/>
      <c r="L504" s="1254"/>
      <c r="M504" s="1254"/>
      <c r="N504" s="1318"/>
      <c r="O504" s="1386"/>
      <c r="P504" s="1254"/>
      <c r="Q504" s="1254"/>
      <c r="R504" s="1254"/>
      <c r="S504" s="1254"/>
      <c r="T504" s="1254"/>
      <c r="U504" s="1254"/>
      <c r="V504" s="1254"/>
      <c r="W504" s="1254"/>
      <c r="X504" s="1254"/>
      <c r="Y504" s="1254"/>
      <c r="Z504" s="1254"/>
    </row>
    <row r="505">
      <c r="A505" s="1254"/>
      <c r="B505" s="1254"/>
      <c r="C505" s="1320"/>
      <c r="D505" s="1254"/>
      <c r="E505" s="1254"/>
      <c r="F505" s="1263"/>
      <c r="G505" s="1317"/>
      <c r="H505" s="1254"/>
      <c r="I505" s="1318"/>
      <c r="J505" s="1254"/>
      <c r="K505" s="1254"/>
      <c r="L505" s="1254"/>
      <c r="M505" s="1254"/>
      <c r="N505" s="1318"/>
      <c r="O505" s="1386"/>
      <c r="P505" s="1254"/>
      <c r="Q505" s="1254"/>
      <c r="R505" s="1254"/>
      <c r="S505" s="1254"/>
      <c r="T505" s="1254"/>
      <c r="U505" s="1254"/>
      <c r="V505" s="1254"/>
      <c r="W505" s="1254"/>
      <c r="X505" s="1254"/>
      <c r="Y505" s="1254"/>
      <c r="Z505" s="1254"/>
    </row>
    <row r="506">
      <c r="A506" s="1254"/>
      <c r="B506" s="1254"/>
      <c r="C506" s="1320"/>
      <c r="D506" s="1254"/>
      <c r="E506" s="1254"/>
      <c r="F506" s="1263"/>
      <c r="G506" s="1317"/>
      <c r="H506" s="1254"/>
      <c r="I506" s="1318"/>
      <c r="J506" s="1254"/>
      <c r="K506" s="1254"/>
      <c r="L506" s="1254"/>
      <c r="M506" s="1254"/>
      <c r="N506" s="1318"/>
      <c r="O506" s="1386"/>
      <c r="P506" s="1254"/>
      <c r="Q506" s="1254"/>
      <c r="R506" s="1254"/>
      <c r="S506" s="1254"/>
      <c r="T506" s="1254"/>
      <c r="U506" s="1254"/>
      <c r="V506" s="1254"/>
      <c r="W506" s="1254"/>
      <c r="X506" s="1254"/>
      <c r="Y506" s="1254"/>
      <c r="Z506" s="1254"/>
    </row>
    <row r="507">
      <c r="A507" s="1254"/>
      <c r="B507" s="1254"/>
      <c r="C507" s="1320"/>
      <c r="D507" s="1254"/>
      <c r="E507" s="1254"/>
      <c r="F507" s="1263"/>
      <c r="G507" s="1317"/>
      <c r="H507" s="1254"/>
      <c r="I507" s="1318"/>
      <c r="J507" s="1254"/>
      <c r="K507" s="1254"/>
      <c r="L507" s="1254"/>
      <c r="M507" s="1254"/>
      <c r="N507" s="1318"/>
      <c r="O507" s="1386"/>
      <c r="P507" s="1254"/>
      <c r="Q507" s="1254"/>
      <c r="R507" s="1254"/>
      <c r="S507" s="1254"/>
      <c r="T507" s="1254"/>
      <c r="U507" s="1254"/>
      <c r="V507" s="1254"/>
      <c r="W507" s="1254"/>
      <c r="X507" s="1254"/>
      <c r="Y507" s="1254"/>
      <c r="Z507" s="1254"/>
    </row>
    <row r="508">
      <c r="A508" s="1254"/>
      <c r="B508" s="1254"/>
      <c r="C508" s="1320"/>
      <c r="D508" s="1254"/>
      <c r="E508" s="1254"/>
      <c r="F508" s="1263"/>
      <c r="G508" s="1317"/>
      <c r="H508" s="1254"/>
      <c r="I508" s="1318"/>
      <c r="J508" s="1254"/>
      <c r="K508" s="1254"/>
      <c r="L508" s="1254"/>
      <c r="M508" s="1254"/>
      <c r="N508" s="1318"/>
      <c r="O508" s="1386"/>
      <c r="P508" s="1254"/>
      <c r="Q508" s="1254"/>
      <c r="R508" s="1254"/>
      <c r="S508" s="1254"/>
      <c r="T508" s="1254"/>
      <c r="U508" s="1254"/>
      <c r="V508" s="1254"/>
      <c r="W508" s="1254"/>
      <c r="X508" s="1254"/>
      <c r="Y508" s="1254"/>
      <c r="Z508" s="1254"/>
    </row>
    <row r="509">
      <c r="A509" s="1254"/>
      <c r="B509" s="1254"/>
      <c r="C509" s="1320"/>
      <c r="D509" s="1254"/>
      <c r="E509" s="1254"/>
      <c r="F509" s="1263"/>
      <c r="G509" s="1317"/>
      <c r="H509" s="1254"/>
      <c r="I509" s="1318"/>
      <c r="J509" s="1254"/>
      <c r="K509" s="1254"/>
      <c r="L509" s="1254"/>
      <c r="M509" s="1254"/>
      <c r="N509" s="1318"/>
      <c r="O509" s="1386"/>
      <c r="P509" s="1254"/>
      <c r="Q509" s="1254"/>
      <c r="R509" s="1254"/>
      <c r="S509" s="1254"/>
      <c r="T509" s="1254"/>
      <c r="U509" s="1254"/>
      <c r="V509" s="1254"/>
      <c r="W509" s="1254"/>
      <c r="X509" s="1254"/>
      <c r="Y509" s="1254"/>
      <c r="Z509" s="1254"/>
    </row>
    <row r="510">
      <c r="A510" s="1254"/>
      <c r="B510" s="1254"/>
      <c r="C510" s="1320"/>
      <c r="D510" s="1254"/>
      <c r="E510" s="1254"/>
      <c r="F510" s="1263"/>
      <c r="G510" s="1317"/>
      <c r="H510" s="1254"/>
      <c r="I510" s="1318"/>
      <c r="J510" s="1254"/>
      <c r="K510" s="1254"/>
      <c r="L510" s="1254"/>
      <c r="M510" s="1254"/>
      <c r="N510" s="1318"/>
      <c r="O510" s="1386"/>
      <c r="P510" s="1254"/>
      <c r="Q510" s="1254"/>
      <c r="R510" s="1254"/>
      <c r="S510" s="1254"/>
      <c r="T510" s="1254"/>
      <c r="U510" s="1254"/>
      <c r="V510" s="1254"/>
      <c r="W510" s="1254"/>
      <c r="X510" s="1254"/>
      <c r="Y510" s="1254"/>
      <c r="Z510" s="1254"/>
    </row>
    <row r="511">
      <c r="A511" s="1254"/>
      <c r="B511" s="1254"/>
      <c r="C511" s="1320"/>
      <c r="D511" s="1254"/>
      <c r="E511" s="1254"/>
      <c r="F511" s="1263"/>
      <c r="G511" s="1317"/>
      <c r="H511" s="1254"/>
      <c r="I511" s="1318"/>
      <c r="J511" s="1254"/>
      <c r="K511" s="1254"/>
      <c r="L511" s="1254"/>
      <c r="M511" s="1254"/>
      <c r="N511" s="1318"/>
      <c r="O511" s="1386"/>
      <c r="P511" s="1254"/>
      <c r="Q511" s="1254"/>
      <c r="R511" s="1254"/>
      <c r="S511" s="1254"/>
      <c r="T511" s="1254"/>
      <c r="U511" s="1254"/>
      <c r="V511" s="1254"/>
      <c r="W511" s="1254"/>
      <c r="X511" s="1254"/>
      <c r="Y511" s="1254"/>
      <c r="Z511" s="1254"/>
    </row>
    <row r="512">
      <c r="A512" s="1254"/>
      <c r="B512" s="1254"/>
      <c r="C512" s="1320"/>
      <c r="D512" s="1254"/>
      <c r="E512" s="1254"/>
      <c r="F512" s="1263"/>
      <c r="G512" s="1317"/>
      <c r="H512" s="1254"/>
      <c r="I512" s="1318"/>
      <c r="J512" s="1254"/>
      <c r="K512" s="1254"/>
      <c r="L512" s="1254"/>
      <c r="M512" s="1254"/>
      <c r="N512" s="1318"/>
      <c r="O512" s="1386"/>
      <c r="P512" s="1254"/>
      <c r="Q512" s="1254"/>
      <c r="R512" s="1254"/>
      <c r="S512" s="1254"/>
      <c r="T512" s="1254"/>
      <c r="U512" s="1254"/>
      <c r="V512" s="1254"/>
      <c r="W512" s="1254"/>
      <c r="X512" s="1254"/>
      <c r="Y512" s="1254"/>
      <c r="Z512" s="1254"/>
    </row>
    <row r="513">
      <c r="A513" s="1254"/>
      <c r="B513" s="1254"/>
      <c r="C513" s="1320"/>
      <c r="D513" s="1254"/>
      <c r="E513" s="1254"/>
      <c r="F513" s="1263"/>
      <c r="G513" s="1317"/>
      <c r="H513" s="1254"/>
      <c r="I513" s="1318"/>
      <c r="J513" s="1254"/>
      <c r="K513" s="1254"/>
      <c r="L513" s="1254"/>
      <c r="M513" s="1254"/>
      <c r="N513" s="1318"/>
      <c r="O513" s="1386"/>
      <c r="P513" s="1254"/>
      <c r="Q513" s="1254"/>
      <c r="R513" s="1254"/>
      <c r="S513" s="1254"/>
      <c r="T513" s="1254"/>
      <c r="U513" s="1254"/>
      <c r="V513" s="1254"/>
      <c r="W513" s="1254"/>
      <c r="X513" s="1254"/>
      <c r="Y513" s="1254"/>
      <c r="Z513" s="1254"/>
    </row>
    <row r="514">
      <c r="A514" s="1254"/>
      <c r="B514" s="1254"/>
      <c r="C514" s="1320"/>
      <c r="D514" s="1254"/>
      <c r="E514" s="1254"/>
      <c r="F514" s="1263"/>
      <c r="G514" s="1317"/>
      <c r="H514" s="1254"/>
      <c r="I514" s="1318"/>
      <c r="J514" s="1254"/>
      <c r="K514" s="1254"/>
      <c r="L514" s="1254"/>
      <c r="M514" s="1254"/>
      <c r="N514" s="1318"/>
      <c r="O514" s="1386"/>
      <c r="P514" s="1254"/>
      <c r="Q514" s="1254"/>
      <c r="R514" s="1254"/>
      <c r="S514" s="1254"/>
      <c r="T514" s="1254"/>
      <c r="U514" s="1254"/>
      <c r="V514" s="1254"/>
      <c r="W514" s="1254"/>
      <c r="X514" s="1254"/>
      <c r="Y514" s="1254"/>
      <c r="Z514" s="1254"/>
    </row>
    <row r="515">
      <c r="A515" s="1254"/>
      <c r="B515" s="1254"/>
      <c r="C515" s="1320"/>
      <c r="D515" s="1254"/>
      <c r="E515" s="1254"/>
      <c r="F515" s="1263"/>
      <c r="G515" s="1317"/>
      <c r="H515" s="1254"/>
      <c r="I515" s="1318"/>
      <c r="J515" s="1254"/>
      <c r="K515" s="1254"/>
      <c r="L515" s="1254"/>
      <c r="M515" s="1254"/>
      <c r="N515" s="1318"/>
      <c r="O515" s="1386"/>
      <c r="P515" s="1254"/>
      <c r="Q515" s="1254"/>
      <c r="R515" s="1254"/>
      <c r="S515" s="1254"/>
      <c r="T515" s="1254"/>
      <c r="U515" s="1254"/>
      <c r="V515" s="1254"/>
      <c r="W515" s="1254"/>
      <c r="X515" s="1254"/>
      <c r="Y515" s="1254"/>
      <c r="Z515" s="1254"/>
    </row>
    <row r="516">
      <c r="A516" s="1254"/>
      <c r="B516" s="1254"/>
      <c r="C516" s="1320"/>
      <c r="D516" s="1254"/>
      <c r="E516" s="1254"/>
      <c r="F516" s="1263"/>
      <c r="G516" s="1317"/>
      <c r="H516" s="1254"/>
      <c r="I516" s="1318"/>
      <c r="J516" s="1254"/>
      <c r="K516" s="1254"/>
      <c r="L516" s="1254"/>
      <c r="M516" s="1254"/>
      <c r="N516" s="1318"/>
      <c r="O516" s="1386"/>
      <c r="P516" s="1254"/>
      <c r="Q516" s="1254"/>
      <c r="R516" s="1254"/>
      <c r="S516" s="1254"/>
      <c r="T516" s="1254"/>
      <c r="U516" s="1254"/>
      <c r="V516" s="1254"/>
      <c r="W516" s="1254"/>
      <c r="X516" s="1254"/>
      <c r="Y516" s="1254"/>
      <c r="Z516" s="1254"/>
    </row>
    <row r="517">
      <c r="A517" s="1254"/>
      <c r="B517" s="1254"/>
      <c r="C517" s="1320"/>
      <c r="D517" s="1254"/>
      <c r="E517" s="1254"/>
      <c r="F517" s="1263"/>
      <c r="G517" s="1317"/>
      <c r="H517" s="1254"/>
      <c r="I517" s="1318"/>
      <c r="J517" s="1254"/>
      <c r="K517" s="1254"/>
      <c r="L517" s="1254"/>
      <c r="M517" s="1254"/>
      <c r="N517" s="1318"/>
      <c r="O517" s="1386"/>
      <c r="P517" s="1254"/>
      <c r="Q517" s="1254"/>
      <c r="R517" s="1254"/>
      <c r="S517" s="1254"/>
      <c r="T517" s="1254"/>
      <c r="U517" s="1254"/>
      <c r="V517" s="1254"/>
      <c r="W517" s="1254"/>
      <c r="X517" s="1254"/>
      <c r="Y517" s="1254"/>
      <c r="Z517" s="1254"/>
    </row>
    <row r="518">
      <c r="A518" s="1254"/>
      <c r="B518" s="1254"/>
      <c r="C518" s="1320"/>
      <c r="D518" s="1254"/>
      <c r="E518" s="1254"/>
      <c r="F518" s="1263"/>
      <c r="G518" s="1317"/>
      <c r="H518" s="1254"/>
      <c r="I518" s="1318"/>
      <c r="J518" s="1254"/>
      <c r="K518" s="1254"/>
      <c r="L518" s="1254"/>
      <c r="M518" s="1254"/>
      <c r="N518" s="1318"/>
      <c r="O518" s="1386"/>
      <c r="P518" s="1254"/>
      <c r="Q518" s="1254"/>
      <c r="R518" s="1254"/>
      <c r="S518" s="1254"/>
      <c r="T518" s="1254"/>
      <c r="U518" s="1254"/>
      <c r="V518" s="1254"/>
      <c r="W518" s="1254"/>
      <c r="X518" s="1254"/>
      <c r="Y518" s="1254"/>
      <c r="Z518" s="1254"/>
    </row>
    <row r="519">
      <c r="A519" s="1254"/>
      <c r="B519" s="1254"/>
      <c r="C519" s="1320"/>
      <c r="D519" s="1254"/>
      <c r="E519" s="1254"/>
      <c r="F519" s="1263"/>
      <c r="G519" s="1317"/>
      <c r="H519" s="1254"/>
      <c r="I519" s="1318"/>
      <c r="J519" s="1254"/>
      <c r="K519" s="1254"/>
      <c r="L519" s="1254"/>
      <c r="M519" s="1254"/>
      <c r="N519" s="1318"/>
      <c r="O519" s="1386"/>
      <c r="P519" s="1254"/>
      <c r="Q519" s="1254"/>
      <c r="R519" s="1254"/>
      <c r="S519" s="1254"/>
      <c r="T519" s="1254"/>
      <c r="U519" s="1254"/>
      <c r="V519" s="1254"/>
      <c r="W519" s="1254"/>
      <c r="X519" s="1254"/>
      <c r="Y519" s="1254"/>
      <c r="Z519" s="1254"/>
    </row>
    <row r="520">
      <c r="A520" s="1254"/>
      <c r="B520" s="1254"/>
      <c r="C520" s="1320"/>
      <c r="D520" s="1254"/>
      <c r="E520" s="1254"/>
      <c r="F520" s="1263"/>
      <c r="G520" s="1317"/>
      <c r="H520" s="1254"/>
      <c r="I520" s="1318"/>
      <c r="J520" s="1254"/>
      <c r="K520" s="1254"/>
      <c r="L520" s="1254"/>
      <c r="M520" s="1254"/>
      <c r="N520" s="1318"/>
      <c r="O520" s="1386"/>
      <c r="P520" s="1254"/>
      <c r="Q520" s="1254"/>
      <c r="R520" s="1254"/>
      <c r="S520" s="1254"/>
      <c r="T520" s="1254"/>
      <c r="U520" s="1254"/>
      <c r="V520" s="1254"/>
      <c r="W520" s="1254"/>
      <c r="X520" s="1254"/>
      <c r="Y520" s="1254"/>
      <c r="Z520" s="1254"/>
    </row>
    <row r="521">
      <c r="A521" s="1254"/>
      <c r="B521" s="1254"/>
      <c r="C521" s="1320"/>
      <c r="D521" s="1254"/>
      <c r="E521" s="1254"/>
      <c r="F521" s="1263"/>
      <c r="G521" s="1317"/>
      <c r="H521" s="1254"/>
      <c r="I521" s="1318"/>
      <c r="J521" s="1254"/>
      <c r="K521" s="1254"/>
      <c r="L521" s="1254"/>
      <c r="M521" s="1254"/>
      <c r="N521" s="1318"/>
      <c r="O521" s="1386"/>
      <c r="P521" s="1254"/>
      <c r="Q521" s="1254"/>
      <c r="R521" s="1254"/>
      <c r="S521" s="1254"/>
      <c r="T521" s="1254"/>
      <c r="U521" s="1254"/>
      <c r="V521" s="1254"/>
      <c r="W521" s="1254"/>
      <c r="X521" s="1254"/>
      <c r="Y521" s="1254"/>
      <c r="Z521" s="1254"/>
    </row>
    <row r="522">
      <c r="A522" s="1254"/>
      <c r="B522" s="1254"/>
      <c r="C522" s="1320"/>
      <c r="D522" s="1254"/>
      <c r="E522" s="1254"/>
      <c r="F522" s="1263"/>
      <c r="G522" s="1317"/>
      <c r="H522" s="1254"/>
      <c r="I522" s="1318"/>
      <c r="J522" s="1254"/>
      <c r="K522" s="1254"/>
      <c r="L522" s="1254"/>
      <c r="M522" s="1254"/>
      <c r="N522" s="1318"/>
      <c r="O522" s="1386"/>
      <c r="P522" s="1254"/>
      <c r="Q522" s="1254"/>
      <c r="R522" s="1254"/>
      <c r="S522" s="1254"/>
      <c r="T522" s="1254"/>
      <c r="U522" s="1254"/>
      <c r="V522" s="1254"/>
      <c r="W522" s="1254"/>
      <c r="X522" s="1254"/>
      <c r="Y522" s="1254"/>
      <c r="Z522" s="1254"/>
    </row>
    <row r="523">
      <c r="A523" s="1254"/>
      <c r="B523" s="1254"/>
      <c r="C523" s="1320"/>
      <c r="D523" s="1254"/>
      <c r="E523" s="1254"/>
      <c r="F523" s="1263"/>
      <c r="G523" s="1317"/>
      <c r="H523" s="1254"/>
      <c r="I523" s="1318"/>
      <c r="J523" s="1254"/>
      <c r="K523" s="1254"/>
      <c r="L523" s="1254"/>
      <c r="M523" s="1254"/>
      <c r="N523" s="1318"/>
      <c r="O523" s="1386"/>
      <c r="P523" s="1254"/>
      <c r="Q523" s="1254"/>
      <c r="R523" s="1254"/>
      <c r="S523" s="1254"/>
      <c r="T523" s="1254"/>
      <c r="U523" s="1254"/>
      <c r="V523" s="1254"/>
      <c r="W523" s="1254"/>
      <c r="X523" s="1254"/>
      <c r="Y523" s="1254"/>
      <c r="Z523" s="1254"/>
    </row>
    <row r="524">
      <c r="A524" s="1254"/>
      <c r="B524" s="1254"/>
      <c r="C524" s="1320"/>
      <c r="D524" s="1254"/>
      <c r="E524" s="1254"/>
      <c r="F524" s="1263"/>
      <c r="G524" s="1317"/>
      <c r="H524" s="1254"/>
      <c r="I524" s="1318"/>
      <c r="J524" s="1254"/>
      <c r="K524" s="1254"/>
      <c r="L524" s="1254"/>
      <c r="M524" s="1254"/>
      <c r="N524" s="1318"/>
      <c r="O524" s="1386"/>
      <c r="P524" s="1254"/>
      <c r="Q524" s="1254"/>
      <c r="R524" s="1254"/>
      <c r="S524" s="1254"/>
      <c r="T524" s="1254"/>
      <c r="U524" s="1254"/>
      <c r="V524" s="1254"/>
      <c r="W524" s="1254"/>
      <c r="X524" s="1254"/>
      <c r="Y524" s="1254"/>
      <c r="Z524" s="1254"/>
    </row>
    <row r="525">
      <c r="A525" s="1254"/>
      <c r="B525" s="1254"/>
      <c r="C525" s="1320"/>
      <c r="D525" s="1254"/>
      <c r="E525" s="1254"/>
      <c r="F525" s="1263"/>
      <c r="G525" s="1317"/>
      <c r="H525" s="1254"/>
      <c r="I525" s="1318"/>
      <c r="J525" s="1254"/>
      <c r="K525" s="1254"/>
      <c r="L525" s="1254"/>
      <c r="M525" s="1254"/>
      <c r="N525" s="1318"/>
      <c r="O525" s="1386"/>
      <c r="P525" s="1254"/>
      <c r="Q525" s="1254"/>
      <c r="R525" s="1254"/>
      <c r="S525" s="1254"/>
      <c r="T525" s="1254"/>
      <c r="U525" s="1254"/>
      <c r="V525" s="1254"/>
      <c r="W525" s="1254"/>
      <c r="X525" s="1254"/>
      <c r="Y525" s="1254"/>
      <c r="Z525" s="1254"/>
    </row>
    <row r="526">
      <c r="A526" s="1254"/>
      <c r="B526" s="1254"/>
      <c r="C526" s="1320"/>
      <c r="D526" s="1254"/>
      <c r="E526" s="1254"/>
      <c r="F526" s="1263"/>
      <c r="G526" s="1317"/>
      <c r="H526" s="1254"/>
      <c r="I526" s="1318"/>
      <c r="J526" s="1254"/>
      <c r="K526" s="1254"/>
      <c r="L526" s="1254"/>
      <c r="M526" s="1254"/>
      <c r="N526" s="1318"/>
      <c r="O526" s="1386"/>
      <c r="P526" s="1254"/>
      <c r="Q526" s="1254"/>
      <c r="R526" s="1254"/>
      <c r="S526" s="1254"/>
      <c r="T526" s="1254"/>
      <c r="U526" s="1254"/>
      <c r="V526" s="1254"/>
      <c r="W526" s="1254"/>
      <c r="X526" s="1254"/>
      <c r="Y526" s="1254"/>
      <c r="Z526" s="1254"/>
    </row>
    <row r="527">
      <c r="A527" s="1254"/>
      <c r="B527" s="1254"/>
      <c r="C527" s="1320"/>
      <c r="D527" s="1254"/>
      <c r="E527" s="1254"/>
      <c r="F527" s="1263"/>
      <c r="G527" s="1317"/>
      <c r="H527" s="1254"/>
      <c r="I527" s="1318"/>
      <c r="J527" s="1254"/>
      <c r="K527" s="1254"/>
      <c r="L527" s="1254"/>
      <c r="M527" s="1254"/>
      <c r="N527" s="1318"/>
      <c r="O527" s="1386"/>
      <c r="P527" s="1254"/>
      <c r="Q527" s="1254"/>
      <c r="R527" s="1254"/>
      <c r="S527" s="1254"/>
      <c r="T527" s="1254"/>
      <c r="U527" s="1254"/>
      <c r="V527" s="1254"/>
      <c r="W527" s="1254"/>
      <c r="X527" s="1254"/>
      <c r="Y527" s="1254"/>
      <c r="Z527" s="1254"/>
    </row>
    <row r="528">
      <c r="A528" s="1254"/>
      <c r="B528" s="1254"/>
      <c r="C528" s="1320"/>
      <c r="D528" s="1254"/>
      <c r="E528" s="1254"/>
      <c r="F528" s="1263"/>
      <c r="G528" s="1317"/>
      <c r="H528" s="1254"/>
      <c r="I528" s="1318"/>
      <c r="J528" s="1254"/>
      <c r="K528" s="1254"/>
      <c r="L528" s="1254"/>
      <c r="M528" s="1254"/>
      <c r="N528" s="1318"/>
      <c r="O528" s="1386"/>
      <c r="P528" s="1254"/>
      <c r="Q528" s="1254"/>
      <c r="R528" s="1254"/>
      <c r="S528" s="1254"/>
      <c r="T528" s="1254"/>
      <c r="U528" s="1254"/>
      <c r="V528" s="1254"/>
      <c r="W528" s="1254"/>
      <c r="X528" s="1254"/>
      <c r="Y528" s="1254"/>
      <c r="Z528" s="1254"/>
    </row>
    <row r="529">
      <c r="A529" s="1254"/>
      <c r="B529" s="1254"/>
      <c r="C529" s="1320"/>
      <c r="D529" s="1254"/>
      <c r="E529" s="1254"/>
      <c r="F529" s="1263"/>
      <c r="G529" s="1317"/>
      <c r="H529" s="1254"/>
      <c r="I529" s="1318"/>
      <c r="J529" s="1254"/>
      <c r="K529" s="1254"/>
      <c r="L529" s="1254"/>
      <c r="M529" s="1254"/>
      <c r="N529" s="1318"/>
      <c r="O529" s="1386"/>
      <c r="P529" s="1254"/>
      <c r="Q529" s="1254"/>
      <c r="R529" s="1254"/>
      <c r="S529" s="1254"/>
      <c r="T529" s="1254"/>
      <c r="U529" s="1254"/>
      <c r="V529" s="1254"/>
      <c r="W529" s="1254"/>
      <c r="X529" s="1254"/>
      <c r="Y529" s="1254"/>
      <c r="Z529" s="1254"/>
    </row>
    <row r="530">
      <c r="A530" s="1254"/>
      <c r="B530" s="1254"/>
      <c r="C530" s="1320"/>
      <c r="D530" s="1254"/>
      <c r="E530" s="1254"/>
      <c r="F530" s="1263"/>
      <c r="G530" s="1317"/>
      <c r="H530" s="1254"/>
      <c r="I530" s="1318"/>
      <c r="J530" s="1254"/>
      <c r="K530" s="1254"/>
      <c r="L530" s="1254"/>
      <c r="M530" s="1254"/>
      <c r="N530" s="1318"/>
      <c r="O530" s="1386"/>
      <c r="P530" s="1254"/>
      <c r="Q530" s="1254"/>
      <c r="R530" s="1254"/>
      <c r="S530" s="1254"/>
      <c r="T530" s="1254"/>
      <c r="U530" s="1254"/>
      <c r="V530" s="1254"/>
      <c r="W530" s="1254"/>
      <c r="X530" s="1254"/>
      <c r="Y530" s="1254"/>
      <c r="Z530" s="1254"/>
    </row>
    <row r="531">
      <c r="A531" s="1254"/>
      <c r="B531" s="1254"/>
      <c r="C531" s="1320"/>
      <c r="D531" s="1254"/>
      <c r="E531" s="1254"/>
      <c r="F531" s="1263"/>
      <c r="G531" s="1317"/>
      <c r="H531" s="1254"/>
      <c r="I531" s="1318"/>
      <c r="J531" s="1254"/>
      <c r="K531" s="1254"/>
      <c r="L531" s="1254"/>
      <c r="M531" s="1254"/>
      <c r="N531" s="1318"/>
      <c r="O531" s="1386"/>
      <c r="P531" s="1254"/>
      <c r="Q531" s="1254"/>
      <c r="R531" s="1254"/>
      <c r="S531" s="1254"/>
      <c r="T531" s="1254"/>
      <c r="U531" s="1254"/>
      <c r="V531" s="1254"/>
      <c r="W531" s="1254"/>
      <c r="X531" s="1254"/>
      <c r="Y531" s="1254"/>
      <c r="Z531" s="1254"/>
    </row>
    <row r="532">
      <c r="A532" s="1254"/>
      <c r="B532" s="1254"/>
      <c r="C532" s="1320"/>
      <c r="D532" s="1254"/>
      <c r="E532" s="1254"/>
      <c r="F532" s="1263"/>
      <c r="G532" s="1317"/>
      <c r="H532" s="1254"/>
      <c r="I532" s="1318"/>
      <c r="J532" s="1254"/>
      <c r="K532" s="1254"/>
      <c r="L532" s="1254"/>
      <c r="M532" s="1254"/>
      <c r="N532" s="1318"/>
      <c r="O532" s="1386"/>
      <c r="P532" s="1254"/>
      <c r="Q532" s="1254"/>
      <c r="R532" s="1254"/>
      <c r="S532" s="1254"/>
      <c r="T532" s="1254"/>
      <c r="U532" s="1254"/>
      <c r="V532" s="1254"/>
      <c r="W532" s="1254"/>
      <c r="X532" s="1254"/>
      <c r="Y532" s="1254"/>
      <c r="Z532" s="1254"/>
    </row>
    <row r="533">
      <c r="A533" s="1254"/>
      <c r="B533" s="1254"/>
      <c r="C533" s="1320"/>
      <c r="D533" s="1254"/>
      <c r="E533" s="1254"/>
      <c r="F533" s="1263"/>
      <c r="G533" s="1317"/>
      <c r="H533" s="1254"/>
      <c r="I533" s="1318"/>
      <c r="J533" s="1254"/>
      <c r="K533" s="1254"/>
      <c r="L533" s="1254"/>
      <c r="M533" s="1254"/>
      <c r="N533" s="1318"/>
      <c r="O533" s="1386"/>
      <c r="P533" s="1254"/>
      <c r="Q533" s="1254"/>
      <c r="R533" s="1254"/>
      <c r="S533" s="1254"/>
      <c r="T533" s="1254"/>
      <c r="U533" s="1254"/>
      <c r="V533" s="1254"/>
      <c r="W533" s="1254"/>
      <c r="X533" s="1254"/>
      <c r="Y533" s="1254"/>
      <c r="Z533" s="1254"/>
    </row>
    <row r="534">
      <c r="A534" s="1254"/>
      <c r="B534" s="1254"/>
      <c r="C534" s="1320"/>
      <c r="D534" s="1254"/>
      <c r="E534" s="1254"/>
      <c r="F534" s="1263"/>
      <c r="G534" s="1317"/>
      <c r="H534" s="1254"/>
      <c r="I534" s="1318"/>
      <c r="J534" s="1254"/>
      <c r="K534" s="1254"/>
      <c r="L534" s="1254"/>
      <c r="M534" s="1254"/>
      <c r="N534" s="1318"/>
      <c r="O534" s="1386"/>
      <c r="P534" s="1254"/>
      <c r="Q534" s="1254"/>
      <c r="R534" s="1254"/>
      <c r="S534" s="1254"/>
      <c r="T534" s="1254"/>
      <c r="U534" s="1254"/>
      <c r="V534" s="1254"/>
      <c r="W534" s="1254"/>
      <c r="X534" s="1254"/>
      <c r="Y534" s="1254"/>
      <c r="Z534" s="1254"/>
    </row>
    <row r="535">
      <c r="A535" s="1254"/>
      <c r="B535" s="1254"/>
      <c r="C535" s="1320"/>
      <c r="D535" s="1254"/>
      <c r="E535" s="1254"/>
      <c r="F535" s="1263"/>
      <c r="G535" s="1317"/>
      <c r="H535" s="1254"/>
      <c r="I535" s="1318"/>
      <c r="J535" s="1254"/>
      <c r="K535" s="1254"/>
      <c r="L535" s="1254"/>
      <c r="M535" s="1254"/>
      <c r="N535" s="1318"/>
      <c r="O535" s="1386"/>
      <c r="P535" s="1254"/>
      <c r="Q535" s="1254"/>
      <c r="R535" s="1254"/>
      <c r="S535" s="1254"/>
      <c r="T535" s="1254"/>
      <c r="U535" s="1254"/>
      <c r="V535" s="1254"/>
      <c r="W535" s="1254"/>
      <c r="X535" s="1254"/>
      <c r="Y535" s="1254"/>
      <c r="Z535" s="1254"/>
    </row>
    <row r="536">
      <c r="A536" s="1254"/>
      <c r="B536" s="1254"/>
      <c r="C536" s="1320"/>
      <c r="D536" s="1254"/>
      <c r="E536" s="1254"/>
      <c r="F536" s="1263"/>
      <c r="G536" s="1317"/>
      <c r="H536" s="1254"/>
      <c r="I536" s="1318"/>
      <c r="J536" s="1254"/>
      <c r="K536" s="1254"/>
      <c r="L536" s="1254"/>
      <c r="M536" s="1254"/>
      <c r="N536" s="1318"/>
      <c r="O536" s="1386"/>
      <c r="P536" s="1254"/>
      <c r="Q536" s="1254"/>
      <c r="R536" s="1254"/>
      <c r="S536" s="1254"/>
      <c r="T536" s="1254"/>
      <c r="U536" s="1254"/>
      <c r="V536" s="1254"/>
      <c r="W536" s="1254"/>
      <c r="X536" s="1254"/>
      <c r="Y536" s="1254"/>
      <c r="Z536" s="1254"/>
    </row>
    <row r="537">
      <c r="A537" s="1254"/>
      <c r="B537" s="1254"/>
      <c r="C537" s="1320"/>
      <c r="D537" s="1254"/>
      <c r="E537" s="1254"/>
      <c r="F537" s="1263"/>
      <c r="G537" s="1317"/>
      <c r="H537" s="1254"/>
      <c r="I537" s="1318"/>
      <c r="J537" s="1254"/>
      <c r="K537" s="1254"/>
      <c r="L537" s="1254"/>
      <c r="M537" s="1254"/>
      <c r="N537" s="1318"/>
      <c r="O537" s="1386"/>
      <c r="P537" s="1254"/>
      <c r="Q537" s="1254"/>
      <c r="R537" s="1254"/>
      <c r="S537" s="1254"/>
      <c r="T537" s="1254"/>
      <c r="U537" s="1254"/>
      <c r="V537" s="1254"/>
      <c r="W537" s="1254"/>
      <c r="X537" s="1254"/>
      <c r="Y537" s="1254"/>
      <c r="Z537" s="1254"/>
    </row>
    <row r="538">
      <c r="A538" s="1254"/>
      <c r="B538" s="1254"/>
      <c r="C538" s="1320"/>
      <c r="D538" s="1254"/>
      <c r="E538" s="1254"/>
      <c r="F538" s="1263"/>
      <c r="G538" s="1317"/>
      <c r="H538" s="1254"/>
      <c r="I538" s="1318"/>
      <c r="J538" s="1254"/>
      <c r="K538" s="1254"/>
      <c r="L538" s="1254"/>
      <c r="M538" s="1254"/>
      <c r="N538" s="1318"/>
      <c r="O538" s="1386"/>
      <c r="P538" s="1254"/>
      <c r="Q538" s="1254"/>
      <c r="R538" s="1254"/>
      <c r="S538" s="1254"/>
      <c r="T538" s="1254"/>
      <c r="U538" s="1254"/>
      <c r="V538" s="1254"/>
      <c r="W538" s="1254"/>
      <c r="X538" s="1254"/>
      <c r="Y538" s="1254"/>
      <c r="Z538" s="1254"/>
    </row>
    <row r="539">
      <c r="A539" s="1254"/>
      <c r="B539" s="1254"/>
      <c r="C539" s="1320"/>
      <c r="D539" s="1254"/>
      <c r="E539" s="1254"/>
      <c r="F539" s="1263"/>
      <c r="G539" s="1317"/>
      <c r="H539" s="1254"/>
      <c r="I539" s="1318"/>
      <c r="J539" s="1254"/>
      <c r="K539" s="1254"/>
      <c r="L539" s="1254"/>
      <c r="M539" s="1254"/>
      <c r="N539" s="1318"/>
      <c r="O539" s="1386"/>
      <c r="P539" s="1254"/>
      <c r="Q539" s="1254"/>
      <c r="R539" s="1254"/>
      <c r="S539" s="1254"/>
      <c r="T539" s="1254"/>
      <c r="U539" s="1254"/>
      <c r="V539" s="1254"/>
      <c r="W539" s="1254"/>
      <c r="X539" s="1254"/>
      <c r="Y539" s="1254"/>
      <c r="Z539" s="1254"/>
    </row>
    <row r="540">
      <c r="A540" s="1254"/>
      <c r="B540" s="1254"/>
      <c r="C540" s="1320"/>
      <c r="D540" s="1254"/>
      <c r="E540" s="1254"/>
      <c r="F540" s="1263"/>
      <c r="G540" s="1317"/>
      <c r="H540" s="1254"/>
      <c r="I540" s="1318"/>
      <c r="J540" s="1254"/>
      <c r="K540" s="1254"/>
      <c r="L540" s="1254"/>
      <c r="M540" s="1254"/>
      <c r="N540" s="1318"/>
      <c r="O540" s="1386"/>
      <c r="P540" s="1254"/>
      <c r="Q540" s="1254"/>
      <c r="R540" s="1254"/>
      <c r="S540" s="1254"/>
      <c r="T540" s="1254"/>
      <c r="U540" s="1254"/>
      <c r="V540" s="1254"/>
      <c r="W540" s="1254"/>
      <c r="X540" s="1254"/>
      <c r="Y540" s="1254"/>
      <c r="Z540" s="1254"/>
    </row>
    <row r="541">
      <c r="A541" s="1254"/>
      <c r="B541" s="1254"/>
      <c r="C541" s="1320"/>
      <c r="D541" s="1254"/>
      <c r="E541" s="1254"/>
      <c r="F541" s="1263"/>
      <c r="G541" s="1317"/>
      <c r="H541" s="1254"/>
      <c r="I541" s="1318"/>
      <c r="J541" s="1254"/>
      <c r="K541" s="1254"/>
      <c r="L541" s="1254"/>
      <c r="M541" s="1254"/>
      <c r="N541" s="1318"/>
      <c r="O541" s="1386"/>
      <c r="P541" s="1254"/>
      <c r="Q541" s="1254"/>
      <c r="R541" s="1254"/>
      <c r="S541" s="1254"/>
      <c r="T541" s="1254"/>
      <c r="U541" s="1254"/>
      <c r="V541" s="1254"/>
      <c r="W541" s="1254"/>
      <c r="X541" s="1254"/>
      <c r="Y541" s="1254"/>
      <c r="Z541" s="1254"/>
    </row>
    <row r="542">
      <c r="A542" s="1254"/>
      <c r="B542" s="1254"/>
      <c r="C542" s="1320"/>
      <c r="D542" s="1254"/>
      <c r="E542" s="1254"/>
      <c r="F542" s="1263"/>
      <c r="G542" s="1317"/>
      <c r="H542" s="1254"/>
      <c r="I542" s="1318"/>
      <c r="J542" s="1254"/>
      <c r="K542" s="1254"/>
      <c r="L542" s="1254"/>
      <c r="M542" s="1254"/>
      <c r="N542" s="1318"/>
      <c r="O542" s="1386"/>
      <c r="P542" s="1254"/>
      <c r="Q542" s="1254"/>
      <c r="R542" s="1254"/>
      <c r="S542" s="1254"/>
      <c r="T542" s="1254"/>
      <c r="U542" s="1254"/>
      <c r="V542" s="1254"/>
      <c r="W542" s="1254"/>
      <c r="X542" s="1254"/>
      <c r="Y542" s="1254"/>
      <c r="Z542" s="1254"/>
    </row>
    <row r="543">
      <c r="A543" s="1254"/>
      <c r="B543" s="1254"/>
      <c r="C543" s="1320"/>
      <c r="D543" s="1254"/>
      <c r="E543" s="1254"/>
      <c r="F543" s="1263"/>
      <c r="G543" s="1317"/>
      <c r="H543" s="1254"/>
      <c r="I543" s="1318"/>
      <c r="J543" s="1254"/>
      <c r="K543" s="1254"/>
      <c r="L543" s="1254"/>
      <c r="M543" s="1254"/>
      <c r="N543" s="1318"/>
      <c r="O543" s="1386"/>
      <c r="P543" s="1254"/>
      <c r="Q543" s="1254"/>
      <c r="R543" s="1254"/>
      <c r="S543" s="1254"/>
      <c r="T543" s="1254"/>
      <c r="U543" s="1254"/>
      <c r="V543" s="1254"/>
      <c r="W543" s="1254"/>
      <c r="X543" s="1254"/>
      <c r="Y543" s="1254"/>
      <c r="Z543" s="1254"/>
    </row>
    <row r="544">
      <c r="A544" s="1254"/>
      <c r="B544" s="1254"/>
      <c r="C544" s="1320"/>
      <c r="D544" s="1254"/>
      <c r="E544" s="1254"/>
      <c r="F544" s="1263"/>
      <c r="G544" s="1317"/>
      <c r="H544" s="1254"/>
      <c r="I544" s="1318"/>
      <c r="J544" s="1254"/>
      <c r="K544" s="1254"/>
      <c r="L544" s="1254"/>
      <c r="M544" s="1254"/>
      <c r="N544" s="1318"/>
      <c r="O544" s="1386"/>
      <c r="P544" s="1254"/>
      <c r="Q544" s="1254"/>
      <c r="R544" s="1254"/>
      <c r="S544" s="1254"/>
      <c r="T544" s="1254"/>
      <c r="U544" s="1254"/>
      <c r="V544" s="1254"/>
      <c r="W544" s="1254"/>
      <c r="X544" s="1254"/>
      <c r="Y544" s="1254"/>
      <c r="Z544" s="1254"/>
    </row>
    <row r="545">
      <c r="A545" s="1254"/>
      <c r="B545" s="1254"/>
      <c r="C545" s="1320"/>
      <c r="D545" s="1254"/>
      <c r="E545" s="1254"/>
      <c r="F545" s="1263"/>
      <c r="G545" s="1317"/>
      <c r="H545" s="1254"/>
      <c r="I545" s="1318"/>
      <c r="J545" s="1254"/>
      <c r="K545" s="1254"/>
      <c r="L545" s="1254"/>
      <c r="M545" s="1254"/>
      <c r="N545" s="1318"/>
      <c r="O545" s="1386"/>
      <c r="P545" s="1254"/>
      <c r="Q545" s="1254"/>
      <c r="R545" s="1254"/>
      <c r="S545" s="1254"/>
      <c r="T545" s="1254"/>
      <c r="U545" s="1254"/>
      <c r="V545" s="1254"/>
      <c r="W545" s="1254"/>
      <c r="X545" s="1254"/>
      <c r="Y545" s="1254"/>
      <c r="Z545" s="1254"/>
    </row>
    <row r="546">
      <c r="A546" s="1254"/>
      <c r="B546" s="1254"/>
      <c r="C546" s="1320"/>
      <c r="D546" s="1254"/>
      <c r="E546" s="1254"/>
      <c r="F546" s="1263"/>
      <c r="G546" s="1317"/>
      <c r="H546" s="1254"/>
      <c r="I546" s="1318"/>
      <c r="J546" s="1254"/>
      <c r="K546" s="1254"/>
      <c r="L546" s="1254"/>
      <c r="M546" s="1254"/>
      <c r="N546" s="1318"/>
      <c r="O546" s="1386"/>
      <c r="P546" s="1254"/>
      <c r="Q546" s="1254"/>
      <c r="R546" s="1254"/>
      <c r="S546" s="1254"/>
      <c r="T546" s="1254"/>
      <c r="U546" s="1254"/>
      <c r="V546" s="1254"/>
      <c r="W546" s="1254"/>
      <c r="X546" s="1254"/>
      <c r="Y546" s="1254"/>
      <c r="Z546" s="1254"/>
    </row>
    <row r="547">
      <c r="A547" s="1254"/>
      <c r="B547" s="1254"/>
      <c r="C547" s="1320"/>
      <c r="D547" s="1254"/>
      <c r="E547" s="1254"/>
      <c r="F547" s="1263"/>
      <c r="G547" s="1317"/>
      <c r="H547" s="1254"/>
      <c r="I547" s="1318"/>
      <c r="J547" s="1254"/>
      <c r="K547" s="1254"/>
      <c r="L547" s="1254"/>
      <c r="M547" s="1254"/>
      <c r="N547" s="1318"/>
      <c r="O547" s="1386"/>
      <c r="P547" s="1254"/>
      <c r="Q547" s="1254"/>
      <c r="R547" s="1254"/>
      <c r="S547" s="1254"/>
      <c r="T547" s="1254"/>
      <c r="U547" s="1254"/>
      <c r="V547" s="1254"/>
      <c r="W547" s="1254"/>
      <c r="X547" s="1254"/>
      <c r="Y547" s="1254"/>
      <c r="Z547" s="1254"/>
    </row>
    <row r="548">
      <c r="A548" s="1254"/>
      <c r="B548" s="1254"/>
      <c r="C548" s="1320"/>
      <c r="D548" s="1254"/>
      <c r="E548" s="1254"/>
      <c r="F548" s="1263"/>
      <c r="G548" s="1317"/>
      <c r="H548" s="1254"/>
      <c r="I548" s="1318"/>
      <c r="J548" s="1254"/>
      <c r="K548" s="1254"/>
      <c r="L548" s="1254"/>
      <c r="M548" s="1254"/>
      <c r="N548" s="1318"/>
      <c r="O548" s="1386"/>
      <c r="P548" s="1254"/>
      <c r="Q548" s="1254"/>
      <c r="R548" s="1254"/>
      <c r="S548" s="1254"/>
      <c r="T548" s="1254"/>
      <c r="U548" s="1254"/>
      <c r="V548" s="1254"/>
      <c r="W548" s="1254"/>
      <c r="X548" s="1254"/>
      <c r="Y548" s="1254"/>
      <c r="Z548" s="1254"/>
    </row>
    <row r="549">
      <c r="A549" s="1254"/>
      <c r="B549" s="1254"/>
      <c r="C549" s="1320"/>
      <c r="D549" s="1254"/>
      <c r="E549" s="1254"/>
      <c r="F549" s="1263"/>
      <c r="G549" s="1317"/>
      <c r="H549" s="1254"/>
      <c r="I549" s="1318"/>
      <c r="J549" s="1254"/>
      <c r="K549" s="1254"/>
      <c r="L549" s="1254"/>
      <c r="M549" s="1254"/>
      <c r="N549" s="1318"/>
      <c r="O549" s="1386"/>
      <c r="P549" s="1254"/>
      <c r="Q549" s="1254"/>
      <c r="R549" s="1254"/>
      <c r="S549" s="1254"/>
      <c r="T549" s="1254"/>
      <c r="U549" s="1254"/>
      <c r="V549" s="1254"/>
      <c r="W549" s="1254"/>
      <c r="X549" s="1254"/>
      <c r="Y549" s="1254"/>
      <c r="Z549" s="1254"/>
    </row>
    <row r="550">
      <c r="A550" s="1254"/>
      <c r="B550" s="1254"/>
      <c r="C550" s="1320"/>
      <c r="D550" s="1254"/>
      <c r="E550" s="1254"/>
      <c r="F550" s="1263"/>
      <c r="G550" s="1317"/>
      <c r="H550" s="1254"/>
      <c r="I550" s="1318"/>
      <c r="J550" s="1254"/>
      <c r="K550" s="1254"/>
      <c r="L550" s="1254"/>
      <c r="M550" s="1254"/>
      <c r="N550" s="1318"/>
      <c r="O550" s="1386"/>
      <c r="P550" s="1254"/>
      <c r="Q550" s="1254"/>
      <c r="R550" s="1254"/>
      <c r="S550" s="1254"/>
      <c r="T550" s="1254"/>
      <c r="U550" s="1254"/>
      <c r="V550" s="1254"/>
      <c r="W550" s="1254"/>
      <c r="X550" s="1254"/>
      <c r="Y550" s="1254"/>
      <c r="Z550" s="1254"/>
    </row>
    <row r="551">
      <c r="A551" s="1254"/>
      <c r="B551" s="1254"/>
      <c r="C551" s="1320"/>
      <c r="D551" s="1254"/>
      <c r="E551" s="1254"/>
      <c r="F551" s="1263"/>
      <c r="G551" s="1317"/>
      <c r="H551" s="1254"/>
      <c r="I551" s="1318"/>
      <c r="J551" s="1254"/>
      <c r="K551" s="1254"/>
      <c r="L551" s="1254"/>
      <c r="M551" s="1254"/>
      <c r="N551" s="1318"/>
      <c r="O551" s="1386"/>
      <c r="P551" s="1254"/>
      <c r="Q551" s="1254"/>
      <c r="R551" s="1254"/>
      <c r="S551" s="1254"/>
      <c r="T551" s="1254"/>
      <c r="U551" s="1254"/>
      <c r="V551" s="1254"/>
      <c r="W551" s="1254"/>
      <c r="X551" s="1254"/>
      <c r="Y551" s="1254"/>
      <c r="Z551" s="1254"/>
    </row>
    <row r="552">
      <c r="A552" s="1254"/>
      <c r="B552" s="1254"/>
      <c r="C552" s="1320"/>
      <c r="D552" s="1254"/>
      <c r="E552" s="1254"/>
      <c r="F552" s="1263"/>
      <c r="G552" s="1317"/>
      <c r="H552" s="1254"/>
      <c r="I552" s="1318"/>
      <c r="J552" s="1254"/>
      <c r="K552" s="1254"/>
      <c r="L552" s="1254"/>
      <c r="M552" s="1254"/>
      <c r="N552" s="1318"/>
      <c r="O552" s="1386"/>
      <c r="P552" s="1254"/>
      <c r="Q552" s="1254"/>
      <c r="R552" s="1254"/>
      <c r="S552" s="1254"/>
      <c r="T552" s="1254"/>
      <c r="U552" s="1254"/>
      <c r="V552" s="1254"/>
      <c r="W552" s="1254"/>
      <c r="X552" s="1254"/>
      <c r="Y552" s="1254"/>
      <c r="Z552" s="1254"/>
    </row>
    <row r="553">
      <c r="A553" s="1254"/>
      <c r="B553" s="1254"/>
      <c r="C553" s="1320"/>
      <c r="D553" s="1254"/>
      <c r="E553" s="1254"/>
      <c r="F553" s="1263"/>
      <c r="G553" s="1317"/>
      <c r="H553" s="1254"/>
      <c r="I553" s="1318"/>
      <c r="J553" s="1254"/>
      <c r="K553" s="1254"/>
      <c r="L553" s="1254"/>
      <c r="M553" s="1254"/>
      <c r="N553" s="1318"/>
      <c r="O553" s="1386"/>
      <c r="P553" s="1254"/>
      <c r="Q553" s="1254"/>
      <c r="R553" s="1254"/>
      <c r="S553" s="1254"/>
      <c r="T553" s="1254"/>
      <c r="U553" s="1254"/>
      <c r="V553" s="1254"/>
      <c r="W553" s="1254"/>
      <c r="X553" s="1254"/>
      <c r="Y553" s="1254"/>
      <c r="Z553" s="1254"/>
    </row>
    <row r="554">
      <c r="A554" s="1254"/>
      <c r="B554" s="1254"/>
      <c r="C554" s="1320"/>
      <c r="D554" s="1254"/>
      <c r="E554" s="1254"/>
      <c r="F554" s="1263"/>
      <c r="G554" s="1317"/>
      <c r="H554" s="1254"/>
      <c r="I554" s="1318"/>
      <c r="J554" s="1254"/>
      <c r="K554" s="1254"/>
      <c r="L554" s="1254"/>
      <c r="M554" s="1254"/>
      <c r="N554" s="1318"/>
      <c r="O554" s="1386"/>
      <c r="P554" s="1254"/>
      <c r="Q554" s="1254"/>
      <c r="R554" s="1254"/>
      <c r="S554" s="1254"/>
      <c r="T554" s="1254"/>
      <c r="U554" s="1254"/>
      <c r="V554" s="1254"/>
      <c r="W554" s="1254"/>
      <c r="X554" s="1254"/>
      <c r="Y554" s="1254"/>
      <c r="Z554" s="1254"/>
    </row>
    <row r="555">
      <c r="A555" s="1254"/>
      <c r="B555" s="1254"/>
      <c r="C555" s="1320"/>
      <c r="D555" s="1254"/>
      <c r="E555" s="1254"/>
      <c r="F555" s="1263"/>
      <c r="G555" s="1317"/>
      <c r="H555" s="1254"/>
      <c r="I555" s="1318"/>
      <c r="J555" s="1254"/>
      <c r="K555" s="1254"/>
      <c r="L555" s="1254"/>
      <c r="M555" s="1254"/>
      <c r="N555" s="1318"/>
      <c r="O555" s="1386"/>
      <c r="P555" s="1254"/>
      <c r="Q555" s="1254"/>
      <c r="R555" s="1254"/>
      <c r="S555" s="1254"/>
      <c r="T555" s="1254"/>
      <c r="U555" s="1254"/>
      <c r="V555" s="1254"/>
      <c r="W555" s="1254"/>
      <c r="X555" s="1254"/>
      <c r="Y555" s="1254"/>
      <c r="Z555" s="1254"/>
    </row>
    <row r="556">
      <c r="A556" s="1254"/>
      <c r="B556" s="1254"/>
      <c r="C556" s="1320"/>
      <c r="D556" s="1254"/>
      <c r="E556" s="1254"/>
      <c r="F556" s="1263"/>
      <c r="G556" s="1317"/>
      <c r="H556" s="1254"/>
      <c r="I556" s="1318"/>
      <c r="J556" s="1254"/>
      <c r="K556" s="1254"/>
      <c r="L556" s="1254"/>
      <c r="M556" s="1254"/>
      <c r="N556" s="1318"/>
      <c r="O556" s="1386"/>
      <c r="P556" s="1254"/>
      <c r="Q556" s="1254"/>
      <c r="R556" s="1254"/>
      <c r="S556" s="1254"/>
      <c r="T556" s="1254"/>
      <c r="U556" s="1254"/>
      <c r="V556" s="1254"/>
      <c r="W556" s="1254"/>
      <c r="X556" s="1254"/>
      <c r="Y556" s="1254"/>
      <c r="Z556" s="1254"/>
    </row>
    <row r="557">
      <c r="A557" s="1254"/>
      <c r="B557" s="1254"/>
      <c r="C557" s="1320"/>
      <c r="D557" s="1254"/>
      <c r="E557" s="1254"/>
      <c r="F557" s="1263"/>
      <c r="G557" s="1317"/>
      <c r="H557" s="1254"/>
      <c r="I557" s="1318"/>
      <c r="J557" s="1254"/>
      <c r="K557" s="1254"/>
      <c r="L557" s="1254"/>
      <c r="M557" s="1254"/>
      <c r="N557" s="1318"/>
      <c r="O557" s="1386"/>
      <c r="P557" s="1254"/>
      <c r="Q557" s="1254"/>
      <c r="R557" s="1254"/>
      <c r="S557" s="1254"/>
      <c r="T557" s="1254"/>
      <c r="U557" s="1254"/>
      <c r="V557" s="1254"/>
      <c r="W557" s="1254"/>
      <c r="X557" s="1254"/>
      <c r="Y557" s="1254"/>
      <c r="Z557" s="1254"/>
    </row>
    <row r="558">
      <c r="A558" s="1254"/>
      <c r="B558" s="1254"/>
      <c r="C558" s="1320"/>
      <c r="D558" s="1254"/>
      <c r="E558" s="1254"/>
      <c r="F558" s="1263"/>
      <c r="G558" s="1317"/>
      <c r="H558" s="1254"/>
      <c r="I558" s="1318"/>
      <c r="J558" s="1254"/>
      <c r="K558" s="1254"/>
      <c r="L558" s="1254"/>
      <c r="M558" s="1254"/>
      <c r="N558" s="1318"/>
      <c r="O558" s="1386"/>
      <c r="P558" s="1254"/>
      <c r="Q558" s="1254"/>
      <c r="R558" s="1254"/>
      <c r="S558" s="1254"/>
      <c r="T558" s="1254"/>
      <c r="U558" s="1254"/>
      <c r="V558" s="1254"/>
      <c r="W558" s="1254"/>
      <c r="X558" s="1254"/>
      <c r="Y558" s="1254"/>
      <c r="Z558" s="1254"/>
    </row>
    <row r="559">
      <c r="A559" s="1254"/>
      <c r="B559" s="1254"/>
      <c r="C559" s="1320"/>
      <c r="D559" s="1254"/>
      <c r="E559" s="1254"/>
      <c r="F559" s="1263"/>
      <c r="G559" s="1317"/>
      <c r="H559" s="1254"/>
      <c r="I559" s="1318"/>
      <c r="J559" s="1254"/>
      <c r="K559" s="1254"/>
      <c r="L559" s="1254"/>
      <c r="M559" s="1254"/>
      <c r="N559" s="1318"/>
      <c r="O559" s="1386"/>
      <c r="P559" s="1254"/>
      <c r="Q559" s="1254"/>
      <c r="R559" s="1254"/>
      <c r="S559" s="1254"/>
      <c r="T559" s="1254"/>
      <c r="U559" s="1254"/>
      <c r="V559" s="1254"/>
      <c r="W559" s="1254"/>
      <c r="X559" s="1254"/>
      <c r="Y559" s="1254"/>
      <c r="Z559" s="1254"/>
    </row>
    <row r="560">
      <c r="A560" s="1254"/>
      <c r="B560" s="1254"/>
      <c r="C560" s="1320"/>
      <c r="D560" s="1254"/>
      <c r="E560" s="1254"/>
      <c r="F560" s="1263"/>
      <c r="G560" s="1317"/>
      <c r="H560" s="1254"/>
      <c r="I560" s="1318"/>
      <c r="J560" s="1254"/>
      <c r="K560" s="1254"/>
      <c r="L560" s="1254"/>
      <c r="M560" s="1254"/>
      <c r="N560" s="1318"/>
      <c r="O560" s="1386"/>
      <c r="P560" s="1254"/>
      <c r="Q560" s="1254"/>
      <c r="R560" s="1254"/>
      <c r="S560" s="1254"/>
      <c r="T560" s="1254"/>
      <c r="U560" s="1254"/>
      <c r="V560" s="1254"/>
      <c r="W560" s="1254"/>
      <c r="X560" s="1254"/>
      <c r="Y560" s="1254"/>
      <c r="Z560" s="1254"/>
    </row>
    <row r="561">
      <c r="A561" s="1254"/>
      <c r="B561" s="1254"/>
      <c r="C561" s="1320"/>
      <c r="D561" s="1254"/>
      <c r="E561" s="1254"/>
      <c r="F561" s="1263"/>
      <c r="G561" s="1317"/>
      <c r="H561" s="1254"/>
      <c r="I561" s="1318"/>
      <c r="J561" s="1254"/>
      <c r="K561" s="1254"/>
      <c r="L561" s="1254"/>
      <c r="M561" s="1254"/>
      <c r="N561" s="1318"/>
      <c r="O561" s="1386"/>
      <c r="P561" s="1254"/>
      <c r="Q561" s="1254"/>
      <c r="R561" s="1254"/>
      <c r="S561" s="1254"/>
      <c r="T561" s="1254"/>
      <c r="U561" s="1254"/>
      <c r="V561" s="1254"/>
      <c r="W561" s="1254"/>
      <c r="X561" s="1254"/>
      <c r="Y561" s="1254"/>
      <c r="Z561" s="1254"/>
    </row>
    <row r="562">
      <c r="A562" s="1254"/>
      <c r="B562" s="1254"/>
      <c r="C562" s="1320"/>
      <c r="D562" s="1254"/>
      <c r="E562" s="1254"/>
      <c r="F562" s="1263"/>
      <c r="G562" s="1317"/>
      <c r="H562" s="1254"/>
      <c r="I562" s="1318"/>
      <c r="J562" s="1254"/>
      <c r="K562" s="1254"/>
      <c r="L562" s="1254"/>
      <c r="M562" s="1254"/>
      <c r="N562" s="1318"/>
      <c r="O562" s="1386"/>
      <c r="P562" s="1254"/>
      <c r="Q562" s="1254"/>
      <c r="R562" s="1254"/>
      <c r="S562" s="1254"/>
      <c r="T562" s="1254"/>
      <c r="U562" s="1254"/>
      <c r="V562" s="1254"/>
      <c r="W562" s="1254"/>
      <c r="X562" s="1254"/>
      <c r="Y562" s="1254"/>
      <c r="Z562" s="1254"/>
    </row>
    <row r="563">
      <c r="A563" s="1254"/>
      <c r="B563" s="1254"/>
      <c r="C563" s="1320"/>
      <c r="D563" s="1254"/>
      <c r="E563" s="1254"/>
      <c r="F563" s="1263"/>
      <c r="G563" s="1317"/>
      <c r="H563" s="1254"/>
      <c r="I563" s="1318"/>
      <c r="J563" s="1254"/>
      <c r="K563" s="1254"/>
      <c r="L563" s="1254"/>
      <c r="M563" s="1254"/>
      <c r="N563" s="1318"/>
      <c r="O563" s="1386"/>
      <c r="P563" s="1254"/>
      <c r="Q563" s="1254"/>
      <c r="R563" s="1254"/>
      <c r="S563" s="1254"/>
      <c r="T563" s="1254"/>
      <c r="U563" s="1254"/>
      <c r="V563" s="1254"/>
      <c r="W563" s="1254"/>
      <c r="X563" s="1254"/>
      <c r="Y563" s="1254"/>
      <c r="Z563" s="1254"/>
    </row>
    <row r="564">
      <c r="A564" s="1254"/>
      <c r="B564" s="1254"/>
      <c r="C564" s="1320"/>
      <c r="D564" s="1254"/>
      <c r="E564" s="1254"/>
      <c r="F564" s="1263"/>
      <c r="G564" s="1317"/>
      <c r="H564" s="1254"/>
      <c r="I564" s="1318"/>
      <c r="J564" s="1254"/>
      <c r="K564" s="1254"/>
      <c r="L564" s="1254"/>
      <c r="M564" s="1254"/>
      <c r="N564" s="1318"/>
      <c r="O564" s="1386"/>
      <c r="P564" s="1254"/>
      <c r="Q564" s="1254"/>
      <c r="R564" s="1254"/>
      <c r="S564" s="1254"/>
      <c r="T564" s="1254"/>
      <c r="U564" s="1254"/>
      <c r="V564" s="1254"/>
      <c r="W564" s="1254"/>
      <c r="X564" s="1254"/>
      <c r="Y564" s="1254"/>
      <c r="Z564" s="1254"/>
    </row>
    <row r="565">
      <c r="A565" s="1254"/>
      <c r="B565" s="1254"/>
      <c r="C565" s="1320"/>
      <c r="D565" s="1254"/>
      <c r="E565" s="1254"/>
      <c r="F565" s="1263"/>
      <c r="G565" s="1317"/>
      <c r="H565" s="1254"/>
      <c r="I565" s="1318"/>
      <c r="J565" s="1254"/>
      <c r="K565" s="1254"/>
      <c r="L565" s="1254"/>
      <c r="M565" s="1254"/>
      <c r="N565" s="1318"/>
      <c r="O565" s="1386"/>
      <c r="P565" s="1254"/>
      <c r="Q565" s="1254"/>
      <c r="R565" s="1254"/>
      <c r="S565" s="1254"/>
      <c r="T565" s="1254"/>
      <c r="U565" s="1254"/>
      <c r="V565" s="1254"/>
      <c r="W565" s="1254"/>
      <c r="X565" s="1254"/>
      <c r="Y565" s="1254"/>
      <c r="Z565" s="1254"/>
    </row>
    <row r="566">
      <c r="A566" s="1254"/>
      <c r="B566" s="1254"/>
      <c r="C566" s="1320"/>
      <c r="D566" s="1254"/>
      <c r="E566" s="1254"/>
      <c r="F566" s="1263"/>
      <c r="G566" s="1317"/>
      <c r="H566" s="1254"/>
      <c r="I566" s="1318"/>
      <c r="J566" s="1254"/>
      <c r="K566" s="1254"/>
      <c r="L566" s="1254"/>
      <c r="M566" s="1254"/>
      <c r="N566" s="1318"/>
      <c r="O566" s="1386"/>
      <c r="P566" s="1254"/>
      <c r="Q566" s="1254"/>
      <c r="R566" s="1254"/>
      <c r="S566" s="1254"/>
      <c r="T566" s="1254"/>
      <c r="U566" s="1254"/>
      <c r="V566" s="1254"/>
      <c r="W566" s="1254"/>
      <c r="X566" s="1254"/>
      <c r="Y566" s="1254"/>
      <c r="Z566" s="1254"/>
    </row>
    <row r="567">
      <c r="A567" s="1254"/>
      <c r="B567" s="1254"/>
      <c r="C567" s="1320"/>
      <c r="D567" s="1254"/>
      <c r="E567" s="1254"/>
      <c r="F567" s="1263"/>
      <c r="G567" s="1317"/>
      <c r="H567" s="1254"/>
      <c r="I567" s="1318"/>
      <c r="J567" s="1254"/>
      <c r="K567" s="1254"/>
      <c r="L567" s="1254"/>
      <c r="M567" s="1254"/>
      <c r="N567" s="1318"/>
      <c r="O567" s="1386"/>
      <c r="P567" s="1254"/>
      <c r="Q567" s="1254"/>
      <c r="R567" s="1254"/>
      <c r="S567" s="1254"/>
      <c r="T567" s="1254"/>
      <c r="U567" s="1254"/>
      <c r="V567" s="1254"/>
      <c r="W567" s="1254"/>
      <c r="X567" s="1254"/>
      <c r="Y567" s="1254"/>
      <c r="Z567" s="1254"/>
    </row>
    <row r="568">
      <c r="A568" s="1254"/>
      <c r="B568" s="1254"/>
      <c r="C568" s="1320"/>
      <c r="D568" s="1254"/>
      <c r="E568" s="1254"/>
      <c r="F568" s="1263"/>
      <c r="G568" s="1317"/>
      <c r="H568" s="1254"/>
      <c r="I568" s="1318"/>
      <c r="J568" s="1254"/>
      <c r="K568" s="1254"/>
      <c r="L568" s="1254"/>
      <c r="M568" s="1254"/>
      <c r="N568" s="1318"/>
      <c r="O568" s="1386"/>
      <c r="P568" s="1254"/>
      <c r="Q568" s="1254"/>
      <c r="R568" s="1254"/>
      <c r="S568" s="1254"/>
      <c r="T568" s="1254"/>
      <c r="U568" s="1254"/>
      <c r="V568" s="1254"/>
      <c r="W568" s="1254"/>
      <c r="X568" s="1254"/>
      <c r="Y568" s="1254"/>
      <c r="Z568" s="1254"/>
    </row>
    <row r="569">
      <c r="A569" s="1254"/>
      <c r="B569" s="1254"/>
      <c r="C569" s="1320"/>
      <c r="D569" s="1254"/>
      <c r="E569" s="1254"/>
      <c r="F569" s="1263"/>
      <c r="G569" s="1317"/>
      <c r="H569" s="1254"/>
      <c r="I569" s="1318"/>
      <c r="J569" s="1254"/>
      <c r="K569" s="1254"/>
      <c r="L569" s="1254"/>
      <c r="M569" s="1254"/>
      <c r="N569" s="1318"/>
      <c r="O569" s="1386"/>
      <c r="P569" s="1254"/>
      <c r="Q569" s="1254"/>
      <c r="R569" s="1254"/>
      <c r="S569" s="1254"/>
      <c r="T569" s="1254"/>
      <c r="U569" s="1254"/>
      <c r="V569" s="1254"/>
      <c r="W569" s="1254"/>
      <c r="X569" s="1254"/>
      <c r="Y569" s="1254"/>
      <c r="Z569" s="1254"/>
    </row>
    <row r="570">
      <c r="A570" s="1254"/>
      <c r="B570" s="1254"/>
      <c r="C570" s="1320"/>
      <c r="D570" s="1254"/>
      <c r="E570" s="1254"/>
      <c r="F570" s="1263"/>
      <c r="G570" s="1317"/>
      <c r="H570" s="1254"/>
      <c r="I570" s="1318"/>
      <c r="J570" s="1254"/>
      <c r="K570" s="1254"/>
      <c r="L570" s="1254"/>
      <c r="M570" s="1254"/>
      <c r="N570" s="1318"/>
      <c r="O570" s="1386"/>
      <c r="P570" s="1254"/>
      <c r="Q570" s="1254"/>
      <c r="R570" s="1254"/>
      <c r="S570" s="1254"/>
      <c r="T570" s="1254"/>
      <c r="U570" s="1254"/>
      <c r="V570" s="1254"/>
      <c r="W570" s="1254"/>
      <c r="X570" s="1254"/>
      <c r="Y570" s="1254"/>
      <c r="Z570" s="1254"/>
    </row>
    <row r="571">
      <c r="A571" s="1254"/>
      <c r="B571" s="1254"/>
      <c r="C571" s="1320"/>
      <c r="D571" s="1254"/>
      <c r="E571" s="1254"/>
      <c r="F571" s="1263"/>
      <c r="G571" s="1317"/>
      <c r="H571" s="1254"/>
      <c r="I571" s="1318"/>
      <c r="J571" s="1254"/>
      <c r="K571" s="1254"/>
      <c r="L571" s="1254"/>
      <c r="M571" s="1254"/>
      <c r="N571" s="1318"/>
      <c r="O571" s="1386"/>
      <c r="P571" s="1254"/>
      <c r="Q571" s="1254"/>
      <c r="R571" s="1254"/>
      <c r="S571" s="1254"/>
      <c r="T571" s="1254"/>
      <c r="U571" s="1254"/>
      <c r="V571" s="1254"/>
      <c r="W571" s="1254"/>
      <c r="X571" s="1254"/>
      <c r="Y571" s="1254"/>
      <c r="Z571" s="1254"/>
    </row>
    <row r="572">
      <c r="A572" s="1254"/>
      <c r="B572" s="1254"/>
      <c r="C572" s="1320"/>
      <c r="D572" s="1254"/>
      <c r="E572" s="1254"/>
      <c r="F572" s="1263"/>
      <c r="G572" s="1317"/>
      <c r="H572" s="1254"/>
      <c r="I572" s="1318"/>
      <c r="J572" s="1254"/>
      <c r="K572" s="1254"/>
      <c r="L572" s="1254"/>
      <c r="M572" s="1254"/>
      <c r="N572" s="1318"/>
      <c r="O572" s="1386"/>
      <c r="P572" s="1254"/>
      <c r="Q572" s="1254"/>
      <c r="R572" s="1254"/>
      <c r="S572" s="1254"/>
      <c r="T572" s="1254"/>
      <c r="U572" s="1254"/>
      <c r="V572" s="1254"/>
      <c r="W572" s="1254"/>
      <c r="X572" s="1254"/>
      <c r="Y572" s="1254"/>
      <c r="Z572" s="1254"/>
    </row>
    <row r="573">
      <c r="A573" s="1254"/>
      <c r="B573" s="1254"/>
      <c r="C573" s="1320"/>
      <c r="D573" s="1254"/>
      <c r="E573" s="1254"/>
      <c r="F573" s="1263"/>
      <c r="G573" s="1317"/>
      <c r="H573" s="1254"/>
      <c r="I573" s="1318"/>
      <c r="J573" s="1254"/>
      <c r="K573" s="1254"/>
      <c r="L573" s="1254"/>
      <c r="M573" s="1254"/>
      <c r="N573" s="1318"/>
      <c r="O573" s="1386"/>
      <c r="P573" s="1254"/>
      <c r="Q573" s="1254"/>
      <c r="R573" s="1254"/>
      <c r="S573" s="1254"/>
      <c r="T573" s="1254"/>
      <c r="U573" s="1254"/>
      <c r="V573" s="1254"/>
      <c r="W573" s="1254"/>
      <c r="X573" s="1254"/>
      <c r="Y573" s="1254"/>
      <c r="Z573" s="1254"/>
    </row>
    <row r="574">
      <c r="A574" s="1254"/>
      <c r="B574" s="1254"/>
      <c r="C574" s="1320"/>
      <c r="D574" s="1254"/>
      <c r="E574" s="1254"/>
      <c r="F574" s="1263"/>
      <c r="G574" s="1317"/>
      <c r="H574" s="1254"/>
      <c r="I574" s="1318"/>
      <c r="J574" s="1254"/>
      <c r="K574" s="1254"/>
      <c r="L574" s="1254"/>
      <c r="M574" s="1254"/>
      <c r="N574" s="1318"/>
      <c r="O574" s="1386"/>
      <c r="P574" s="1254"/>
      <c r="Q574" s="1254"/>
      <c r="R574" s="1254"/>
      <c r="S574" s="1254"/>
      <c r="T574" s="1254"/>
      <c r="U574" s="1254"/>
      <c r="V574" s="1254"/>
      <c r="W574" s="1254"/>
      <c r="X574" s="1254"/>
      <c r="Y574" s="1254"/>
      <c r="Z574" s="1254"/>
    </row>
    <row r="575">
      <c r="A575" s="1254"/>
      <c r="B575" s="1254"/>
      <c r="C575" s="1320"/>
      <c r="D575" s="1254"/>
      <c r="E575" s="1254"/>
      <c r="F575" s="1263"/>
      <c r="G575" s="1317"/>
      <c r="H575" s="1254"/>
      <c r="I575" s="1318"/>
      <c r="J575" s="1254"/>
      <c r="K575" s="1254"/>
      <c r="L575" s="1254"/>
      <c r="M575" s="1254"/>
      <c r="N575" s="1318"/>
      <c r="O575" s="1386"/>
      <c r="P575" s="1254"/>
      <c r="Q575" s="1254"/>
      <c r="R575" s="1254"/>
      <c r="S575" s="1254"/>
      <c r="T575" s="1254"/>
      <c r="U575" s="1254"/>
      <c r="V575" s="1254"/>
      <c r="W575" s="1254"/>
      <c r="X575" s="1254"/>
      <c r="Y575" s="1254"/>
      <c r="Z575" s="1254"/>
    </row>
    <row r="576">
      <c r="A576" s="1254"/>
      <c r="B576" s="1254"/>
      <c r="C576" s="1320"/>
      <c r="D576" s="1254"/>
      <c r="E576" s="1254"/>
      <c r="F576" s="1263"/>
      <c r="G576" s="1317"/>
      <c r="H576" s="1254"/>
      <c r="I576" s="1318"/>
      <c r="J576" s="1254"/>
      <c r="K576" s="1254"/>
      <c r="L576" s="1254"/>
      <c r="M576" s="1254"/>
      <c r="N576" s="1318"/>
      <c r="O576" s="1386"/>
      <c r="P576" s="1254"/>
      <c r="Q576" s="1254"/>
      <c r="R576" s="1254"/>
      <c r="S576" s="1254"/>
      <c r="T576" s="1254"/>
      <c r="U576" s="1254"/>
      <c r="V576" s="1254"/>
      <c r="W576" s="1254"/>
      <c r="X576" s="1254"/>
      <c r="Y576" s="1254"/>
      <c r="Z576" s="1254"/>
    </row>
    <row r="577">
      <c r="A577" s="1254"/>
      <c r="B577" s="1254"/>
      <c r="C577" s="1320"/>
      <c r="D577" s="1254"/>
      <c r="E577" s="1254"/>
      <c r="F577" s="1263"/>
      <c r="G577" s="1317"/>
      <c r="H577" s="1254"/>
      <c r="I577" s="1318"/>
      <c r="J577" s="1254"/>
      <c r="K577" s="1254"/>
      <c r="L577" s="1254"/>
      <c r="M577" s="1254"/>
      <c r="N577" s="1318"/>
      <c r="O577" s="1386"/>
      <c r="P577" s="1254"/>
      <c r="Q577" s="1254"/>
      <c r="R577" s="1254"/>
      <c r="S577" s="1254"/>
      <c r="T577" s="1254"/>
      <c r="U577" s="1254"/>
      <c r="V577" s="1254"/>
      <c r="W577" s="1254"/>
      <c r="X577" s="1254"/>
      <c r="Y577" s="1254"/>
      <c r="Z577" s="1254"/>
    </row>
    <row r="578">
      <c r="A578" s="1254"/>
      <c r="B578" s="1254"/>
      <c r="C578" s="1320"/>
      <c r="D578" s="1254"/>
      <c r="E578" s="1254"/>
      <c r="F578" s="1263"/>
      <c r="G578" s="1317"/>
      <c r="H578" s="1254"/>
      <c r="I578" s="1318"/>
      <c r="J578" s="1254"/>
      <c r="K578" s="1254"/>
      <c r="L578" s="1254"/>
      <c r="M578" s="1254"/>
      <c r="N578" s="1318"/>
      <c r="O578" s="1386"/>
      <c r="P578" s="1254"/>
      <c r="Q578" s="1254"/>
      <c r="R578" s="1254"/>
      <c r="S578" s="1254"/>
      <c r="T578" s="1254"/>
      <c r="U578" s="1254"/>
      <c r="V578" s="1254"/>
      <c r="W578" s="1254"/>
      <c r="X578" s="1254"/>
      <c r="Y578" s="1254"/>
      <c r="Z578" s="1254"/>
    </row>
    <row r="579">
      <c r="A579" s="1254"/>
      <c r="B579" s="1254"/>
      <c r="C579" s="1320"/>
      <c r="D579" s="1254"/>
      <c r="E579" s="1254"/>
      <c r="F579" s="1263"/>
      <c r="G579" s="1317"/>
      <c r="H579" s="1254"/>
      <c r="I579" s="1318"/>
      <c r="J579" s="1254"/>
      <c r="K579" s="1254"/>
      <c r="L579" s="1254"/>
      <c r="M579" s="1254"/>
      <c r="N579" s="1318"/>
      <c r="O579" s="1386"/>
      <c r="P579" s="1254"/>
      <c r="Q579" s="1254"/>
      <c r="R579" s="1254"/>
      <c r="S579" s="1254"/>
      <c r="T579" s="1254"/>
      <c r="U579" s="1254"/>
      <c r="V579" s="1254"/>
      <c r="W579" s="1254"/>
      <c r="X579" s="1254"/>
      <c r="Y579" s="1254"/>
      <c r="Z579" s="1254"/>
    </row>
    <row r="580">
      <c r="A580" s="1254"/>
      <c r="B580" s="1254"/>
      <c r="C580" s="1320"/>
      <c r="D580" s="1254"/>
      <c r="E580" s="1254"/>
      <c r="F580" s="1263"/>
      <c r="G580" s="1317"/>
      <c r="H580" s="1254"/>
      <c r="I580" s="1318"/>
      <c r="J580" s="1254"/>
      <c r="K580" s="1254"/>
      <c r="L580" s="1254"/>
      <c r="M580" s="1254"/>
      <c r="N580" s="1318"/>
      <c r="O580" s="1386"/>
      <c r="P580" s="1254"/>
      <c r="Q580" s="1254"/>
      <c r="R580" s="1254"/>
      <c r="S580" s="1254"/>
      <c r="T580" s="1254"/>
      <c r="U580" s="1254"/>
      <c r="V580" s="1254"/>
      <c r="W580" s="1254"/>
      <c r="X580" s="1254"/>
      <c r="Y580" s="1254"/>
      <c r="Z580" s="1254"/>
    </row>
    <row r="581">
      <c r="A581" s="1254"/>
      <c r="B581" s="1254"/>
      <c r="C581" s="1320"/>
      <c r="D581" s="1254"/>
      <c r="E581" s="1254"/>
      <c r="F581" s="1263"/>
      <c r="G581" s="1317"/>
      <c r="H581" s="1254"/>
      <c r="I581" s="1318"/>
      <c r="J581" s="1254"/>
      <c r="K581" s="1254"/>
      <c r="L581" s="1254"/>
      <c r="M581" s="1254"/>
      <c r="N581" s="1318"/>
      <c r="O581" s="1386"/>
      <c r="P581" s="1254"/>
      <c r="Q581" s="1254"/>
      <c r="R581" s="1254"/>
      <c r="S581" s="1254"/>
      <c r="T581" s="1254"/>
      <c r="U581" s="1254"/>
      <c r="V581" s="1254"/>
      <c r="W581" s="1254"/>
      <c r="X581" s="1254"/>
      <c r="Y581" s="1254"/>
      <c r="Z581" s="1254"/>
    </row>
    <row r="582">
      <c r="A582" s="1254"/>
      <c r="B582" s="1254"/>
      <c r="C582" s="1320"/>
      <c r="D582" s="1254"/>
      <c r="E582" s="1254"/>
      <c r="F582" s="1263"/>
      <c r="G582" s="1317"/>
      <c r="H582" s="1254"/>
      <c r="I582" s="1318"/>
      <c r="J582" s="1254"/>
      <c r="K582" s="1254"/>
      <c r="L582" s="1254"/>
      <c r="M582" s="1254"/>
      <c r="N582" s="1318"/>
      <c r="O582" s="1386"/>
      <c r="P582" s="1254"/>
      <c r="Q582" s="1254"/>
      <c r="R582" s="1254"/>
      <c r="S582" s="1254"/>
      <c r="T582" s="1254"/>
      <c r="U582" s="1254"/>
      <c r="V582" s="1254"/>
      <c r="W582" s="1254"/>
      <c r="X582" s="1254"/>
      <c r="Y582" s="1254"/>
      <c r="Z582" s="1254"/>
    </row>
    <row r="583">
      <c r="A583" s="1254"/>
      <c r="B583" s="1254"/>
      <c r="C583" s="1320"/>
      <c r="D583" s="1254"/>
      <c r="E583" s="1254"/>
      <c r="F583" s="1263"/>
      <c r="G583" s="1317"/>
      <c r="H583" s="1254"/>
      <c r="I583" s="1318"/>
      <c r="J583" s="1254"/>
      <c r="K583" s="1254"/>
      <c r="L583" s="1254"/>
      <c r="M583" s="1254"/>
      <c r="N583" s="1318"/>
      <c r="O583" s="1386"/>
      <c r="P583" s="1254"/>
      <c r="Q583" s="1254"/>
      <c r="R583" s="1254"/>
      <c r="S583" s="1254"/>
      <c r="T583" s="1254"/>
      <c r="U583" s="1254"/>
      <c r="V583" s="1254"/>
      <c r="W583" s="1254"/>
      <c r="X583" s="1254"/>
      <c r="Y583" s="1254"/>
      <c r="Z583" s="1254"/>
    </row>
    <row r="584">
      <c r="A584" s="1254"/>
      <c r="B584" s="1254"/>
      <c r="C584" s="1320"/>
      <c r="D584" s="1254"/>
      <c r="E584" s="1254"/>
      <c r="F584" s="1263"/>
      <c r="G584" s="1317"/>
      <c r="H584" s="1254"/>
      <c r="I584" s="1318"/>
      <c r="J584" s="1254"/>
      <c r="K584" s="1254"/>
      <c r="L584" s="1254"/>
      <c r="M584" s="1254"/>
      <c r="N584" s="1318"/>
      <c r="O584" s="1386"/>
      <c r="P584" s="1254"/>
      <c r="Q584" s="1254"/>
      <c r="R584" s="1254"/>
      <c r="S584" s="1254"/>
      <c r="T584" s="1254"/>
      <c r="U584" s="1254"/>
      <c r="V584" s="1254"/>
      <c r="W584" s="1254"/>
      <c r="X584" s="1254"/>
      <c r="Y584" s="1254"/>
      <c r="Z584" s="1254"/>
    </row>
    <row r="585">
      <c r="A585" s="1254"/>
      <c r="B585" s="1254"/>
      <c r="C585" s="1320"/>
      <c r="D585" s="1254"/>
      <c r="E585" s="1254"/>
      <c r="F585" s="1263"/>
      <c r="G585" s="1317"/>
      <c r="H585" s="1254"/>
      <c r="I585" s="1318"/>
      <c r="J585" s="1254"/>
      <c r="K585" s="1254"/>
      <c r="L585" s="1254"/>
      <c r="M585" s="1254"/>
      <c r="N585" s="1318"/>
      <c r="O585" s="1386"/>
      <c r="P585" s="1254"/>
      <c r="Q585" s="1254"/>
      <c r="R585" s="1254"/>
      <c r="S585" s="1254"/>
      <c r="T585" s="1254"/>
      <c r="U585" s="1254"/>
      <c r="V585" s="1254"/>
      <c r="W585" s="1254"/>
      <c r="X585" s="1254"/>
      <c r="Y585" s="1254"/>
      <c r="Z585" s="1254"/>
    </row>
    <row r="586">
      <c r="A586" s="1254"/>
      <c r="B586" s="1254"/>
      <c r="C586" s="1320"/>
      <c r="D586" s="1254"/>
      <c r="E586" s="1254"/>
      <c r="F586" s="1263"/>
      <c r="G586" s="1317"/>
      <c r="H586" s="1254"/>
      <c r="I586" s="1318"/>
      <c r="J586" s="1254"/>
      <c r="K586" s="1254"/>
      <c r="L586" s="1254"/>
      <c r="M586" s="1254"/>
      <c r="N586" s="1318"/>
      <c r="O586" s="1386"/>
      <c r="P586" s="1254"/>
      <c r="Q586" s="1254"/>
      <c r="R586" s="1254"/>
      <c r="S586" s="1254"/>
      <c r="T586" s="1254"/>
      <c r="U586" s="1254"/>
      <c r="V586" s="1254"/>
      <c r="W586" s="1254"/>
      <c r="X586" s="1254"/>
      <c r="Y586" s="1254"/>
      <c r="Z586" s="1254"/>
    </row>
    <row r="587">
      <c r="A587" s="1254"/>
      <c r="B587" s="1254"/>
      <c r="C587" s="1320"/>
      <c r="D587" s="1254"/>
      <c r="E587" s="1254"/>
      <c r="F587" s="1263"/>
      <c r="G587" s="1317"/>
      <c r="H587" s="1254"/>
      <c r="I587" s="1318"/>
      <c r="J587" s="1254"/>
      <c r="K587" s="1254"/>
      <c r="L587" s="1254"/>
      <c r="M587" s="1254"/>
      <c r="N587" s="1318"/>
      <c r="O587" s="1386"/>
      <c r="P587" s="1254"/>
      <c r="Q587" s="1254"/>
      <c r="R587" s="1254"/>
      <c r="S587" s="1254"/>
      <c r="T587" s="1254"/>
      <c r="U587" s="1254"/>
      <c r="V587" s="1254"/>
      <c r="W587" s="1254"/>
      <c r="X587" s="1254"/>
      <c r="Y587" s="1254"/>
      <c r="Z587" s="1254"/>
    </row>
    <row r="588">
      <c r="A588" s="1254"/>
      <c r="B588" s="1254"/>
      <c r="C588" s="1320"/>
      <c r="D588" s="1254"/>
      <c r="E588" s="1254"/>
      <c r="F588" s="1263"/>
      <c r="G588" s="1317"/>
      <c r="H588" s="1254"/>
      <c r="I588" s="1318"/>
      <c r="J588" s="1254"/>
      <c r="K588" s="1254"/>
      <c r="L588" s="1254"/>
      <c r="M588" s="1254"/>
      <c r="N588" s="1318"/>
      <c r="O588" s="1386"/>
      <c r="P588" s="1254"/>
      <c r="Q588" s="1254"/>
      <c r="R588" s="1254"/>
      <c r="S588" s="1254"/>
      <c r="T588" s="1254"/>
      <c r="U588" s="1254"/>
      <c r="V588" s="1254"/>
      <c r="W588" s="1254"/>
      <c r="X588" s="1254"/>
      <c r="Y588" s="1254"/>
      <c r="Z588" s="1254"/>
    </row>
    <row r="589">
      <c r="A589" s="1254"/>
      <c r="B589" s="1254"/>
      <c r="C589" s="1320"/>
      <c r="D589" s="1254"/>
      <c r="E589" s="1254"/>
      <c r="F589" s="1263"/>
      <c r="G589" s="1317"/>
      <c r="H589" s="1254"/>
      <c r="I589" s="1318"/>
      <c r="J589" s="1254"/>
      <c r="K589" s="1254"/>
      <c r="L589" s="1254"/>
      <c r="M589" s="1254"/>
      <c r="N589" s="1318"/>
      <c r="O589" s="1386"/>
      <c r="P589" s="1254"/>
      <c r="Q589" s="1254"/>
      <c r="R589" s="1254"/>
      <c r="S589" s="1254"/>
      <c r="T589" s="1254"/>
      <c r="U589" s="1254"/>
      <c r="V589" s="1254"/>
      <c r="W589" s="1254"/>
      <c r="X589" s="1254"/>
      <c r="Y589" s="1254"/>
      <c r="Z589" s="1254"/>
    </row>
    <row r="590">
      <c r="A590" s="1254"/>
      <c r="B590" s="1254"/>
      <c r="C590" s="1320"/>
      <c r="D590" s="1254"/>
      <c r="E590" s="1254"/>
      <c r="F590" s="1263"/>
      <c r="G590" s="1317"/>
      <c r="H590" s="1254"/>
      <c r="I590" s="1318"/>
      <c r="J590" s="1254"/>
      <c r="K590" s="1254"/>
      <c r="L590" s="1254"/>
      <c r="M590" s="1254"/>
      <c r="N590" s="1318"/>
      <c r="O590" s="1386"/>
      <c r="P590" s="1254"/>
      <c r="Q590" s="1254"/>
      <c r="R590" s="1254"/>
      <c r="S590" s="1254"/>
      <c r="T590" s="1254"/>
      <c r="U590" s="1254"/>
      <c r="V590" s="1254"/>
      <c r="W590" s="1254"/>
      <c r="X590" s="1254"/>
      <c r="Y590" s="1254"/>
      <c r="Z590" s="1254"/>
    </row>
    <row r="591">
      <c r="A591" s="1254"/>
      <c r="B591" s="1254"/>
      <c r="C591" s="1320"/>
      <c r="D591" s="1254"/>
      <c r="E591" s="1254"/>
      <c r="F591" s="1263"/>
      <c r="G591" s="1317"/>
      <c r="H591" s="1254"/>
      <c r="I591" s="1318"/>
      <c r="J591" s="1254"/>
      <c r="K591" s="1254"/>
      <c r="L591" s="1254"/>
      <c r="M591" s="1254"/>
      <c r="N591" s="1318"/>
      <c r="O591" s="1386"/>
      <c r="P591" s="1254"/>
      <c r="Q591" s="1254"/>
      <c r="R591" s="1254"/>
      <c r="S591" s="1254"/>
      <c r="T591" s="1254"/>
      <c r="U591" s="1254"/>
      <c r="V591" s="1254"/>
      <c r="W591" s="1254"/>
      <c r="X591" s="1254"/>
      <c r="Y591" s="1254"/>
      <c r="Z591" s="1254"/>
    </row>
    <row r="592">
      <c r="A592" s="1254"/>
      <c r="B592" s="1254"/>
      <c r="C592" s="1320"/>
      <c r="D592" s="1254"/>
      <c r="E592" s="1254"/>
      <c r="F592" s="1263"/>
      <c r="G592" s="1317"/>
      <c r="H592" s="1254"/>
      <c r="I592" s="1318"/>
      <c r="J592" s="1254"/>
      <c r="K592" s="1254"/>
      <c r="L592" s="1254"/>
      <c r="M592" s="1254"/>
      <c r="N592" s="1318"/>
      <c r="O592" s="1386"/>
      <c r="P592" s="1254"/>
      <c r="Q592" s="1254"/>
      <c r="R592" s="1254"/>
      <c r="S592" s="1254"/>
      <c r="T592" s="1254"/>
      <c r="U592" s="1254"/>
      <c r="V592" s="1254"/>
      <c r="W592" s="1254"/>
      <c r="X592" s="1254"/>
      <c r="Y592" s="1254"/>
      <c r="Z592" s="1254"/>
    </row>
    <row r="593">
      <c r="A593" s="1254"/>
      <c r="B593" s="1254"/>
      <c r="C593" s="1320"/>
      <c r="D593" s="1254"/>
      <c r="E593" s="1254"/>
      <c r="F593" s="1263"/>
      <c r="G593" s="1317"/>
      <c r="H593" s="1254"/>
      <c r="I593" s="1318"/>
      <c r="J593" s="1254"/>
      <c r="K593" s="1254"/>
      <c r="L593" s="1254"/>
      <c r="M593" s="1254"/>
      <c r="N593" s="1318"/>
      <c r="O593" s="1386"/>
      <c r="P593" s="1254"/>
      <c r="Q593" s="1254"/>
      <c r="R593" s="1254"/>
      <c r="S593" s="1254"/>
      <c r="T593" s="1254"/>
      <c r="U593" s="1254"/>
      <c r="V593" s="1254"/>
      <c r="W593" s="1254"/>
      <c r="X593" s="1254"/>
      <c r="Y593" s="1254"/>
      <c r="Z593" s="1254"/>
    </row>
    <row r="594">
      <c r="A594" s="1254"/>
      <c r="B594" s="1254"/>
      <c r="C594" s="1320"/>
      <c r="D594" s="1254"/>
      <c r="E594" s="1254"/>
      <c r="F594" s="1263"/>
      <c r="G594" s="1317"/>
      <c r="H594" s="1254"/>
      <c r="I594" s="1318"/>
      <c r="J594" s="1254"/>
      <c r="K594" s="1254"/>
      <c r="L594" s="1254"/>
      <c r="M594" s="1254"/>
      <c r="N594" s="1318"/>
      <c r="O594" s="1386"/>
      <c r="P594" s="1254"/>
      <c r="Q594" s="1254"/>
      <c r="R594" s="1254"/>
      <c r="S594" s="1254"/>
      <c r="T594" s="1254"/>
      <c r="U594" s="1254"/>
      <c r="V594" s="1254"/>
      <c r="W594" s="1254"/>
      <c r="X594" s="1254"/>
      <c r="Y594" s="1254"/>
      <c r="Z594" s="1254"/>
    </row>
    <row r="595">
      <c r="A595" s="1254"/>
      <c r="B595" s="1254"/>
      <c r="C595" s="1320"/>
      <c r="D595" s="1254"/>
      <c r="E595" s="1254"/>
      <c r="F595" s="1263"/>
      <c r="G595" s="1317"/>
      <c r="H595" s="1254"/>
      <c r="I595" s="1318"/>
      <c r="J595" s="1254"/>
      <c r="K595" s="1254"/>
      <c r="L595" s="1254"/>
      <c r="M595" s="1254"/>
      <c r="N595" s="1318"/>
      <c r="O595" s="1386"/>
      <c r="P595" s="1254"/>
      <c r="Q595" s="1254"/>
      <c r="R595" s="1254"/>
      <c r="S595" s="1254"/>
      <c r="T595" s="1254"/>
      <c r="U595" s="1254"/>
      <c r="V595" s="1254"/>
      <c r="W595" s="1254"/>
      <c r="X595" s="1254"/>
      <c r="Y595" s="1254"/>
      <c r="Z595" s="1254"/>
    </row>
    <row r="596">
      <c r="A596" s="1254"/>
      <c r="B596" s="1254"/>
      <c r="C596" s="1320"/>
      <c r="D596" s="1254"/>
      <c r="E596" s="1254"/>
      <c r="F596" s="1263"/>
      <c r="G596" s="1317"/>
      <c r="H596" s="1254"/>
      <c r="I596" s="1318"/>
      <c r="J596" s="1254"/>
      <c r="K596" s="1254"/>
      <c r="L596" s="1254"/>
      <c r="M596" s="1254"/>
      <c r="N596" s="1318"/>
      <c r="O596" s="1386"/>
      <c r="P596" s="1254"/>
      <c r="Q596" s="1254"/>
      <c r="R596" s="1254"/>
      <c r="S596" s="1254"/>
      <c r="T596" s="1254"/>
      <c r="U596" s="1254"/>
      <c r="V596" s="1254"/>
      <c r="W596" s="1254"/>
      <c r="X596" s="1254"/>
      <c r="Y596" s="1254"/>
      <c r="Z596" s="1254"/>
    </row>
    <row r="597">
      <c r="A597" s="1254"/>
      <c r="B597" s="1254"/>
      <c r="C597" s="1320"/>
      <c r="D597" s="1254"/>
      <c r="E597" s="1254"/>
      <c r="F597" s="1263"/>
      <c r="G597" s="1317"/>
      <c r="H597" s="1254"/>
      <c r="I597" s="1318"/>
      <c r="J597" s="1254"/>
      <c r="K597" s="1254"/>
      <c r="L597" s="1254"/>
      <c r="M597" s="1254"/>
      <c r="N597" s="1318"/>
      <c r="O597" s="1386"/>
      <c r="P597" s="1254"/>
      <c r="Q597" s="1254"/>
      <c r="R597" s="1254"/>
      <c r="S597" s="1254"/>
      <c r="T597" s="1254"/>
      <c r="U597" s="1254"/>
      <c r="V597" s="1254"/>
      <c r="W597" s="1254"/>
      <c r="X597" s="1254"/>
      <c r="Y597" s="1254"/>
      <c r="Z597" s="1254"/>
    </row>
    <row r="598">
      <c r="A598" s="1254"/>
      <c r="B598" s="1254"/>
      <c r="C598" s="1320"/>
      <c r="D598" s="1254"/>
      <c r="E598" s="1254"/>
      <c r="F598" s="1263"/>
      <c r="G598" s="1317"/>
      <c r="H598" s="1254"/>
      <c r="I598" s="1318"/>
      <c r="J598" s="1254"/>
      <c r="K598" s="1254"/>
      <c r="L598" s="1254"/>
      <c r="M598" s="1254"/>
      <c r="N598" s="1318"/>
      <c r="O598" s="1386"/>
      <c r="P598" s="1254"/>
      <c r="Q598" s="1254"/>
      <c r="R598" s="1254"/>
      <c r="S598" s="1254"/>
      <c r="T598" s="1254"/>
      <c r="U598" s="1254"/>
      <c r="V598" s="1254"/>
      <c r="W598" s="1254"/>
      <c r="X598" s="1254"/>
      <c r="Y598" s="1254"/>
      <c r="Z598" s="1254"/>
    </row>
    <row r="599">
      <c r="A599" s="1254"/>
      <c r="B599" s="1254"/>
      <c r="C599" s="1320"/>
      <c r="D599" s="1254"/>
      <c r="E599" s="1254"/>
      <c r="F599" s="1263"/>
      <c r="G599" s="1317"/>
      <c r="H599" s="1254"/>
      <c r="I599" s="1318"/>
      <c r="J599" s="1254"/>
      <c r="K599" s="1254"/>
      <c r="L599" s="1254"/>
      <c r="M599" s="1254"/>
      <c r="N599" s="1318"/>
      <c r="O599" s="1386"/>
      <c r="P599" s="1254"/>
      <c r="Q599" s="1254"/>
      <c r="R599" s="1254"/>
      <c r="S599" s="1254"/>
      <c r="T599" s="1254"/>
      <c r="U599" s="1254"/>
      <c r="V599" s="1254"/>
      <c r="W599" s="1254"/>
      <c r="X599" s="1254"/>
      <c r="Y599" s="1254"/>
      <c r="Z599" s="1254"/>
    </row>
    <row r="600">
      <c r="A600" s="1254"/>
      <c r="B600" s="1254"/>
      <c r="C600" s="1320"/>
      <c r="D600" s="1254"/>
      <c r="E600" s="1254"/>
      <c r="F600" s="1263"/>
      <c r="G600" s="1317"/>
      <c r="H600" s="1254"/>
      <c r="I600" s="1318"/>
      <c r="J600" s="1254"/>
      <c r="K600" s="1254"/>
      <c r="L600" s="1254"/>
      <c r="M600" s="1254"/>
      <c r="N600" s="1318"/>
      <c r="O600" s="1386"/>
      <c r="P600" s="1254"/>
      <c r="Q600" s="1254"/>
      <c r="R600" s="1254"/>
      <c r="S600" s="1254"/>
      <c r="T600" s="1254"/>
      <c r="U600" s="1254"/>
      <c r="V600" s="1254"/>
      <c r="W600" s="1254"/>
      <c r="X600" s="1254"/>
      <c r="Y600" s="1254"/>
      <c r="Z600" s="1254"/>
    </row>
    <row r="601">
      <c r="A601" s="1254"/>
      <c r="B601" s="1254"/>
      <c r="C601" s="1320"/>
      <c r="D601" s="1254"/>
      <c r="E601" s="1254"/>
      <c r="F601" s="1263"/>
      <c r="G601" s="1317"/>
      <c r="H601" s="1254"/>
      <c r="I601" s="1318"/>
      <c r="J601" s="1254"/>
      <c r="K601" s="1254"/>
      <c r="L601" s="1254"/>
      <c r="M601" s="1254"/>
      <c r="N601" s="1318"/>
      <c r="O601" s="1386"/>
      <c r="P601" s="1254"/>
      <c r="Q601" s="1254"/>
      <c r="R601" s="1254"/>
      <c r="S601" s="1254"/>
      <c r="T601" s="1254"/>
      <c r="U601" s="1254"/>
      <c r="V601" s="1254"/>
      <c r="W601" s="1254"/>
      <c r="X601" s="1254"/>
      <c r="Y601" s="1254"/>
      <c r="Z601" s="1254"/>
    </row>
    <row r="602">
      <c r="A602" s="1254"/>
      <c r="B602" s="1254"/>
      <c r="C602" s="1320"/>
      <c r="D602" s="1254"/>
      <c r="E602" s="1254"/>
      <c r="F602" s="1263"/>
      <c r="G602" s="1317"/>
      <c r="H602" s="1254"/>
      <c r="I602" s="1318"/>
      <c r="J602" s="1254"/>
      <c r="K602" s="1254"/>
      <c r="L602" s="1254"/>
      <c r="M602" s="1254"/>
      <c r="N602" s="1318"/>
      <c r="O602" s="1386"/>
      <c r="P602" s="1254"/>
      <c r="Q602" s="1254"/>
      <c r="R602" s="1254"/>
      <c r="S602" s="1254"/>
      <c r="T602" s="1254"/>
      <c r="U602" s="1254"/>
      <c r="V602" s="1254"/>
      <c r="W602" s="1254"/>
      <c r="X602" s="1254"/>
      <c r="Y602" s="1254"/>
      <c r="Z602" s="1254"/>
    </row>
    <row r="603">
      <c r="A603" s="1254"/>
      <c r="B603" s="1254"/>
      <c r="C603" s="1320"/>
      <c r="D603" s="1254"/>
      <c r="E603" s="1254"/>
      <c r="F603" s="1263"/>
      <c r="G603" s="1317"/>
      <c r="H603" s="1254"/>
      <c r="I603" s="1318"/>
      <c r="J603" s="1254"/>
      <c r="K603" s="1254"/>
      <c r="L603" s="1254"/>
      <c r="M603" s="1254"/>
      <c r="N603" s="1318"/>
      <c r="O603" s="1386"/>
      <c r="P603" s="1254"/>
      <c r="Q603" s="1254"/>
      <c r="R603" s="1254"/>
      <c r="S603" s="1254"/>
      <c r="T603" s="1254"/>
      <c r="U603" s="1254"/>
      <c r="V603" s="1254"/>
      <c r="W603" s="1254"/>
      <c r="X603" s="1254"/>
      <c r="Y603" s="1254"/>
      <c r="Z603" s="1254"/>
    </row>
    <row r="604">
      <c r="A604" s="1254"/>
      <c r="B604" s="1254"/>
      <c r="C604" s="1320"/>
      <c r="D604" s="1254"/>
      <c r="E604" s="1254"/>
      <c r="F604" s="1263"/>
      <c r="G604" s="1317"/>
      <c r="H604" s="1254"/>
      <c r="I604" s="1318"/>
      <c r="J604" s="1254"/>
      <c r="K604" s="1254"/>
      <c r="L604" s="1254"/>
      <c r="M604" s="1254"/>
      <c r="N604" s="1318"/>
      <c r="O604" s="1386"/>
      <c r="P604" s="1254"/>
      <c r="Q604" s="1254"/>
      <c r="R604" s="1254"/>
      <c r="S604" s="1254"/>
      <c r="T604" s="1254"/>
      <c r="U604" s="1254"/>
      <c r="V604" s="1254"/>
      <c r="W604" s="1254"/>
      <c r="X604" s="1254"/>
      <c r="Y604" s="1254"/>
      <c r="Z604" s="1254"/>
    </row>
    <row r="605">
      <c r="A605" s="1254"/>
      <c r="B605" s="1254"/>
      <c r="C605" s="1320"/>
      <c r="D605" s="1254"/>
      <c r="E605" s="1254"/>
      <c r="F605" s="1263"/>
      <c r="G605" s="1317"/>
      <c r="H605" s="1254"/>
      <c r="I605" s="1318"/>
      <c r="J605" s="1254"/>
      <c r="K605" s="1254"/>
      <c r="L605" s="1254"/>
      <c r="M605" s="1254"/>
      <c r="N605" s="1318"/>
      <c r="O605" s="1386"/>
      <c r="P605" s="1254"/>
      <c r="Q605" s="1254"/>
      <c r="R605" s="1254"/>
      <c r="S605" s="1254"/>
      <c r="T605" s="1254"/>
      <c r="U605" s="1254"/>
      <c r="V605" s="1254"/>
      <c r="W605" s="1254"/>
      <c r="X605" s="1254"/>
      <c r="Y605" s="1254"/>
      <c r="Z605" s="1254"/>
    </row>
    <row r="606">
      <c r="A606" s="1254"/>
      <c r="B606" s="1254"/>
      <c r="C606" s="1320"/>
      <c r="D606" s="1254"/>
      <c r="E606" s="1254"/>
      <c r="F606" s="1263"/>
      <c r="G606" s="1317"/>
      <c r="H606" s="1254"/>
      <c r="I606" s="1318"/>
      <c r="J606" s="1254"/>
      <c r="K606" s="1254"/>
      <c r="L606" s="1254"/>
      <c r="M606" s="1254"/>
      <c r="N606" s="1318"/>
      <c r="O606" s="1386"/>
      <c r="P606" s="1254"/>
      <c r="Q606" s="1254"/>
      <c r="R606" s="1254"/>
      <c r="S606" s="1254"/>
      <c r="T606" s="1254"/>
      <c r="U606" s="1254"/>
      <c r="V606" s="1254"/>
      <c r="W606" s="1254"/>
      <c r="X606" s="1254"/>
      <c r="Y606" s="1254"/>
      <c r="Z606" s="1254"/>
    </row>
    <row r="607">
      <c r="A607" s="1254"/>
      <c r="B607" s="1254"/>
      <c r="C607" s="1320"/>
      <c r="D607" s="1254"/>
      <c r="E607" s="1254"/>
      <c r="F607" s="1263"/>
      <c r="G607" s="1317"/>
      <c r="H607" s="1254"/>
      <c r="I607" s="1318"/>
      <c r="J607" s="1254"/>
      <c r="K607" s="1254"/>
      <c r="L607" s="1254"/>
      <c r="M607" s="1254"/>
      <c r="N607" s="1318"/>
      <c r="O607" s="1386"/>
      <c r="P607" s="1254"/>
      <c r="Q607" s="1254"/>
      <c r="R607" s="1254"/>
      <c r="S607" s="1254"/>
      <c r="T607" s="1254"/>
      <c r="U607" s="1254"/>
      <c r="V607" s="1254"/>
      <c r="W607" s="1254"/>
      <c r="X607" s="1254"/>
      <c r="Y607" s="1254"/>
      <c r="Z607" s="1254"/>
    </row>
    <row r="608">
      <c r="A608" s="1254"/>
      <c r="B608" s="1254"/>
      <c r="C608" s="1320"/>
      <c r="D608" s="1254"/>
      <c r="E608" s="1254"/>
      <c r="F608" s="1263"/>
      <c r="G608" s="1317"/>
      <c r="H608" s="1254"/>
      <c r="I608" s="1318"/>
      <c r="J608" s="1254"/>
      <c r="K608" s="1254"/>
      <c r="L608" s="1254"/>
      <c r="M608" s="1254"/>
      <c r="N608" s="1318"/>
      <c r="O608" s="1386"/>
      <c r="P608" s="1254"/>
      <c r="Q608" s="1254"/>
      <c r="R608" s="1254"/>
      <c r="S608" s="1254"/>
      <c r="T608" s="1254"/>
      <c r="U608" s="1254"/>
      <c r="V608" s="1254"/>
      <c r="W608" s="1254"/>
      <c r="X608" s="1254"/>
      <c r="Y608" s="1254"/>
      <c r="Z608" s="1254"/>
    </row>
    <row r="609">
      <c r="A609" s="1254"/>
      <c r="B609" s="1254"/>
      <c r="C609" s="1320"/>
      <c r="D609" s="1254"/>
      <c r="E609" s="1254"/>
      <c r="F609" s="1263"/>
      <c r="G609" s="1317"/>
      <c r="H609" s="1254"/>
      <c r="I609" s="1318"/>
      <c r="J609" s="1254"/>
      <c r="K609" s="1254"/>
      <c r="L609" s="1254"/>
      <c r="M609" s="1254"/>
      <c r="N609" s="1318"/>
      <c r="O609" s="1386"/>
      <c r="P609" s="1254"/>
      <c r="Q609" s="1254"/>
      <c r="R609" s="1254"/>
      <c r="S609" s="1254"/>
      <c r="T609" s="1254"/>
      <c r="U609" s="1254"/>
      <c r="V609" s="1254"/>
      <c r="W609" s="1254"/>
      <c r="X609" s="1254"/>
      <c r="Y609" s="1254"/>
      <c r="Z609" s="1254"/>
    </row>
    <row r="610">
      <c r="A610" s="1254"/>
      <c r="B610" s="1254"/>
      <c r="C610" s="1320"/>
      <c r="D610" s="1254"/>
      <c r="E610" s="1254"/>
      <c r="F610" s="1263"/>
      <c r="G610" s="1317"/>
      <c r="H610" s="1254"/>
      <c r="I610" s="1318"/>
      <c r="J610" s="1254"/>
      <c r="K610" s="1254"/>
      <c r="L610" s="1254"/>
      <c r="M610" s="1254"/>
      <c r="N610" s="1318"/>
      <c r="O610" s="1386"/>
      <c r="P610" s="1254"/>
      <c r="Q610" s="1254"/>
      <c r="R610" s="1254"/>
      <c r="S610" s="1254"/>
      <c r="T610" s="1254"/>
      <c r="U610" s="1254"/>
      <c r="V610" s="1254"/>
      <c r="W610" s="1254"/>
      <c r="X610" s="1254"/>
      <c r="Y610" s="1254"/>
      <c r="Z610" s="1254"/>
    </row>
    <row r="611">
      <c r="A611" s="1254"/>
      <c r="B611" s="1254"/>
      <c r="C611" s="1320"/>
      <c r="D611" s="1254"/>
      <c r="E611" s="1254"/>
      <c r="F611" s="1263"/>
      <c r="G611" s="1317"/>
      <c r="H611" s="1254"/>
      <c r="I611" s="1318"/>
      <c r="J611" s="1254"/>
      <c r="K611" s="1254"/>
      <c r="L611" s="1254"/>
      <c r="M611" s="1254"/>
      <c r="N611" s="1318"/>
      <c r="O611" s="1386"/>
      <c r="P611" s="1254"/>
      <c r="Q611" s="1254"/>
      <c r="R611" s="1254"/>
      <c r="S611" s="1254"/>
      <c r="T611" s="1254"/>
      <c r="U611" s="1254"/>
      <c r="V611" s="1254"/>
      <c r="W611" s="1254"/>
      <c r="X611" s="1254"/>
      <c r="Y611" s="1254"/>
      <c r="Z611" s="1254"/>
    </row>
    <row r="612">
      <c r="A612" s="1254"/>
      <c r="B612" s="1254"/>
      <c r="C612" s="1320"/>
      <c r="D612" s="1254"/>
      <c r="E612" s="1254"/>
      <c r="F612" s="1263"/>
      <c r="G612" s="1317"/>
      <c r="H612" s="1254"/>
      <c r="I612" s="1318"/>
      <c r="J612" s="1254"/>
      <c r="K612" s="1254"/>
      <c r="L612" s="1254"/>
      <c r="M612" s="1254"/>
      <c r="N612" s="1318"/>
      <c r="O612" s="1386"/>
      <c r="P612" s="1254"/>
      <c r="Q612" s="1254"/>
      <c r="R612" s="1254"/>
      <c r="S612" s="1254"/>
      <c r="T612" s="1254"/>
      <c r="U612" s="1254"/>
      <c r="V612" s="1254"/>
      <c r="W612" s="1254"/>
      <c r="X612" s="1254"/>
      <c r="Y612" s="1254"/>
      <c r="Z612" s="1254"/>
    </row>
    <row r="613">
      <c r="A613" s="1254"/>
      <c r="B613" s="1254"/>
      <c r="C613" s="1320"/>
      <c r="D613" s="1254"/>
      <c r="E613" s="1254"/>
      <c r="F613" s="1263"/>
      <c r="G613" s="1317"/>
      <c r="H613" s="1254"/>
      <c r="I613" s="1318"/>
      <c r="J613" s="1254"/>
      <c r="K613" s="1254"/>
      <c r="L613" s="1254"/>
      <c r="M613" s="1254"/>
      <c r="N613" s="1318"/>
      <c r="O613" s="1386"/>
      <c r="P613" s="1254"/>
      <c r="Q613" s="1254"/>
      <c r="R613" s="1254"/>
      <c r="S613" s="1254"/>
      <c r="T613" s="1254"/>
      <c r="U613" s="1254"/>
      <c r="V613" s="1254"/>
      <c r="W613" s="1254"/>
      <c r="X613" s="1254"/>
      <c r="Y613" s="1254"/>
      <c r="Z613" s="1254"/>
    </row>
    <row r="614">
      <c r="A614" s="1254"/>
      <c r="B614" s="1254"/>
      <c r="C614" s="1320"/>
      <c r="D614" s="1254"/>
      <c r="E614" s="1254"/>
      <c r="F614" s="1263"/>
      <c r="G614" s="1317"/>
      <c r="H614" s="1254"/>
      <c r="I614" s="1318"/>
      <c r="J614" s="1254"/>
      <c r="K614" s="1254"/>
      <c r="L614" s="1254"/>
      <c r="M614" s="1254"/>
      <c r="N614" s="1318"/>
      <c r="O614" s="1386"/>
      <c r="P614" s="1254"/>
      <c r="Q614" s="1254"/>
      <c r="R614" s="1254"/>
      <c r="S614" s="1254"/>
      <c r="T614" s="1254"/>
      <c r="U614" s="1254"/>
      <c r="V614" s="1254"/>
      <c r="W614" s="1254"/>
      <c r="X614" s="1254"/>
      <c r="Y614" s="1254"/>
      <c r="Z614" s="1254"/>
    </row>
    <row r="615">
      <c r="A615" s="1254"/>
      <c r="B615" s="1254"/>
      <c r="C615" s="1320"/>
      <c r="D615" s="1254"/>
      <c r="E615" s="1254"/>
      <c r="F615" s="1263"/>
      <c r="G615" s="1317"/>
      <c r="H615" s="1254"/>
      <c r="I615" s="1318"/>
      <c r="J615" s="1254"/>
      <c r="K615" s="1254"/>
      <c r="L615" s="1254"/>
      <c r="M615" s="1254"/>
      <c r="N615" s="1318"/>
      <c r="O615" s="1386"/>
      <c r="P615" s="1254"/>
      <c r="Q615" s="1254"/>
      <c r="R615" s="1254"/>
      <c r="S615" s="1254"/>
      <c r="T615" s="1254"/>
      <c r="U615" s="1254"/>
      <c r="V615" s="1254"/>
      <c r="W615" s="1254"/>
      <c r="X615" s="1254"/>
      <c r="Y615" s="1254"/>
      <c r="Z615" s="1254"/>
    </row>
    <row r="616">
      <c r="A616" s="1254"/>
      <c r="B616" s="1254"/>
      <c r="C616" s="1320"/>
      <c r="D616" s="1254"/>
      <c r="E616" s="1254"/>
      <c r="F616" s="1263"/>
      <c r="G616" s="1317"/>
      <c r="H616" s="1254"/>
      <c r="I616" s="1318"/>
      <c r="J616" s="1254"/>
      <c r="K616" s="1254"/>
      <c r="L616" s="1254"/>
      <c r="M616" s="1254"/>
      <c r="N616" s="1318"/>
      <c r="O616" s="1386"/>
      <c r="P616" s="1254"/>
      <c r="Q616" s="1254"/>
      <c r="R616" s="1254"/>
      <c r="S616" s="1254"/>
      <c r="T616" s="1254"/>
      <c r="U616" s="1254"/>
      <c r="V616" s="1254"/>
      <c r="W616" s="1254"/>
      <c r="X616" s="1254"/>
      <c r="Y616" s="1254"/>
      <c r="Z616" s="1254"/>
    </row>
    <row r="617">
      <c r="A617" s="1254"/>
      <c r="B617" s="1254"/>
      <c r="C617" s="1320"/>
      <c r="D617" s="1254"/>
      <c r="E617" s="1254"/>
      <c r="F617" s="1263"/>
      <c r="G617" s="1317"/>
      <c r="H617" s="1254"/>
      <c r="I617" s="1318"/>
      <c r="J617" s="1254"/>
      <c r="K617" s="1254"/>
      <c r="L617" s="1254"/>
      <c r="M617" s="1254"/>
      <c r="N617" s="1318"/>
      <c r="O617" s="1386"/>
      <c r="P617" s="1254"/>
      <c r="Q617" s="1254"/>
      <c r="R617" s="1254"/>
      <c r="S617" s="1254"/>
      <c r="T617" s="1254"/>
      <c r="U617" s="1254"/>
      <c r="V617" s="1254"/>
      <c r="W617" s="1254"/>
      <c r="X617" s="1254"/>
      <c r="Y617" s="1254"/>
      <c r="Z617" s="1254"/>
    </row>
    <row r="618">
      <c r="A618" s="1254"/>
      <c r="B618" s="1254"/>
      <c r="C618" s="1320"/>
      <c r="D618" s="1254"/>
      <c r="E618" s="1254"/>
      <c r="F618" s="1263"/>
      <c r="G618" s="1317"/>
      <c r="H618" s="1254"/>
      <c r="I618" s="1318"/>
      <c r="J618" s="1254"/>
      <c r="K618" s="1254"/>
      <c r="L618" s="1254"/>
      <c r="M618" s="1254"/>
      <c r="N618" s="1318"/>
      <c r="O618" s="1386"/>
      <c r="P618" s="1254"/>
      <c r="Q618" s="1254"/>
      <c r="R618" s="1254"/>
      <c r="S618" s="1254"/>
      <c r="T618" s="1254"/>
      <c r="U618" s="1254"/>
      <c r="V618" s="1254"/>
      <c r="W618" s="1254"/>
      <c r="X618" s="1254"/>
      <c r="Y618" s="1254"/>
      <c r="Z618" s="1254"/>
    </row>
    <row r="619">
      <c r="A619" s="1254"/>
      <c r="B619" s="1254"/>
      <c r="C619" s="1320"/>
      <c r="D619" s="1254"/>
      <c r="E619" s="1254"/>
      <c r="F619" s="1263"/>
      <c r="G619" s="1317"/>
      <c r="H619" s="1254"/>
      <c r="I619" s="1318"/>
      <c r="J619" s="1254"/>
      <c r="K619" s="1254"/>
      <c r="L619" s="1254"/>
      <c r="M619" s="1254"/>
      <c r="N619" s="1318"/>
      <c r="O619" s="1386"/>
      <c r="P619" s="1254"/>
      <c r="Q619" s="1254"/>
      <c r="R619" s="1254"/>
      <c r="S619" s="1254"/>
      <c r="T619" s="1254"/>
      <c r="U619" s="1254"/>
      <c r="V619" s="1254"/>
      <c r="W619" s="1254"/>
      <c r="X619" s="1254"/>
      <c r="Y619" s="1254"/>
      <c r="Z619" s="1254"/>
    </row>
    <row r="620">
      <c r="A620" s="1254"/>
      <c r="B620" s="1254"/>
      <c r="C620" s="1320"/>
      <c r="D620" s="1254"/>
      <c r="E620" s="1254"/>
      <c r="F620" s="1263"/>
      <c r="G620" s="1317"/>
      <c r="H620" s="1254"/>
      <c r="I620" s="1318"/>
      <c r="J620" s="1254"/>
      <c r="K620" s="1254"/>
      <c r="L620" s="1254"/>
      <c r="M620" s="1254"/>
      <c r="N620" s="1318"/>
      <c r="O620" s="1386"/>
      <c r="P620" s="1254"/>
      <c r="Q620" s="1254"/>
      <c r="R620" s="1254"/>
      <c r="S620" s="1254"/>
      <c r="T620" s="1254"/>
      <c r="U620" s="1254"/>
      <c r="V620" s="1254"/>
      <c r="W620" s="1254"/>
      <c r="X620" s="1254"/>
      <c r="Y620" s="1254"/>
      <c r="Z620" s="1254"/>
    </row>
    <row r="621">
      <c r="A621" s="1254"/>
      <c r="B621" s="1254"/>
      <c r="C621" s="1320"/>
      <c r="D621" s="1254"/>
      <c r="E621" s="1254"/>
      <c r="F621" s="1263"/>
      <c r="G621" s="1317"/>
      <c r="H621" s="1254"/>
      <c r="I621" s="1318"/>
      <c r="J621" s="1254"/>
      <c r="K621" s="1254"/>
      <c r="L621" s="1254"/>
      <c r="M621" s="1254"/>
      <c r="N621" s="1318"/>
      <c r="O621" s="1386"/>
      <c r="P621" s="1254"/>
      <c r="Q621" s="1254"/>
      <c r="R621" s="1254"/>
      <c r="S621" s="1254"/>
      <c r="T621" s="1254"/>
      <c r="U621" s="1254"/>
      <c r="V621" s="1254"/>
      <c r="W621" s="1254"/>
      <c r="X621" s="1254"/>
      <c r="Y621" s="1254"/>
      <c r="Z621" s="1254"/>
    </row>
    <row r="622">
      <c r="A622" s="1254"/>
      <c r="B622" s="1254"/>
      <c r="C622" s="1320"/>
      <c r="D622" s="1254"/>
      <c r="E622" s="1254"/>
      <c r="F622" s="1263"/>
      <c r="G622" s="1317"/>
      <c r="H622" s="1254"/>
      <c r="I622" s="1318"/>
      <c r="J622" s="1254"/>
      <c r="K622" s="1254"/>
      <c r="L622" s="1254"/>
      <c r="M622" s="1254"/>
      <c r="N622" s="1318"/>
      <c r="O622" s="1386"/>
      <c r="P622" s="1254"/>
      <c r="Q622" s="1254"/>
      <c r="R622" s="1254"/>
      <c r="S622" s="1254"/>
      <c r="T622" s="1254"/>
      <c r="U622" s="1254"/>
      <c r="V622" s="1254"/>
      <c r="W622" s="1254"/>
      <c r="X622" s="1254"/>
      <c r="Y622" s="1254"/>
      <c r="Z622" s="1254"/>
    </row>
    <row r="623">
      <c r="A623" s="1254"/>
      <c r="B623" s="1254"/>
      <c r="C623" s="1320"/>
      <c r="D623" s="1254"/>
      <c r="E623" s="1254"/>
      <c r="F623" s="1263"/>
      <c r="G623" s="1317"/>
      <c r="H623" s="1254"/>
      <c r="I623" s="1318"/>
      <c r="J623" s="1254"/>
      <c r="K623" s="1254"/>
      <c r="L623" s="1254"/>
      <c r="M623" s="1254"/>
      <c r="N623" s="1318"/>
      <c r="O623" s="1386"/>
      <c r="P623" s="1254"/>
      <c r="Q623" s="1254"/>
      <c r="R623" s="1254"/>
      <c r="S623" s="1254"/>
      <c r="T623" s="1254"/>
      <c r="U623" s="1254"/>
      <c r="V623" s="1254"/>
      <c r="W623" s="1254"/>
      <c r="X623" s="1254"/>
      <c r="Y623" s="1254"/>
      <c r="Z623" s="1254"/>
    </row>
    <row r="624">
      <c r="A624" s="1254"/>
      <c r="B624" s="1254"/>
      <c r="C624" s="1320"/>
      <c r="D624" s="1254"/>
      <c r="E624" s="1254"/>
      <c r="F624" s="1263"/>
      <c r="G624" s="1317"/>
      <c r="H624" s="1254"/>
      <c r="I624" s="1318"/>
      <c r="J624" s="1254"/>
      <c r="K624" s="1254"/>
      <c r="L624" s="1254"/>
      <c r="M624" s="1254"/>
      <c r="N624" s="1318"/>
      <c r="O624" s="1386"/>
      <c r="P624" s="1254"/>
      <c r="Q624" s="1254"/>
      <c r="R624" s="1254"/>
      <c r="S624" s="1254"/>
      <c r="T624" s="1254"/>
      <c r="U624" s="1254"/>
      <c r="V624" s="1254"/>
      <c r="W624" s="1254"/>
      <c r="X624" s="1254"/>
      <c r="Y624" s="1254"/>
      <c r="Z624" s="1254"/>
    </row>
    <row r="625">
      <c r="A625" s="1254"/>
      <c r="B625" s="1254"/>
      <c r="C625" s="1320"/>
      <c r="D625" s="1254"/>
      <c r="E625" s="1254"/>
      <c r="F625" s="1263"/>
      <c r="G625" s="1317"/>
      <c r="H625" s="1254"/>
      <c r="I625" s="1318"/>
      <c r="J625" s="1254"/>
      <c r="K625" s="1254"/>
      <c r="L625" s="1254"/>
      <c r="M625" s="1254"/>
      <c r="N625" s="1318"/>
      <c r="O625" s="1386"/>
      <c r="P625" s="1254"/>
      <c r="Q625" s="1254"/>
      <c r="R625" s="1254"/>
      <c r="S625" s="1254"/>
      <c r="T625" s="1254"/>
      <c r="U625" s="1254"/>
      <c r="V625" s="1254"/>
      <c r="W625" s="1254"/>
      <c r="X625" s="1254"/>
      <c r="Y625" s="1254"/>
      <c r="Z625" s="1254"/>
    </row>
    <row r="626">
      <c r="A626" s="1254"/>
      <c r="B626" s="1254"/>
      <c r="C626" s="1320"/>
      <c r="D626" s="1254"/>
      <c r="E626" s="1254"/>
      <c r="F626" s="1263"/>
      <c r="G626" s="1317"/>
      <c r="H626" s="1254"/>
      <c r="I626" s="1318"/>
      <c r="J626" s="1254"/>
      <c r="K626" s="1254"/>
      <c r="L626" s="1254"/>
      <c r="M626" s="1254"/>
      <c r="N626" s="1318"/>
      <c r="O626" s="1386"/>
      <c r="P626" s="1254"/>
      <c r="Q626" s="1254"/>
      <c r="R626" s="1254"/>
      <c r="S626" s="1254"/>
      <c r="T626" s="1254"/>
      <c r="U626" s="1254"/>
      <c r="V626" s="1254"/>
      <c r="W626" s="1254"/>
      <c r="X626" s="1254"/>
      <c r="Y626" s="1254"/>
      <c r="Z626" s="1254"/>
    </row>
    <row r="627">
      <c r="A627" s="1254"/>
      <c r="B627" s="1254"/>
      <c r="C627" s="1320"/>
      <c r="D627" s="1254"/>
      <c r="E627" s="1254"/>
      <c r="F627" s="1263"/>
      <c r="G627" s="1317"/>
      <c r="H627" s="1254"/>
      <c r="I627" s="1318"/>
      <c r="J627" s="1254"/>
      <c r="K627" s="1254"/>
      <c r="L627" s="1254"/>
      <c r="M627" s="1254"/>
      <c r="N627" s="1318"/>
      <c r="O627" s="1386"/>
      <c r="P627" s="1254"/>
      <c r="Q627" s="1254"/>
      <c r="R627" s="1254"/>
      <c r="S627" s="1254"/>
      <c r="T627" s="1254"/>
      <c r="U627" s="1254"/>
      <c r="V627" s="1254"/>
      <c r="W627" s="1254"/>
      <c r="X627" s="1254"/>
      <c r="Y627" s="1254"/>
      <c r="Z627" s="1254"/>
    </row>
    <row r="628">
      <c r="A628" s="1254"/>
      <c r="B628" s="1254"/>
      <c r="C628" s="1320"/>
      <c r="D628" s="1254"/>
      <c r="E628" s="1254"/>
      <c r="F628" s="1263"/>
      <c r="G628" s="1317"/>
      <c r="H628" s="1254"/>
      <c r="I628" s="1318"/>
      <c r="J628" s="1254"/>
      <c r="K628" s="1254"/>
      <c r="L628" s="1254"/>
      <c r="M628" s="1254"/>
      <c r="N628" s="1318"/>
      <c r="O628" s="1386"/>
      <c r="P628" s="1254"/>
      <c r="Q628" s="1254"/>
      <c r="R628" s="1254"/>
      <c r="S628" s="1254"/>
      <c r="T628" s="1254"/>
      <c r="U628" s="1254"/>
      <c r="V628" s="1254"/>
      <c r="W628" s="1254"/>
      <c r="X628" s="1254"/>
      <c r="Y628" s="1254"/>
      <c r="Z628" s="1254"/>
    </row>
    <row r="629">
      <c r="A629" s="1254"/>
      <c r="B629" s="1254"/>
      <c r="C629" s="1320"/>
      <c r="D629" s="1254"/>
      <c r="E629" s="1254"/>
      <c r="F629" s="1263"/>
      <c r="G629" s="1317"/>
      <c r="H629" s="1254"/>
      <c r="I629" s="1318"/>
      <c r="J629" s="1254"/>
      <c r="K629" s="1254"/>
      <c r="L629" s="1254"/>
      <c r="M629" s="1254"/>
      <c r="N629" s="1318"/>
      <c r="O629" s="1386"/>
      <c r="P629" s="1254"/>
      <c r="Q629" s="1254"/>
      <c r="R629" s="1254"/>
      <c r="S629" s="1254"/>
      <c r="T629" s="1254"/>
      <c r="U629" s="1254"/>
      <c r="V629" s="1254"/>
      <c r="W629" s="1254"/>
      <c r="X629" s="1254"/>
      <c r="Y629" s="1254"/>
      <c r="Z629" s="1254"/>
    </row>
    <row r="630">
      <c r="A630" s="1254"/>
      <c r="B630" s="1254"/>
      <c r="C630" s="1320"/>
      <c r="D630" s="1254"/>
      <c r="E630" s="1254"/>
      <c r="F630" s="1263"/>
      <c r="G630" s="1317"/>
      <c r="H630" s="1254"/>
      <c r="I630" s="1318"/>
      <c r="J630" s="1254"/>
      <c r="K630" s="1254"/>
      <c r="L630" s="1254"/>
      <c r="M630" s="1254"/>
      <c r="N630" s="1318"/>
      <c r="O630" s="1386"/>
      <c r="P630" s="1254"/>
      <c r="Q630" s="1254"/>
      <c r="R630" s="1254"/>
      <c r="S630" s="1254"/>
      <c r="T630" s="1254"/>
      <c r="U630" s="1254"/>
      <c r="V630" s="1254"/>
      <c r="W630" s="1254"/>
      <c r="X630" s="1254"/>
      <c r="Y630" s="1254"/>
      <c r="Z630" s="1254"/>
    </row>
    <row r="631">
      <c r="A631" s="1254"/>
      <c r="B631" s="1254"/>
      <c r="C631" s="1320"/>
      <c r="D631" s="1254"/>
      <c r="E631" s="1254"/>
      <c r="F631" s="1263"/>
      <c r="G631" s="1317"/>
      <c r="H631" s="1254"/>
      <c r="I631" s="1318"/>
      <c r="J631" s="1254"/>
      <c r="K631" s="1254"/>
      <c r="L631" s="1254"/>
      <c r="M631" s="1254"/>
      <c r="N631" s="1318"/>
      <c r="O631" s="1386"/>
      <c r="P631" s="1254"/>
      <c r="Q631" s="1254"/>
      <c r="R631" s="1254"/>
      <c r="S631" s="1254"/>
      <c r="T631" s="1254"/>
      <c r="U631" s="1254"/>
      <c r="V631" s="1254"/>
      <c r="W631" s="1254"/>
      <c r="X631" s="1254"/>
      <c r="Y631" s="1254"/>
      <c r="Z631" s="1254"/>
    </row>
    <row r="632">
      <c r="A632" s="1254"/>
      <c r="B632" s="1254"/>
      <c r="C632" s="1320"/>
      <c r="D632" s="1254"/>
      <c r="E632" s="1254"/>
      <c r="F632" s="1263"/>
      <c r="G632" s="1317"/>
      <c r="H632" s="1254"/>
      <c r="I632" s="1318"/>
      <c r="J632" s="1254"/>
      <c r="K632" s="1254"/>
      <c r="L632" s="1254"/>
      <c r="M632" s="1254"/>
      <c r="N632" s="1318"/>
      <c r="O632" s="1386"/>
      <c r="P632" s="1254"/>
      <c r="Q632" s="1254"/>
      <c r="R632" s="1254"/>
      <c r="S632" s="1254"/>
      <c r="T632" s="1254"/>
      <c r="U632" s="1254"/>
      <c r="V632" s="1254"/>
      <c r="W632" s="1254"/>
      <c r="X632" s="1254"/>
      <c r="Y632" s="1254"/>
      <c r="Z632" s="1254"/>
    </row>
    <row r="633">
      <c r="A633" s="1254"/>
      <c r="B633" s="1254"/>
      <c r="C633" s="1320"/>
      <c r="D633" s="1254"/>
      <c r="E633" s="1254"/>
      <c r="F633" s="1263"/>
      <c r="G633" s="1317"/>
      <c r="H633" s="1254"/>
      <c r="I633" s="1318"/>
      <c r="J633" s="1254"/>
      <c r="K633" s="1254"/>
      <c r="L633" s="1254"/>
      <c r="M633" s="1254"/>
      <c r="N633" s="1318"/>
      <c r="O633" s="1386"/>
      <c r="P633" s="1254"/>
      <c r="Q633" s="1254"/>
      <c r="R633" s="1254"/>
      <c r="S633" s="1254"/>
      <c r="T633" s="1254"/>
      <c r="U633" s="1254"/>
      <c r="V633" s="1254"/>
      <c r="W633" s="1254"/>
      <c r="X633" s="1254"/>
      <c r="Y633" s="1254"/>
      <c r="Z633" s="1254"/>
    </row>
    <row r="634">
      <c r="A634" s="1254"/>
      <c r="B634" s="1254"/>
      <c r="C634" s="1320"/>
      <c r="D634" s="1254"/>
      <c r="E634" s="1254"/>
      <c r="F634" s="1263"/>
      <c r="G634" s="1317"/>
      <c r="H634" s="1254"/>
      <c r="I634" s="1318"/>
      <c r="J634" s="1254"/>
      <c r="K634" s="1254"/>
      <c r="L634" s="1254"/>
      <c r="M634" s="1254"/>
      <c r="N634" s="1318"/>
      <c r="O634" s="1386"/>
      <c r="P634" s="1254"/>
      <c r="Q634" s="1254"/>
      <c r="R634" s="1254"/>
      <c r="S634" s="1254"/>
      <c r="T634" s="1254"/>
      <c r="U634" s="1254"/>
      <c r="V634" s="1254"/>
      <c r="W634" s="1254"/>
      <c r="X634" s="1254"/>
      <c r="Y634" s="1254"/>
      <c r="Z634" s="1254"/>
    </row>
    <row r="635">
      <c r="A635" s="1254"/>
      <c r="B635" s="1254"/>
      <c r="C635" s="1320"/>
      <c r="D635" s="1254"/>
      <c r="E635" s="1254"/>
      <c r="F635" s="1263"/>
      <c r="G635" s="1317"/>
      <c r="H635" s="1254"/>
      <c r="I635" s="1318"/>
      <c r="J635" s="1254"/>
      <c r="K635" s="1254"/>
      <c r="L635" s="1254"/>
      <c r="M635" s="1254"/>
      <c r="N635" s="1318"/>
      <c r="O635" s="1386"/>
      <c r="P635" s="1254"/>
      <c r="Q635" s="1254"/>
      <c r="R635" s="1254"/>
      <c r="S635" s="1254"/>
      <c r="T635" s="1254"/>
      <c r="U635" s="1254"/>
      <c r="V635" s="1254"/>
      <c r="W635" s="1254"/>
      <c r="X635" s="1254"/>
      <c r="Y635" s="1254"/>
      <c r="Z635" s="1254"/>
    </row>
    <row r="636">
      <c r="A636" s="1254"/>
      <c r="B636" s="1254"/>
      <c r="C636" s="1320"/>
      <c r="D636" s="1254"/>
      <c r="E636" s="1254"/>
      <c r="F636" s="1263"/>
      <c r="G636" s="1317"/>
      <c r="H636" s="1254"/>
      <c r="I636" s="1318"/>
      <c r="J636" s="1254"/>
      <c r="K636" s="1254"/>
      <c r="L636" s="1254"/>
      <c r="M636" s="1254"/>
      <c r="N636" s="1318"/>
      <c r="O636" s="1386"/>
      <c r="P636" s="1254"/>
      <c r="Q636" s="1254"/>
      <c r="R636" s="1254"/>
      <c r="S636" s="1254"/>
      <c r="T636" s="1254"/>
      <c r="U636" s="1254"/>
      <c r="V636" s="1254"/>
      <c r="W636" s="1254"/>
      <c r="X636" s="1254"/>
      <c r="Y636" s="1254"/>
      <c r="Z636" s="1254"/>
    </row>
    <row r="637">
      <c r="A637" s="1254"/>
      <c r="B637" s="1254"/>
      <c r="C637" s="1320"/>
      <c r="D637" s="1254"/>
      <c r="E637" s="1254"/>
      <c r="F637" s="1263"/>
      <c r="G637" s="1317"/>
      <c r="H637" s="1254"/>
      <c r="I637" s="1318"/>
      <c r="J637" s="1254"/>
      <c r="K637" s="1254"/>
      <c r="L637" s="1254"/>
      <c r="M637" s="1254"/>
      <c r="N637" s="1318"/>
      <c r="O637" s="1386"/>
      <c r="P637" s="1254"/>
      <c r="Q637" s="1254"/>
      <c r="R637" s="1254"/>
      <c r="S637" s="1254"/>
      <c r="T637" s="1254"/>
      <c r="U637" s="1254"/>
      <c r="V637" s="1254"/>
      <c r="W637" s="1254"/>
      <c r="X637" s="1254"/>
      <c r="Y637" s="1254"/>
      <c r="Z637" s="1254"/>
    </row>
    <row r="638">
      <c r="A638" s="1254"/>
      <c r="B638" s="1254"/>
      <c r="C638" s="1320"/>
      <c r="D638" s="1254"/>
      <c r="E638" s="1254"/>
      <c r="F638" s="1263"/>
      <c r="G638" s="1317"/>
      <c r="H638" s="1254"/>
      <c r="I638" s="1318"/>
      <c r="J638" s="1254"/>
      <c r="K638" s="1254"/>
      <c r="L638" s="1254"/>
      <c r="M638" s="1254"/>
      <c r="N638" s="1318"/>
      <c r="O638" s="1386"/>
      <c r="P638" s="1254"/>
      <c r="Q638" s="1254"/>
      <c r="R638" s="1254"/>
      <c r="S638" s="1254"/>
      <c r="T638" s="1254"/>
      <c r="U638" s="1254"/>
      <c r="V638" s="1254"/>
      <c r="W638" s="1254"/>
      <c r="X638" s="1254"/>
      <c r="Y638" s="1254"/>
      <c r="Z638" s="1254"/>
    </row>
    <row r="639">
      <c r="A639" s="1254"/>
      <c r="B639" s="1254"/>
      <c r="C639" s="1320"/>
      <c r="D639" s="1254"/>
      <c r="E639" s="1254"/>
      <c r="F639" s="1263"/>
      <c r="G639" s="1317"/>
      <c r="H639" s="1254"/>
      <c r="I639" s="1318"/>
      <c r="J639" s="1254"/>
      <c r="K639" s="1254"/>
      <c r="L639" s="1254"/>
      <c r="M639" s="1254"/>
      <c r="N639" s="1318"/>
      <c r="O639" s="1386"/>
      <c r="P639" s="1254"/>
      <c r="Q639" s="1254"/>
      <c r="R639" s="1254"/>
      <c r="S639" s="1254"/>
      <c r="T639" s="1254"/>
      <c r="U639" s="1254"/>
      <c r="V639" s="1254"/>
      <c r="W639" s="1254"/>
      <c r="X639" s="1254"/>
      <c r="Y639" s="1254"/>
      <c r="Z639" s="1254"/>
    </row>
    <row r="640">
      <c r="A640" s="1254"/>
      <c r="B640" s="1254"/>
      <c r="C640" s="1320"/>
      <c r="D640" s="1254"/>
      <c r="E640" s="1254"/>
      <c r="F640" s="1263"/>
      <c r="G640" s="1317"/>
      <c r="H640" s="1254"/>
      <c r="I640" s="1318"/>
      <c r="J640" s="1254"/>
      <c r="K640" s="1254"/>
      <c r="L640" s="1254"/>
      <c r="M640" s="1254"/>
      <c r="N640" s="1318"/>
      <c r="O640" s="1386"/>
      <c r="P640" s="1254"/>
      <c r="Q640" s="1254"/>
      <c r="R640" s="1254"/>
      <c r="S640" s="1254"/>
      <c r="T640" s="1254"/>
      <c r="U640" s="1254"/>
      <c r="V640" s="1254"/>
      <c r="W640" s="1254"/>
      <c r="X640" s="1254"/>
      <c r="Y640" s="1254"/>
      <c r="Z640" s="1254"/>
    </row>
    <row r="641">
      <c r="A641" s="1254"/>
      <c r="B641" s="1254"/>
      <c r="C641" s="1320"/>
      <c r="D641" s="1254"/>
      <c r="E641" s="1254"/>
      <c r="F641" s="1263"/>
      <c r="G641" s="1317"/>
      <c r="H641" s="1254"/>
      <c r="I641" s="1318"/>
      <c r="J641" s="1254"/>
      <c r="K641" s="1254"/>
      <c r="L641" s="1254"/>
      <c r="M641" s="1254"/>
      <c r="N641" s="1318"/>
      <c r="O641" s="1386"/>
      <c r="P641" s="1254"/>
      <c r="Q641" s="1254"/>
      <c r="R641" s="1254"/>
      <c r="S641" s="1254"/>
      <c r="T641" s="1254"/>
      <c r="U641" s="1254"/>
      <c r="V641" s="1254"/>
      <c r="W641" s="1254"/>
      <c r="X641" s="1254"/>
      <c r="Y641" s="1254"/>
      <c r="Z641" s="1254"/>
    </row>
    <row r="642">
      <c r="A642" s="1254"/>
      <c r="B642" s="1254"/>
      <c r="C642" s="1320"/>
      <c r="D642" s="1254"/>
      <c r="E642" s="1254"/>
      <c r="F642" s="1263"/>
      <c r="G642" s="1317"/>
      <c r="H642" s="1254"/>
      <c r="I642" s="1318"/>
      <c r="J642" s="1254"/>
      <c r="K642" s="1254"/>
      <c r="L642" s="1254"/>
      <c r="M642" s="1254"/>
      <c r="N642" s="1318"/>
      <c r="O642" s="1386"/>
      <c r="P642" s="1254"/>
      <c r="Q642" s="1254"/>
      <c r="R642" s="1254"/>
      <c r="S642" s="1254"/>
      <c r="T642" s="1254"/>
      <c r="U642" s="1254"/>
      <c r="V642" s="1254"/>
      <c r="W642" s="1254"/>
      <c r="X642" s="1254"/>
      <c r="Y642" s="1254"/>
      <c r="Z642" s="1254"/>
    </row>
    <row r="643">
      <c r="A643" s="1254"/>
      <c r="B643" s="1254"/>
      <c r="C643" s="1320"/>
      <c r="D643" s="1254"/>
      <c r="E643" s="1254"/>
      <c r="F643" s="1263"/>
      <c r="G643" s="1317"/>
      <c r="H643" s="1254"/>
      <c r="I643" s="1318"/>
      <c r="J643" s="1254"/>
      <c r="K643" s="1254"/>
      <c r="L643" s="1254"/>
      <c r="M643" s="1254"/>
      <c r="N643" s="1318"/>
      <c r="O643" s="1386"/>
      <c r="P643" s="1254"/>
      <c r="Q643" s="1254"/>
      <c r="R643" s="1254"/>
      <c r="S643" s="1254"/>
      <c r="T643" s="1254"/>
      <c r="U643" s="1254"/>
      <c r="V643" s="1254"/>
      <c r="W643" s="1254"/>
      <c r="X643" s="1254"/>
      <c r="Y643" s="1254"/>
      <c r="Z643" s="1254"/>
    </row>
    <row r="644">
      <c r="A644" s="1254"/>
      <c r="B644" s="1254"/>
      <c r="C644" s="1320"/>
      <c r="D644" s="1254"/>
      <c r="E644" s="1254"/>
      <c r="F644" s="1263"/>
      <c r="G644" s="1317"/>
      <c r="H644" s="1254"/>
      <c r="I644" s="1318"/>
      <c r="J644" s="1254"/>
      <c r="K644" s="1254"/>
      <c r="L644" s="1254"/>
      <c r="M644" s="1254"/>
      <c r="N644" s="1318"/>
      <c r="O644" s="1386"/>
      <c r="P644" s="1254"/>
      <c r="Q644" s="1254"/>
      <c r="R644" s="1254"/>
      <c r="S644" s="1254"/>
      <c r="T644" s="1254"/>
      <c r="U644" s="1254"/>
      <c r="V644" s="1254"/>
      <c r="W644" s="1254"/>
      <c r="X644" s="1254"/>
      <c r="Y644" s="1254"/>
      <c r="Z644" s="1254"/>
    </row>
    <row r="645">
      <c r="A645" s="1254"/>
      <c r="B645" s="1254"/>
      <c r="C645" s="1320"/>
      <c r="D645" s="1254"/>
      <c r="E645" s="1254"/>
      <c r="F645" s="1263"/>
      <c r="G645" s="1317"/>
      <c r="H645" s="1254"/>
      <c r="I645" s="1318"/>
      <c r="J645" s="1254"/>
      <c r="K645" s="1254"/>
      <c r="L645" s="1254"/>
      <c r="M645" s="1254"/>
      <c r="N645" s="1318"/>
      <c r="O645" s="1386"/>
      <c r="P645" s="1254"/>
      <c r="Q645" s="1254"/>
      <c r="R645" s="1254"/>
      <c r="S645" s="1254"/>
      <c r="T645" s="1254"/>
      <c r="U645" s="1254"/>
      <c r="V645" s="1254"/>
      <c r="W645" s="1254"/>
      <c r="X645" s="1254"/>
      <c r="Y645" s="1254"/>
      <c r="Z645" s="1254"/>
    </row>
    <row r="646">
      <c r="A646" s="1254"/>
      <c r="B646" s="1254"/>
      <c r="C646" s="1320"/>
      <c r="D646" s="1254"/>
      <c r="E646" s="1254"/>
      <c r="F646" s="1263"/>
      <c r="G646" s="1317"/>
      <c r="H646" s="1254"/>
      <c r="I646" s="1318"/>
      <c r="J646" s="1254"/>
      <c r="K646" s="1254"/>
      <c r="L646" s="1254"/>
      <c r="M646" s="1254"/>
      <c r="N646" s="1318"/>
      <c r="O646" s="1386"/>
      <c r="P646" s="1254"/>
      <c r="Q646" s="1254"/>
      <c r="R646" s="1254"/>
      <c r="S646" s="1254"/>
      <c r="T646" s="1254"/>
      <c r="U646" s="1254"/>
      <c r="V646" s="1254"/>
      <c r="W646" s="1254"/>
      <c r="X646" s="1254"/>
      <c r="Y646" s="1254"/>
      <c r="Z646" s="1254"/>
    </row>
    <row r="647">
      <c r="A647" s="1254"/>
      <c r="B647" s="1254"/>
      <c r="C647" s="1320"/>
      <c r="D647" s="1254"/>
      <c r="E647" s="1254"/>
      <c r="F647" s="1263"/>
      <c r="G647" s="1317"/>
      <c r="H647" s="1254"/>
      <c r="I647" s="1318"/>
      <c r="J647" s="1254"/>
      <c r="K647" s="1254"/>
      <c r="L647" s="1254"/>
      <c r="M647" s="1254"/>
      <c r="N647" s="1318"/>
      <c r="O647" s="1386"/>
      <c r="P647" s="1254"/>
      <c r="Q647" s="1254"/>
      <c r="R647" s="1254"/>
      <c r="S647" s="1254"/>
      <c r="T647" s="1254"/>
      <c r="U647" s="1254"/>
      <c r="V647" s="1254"/>
      <c r="W647" s="1254"/>
      <c r="X647" s="1254"/>
      <c r="Y647" s="1254"/>
      <c r="Z647" s="1254"/>
    </row>
    <row r="648">
      <c r="A648" s="1254"/>
      <c r="B648" s="1254"/>
      <c r="C648" s="1320"/>
      <c r="D648" s="1254"/>
      <c r="E648" s="1254"/>
      <c r="F648" s="1263"/>
      <c r="G648" s="1317"/>
      <c r="H648" s="1254"/>
      <c r="I648" s="1318"/>
      <c r="J648" s="1254"/>
      <c r="K648" s="1254"/>
      <c r="L648" s="1254"/>
      <c r="M648" s="1254"/>
      <c r="N648" s="1318"/>
      <c r="O648" s="1386"/>
      <c r="P648" s="1254"/>
      <c r="Q648" s="1254"/>
      <c r="R648" s="1254"/>
      <c r="S648" s="1254"/>
      <c r="T648" s="1254"/>
      <c r="U648" s="1254"/>
      <c r="V648" s="1254"/>
      <c r="W648" s="1254"/>
      <c r="X648" s="1254"/>
      <c r="Y648" s="1254"/>
      <c r="Z648" s="1254"/>
    </row>
    <row r="649">
      <c r="A649" s="1254"/>
      <c r="B649" s="1254"/>
      <c r="C649" s="1320"/>
      <c r="D649" s="1254"/>
      <c r="E649" s="1254"/>
      <c r="F649" s="1263"/>
      <c r="G649" s="1317"/>
      <c r="H649" s="1254"/>
      <c r="I649" s="1318"/>
      <c r="J649" s="1254"/>
      <c r="K649" s="1254"/>
      <c r="L649" s="1254"/>
      <c r="M649" s="1254"/>
      <c r="N649" s="1318"/>
      <c r="O649" s="1386"/>
      <c r="P649" s="1254"/>
      <c r="Q649" s="1254"/>
      <c r="R649" s="1254"/>
      <c r="S649" s="1254"/>
      <c r="T649" s="1254"/>
      <c r="U649" s="1254"/>
      <c r="V649" s="1254"/>
      <c r="W649" s="1254"/>
      <c r="X649" s="1254"/>
      <c r="Y649" s="1254"/>
      <c r="Z649" s="1254"/>
    </row>
    <row r="650">
      <c r="A650" s="1254"/>
      <c r="B650" s="1254"/>
      <c r="C650" s="1320"/>
      <c r="D650" s="1254"/>
      <c r="E650" s="1254"/>
      <c r="F650" s="1263"/>
      <c r="G650" s="1317"/>
      <c r="H650" s="1254"/>
      <c r="I650" s="1318"/>
      <c r="J650" s="1254"/>
      <c r="K650" s="1254"/>
      <c r="L650" s="1254"/>
      <c r="M650" s="1254"/>
      <c r="N650" s="1318"/>
      <c r="O650" s="1386"/>
      <c r="P650" s="1254"/>
      <c r="Q650" s="1254"/>
      <c r="R650" s="1254"/>
      <c r="S650" s="1254"/>
      <c r="T650" s="1254"/>
      <c r="U650" s="1254"/>
      <c r="V650" s="1254"/>
      <c r="W650" s="1254"/>
      <c r="X650" s="1254"/>
      <c r="Y650" s="1254"/>
      <c r="Z650" s="1254"/>
    </row>
    <row r="651">
      <c r="A651" s="1254"/>
      <c r="B651" s="1254"/>
      <c r="C651" s="1320"/>
      <c r="D651" s="1254"/>
      <c r="E651" s="1254"/>
      <c r="F651" s="1263"/>
      <c r="G651" s="1317"/>
      <c r="H651" s="1254"/>
      <c r="I651" s="1318"/>
      <c r="J651" s="1254"/>
      <c r="K651" s="1254"/>
      <c r="L651" s="1254"/>
      <c r="M651" s="1254"/>
      <c r="N651" s="1318"/>
      <c r="O651" s="1386"/>
      <c r="P651" s="1254"/>
      <c r="Q651" s="1254"/>
      <c r="R651" s="1254"/>
      <c r="S651" s="1254"/>
      <c r="T651" s="1254"/>
      <c r="U651" s="1254"/>
      <c r="V651" s="1254"/>
      <c r="W651" s="1254"/>
      <c r="X651" s="1254"/>
      <c r="Y651" s="1254"/>
      <c r="Z651" s="1254"/>
    </row>
    <row r="652">
      <c r="A652" s="1254"/>
      <c r="B652" s="1254"/>
      <c r="C652" s="1320"/>
      <c r="D652" s="1254"/>
      <c r="E652" s="1254"/>
      <c r="F652" s="1263"/>
      <c r="G652" s="1317"/>
      <c r="H652" s="1254"/>
      <c r="I652" s="1318"/>
      <c r="J652" s="1254"/>
      <c r="K652" s="1254"/>
      <c r="L652" s="1254"/>
      <c r="M652" s="1254"/>
      <c r="N652" s="1318"/>
      <c r="O652" s="1386"/>
      <c r="P652" s="1254"/>
      <c r="Q652" s="1254"/>
      <c r="R652" s="1254"/>
      <c r="S652" s="1254"/>
      <c r="T652" s="1254"/>
      <c r="U652" s="1254"/>
      <c r="V652" s="1254"/>
      <c r="W652" s="1254"/>
      <c r="X652" s="1254"/>
      <c r="Y652" s="1254"/>
      <c r="Z652" s="1254"/>
    </row>
    <row r="653">
      <c r="A653" s="1254"/>
      <c r="B653" s="1254"/>
      <c r="C653" s="1320"/>
      <c r="D653" s="1254"/>
      <c r="E653" s="1254"/>
      <c r="F653" s="1263"/>
      <c r="G653" s="1317"/>
      <c r="H653" s="1254"/>
      <c r="I653" s="1318"/>
      <c r="J653" s="1254"/>
      <c r="K653" s="1254"/>
      <c r="L653" s="1254"/>
      <c r="M653" s="1254"/>
      <c r="N653" s="1318"/>
      <c r="O653" s="1386"/>
      <c r="P653" s="1254"/>
      <c r="Q653" s="1254"/>
      <c r="R653" s="1254"/>
      <c r="S653" s="1254"/>
      <c r="T653" s="1254"/>
      <c r="U653" s="1254"/>
      <c r="V653" s="1254"/>
      <c r="W653" s="1254"/>
      <c r="X653" s="1254"/>
      <c r="Y653" s="1254"/>
      <c r="Z653" s="1254"/>
    </row>
    <row r="654">
      <c r="A654" s="1254"/>
      <c r="B654" s="1254"/>
      <c r="C654" s="1320"/>
      <c r="D654" s="1254"/>
      <c r="E654" s="1254"/>
      <c r="F654" s="1263"/>
      <c r="G654" s="1317"/>
      <c r="H654" s="1254"/>
      <c r="I654" s="1318"/>
      <c r="J654" s="1254"/>
      <c r="K654" s="1254"/>
      <c r="L654" s="1254"/>
      <c r="M654" s="1254"/>
      <c r="N654" s="1318"/>
      <c r="O654" s="1386"/>
      <c r="P654" s="1254"/>
      <c r="Q654" s="1254"/>
      <c r="R654" s="1254"/>
      <c r="S654" s="1254"/>
      <c r="T654" s="1254"/>
      <c r="U654" s="1254"/>
      <c r="V654" s="1254"/>
      <c r="W654" s="1254"/>
      <c r="X654" s="1254"/>
      <c r="Y654" s="1254"/>
      <c r="Z654" s="1254"/>
    </row>
    <row r="655">
      <c r="A655" s="1254"/>
      <c r="B655" s="1254"/>
      <c r="C655" s="1320"/>
      <c r="D655" s="1254"/>
      <c r="E655" s="1254"/>
      <c r="F655" s="1263"/>
      <c r="G655" s="1317"/>
      <c r="H655" s="1254"/>
      <c r="I655" s="1318"/>
      <c r="J655" s="1254"/>
      <c r="K655" s="1254"/>
      <c r="L655" s="1254"/>
      <c r="M655" s="1254"/>
      <c r="N655" s="1318"/>
      <c r="O655" s="1386"/>
      <c r="P655" s="1254"/>
      <c r="Q655" s="1254"/>
      <c r="R655" s="1254"/>
      <c r="S655" s="1254"/>
      <c r="T655" s="1254"/>
      <c r="U655" s="1254"/>
      <c r="V655" s="1254"/>
      <c r="W655" s="1254"/>
      <c r="X655" s="1254"/>
      <c r="Y655" s="1254"/>
      <c r="Z655" s="1254"/>
    </row>
    <row r="656">
      <c r="A656" s="1254"/>
      <c r="B656" s="1254"/>
      <c r="C656" s="1320"/>
      <c r="D656" s="1254"/>
      <c r="E656" s="1254"/>
      <c r="F656" s="1263"/>
      <c r="G656" s="1317"/>
      <c r="H656" s="1254"/>
      <c r="I656" s="1318"/>
      <c r="J656" s="1254"/>
      <c r="K656" s="1254"/>
      <c r="L656" s="1254"/>
      <c r="M656" s="1254"/>
      <c r="N656" s="1318"/>
      <c r="O656" s="1386"/>
      <c r="P656" s="1254"/>
      <c r="Q656" s="1254"/>
      <c r="R656" s="1254"/>
      <c r="S656" s="1254"/>
      <c r="T656" s="1254"/>
      <c r="U656" s="1254"/>
      <c r="V656" s="1254"/>
      <c r="W656" s="1254"/>
      <c r="X656" s="1254"/>
      <c r="Y656" s="1254"/>
      <c r="Z656" s="1254"/>
    </row>
    <row r="657">
      <c r="A657" s="1254"/>
      <c r="B657" s="1254"/>
      <c r="C657" s="1320"/>
      <c r="D657" s="1254"/>
      <c r="E657" s="1254"/>
      <c r="F657" s="1263"/>
      <c r="G657" s="1317"/>
      <c r="H657" s="1254"/>
      <c r="I657" s="1318"/>
      <c r="J657" s="1254"/>
      <c r="K657" s="1254"/>
      <c r="L657" s="1254"/>
      <c r="M657" s="1254"/>
      <c r="N657" s="1318"/>
      <c r="O657" s="1386"/>
      <c r="P657" s="1254"/>
      <c r="Q657" s="1254"/>
      <c r="R657" s="1254"/>
      <c r="S657" s="1254"/>
      <c r="T657" s="1254"/>
      <c r="U657" s="1254"/>
      <c r="V657" s="1254"/>
      <c r="W657" s="1254"/>
      <c r="X657" s="1254"/>
      <c r="Y657" s="1254"/>
      <c r="Z657" s="1254"/>
    </row>
    <row r="658">
      <c r="A658" s="1254"/>
      <c r="B658" s="1254"/>
      <c r="C658" s="1320"/>
      <c r="D658" s="1254"/>
      <c r="E658" s="1254"/>
      <c r="F658" s="1263"/>
      <c r="G658" s="1317"/>
      <c r="H658" s="1254"/>
      <c r="I658" s="1318"/>
      <c r="J658" s="1254"/>
      <c r="K658" s="1254"/>
      <c r="L658" s="1254"/>
      <c r="M658" s="1254"/>
      <c r="N658" s="1318"/>
      <c r="O658" s="1386"/>
      <c r="P658" s="1254"/>
      <c r="Q658" s="1254"/>
      <c r="R658" s="1254"/>
      <c r="S658" s="1254"/>
      <c r="T658" s="1254"/>
      <c r="U658" s="1254"/>
      <c r="V658" s="1254"/>
      <c r="W658" s="1254"/>
      <c r="X658" s="1254"/>
      <c r="Y658" s="1254"/>
      <c r="Z658" s="1254"/>
    </row>
    <row r="659">
      <c r="A659" s="1254"/>
      <c r="B659" s="1254"/>
      <c r="C659" s="1320"/>
      <c r="D659" s="1254"/>
      <c r="E659" s="1254"/>
      <c r="F659" s="1263"/>
      <c r="G659" s="1317"/>
      <c r="H659" s="1254"/>
      <c r="I659" s="1318"/>
      <c r="J659" s="1254"/>
      <c r="K659" s="1254"/>
      <c r="L659" s="1254"/>
      <c r="M659" s="1254"/>
      <c r="N659" s="1318"/>
      <c r="O659" s="1386"/>
      <c r="P659" s="1254"/>
      <c r="Q659" s="1254"/>
      <c r="R659" s="1254"/>
      <c r="S659" s="1254"/>
      <c r="T659" s="1254"/>
      <c r="U659" s="1254"/>
      <c r="V659" s="1254"/>
      <c r="W659" s="1254"/>
      <c r="X659" s="1254"/>
      <c r="Y659" s="1254"/>
      <c r="Z659" s="1254"/>
    </row>
    <row r="660">
      <c r="A660" s="1254"/>
      <c r="B660" s="1254"/>
      <c r="C660" s="1320"/>
      <c r="D660" s="1254"/>
      <c r="E660" s="1254"/>
      <c r="F660" s="1263"/>
      <c r="G660" s="1317"/>
      <c r="H660" s="1254"/>
      <c r="I660" s="1318"/>
      <c r="J660" s="1254"/>
      <c r="K660" s="1254"/>
      <c r="L660" s="1254"/>
      <c r="M660" s="1254"/>
      <c r="N660" s="1318"/>
      <c r="O660" s="1386"/>
      <c r="P660" s="1254"/>
      <c r="Q660" s="1254"/>
      <c r="R660" s="1254"/>
      <c r="S660" s="1254"/>
      <c r="T660" s="1254"/>
      <c r="U660" s="1254"/>
      <c r="V660" s="1254"/>
      <c r="W660" s="1254"/>
      <c r="X660" s="1254"/>
      <c r="Y660" s="1254"/>
      <c r="Z660" s="1254"/>
    </row>
    <row r="661">
      <c r="A661" s="1254"/>
      <c r="B661" s="1254"/>
      <c r="C661" s="1320"/>
      <c r="D661" s="1254"/>
      <c r="E661" s="1254"/>
      <c r="F661" s="1263"/>
      <c r="G661" s="1317"/>
      <c r="H661" s="1254"/>
      <c r="I661" s="1318"/>
      <c r="J661" s="1254"/>
      <c r="K661" s="1254"/>
      <c r="L661" s="1254"/>
      <c r="M661" s="1254"/>
      <c r="N661" s="1318"/>
      <c r="O661" s="1386"/>
      <c r="P661" s="1254"/>
      <c r="Q661" s="1254"/>
      <c r="R661" s="1254"/>
      <c r="S661" s="1254"/>
      <c r="T661" s="1254"/>
      <c r="U661" s="1254"/>
      <c r="V661" s="1254"/>
      <c r="W661" s="1254"/>
      <c r="X661" s="1254"/>
      <c r="Y661" s="1254"/>
      <c r="Z661" s="1254"/>
    </row>
    <row r="662">
      <c r="A662" s="1254"/>
      <c r="B662" s="1254"/>
      <c r="C662" s="1320"/>
      <c r="D662" s="1254"/>
      <c r="E662" s="1254"/>
      <c r="F662" s="1263"/>
      <c r="G662" s="1317"/>
      <c r="H662" s="1254"/>
      <c r="I662" s="1318"/>
      <c r="J662" s="1254"/>
      <c r="K662" s="1254"/>
      <c r="L662" s="1254"/>
      <c r="M662" s="1254"/>
      <c r="N662" s="1318"/>
      <c r="O662" s="1386"/>
      <c r="P662" s="1254"/>
      <c r="Q662" s="1254"/>
      <c r="R662" s="1254"/>
      <c r="S662" s="1254"/>
      <c r="T662" s="1254"/>
      <c r="U662" s="1254"/>
      <c r="V662" s="1254"/>
      <c r="W662" s="1254"/>
      <c r="X662" s="1254"/>
      <c r="Y662" s="1254"/>
      <c r="Z662" s="1254"/>
    </row>
    <row r="663">
      <c r="A663" s="1254"/>
      <c r="B663" s="1254"/>
      <c r="C663" s="1320"/>
      <c r="D663" s="1254"/>
      <c r="E663" s="1254"/>
      <c r="F663" s="1263"/>
      <c r="G663" s="1317"/>
      <c r="H663" s="1254"/>
      <c r="I663" s="1318"/>
      <c r="J663" s="1254"/>
      <c r="K663" s="1254"/>
      <c r="L663" s="1254"/>
      <c r="M663" s="1254"/>
      <c r="N663" s="1318"/>
      <c r="O663" s="1386"/>
      <c r="P663" s="1254"/>
      <c r="Q663" s="1254"/>
      <c r="R663" s="1254"/>
      <c r="S663" s="1254"/>
      <c r="T663" s="1254"/>
      <c r="U663" s="1254"/>
      <c r="V663" s="1254"/>
      <c r="W663" s="1254"/>
      <c r="X663" s="1254"/>
      <c r="Y663" s="1254"/>
      <c r="Z663" s="1254"/>
    </row>
    <row r="664">
      <c r="A664" s="1254"/>
      <c r="B664" s="1254"/>
      <c r="C664" s="1320"/>
      <c r="D664" s="1254"/>
      <c r="E664" s="1254"/>
      <c r="F664" s="1263"/>
      <c r="G664" s="1317"/>
      <c r="H664" s="1254"/>
      <c r="I664" s="1318"/>
      <c r="J664" s="1254"/>
      <c r="K664" s="1254"/>
      <c r="L664" s="1254"/>
      <c r="M664" s="1254"/>
      <c r="N664" s="1318"/>
      <c r="O664" s="1386"/>
      <c r="P664" s="1254"/>
      <c r="Q664" s="1254"/>
      <c r="R664" s="1254"/>
      <c r="S664" s="1254"/>
      <c r="T664" s="1254"/>
      <c r="U664" s="1254"/>
      <c r="V664" s="1254"/>
      <c r="W664" s="1254"/>
      <c r="X664" s="1254"/>
      <c r="Y664" s="1254"/>
      <c r="Z664" s="1254"/>
    </row>
    <row r="665">
      <c r="A665" s="1254"/>
      <c r="B665" s="1254"/>
      <c r="C665" s="1320"/>
      <c r="D665" s="1254"/>
      <c r="E665" s="1254"/>
      <c r="F665" s="1263"/>
      <c r="G665" s="1317"/>
      <c r="H665" s="1254"/>
      <c r="I665" s="1318"/>
      <c r="J665" s="1254"/>
      <c r="K665" s="1254"/>
      <c r="L665" s="1254"/>
      <c r="M665" s="1254"/>
      <c r="N665" s="1318"/>
      <c r="O665" s="1386"/>
      <c r="P665" s="1254"/>
      <c r="Q665" s="1254"/>
      <c r="R665" s="1254"/>
      <c r="S665" s="1254"/>
      <c r="T665" s="1254"/>
      <c r="U665" s="1254"/>
      <c r="V665" s="1254"/>
      <c r="W665" s="1254"/>
      <c r="X665" s="1254"/>
      <c r="Y665" s="1254"/>
      <c r="Z665" s="1254"/>
    </row>
    <row r="666">
      <c r="A666" s="1254"/>
      <c r="B666" s="1254"/>
      <c r="C666" s="1320"/>
      <c r="D666" s="1254"/>
      <c r="E666" s="1254"/>
      <c r="F666" s="1263"/>
      <c r="G666" s="1317"/>
      <c r="H666" s="1254"/>
      <c r="I666" s="1318"/>
      <c r="J666" s="1254"/>
      <c r="K666" s="1254"/>
      <c r="L666" s="1254"/>
      <c r="M666" s="1254"/>
      <c r="N666" s="1318"/>
      <c r="O666" s="1386"/>
      <c r="P666" s="1254"/>
      <c r="Q666" s="1254"/>
      <c r="R666" s="1254"/>
      <c r="S666" s="1254"/>
      <c r="T666" s="1254"/>
      <c r="U666" s="1254"/>
      <c r="V666" s="1254"/>
      <c r="W666" s="1254"/>
      <c r="X666" s="1254"/>
      <c r="Y666" s="1254"/>
      <c r="Z666" s="1254"/>
    </row>
    <row r="667">
      <c r="A667" s="1254"/>
      <c r="B667" s="1254"/>
      <c r="C667" s="1320"/>
      <c r="D667" s="1254"/>
      <c r="E667" s="1254"/>
      <c r="F667" s="1263"/>
      <c r="G667" s="1317"/>
      <c r="H667" s="1254"/>
      <c r="I667" s="1318"/>
      <c r="J667" s="1254"/>
      <c r="K667" s="1254"/>
      <c r="L667" s="1254"/>
      <c r="M667" s="1254"/>
      <c r="N667" s="1318"/>
      <c r="O667" s="1386"/>
      <c r="P667" s="1254"/>
      <c r="Q667" s="1254"/>
      <c r="R667" s="1254"/>
      <c r="S667" s="1254"/>
      <c r="T667" s="1254"/>
      <c r="U667" s="1254"/>
      <c r="V667" s="1254"/>
      <c r="W667" s="1254"/>
      <c r="X667" s="1254"/>
      <c r="Y667" s="1254"/>
      <c r="Z667" s="1254"/>
    </row>
    <row r="668">
      <c r="A668" s="1254"/>
      <c r="B668" s="1254"/>
      <c r="C668" s="1320"/>
      <c r="D668" s="1254"/>
      <c r="E668" s="1254"/>
      <c r="F668" s="1263"/>
      <c r="G668" s="1317"/>
      <c r="H668" s="1254"/>
      <c r="I668" s="1318"/>
      <c r="J668" s="1254"/>
      <c r="K668" s="1254"/>
      <c r="L668" s="1254"/>
      <c r="M668" s="1254"/>
      <c r="N668" s="1318"/>
      <c r="O668" s="1386"/>
      <c r="P668" s="1254"/>
      <c r="Q668" s="1254"/>
      <c r="R668" s="1254"/>
      <c r="S668" s="1254"/>
      <c r="T668" s="1254"/>
      <c r="U668" s="1254"/>
      <c r="V668" s="1254"/>
      <c r="W668" s="1254"/>
      <c r="X668" s="1254"/>
      <c r="Y668" s="1254"/>
      <c r="Z668" s="1254"/>
    </row>
    <row r="669">
      <c r="A669" s="1254"/>
      <c r="B669" s="1254"/>
      <c r="C669" s="1320"/>
      <c r="D669" s="1254"/>
      <c r="E669" s="1254"/>
      <c r="F669" s="1263"/>
      <c r="G669" s="1317"/>
      <c r="H669" s="1254"/>
      <c r="I669" s="1318"/>
      <c r="J669" s="1254"/>
      <c r="K669" s="1254"/>
      <c r="L669" s="1254"/>
      <c r="M669" s="1254"/>
      <c r="N669" s="1318"/>
      <c r="O669" s="1386"/>
      <c r="P669" s="1254"/>
      <c r="Q669" s="1254"/>
      <c r="R669" s="1254"/>
      <c r="S669" s="1254"/>
      <c r="T669" s="1254"/>
      <c r="U669" s="1254"/>
      <c r="V669" s="1254"/>
      <c r="W669" s="1254"/>
      <c r="X669" s="1254"/>
      <c r="Y669" s="1254"/>
      <c r="Z669" s="1254"/>
    </row>
    <row r="670">
      <c r="A670" s="1254"/>
      <c r="B670" s="1254"/>
      <c r="C670" s="1320"/>
      <c r="D670" s="1254"/>
      <c r="E670" s="1254"/>
      <c r="F670" s="1263"/>
      <c r="G670" s="1317"/>
      <c r="H670" s="1254"/>
      <c r="I670" s="1318"/>
      <c r="J670" s="1254"/>
      <c r="K670" s="1254"/>
      <c r="L670" s="1254"/>
      <c r="M670" s="1254"/>
      <c r="N670" s="1318"/>
      <c r="O670" s="1386"/>
      <c r="P670" s="1254"/>
      <c r="Q670" s="1254"/>
      <c r="R670" s="1254"/>
      <c r="S670" s="1254"/>
      <c r="T670" s="1254"/>
      <c r="U670" s="1254"/>
      <c r="V670" s="1254"/>
      <c r="W670" s="1254"/>
      <c r="X670" s="1254"/>
      <c r="Y670" s="1254"/>
      <c r="Z670" s="1254"/>
    </row>
    <row r="671">
      <c r="A671" s="1254"/>
      <c r="B671" s="1254"/>
      <c r="C671" s="1320"/>
      <c r="D671" s="1254"/>
      <c r="E671" s="1254"/>
      <c r="F671" s="1263"/>
      <c r="G671" s="1317"/>
      <c r="H671" s="1254"/>
      <c r="I671" s="1318"/>
      <c r="J671" s="1254"/>
      <c r="K671" s="1254"/>
      <c r="L671" s="1254"/>
      <c r="M671" s="1254"/>
      <c r="N671" s="1318"/>
      <c r="O671" s="1386"/>
      <c r="P671" s="1254"/>
      <c r="Q671" s="1254"/>
      <c r="R671" s="1254"/>
      <c r="S671" s="1254"/>
      <c r="T671" s="1254"/>
      <c r="U671" s="1254"/>
      <c r="V671" s="1254"/>
      <c r="W671" s="1254"/>
      <c r="X671" s="1254"/>
      <c r="Y671" s="1254"/>
      <c r="Z671" s="1254"/>
    </row>
    <row r="672">
      <c r="A672" s="1254"/>
      <c r="B672" s="1254"/>
      <c r="C672" s="1320"/>
      <c r="D672" s="1254"/>
      <c r="E672" s="1254"/>
      <c r="F672" s="1263"/>
      <c r="G672" s="1317"/>
      <c r="H672" s="1254"/>
      <c r="I672" s="1318"/>
      <c r="J672" s="1254"/>
      <c r="K672" s="1254"/>
      <c r="L672" s="1254"/>
      <c r="M672" s="1254"/>
      <c r="N672" s="1318"/>
      <c r="O672" s="1386"/>
      <c r="P672" s="1254"/>
      <c r="Q672" s="1254"/>
      <c r="R672" s="1254"/>
      <c r="S672" s="1254"/>
      <c r="T672" s="1254"/>
      <c r="U672" s="1254"/>
      <c r="V672" s="1254"/>
      <c r="W672" s="1254"/>
      <c r="X672" s="1254"/>
      <c r="Y672" s="1254"/>
      <c r="Z672" s="1254"/>
    </row>
    <row r="673">
      <c r="A673" s="1254"/>
      <c r="B673" s="1254"/>
      <c r="C673" s="1320"/>
      <c r="D673" s="1254"/>
      <c r="E673" s="1254"/>
      <c r="F673" s="1263"/>
      <c r="G673" s="1317"/>
      <c r="H673" s="1254"/>
      <c r="I673" s="1318"/>
      <c r="J673" s="1254"/>
      <c r="K673" s="1254"/>
      <c r="L673" s="1254"/>
      <c r="M673" s="1254"/>
      <c r="N673" s="1318"/>
      <c r="O673" s="1386"/>
      <c r="P673" s="1254"/>
      <c r="Q673" s="1254"/>
      <c r="R673" s="1254"/>
      <c r="S673" s="1254"/>
      <c r="T673" s="1254"/>
      <c r="U673" s="1254"/>
      <c r="V673" s="1254"/>
      <c r="W673" s="1254"/>
      <c r="X673" s="1254"/>
      <c r="Y673" s="1254"/>
      <c r="Z673" s="1254"/>
    </row>
    <row r="674">
      <c r="A674" s="1254"/>
      <c r="B674" s="1254"/>
      <c r="C674" s="1320"/>
      <c r="D674" s="1254"/>
      <c r="E674" s="1254"/>
      <c r="F674" s="1263"/>
      <c r="G674" s="1317"/>
      <c r="H674" s="1254"/>
      <c r="I674" s="1318"/>
      <c r="J674" s="1254"/>
      <c r="K674" s="1254"/>
      <c r="L674" s="1254"/>
      <c r="M674" s="1254"/>
      <c r="N674" s="1318"/>
      <c r="O674" s="1386"/>
      <c r="P674" s="1254"/>
      <c r="Q674" s="1254"/>
      <c r="R674" s="1254"/>
      <c r="S674" s="1254"/>
      <c r="T674" s="1254"/>
      <c r="U674" s="1254"/>
      <c r="V674" s="1254"/>
      <c r="W674" s="1254"/>
      <c r="X674" s="1254"/>
      <c r="Y674" s="1254"/>
      <c r="Z674" s="1254"/>
    </row>
    <row r="675">
      <c r="A675" s="1254"/>
      <c r="B675" s="1254"/>
      <c r="C675" s="1320"/>
      <c r="D675" s="1254"/>
      <c r="E675" s="1254"/>
      <c r="F675" s="1263"/>
      <c r="G675" s="1317"/>
      <c r="H675" s="1254"/>
      <c r="I675" s="1318"/>
      <c r="J675" s="1254"/>
      <c r="K675" s="1254"/>
      <c r="L675" s="1254"/>
      <c r="M675" s="1254"/>
      <c r="N675" s="1318"/>
      <c r="O675" s="1386"/>
      <c r="P675" s="1254"/>
      <c r="Q675" s="1254"/>
      <c r="R675" s="1254"/>
      <c r="S675" s="1254"/>
      <c r="T675" s="1254"/>
      <c r="U675" s="1254"/>
      <c r="V675" s="1254"/>
      <c r="W675" s="1254"/>
      <c r="X675" s="1254"/>
      <c r="Y675" s="1254"/>
      <c r="Z675" s="1254"/>
    </row>
    <row r="676">
      <c r="A676" s="1254"/>
      <c r="B676" s="1254"/>
      <c r="C676" s="1320"/>
      <c r="D676" s="1254"/>
      <c r="E676" s="1254"/>
      <c r="F676" s="1263"/>
      <c r="G676" s="1317"/>
      <c r="H676" s="1254"/>
      <c r="I676" s="1318"/>
      <c r="J676" s="1254"/>
      <c r="K676" s="1254"/>
      <c r="L676" s="1254"/>
      <c r="M676" s="1254"/>
      <c r="N676" s="1318"/>
      <c r="O676" s="1386"/>
      <c r="P676" s="1254"/>
      <c r="Q676" s="1254"/>
      <c r="R676" s="1254"/>
      <c r="S676" s="1254"/>
      <c r="T676" s="1254"/>
      <c r="U676" s="1254"/>
      <c r="V676" s="1254"/>
      <c r="W676" s="1254"/>
      <c r="X676" s="1254"/>
      <c r="Y676" s="1254"/>
      <c r="Z676" s="1254"/>
    </row>
    <row r="677">
      <c r="A677" s="1254"/>
      <c r="B677" s="1254"/>
      <c r="C677" s="1320"/>
      <c r="D677" s="1254"/>
      <c r="E677" s="1254"/>
      <c r="F677" s="1263"/>
      <c r="G677" s="1317"/>
      <c r="H677" s="1254"/>
      <c r="I677" s="1318"/>
      <c r="J677" s="1254"/>
      <c r="K677" s="1254"/>
      <c r="L677" s="1254"/>
      <c r="M677" s="1254"/>
      <c r="N677" s="1318"/>
      <c r="O677" s="1386"/>
      <c r="P677" s="1254"/>
      <c r="Q677" s="1254"/>
      <c r="R677" s="1254"/>
      <c r="S677" s="1254"/>
      <c r="T677" s="1254"/>
      <c r="U677" s="1254"/>
      <c r="V677" s="1254"/>
      <c r="W677" s="1254"/>
      <c r="X677" s="1254"/>
      <c r="Y677" s="1254"/>
      <c r="Z677" s="1254"/>
    </row>
    <row r="678">
      <c r="A678" s="1254"/>
      <c r="B678" s="1254"/>
      <c r="C678" s="1320"/>
      <c r="D678" s="1254"/>
      <c r="E678" s="1254"/>
      <c r="F678" s="1263"/>
      <c r="G678" s="1317"/>
      <c r="H678" s="1254"/>
      <c r="I678" s="1318"/>
      <c r="J678" s="1254"/>
      <c r="K678" s="1254"/>
      <c r="L678" s="1254"/>
      <c r="M678" s="1254"/>
      <c r="N678" s="1318"/>
      <c r="O678" s="1386"/>
      <c r="P678" s="1254"/>
      <c r="Q678" s="1254"/>
      <c r="R678" s="1254"/>
      <c r="S678" s="1254"/>
      <c r="T678" s="1254"/>
      <c r="U678" s="1254"/>
      <c r="V678" s="1254"/>
      <c r="W678" s="1254"/>
      <c r="X678" s="1254"/>
      <c r="Y678" s="1254"/>
      <c r="Z678" s="1254"/>
    </row>
    <row r="679">
      <c r="A679" s="1254"/>
      <c r="B679" s="1254"/>
      <c r="C679" s="1320"/>
      <c r="D679" s="1254"/>
      <c r="E679" s="1254"/>
      <c r="F679" s="1263"/>
      <c r="G679" s="1317"/>
      <c r="H679" s="1254"/>
      <c r="I679" s="1318"/>
      <c r="J679" s="1254"/>
      <c r="K679" s="1254"/>
      <c r="L679" s="1254"/>
      <c r="M679" s="1254"/>
      <c r="N679" s="1318"/>
      <c r="O679" s="1386"/>
      <c r="P679" s="1254"/>
      <c r="Q679" s="1254"/>
      <c r="R679" s="1254"/>
      <c r="S679" s="1254"/>
      <c r="T679" s="1254"/>
      <c r="U679" s="1254"/>
      <c r="V679" s="1254"/>
      <c r="W679" s="1254"/>
      <c r="X679" s="1254"/>
      <c r="Y679" s="1254"/>
      <c r="Z679" s="1254"/>
    </row>
    <row r="680">
      <c r="A680" s="1254"/>
      <c r="B680" s="1254"/>
      <c r="C680" s="1320"/>
      <c r="D680" s="1254"/>
      <c r="E680" s="1254"/>
      <c r="F680" s="1263"/>
      <c r="G680" s="1317"/>
      <c r="H680" s="1254"/>
      <c r="I680" s="1318"/>
      <c r="J680" s="1254"/>
      <c r="K680" s="1254"/>
      <c r="L680" s="1254"/>
      <c r="M680" s="1254"/>
      <c r="N680" s="1318"/>
      <c r="O680" s="1386"/>
      <c r="P680" s="1254"/>
      <c r="Q680" s="1254"/>
      <c r="R680" s="1254"/>
      <c r="S680" s="1254"/>
      <c r="T680" s="1254"/>
      <c r="U680" s="1254"/>
      <c r="V680" s="1254"/>
      <c r="W680" s="1254"/>
      <c r="X680" s="1254"/>
      <c r="Y680" s="1254"/>
      <c r="Z680" s="1254"/>
    </row>
    <row r="681">
      <c r="A681" s="1254"/>
      <c r="B681" s="1254"/>
      <c r="C681" s="1320"/>
      <c r="D681" s="1254"/>
      <c r="E681" s="1254"/>
      <c r="F681" s="1263"/>
      <c r="G681" s="1317"/>
      <c r="H681" s="1254"/>
      <c r="I681" s="1318"/>
      <c r="J681" s="1254"/>
      <c r="K681" s="1254"/>
      <c r="L681" s="1254"/>
      <c r="M681" s="1254"/>
      <c r="N681" s="1318"/>
      <c r="O681" s="1386"/>
      <c r="P681" s="1254"/>
      <c r="Q681" s="1254"/>
      <c r="R681" s="1254"/>
      <c r="S681" s="1254"/>
      <c r="T681" s="1254"/>
      <c r="U681" s="1254"/>
      <c r="V681" s="1254"/>
      <c r="W681" s="1254"/>
      <c r="X681" s="1254"/>
      <c r="Y681" s="1254"/>
      <c r="Z681" s="1254"/>
    </row>
    <row r="682">
      <c r="A682" s="1254"/>
      <c r="B682" s="1254"/>
      <c r="C682" s="1320"/>
      <c r="D682" s="1254"/>
      <c r="E682" s="1254"/>
      <c r="F682" s="1263"/>
      <c r="G682" s="1317"/>
      <c r="H682" s="1254"/>
      <c r="I682" s="1318"/>
      <c r="J682" s="1254"/>
      <c r="K682" s="1254"/>
      <c r="L682" s="1254"/>
      <c r="M682" s="1254"/>
      <c r="N682" s="1318"/>
      <c r="O682" s="1386"/>
      <c r="P682" s="1254"/>
      <c r="Q682" s="1254"/>
      <c r="R682" s="1254"/>
      <c r="S682" s="1254"/>
      <c r="T682" s="1254"/>
      <c r="U682" s="1254"/>
      <c r="V682" s="1254"/>
      <c r="W682" s="1254"/>
      <c r="X682" s="1254"/>
      <c r="Y682" s="1254"/>
      <c r="Z682" s="1254"/>
    </row>
    <row r="683">
      <c r="A683" s="1254"/>
      <c r="B683" s="1254"/>
      <c r="C683" s="1320"/>
      <c r="D683" s="1254"/>
      <c r="E683" s="1254"/>
      <c r="F683" s="1263"/>
      <c r="G683" s="1317"/>
      <c r="H683" s="1254"/>
      <c r="I683" s="1318"/>
      <c r="J683" s="1254"/>
      <c r="K683" s="1254"/>
      <c r="L683" s="1254"/>
      <c r="M683" s="1254"/>
      <c r="N683" s="1318"/>
      <c r="O683" s="1386"/>
      <c r="P683" s="1254"/>
      <c r="Q683" s="1254"/>
      <c r="R683" s="1254"/>
      <c r="S683" s="1254"/>
      <c r="T683" s="1254"/>
      <c r="U683" s="1254"/>
      <c r="V683" s="1254"/>
      <c r="W683" s="1254"/>
      <c r="X683" s="1254"/>
      <c r="Y683" s="1254"/>
      <c r="Z683" s="1254"/>
    </row>
    <row r="684">
      <c r="A684" s="1254"/>
      <c r="B684" s="1254"/>
      <c r="C684" s="1320"/>
      <c r="D684" s="1254"/>
      <c r="E684" s="1254"/>
      <c r="F684" s="1263"/>
      <c r="G684" s="1317"/>
      <c r="H684" s="1254"/>
      <c r="I684" s="1318"/>
      <c r="J684" s="1254"/>
      <c r="K684" s="1254"/>
      <c r="L684" s="1254"/>
      <c r="M684" s="1254"/>
      <c r="N684" s="1318"/>
      <c r="O684" s="1386"/>
      <c r="P684" s="1254"/>
      <c r="Q684" s="1254"/>
      <c r="R684" s="1254"/>
      <c r="S684" s="1254"/>
      <c r="T684" s="1254"/>
      <c r="U684" s="1254"/>
      <c r="V684" s="1254"/>
      <c r="W684" s="1254"/>
      <c r="X684" s="1254"/>
      <c r="Y684" s="1254"/>
      <c r="Z684" s="1254"/>
    </row>
    <row r="685">
      <c r="A685" s="1254"/>
      <c r="B685" s="1254"/>
      <c r="C685" s="1320"/>
      <c r="D685" s="1254"/>
      <c r="E685" s="1254"/>
      <c r="F685" s="1263"/>
      <c r="G685" s="1317"/>
      <c r="H685" s="1254"/>
      <c r="I685" s="1318"/>
      <c r="J685" s="1254"/>
      <c r="K685" s="1254"/>
      <c r="L685" s="1254"/>
      <c r="M685" s="1254"/>
      <c r="N685" s="1318"/>
      <c r="O685" s="1386"/>
      <c r="P685" s="1254"/>
      <c r="Q685" s="1254"/>
      <c r="R685" s="1254"/>
      <c r="S685" s="1254"/>
      <c r="T685" s="1254"/>
      <c r="U685" s="1254"/>
      <c r="V685" s="1254"/>
      <c r="W685" s="1254"/>
      <c r="X685" s="1254"/>
      <c r="Y685" s="1254"/>
      <c r="Z685" s="1254"/>
    </row>
    <row r="686">
      <c r="A686" s="1254"/>
      <c r="B686" s="1254"/>
      <c r="C686" s="1320"/>
      <c r="D686" s="1254"/>
      <c r="E686" s="1254"/>
      <c r="F686" s="1263"/>
      <c r="G686" s="1317"/>
      <c r="H686" s="1254"/>
      <c r="I686" s="1318"/>
      <c r="J686" s="1254"/>
      <c r="K686" s="1254"/>
      <c r="L686" s="1254"/>
      <c r="M686" s="1254"/>
      <c r="N686" s="1318"/>
      <c r="O686" s="1386"/>
      <c r="P686" s="1254"/>
      <c r="Q686" s="1254"/>
      <c r="R686" s="1254"/>
      <c r="S686" s="1254"/>
      <c r="T686" s="1254"/>
      <c r="U686" s="1254"/>
      <c r="V686" s="1254"/>
      <c r="W686" s="1254"/>
      <c r="X686" s="1254"/>
      <c r="Y686" s="1254"/>
      <c r="Z686" s="1254"/>
    </row>
    <row r="687">
      <c r="A687" s="1254"/>
      <c r="B687" s="1254"/>
      <c r="C687" s="1320"/>
      <c r="D687" s="1254"/>
      <c r="E687" s="1254"/>
      <c r="F687" s="1263"/>
      <c r="G687" s="1317"/>
      <c r="H687" s="1254"/>
      <c r="I687" s="1318"/>
      <c r="J687" s="1254"/>
      <c r="K687" s="1254"/>
      <c r="L687" s="1254"/>
      <c r="M687" s="1254"/>
      <c r="N687" s="1318"/>
      <c r="O687" s="1386"/>
      <c r="P687" s="1254"/>
      <c r="Q687" s="1254"/>
      <c r="R687" s="1254"/>
      <c r="S687" s="1254"/>
      <c r="T687" s="1254"/>
      <c r="U687" s="1254"/>
      <c r="V687" s="1254"/>
      <c r="W687" s="1254"/>
      <c r="X687" s="1254"/>
      <c r="Y687" s="1254"/>
      <c r="Z687" s="1254"/>
    </row>
    <row r="688">
      <c r="A688" s="1254"/>
      <c r="B688" s="1254"/>
      <c r="C688" s="1320"/>
      <c r="D688" s="1254"/>
      <c r="E688" s="1254"/>
      <c r="F688" s="1263"/>
      <c r="G688" s="1317"/>
      <c r="H688" s="1254"/>
      <c r="I688" s="1318"/>
      <c r="J688" s="1254"/>
      <c r="K688" s="1254"/>
      <c r="L688" s="1254"/>
      <c r="M688" s="1254"/>
      <c r="N688" s="1318"/>
      <c r="O688" s="1386"/>
      <c r="P688" s="1254"/>
      <c r="Q688" s="1254"/>
      <c r="R688" s="1254"/>
      <c r="S688" s="1254"/>
      <c r="T688" s="1254"/>
      <c r="U688" s="1254"/>
      <c r="V688" s="1254"/>
      <c r="W688" s="1254"/>
      <c r="X688" s="1254"/>
      <c r="Y688" s="1254"/>
      <c r="Z688" s="1254"/>
    </row>
    <row r="689">
      <c r="A689" s="1254"/>
      <c r="B689" s="1254"/>
      <c r="C689" s="1320"/>
      <c r="D689" s="1254"/>
      <c r="E689" s="1254"/>
      <c r="F689" s="1263"/>
      <c r="G689" s="1317"/>
      <c r="H689" s="1254"/>
      <c r="I689" s="1318"/>
      <c r="J689" s="1254"/>
      <c r="K689" s="1254"/>
      <c r="L689" s="1254"/>
      <c r="M689" s="1254"/>
      <c r="N689" s="1318"/>
      <c r="O689" s="1386"/>
      <c r="P689" s="1254"/>
      <c r="Q689" s="1254"/>
      <c r="R689" s="1254"/>
      <c r="S689" s="1254"/>
      <c r="T689" s="1254"/>
      <c r="U689" s="1254"/>
      <c r="V689" s="1254"/>
      <c r="W689" s="1254"/>
      <c r="X689" s="1254"/>
      <c r="Y689" s="1254"/>
      <c r="Z689" s="1254"/>
    </row>
    <row r="690">
      <c r="A690" s="1254"/>
      <c r="B690" s="1254"/>
      <c r="C690" s="1320"/>
      <c r="D690" s="1254"/>
      <c r="E690" s="1254"/>
      <c r="F690" s="1263"/>
      <c r="G690" s="1317"/>
      <c r="H690" s="1254"/>
      <c r="I690" s="1318"/>
      <c r="J690" s="1254"/>
      <c r="K690" s="1254"/>
      <c r="L690" s="1254"/>
      <c r="M690" s="1254"/>
      <c r="N690" s="1318"/>
      <c r="O690" s="1386"/>
      <c r="P690" s="1254"/>
      <c r="Q690" s="1254"/>
      <c r="R690" s="1254"/>
      <c r="S690" s="1254"/>
      <c r="T690" s="1254"/>
      <c r="U690" s="1254"/>
      <c r="V690" s="1254"/>
      <c r="W690" s="1254"/>
      <c r="X690" s="1254"/>
      <c r="Y690" s="1254"/>
      <c r="Z690" s="1254"/>
    </row>
    <row r="691">
      <c r="A691" s="1254"/>
      <c r="B691" s="1254"/>
      <c r="C691" s="1320"/>
      <c r="D691" s="1254"/>
      <c r="E691" s="1254"/>
      <c r="F691" s="1263"/>
      <c r="G691" s="1317"/>
      <c r="H691" s="1254"/>
      <c r="I691" s="1318"/>
      <c r="J691" s="1254"/>
      <c r="K691" s="1254"/>
      <c r="L691" s="1254"/>
      <c r="M691" s="1254"/>
      <c r="N691" s="1318"/>
      <c r="O691" s="1386"/>
      <c r="P691" s="1254"/>
      <c r="Q691" s="1254"/>
      <c r="R691" s="1254"/>
      <c r="S691" s="1254"/>
      <c r="T691" s="1254"/>
      <c r="U691" s="1254"/>
      <c r="V691" s="1254"/>
      <c r="W691" s="1254"/>
      <c r="X691" s="1254"/>
      <c r="Y691" s="1254"/>
      <c r="Z691" s="1254"/>
    </row>
    <row r="692">
      <c r="A692" s="1254"/>
      <c r="B692" s="1254"/>
      <c r="C692" s="1320"/>
      <c r="D692" s="1254"/>
      <c r="E692" s="1254"/>
      <c r="F692" s="1263"/>
      <c r="G692" s="1317"/>
      <c r="H692" s="1254"/>
      <c r="I692" s="1318"/>
      <c r="J692" s="1254"/>
      <c r="K692" s="1254"/>
      <c r="L692" s="1254"/>
      <c r="M692" s="1254"/>
      <c r="N692" s="1318"/>
      <c r="O692" s="1386"/>
      <c r="P692" s="1254"/>
      <c r="Q692" s="1254"/>
      <c r="R692" s="1254"/>
      <c r="S692" s="1254"/>
      <c r="T692" s="1254"/>
      <c r="U692" s="1254"/>
      <c r="V692" s="1254"/>
      <c r="W692" s="1254"/>
      <c r="X692" s="1254"/>
      <c r="Y692" s="1254"/>
      <c r="Z692" s="1254"/>
    </row>
    <row r="693">
      <c r="A693" s="1254"/>
      <c r="B693" s="1254"/>
      <c r="C693" s="1320"/>
      <c r="D693" s="1254"/>
      <c r="E693" s="1254"/>
      <c r="F693" s="1263"/>
      <c r="G693" s="1317"/>
      <c r="H693" s="1254"/>
      <c r="I693" s="1318"/>
      <c r="J693" s="1254"/>
      <c r="K693" s="1254"/>
      <c r="L693" s="1254"/>
      <c r="M693" s="1254"/>
      <c r="N693" s="1318"/>
      <c r="O693" s="1386"/>
      <c r="P693" s="1254"/>
      <c r="Q693" s="1254"/>
      <c r="R693" s="1254"/>
      <c r="S693" s="1254"/>
      <c r="T693" s="1254"/>
      <c r="U693" s="1254"/>
      <c r="V693" s="1254"/>
      <c r="W693" s="1254"/>
      <c r="X693" s="1254"/>
      <c r="Y693" s="1254"/>
      <c r="Z693" s="1254"/>
    </row>
    <row r="694">
      <c r="A694" s="1254"/>
      <c r="B694" s="1254"/>
      <c r="C694" s="1320"/>
      <c r="D694" s="1254"/>
      <c r="E694" s="1254"/>
      <c r="F694" s="1263"/>
      <c r="G694" s="1317"/>
      <c r="H694" s="1254"/>
      <c r="I694" s="1318"/>
      <c r="J694" s="1254"/>
      <c r="K694" s="1254"/>
      <c r="L694" s="1254"/>
      <c r="M694" s="1254"/>
      <c r="N694" s="1318"/>
      <c r="O694" s="1386"/>
      <c r="P694" s="1254"/>
      <c r="Q694" s="1254"/>
      <c r="R694" s="1254"/>
      <c r="S694" s="1254"/>
      <c r="T694" s="1254"/>
      <c r="U694" s="1254"/>
      <c r="V694" s="1254"/>
      <c r="W694" s="1254"/>
      <c r="X694" s="1254"/>
      <c r="Y694" s="1254"/>
      <c r="Z694" s="1254"/>
    </row>
    <row r="695">
      <c r="A695" s="1254"/>
      <c r="B695" s="1254"/>
      <c r="C695" s="1320"/>
      <c r="D695" s="1254"/>
      <c r="E695" s="1254"/>
      <c r="F695" s="1263"/>
      <c r="G695" s="1317"/>
      <c r="H695" s="1254"/>
      <c r="I695" s="1318"/>
      <c r="J695" s="1254"/>
      <c r="K695" s="1254"/>
      <c r="L695" s="1254"/>
      <c r="M695" s="1254"/>
      <c r="N695" s="1318"/>
      <c r="O695" s="1386"/>
      <c r="P695" s="1254"/>
      <c r="Q695" s="1254"/>
      <c r="R695" s="1254"/>
      <c r="S695" s="1254"/>
      <c r="T695" s="1254"/>
      <c r="U695" s="1254"/>
      <c r="V695" s="1254"/>
      <c r="W695" s="1254"/>
      <c r="X695" s="1254"/>
      <c r="Y695" s="1254"/>
      <c r="Z695" s="1254"/>
    </row>
    <row r="696">
      <c r="A696" s="1254"/>
      <c r="B696" s="1254"/>
      <c r="C696" s="1320"/>
      <c r="D696" s="1254"/>
      <c r="E696" s="1254"/>
      <c r="F696" s="1263"/>
      <c r="G696" s="1317"/>
      <c r="H696" s="1254"/>
      <c r="I696" s="1318"/>
      <c r="J696" s="1254"/>
      <c r="K696" s="1254"/>
      <c r="L696" s="1254"/>
      <c r="M696" s="1254"/>
      <c r="N696" s="1318"/>
      <c r="O696" s="1386"/>
      <c r="P696" s="1254"/>
      <c r="Q696" s="1254"/>
      <c r="R696" s="1254"/>
      <c r="S696" s="1254"/>
      <c r="T696" s="1254"/>
      <c r="U696" s="1254"/>
      <c r="V696" s="1254"/>
      <c r="W696" s="1254"/>
      <c r="X696" s="1254"/>
      <c r="Y696" s="1254"/>
      <c r="Z696" s="1254"/>
    </row>
    <row r="697">
      <c r="A697" s="1254"/>
      <c r="B697" s="1254"/>
      <c r="C697" s="1320"/>
      <c r="D697" s="1254"/>
      <c r="E697" s="1254"/>
      <c r="F697" s="1263"/>
      <c r="G697" s="1317"/>
      <c r="H697" s="1254"/>
      <c r="I697" s="1318"/>
      <c r="J697" s="1254"/>
      <c r="K697" s="1254"/>
      <c r="L697" s="1254"/>
      <c r="M697" s="1254"/>
      <c r="N697" s="1318"/>
      <c r="O697" s="1386"/>
      <c r="P697" s="1254"/>
      <c r="Q697" s="1254"/>
      <c r="R697" s="1254"/>
      <c r="S697" s="1254"/>
      <c r="T697" s="1254"/>
      <c r="U697" s="1254"/>
      <c r="V697" s="1254"/>
      <c r="W697" s="1254"/>
      <c r="X697" s="1254"/>
      <c r="Y697" s="1254"/>
      <c r="Z697" s="1254"/>
    </row>
    <row r="698">
      <c r="A698" s="1254"/>
      <c r="B698" s="1254"/>
      <c r="C698" s="1320"/>
      <c r="D698" s="1254"/>
      <c r="E698" s="1254"/>
      <c r="F698" s="1263"/>
      <c r="G698" s="1317"/>
      <c r="H698" s="1254"/>
      <c r="I698" s="1318"/>
      <c r="J698" s="1254"/>
      <c r="K698" s="1254"/>
      <c r="L698" s="1254"/>
      <c r="M698" s="1254"/>
      <c r="N698" s="1318"/>
      <c r="O698" s="1386"/>
      <c r="P698" s="1254"/>
      <c r="Q698" s="1254"/>
      <c r="R698" s="1254"/>
      <c r="S698" s="1254"/>
      <c r="T698" s="1254"/>
      <c r="U698" s="1254"/>
      <c r="V698" s="1254"/>
      <c r="W698" s="1254"/>
      <c r="X698" s="1254"/>
      <c r="Y698" s="1254"/>
      <c r="Z698" s="1254"/>
    </row>
    <row r="699">
      <c r="A699" s="1254"/>
      <c r="B699" s="1254"/>
      <c r="C699" s="1320"/>
      <c r="D699" s="1254"/>
      <c r="E699" s="1254"/>
      <c r="F699" s="1263"/>
      <c r="G699" s="1317"/>
      <c r="H699" s="1254"/>
      <c r="I699" s="1318"/>
      <c r="J699" s="1254"/>
      <c r="K699" s="1254"/>
      <c r="L699" s="1254"/>
      <c r="M699" s="1254"/>
      <c r="N699" s="1318"/>
      <c r="O699" s="1386"/>
      <c r="P699" s="1254"/>
      <c r="Q699" s="1254"/>
      <c r="R699" s="1254"/>
      <c r="S699" s="1254"/>
      <c r="T699" s="1254"/>
      <c r="U699" s="1254"/>
      <c r="V699" s="1254"/>
      <c r="W699" s="1254"/>
      <c r="X699" s="1254"/>
      <c r="Y699" s="1254"/>
      <c r="Z699" s="1254"/>
    </row>
    <row r="700">
      <c r="A700" s="1254"/>
      <c r="B700" s="1254"/>
      <c r="C700" s="1320"/>
      <c r="D700" s="1254"/>
      <c r="E700" s="1254"/>
      <c r="F700" s="1263"/>
      <c r="G700" s="1317"/>
      <c r="H700" s="1254"/>
      <c r="I700" s="1318"/>
      <c r="J700" s="1254"/>
      <c r="K700" s="1254"/>
      <c r="L700" s="1254"/>
      <c r="M700" s="1254"/>
      <c r="N700" s="1318"/>
      <c r="O700" s="1386"/>
      <c r="P700" s="1254"/>
      <c r="Q700" s="1254"/>
      <c r="R700" s="1254"/>
      <c r="S700" s="1254"/>
      <c r="T700" s="1254"/>
      <c r="U700" s="1254"/>
      <c r="V700" s="1254"/>
      <c r="W700" s="1254"/>
      <c r="X700" s="1254"/>
      <c r="Y700" s="1254"/>
      <c r="Z700" s="1254"/>
    </row>
    <row r="701">
      <c r="A701" s="1254"/>
      <c r="B701" s="1254"/>
      <c r="C701" s="1320"/>
      <c r="D701" s="1254"/>
      <c r="E701" s="1254"/>
      <c r="F701" s="1263"/>
      <c r="G701" s="1317"/>
      <c r="H701" s="1254"/>
      <c r="I701" s="1318"/>
      <c r="J701" s="1254"/>
      <c r="K701" s="1254"/>
      <c r="L701" s="1254"/>
      <c r="M701" s="1254"/>
      <c r="N701" s="1318"/>
      <c r="O701" s="1386"/>
      <c r="P701" s="1254"/>
      <c r="Q701" s="1254"/>
      <c r="R701" s="1254"/>
      <c r="S701" s="1254"/>
      <c r="T701" s="1254"/>
      <c r="U701" s="1254"/>
      <c r="V701" s="1254"/>
      <c r="W701" s="1254"/>
      <c r="X701" s="1254"/>
      <c r="Y701" s="1254"/>
      <c r="Z701" s="1254"/>
    </row>
    <row r="702">
      <c r="A702" s="1254"/>
      <c r="B702" s="1254"/>
      <c r="C702" s="1320"/>
      <c r="D702" s="1254"/>
      <c r="E702" s="1254"/>
      <c r="F702" s="1263"/>
      <c r="G702" s="1317"/>
      <c r="H702" s="1254"/>
      <c r="I702" s="1318"/>
      <c r="J702" s="1254"/>
      <c r="K702" s="1254"/>
      <c r="L702" s="1254"/>
      <c r="M702" s="1254"/>
      <c r="N702" s="1318"/>
      <c r="O702" s="1386"/>
      <c r="P702" s="1254"/>
      <c r="Q702" s="1254"/>
      <c r="R702" s="1254"/>
      <c r="S702" s="1254"/>
      <c r="T702" s="1254"/>
      <c r="U702" s="1254"/>
      <c r="V702" s="1254"/>
      <c r="W702" s="1254"/>
      <c r="X702" s="1254"/>
      <c r="Y702" s="1254"/>
      <c r="Z702" s="1254"/>
    </row>
    <row r="703">
      <c r="A703" s="1254"/>
      <c r="B703" s="1254"/>
      <c r="C703" s="1320"/>
      <c r="D703" s="1254"/>
      <c r="E703" s="1254"/>
      <c r="F703" s="1263"/>
      <c r="G703" s="1317"/>
      <c r="H703" s="1254"/>
      <c r="I703" s="1318"/>
      <c r="J703" s="1254"/>
      <c r="K703" s="1254"/>
      <c r="L703" s="1254"/>
      <c r="M703" s="1254"/>
      <c r="N703" s="1318"/>
      <c r="O703" s="1386"/>
      <c r="P703" s="1254"/>
      <c r="Q703" s="1254"/>
      <c r="R703" s="1254"/>
      <c r="S703" s="1254"/>
      <c r="T703" s="1254"/>
      <c r="U703" s="1254"/>
      <c r="V703" s="1254"/>
      <c r="W703" s="1254"/>
      <c r="X703" s="1254"/>
      <c r="Y703" s="1254"/>
      <c r="Z703" s="1254"/>
    </row>
    <row r="704">
      <c r="A704" s="1254"/>
      <c r="B704" s="1254"/>
      <c r="C704" s="1320"/>
      <c r="D704" s="1254"/>
      <c r="E704" s="1254"/>
      <c r="F704" s="1263"/>
      <c r="G704" s="1317"/>
      <c r="H704" s="1254"/>
      <c r="I704" s="1318"/>
      <c r="J704" s="1254"/>
      <c r="K704" s="1254"/>
      <c r="L704" s="1254"/>
      <c r="M704" s="1254"/>
      <c r="N704" s="1318"/>
      <c r="O704" s="1386"/>
      <c r="P704" s="1254"/>
      <c r="Q704" s="1254"/>
      <c r="R704" s="1254"/>
      <c r="S704" s="1254"/>
      <c r="T704" s="1254"/>
      <c r="U704" s="1254"/>
      <c r="V704" s="1254"/>
      <c r="W704" s="1254"/>
      <c r="X704" s="1254"/>
      <c r="Y704" s="1254"/>
      <c r="Z704" s="1254"/>
    </row>
    <row r="705">
      <c r="A705" s="1254"/>
      <c r="B705" s="1254"/>
      <c r="C705" s="1320"/>
      <c r="D705" s="1254"/>
      <c r="E705" s="1254"/>
      <c r="F705" s="1263"/>
      <c r="G705" s="1317"/>
      <c r="H705" s="1254"/>
      <c r="I705" s="1318"/>
      <c r="J705" s="1254"/>
      <c r="K705" s="1254"/>
      <c r="L705" s="1254"/>
      <c r="M705" s="1254"/>
      <c r="N705" s="1318"/>
      <c r="O705" s="1386"/>
      <c r="P705" s="1254"/>
      <c r="Q705" s="1254"/>
      <c r="R705" s="1254"/>
      <c r="S705" s="1254"/>
      <c r="T705" s="1254"/>
      <c r="U705" s="1254"/>
      <c r="V705" s="1254"/>
      <c r="W705" s="1254"/>
      <c r="X705" s="1254"/>
      <c r="Y705" s="1254"/>
      <c r="Z705" s="1254"/>
    </row>
    <row r="706">
      <c r="A706" s="1254"/>
      <c r="B706" s="1254"/>
      <c r="C706" s="1320"/>
      <c r="D706" s="1254"/>
      <c r="E706" s="1254"/>
      <c r="F706" s="1263"/>
      <c r="G706" s="1317"/>
      <c r="H706" s="1254"/>
      <c r="I706" s="1318"/>
      <c r="J706" s="1254"/>
      <c r="K706" s="1254"/>
      <c r="L706" s="1254"/>
      <c r="M706" s="1254"/>
      <c r="N706" s="1318"/>
      <c r="O706" s="1386"/>
      <c r="P706" s="1254"/>
      <c r="Q706" s="1254"/>
      <c r="R706" s="1254"/>
      <c r="S706" s="1254"/>
      <c r="T706" s="1254"/>
      <c r="U706" s="1254"/>
      <c r="V706" s="1254"/>
      <c r="W706" s="1254"/>
      <c r="X706" s="1254"/>
      <c r="Y706" s="1254"/>
      <c r="Z706" s="1254"/>
    </row>
    <row r="707">
      <c r="A707" s="1254"/>
      <c r="B707" s="1254"/>
      <c r="C707" s="1320"/>
      <c r="D707" s="1254"/>
      <c r="E707" s="1254"/>
      <c r="F707" s="1263"/>
      <c r="G707" s="1317"/>
      <c r="H707" s="1254"/>
      <c r="I707" s="1318"/>
      <c r="J707" s="1254"/>
      <c r="K707" s="1254"/>
      <c r="L707" s="1254"/>
      <c r="M707" s="1254"/>
      <c r="N707" s="1318"/>
      <c r="O707" s="1386"/>
      <c r="P707" s="1254"/>
      <c r="Q707" s="1254"/>
      <c r="R707" s="1254"/>
      <c r="S707" s="1254"/>
      <c r="T707" s="1254"/>
      <c r="U707" s="1254"/>
      <c r="V707" s="1254"/>
      <c r="W707" s="1254"/>
      <c r="X707" s="1254"/>
      <c r="Y707" s="1254"/>
      <c r="Z707" s="1254"/>
    </row>
    <row r="708">
      <c r="A708" s="1254"/>
      <c r="B708" s="1254"/>
      <c r="C708" s="1320"/>
      <c r="D708" s="1254"/>
      <c r="E708" s="1254"/>
      <c r="F708" s="1263"/>
      <c r="G708" s="1317"/>
      <c r="H708" s="1254"/>
      <c r="I708" s="1318"/>
      <c r="J708" s="1254"/>
      <c r="K708" s="1254"/>
      <c r="L708" s="1254"/>
      <c r="M708" s="1254"/>
      <c r="N708" s="1318"/>
      <c r="O708" s="1386"/>
      <c r="P708" s="1254"/>
      <c r="Q708" s="1254"/>
      <c r="R708" s="1254"/>
      <c r="S708" s="1254"/>
      <c r="T708" s="1254"/>
      <c r="U708" s="1254"/>
      <c r="V708" s="1254"/>
      <c r="W708" s="1254"/>
      <c r="X708" s="1254"/>
      <c r="Y708" s="1254"/>
      <c r="Z708" s="1254"/>
    </row>
    <row r="709">
      <c r="A709" s="1254"/>
      <c r="B709" s="1254"/>
      <c r="C709" s="1320"/>
      <c r="D709" s="1254"/>
      <c r="E709" s="1254"/>
      <c r="F709" s="1263"/>
      <c r="G709" s="1317"/>
      <c r="H709" s="1254"/>
      <c r="I709" s="1318"/>
      <c r="J709" s="1254"/>
      <c r="K709" s="1254"/>
      <c r="L709" s="1254"/>
      <c r="M709" s="1254"/>
      <c r="N709" s="1318"/>
      <c r="O709" s="1386"/>
      <c r="P709" s="1254"/>
      <c r="Q709" s="1254"/>
      <c r="R709" s="1254"/>
      <c r="S709" s="1254"/>
      <c r="T709" s="1254"/>
      <c r="U709" s="1254"/>
      <c r="V709" s="1254"/>
      <c r="W709" s="1254"/>
      <c r="X709" s="1254"/>
      <c r="Y709" s="1254"/>
      <c r="Z709" s="1254"/>
    </row>
    <row r="710">
      <c r="A710" s="1254"/>
      <c r="B710" s="1254"/>
      <c r="C710" s="1320"/>
      <c r="D710" s="1254"/>
      <c r="E710" s="1254"/>
      <c r="F710" s="1263"/>
      <c r="G710" s="1317"/>
      <c r="H710" s="1254"/>
      <c r="I710" s="1318"/>
      <c r="J710" s="1254"/>
      <c r="K710" s="1254"/>
      <c r="L710" s="1254"/>
      <c r="M710" s="1254"/>
      <c r="N710" s="1318"/>
      <c r="O710" s="1386"/>
      <c r="P710" s="1254"/>
      <c r="Q710" s="1254"/>
      <c r="R710" s="1254"/>
      <c r="S710" s="1254"/>
      <c r="T710" s="1254"/>
      <c r="U710" s="1254"/>
      <c r="V710" s="1254"/>
      <c r="W710" s="1254"/>
      <c r="X710" s="1254"/>
      <c r="Y710" s="1254"/>
      <c r="Z710" s="1254"/>
    </row>
    <row r="711">
      <c r="A711" s="1254"/>
      <c r="B711" s="1254"/>
      <c r="C711" s="1320"/>
      <c r="D711" s="1254"/>
      <c r="E711" s="1254"/>
      <c r="F711" s="1263"/>
      <c r="G711" s="1317"/>
      <c r="H711" s="1254"/>
      <c r="I711" s="1318"/>
      <c r="J711" s="1254"/>
      <c r="K711" s="1254"/>
      <c r="L711" s="1254"/>
      <c r="M711" s="1254"/>
      <c r="N711" s="1318"/>
      <c r="O711" s="1386"/>
      <c r="P711" s="1254"/>
      <c r="Q711" s="1254"/>
      <c r="R711" s="1254"/>
      <c r="S711" s="1254"/>
      <c r="T711" s="1254"/>
      <c r="U711" s="1254"/>
      <c r="V711" s="1254"/>
      <c r="W711" s="1254"/>
      <c r="X711" s="1254"/>
      <c r="Y711" s="1254"/>
      <c r="Z711" s="1254"/>
    </row>
    <row r="712">
      <c r="A712" s="1254"/>
      <c r="B712" s="1254"/>
      <c r="C712" s="1320"/>
      <c r="D712" s="1254"/>
      <c r="E712" s="1254"/>
      <c r="F712" s="1263"/>
      <c r="G712" s="1317"/>
      <c r="H712" s="1254"/>
      <c r="I712" s="1318"/>
      <c r="J712" s="1254"/>
      <c r="K712" s="1254"/>
      <c r="L712" s="1254"/>
      <c r="M712" s="1254"/>
      <c r="N712" s="1318"/>
      <c r="O712" s="1386"/>
      <c r="P712" s="1254"/>
      <c r="Q712" s="1254"/>
      <c r="R712" s="1254"/>
      <c r="S712" s="1254"/>
      <c r="T712" s="1254"/>
      <c r="U712" s="1254"/>
      <c r="V712" s="1254"/>
      <c r="W712" s="1254"/>
      <c r="X712" s="1254"/>
      <c r="Y712" s="1254"/>
      <c r="Z712" s="1254"/>
    </row>
    <row r="713">
      <c r="A713" s="1254"/>
      <c r="B713" s="1254"/>
      <c r="C713" s="1320"/>
      <c r="D713" s="1254"/>
      <c r="E713" s="1254"/>
      <c r="F713" s="1263"/>
      <c r="G713" s="1317"/>
      <c r="H713" s="1254"/>
      <c r="I713" s="1318"/>
      <c r="J713" s="1254"/>
      <c r="K713" s="1254"/>
      <c r="L713" s="1254"/>
      <c r="M713" s="1254"/>
      <c r="N713" s="1318"/>
      <c r="O713" s="1386"/>
      <c r="P713" s="1254"/>
      <c r="Q713" s="1254"/>
      <c r="R713" s="1254"/>
      <c r="S713" s="1254"/>
      <c r="T713" s="1254"/>
      <c r="U713" s="1254"/>
      <c r="V713" s="1254"/>
      <c r="W713" s="1254"/>
      <c r="X713" s="1254"/>
      <c r="Y713" s="1254"/>
      <c r="Z713" s="1254"/>
    </row>
    <row r="714">
      <c r="A714" s="1254"/>
      <c r="B714" s="1254"/>
      <c r="C714" s="1320"/>
      <c r="D714" s="1254"/>
      <c r="E714" s="1254"/>
      <c r="F714" s="1263"/>
      <c r="G714" s="1317"/>
      <c r="H714" s="1254"/>
      <c r="I714" s="1318"/>
      <c r="J714" s="1254"/>
      <c r="K714" s="1254"/>
      <c r="L714" s="1254"/>
      <c r="M714" s="1254"/>
      <c r="N714" s="1318"/>
      <c r="O714" s="1386"/>
      <c r="P714" s="1254"/>
      <c r="Q714" s="1254"/>
      <c r="R714" s="1254"/>
      <c r="S714" s="1254"/>
      <c r="T714" s="1254"/>
      <c r="U714" s="1254"/>
      <c r="V714" s="1254"/>
      <c r="W714" s="1254"/>
      <c r="X714" s="1254"/>
      <c r="Y714" s="1254"/>
      <c r="Z714" s="1254"/>
    </row>
    <row r="715">
      <c r="A715" s="1254"/>
      <c r="B715" s="1254"/>
      <c r="C715" s="1320"/>
      <c r="D715" s="1254"/>
      <c r="E715" s="1254"/>
      <c r="F715" s="1263"/>
      <c r="G715" s="1317"/>
      <c r="H715" s="1254"/>
      <c r="I715" s="1318"/>
      <c r="J715" s="1254"/>
      <c r="K715" s="1254"/>
      <c r="L715" s="1254"/>
      <c r="M715" s="1254"/>
      <c r="N715" s="1318"/>
      <c r="O715" s="1386"/>
      <c r="P715" s="1254"/>
      <c r="Q715" s="1254"/>
      <c r="R715" s="1254"/>
      <c r="S715" s="1254"/>
      <c r="T715" s="1254"/>
      <c r="U715" s="1254"/>
      <c r="V715" s="1254"/>
      <c r="W715" s="1254"/>
      <c r="X715" s="1254"/>
      <c r="Y715" s="1254"/>
      <c r="Z715" s="1254"/>
    </row>
    <row r="716">
      <c r="A716" s="1254"/>
      <c r="B716" s="1254"/>
      <c r="C716" s="1320"/>
      <c r="D716" s="1254"/>
      <c r="E716" s="1254"/>
      <c r="F716" s="1263"/>
      <c r="G716" s="1317"/>
      <c r="H716" s="1254"/>
      <c r="I716" s="1318"/>
      <c r="J716" s="1254"/>
      <c r="K716" s="1254"/>
      <c r="L716" s="1254"/>
      <c r="M716" s="1254"/>
      <c r="N716" s="1318"/>
      <c r="O716" s="1386"/>
      <c r="P716" s="1254"/>
      <c r="Q716" s="1254"/>
      <c r="R716" s="1254"/>
      <c r="S716" s="1254"/>
      <c r="T716" s="1254"/>
      <c r="U716" s="1254"/>
      <c r="V716" s="1254"/>
      <c r="W716" s="1254"/>
      <c r="X716" s="1254"/>
      <c r="Y716" s="1254"/>
      <c r="Z716" s="1254"/>
    </row>
    <row r="717">
      <c r="A717" s="1254"/>
      <c r="B717" s="1254"/>
      <c r="C717" s="1320"/>
      <c r="D717" s="1254"/>
      <c r="E717" s="1254"/>
      <c r="F717" s="1263"/>
      <c r="G717" s="1317"/>
      <c r="H717" s="1254"/>
      <c r="I717" s="1318"/>
      <c r="J717" s="1254"/>
      <c r="K717" s="1254"/>
      <c r="L717" s="1254"/>
      <c r="M717" s="1254"/>
      <c r="N717" s="1318"/>
      <c r="O717" s="1386"/>
      <c r="P717" s="1254"/>
      <c r="Q717" s="1254"/>
      <c r="R717" s="1254"/>
      <c r="S717" s="1254"/>
      <c r="T717" s="1254"/>
      <c r="U717" s="1254"/>
      <c r="V717" s="1254"/>
      <c r="W717" s="1254"/>
      <c r="X717" s="1254"/>
      <c r="Y717" s="1254"/>
      <c r="Z717" s="1254"/>
    </row>
    <row r="718">
      <c r="A718" s="1254"/>
      <c r="B718" s="1254"/>
      <c r="C718" s="1320"/>
      <c r="D718" s="1254"/>
      <c r="E718" s="1254"/>
      <c r="F718" s="1263"/>
      <c r="G718" s="1317"/>
      <c r="H718" s="1254"/>
      <c r="I718" s="1318"/>
      <c r="J718" s="1254"/>
      <c r="K718" s="1254"/>
      <c r="L718" s="1254"/>
      <c r="M718" s="1254"/>
      <c r="N718" s="1318"/>
      <c r="O718" s="1386"/>
      <c r="P718" s="1254"/>
      <c r="Q718" s="1254"/>
      <c r="R718" s="1254"/>
      <c r="S718" s="1254"/>
      <c r="T718" s="1254"/>
      <c r="U718" s="1254"/>
      <c r="V718" s="1254"/>
      <c r="W718" s="1254"/>
      <c r="X718" s="1254"/>
      <c r="Y718" s="1254"/>
      <c r="Z718" s="1254"/>
    </row>
    <row r="719">
      <c r="A719" s="1254"/>
      <c r="B719" s="1254"/>
      <c r="C719" s="1320"/>
      <c r="D719" s="1254"/>
      <c r="E719" s="1254"/>
      <c r="F719" s="1263"/>
      <c r="G719" s="1317"/>
      <c r="H719" s="1254"/>
      <c r="I719" s="1318"/>
      <c r="J719" s="1254"/>
      <c r="K719" s="1254"/>
      <c r="L719" s="1254"/>
      <c r="M719" s="1254"/>
      <c r="N719" s="1318"/>
      <c r="O719" s="1386"/>
      <c r="P719" s="1254"/>
      <c r="Q719" s="1254"/>
      <c r="R719" s="1254"/>
      <c r="S719" s="1254"/>
      <c r="T719" s="1254"/>
      <c r="U719" s="1254"/>
      <c r="V719" s="1254"/>
      <c r="W719" s="1254"/>
      <c r="X719" s="1254"/>
      <c r="Y719" s="1254"/>
      <c r="Z719" s="1254"/>
    </row>
    <row r="720">
      <c r="A720" s="1254"/>
      <c r="B720" s="1254"/>
      <c r="C720" s="1320"/>
      <c r="D720" s="1254"/>
      <c r="E720" s="1254"/>
      <c r="F720" s="1263"/>
      <c r="G720" s="1317"/>
      <c r="H720" s="1254"/>
      <c r="I720" s="1318"/>
      <c r="J720" s="1254"/>
      <c r="K720" s="1254"/>
      <c r="L720" s="1254"/>
      <c r="M720" s="1254"/>
      <c r="N720" s="1318"/>
      <c r="O720" s="1386"/>
      <c r="P720" s="1254"/>
      <c r="Q720" s="1254"/>
      <c r="R720" s="1254"/>
      <c r="S720" s="1254"/>
      <c r="T720" s="1254"/>
      <c r="U720" s="1254"/>
      <c r="V720" s="1254"/>
      <c r="W720" s="1254"/>
      <c r="X720" s="1254"/>
      <c r="Y720" s="1254"/>
      <c r="Z720" s="1254"/>
    </row>
    <row r="721">
      <c r="A721" s="1254"/>
      <c r="B721" s="1254"/>
      <c r="C721" s="1320"/>
      <c r="D721" s="1254"/>
      <c r="E721" s="1254"/>
      <c r="F721" s="1263"/>
      <c r="G721" s="1317"/>
      <c r="H721" s="1254"/>
      <c r="I721" s="1318"/>
      <c r="J721" s="1254"/>
      <c r="K721" s="1254"/>
      <c r="L721" s="1254"/>
      <c r="M721" s="1254"/>
      <c r="N721" s="1318"/>
      <c r="O721" s="1386"/>
      <c r="P721" s="1254"/>
      <c r="Q721" s="1254"/>
      <c r="R721" s="1254"/>
      <c r="S721" s="1254"/>
      <c r="T721" s="1254"/>
      <c r="U721" s="1254"/>
      <c r="V721" s="1254"/>
      <c r="W721" s="1254"/>
      <c r="X721" s="1254"/>
      <c r="Y721" s="1254"/>
      <c r="Z721" s="1254"/>
    </row>
    <row r="722">
      <c r="A722" s="1254"/>
      <c r="B722" s="1254"/>
      <c r="C722" s="1320"/>
      <c r="D722" s="1254"/>
      <c r="E722" s="1254"/>
      <c r="F722" s="1263"/>
      <c r="G722" s="1317"/>
      <c r="H722" s="1254"/>
      <c r="I722" s="1318"/>
      <c r="J722" s="1254"/>
      <c r="K722" s="1254"/>
      <c r="L722" s="1254"/>
      <c r="M722" s="1254"/>
      <c r="N722" s="1318"/>
      <c r="O722" s="1386"/>
      <c r="P722" s="1254"/>
      <c r="Q722" s="1254"/>
      <c r="R722" s="1254"/>
      <c r="S722" s="1254"/>
      <c r="T722" s="1254"/>
      <c r="U722" s="1254"/>
      <c r="V722" s="1254"/>
      <c r="W722" s="1254"/>
      <c r="X722" s="1254"/>
      <c r="Y722" s="1254"/>
      <c r="Z722" s="1254"/>
    </row>
    <row r="723">
      <c r="A723" s="1254"/>
      <c r="B723" s="1254"/>
      <c r="C723" s="1320"/>
      <c r="D723" s="1254"/>
      <c r="E723" s="1254"/>
      <c r="F723" s="1263"/>
      <c r="G723" s="1317"/>
      <c r="H723" s="1254"/>
      <c r="I723" s="1318"/>
      <c r="J723" s="1254"/>
      <c r="K723" s="1254"/>
      <c r="L723" s="1254"/>
      <c r="M723" s="1254"/>
      <c r="N723" s="1318"/>
      <c r="O723" s="1386"/>
      <c r="P723" s="1254"/>
      <c r="Q723" s="1254"/>
      <c r="R723" s="1254"/>
      <c r="S723" s="1254"/>
      <c r="T723" s="1254"/>
      <c r="U723" s="1254"/>
      <c r="V723" s="1254"/>
      <c r="W723" s="1254"/>
      <c r="X723" s="1254"/>
      <c r="Y723" s="1254"/>
      <c r="Z723" s="1254"/>
    </row>
    <row r="724">
      <c r="A724" s="1254"/>
      <c r="B724" s="1254"/>
      <c r="C724" s="1320"/>
      <c r="D724" s="1254"/>
      <c r="E724" s="1254"/>
      <c r="F724" s="1263"/>
      <c r="G724" s="1317"/>
      <c r="H724" s="1254"/>
      <c r="I724" s="1318"/>
      <c r="J724" s="1254"/>
      <c r="K724" s="1254"/>
      <c r="L724" s="1254"/>
      <c r="M724" s="1254"/>
      <c r="N724" s="1318"/>
      <c r="O724" s="1386"/>
      <c r="P724" s="1254"/>
      <c r="Q724" s="1254"/>
      <c r="R724" s="1254"/>
      <c r="S724" s="1254"/>
      <c r="T724" s="1254"/>
      <c r="U724" s="1254"/>
      <c r="V724" s="1254"/>
      <c r="W724" s="1254"/>
      <c r="X724" s="1254"/>
      <c r="Y724" s="1254"/>
      <c r="Z724" s="1254"/>
    </row>
    <row r="725">
      <c r="A725" s="1254"/>
      <c r="B725" s="1254"/>
      <c r="C725" s="1320"/>
      <c r="D725" s="1254"/>
      <c r="E725" s="1254"/>
      <c r="F725" s="1263"/>
      <c r="G725" s="1317"/>
      <c r="H725" s="1254"/>
      <c r="I725" s="1318"/>
      <c r="J725" s="1254"/>
      <c r="K725" s="1254"/>
      <c r="L725" s="1254"/>
      <c r="M725" s="1254"/>
      <c r="N725" s="1318"/>
      <c r="O725" s="1386"/>
      <c r="P725" s="1254"/>
      <c r="Q725" s="1254"/>
      <c r="R725" s="1254"/>
      <c r="S725" s="1254"/>
      <c r="T725" s="1254"/>
      <c r="U725" s="1254"/>
      <c r="V725" s="1254"/>
      <c r="W725" s="1254"/>
      <c r="X725" s="1254"/>
      <c r="Y725" s="1254"/>
      <c r="Z725" s="1254"/>
    </row>
    <row r="726">
      <c r="A726" s="1254"/>
      <c r="B726" s="1254"/>
      <c r="C726" s="1320"/>
      <c r="D726" s="1254"/>
      <c r="E726" s="1254"/>
      <c r="F726" s="1263"/>
      <c r="G726" s="1317"/>
      <c r="H726" s="1254"/>
      <c r="I726" s="1318"/>
      <c r="J726" s="1254"/>
      <c r="K726" s="1254"/>
      <c r="L726" s="1254"/>
      <c r="M726" s="1254"/>
      <c r="N726" s="1318"/>
      <c r="O726" s="1386"/>
      <c r="P726" s="1254"/>
      <c r="Q726" s="1254"/>
      <c r="R726" s="1254"/>
      <c r="S726" s="1254"/>
      <c r="T726" s="1254"/>
      <c r="U726" s="1254"/>
      <c r="V726" s="1254"/>
      <c r="W726" s="1254"/>
      <c r="X726" s="1254"/>
      <c r="Y726" s="1254"/>
      <c r="Z726" s="1254"/>
    </row>
    <row r="727">
      <c r="A727" s="1254"/>
      <c r="B727" s="1254"/>
      <c r="C727" s="1320"/>
      <c r="D727" s="1254"/>
      <c r="E727" s="1254"/>
      <c r="F727" s="1263"/>
      <c r="G727" s="1317"/>
      <c r="H727" s="1254"/>
      <c r="I727" s="1318"/>
      <c r="J727" s="1254"/>
      <c r="K727" s="1254"/>
      <c r="L727" s="1254"/>
      <c r="M727" s="1254"/>
      <c r="N727" s="1318"/>
      <c r="O727" s="1386"/>
      <c r="P727" s="1254"/>
      <c r="Q727" s="1254"/>
      <c r="R727" s="1254"/>
      <c r="S727" s="1254"/>
      <c r="T727" s="1254"/>
      <c r="U727" s="1254"/>
      <c r="V727" s="1254"/>
      <c r="W727" s="1254"/>
      <c r="X727" s="1254"/>
      <c r="Y727" s="1254"/>
      <c r="Z727" s="1254"/>
    </row>
    <row r="728">
      <c r="A728" s="1254"/>
      <c r="B728" s="1254"/>
      <c r="C728" s="1320"/>
      <c r="D728" s="1254"/>
      <c r="E728" s="1254"/>
      <c r="F728" s="1263"/>
      <c r="G728" s="1317"/>
      <c r="H728" s="1254"/>
      <c r="I728" s="1318"/>
      <c r="J728" s="1254"/>
      <c r="K728" s="1254"/>
      <c r="L728" s="1254"/>
      <c r="M728" s="1254"/>
      <c r="N728" s="1318"/>
      <c r="O728" s="1386"/>
      <c r="P728" s="1254"/>
      <c r="Q728" s="1254"/>
      <c r="R728" s="1254"/>
      <c r="S728" s="1254"/>
      <c r="T728" s="1254"/>
      <c r="U728" s="1254"/>
      <c r="V728" s="1254"/>
      <c r="W728" s="1254"/>
      <c r="X728" s="1254"/>
      <c r="Y728" s="1254"/>
      <c r="Z728" s="1254"/>
    </row>
    <row r="729">
      <c r="A729" s="1254"/>
      <c r="B729" s="1254"/>
      <c r="C729" s="1320"/>
      <c r="D729" s="1254"/>
      <c r="E729" s="1254"/>
      <c r="F729" s="1263"/>
      <c r="G729" s="1317"/>
      <c r="H729" s="1254"/>
      <c r="I729" s="1318"/>
      <c r="J729" s="1254"/>
      <c r="K729" s="1254"/>
      <c r="L729" s="1254"/>
      <c r="M729" s="1254"/>
      <c r="N729" s="1318"/>
      <c r="O729" s="1386"/>
      <c r="P729" s="1254"/>
      <c r="Q729" s="1254"/>
      <c r="R729" s="1254"/>
      <c r="S729" s="1254"/>
      <c r="T729" s="1254"/>
      <c r="U729" s="1254"/>
      <c r="V729" s="1254"/>
      <c r="W729" s="1254"/>
      <c r="X729" s="1254"/>
      <c r="Y729" s="1254"/>
      <c r="Z729" s="1254"/>
    </row>
    <row r="730">
      <c r="A730" s="1254"/>
      <c r="B730" s="1254"/>
      <c r="C730" s="1320"/>
      <c r="D730" s="1254"/>
      <c r="E730" s="1254"/>
      <c r="F730" s="1263"/>
      <c r="G730" s="1317"/>
      <c r="H730" s="1254"/>
      <c r="I730" s="1318"/>
      <c r="J730" s="1254"/>
      <c r="K730" s="1254"/>
      <c r="L730" s="1254"/>
      <c r="M730" s="1254"/>
      <c r="N730" s="1318"/>
      <c r="O730" s="1386"/>
      <c r="P730" s="1254"/>
      <c r="Q730" s="1254"/>
      <c r="R730" s="1254"/>
      <c r="S730" s="1254"/>
      <c r="T730" s="1254"/>
      <c r="U730" s="1254"/>
      <c r="V730" s="1254"/>
      <c r="W730" s="1254"/>
      <c r="X730" s="1254"/>
      <c r="Y730" s="1254"/>
      <c r="Z730" s="1254"/>
    </row>
    <row r="731">
      <c r="A731" s="1254"/>
      <c r="B731" s="1254"/>
      <c r="C731" s="1320"/>
      <c r="D731" s="1254"/>
      <c r="E731" s="1254"/>
      <c r="F731" s="1263"/>
      <c r="G731" s="1317"/>
      <c r="H731" s="1254"/>
      <c r="I731" s="1318"/>
      <c r="J731" s="1254"/>
      <c r="K731" s="1254"/>
      <c r="L731" s="1254"/>
      <c r="M731" s="1254"/>
      <c r="N731" s="1318"/>
      <c r="O731" s="1386"/>
      <c r="P731" s="1254"/>
      <c r="Q731" s="1254"/>
      <c r="R731" s="1254"/>
      <c r="S731" s="1254"/>
      <c r="T731" s="1254"/>
      <c r="U731" s="1254"/>
      <c r="V731" s="1254"/>
      <c r="W731" s="1254"/>
      <c r="X731" s="1254"/>
      <c r="Y731" s="1254"/>
      <c r="Z731" s="1254"/>
    </row>
    <row r="732">
      <c r="A732" s="1254"/>
      <c r="B732" s="1254"/>
      <c r="C732" s="1320"/>
      <c r="D732" s="1254"/>
      <c r="E732" s="1254"/>
      <c r="F732" s="1263"/>
      <c r="G732" s="1317"/>
      <c r="H732" s="1254"/>
      <c r="I732" s="1318"/>
      <c r="J732" s="1254"/>
      <c r="K732" s="1254"/>
      <c r="L732" s="1254"/>
      <c r="M732" s="1254"/>
      <c r="N732" s="1318"/>
      <c r="O732" s="1386"/>
      <c r="P732" s="1254"/>
      <c r="Q732" s="1254"/>
      <c r="R732" s="1254"/>
      <c r="S732" s="1254"/>
      <c r="T732" s="1254"/>
      <c r="U732" s="1254"/>
      <c r="V732" s="1254"/>
      <c r="W732" s="1254"/>
      <c r="X732" s="1254"/>
      <c r="Y732" s="1254"/>
      <c r="Z732" s="1254"/>
    </row>
    <row r="733">
      <c r="A733" s="1254"/>
      <c r="B733" s="1254"/>
      <c r="C733" s="1320"/>
      <c r="D733" s="1254"/>
      <c r="E733" s="1254"/>
      <c r="F733" s="1263"/>
      <c r="G733" s="1317"/>
      <c r="H733" s="1254"/>
      <c r="I733" s="1318"/>
      <c r="J733" s="1254"/>
      <c r="K733" s="1254"/>
      <c r="L733" s="1254"/>
      <c r="M733" s="1254"/>
      <c r="N733" s="1318"/>
      <c r="O733" s="1386"/>
      <c r="P733" s="1254"/>
      <c r="Q733" s="1254"/>
      <c r="R733" s="1254"/>
      <c r="S733" s="1254"/>
      <c r="T733" s="1254"/>
      <c r="U733" s="1254"/>
      <c r="V733" s="1254"/>
      <c r="W733" s="1254"/>
      <c r="X733" s="1254"/>
      <c r="Y733" s="1254"/>
      <c r="Z733" s="1254"/>
    </row>
    <row r="734">
      <c r="A734" s="1254"/>
      <c r="B734" s="1254"/>
      <c r="C734" s="1320"/>
      <c r="D734" s="1254"/>
      <c r="E734" s="1254"/>
      <c r="F734" s="1263"/>
      <c r="G734" s="1317"/>
      <c r="H734" s="1254"/>
      <c r="I734" s="1318"/>
      <c r="J734" s="1254"/>
      <c r="K734" s="1254"/>
      <c r="L734" s="1254"/>
      <c r="M734" s="1254"/>
      <c r="N734" s="1318"/>
      <c r="O734" s="1386"/>
      <c r="P734" s="1254"/>
      <c r="Q734" s="1254"/>
      <c r="R734" s="1254"/>
      <c r="S734" s="1254"/>
      <c r="T734" s="1254"/>
      <c r="U734" s="1254"/>
      <c r="V734" s="1254"/>
      <c r="W734" s="1254"/>
      <c r="X734" s="1254"/>
      <c r="Y734" s="1254"/>
      <c r="Z734" s="1254"/>
    </row>
    <row r="735">
      <c r="A735" s="1254"/>
      <c r="B735" s="1254"/>
      <c r="C735" s="1320"/>
      <c r="D735" s="1254"/>
      <c r="E735" s="1254"/>
      <c r="F735" s="1263"/>
      <c r="G735" s="1317"/>
      <c r="H735" s="1254"/>
      <c r="I735" s="1318"/>
      <c r="J735" s="1254"/>
      <c r="K735" s="1254"/>
      <c r="L735" s="1254"/>
      <c r="M735" s="1254"/>
      <c r="N735" s="1318"/>
      <c r="O735" s="1386"/>
      <c r="P735" s="1254"/>
      <c r="Q735" s="1254"/>
      <c r="R735" s="1254"/>
      <c r="S735" s="1254"/>
      <c r="T735" s="1254"/>
      <c r="U735" s="1254"/>
      <c r="V735" s="1254"/>
      <c r="W735" s="1254"/>
      <c r="X735" s="1254"/>
      <c r="Y735" s="1254"/>
      <c r="Z735" s="1254"/>
    </row>
    <row r="736">
      <c r="A736" s="1254"/>
      <c r="B736" s="1254"/>
      <c r="C736" s="1320"/>
      <c r="D736" s="1254"/>
      <c r="E736" s="1254"/>
      <c r="F736" s="1263"/>
      <c r="G736" s="1317"/>
      <c r="H736" s="1254"/>
      <c r="I736" s="1318"/>
      <c r="J736" s="1254"/>
      <c r="K736" s="1254"/>
      <c r="L736" s="1254"/>
      <c r="M736" s="1254"/>
      <c r="N736" s="1318"/>
      <c r="O736" s="1386"/>
      <c r="P736" s="1254"/>
      <c r="Q736" s="1254"/>
      <c r="R736" s="1254"/>
      <c r="S736" s="1254"/>
      <c r="T736" s="1254"/>
      <c r="U736" s="1254"/>
      <c r="V736" s="1254"/>
      <c r="W736" s="1254"/>
      <c r="X736" s="1254"/>
      <c r="Y736" s="1254"/>
      <c r="Z736" s="1254"/>
    </row>
    <row r="737">
      <c r="A737" s="1254"/>
      <c r="B737" s="1254"/>
      <c r="C737" s="1320"/>
      <c r="D737" s="1254"/>
      <c r="E737" s="1254"/>
      <c r="F737" s="1263"/>
      <c r="G737" s="1317"/>
      <c r="H737" s="1254"/>
      <c r="I737" s="1318"/>
      <c r="J737" s="1254"/>
      <c r="K737" s="1254"/>
      <c r="L737" s="1254"/>
      <c r="M737" s="1254"/>
      <c r="N737" s="1318"/>
      <c r="O737" s="1386"/>
      <c r="P737" s="1254"/>
      <c r="Q737" s="1254"/>
      <c r="R737" s="1254"/>
      <c r="S737" s="1254"/>
      <c r="T737" s="1254"/>
      <c r="U737" s="1254"/>
      <c r="V737" s="1254"/>
      <c r="W737" s="1254"/>
      <c r="X737" s="1254"/>
      <c r="Y737" s="1254"/>
      <c r="Z737" s="1254"/>
    </row>
    <row r="738">
      <c r="A738" s="1254"/>
      <c r="B738" s="1254"/>
      <c r="C738" s="1320"/>
      <c r="D738" s="1254"/>
      <c r="E738" s="1254"/>
      <c r="F738" s="1263"/>
      <c r="G738" s="1317"/>
      <c r="H738" s="1254"/>
      <c r="I738" s="1318"/>
      <c r="J738" s="1254"/>
      <c r="K738" s="1254"/>
      <c r="L738" s="1254"/>
      <c r="M738" s="1254"/>
      <c r="N738" s="1318"/>
      <c r="O738" s="1386"/>
      <c r="P738" s="1254"/>
      <c r="Q738" s="1254"/>
      <c r="R738" s="1254"/>
      <c r="S738" s="1254"/>
      <c r="T738" s="1254"/>
      <c r="U738" s="1254"/>
      <c r="V738" s="1254"/>
      <c r="W738" s="1254"/>
      <c r="X738" s="1254"/>
      <c r="Y738" s="1254"/>
      <c r="Z738" s="1254"/>
    </row>
    <row r="739">
      <c r="A739" s="1254"/>
      <c r="B739" s="1254"/>
      <c r="C739" s="1320"/>
      <c r="D739" s="1254"/>
      <c r="E739" s="1254"/>
      <c r="F739" s="1263"/>
      <c r="G739" s="1317"/>
      <c r="H739" s="1254"/>
      <c r="I739" s="1318"/>
      <c r="J739" s="1254"/>
      <c r="K739" s="1254"/>
      <c r="L739" s="1254"/>
      <c r="M739" s="1254"/>
      <c r="N739" s="1318"/>
      <c r="O739" s="1386"/>
      <c r="P739" s="1254"/>
      <c r="Q739" s="1254"/>
      <c r="R739" s="1254"/>
      <c r="S739" s="1254"/>
      <c r="T739" s="1254"/>
      <c r="U739" s="1254"/>
      <c r="V739" s="1254"/>
      <c r="W739" s="1254"/>
      <c r="X739" s="1254"/>
      <c r="Y739" s="1254"/>
      <c r="Z739" s="1254"/>
    </row>
    <row r="740">
      <c r="A740" s="1254"/>
      <c r="B740" s="1254"/>
      <c r="C740" s="1320"/>
      <c r="D740" s="1254"/>
      <c r="E740" s="1254"/>
      <c r="F740" s="1263"/>
      <c r="G740" s="1317"/>
      <c r="H740" s="1254"/>
      <c r="I740" s="1318"/>
      <c r="J740" s="1254"/>
      <c r="K740" s="1254"/>
      <c r="L740" s="1254"/>
      <c r="M740" s="1254"/>
      <c r="N740" s="1318"/>
      <c r="O740" s="1386"/>
      <c r="P740" s="1254"/>
      <c r="Q740" s="1254"/>
      <c r="R740" s="1254"/>
      <c r="S740" s="1254"/>
      <c r="T740" s="1254"/>
      <c r="U740" s="1254"/>
      <c r="V740" s="1254"/>
      <c r="W740" s="1254"/>
      <c r="X740" s="1254"/>
      <c r="Y740" s="1254"/>
      <c r="Z740" s="1254"/>
    </row>
    <row r="741">
      <c r="A741" s="1254"/>
      <c r="B741" s="1254"/>
      <c r="C741" s="1320"/>
      <c r="D741" s="1254"/>
      <c r="E741" s="1254"/>
      <c r="F741" s="1263"/>
      <c r="G741" s="1317"/>
      <c r="H741" s="1254"/>
      <c r="I741" s="1318"/>
      <c r="J741" s="1254"/>
      <c r="K741" s="1254"/>
      <c r="L741" s="1254"/>
      <c r="M741" s="1254"/>
      <c r="N741" s="1318"/>
      <c r="O741" s="1386"/>
      <c r="P741" s="1254"/>
      <c r="Q741" s="1254"/>
      <c r="R741" s="1254"/>
      <c r="S741" s="1254"/>
      <c r="T741" s="1254"/>
      <c r="U741" s="1254"/>
      <c r="V741" s="1254"/>
      <c r="W741" s="1254"/>
      <c r="X741" s="1254"/>
      <c r="Y741" s="1254"/>
      <c r="Z741" s="1254"/>
    </row>
    <row r="742">
      <c r="A742" s="1254"/>
      <c r="B742" s="1254"/>
      <c r="C742" s="1320"/>
      <c r="D742" s="1254"/>
      <c r="E742" s="1254"/>
      <c r="F742" s="1263"/>
      <c r="G742" s="1317"/>
      <c r="H742" s="1254"/>
      <c r="I742" s="1318"/>
      <c r="J742" s="1254"/>
      <c r="K742" s="1254"/>
      <c r="L742" s="1254"/>
      <c r="M742" s="1254"/>
      <c r="N742" s="1318"/>
      <c r="O742" s="1386"/>
      <c r="P742" s="1254"/>
      <c r="Q742" s="1254"/>
      <c r="R742" s="1254"/>
      <c r="S742" s="1254"/>
      <c r="T742" s="1254"/>
      <c r="U742" s="1254"/>
      <c r="V742" s="1254"/>
      <c r="W742" s="1254"/>
      <c r="X742" s="1254"/>
      <c r="Y742" s="1254"/>
      <c r="Z742" s="1254"/>
    </row>
    <row r="743">
      <c r="A743" s="1254"/>
      <c r="B743" s="1254"/>
      <c r="C743" s="1320"/>
      <c r="D743" s="1254"/>
      <c r="E743" s="1254"/>
      <c r="F743" s="1263"/>
      <c r="G743" s="1317"/>
      <c r="H743" s="1254"/>
      <c r="I743" s="1318"/>
      <c r="J743" s="1254"/>
      <c r="K743" s="1254"/>
      <c r="L743" s="1254"/>
      <c r="M743" s="1254"/>
      <c r="N743" s="1318"/>
      <c r="O743" s="1386"/>
      <c r="P743" s="1254"/>
      <c r="Q743" s="1254"/>
      <c r="R743" s="1254"/>
      <c r="S743" s="1254"/>
      <c r="T743" s="1254"/>
      <c r="U743" s="1254"/>
      <c r="V743" s="1254"/>
      <c r="W743" s="1254"/>
      <c r="X743" s="1254"/>
      <c r="Y743" s="1254"/>
      <c r="Z743" s="1254"/>
    </row>
    <row r="744">
      <c r="A744" s="1254"/>
      <c r="B744" s="1254"/>
      <c r="C744" s="1320"/>
      <c r="D744" s="1254"/>
      <c r="E744" s="1254"/>
      <c r="F744" s="1263"/>
      <c r="G744" s="1317"/>
      <c r="H744" s="1254"/>
      <c r="I744" s="1318"/>
      <c r="J744" s="1254"/>
      <c r="K744" s="1254"/>
      <c r="L744" s="1254"/>
      <c r="M744" s="1254"/>
      <c r="N744" s="1318"/>
      <c r="O744" s="1386"/>
      <c r="P744" s="1254"/>
      <c r="Q744" s="1254"/>
      <c r="R744" s="1254"/>
      <c r="S744" s="1254"/>
      <c r="T744" s="1254"/>
      <c r="U744" s="1254"/>
      <c r="V744" s="1254"/>
      <c r="W744" s="1254"/>
      <c r="X744" s="1254"/>
      <c r="Y744" s="1254"/>
      <c r="Z744" s="1254"/>
    </row>
    <row r="745">
      <c r="A745" s="1254"/>
      <c r="B745" s="1254"/>
      <c r="C745" s="1320"/>
      <c r="D745" s="1254"/>
      <c r="E745" s="1254"/>
      <c r="F745" s="1263"/>
      <c r="G745" s="1317"/>
      <c r="H745" s="1254"/>
      <c r="I745" s="1318"/>
      <c r="J745" s="1254"/>
      <c r="K745" s="1254"/>
      <c r="L745" s="1254"/>
      <c r="M745" s="1254"/>
      <c r="N745" s="1318"/>
      <c r="O745" s="1386"/>
      <c r="P745" s="1254"/>
      <c r="Q745" s="1254"/>
      <c r="R745" s="1254"/>
      <c r="S745" s="1254"/>
      <c r="T745" s="1254"/>
      <c r="U745" s="1254"/>
      <c r="V745" s="1254"/>
      <c r="W745" s="1254"/>
      <c r="X745" s="1254"/>
      <c r="Y745" s="1254"/>
      <c r="Z745" s="1254"/>
    </row>
    <row r="746">
      <c r="A746" s="1254"/>
      <c r="B746" s="1254"/>
      <c r="C746" s="1320"/>
      <c r="D746" s="1254"/>
      <c r="E746" s="1254"/>
      <c r="F746" s="1263"/>
      <c r="G746" s="1317"/>
      <c r="H746" s="1254"/>
      <c r="I746" s="1318"/>
      <c r="J746" s="1254"/>
      <c r="K746" s="1254"/>
      <c r="L746" s="1254"/>
      <c r="M746" s="1254"/>
      <c r="N746" s="1318"/>
      <c r="O746" s="1386"/>
      <c r="P746" s="1254"/>
      <c r="Q746" s="1254"/>
      <c r="R746" s="1254"/>
      <c r="S746" s="1254"/>
      <c r="T746" s="1254"/>
      <c r="U746" s="1254"/>
      <c r="V746" s="1254"/>
      <c r="W746" s="1254"/>
      <c r="X746" s="1254"/>
      <c r="Y746" s="1254"/>
      <c r="Z746" s="1254"/>
    </row>
    <row r="747">
      <c r="A747" s="1254"/>
      <c r="B747" s="1254"/>
      <c r="C747" s="1320"/>
      <c r="D747" s="1254"/>
      <c r="E747" s="1254"/>
      <c r="F747" s="1263"/>
      <c r="G747" s="1317"/>
      <c r="H747" s="1254"/>
      <c r="I747" s="1318"/>
      <c r="J747" s="1254"/>
      <c r="K747" s="1254"/>
      <c r="L747" s="1254"/>
      <c r="M747" s="1254"/>
      <c r="N747" s="1318"/>
      <c r="O747" s="1386"/>
      <c r="P747" s="1254"/>
      <c r="Q747" s="1254"/>
      <c r="R747" s="1254"/>
      <c r="S747" s="1254"/>
      <c r="T747" s="1254"/>
      <c r="U747" s="1254"/>
      <c r="V747" s="1254"/>
      <c r="W747" s="1254"/>
      <c r="X747" s="1254"/>
      <c r="Y747" s="1254"/>
      <c r="Z747" s="1254"/>
    </row>
    <row r="748">
      <c r="A748" s="1254"/>
      <c r="B748" s="1254"/>
      <c r="C748" s="1320"/>
      <c r="D748" s="1254"/>
      <c r="E748" s="1254"/>
      <c r="F748" s="1263"/>
      <c r="G748" s="1317"/>
      <c r="H748" s="1254"/>
      <c r="I748" s="1318"/>
      <c r="J748" s="1254"/>
      <c r="K748" s="1254"/>
      <c r="L748" s="1254"/>
      <c r="M748" s="1254"/>
      <c r="N748" s="1318"/>
      <c r="O748" s="1386"/>
      <c r="P748" s="1254"/>
      <c r="Q748" s="1254"/>
      <c r="R748" s="1254"/>
      <c r="S748" s="1254"/>
      <c r="T748" s="1254"/>
      <c r="U748" s="1254"/>
      <c r="V748" s="1254"/>
      <c r="W748" s="1254"/>
      <c r="X748" s="1254"/>
      <c r="Y748" s="1254"/>
      <c r="Z748" s="1254"/>
    </row>
    <row r="749">
      <c r="A749" s="1254"/>
      <c r="B749" s="1254"/>
      <c r="C749" s="1320"/>
      <c r="D749" s="1254"/>
      <c r="E749" s="1254"/>
      <c r="F749" s="1263"/>
      <c r="G749" s="1317"/>
      <c r="H749" s="1254"/>
      <c r="I749" s="1318"/>
      <c r="J749" s="1254"/>
      <c r="K749" s="1254"/>
      <c r="L749" s="1254"/>
      <c r="M749" s="1254"/>
      <c r="N749" s="1318"/>
      <c r="O749" s="1386"/>
      <c r="P749" s="1254"/>
      <c r="Q749" s="1254"/>
      <c r="R749" s="1254"/>
      <c r="S749" s="1254"/>
      <c r="T749" s="1254"/>
      <c r="U749" s="1254"/>
      <c r="V749" s="1254"/>
      <c r="W749" s="1254"/>
      <c r="X749" s="1254"/>
      <c r="Y749" s="1254"/>
      <c r="Z749" s="1254"/>
    </row>
    <row r="750">
      <c r="A750" s="1254"/>
      <c r="B750" s="1254"/>
      <c r="C750" s="1320"/>
      <c r="D750" s="1254"/>
      <c r="E750" s="1254"/>
      <c r="F750" s="1263"/>
      <c r="G750" s="1317"/>
      <c r="H750" s="1254"/>
      <c r="I750" s="1318"/>
      <c r="J750" s="1254"/>
      <c r="K750" s="1254"/>
      <c r="L750" s="1254"/>
      <c r="M750" s="1254"/>
      <c r="N750" s="1318"/>
      <c r="O750" s="1386"/>
      <c r="P750" s="1254"/>
      <c r="Q750" s="1254"/>
      <c r="R750" s="1254"/>
      <c r="S750" s="1254"/>
      <c r="T750" s="1254"/>
      <c r="U750" s="1254"/>
      <c r="V750" s="1254"/>
      <c r="W750" s="1254"/>
      <c r="X750" s="1254"/>
      <c r="Y750" s="1254"/>
      <c r="Z750" s="1254"/>
    </row>
    <row r="751">
      <c r="A751" s="1254"/>
      <c r="B751" s="1254"/>
      <c r="C751" s="1320"/>
      <c r="D751" s="1254"/>
      <c r="E751" s="1254"/>
      <c r="F751" s="1263"/>
      <c r="G751" s="1317"/>
      <c r="H751" s="1254"/>
      <c r="I751" s="1318"/>
      <c r="J751" s="1254"/>
      <c r="K751" s="1254"/>
      <c r="L751" s="1254"/>
      <c r="M751" s="1254"/>
      <c r="N751" s="1318"/>
      <c r="O751" s="1386"/>
      <c r="P751" s="1254"/>
      <c r="Q751" s="1254"/>
      <c r="R751" s="1254"/>
      <c r="S751" s="1254"/>
      <c r="T751" s="1254"/>
      <c r="U751" s="1254"/>
      <c r="V751" s="1254"/>
      <c r="W751" s="1254"/>
      <c r="X751" s="1254"/>
      <c r="Y751" s="1254"/>
      <c r="Z751" s="1254"/>
    </row>
    <row r="752">
      <c r="A752" s="1254"/>
      <c r="B752" s="1254"/>
      <c r="C752" s="1320"/>
      <c r="D752" s="1254"/>
      <c r="E752" s="1254"/>
      <c r="F752" s="1263"/>
      <c r="G752" s="1317"/>
      <c r="H752" s="1254"/>
      <c r="I752" s="1318"/>
      <c r="J752" s="1254"/>
      <c r="K752" s="1254"/>
      <c r="L752" s="1254"/>
      <c r="M752" s="1254"/>
      <c r="N752" s="1318"/>
      <c r="O752" s="1386"/>
      <c r="P752" s="1254"/>
      <c r="Q752" s="1254"/>
      <c r="R752" s="1254"/>
      <c r="S752" s="1254"/>
      <c r="T752" s="1254"/>
      <c r="U752" s="1254"/>
      <c r="V752" s="1254"/>
      <c r="W752" s="1254"/>
      <c r="X752" s="1254"/>
      <c r="Y752" s="1254"/>
      <c r="Z752" s="1254"/>
    </row>
    <row r="753">
      <c r="A753" s="1254"/>
      <c r="B753" s="1254"/>
      <c r="C753" s="1320"/>
      <c r="D753" s="1254"/>
      <c r="E753" s="1254"/>
      <c r="F753" s="1263"/>
      <c r="G753" s="1317"/>
      <c r="H753" s="1254"/>
      <c r="I753" s="1318"/>
      <c r="J753" s="1254"/>
      <c r="K753" s="1254"/>
      <c r="L753" s="1254"/>
      <c r="M753" s="1254"/>
      <c r="N753" s="1318"/>
      <c r="O753" s="1386"/>
      <c r="P753" s="1254"/>
      <c r="Q753" s="1254"/>
      <c r="R753" s="1254"/>
      <c r="S753" s="1254"/>
      <c r="T753" s="1254"/>
      <c r="U753" s="1254"/>
      <c r="V753" s="1254"/>
      <c r="W753" s="1254"/>
      <c r="X753" s="1254"/>
      <c r="Y753" s="1254"/>
      <c r="Z753" s="1254"/>
    </row>
    <row r="754">
      <c r="A754" s="1254"/>
      <c r="B754" s="1254"/>
      <c r="C754" s="1320"/>
      <c r="D754" s="1254"/>
      <c r="E754" s="1254"/>
      <c r="F754" s="1263"/>
      <c r="G754" s="1317"/>
      <c r="H754" s="1254"/>
      <c r="I754" s="1318"/>
      <c r="J754" s="1254"/>
      <c r="K754" s="1254"/>
      <c r="L754" s="1254"/>
      <c r="M754" s="1254"/>
      <c r="N754" s="1318"/>
      <c r="O754" s="1386"/>
      <c r="P754" s="1254"/>
      <c r="Q754" s="1254"/>
      <c r="R754" s="1254"/>
      <c r="S754" s="1254"/>
      <c r="T754" s="1254"/>
      <c r="U754" s="1254"/>
      <c r="V754" s="1254"/>
      <c r="W754" s="1254"/>
      <c r="X754" s="1254"/>
      <c r="Y754" s="1254"/>
      <c r="Z754" s="1254"/>
    </row>
    <row r="755">
      <c r="A755" s="1254"/>
      <c r="B755" s="1254"/>
      <c r="C755" s="1320"/>
      <c r="D755" s="1254"/>
      <c r="E755" s="1254"/>
      <c r="F755" s="1263"/>
      <c r="G755" s="1317"/>
      <c r="H755" s="1254"/>
      <c r="I755" s="1318"/>
      <c r="J755" s="1254"/>
      <c r="K755" s="1254"/>
      <c r="L755" s="1254"/>
      <c r="M755" s="1254"/>
      <c r="N755" s="1318"/>
      <c r="O755" s="1386"/>
      <c r="P755" s="1254"/>
      <c r="Q755" s="1254"/>
      <c r="R755" s="1254"/>
      <c r="S755" s="1254"/>
      <c r="T755" s="1254"/>
      <c r="U755" s="1254"/>
      <c r="V755" s="1254"/>
      <c r="W755" s="1254"/>
      <c r="X755" s="1254"/>
      <c r="Y755" s="1254"/>
      <c r="Z755" s="1254"/>
    </row>
    <row r="756">
      <c r="A756" s="1254"/>
      <c r="B756" s="1254"/>
      <c r="C756" s="1320"/>
      <c r="D756" s="1254"/>
      <c r="E756" s="1254"/>
      <c r="F756" s="1263"/>
      <c r="G756" s="1317"/>
      <c r="H756" s="1254"/>
      <c r="I756" s="1318"/>
      <c r="J756" s="1254"/>
      <c r="K756" s="1254"/>
      <c r="L756" s="1254"/>
      <c r="M756" s="1254"/>
      <c r="N756" s="1318"/>
      <c r="O756" s="1386"/>
      <c r="P756" s="1254"/>
      <c r="Q756" s="1254"/>
      <c r="R756" s="1254"/>
      <c r="S756" s="1254"/>
      <c r="T756" s="1254"/>
      <c r="U756" s="1254"/>
      <c r="V756" s="1254"/>
      <c r="W756" s="1254"/>
      <c r="X756" s="1254"/>
      <c r="Y756" s="1254"/>
      <c r="Z756" s="1254"/>
    </row>
    <row r="757">
      <c r="A757" s="1254"/>
      <c r="B757" s="1254"/>
      <c r="C757" s="1320"/>
      <c r="D757" s="1254"/>
      <c r="E757" s="1254"/>
      <c r="F757" s="1263"/>
      <c r="G757" s="1317"/>
      <c r="H757" s="1254"/>
      <c r="I757" s="1318"/>
      <c r="J757" s="1254"/>
      <c r="K757" s="1254"/>
      <c r="L757" s="1254"/>
      <c r="M757" s="1254"/>
      <c r="N757" s="1318"/>
      <c r="O757" s="1386"/>
      <c r="P757" s="1254"/>
      <c r="Q757" s="1254"/>
      <c r="R757" s="1254"/>
      <c r="S757" s="1254"/>
      <c r="T757" s="1254"/>
      <c r="U757" s="1254"/>
      <c r="V757" s="1254"/>
      <c r="W757" s="1254"/>
      <c r="X757" s="1254"/>
      <c r="Y757" s="1254"/>
      <c r="Z757" s="1254"/>
    </row>
    <row r="758">
      <c r="A758" s="1254"/>
      <c r="B758" s="1254"/>
      <c r="C758" s="1320"/>
      <c r="D758" s="1254"/>
      <c r="E758" s="1254"/>
      <c r="F758" s="1263"/>
      <c r="G758" s="1317"/>
      <c r="H758" s="1254"/>
      <c r="I758" s="1318"/>
      <c r="J758" s="1254"/>
      <c r="K758" s="1254"/>
      <c r="L758" s="1254"/>
      <c r="M758" s="1254"/>
      <c r="N758" s="1318"/>
      <c r="O758" s="1386"/>
      <c r="P758" s="1254"/>
      <c r="Q758" s="1254"/>
      <c r="R758" s="1254"/>
      <c r="S758" s="1254"/>
      <c r="T758" s="1254"/>
      <c r="U758" s="1254"/>
      <c r="V758" s="1254"/>
      <c r="W758" s="1254"/>
      <c r="X758" s="1254"/>
      <c r="Y758" s="1254"/>
      <c r="Z758" s="1254"/>
    </row>
    <row r="759">
      <c r="A759" s="1254"/>
      <c r="B759" s="1254"/>
      <c r="C759" s="1320"/>
      <c r="D759" s="1254"/>
      <c r="E759" s="1254"/>
      <c r="F759" s="1263"/>
      <c r="G759" s="1317"/>
      <c r="H759" s="1254"/>
      <c r="I759" s="1318"/>
      <c r="J759" s="1254"/>
      <c r="K759" s="1254"/>
      <c r="L759" s="1254"/>
      <c r="M759" s="1254"/>
      <c r="N759" s="1318"/>
      <c r="O759" s="1386"/>
      <c r="P759" s="1254"/>
      <c r="Q759" s="1254"/>
      <c r="R759" s="1254"/>
      <c r="S759" s="1254"/>
      <c r="T759" s="1254"/>
      <c r="U759" s="1254"/>
      <c r="V759" s="1254"/>
      <c r="W759" s="1254"/>
      <c r="X759" s="1254"/>
      <c r="Y759" s="1254"/>
      <c r="Z759" s="1254"/>
    </row>
    <row r="760">
      <c r="A760" s="1254"/>
      <c r="B760" s="1254"/>
      <c r="C760" s="1320"/>
      <c r="D760" s="1254"/>
      <c r="E760" s="1254"/>
      <c r="F760" s="1263"/>
      <c r="G760" s="1317"/>
      <c r="H760" s="1254"/>
      <c r="I760" s="1318"/>
      <c r="J760" s="1254"/>
      <c r="K760" s="1254"/>
      <c r="L760" s="1254"/>
      <c r="M760" s="1254"/>
      <c r="N760" s="1318"/>
      <c r="O760" s="1386"/>
      <c r="P760" s="1254"/>
      <c r="Q760" s="1254"/>
      <c r="R760" s="1254"/>
      <c r="S760" s="1254"/>
      <c r="T760" s="1254"/>
      <c r="U760" s="1254"/>
      <c r="V760" s="1254"/>
      <c r="W760" s="1254"/>
      <c r="X760" s="1254"/>
      <c r="Y760" s="1254"/>
      <c r="Z760" s="1254"/>
    </row>
    <row r="761">
      <c r="A761" s="1254"/>
      <c r="B761" s="1254"/>
      <c r="C761" s="1320"/>
      <c r="D761" s="1254"/>
      <c r="E761" s="1254"/>
      <c r="F761" s="1263"/>
      <c r="G761" s="1317"/>
      <c r="H761" s="1254"/>
      <c r="I761" s="1318"/>
      <c r="J761" s="1254"/>
      <c r="K761" s="1254"/>
      <c r="L761" s="1254"/>
      <c r="M761" s="1254"/>
      <c r="N761" s="1318"/>
      <c r="O761" s="1386"/>
      <c r="P761" s="1254"/>
      <c r="Q761" s="1254"/>
      <c r="R761" s="1254"/>
      <c r="S761" s="1254"/>
      <c r="T761" s="1254"/>
      <c r="U761" s="1254"/>
      <c r="V761" s="1254"/>
      <c r="W761" s="1254"/>
      <c r="X761" s="1254"/>
      <c r="Y761" s="1254"/>
      <c r="Z761" s="1254"/>
    </row>
    <row r="762">
      <c r="A762" s="1254"/>
      <c r="B762" s="1254"/>
      <c r="C762" s="1320"/>
      <c r="D762" s="1254"/>
      <c r="E762" s="1254"/>
      <c r="F762" s="1263"/>
      <c r="G762" s="1317"/>
      <c r="H762" s="1254"/>
      <c r="I762" s="1318"/>
      <c r="J762" s="1254"/>
      <c r="K762" s="1254"/>
      <c r="L762" s="1254"/>
      <c r="M762" s="1254"/>
      <c r="N762" s="1318"/>
      <c r="O762" s="1386"/>
      <c r="P762" s="1254"/>
      <c r="Q762" s="1254"/>
      <c r="R762" s="1254"/>
      <c r="S762" s="1254"/>
      <c r="T762" s="1254"/>
      <c r="U762" s="1254"/>
      <c r="V762" s="1254"/>
      <c r="W762" s="1254"/>
      <c r="X762" s="1254"/>
      <c r="Y762" s="1254"/>
      <c r="Z762" s="1254"/>
    </row>
    <row r="763">
      <c r="A763" s="1254"/>
      <c r="B763" s="1254"/>
      <c r="C763" s="1320"/>
      <c r="D763" s="1254"/>
      <c r="E763" s="1254"/>
      <c r="F763" s="1263"/>
      <c r="G763" s="1317"/>
      <c r="H763" s="1254"/>
      <c r="I763" s="1318"/>
      <c r="J763" s="1254"/>
      <c r="K763" s="1254"/>
      <c r="L763" s="1254"/>
      <c r="M763" s="1254"/>
      <c r="N763" s="1318"/>
      <c r="O763" s="1386"/>
      <c r="P763" s="1254"/>
      <c r="Q763" s="1254"/>
      <c r="R763" s="1254"/>
      <c r="S763" s="1254"/>
      <c r="T763" s="1254"/>
      <c r="U763" s="1254"/>
      <c r="V763" s="1254"/>
      <c r="W763" s="1254"/>
      <c r="X763" s="1254"/>
      <c r="Y763" s="1254"/>
      <c r="Z763" s="1254"/>
    </row>
    <row r="764">
      <c r="A764" s="1254"/>
      <c r="B764" s="1254"/>
      <c r="C764" s="1320"/>
      <c r="D764" s="1254"/>
      <c r="E764" s="1254"/>
      <c r="F764" s="1263"/>
      <c r="G764" s="1317"/>
      <c r="H764" s="1254"/>
      <c r="I764" s="1318"/>
      <c r="J764" s="1254"/>
      <c r="K764" s="1254"/>
      <c r="L764" s="1254"/>
      <c r="M764" s="1254"/>
      <c r="N764" s="1318"/>
      <c r="O764" s="1386"/>
      <c r="P764" s="1254"/>
      <c r="Q764" s="1254"/>
      <c r="R764" s="1254"/>
      <c r="S764" s="1254"/>
      <c r="T764" s="1254"/>
      <c r="U764" s="1254"/>
      <c r="V764" s="1254"/>
      <c r="W764" s="1254"/>
      <c r="X764" s="1254"/>
      <c r="Y764" s="1254"/>
      <c r="Z764" s="1254"/>
    </row>
    <row r="765">
      <c r="A765" s="1254"/>
      <c r="B765" s="1254"/>
      <c r="C765" s="1320"/>
      <c r="D765" s="1254"/>
      <c r="E765" s="1254"/>
      <c r="F765" s="1263"/>
      <c r="G765" s="1317"/>
      <c r="H765" s="1254"/>
      <c r="I765" s="1318"/>
      <c r="J765" s="1254"/>
      <c r="K765" s="1254"/>
      <c r="L765" s="1254"/>
      <c r="M765" s="1254"/>
      <c r="N765" s="1318"/>
      <c r="O765" s="1386"/>
      <c r="P765" s="1254"/>
      <c r="Q765" s="1254"/>
      <c r="R765" s="1254"/>
      <c r="S765" s="1254"/>
      <c r="T765" s="1254"/>
      <c r="U765" s="1254"/>
      <c r="V765" s="1254"/>
      <c r="W765" s="1254"/>
      <c r="X765" s="1254"/>
      <c r="Y765" s="1254"/>
      <c r="Z765" s="1254"/>
    </row>
    <row r="766">
      <c r="A766" s="1254"/>
      <c r="B766" s="1254"/>
      <c r="C766" s="1320"/>
      <c r="D766" s="1254"/>
      <c r="E766" s="1254"/>
      <c r="F766" s="1263"/>
      <c r="G766" s="1317"/>
      <c r="H766" s="1254"/>
      <c r="I766" s="1318"/>
      <c r="J766" s="1254"/>
      <c r="K766" s="1254"/>
      <c r="L766" s="1254"/>
      <c r="M766" s="1254"/>
      <c r="N766" s="1318"/>
      <c r="O766" s="1386"/>
      <c r="P766" s="1254"/>
      <c r="Q766" s="1254"/>
      <c r="R766" s="1254"/>
      <c r="S766" s="1254"/>
      <c r="T766" s="1254"/>
      <c r="U766" s="1254"/>
      <c r="V766" s="1254"/>
      <c r="W766" s="1254"/>
      <c r="X766" s="1254"/>
      <c r="Y766" s="1254"/>
      <c r="Z766" s="1254"/>
    </row>
    <row r="767">
      <c r="A767" s="1254"/>
      <c r="B767" s="1254"/>
      <c r="C767" s="1320"/>
      <c r="D767" s="1254"/>
      <c r="E767" s="1254"/>
      <c r="F767" s="1263"/>
      <c r="G767" s="1317"/>
      <c r="H767" s="1254"/>
      <c r="I767" s="1318"/>
      <c r="J767" s="1254"/>
      <c r="K767" s="1254"/>
      <c r="L767" s="1254"/>
      <c r="M767" s="1254"/>
      <c r="N767" s="1318"/>
      <c r="O767" s="1386"/>
      <c r="P767" s="1254"/>
      <c r="Q767" s="1254"/>
      <c r="R767" s="1254"/>
      <c r="S767" s="1254"/>
      <c r="T767" s="1254"/>
      <c r="U767" s="1254"/>
      <c r="V767" s="1254"/>
      <c r="W767" s="1254"/>
      <c r="X767" s="1254"/>
      <c r="Y767" s="1254"/>
      <c r="Z767" s="1254"/>
    </row>
    <row r="768">
      <c r="A768" s="1254"/>
      <c r="B768" s="1254"/>
      <c r="C768" s="1320"/>
      <c r="D768" s="1254"/>
      <c r="E768" s="1254"/>
      <c r="F768" s="1263"/>
      <c r="G768" s="1317"/>
      <c r="H768" s="1254"/>
      <c r="I768" s="1318"/>
      <c r="J768" s="1254"/>
      <c r="K768" s="1254"/>
      <c r="L768" s="1254"/>
      <c r="M768" s="1254"/>
      <c r="N768" s="1318"/>
      <c r="O768" s="1386"/>
      <c r="P768" s="1254"/>
      <c r="Q768" s="1254"/>
      <c r="R768" s="1254"/>
      <c r="S768" s="1254"/>
      <c r="T768" s="1254"/>
      <c r="U768" s="1254"/>
      <c r="V768" s="1254"/>
      <c r="W768" s="1254"/>
      <c r="X768" s="1254"/>
      <c r="Y768" s="1254"/>
      <c r="Z768" s="1254"/>
    </row>
    <row r="769">
      <c r="A769" s="1254"/>
      <c r="B769" s="1254"/>
      <c r="C769" s="1320"/>
      <c r="D769" s="1254"/>
      <c r="E769" s="1254"/>
      <c r="F769" s="1263"/>
      <c r="G769" s="1317"/>
      <c r="H769" s="1254"/>
      <c r="I769" s="1318"/>
      <c r="J769" s="1254"/>
      <c r="K769" s="1254"/>
      <c r="L769" s="1254"/>
      <c r="M769" s="1254"/>
      <c r="N769" s="1318"/>
      <c r="O769" s="1386"/>
      <c r="P769" s="1254"/>
      <c r="Q769" s="1254"/>
      <c r="R769" s="1254"/>
      <c r="S769" s="1254"/>
      <c r="T769" s="1254"/>
      <c r="U769" s="1254"/>
      <c r="V769" s="1254"/>
      <c r="W769" s="1254"/>
      <c r="X769" s="1254"/>
      <c r="Y769" s="1254"/>
      <c r="Z769" s="1254"/>
    </row>
    <row r="770">
      <c r="A770" s="1254"/>
      <c r="B770" s="1254"/>
      <c r="C770" s="1320"/>
      <c r="D770" s="1254"/>
      <c r="E770" s="1254"/>
      <c r="F770" s="1263"/>
      <c r="G770" s="1317"/>
      <c r="H770" s="1254"/>
      <c r="I770" s="1318"/>
      <c r="J770" s="1254"/>
      <c r="K770" s="1254"/>
      <c r="L770" s="1254"/>
      <c r="M770" s="1254"/>
      <c r="N770" s="1318"/>
      <c r="O770" s="1386"/>
      <c r="P770" s="1254"/>
      <c r="Q770" s="1254"/>
      <c r="R770" s="1254"/>
      <c r="S770" s="1254"/>
      <c r="T770" s="1254"/>
      <c r="U770" s="1254"/>
      <c r="V770" s="1254"/>
      <c r="W770" s="1254"/>
      <c r="X770" s="1254"/>
      <c r="Y770" s="1254"/>
      <c r="Z770" s="1254"/>
    </row>
    <row r="771">
      <c r="A771" s="1254"/>
      <c r="B771" s="1254"/>
      <c r="C771" s="1320"/>
      <c r="D771" s="1254"/>
      <c r="E771" s="1254"/>
      <c r="F771" s="1263"/>
      <c r="G771" s="1317"/>
      <c r="H771" s="1254"/>
      <c r="I771" s="1318"/>
      <c r="J771" s="1254"/>
      <c r="K771" s="1254"/>
      <c r="L771" s="1254"/>
      <c r="M771" s="1254"/>
      <c r="N771" s="1318"/>
      <c r="O771" s="1386"/>
      <c r="P771" s="1254"/>
      <c r="Q771" s="1254"/>
      <c r="R771" s="1254"/>
      <c r="S771" s="1254"/>
      <c r="T771" s="1254"/>
      <c r="U771" s="1254"/>
      <c r="V771" s="1254"/>
      <c r="W771" s="1254"/>
      <c r="X771" s="1254"/>
      <c r="Y771" s="1254"/>
      <c r="Z771" s="1254"/>
    </row>
    <row r="772">
      <c r="A772" s="1254"/>
      <c r="B772" s="1254"/>
      <c r="C772" s="1320"/>
      <c r="D772" s="1254"/>
      <c r="E772" s="1254"/>
      <c r="F772" s="1263"/>
      <c r="G772" s="1317"/>
      <c r="H772" s="1254"/>
      <c r="I772" s="1318"/>
      <c r="J772" s="1254"/>
      <c r="K772" s="1254"/>
      <c r="L772" s="1254"/>
      <c r="M772" s="1254"/>
      <c r="N772" s="1318"/>
      <c r="O772" s="1386"/>
      <c r="P772" s="1254"/>
      <c r="Q772" s="1254"/>
      <c r="R772" s="1254"/>
      <c r="S772" s="1254"/>
      <c r="T772" s="1254"/>
      <c r="U772" s="1254"/>
      <c r="V772" s="1254"/>
      <c r="W772" s="1254"/>
      <c r="X772" s="1254"/>
      <c r="Y772" s="1254"/>
      <c r="Z772" s="1254"/>
    </row>
    <row r="773">
      <c r="A773" s="1254"/>
      <c r="B773" s="1254"/>
      <c r="C773" s="1320"/>
      <c r="D773" s="1254"/>
      <c r="E773" s="1254"/>
      <c r="F773" s="1263"/>
      <c r="G773" s="1317"/>
      <c r="H773" s="1254"/>
      <c r="I773" s="1318"/>
      <c r="J773" s="1254"/>
      <c r="K773" s="1254"/>
      <c r="L773" s="1254"/>
      <c r="M773" s="1254"/>
      <c r="N773" s="1318"/>
      <c r="O773" s="1386"/>
      <c r="P773" s="1254"/>
      <c r="Q773" s="1254"/>
      <c r="R773" s="1254"/>
      <c r="S773" s="1254"/>
      <c r="T773" s="1254"/>
      <c r="U773" s="1254"/>
      <c r="V773" s="1254"/>
      <c r="W773" s="1254"/>
      <c r="X773" s="1254"/>
      <c r="Y773" s="1254"/>
      <c r="Z773" s="1254"/>
    </row>
    <row r="774">
      <c r="A774" s="1254"/>
      <c r="B774" s="1254"/>
      <c r="C774" s="1320"/>
      <c r="D774" s="1254"/>
      <c r="E774" s="1254"/>
      <c r="F774" s="1263"/>
      <c r="G774" s="1317"/>
      <c r="H774" s="1254"/>
      <c r="I774" s="1318"/>
      <c r="J774" s="1254"/>
      <c r="K774" s="1254"/>
      <c r="L774" s="1254"/>
      <c r="M774" s="1254"/>
      <c r="N774" s="1318"/>
      <c r="O774" s="1386"/>
      <c r="P774" s="1254"/>
      <c r="Q774" s="1254"/>
      <c r="R774" s="1254"/>
      <c r="S774" s="1254"/>
      <c r="T774" s="1254"/>
      <c r="U774" s="1254"/>
      <c r="V774" s="1254"/>
      <c r="W774" s="1254"/>
      <c r="X774" s="1254"/>
      <c r="Y774" s="1254"/>
      <c r="Z774" s="1254"/>
    </row>
    <row r="775">
      <c r="A775" s="1254"/>
      <c r="B775" s="1254"/>
      <c r="C775" s="1320"/>
      <c r="D775" s="1254"/>
      <c r="E775" s="1254"/>
      <c r="F775" s="1263"/>
      <c r="G775" s="1317"/>
      <c r="H775" s="1254"/>
      <c r="I775" s="1318"/>
      <c r="J775" s="1254"/>
      <c r="K775" s="1254"/>
      <c r="L775" s="1254"/>
      <c r="M775" s="1254"/>
      <c r="N775" s="1318"/>
      <c r="O775" s="1386"/>
      <c r="P775" s="1254"/>
      <c r="Q775" s="1254"/>
      <c r="R775" s="1254"/>
      <c r="S775" s="1254"/>
      <c r="T775" s="1254"/>
      <c r="U775" s="1254"/>
      <c r="V775" s="1254"/>
      <c r="W775" s="1254"/>
      <c r="X775" s="1254"/>
      <c r="Y775" s="1254"/>
      <c r="Z775" s="1254"/>
    </row>
    <row r="776">
      <c r="A776" s="1254"/>
      <c r="B776" s="1254"/>
      <c r="C776" s="1320"/>
      <c r="D776" s="1254"/>
      <c r="E776" s="1254"/>
      <c r="F776" s="1263"/>
      <c r="G776" s="1317"/>
      <c r="H776" s="1254"/>
      <c r="I776" s="1318"/>
      <c r="J776" s="1254"/>
      <c r="K776" s="1254"/>
      <c r="L776" s="1254"/>
      <c r="M776" s="1254"/>
      <c r="N776" s="1318"/>
      <c r="O776" s="1386"/>
      <c r="P776" s="1254"/>
      <c r="Q776" s="1254"/>
      <c r="R776" s="1254"/>
      <c r="S776" s="1254"/>
      <c r="T776" s="1254"/>
      <c r="U776" s="1254"/>
      <c r="V776" s="1254"/>
      <c r="W776" s="1254"/>
      <c r="X776" s="1254"/>
      <c r="Y776" s="1254"/>
      <c r="Z776" s="1254"/>
    </row>
    <row r="777">
      <c r="A777" s="1254"/>
      <c r="B777" s="1254"/>
      <c r="C777" s="1320"/>
      <c r="D777" s="1254"/>
      <c r="E777" s="1254"/>
      <c r="F777" s="1263"/>
      <c r="G777" s="1317"/>
      <c r="H777" s="1254"/>
      <c r="I777" s="1318"/>
      <c r="J777" s="1254"/>
      <c r="K777" s="1254"/>
      <c r="L777" s="1254"/>
      <c r="M777" s="1254"/>
      <c r="N777" s="1318"/>
      <c r="O777" s="1386"/>
      <c r="P777" s="1254"/>
      <c r="Q777" s="1254"/>
      <c r="R777" s="1254"/>
      <c r="S777" s="1254"/>
      <c r="T777" s="1254"/>
      <c r="U777" s="1254"/>
      <c r="V777" s="1254"/>
      <c r="W777" s="1254"/>
      <c r="X777" s="1254"/>
      <c r="Y777" s="1254"/>
      <c r="Z777" s="1254"/>
    </row>
    <row r="778">
      <c r="A778" s="1254"/>
      <c r="B778" s="1254"/>
      <c r="C778" s="1320"/>
      <c r="D778" s="1254"/>
      <c r="E778" s="1254"/>
      <c r="F778" s="1263"/>
      <c r="G778" s="1317"/>
      <c r="H778" s="1254"/>
      <c r="I778" s="1318"/>
      <c r="J778" s="1254"/>
      <c r="K778" s="1254"/>
      <c r="L778" s="1254"/>
      <c r="M778" s="1254"/>
      <c r="N778" s="1318"/>
      <c r="O778" s="1386"/>
      <c r="P778" s="1254"/>
      <c r="Q778" s="1254"/>
      <c r="R778" s="1254"/>
      <c r="S778" s="1254"/>
      <c r="T778" s="1254"/>
      <c r="U778" s="1254"/>
      <c r="V778" s="1254"/>
      <c r="W778" s="1254"/>
      <c r="X778" s="1254"/>
      <c r="Y778" s="1254"/>
      <c r="Z778" s="1254"/>
    </row>
    <row r="779">
      <c r="A779" s="1254"/>
      <c r="B779" s="1254"/>
      <c r="C779" s="1320"/>
      <c r="D779" s="1254"/>
      <c r="E779" s="1254"/>
      <c r="F779" s="1263"/>
      <c r="G779" s="1317"/>
      <c r="H779" s="1254"/>
      <c r="I779" s="1318"/>
      <c r="J779" s="1254"/>
      <c r="K779" s="1254"/>
      <c r="L779" s="1254"/>
      <c r="M779" s="1254"/>
      <c r="N779" s="1318"/>
      <c r="O779" s="1386"/>
      <c r="P779" s="1254"/>
      <c r="Q779" s="1254"/>
      <c r="R779" s="1254"/>
      <c r="S779" s="1254"/>
      <c r="T779" s="1254"/>
      <c r="U779" s="1254"/>
      <c r="V779" s="1254"/>
      <c r="W779" s="1254"/>
      <c r="X779" s="1254"/>
      <c r="Y779" s="1254"/>
      <c r="Z779" s="1254"/>
    </row>
    <row r="780">
      <c r="A780" s="1254"/>
      <c r="B780" s="1254"/>
      <c r="C780" s="1320"/>
      <c r="D780" s="1254"/>
      <c r="E780" s="1254"/>
      <c r="F780" s="1263"/>
      <c r="G780" s="1317"/>
      <c r="H780" s="1254"/>
      <c r="I780" s="1318"/>
      <c r="J780" s="1254"/>
      <c r="K780" s="1254"/>
      <c r="L780" s="1254"/>
      <c r="M780" s="1254"/>
      <c r="N780" s="1318"/>
      <c r="O780" s="1386"/>
      <c r="P780" s="1254"/>
      <c r="Q780" s="1254"/>
      <c r="R780" s="1254"/>
      <c r="S780" s="1254"/>
      <c r="T780" s="1254"/>
      <c r="U780" s="1254"/>
      <c r="V780" s="1254"/>
      <c r="W780" s="1254"/>
      <c r="X780" s="1254"/>
      <c r="Y780" s="1254"/>
      <c r="Z780" s="1254"/>
    </row>
    <row r="781">
      <c r="A781" s="1254"/>
      <c r="B781" s="1254"/>
      <c r="C781" s="1320"/>
      <c r="D781" s="1254"/>
      <c r="E781" s="1254"/>
      <c r="F781" s="1263"/>
      <c r="G781" s="1317"/>
      <c r="H781" s="1254"/>
      <c r="I781" s="1318"/>
      <c r="J781" s="1254"/>
      <c r="K781" s="1254"/>
      <c r="L781" s="1254"/>
      <c r="M781" s="1254"/>
      <c r="N781" s="1318"/>
      <c r="O781" s="1386"/>
      <c r="P781" s="1254"/>
      <c r="Q781" s="1254"/>
      <c r="R781" s="1254"/>
      <c r="S781" s="1254"/>
      <c r="T781" s="1254"/>
      <c r="U781" s="1254"/>
      <c r="V781" s="1254"/>
      <c r="W781" s="1254"/>
      <c r="X781" s="1254"/>
      <c r="Y781" s="1254"/>
      <c r="Z781" s="1254"/>
    </row>
    <row r="782">
      <c r="A782" s="1254"/>
      <c r="B782" s="1254"/>
      <c r="C782" s="1320"/>
      <c r="D782" s="1254"/>
      <c r="E782" s="1254"/>
      <c r="F782" s="1263"/>
      <c r="G782" s="1317"/>
      <c r="H782" s="1254"/>
      <c r="I782" s="1318"/>
      <c r="J782" s="1254"/>
      <c r="K782" s="1254"/>
      <c r="L782" s="1254"/>
      <c r="M782" s="1254"/>
      <c r="N782" s="1318"/>
      <c r="O782" s="1386"/>
      <c r="P782" s="1254"/>
      <c r="Q782" s="1254"/>
      <c r="R782" s="1254"/>
      <c r="S782" s="1254"/>
      <c r="T782" s="1254"/>
      <c r="U782" s="1254"/>
      <c r="V782" s="1254"/>
      <c r="W782" s="1254"/>
      <c r="X782" s="1254"/>
      <c r="Y782" s="1254"/>
      <c r="Z782" s="1254"/>
    </row>
    <row r="783">
      <c r="A783" s="1254"/>
      <c r="B783" s="1254"/>
      <c r="C783" s="1320"/>
      <c r="D783" s="1254"/>
      <c r="E783" s="1254"/>
      <c r="F783" s="1263"/>
      <c r="G783" s="1317"/>
      <c r="H783" s="1254"/>
      <c r="I783" s="1318"/>
      <c r="J783" s="1254"/>
      <c r="K783" s="1254"/>
      <c r="L783" s="1254"/>
      <c r="M783" s="1254"/>
      <c r="N783" s="1318"/>
      <c r="O783" s="1386"/>
      <c r="P783" s="1254"/>
      <c r="Q783" s="1254"/>
      <c r="R783" s="1254"/>
      <c r="S783" s="1254"/>
      <c r="T783" s="1254"/>
      <c r="U783" s="1254"/>
      <c r="V783" s="1254"/>
      <c r="W783" s="1254"/>
      <c r="X783" s="1254"/>
      <c r="Y783" s="1254"/>
      <c r="Z783" s="1254"/>
    </row>
    <row r="784">
      <c r="A784" s="1254"/>
      <c r="B784" s="1254"/>
      <c r="C784" s="1320"/>
      <c r="D784" s="1254"/>
      <c r="E784" s="1254"/>
      <c r="F784" s="1263"/>
      <c r="G784" s="1317"/>
      <c r="H784" s="1254"/>
      <c r="I784" s="1318"/>
      <c r="J784" s="1254"/>
      <c r="K784" s="1254"/>
      <c r="L784" s="1254"/>
      <c r="M784" s="1254"/>
      <c r="N784" s="1318"/>
      <c r="O784" s="1386"/>
      <c r="P784" s="1254"/>
      <c r="Q784" s="1254"/>
      <c r="R784" s="1254"/>
      <c r="S784" s="1254"/>
      <c r="T784" s="1254"/>
      <c r="U784" s="1254"/>
      <c r="V784" s="1254"/>
      <c r="W784" s="1254"/>
      <c r="X784" s="1254"/>
      <c r="Y784" s="1254"/>
      <c r="Z784" s="1254"/>
    </row>
    <row r="785">
      <c r="A785" s="1254"/>
      <c r="B785" s="1254"/>
      <c r="C785" s="1320"/>
      <c r="D785" s="1254"/>
      <c r="E785" s="1254"/>
      <c r="F785" s="1263"/>
      <c r="G785" s="1317"/>
      <c r="H785" s="1254"/>
      <c r="I785" s="1318"/>
      <c r="J785" s="1254"/>
      <c r="K785" s="1254"/>
      <c r="L785" s="1254"/>
      <c r="M785" s="1254"/>
      <c r="N785" s="1318"/>
      <c r="O785" s="1386"/>
      <c r="P785" s="1254"/>
      <c r="Q785" s="1254"/>
      <c r="R785" s="1254"/>
      <c r="S785" s="1254"/>
      <c r="T785" s="1254"/>
      <c r="U785" s="1254"/>
      <c r="V785" s="1254"/>
      <c r="W785" s="1254"/>
      <c r="X785" s="1254"/>
      <c r="Y785" s="1254"/>
      <c r="Z785" s="1254"/>
    </row>
    <row r="786">
      <c r="A786" s="1254"/>
      <c r="B786" s="1254"/>
      <c r="C786" s="1320"/>
      <c r="D786" s="1254"/>
      <c r="E786" s="1254"/>
      <c r="F786" s="1263"/>
      <c r="G786" s="1317"/>
      <c r="H786" s="1254"/>
      <c r="I786" s="1318"/>
      <c r="J786" s="1254"/>
      <c r="K786" s="1254"/>
      <c r="L786" s="1254"/>
      <c r="M786" s="1254"/>
      <c r="N786" s="1318"/>
      <c r="O786" s="1386"/>
      <c r="P786" s="1254"/>
      <c r="Q786" s="1254"/>
      <c r="R786" s="1254"/>
      <c r="S786" s="1254"/>
      <c r="T786" s="1254"/>
      <c r="U786" s="1254"/>
      <c r="V786" s="1254"/>
      <c r="W786" s="1254"/>
      <c r="X786" s="1254"/>
      <c r="Y786" s="1254"/>
      <c r="Z786" s="1254"/>
    </row>
    <row r="787">
      <c r="A787" s="1254"/>
      <c r="B787" s="1254"/>
      <c r="C787" s="1320"/>
      <c r="D787" s="1254"/>
      <c r="E787" s="1254"/>
      <c r="F787" s="1263"/>
      <c r="G787" s="1317"/>
      <c r="H787" s="1254"/>
      <c r="I787" s="1318"/>
      <c r="J787" s="1254"/>
      <c r="K787" s="1254"/>
      <c r="L787" s="1254"/>
      <c r="M787" s="1254"/>
      <c r="N787" s="1318"/>
      <c r="O787" s="1386"/>
      <c r="P787" s="1254"/>
      <c r="Q787" s="1254"/>
      <c r="R787" s="1254"/>
      <c r="S787" s="1254"/>
      <c r="T787" s="1254"/>
      <c r="U787" s="1254"/>
      <c r="V787" s="1254"/>
      <c r="W787" s="1254"/>
      <c r="X787" s="1254"/>
      <c r="Y787" s="1254"/>
      <c r="Z787" s="1254"/>
    </row>
    <row r="788">
      <c r="A788" s="1254"/>
      <c r="B788" s="1254"/>
      <c r="C788" s="1320"/>
      <c r="D788" s="1254"/>
      <c r="E788" s="1254"/>
      <c r="F788" s="1263"/>
      <c r="G788" s="1317"/>
      <c r="H788" s="1254"/>
      <c r="I788" s="1318"/>
      <c r="J788" s="1254"/>
      <c r="K788" s="1254"/>
      <c r="L788" s="1254"/>
      <c r="M788" s="1254"/>
      <c r="N788" s="1318"/>
      <c r="O788" s="1386"/>
      <c r="P788" s="1254"/>
      <c r="Q788" s="1254"/>
      <c r="R788" s="1254"/>
      <c r="S788" s="1254"/>
      <c r="T788" s="1254"/>
      <c r="U788" s="1254"/>
      <c r="V788" s="1254"/>
      <c r="W788" s="1254"/>
      <c r="X788" s="1254"/>
      <c r="Y788" s="1254"/>
      <c r="Z788" s="1254"/>
    </row>
    <row r="789">
      <c r="A789" s="1254"/>
      <c r="B789" s="1254"/>
      <c r="C789" s="1320"/>
      <c r="D789" s="1254"/>
      <c r="E789" s="1254"/>
      <c r="F789" s="1263"/>
      <c r="G789" s="1317"/>
      <c r="H789" s="1254"/>
      <c r="I789" s="1318"/>
      <c r="J789" s="1254"/>
      <c r="K789" s="1254"/>
      <c r="L789" s="1254"/>
      <c r="M789" s="1254"/>
      <c r="N789" s="1318"/>
      <c r="O789" s="1386"/>
      <c r="P789" s="1254"/>
      <c r="Q789" s="1254"/>
      <c r="R789" s="1254"/>
      <c r="S789" s="1254"/>
      <c r="T789" s="1254"/>
      <c r="U789" s="1254"/>
      <c r="V789" s="1254"/>
      <c r="W789" s="1254"/>
      <c r="X789" s="1254"/>
      <c r="Y789" s="1254"/>
      <c r="Z789" s="1254"/>
    </row>
    <row r="790">
      <c r="A790" s="1254"/>
      <c r="B790" s="1254"/>
      <c r="C790" s="1320"/>
      <c r="D790" s="1254"/>
      <c r="E790" s="1254"/>
      <c r="F790" s="1263"/>
      <c r="G790" s="1317"/>
      <c r="H790" s="1254"/>
      <c r="I790" s="1318"/>
      <c r="J790" s="1254"/>
      <c r="K790" s="1254"/>
      <c r="L790" s="1254"/>
      <c r="M790" s="1254"/>
      <c r="N790" s="1318"/>
      <c r="O790" s="1386"/>
      <c r="P790" s="1254"/>
      <c r="Q790" s="1254"/>
      <c r="R790" s="1254"/>
      <c r="S790" s="1254"/>
      <c r="T790" s="1254"/>
      <c r="U790" s="1254"/>
      <c r="V790" s="1254"/>
      <c r="W790" s="1254"/>
      <c r="X790" s="1254"/>
      <c r="Y790" s="1254"/>
      <c r="Z790" s="1254"/>
    </row>
    <row r="791">
      <c r="A791" s="1254"/>
      <c r="B791" s="1254"/>
      <c r="C791" s="1320"/>
      <c r="D791" s="1254"/>
      <c r="E791" s="1254"/>
      <c r="F791" s="1263"/>
      <c r="G791" s="1317"/>
      <c r="H791" s="1254"/>
      <c r="I791" s="1318"/>
      <c r="J791" s="1254"/>
      <c r="K791" s="1254"/>
      <c r="L791" s="1254"/>
      <c r="M791" s="1254"/>
      <c r="N791" s="1318"/>
      <c r="O791" s="1386"/>
      <c r="P791" s="1254"/>
      <c r="Q791" s="1254"/>
      <c r="R791" s="1254"/>
      <c r="S791" s="1254"/>
      <c r="T791" s="1254"/>
      <c r="U791" s="1254"/>
      <c r="V791" s="1254"/>
      <c r="W791" s="1254"/>
      <c r="X791" s="1254"/>
      <c r="Y791" s="1254"/>
      <c r="Z791" s="1254"/>
    </row>
    <row r="792">
      <c r="A792" s="1254"/>
      <c r="B792" s="1254"/>
      <c r="C792" s="1320"/>
      <c r="D792" s="1254"/>
      <c r="E792" s="1254"/>
      <c r="F792" s="1263"/>
      <c r="G792" s="1317"/>
      <c r="H792" s="1254"/>
      <c r="I792" s="1318"/>
      <c r="J792" s="1254"/>
      <c r="K792" s="1254"/>
      <c r="L792" s="1254"/>
      <c r="M792" s="1254"/>
      <c r="N792" s="1318"/>
      <c r="O792" s="1386"/>
      <c r="P792" s="1254"/>
      <c r="Q792" s="1254"/>
      <c r="R792" s="1254"/>
      <c r="S792" s="1254"/>
      <c r="T792" s="1254"/>
      <c r="U792" s="1254"/>
      <c r="V792" s="1254"/>
      <c r="W792" s="1254"/>
      <c r="X792" s="1254"/>
      <c r="Y792" s="1254"/>
      <c r="Z792" s="1254"/>
    </row>
    <row r="793">
      <c r="A793" s="1254"/>
      <c r="B793" s="1254"/>
      <c r="C793" s="1320"/>
      <c r="D793" s="1254"/>
      <c r="E793" s="1254"/>
      <c r="F793" s="1263"/>
      <c r="G793" s="1317"/>
      <c r="H793" s="1254"/>
      <c r="I793" s="1318"/>
      <c r="J793" s="1254"/>
      <c r="K793" s="1254"/>
      <c r="L793" s="1254"/>
      <c r="M793" s="1254"/>
      <c r="N793" s="1318"/>
      <c r="O793" s="1386"/>
      <c r="P793" s="1254"/>
      <c r="Q793" s="1254"/>
      <c r="R793" s="1254"/>
      <c r="S793" s="1254"/>
      <c r="T793" s="1254"/>
      <c r="U793" s="1254"/>
      <c r="V793" s="1254"/>
      <c r="W793" s="1254"/>
      <c r="X793" s="1254"/>
      <c r="Y793" s="1254"/>
      <c r="Z793" s="1254"/>
    </row>
    <row r="794">
      <c r="A794" s="1254"/>
      <c r="B794" s="1254"/>
      <c r="C794" s="1320"/>
      <c r="D794" s="1254"/>
      <c r="E794" s="1254"/>
      <c r="F794" s="1263"/>
      <c r="G794" s="1317"/>
      <c r="H794" s="1254"/>
      <c r="I794" s="1318"/>
      <c r="J794" s="1254"/>
      <c r="K794" s="1254"/>
      <c r="L794" s="1254"/>
      <c r="M794" s="1254"/>
      <c r="N794" s="1318"/>
      <c r="O794" s="1386"/>
      <c r="P794" s="1254"/>
      <c r="Q794" s="1254"/>
      <c r="R794" s="1254"/>
      <c r="S794" s="1254"/>
      <c r="T794" s="1254"/>
      <c r="U794" s="1254"/>
      <c r="V794" s="1254"/>
      <c r="W794" s="1254"/>
      <c r="X794" s="1254"/>
      <c r="Y794" s="1254"/>
      <c r="Z794" s="1254"/>
    </row>
    <row r="795">
      <c r="A795" s="1254"/>
      <c r="B795" s="1254"/>
      <c r="C795" s="1320"/>
      <c r="D795" s="1254"/>
      <c r="E795" s="1254"/>
      <c r="F795" s="1263"/>
      <c r="G795" s="1317"/>
      <c r="H795" s="1254"/>
      <c r="I795" s="1318"/>
      <c r="J795" s="1254"/>
      <c r="K795" s="1254"/>
      <c r="L795" s="1254"/>
      <c r="M795" s="1254"/>
      <c r="N795" s="1318"/>
      <c r="O795" s="1386"/>
      <c r="P795" s="1254"/>
      <c r="Q795" s="1254"/>
      <c r="R795" s="1254"/>
      <c r="S795" s="1254"/>
      <c r="T795" s="1254"/>
      <c r="U795" s="1254"/>
      <c r="V795" s="1254"/>
      <c r="W795" s="1254"/>
      <c r="X795" s="1254"/>
      <c r="Y795" s="1254"/>
      <c r="Z795" s="1254"/>
    </row>
    <row r="796">
      <c r="A796" s="1254"/>
      <c r="B796" s="1254"/>
      <c r="C796" s="1320"/>
      <c r="D796" s="1254"/>
      <c r="E796" s="1254"/>
      <c r="F796" s="1263"/>
      <c r="G796" s="1317"/>
      <c r="H796" s="1254"/>
      <c r="I796" s="1318"/>
      <c r="J796" s="1254"/>
      <c r="K796" s="1254"/>
      <c r="L796" s="1254"/>
      <c r="M796" s="1254"/>
      <c r="N796" s="1318"/>
      <c r="O796" s="1386"/>
      <c r="P796" s="1254"/>
      <c r="Q796" s="1254"/>
      <c r="R796" s="1254"/>
      <c r="S796" s="1254"/>
      <c r="T796" s="1254"/>
      <c r="U796" s="1254"/>
      <c r="V796" s="1254"/>
      <c r="W796" s="1254"/>
      <c r="X796" s="1254"/>
      <c r="Y796" s="1254"/>
      <c r="Z796" s="1254"/>
    </row>
    <row r="797">
      <c r="A797" s="1254"/>
      <c r="B797" s="1254"/>
      <c r="C797" s="1320"/>
      <c r="D797" s="1254"/>
      <c r="E797" s="1254"/>
      <c r="F797" s="1263"/>
      <c r="G797" s="1317"/>
      <c r="H797" s="1254"/>
      <c r="I797" s="1318"/>
      <c r="J797" s="1254"/>
      <c r="K797" s="1254"/>
      <c r="L797" s="1254"/>
      <c r="M797" s="1254"/>
      <c r="N797" s="1318"/>
      <c r="O797" s="1386"/>
      <c r="P797" s="1254"/>
      <c r="Q797" s="1254"/>
      <c r="R797" s="1254"/>
      <c r="S797" s="1254"/>
      <c r="T797" s="1254"/>
      <c r="U797" s="1254"/>
      <c r="V797" s="1254"/>
      <c r="W797" s="1254"/>
      <c r="X797" s="1254"/>
      <c r="Y797" s="1254"/>
      <c r="Z797" s="1254"/>
    </row>
    <row r="798">
      <c r="A798" s="1254"/>
      <c r="B798" s="1254"/>
      <c r="C798" s="1320"/>
      <c r="D798" s="1254"/>
      <c r="E798" s="1254"/>
      <c r="F798" s="1263"/>
      <c r="G798" s="1317"/>
      <c r="H798" s="1254"/>
      <c r="I798" s="1318"/>
      <c r="J798" s="1254"/>
      <c r="K798" s="1254"/>
      <c r="L798" s="1254"/>
      <c r="M798" s="1254"/>
      <c r="N798" s="1318"/>
      <c r="O798" s="1386"/>
      <c r="P798" s="1254"/>
      <c r="Q798" s="1254"/>
      <c r="R798" s="1254"/>
      <c r="S798" s="1254"/>
      <c r="T798" s="1254"/>
      <c r="U798" s="1254"/>
      <c r="V798" s="1254"/>
      <c r="W798" s="1254"/>
      <c r="X798" s="1254"/>
      <c r="Y798" s="1254"/>
      <c r="Z798" s="1254"/>
    </row>
    <row r="799">
      <c r="A799" s="1254"/>
      <c r="B799" s="1254"/>
      <c r="C799" s="1320"/>
      <c r="D799" s="1254"/>
      <c r="E799" s="1254"/>
      <c r="F799" s="1263"/>
      <c r="G799" s="1317"/>
      <c r="H799" s="1254"/>
      <c r="I799" s="1318"/>
      <c r="J799" s="1254"/>
      <c r="K799" s="1254"/>
      <c r="L799" s="1254"/>
      <c r="M799" s="1254"/>
      <c r="N799" s="1318"/>
      <c r="O799" s="1386"/>
      <c r="P799" s="1254"/>
      <c r="Q799" s="1254"/>
      <c r="R799" s="1254"/>
      <c r="S799" s="1254"/>
      <c r="T799" s="1254"/>
      <c r="U799" s="1254"/>
      <c r="V799" s="1254"/>
      <c r="W799" s="1254"/>
      <c r="X799" s="1254"/>
      <c r="Y799" s="1254"/>
      <c r="Z799" s="1254"/>
    </row>
    <row r="800">
      <c r="A800" s="1254"/>
      <c r="B800" s="1254"/>
      <c r="C800" s="1320"/>
      <c r="D800" s="1254"/>
      <c r="E800" s="1254"/>
      <c r="F800" s="1263"/>
      <c r="G800" s="1317"/>
      <c r="H800" s="1254"/>
      <c r="I800" s="1318"/>
      <c r="J800" s="1254"/>
      <c r="K800" s="1254"/>
      <c r="L800" s="1254"/>
      <c r="M800" s="1254"/>
      <c r="N800" s="1318"/>
      <c r="O800" s="1386"/>
      <c r="P800" s="1254"/>
      <c r="Q800" s="1254"/>
      <c r="R800" s="1254"/>
      <c r="S800" s="1254"/>
      <c r="T800" s="1254"/>
      <c r="U800" s="1254"/>
      <c r="V800" s="1254"/>
      <c r="W800" s="1254"/>
      <c r="X800" s="1254"/>
      <c r="Y800" s="1254"/>
      <c r="Z800" s="1254"/>
    </row>
    <row r="801">
      <c r="A801" s="1254"/>
      <c r="B801" s="1254"/>
      <c r="C801" s="1320"/>
      <c r="D801" s="1254"/>
      <c r="E801" s="1254"/>
      <c r="F801" s="1263"/>
      <c r="G801" s="1317"/>
      <c r="H801" s="1254"/>
      <c r="I801" s="1318"/>
      <c r="J801" s="1254"/>
      <c r="K801" s="1254"/>
      <c r="L801" s="1254"/>
      <c r="M801" s="1254"/>
      <c r="N801" s="1318"/>
      <c r="O801" s="1386"/>
      <c r="P801" s="1254"/>
      <c r="Q801" s="1254"/>
      <c r="R801" s="1254"/>
      <c r="S801" s="1254"/>
      <c r="T801" s="1254"/>
      <c r="U801" s="1254"/>
      <c r="V801" s="1254"/>
      <c r="W801" s="1254"/>
      <c r="X801" s="1254"/>
      <c r="Y801" s="1254"/>
      <c r="Z801" s="1254"/>
    </row>
    <row r="802">
      <c r="A802" s="1254"/>
      <c r="B802" s="1254"/>
      <c r="C802" s="1320"/>
      <c r="D802" s="1254"/>
      <c r="E802" s="1254"/>
      <c r="F802" s="1263"/>
      <c r="G802" s="1317"/>
      <c r="H802" s="1254"/>
      <c r="I802" s="1318"/>
      <c r="J802" s="1254"/>
      <c r="K802" s="1254"/>
      <c r="L802" s="1254"/>
      <c r="M802" s="1254"/>
      <c r="N802" s="1318"/>
      <c r="O802" s="1386"/>
      <c r="P802" s="1254"/>
      <c r="Q802" s="1254"/>
      <c r="R802" s="1254"/>
      <c r="S802" s="1254"/>
      <c r="T802" s="1254"/>
      <c r="U802" s="1254"/>
      <c r="V802" s="1254"/>
      <c r="W802" s="1254"/>
      <c r="X802" s="1254"/>
      <c r="Y802" s="1254"/>
      <c r="Z802" s="1254"/>
    </row>
    <row r="803">
      <c r="A803" s="1254"/>
      <c r="B803" s="1254"/>
      <c r="C803" s="1320"/>
      <c r="D803" s="1254"/>
      <c r="E803" s="1254"/>
      <c r="F803" s="1263"/>
      <c r="G803" s="1317"/>
      <c r="H803" s="1254"/>
      <c r="I803" s="1318"/>
      <c r="J803" s="1254"/>
      <c r="K803" s="1254"/>
      <c r="L803" s="1254"/>
      <c r="M803" s="1254"/>
      <c r="N803" s="1318"/>
      <c r="O803" s="1386"/>
      <c r="P803" s="1254"/>
      <c r="Q803" s="1254"/>
      <c r="R803" s="1254"/>
      <c r="S803" s="1254"/>
      <c r="T803" s="1254"/>
      <c r="U803" s="1254"/>
      <c r="V803" s="1254"/>
      <c r="W803" s="1254"/>
      <c r="X803" s="1254"/>
      <c r="Y803" s="1254"/>
      <c r="Z803" s="1254"/>
    </row>
    <row r="804">
      <c r="A804" s="1254"/>
      <c r="B804" s="1254"/>
      <c r="C804" s="1320"/>
      <c r="D804" s="1254"/>
      <c r="E804" s="1254"/>
      <c r="F804" s="1263"/>
      <c r="G804" s="1317"/>
      <c r="H804" s="1254"/>
      <c r="I804" s="1318"/>
      <c r="J804" s="1254"/>
      <c r="K804" s="1254"/>
      <c r="L804" s="1254"/>
      <c r="M804" s="1254"/>
      <c r="N804" s="1318"/>
      <c r="O804" s="1386"/>
      <c r="P804" s="1254"/>
      <c r="Q804" s="1254"/>
      <c r="R804" s="1254"/>
      <c r="S804" s="1254"/>
      <c r="T804" s="1254"/>
      <c r="U804" s="1254"/>
      <c r="V804" s="1254"/>
      <c r="W804" s="1254"/>
      <c r="X804" s="1254"/>
      <c r="Y804" s="1254"/>
      <c r="Z804" s="1254"/>
    </row>
    <row r="805">
      <c r="A805" s="1254"/>
      <c r="B805" s="1254"/>
      <c r="C805" s="1320"/>
      <c r="D805" s="1254"/>
      <c r="E805" s="1254"/>
      <c r="F805" s="1263"/>
      <c r="G805" s="1317"/>
      <c r="H805" s="1254"/>
      <c r="I805" s="1318"/>
      <c r="J805" s="1254"/>
      <c r="K805" s="1254"/>
      <c r="L805" s="1254"/>
      <c r="M805" s="1254"/>
      <c r="N805" s="1318"/>
      <c r="O805" s="1386"/>
      <c r="P805" s="1254"/>
      <c r="Q805" s="1254"/>
      <c r="R805" s="1254"/>
      <c r="S805" s="1254"/>
      <c r="T805" s="1254"/>
      <c r="U805" s="1254"/>
      <c r="V805" s="1254"/>
      <c r="W805" s="1254"/>
      <c r="X805" s="1254"/>
      <c r="Y805" s="1254"/>
      <c r="Z805" s="1254"/>
    </row>
    <row r="806">
      <c r="A806" s="1254"/>
      <c r="B806" s="1254"/>
      <c r="C806" s="1320"/>
      <c r="D806" s="1254"/>
      <c r="E806" s="1254"/>
      <c r="F806" s="1263"/>
      <c r="G806" s="1317"/>
      <c r="H806" s="1254"/>
      <c r="I806" s="1318"/>
      <c r="J806" s="1254"/>
      <c r="K806" s="1254"/>
      <c r="L806" s="1254"/>
      <c r="M806" s="1254"/>
      <c r="N806" s="1318"/>
      <c r="O806" s="1386"/>
      <c r="P806" s="1254"/>
      <c r="Q806" s="1254"/>
      <c r="R806" s="1254"/>
      <c r="S806" s="1254"/>
      <c r="T806" s="1254"/>
      <c r="U806" s="1254"/>
      <c r="V806" s="1254"/>
      <c r="W806" s="1254"/>
      <c r="X806" s="1254"/>
      <c r="Y806" s="1254"/>
      <c r="Z806" s="1254"/>
    </row>
    <row r="807">
      <c r="A807" s="1254"/>
      <c r="B807" s="1254"/>
      <c r="C807" s="1320"/>
      <c r="D807" s="1254"/>
      <c r="E807" s="1254"/>
      <c r="F807" s="1263"/>
      <c r="G807" s="1317"/>
      <c r="H807" s="1254"/>
      <c r="I807" s="1318"/>
      <c r="J807" s="1254"/>
      <c r="K807" s="1254"/>
      <c r="L807" s="1254"/>
      <c r="M807" s="1254"/>
      <c r="N807" s="1318"/>
      <c r="O807" s="1386"/>
      <c r="P807" s="1254"/>
      <c r="Q807" s="1254"/>
      <c r="R807" s="1254"/>
      <c r="S807" s="1254"/>
      <c r="T807" s="1254"/>
      <c r="U807" s="1254"/>
      <c r="V807" s="1254"/>
      <c r="W807" s="1254"/>
      <c r="X807" s="1254"/>
      <c r="Y807" s="1254"/>
      <c r="Z807" s="1254"/>
    </row>
    <row r="808">
      <c r="A808" s="1254"/>
      <c r="B808" s="1254"/>
      <c r="C808" s="1320"/>
      <c r="D808" s="1254"/>
      <c r="E808" s="1254"/>
      <c r="F808" s="1263"/>
      <c r="G808" s="1317"/>
      <c r="H808" s="1254"/>
      <c r="I808" s="1318"/>
      <c r="J808" s="1254"/>
      <c r="K808" s="1254"/>
      <c r="L808" s="1254"/>
      <c r="M808" s="1254"/>
      <c r="N808" s="1318"/>
      <c r="O808" s="1386"/>
      <c r="P808" s="1254"/>
      <c r="Q808" s="1254"/>
      <c r="R808" s="1254"/>
      <c r="S808" s="1254"/>
      <c r="T808" s="1254"/>
      <c r="U808" s="1254"/>
      <c r="V808" s="1254"/>
      <c r="W808" s="1254"/>
      <c r="X808" s="1254"/>
      <c r="Y808" s="1254"/>
      <c r="Z808" s="1254"/>
    </row>
    <row r="809">
      <c r="A809" s="1254"/>
      <c r="B809" s="1254"/>
      <c r="C809" s="1320"/>
      <c r="D809" s="1254"/>
      <c r="E809" s="1254"/>
      <c r="F809" s="1263"/>
      <c r="G809" s="1317"/>
      <c r="H809" s="1254"/>
      <c r="I809" s="1318"/>
      <c r="J809" s="1254"/>
      <c r="K809" s="1254"/>
      <c r="L809" s="1254"/>
      <c r="M809" s="1254"/>
      <c r="N809" s="1318"/>
      <c r="O809" s="1386"/>
      <c r="P809" s="1254"/>
      <c r="Q809" s="1254"/>
      <c r="R809" s="1254"/>
      <c r="S809" s="1254"/>
      <c r="T809" s="1254"/>
      <c r="U809" s="1254"/>
      <c r="V809" s="1254"/>
      <c r="W809" s="1254"/>
      <c r="X809" s="1254"/>
      <c r="Y809" s="1254"/>
      <c r="Z809" s="1254"/>
    </row>
    <row r="810">
      <c r="A810" s="1254"/>
      <c r="B810" s="1254"/>
      <c r="C810" s="1320"/>
      <c r="D810" s="1254"/>
      <c r="E810" s="1254"/>
      <c r="F810" s="1263"/>
      <c r="G810" s="1317"/>
      <c r="H810" s="1254"/>
      <c r="I810" s="1318"/>
      <c r="J810" s="1254"/>
      <c r="K810" s="1254"/>
      <c r="L810" s="1254"/>
      <c r="M810" s="1254"/>
      <c r="N810" s="1318"/>
      <c r="O810" s="1386"/>
      <c r="P810" s="1254"/>
      <c r="Q810" s="1254"/>
      <c r="R810" s="1254"/>
      <c r="S810" s="1254"/>
      <c r="T810" s="1254"/>
      <c r="U810" s="1254"/>
      <c r="V810" s="1254"/>
      <c r="W810" s="1254"/>
      <c r="X810" s="1254"/>
      <c r="Y810" s="1254"/>
      <c r="Z810" s="1254"/>
    </row>
    <row r="811">
      <c r="A811" s="1254"/>
      <c r="B811" s="1254"/>
      <c r="C811" s="1320"/>
      <c r="D811" s="1254"/>
      <c r="E811" s="1254"/>
      <c r="F811" s="1263"/>
      <c r="G811" s="1317"/>
      <c r="H811" s="1254"/>
      <c r="I811" s="1318"/>
      <c r="J811" s="1254"/>
      <c r="K811" s="1254"/>
      <c r="L811" s="1254"/>
      <c r="M811" s="1254"/>
      <c r="N811" s="1318"/>
      <c r="O811" s="1386"/>
      <c r="P811" s="1254"/>
      <c r="Q811" s="1254"/>
      <c r="R811" s="1254"/>
      <c r="S811" s="1254"/>
      <c r="T811" s="1254"/>
      <c r="U811" s="1254"/>
      <c r="V811" s="1254"/>
      <c r="W811" s="1254"/>
      <c r="X811" s="1254"/>
      <c r="Y811" s="1254"/>
      <c r="Z811" s="1254"/>
    </row>
    <row r="812">
      <c r="A812" s="1254"/>
      <c r="B812" s="1254"/>
      <c r="C812" s="1320"/>
      <c r="D812" s="1254"/>
      <c r="E812" s="1254"/>
      <c r="F812" s="1263"/>
      <c r="G812" s="1317"/>
      <c r="H812" s="1254"/>
      <c r="I812" s="1318"/>
      <c r="J812" s="1254"/>
      <c r="K812" s="1254"/>
      <c r="L812" s="1254"/>
      <c r="M812" s="1254"/>
      <c r="N812" s="1318"/>
      <c r="O812" s="1386"/>
      <c r="P812" s="1254"/>
      <c r="Q812" s="1254"/>
      <c r="R812" s="1254"/>
      <c r="S812" s="1254"/>
      <c r="T812" s="1254"/>
      <c r="U812" s="1254"/>
      <c r="V812" s="1254"/>
      <c r="W812" s="1254"/>
      <c r="X812" s="1254"/>
      <c r="Y812" s="1254"/>
      <c r="Z812" s="1254"/>
    </row>
    <row r="813">
      <c r="A813" s="1254"/>
      <c r="B813" s="1254"/>
      <c r="C813" s="1320"/>
      <c r="D813" s="1254"/>
      <c r="E813" s="1254"/>
      <c r="F813" s="1263"/>
      <c r="G813" s="1317"/>
      <c r="H813" s="1254"/>
      <c r="I813" s="1318"/>
      <c r="J813" s="1254"/>
      <c r="K813" s="1254"/>
      <c r="L813" s="1254"/>
      <c r="M813" s="1254"/>
      <c r="N813" s="1318"/>
      <c r="O813" s="1386"/>
      <c r="P813" s="1254"/>
      <c r="Q813" s="1254"/>
      <c r="R813" s="1254"/>
      <c r="S813" s="1254"/>
      <c r="T813" s="1254"/>
      <c r="U813" s="1254"/>
      <c r="V813" s="1254"/>
      <c r="W813" s="1254"/>
      <c r="X813" s="1254"/>
      <c r="Y813" s="1254"/>
      <c r="Z813" s="1254"/>
    </row>
    <row r="814">
      <c r="A814" s="1254"/>
      <c r="B814" s="1254"/>
      <c r="C814" s="1320"/>
      <c r="D814" s="1254"/>
      <c r="E814" s="1254"/>
      <c r="F814" s="1263"/>
      <c r="G814" s="1317"/>
      <c r="H814" s="1254"/>
      <c r="I814" s="1318"/>
      <c r="J814" s="1254"/>
      <c r="K814" s="1254"/>
      <c r="L814" s="1254"/>
      <c r="M814" s="1254"/>
      <c r="N814" s="1318"/>
      <c r="O814" s="1386"/>
      <c r="P814" s="1254"/>
      <c r="Q814" s="1254"/>
      <c r="R814" s="1254"/>
      <c r="S814" s="1254"/>
      <c r="T814" s="1254"/>
      <c r="U814" s="1254"/>
      <c r="V814" s="1254"/>
      <c r="W814" s="1254"/>
      <c r="X814" s="1254"/>
      <c r="Y814" s="1254"/>
      <c r="Z814" s="1254"/>
    </row>
    <row r="815">
      <c r="A815" s="1254"/>
      <c r="B815" s="1254"/>
      <c r="C815" s="1320"/>
      <c r="D815" s="1254"/>
      <c r="E815" s="1254"/>
      <c r="F815" s="1263"/>
      <c r="G815" s="1317"/>
      <c r="H815" s="1254"/>
      <c r="I815" s="1318"/>
      <c r="J815" s="1254"/>
      <c r="K815" s="1254"/>
      <c r="L815" s="1254"/>
      <c r="M815" s="1254"/>
      <c r="N815" s="1318"/>
      <c r="O815" s="1386"/>
      <c r="P815" s="1254"/>
      <c r="Q815" s="1254"/>
      <c r="R815" s="1254"/>
      <c r="S815" s="1254"/>
      <c r="T815" s="1254"/>
      <c r="U815" s="1254"/>
      <c r="V815" s="1254"/>
      <c r="W815" s="1254"/>
      <c r="X815" s="1254"/>
      <c r="Y815" s="1254"/>
      <c r="Z815" s="1254"/>
    </row>
    <row r="816">
      <c r="A816" s="1254"/>
      <c r="B816" s="1254"/>
      <c r="C816" s="1320"/>
      <c r="D816" s="1254"/>
      <c r="E816" s="1254"/>
      <c r="F816" s="1263"/>
      <c r="G816" s="1317"/>
      <c r="H816" s="1254"/>
      <c r="I816" s="1318"/>
      <c r="J816" s="1254"/>
      <c r="K816" s="1254"/>
      <c r="L816" s="1254"/>
      <c r="M816" s="1254"/>
      <c r="N816" s="1318"/>
      <c r="O816" s="1386"/>
      <c r="P816" s="1254"/>
      <c r="Q816" s="1254"/>
      <c r="R816" s="1254"/>
      <c r="S816" s="1254"/>
      <c r="T816" s="1254"/>
      <c r="U816" s="1254"/>
      <c r="V816" s="1254"/>
      <c r="W816" s="1254"/>
      <c r="X816" s="1254"/>
      <c r="Y816" s="1254"/>
      <c r="Z816" s="1254"/>
    </row>
    <row r="817">
      <c r="A817" s="1254"/>
      <c r="B817" s="1254"/>
      <c r="C817" s="1320"/>
      <c r="D817" s="1254"/>
      <c r="E817" s="1254"/>
      <c r="F817" s="1263"/>
      <c r="G817" s="1317"/>
      <c r="H817" s="1254"/>
      <c r="I817" s="1318"/>
      <c r="J817" s="1254"/>
      <c r="K817" s="1254"/>
      <c r="L817" s="1254"/>
      <c r="M817" s="1254"/>
      <c r="N817" s="1318"/>
      <c r="O817" s="1386"/>
      <c r="P817" s="1254"/>
      <c r="Q817" s="1254"/>
      <c r="R817" s="1254"/>
      <c r="S817" s="1254"/>
      <c r="T817" s="1254"/>
      <c r="U817" s="1254"/>
      <c r="V817" s="1254"/>
      <c r="W817" s="1254"/>
      <c r="X817" s="1254"/>
      <c r="Y817" s="1254"/>
      <c r="Z817" s="1254"/>
    </row>
    <row r="818">
      <c r="A818" s="1254"/>
      <c r="B818" s="1254"/>
      <c r="C818" s="1320"/>
      <c r="D818" s="1254"/>
      <c r="E818" s="1254"/>
      <c r="F818" s="1263"/>
      <c r="G818" s="1317"/>
      <c r="H818" s="1254"/>
      <c r="I818" s="1318"/>
      <c r="J818" s="1254"/>
      <c r="K818" s="1254"/>
      <c r="L818" s="1254"/>
      <c r="M818" s="1254"/>
      <c r="N818" s="1318"/>
      <c r="O818" s="1386"/>
      <c r="P818" s="1254"/>
      <c r="Q818" s="1254"/>
      <c r="R818" s="1254"/>
      <c r="S818" s="1254"/>
      <c r="T818" s="1254"/>
      <c r="U818" s="1254"/>
      <c r="V818" s="1254"/>
      <c r="W818" s="1254"/>
      <c r="X818" s="1254"/>
      <c r="Y818" s="1254"/>
      <c r="Z818" s="1254"/>
    </row>
    <row r="819">
      <c r="A819" s="1254"/>
      <c r="B819" s="1254"/>
      <c r="C819" s="1320"/>
      <c r="D819" s="1254"/>
      <c r="E819" s="1254"/>
      <c r="F819" s="1263"/>
      <c r="G819" s="1317"/>
      <c r="H819" s="1254"/>
      <c r="I819" s="1318"/>
      <c r="J819" s="1254"/>
      <c r="K819" s="1254"/>
      <c r="L819" s="1254"/>
      <c r="M819" s="1254"/>
      <c r="N819" s="1318"/>
      <c r="O819" s="1386"/>
      <c r="P819" s="1254"/>
      <c r="Q819" s="1254"/>
      <c r="R819" s="1254"/>
      <c r="S819" s="1254"/>
      <c r="T819" s="1254"/>
      <c r="U819" s="1254"/>
      <c r="V819" s="1254"/>
      <c r="W819" s="1254"/>
      <c r="X819" s="1254"/>
      <c r="Y819" s="1254"/>
      <c r="Z819" s="1254"/>
    </row>
    <row r="820">
      <c r="A820" s="1254"/>
      <c r="B820" s="1254"/>
      <c r="C820" s="1320"/>
      <c r="D820" s="1254"/>
      <c r="E820" s="1254"/>
      <c r="F820" s="1263"/>
      <c r="G820" s="1317"/>
      <c r="H820" s="1254"/>
      <c r="I820" s="1318"/>
      <c r="J820" s="1254"/>
      <c r="K820" s="1254"/>
      <c r="L820" s="1254"/>
      <c r="M820" s="1254"/>
      <c r="N820" s="1318"/>
      <c r="O820" s="1386"/>
      <c r="P820" s="1254"/>
      <c r="Q820" s="1254"/>
      <c r="R820" s="1254"/>
      <c r="S820" s="1254"/>
      <c r="T820" s="1254"/>
      <c r="U820" s="1254"/>
      <c r="V820" s="1254"/>
      <c r="W820" s="1254"/>
      <c r="X820" s="1254"/>
      <c r="Y820" s="1254"/>
      <c r="Z820" s="1254"/>
    </row>
    <row r="821">
      <c r="A821" s="1254"/>
      <c r="B821" s="1254"/>
      <c r="C821" s="1320"/>
      <c r="D821" s="1254"/>
      <c r="E821" s="1254"/>
      <c r="F821" s="1263"/>
      <c r="G821" s="1317"/>
      <c r="H821" s="1254"/>
      <c r="I821" s="1318"/>
      <c r="J821" s="1254"/>
      <c r="K821" s="1254"/>
      <c r="L821" s="1254"/>
      <c r="M821" s="1254"/>
      <c r="N821" s="1318"/>
      <c r="O821" s="1386"/>
      <c r="P821" s="1254"/>
      <c r="Q821" s="1254"/>
      <c r="R821" s="1254"/>
      <c r="S821" s="1254"/>
      <c r="T821" s="1254"/>
      <c r="U821" s="1254"/>
      <c r="V821" s="1254"/>
      <c r="W821" s="1254"/>
      <c r="X821" s="1254"/>
      <c r="Y821" s="1254"/>
      <c r="Z821" s="1254"/>
    </row>
    <row r="822">
      <c r="A822" s="1254"/>
      <c r="B822" s="1254"/>
      <c r="C822" s="1320"/>
      <c r="D822" s="1254"/>
      <c r="E822" s="1254"/>
      <c r="F822" s="1263"/>
      <c r="G822" s="1317"/>
      <c r="H822" s="1254"/>
      <c r="I822" s="1318"/>
      <c r="J822" s="1254"/>
      <c r="K822" s="1254"/>
      <c r="L822" s="1254"/>
      <c r="M822" s="1254"/>
      <c r="N822" s="1318"/>
      <c r="O822" s="1386"/>
      <c r="P822" s="1254"/>
      <c r="Q822" s="1254"/>
      <c r="R822" s="1254"/>
      <c r="S822" s="1254"/>
      <c r="T822" s="1254"/>
      <c r="U822" s="1254"/>
      <c r="V822" s="1254"/>
      <c r="W822" s="1254"/>
      <c r="X822" s="1254"/>
      <c r="Y822" s="1254"/>
      <c r="Z822" s="1254"/>
    </row>
    <row r="823">
      <c r="A823" s="1254"/>
      <c r="B823" s="1254"/>
      <c r="C823" s="1320"/>
      <c r="D823" s="1254"/>
      <c r="E823" s="1254"/>
      <c r="F823" s="1263"/>
      <c r="G823" s="1317"/>
      <c r="H823" s="1254"/>
      <c r="I823" s="1318"/>
      <c r="J823" s="1254"/>
      <c r="K823" s="1254"/>
      <c r="L823" s="1254"/>
      <c r="M823" s="1254"/>
      <c r="N823" s="1318"/>
      <c r="O823" s="1386"/>
      <c r="P823" s="1254"/>
      <c r="Q823" s="1254"/>
      <c r="R823" s="1254"/>
      <c r="S823" s="1254"/>
      <c r="T823" s="1254"/>
      <c r="U823" s="1254"/>
      <c r="V823" s="1254"/>
      <c r="W823" s="1254"/>
      <c r="X823" s="1254"/>
      <c r="Y823" s="1254"/>
      <c r="Z823" s="1254"/>
    </row>
    <row r="824">
      <c r="A824" s="1254"/>
      <c r="B824" s="1254"/>
      <c r="C824" s="1320"/>
      <c r="D824" s="1254"/>
      <c r="E824" s="1254"/>
      <c r="F824" s="1263"/>
      <c r="G824" s="1317"/>
      <c r="H824" s="1254"/>
      <c r="I824" s="1318"/>
      <c r="J824" s="1254"/>
      <c r="K824" s="1254"/>
      <c r="L824" s="1254"/>
      <c r="M824" s="1254"/>
      <c r="N824" s="1318"/>
      <c r="O824" s="1386"/>
      <c r="P824" s="1254"/>
      <c r="Q824" s="1254"/>
      <c r="R824" s="1254"/>
      <c r="S824" s="1254"/>
      <c r="T824" s="1254"/>
      <c r="U824" s="1254"/>
      <c r="V824" s="1254"/>
      <c r="W824" s="1254"/>
      <c r="X824" s="1254"/>
      <c r="Y824" s="1254"/>
      <c r="Z824" s="1254"/>
    </row>
    <row r="825">
      <c r="A825" s="1254"/>
      <c r="B825" s="1254"/>
      <c r="C825" s="1320"/>
      <c r="D825" s="1254"/>
      <c r="E825" s="1254"/>
      <c r="F825" s="1263"/>
      <c r="G825" s="1317"/>
      <c r="H825" s="1254"/>
      <c r="I825" s="1318"/>
      <c r="J825" s="1254"/>
      <c r="K825" s="1254"/>
      <c r="L825" s="1254"/>
      <c r="M825" s="1254"/>
      <c r="N825" s="1318"/>
      <c r="O825" s="1386"/>
      <c r="P825" s="1254"/>
      <c r="Q825" s="1254"/>
      <c r="R825" s="1254"/>
      <c r="S825" s="1254"/>
      <c r="T825" s="1254"/>
      <c r="U825" s="1254"/>
      <c r="V825" s="1254"/>
      <c r="W825" s="1254"/>
      <c r="X825" s="1254"/>
      <c r="Y825" s="1254"/>
      <c r="Z825" s="1254"/>
    </row>
    <row r="826">
      <c r="A826" s="1254"/>
      <c r="B826" s="1254"/>
      <c r="C826" s="1320"/>
      <c r="D826" s="1254"/>
      <c r="E826" s="1254"/>
      <c r="F826" s="1263"/>
      <c r="G826" s="1317"/>
      <c r="H826" s="1254"/>
      <c r="I826" s="1318"/>
      <c r="J826" s="1254"/>
      <c r="K826" s="1254"/>
      <c r="L826" s="1254"/>
      <c r="M826" s="1254"/>
      <c r="N826" s="1318"/>
      <c r="O826" s="1386"/>
      <c r="P826" s="1254"/>
      <c r="Q826" s="1254"/>
      <c r="R826" s="1254"/>
      <c r="S826" s="1254"/>
      <c r="T826" s="1254"/>
      <c r="U826" s="1254"/>
      <c r="V826" s="1254"/>
      <c r="W826" s="1254"/>
      <c r="X826" s="1254"/>
      <c r="Y826" s="1254"/>
      <c r="Z826" s="1254"/>
    </row>
    <row r="827">
      <c r="A827" s="1254"/>
      <c r="B827" s="1254"/>
      <c r="C827" s="1320"/>
      <c r="D827" s="1254"/>
      <c r="E827" s="1254"/>
      <c r="F827" s="1263"/>
      <c r="G827" s="1317"/>
      <c r="H827" s="1254"/>
      <c r="I827" s="1318"/>
      <c r="J827" s="1254"/>
      <c r="K827" s="1254"/>
      <c r="L827" s="1254"/>
      <c r="M827" s="1254"/>
      <c r="N827" s="1318"/>
      <c r="O827" s="1386"/>
      <c r="P827" s="1254"/>
      <c r="Q827" s="1254"/>
      <c r="R827" s="1254"/>
      <c r="S827" s="1254"/>
      <c r="T827" s="1254"/>
      <c r="U827" s="1254"/>
      <c r="V827" s="1254"/>
      <c r="W827" s="1254"/>
      <c r="X827" s="1254"/>
      <c r="Y827" s="1254"/>
      <c r="Z827" s="1254"/>
    </row>
    <row r="828">
      <c r="A828" s="1254"/>
      <c r="B828" s="1254"/>
      <c r="C828" s="1320"/>
      <c r="D828" s="1254"/>
      <c r="E828" s="1254"/>
      <c r="F828" s="1263"/>
      <c r="G828" s="1317"/>
      <c r="H828" s="1254"/>
      <c r="I828" s="1318"/>
      <c r="J828" s="1254"/>
      <c r="K828" s="1254"/>
      <c r="L828" s="1254"/>
      <c r="M828" s="1254"/>
      <c r="N828" s="1318"/>
      <c r="O828" s="1386"/>
      <c r="P828" s="1254"/>
      <c r="Q828" s="1254"/>
      <c r="R828" s="1254"/>
      <c r="S828" s="1254"/>
      <c r="T828" s="1254"/>
      <c r="U828" s="1254"/>
      <c r="V828" s="1254"/>
      <c r="W828" s="1254"/>
      <c r="X828" s="1254"/>
      <c r="Y828" s="1254"/>
      <c r="Z828" s="1254"/>
    </row>
    <row r="829">
      <c r="A829" s="1254"/>
      <c r="B829" s="1254"/>
      <c r="C829" s="1320"/>
      <c r="D829" s="1254"/>
      <c r="E829" s="1254"/>
      <c r="F829" s="1263"/>
      <c r="G829" s="1317"/>
      <c r="H829" s="1254"/>
      <c r="I829" s="1318"/>
      <c r="J829" s="1254"/>
      <c r="K829" s="1254"/>
      <c r="L829" s="1254"/>
      <c r="M829" s="1254"/>
      <c r="N829" s="1318"/>
      <c r="O829" s="1386"/>
      <c r="P829" s="1254"/>
      <c r="Q829" s="1254"/>
      <c r="R829" s="1254"/>
      <c r="S829" s="1254"/>
      <c r="T829" s="1254"/>
      <c r="U829" s="1254"/>
      <c r="V829" s="1254"/>
      <c r="W829" s="1254"/>
      <c r="X829" s="1254"/>
      <c r="Y829" s="1254"/>
      <c r="Z829" s="1254"/>
    </row>
    <row r="830">
      <c r="A830" s="1254"/>
      <c r="B830" s="1254"/>
      <c r="C830" s="1320"/>
      <c r="D830" s="1254"/>
      <c r="E830" s="1254"/>
      <c r="F830" s="1263"/>
      <c r="G830" s="1317"/>
      <c r="H830" s="1254"/>
      <c r="I830" s="1318"/>
      <c r="J830" s="1254"/>
      <c r="K830" s="1254"/>
      <c r="L830" s="1254"/>
      <c r="M830" s="1254"/>
      <c r="N830" s="1318"/>
      <c r="O830" s="1386"/>
      <c r="P830" s="1254"/>
      <c r="Q830" s="1254"/>
      <c r="R830" s="1254"/>
      <c r="S830" s="1254"/>
      <c r="T830" s="1254"/>
      <c r="U830" s="1254"/>
      <c r="V830" s="1254"/>
      <c r="W830" s="1254"/>
      <c r="X830" s="1254"/>
      <c r="Y830" s="1254"/>
      <c r="Z830" s="1254"/>
    </row>
    <row r="831">
      <c r="A831" s="1254"/>
      <c r="B831" s="1254"/>
      <c r="C831" s="1320"/>
      <c r="D831" s="1254"/>
      <c r="E831" s="1254"/>
      <c r="F831" s="1263"/>
      <c r="G831" s="1317"/>
      <c r="H831" s="1254"/>
      <c r="I831" s="1318"/>
      <c r="J831" s="1254"/>
      <c r="K831" s="1254"/>
      <c r="L831" s="1254"/>
      <c r="M831" s="1254"/>
      <c r="N831" s="1318"/>
      <c r="O831" s="1386"/>
      <c r="P831" s="1254"/>
      <c r="Q831" s="1254"/>
      <c r="R831" s="1254"/>
      <c r="S831" s="1254"/>
      <c r="T831" s="1254"/>
      <c r="U831" s="1254"/>
      <c r="V831" s="1254"/>
      <c r="W831" s="1254"/>
      <c r="X831" s="1254"/>
      <c r="Y831" s="1254"/>
      <c r="Z831" s="1254"/>
    </row>
    <row r="832">
      <c r="A832" s="1254"/>
      <c r="B832" s="1254"/>
      <c r="C832" s="1320"/>
      <c r="D832" s="1254"/>
      <c r="E832" s="1254"/>
      <c r="F832" s="1263"/>
      <c r="G832" s="1317"/>
      <c r="H832" s="1254"/>
      <c r="I832" s="1318"/>
      <c r="J832" s="1254"/>
      <c r="K832" s="1254"/>
      <c r="L832" s="1254"/>
      <c r="M832" s="1254"/>
      <c r="N832" s="1318"/>
      <c r="O832" s="1386"/>
      <c r="P832" s="1254"/>
      <c r="Q832" s="1254"/>
      <c r="R832" s="1254"/>
      <c r="S832" s="1254"/>
      <c r="T832" s="1254"/>
      <c r="U832" s="1254"/>
      <c r="V832" s="1254"/>
      <c r="W832" s="1254"/>
      <c r="X832" s="1254"/>
      <c r="Y832" s="1254"/>
      <c r="Z832" s="1254"/>
    </row>
    <row r="833">
      <c r="A833" s="1254"/>
      <c r="B833" s="1254"/>
      <c r="C833" s="1320"/>
      <c r="D833" s="1254"/>
      <c r="E833" s="1254"/>
      <c r="F833" s="1263"/>
      <c r="G833" s="1317"/>
      <c r="H833" s="1254"/>
      <c r="I833" s="1318"/>
      <c r="J833" s="1254"/>
      <c r="K833" s="1254"/>
      <c r="L833" s="1254"/>
      <c r="M833" s="1254"/>
      <c r="N833" s="1318"/>
      <c r="O833" s="1386"/>
      <c r="P833" s="1254"/>
      <c r="Q833" s="1254"/>
      <c r="R833" s="1254"/>
      <c r="S833" s="1254"/>
      <c r="T833" s="1254"/>
      <c r="U833" s="1254"/>
      <c r="V833" s="1254"/>
      <c r="W833" s="1254"/>
      <c r="X833" s="1254"/>
      <c r="Y833" s="1254"/>
      <c r="Z833" s="1254"/>
    </row>
    <row r="834">
      <c r="A834" s="1254"/>
      <c r="B834" s="1254"/>
      <c r="C834" s="1320"/>
      <c r="D834" s="1254"/>
      <c r="E834" s="1254"/>
      <c r="F834" s="1263"/>
      <c r="G834" s="1317"/>
      <c r="H834" s="1254"/>
      <c r="I834" s="1318"/>
      <c r="J834" s="1254"/>
      <c r="K834" s="1254"/>
      <c r="L834" s="1254"/>
      <c r="M834" s="1254"/>
      <c r="N834" s="1318"/>
      <c r="O834" s="1386"/>
      <c r="P834" s="1254"/>
      <c r="Q834" s="1254"/>
      <c r="R834" s="1254"/>
      <c r="S834" s="1254"/>
      <c r="T834" s="1254"/>
      <c r="U834" s="1254"/>
      <c r="V834" s="1254"/>
      <c r="W834" s="1254"/>
      <c r="X834" s="1254"/>
      <c r="Y834" s="1254"/>
      <c r="Z834" s="1254"/>
    </row>
    <row r="835">
      <c r="A835" s="1254"/>
      <c r="B835" s="1254"/>
      <c r="C835" s="1320"/>
      <c r="D835" s="1254"/>
      <c r="E835" s="1254"/>
      <c r="F835" s="1263"/>
      <c r="G835" s="1317"/>
      <c r="H835" s="1254"/>
      <c r="I835" s="1318"/>
      <c r="J835" s="1254"/>
      <c r="K835" s="1254"/>
      <c r="L835" s="1254"/>
      <c r="M835" s="1254"/>
      <c r="N835" s="1318"/>
      <c r="O835" s="1386"/>
      <c r="P835" s="1254"/>
      <c r="Q835" s="1254"/>
      <c r="R835" s="1254"/>
      <c r="S835" s="1254"/>
      <c r="T835" s="1254"/>
      <c r="U835" s="1254"/>
      <c r="V835" s="1254"/>
      <c r="W835" s="1254"/>
      <c r="X835" s="1254"/>
      <c r="Y835" s="1254"/>
      <c r="Z835" s="1254"/>
    </row>
    <row r="836">
      <c r="A836" s="1254"/>
      <c r="B836" s="1254"/>
      <c r="C836" s="1320"/>
      <c r="D836" s="1254"/>
      <c r="E836" s="1254"/>
      <c r="F836" s="1263"/>
      <c r="G836" s="1317"/>
      <c r="H836" s="1254"/>
      <c r="I836" s="1318"/>
      <c r="J836" s="1254"/>
      <c r="K836" s="1254"/>
      <c r="L836" s="1254"/>
      <c r="M836" s="1254"/>
      <c r="N836" s="1318"/>
      <c r="O836" s="1386"/>
      <c r="P836" s="1254"/>
      <c r="Q836" s="1254"/>
      <c r="R836" s="1254"/>
      <c r="S836" s="1254"/>
      <c r="T836" s="1254"/>
      <c r="U836" s="1254"/>
      <c r="V836" s="1254"/>
      <c r="W836" s="1254"/>
      <c r="X836" s="1254"/>
      <c r="Y836" s="1254"/>
      <c r="Z836" s="1254"/>
    </row>
    <row r="837">
      <c r="A837" s="1254"/>
      <c r="B837" s="1254"/>
      <c r="C837" s="1320"/>
      <c r="D837" s="1254"/>
      <c r="E837" s="1254"/>
      <c r="F837" s="1263"/>
      <c r="G837" s="1317"/>
      <c r="H837" s="1254"/>
      <c r="I837" s="1318"/>
      <c r="J837" s="1254"/>
      <c r="K837" s="1254"/>
      <c r="L837" s="1254"/>
      <c r="M837" s="1254"/>
      <c r="N837" s="1318"/>
      <c r="O837" s="1386"/>
      <c r="P837" s="1254"/>
      <c r="Q837" s="1254"/>
      <c r="R837" s="1254"/>
      <c r="S837" s="1254"/>
      <c r="T837" s="1254"/>
      <c r="U837" s="1254"/>
      <c r="V837" s="1254"/>
      <c r="W837" s="1254"/>
      <c r="X837" s="1254"/>
      <c r="Y837" s="1254"/>
      <c r="Z837" s="1254"/>
    </row>
    <row r="838">
      <c r="A838" s="1254"/>
      <c r="B838" s="1254"/>
      <c r="C838" s="1320"/>
      <c r="D838" s="1254"/>
      <c r="E838" s="1254"/>
      <c r="F838" s="1263"/>
      <c r="G838" s="1317"/>
      <c r="H838" s="1254"/>
      <c r="I838" s="1318"/>
      <c r="J838" s="1254"/>
      <c r="K838" s="1254"/>
      <c r="L838" s="1254"/>
      <c r="M838" s="1254"/>
      <c r="N838" s="1318"/>
      <c r="O838" s="1386"/>
      <c r="P838" s="1254"/>
      <c r="Q838" s="1254"/>
      <c r="R838" s="1254"/>
      <c r="S838" s="1254"/>
      <c r="T838" s="1254"/>
      <c r="U838" s="1254"/>
      <c r="V838" s="1254"/>
      <c r="W838" s="1254"/>
      <c r="X838" s="1254"/>
      <c r="Y838" s="1254"/>
      <c r="Z838" s="1254"/>
    </row>
    <row r="839">
      <c r="A839" s="1254"/>
      <c r="B839" s="1254"/>
      <c r="C839" s="1320"/>
      <c r="D839" s="1254"/>
      <c r="E839" s="1254"/>
      <c r="F839" s="1263"/>
      <c r="G839" s="1317"/>
      <c r="H839" s="1254"/>
      <c r="I839" s="1318"/>
      <c r="J839" s="1254"/>
      <c r="K839" s="1254"/>
      <c r="L839" s="1254"/>
      <c r="M839" s="1254"/>
      <c r="N839" s="1318"/>
      <c r="O839" s="1386"/>
      <c r="P839" s="1254"/>
      <c r="Q839" s="1254"/>
      <c r="R839" s="1254"/>
      <c r="S839" s="1254"/>
      <c r="T839" s="1254"/>
      <c r="U839" s="1254"/>
      <c r="V839" s="1254"/>
      <c r="W839" s="1254"/>
      <c r="X839" s="1254"/>
      <c r="Y839" s="1254"/>
      <c r="Z839" s="1254"/>
    </row>
    <row r="840">
      <c r="A840" s="1254"/>
      <c r="B840" s="1254"/>
      <c r="C840" s="1320"/>
      <c r="D840" s="1254"/>
      <c r="E840" s="1254"/>
      <c r="F840" s="1263"/>
      <c r="G840" s="1317"/>
      <c r="H840" s="1254"/>
      <c r="I840" s="1318"/>
      <c r="J840" s="1254"/>
      <c r="K840" s="1254"/>
      <c r="L840" s="1254"/>
      <c r="M840" s="1254"/>
      <c r="N840" s="1318"/>
      <c r="O840" s="1386"/>
      <c r="P840" s="1254"/>
      <c r="Q840" s="1254"/>
      <c r="R840" s="1254"/>
      <c r="S840" s="1254"/>
      <c r="T840" s="1254"/>
      <c r="U840" s="1254"/>
      <c r="V840" s="1254"/>
      <c r="W840" s="1254"/>
      <c r="X840" s="1254"/>
      <c r="Y840" s="1254"/>
      <c r="Z840" s="1254"/>
    </row>
    <row r="841">
      <c r="A841" s="1254"/>
      <c r="B841" s="1254"/>
      <c r="C841" s="1320"/>
      <c r="D841" s="1254"/>
      <c r="E841" s="1254"/>
      <c r="F841" s="1263"/>
      <c r="G841" s="1317"/>
      <c r="H841" s="1254"/>
      <c r="I841" s="1318"/>
      <c r="J841" s="1254"/>
      <c r="K841" s="1254"/>
      <c r="L841" s="1254"/>
      <c r="M841" s="1254"/>
      <c r="N841" s="1318"/>
      <c r="O841" s="1386"/>
      <c r="P841" s="1254"/>
      <c r="Q841" s="1254"/>
      <c r="R841" s="1254"/>
      <c r="S841" s="1254"/>
      <c r="T841" s="1254"/>
      <c r="U841" s="1254"/>
      <c r="V841" s="1254"/>
      <c r="W841" s="1254"/>
      <c r="X841" s="1254"/>
      <c r="Y841" s="1254"/>
      <c r="Z841" s="1254"/>
    </row>
    <row r="842">
      <c r="A842" s="1254"/>
      <c r="B842" s="1254"/>
      <c r="C842" s="1320"/>
      <c r="D842" s="1254"/>
      <c r="E842" s="1254"/>
      <c r="F842" s="1263"/>
      <c r="G842" s="1317"/>
      <c r="H842" s="1254"/>
      <c r="I842" s="1318"/>
      <c r="J842" s="1254"/>
      <c r="K842" s="1254"/>
      <c r="L842" s="1254"/>
      <c r="M842" s="1254"/>
      <c r="N842" s="1318"/>
      <c r="O842" s="1386"/>
      <c r="P842" s="1254"/>
      <c r="Q842" s="1254"/>
      <c r="R842" s="1254"/>
      <c r="S842" s="1254"/>
      <c r="T842" s="1254"/>
      <c r="U842" s="1254"/>
      <c r="V842" s="1254"/>
      <c r="W842" s="1254"/>
      <c r="X842" s="1254"/>
      <c r="Y842" s="1254"/>
      <c r="Z842" s="1254"/>
    </row>
    <row r="843">
      <c r="A843" s="1254"/>
      <c r="B843" s="1254"/>
      <c r="C843" s="1320"/>
      <c r="D843" s="1254"/>
      <c r="E843" s="1254"/>
      <c r="F843" s="1263"/>
      <c r="G843" s="1317"/>
      <c r="H843" s="1254"/>
      <c r="I843" s="1318"/>
      <c r="J843" s="1254"/>
      <c r="K843" s="1254"/>
      <c r="L843" s="1254"/>
      <c r="M843" s="1254"/>
      <c r="N843" s="1318"/>
      <c r="O843" s="1386"/>
      <c r="P843" s="1254"/>
      <c r="Q843" s="1254"/>
      <c r="R843" s="1254"/>
      <c r="S843" s="1254"/>
      <c r="T843" s="1254"/>
      <c r="U843" s="1254"/>
      <c r="V843" s="1254"/>
      <c r="W843" s="1254"/>
      <c r="X843" s="1254"/>
      <c r="Y843" s="1254"/>
      <c r="Z843" s="1254"/>
    </row>
    <row r="844">
      <c r="A844" s="1254"/>
      <c r="B844" s="1254"/>
      <c r="C844" s="1320"/>
      <c r="D844" s="1254"/>
      <c r="E844" s="1254"/>
      <c r="F844" s="1263"/>
      <c r="G844" s="1317"/>
      <c r="H844" s="1254"/>
      <c r="I844" s="1318"/>
      <c r="J844" s="1254"/>
      <c r="K844" s="1254"/>
      <c r="L844" s="1254"/>
      <c r="M844" s="1254"/>
      <c r="N844" s="1318"/>
      <c r="O844" s="1386"/>
      <c r="P844" s="1254"/>
      <c r="Q844" s="1254"/>
      <c r="R844" s="1254"/>
      <c r="S844" s="1254"/>
      <c r="T844" s="1254"/>
      <c r="U844" s="1254"/>
      <c r="V844" s="1254"/>
      <c r="W844" s="1254"/>
      <c r="X844" s="1254"/>
      <c r="Y844" s="1254"/>
      <c r="Z844" s="1254"/>
    </row>
    <row r="845">
      <c r="A845" s="1254"/>
      <c r="B845" s="1254"/>
      <c r="C845" s="1320"/>
      <c r="D845" s="1254"/>
      <c r="E845" s="1254"/>
      <c r="F845" s="1263"/>
      <c r="G845" s="1317"/>
      <c r="H845" s="1254"/>
      <c r="I845" s="1318"/>
      <c r="J845" s="1254"/>
      <c r="K845" s="1254"/>
      <c r="L845" s="1254"/>
      <c r="M845" s="1254"/>
      <c r="N845" s="1318"/>
      <c r="O845" s="1386"/>
      <c r="P845" s="1254"/>
      <c r="Q845" s="1254"/>
      <c r="R845" s="1254"/>
      <c r="S845" s="1254"/>
      <c r="T845" s="1254"/>
      <c r="U845" s="1254"/>
      <c r="V845" s="1254"/>
      <c r="W845" s="1254"/>
      <c r="X845" s="1254"/>
      <c r="Y845" s="1254"/>
      <c r="Z845" s="1254"/>
    </row>
    <row r="846">
      <c r="A846" s="1254"/>
      <c r="B846" s="1254"/>
      <c r="C846" s="1320"/>
      <c r="D846" s="1254"/>
      <c r="E846" s="1254"/>
      <c r="F846" s="1263"/>
      <c r="G846" s="1317"/>
      <c r="H846" s="1254"/>
      <c r="I846" s="1318"/>
      <c r="J846" s="1254"/>
      <c r="K846" s="1254"/>
      <c r="L846" s="1254"/>
      <c r="M846" s="1254"/>
      <c r="N846" s="1318"/>
      <c r="O846" s="1386"/>
      <c r="P846" s="1254"/>
      <c r="Q846" s="1254"/>
      <c r="R846" s="1254"/>
      <c r="S846" s="1254"/>
      <c r="T846" s="1254"/>
      <c r="U846" s="1254"/>
      <c r="V846" s="1254"/>
      <c r="W846" s="1254"/>
      <c r="X846" s="1254"/>
      <c r="Y846" s="1254"/>
      <c r="Z846" s="1254"/>
    </row>
    <row r="847">
      <c r="A847" s="1254"/>
      <c r="B847" s="1254"/>
      <c r="C847" s="1320"/>
      <c r="D847" s="1254"/>
      <c r="E847" s="1254"/>
      <c r="F847" s="1263"/>
      <c r="G847" s="1317"/>
      <c r="H847" s="1254"/>
      <c r="I847" s="1318"/>
      <c r="J847" s="1254"/>
      <c r="K847" s="1254"/>
      <c r="L847" s="1254"/>
      <c r="M847" s="1254"/>
      <c r="N847" s="1318"/>
      <c r="O847" s="1386"/>
      <c r="P847" s="1254"/>
      <c r="Q847" s="1254"/>
      <c r="R847" s="1254"/>
      <c r="S847" s="1254"/>
      <c r="T847" s="1254"/>
      <c r="U847" s="1254"/>
      <c r="V847" s="1254"/>
      <c r="W847" s="1254"/>
      <c r="X847" s="1254"/>
      <c r="Y847" s="1254"/>
      <c r="Z847" s="1254"/>
    </row>
    <row r="848">
      <c r="A848" s="1254"/>
      <c r="B848" s="1254"/>
      <c r="C848" s="1320"/>
      <c r="D848" s="1254"/>
      <c r="E848" s="1254"/>
      <c r="F848" s="1263"/>
      <c r="G848" s="1317"/>
      <c r="H848" s="1254"/>
      <c r="I848" s="1318"/>
      <c r="J848" s="1254"/>
      <c r="K848" s="1254"/>
      <c r="L848" s="1254"/>
      <c r="M848" s="1254"/>
      <c r="N848" s="1318"/>
      <c r="O848" s="1386"/>
      <c r="P848" s="1254"/>
      <c r="Q848" s="1254"/>
      <c r="R848" s="1254"/>
      <c r="S848" s="1254"/>
      <c r="T848" s="1254"/>
      <c r="U848" s="1254"/>
      <c r="V848" s="1254"/>
      <c r="W848" s="1254"/>
      <c r="X848" s="1254"/>
      <c r="Y848" s="1254"/>
      <c r="Z848" s="1254"/>
    </row>
    <row r="849">
      <c r="A849" s="1254"/>
      <c r="B849" s="1254"/>
      <c r="C849" s="1320"/>
      <c r="D849" s="1254"/>
      <c r="E849" s="1254"/>
      <c r="F849" s="1263"/>
      <c r="G849" s="1317"/>
      <c r="H849" s="1254"/>
      <c r="I849" s="1318"/>
      <c r="J849" s="1254"/>
      <c r="K849" s="1254"/>
      <c r="L849" s="1254"/>
      <c r="M849" s="1254"/>
      <c r="N849" s="1318"/>
      <c r="O849" s="1386"/>
      <c r="P849" s="1254"/>
      <c r="Q849" s="1254"/>
      <c r="R849" s="1254"/>
      <c r="S849" s="1254"/>
      <c r="T849" s="1254"/>
      <c r="U849" s="1254"/>
      <c r="V849" s="1254"/>
      <c r="W849" s="1254"/>
      <c r="X849" s="1254"/>
      <c r="Y849" s="1254"/>
      <c r="Z849" s="1254"/>
    </row>
    <row r="850">
      <c r="A850" s="1254"/>
      <c r="B850" s="1254"/>
      <c r="C850" s="1320"/>
      <c r="D850" s="1254"/>
      <c r="E850" s="1254"/>
      <c r="F850" s="1263"/>
      <c r="G850" s="1317"/>
      <c r="H850" s="1254"/>
      <c r="I850" s="1318"/>
      <c r="J850" s="1254"/>
      <c r="K850" s="1254"/>
      <c r="L850" s="1254"/>
      <c r="M850" s="1254"/>
      <c r="N850" s="1318"/>
      <c r="O850" s="1386"/>
      <c r="P850" s="1254"/>
      <c r="Q850" s="1254"/>
      <c r="R850" s="1254"/>
      <c r="S850" s="1254"/>
      <c r="T850" s="1254"/>
      <c r="U850" s="1254"/>
      <c r="V850" s="1254"/>
      <c r="W850" s="1254"/>
      <c r="X850" s="1254"/>
      <c r="Y850" s="1254"/>
      <c r="Z850" s="1254"/>
    </row>
    <row r="851">
      <c r="A851" s="1254"/>
      <c r="B851" s="1254"/>
      <c r="C851" s="1320"/>
      <c r="D851" s="1254"/>
      <c r="E851" s="1254"/>
      <c r="F851" s="1263"/>
      <c r="G851" s="1317"/>
      <c r="H851" s="1254"/>
      <c r="I851" s="1318"/>
      <c r="J851" s="1254"/>
      <c r="K851" s="1254"/>
      <c r="L851" s="1254"/>
      <c r="M851" s="1254"/>
      <c r="N851" s="1318"/>
      <c r="O851" s="1386"/>
      <c r="P851" s="1254"/>
      <c r="Q851" s="1254"/>
      <c r="R851" s="1254"/>
      <c r="S851" s="1254"/>
      <c r="T851" s="1254"/>
      <c r="U851" s="1254"/>
      <c r="V851" s="1254"/>
      <c r="W851" s="1254"/>
      <c r="X851" s="1254"/>
      <c r="Y851" s="1254"/>
      <c r="Z851" s="1254"/>
    </row>
    <row r="852">
      <c r="A852" s="1254"/>
      <c r="B852" s="1254"/>
      <c r="C852" s="1320"/>
      <c r="D852" s="1254"/>
      <c r="E852" s="1254"/>
      <c r="F852" s="1263"/>
      <c r="G852" s="1317"/>
      <c r="H852" s="1254"/>
      <c r="I852" s="1318"/>
      <c r="J852" s="1254"/>
      <c r="K852" s="1254"/>
      <c r="L852" s="1254"/>
      <c r="M852" s="1254"/>
      <c r="N852" s="1318"/>
      <c r="O852" s="1386"/>
      <c r="P852" s="1254"/>
      <c r="Q852" s="1254"/>
      <c r="R852" s="1254"/>
      <c r="S852" s="1254"/>
      <c r="T852" s="1254"/>
      <c r="U852" s="1254"/>
      <c r="V852" s="1254"/>
      <c r="W852" s="1254"/>
      <c r="X852" s="1254"/>
      <c r="Y852" s="1254"/>
      <c r="Z852" s="1254"/>
    </row>
    <row r="853">
      <c r="A853" s="1254"/>
      <c r="B853" s="1254"/>
      <c r="C853" s="1320"/>
      <c r="D853" s="1254"/>
      <c r="E853" s="1254"/>
      <c r="F853" s="1263"/>
      <c r="G853" s="1317"/>
      <c r="H853" s="1254"/>
      <c r="I853" s="1318"/>
      <c r="J853" s="1254"/>
      <c r="K853" s="1254"/>
      <c r="L853" s="1254"/>
      <c r="M853" s="1254"/>
      <c r="N853" s="1318"/>
      <c r="O853" s="1386"/>
      <c r="P853" s="1254"/>
      <c r="Q853" s="1254"/>
      <c r="R853" s="1254"/>
      <c r="S853" s="1254"/>
      <c r="T853" s="1254"/>
      <c r="U853" s="1254"/>
      <c r="V853" s="1254"/>
      <c r="W853" s="1254"/>
      <c r="X853" s="1254"/>
      <c r="Y853" s="1254"/>
      <c r="Z853" s="1254"/>
    </row>
    <row r="854">
      <c r="A854" s="1254"/>
      <c r="B854" s="1254"/>
      <c r="C854" s="1320"/>
      <c r="D854" s="1254"/>
      <c r="E854" s="1254"/>
      <c r="F854" s="1263"/>
      <c r="G854" s="1317"/>
      <c r="H854" s="1254"/>
      <c r="I854" s="1318"/>
      <c r="J854" s="1254"/>
      <c r="K854" s="1254"/>
      <c r="L854" s="1254"/>
      <c r="M854" s="1254"/>
      <c r="N854" s="1318"/>
      <c r="O854" s="1386"/>
      <c r="P854" s="1254"/>
      <c r="Q854" s="1254"/>
      <c r="R854" s="1254"/>
      <c r="S854" s="1254"/>
      <c r="T854" s="1254"/>
      <c r="U854" s="1254"/>
      <c r="V854" s="1254"/>
      <c r="W854" s="1254"/>
      <c r="X854" s="1254"/>
      <c r="Y854" s="1254"/>
      <c r="Z854" s="1254"/>
    </row>
    <row r="855">
      <c r="A855" s="1254"/>
      <c r="B855" s="1254"/>
      <c r="C855" s="1320"/>
      <c r="D855" s="1254"/>
      <c r="E855" s="1254"/>
      <c r="F855" s="1263"/>
      <c r="G855" s="1317"/>
      <c r="H855" s="1254"/>
      <c r="I855" s="1318"/>
      <c r="J855" s="1254"/>
      <c r="K855" s="1254"/>
      <c r="L855" s="1254"/>
      <c r="M855" s="1254"/>
      <c r="N855" s="1318"/>
      <c r="O855" s="1386"/>
      <c r="P855" s="1254"/>
      <c r="Q855" s="1254"/>
      <c r="R855" s="1254"/>
      <c r="S855" s="1254"/>
      <c r="T855" s="1254"/>
      <c r="U855" s="1254"/>
      <c r="V855" s="1254"/>
      <c r="W855" s="1254"/>
      <c r="X855" s="1254"/>
      <c r="Y855" s="1254"/>
      <c r="Z855" s="1254"/>
    </row>
    <row r="856">
      <c r="A856" s="1254"/>
      <c r="B856" s="1254"/>
      <c r="C856" s="1320"/>
      <c r="D856" s="1254"/>
      <c r="E856" s="1254"/>
      <c r="F856" s="1263"/>
      <c r="G856" s="1317"/>
      <c r="H856" s="1254"/>
      <c r="I856" s="1318"/>
      <c r="J856" s="1254"/>
      <c r="K856" s="1254"/>
      <c r="L856" s="1254"/>
      <c r="M856" s="1254"/>
      <c r="N856" s="1318"/>
      <c r="O856" s="1386"/>
      <c r="P856" s="1254"/>
      <c r="Q856" s="1254"/>
      <c r="R856" s="1254"/>
      <c r="S856" s="1254"/>
      <c r="T856" s="1254"/>
      <c r="U856" s="1254"/>
      <c r="V856" s="1254"/>
      <c r="W856" s="1254"/>
      <c r="X856" s="1254"/>
      <c r="Y856" s="1254"/>
      <c r="Z856" s="1254"/>
    </row>
    <row r="857">
      <c r="A857" s="1254"/>
      <c r="B857" s="1254"/>
      <c r="C857" s="1320"/>
      <c r="D857" s="1254"/>
      <c r="E857" s="1254"/>
      <c r="F857" s="1263"/>
      <c r="G857" s="1317"/>
      <c r="H857" s="1254"/>
      <c r="I857" s="1318"/>
      <c r="J857" s="1254"/>
      <c r="K857" s="1254"/>
      <c r="L857" s="1254"/>
      <c r="M857" s="1254"/>
      <c r="N857" s="1318"/>
      <c r="O857" s="1386"/>
      <c r="P857" s="1254"/>
      <c r="Q857" s="1254"/>
      <c r="R857" s="1254"/>
      <c r="S857" s="1254"/>
      <c r="T857" s="1254"/>
      <c r="U857" s="1254"/>
      <c r="V857" s="1254"/>
      <c r="W857" s="1254"/>
      <c r="X857" s="1254"/>
      <c r="Y857" s="1254"/>
      <c r="Z857" s="1254"/>
    </row>
    <row r="858">
      <c r="A858" s="1254"/>
      <c r="B858" s="1254"/>
      <c r="C858" s="1320"/>
      <c r="D858" s="1254"/>
      <c r="E858" s="1254"/>
      <c r="F858" s="1263"/>
      <c r="G858" s="1317"/>
      <c r="H858" s="1254"/>
      <c r="I858" s="1318"/>
      <c r="J858" s="1254"/>
      <c r="K858" s="1254"/>
      <c r="L858" s="1254"/>
      <c r="M858" s="1254"/>
      <c r="N858" s="1318"/>
      <c r="O858" s="1386"/>
      <c r="P858" s="1254"/>
      <c r="Q858" s="1254"/>
      <c r="R858" s="1254"/>
      <c r="S858" s="1254"/>
      <c r="T858" s="1254"/>
      <c r="U858" s="1254"/>
      <c r="V858" s="1254"/>
      <c r="W858" s="1254"/>
      <c r="X858" s="1254"/>
      <c r="Y858" s="1254"/>
      <c r="Z858" s="1254"/>
    </row>
    <row r="859">
      <c r="A859" s="1254"/>
      <c r="B859" s="1254"/>
      <c r="C859" s="1320"/>
      <c r="D859" s="1254"/>
      <c r="E859" s="1254"/>
      <c r="F859" s="1263"/>
      <c r="G859" s="1317"/>
      <c r="H859" s="1254"/>
      <c r="I859" s="1318"/>
      <c r="J859" s="1254"/>
      <c r="K859" s="1254"/>
      <c r="L859" s="1254"/>
      <c r="M859" s="1254"/>
      <c r="N859" s="1318"/>
      <c r="O859" s="1386"/>
      <c r="P859" s="1254"/>
      <c r="Q859" s="1254"/>
      <c r="R859" s="1254"/>
      <c r="S859" s="1254"/>
      <c r="T859" s="1254"/>
      <c r="U859" s="1254"/>
      <c r="V859" s="1254"/>
      <c r="W859" s="1254"/>
      <c r="X859" s="1254"/>
      <c r="Y859" s="1254"/>
      <c r="Z859" s="1254"/>
    </row>
    <row r="860">
      <c r="A860" s="1254"/>
      <c r="B860" s="1254"/>
      <c r="C860" s="1320"/>
      <c r="D860" s="1254"/>
      <c r="E860" s="1254"/>
      <c r="F860" s="1263"/>
      <c r="G860" s="1317"/>
      <c r="H860" s="1254"/>
      <c r="I860" s="1318"/>
      <c r="J860" s="1254"/>
      <c r="K860" s="1254"/>
      <c r="L860" s="1254"/>
      <c r="M860" s="1254"/>
      <c r="N860" s="1318"/>
      <c r="O860" s="1386"/>
      <c r="P860" s="1254"/>
      <c r="Q860" s="1254"/>
      <c r="R860" s="1254"/>
      <c r="S860" s="1254"/>
      <c r="T860" s="1254"/>
      <c r="U860" s="1254"/>
      <c r="V860" s="1254"/>
      <c r="W860" s="1254"/>
      <c r="X860" s="1254"/>
      <c r="Y860" s="1254"/>
      <c r="Z860" s="1254"/>
    </row>
    <row r="861">
      <c r="A861" s="1254"/>
      <c r="B861" s="1254"/>
      <c r="C861" s="1320"/>
      <c r="D861" s="1254"/>
      <c r="E861" s="1254"/>
      <c r="F861" s="1263"/>
      <c r="G861" s="1317"/>
      <c r="H861" s="1254"/>
      <c r="I861" s="1318"/>
      <c r="J861" s="1254"/>
      <c r="K861" s="1254"/>
      <c r="L861" s="1254"/>
      <c r="M861" s="1254"/>
      <c r="N861" s="1318"/>
      <c r="O861" s="1386"/>
      <c r="P861" s="1254"/>
      <c r="Q861" s="1254"/>
      <c r="R861" s="1254"/>
      <c r="S861" s="1254"/>
      <c r="T861" s="1254"/>
      <c r="U861" s="1254"/>
      <c r="V861" s="1254"/>
      <c r="W861" s="1254"/>
      <c r="X861" s="1254"/>
      <c r="Y861" s="1254"/>
      <c r="Z861" s="1254"/>
    </row>
    <row r="862">
      <c r="A862" s="1254"/>
      <c r="B862" s="1254"/>
      <c r="C862" s="1320"/>
      <c r="D862" s="1254"/>
      <c r="E862" s="1254"/>
      <c r="F862" s="1263"/>
      <c r="G862" s="1317"/>
      <c r="H862" s="1254"/>
      <c r="I862" s="1318"/>
      <c r="J862" s="1254"/>
      <c r="K862" s="1254"/>
      <c r="L862" s="1254"/>
      <c r="M862" s="1254"/>
      <c r="N862" s="1318"/>
      <c r="O862" s="1386"/>
      <c r="P862" s="1254"/>
      <c r="Q862" s="1254"/>
      <c r="R862" s="1254"/>
      <c r="S862" s="1254"/>
      <c r="T862" s="1254"/>
      <c r="U862" s="1254"/>
      <c r="V862" s="1254"/>
      <c r="W862" s="1254"/>
      <c r="X862" s="1254"/>
      <c r="Y862" s="1254"/>
      <c r="Z862" s="1254"/>
    </row>
    <row r="863">
      <c r="A863" s="1254"/>
      <c r="B863" s="1254"/>
      <c r="C863" s="1320"/>
      <c r="D863" s="1254"/>
      <c r="E863" s="1254"/>
      <c r="F863" s="1263"/>
      <c r="G863" s="1317"/>
      <c r="H863" s="1254"/>
      <c r="I863" s="1318"/>
      <c r="J863" s="1254"/>
      <c r="K863" s="1254"/>
      <c r="L863" s="1254"/>
      <c r="M863" s="1254"/>
      <c r="N863" s="1318"/>
      <c r="O863" s="1386"/>
      <c r="P863" s="1254"/>
      <c r="Q863" s="1254"/>
      <c r="R863" s="1254"/>
      <c r="S863" s="1254"/>
      <c r="T863" s="1254"/>
      <c r="U863" s="1254"/>
      <c r="V863" s="1254"/>
      <c r="W863" s="1254"/>
      <c r="X863" s="1254"/>
      <c r="Y863" s="1254"/>
      <c r="Z863" s="1254"/>
    </row>
    <row r="864">
      <c r="A864" s="1254"/>
      <c r="B864" s="1254"/>
      <c r="C864" s="1320"/>
      <c r="D864" s="1254"/>
      <c r="E864" s="1254"/>
      <c r="F864" s="1263"/>
      <c r="G864" s="1317"/>
      <c r="H864" s="1254"/>
      <c r="I864" s="1318"/>
      <c r="J864" s="1254"/>
      <c r="K864" s="1254"/>
      <c r="L864" s="1254"/>
      <c r="M864" s="1254"/>
      <c r="N864" s="1318"/>
      <c r="O864" s="1386"/>
      <c r="P864" s="1254"/>
      <c r="Q864" s="1254"/>
      <c r="R864" s="1254"/>
      <c r="S864" s="1254"/>
      <c r="T864" s="1254"/>
      <c r="U864" s="1254"/>
      <c r="V864" s="1254"/>
      <c r="W864" s="1254"/>
      <c r="X864" s="1254"/>
      <c r="Y864" s="1254"/>
      <c r="Z864" s="1254"/>
    </row>
    <row r="865">
      <c r="A865" s="1254"/>
      <c r="B865" s="1254"/>
      <c r="C865" s="1320"/>
      <c r="D865" s="1254"/>
      <c r="E865" s="1254"/>
      <c r="F865" s="1263"/>
      <c r="G865" s="1317"/>
      <c r="H865" s="1254"/>
      <c r="I865" s="1318"/>
      <c r="J865" s="1254"/>
      <c r="K865" s="1254"/>
      <c r="L865" s="1254"/>
      <c r="M865" s="1254"/>
      <c r="N865" s="1318"/>
      <c r="O865" s="1386"/>
      <c r="P865" s="1254"/>
      <c r="Q865" s="1254"/>
      <c r="R865" s="1254"/>
      <c r="S865" s="1254"/>
      <c r="T865" s="1254"/>
      <c r="U865" s="1254"/>
      <c r="V865" s="1254"/>
      <c r="W865" s="1254"/>
      <c r="X865" s="1254"/>
      <c r="Y865" s="1254"/>
      <c r="Z865" s="1254"/>
    </row>
    <row r="866">
      <c r="A866" s="1254"/>
      <c r="B866" s="1254"/>
      <c r="C866" s="1320"/>
      <c r="D866" s="1254"/>
      <c r="E866" s="1254"/>
      <c r="F866" s="1263"/>
      <c r="G866" s="1317"/>
      <c r="H866" s="1254"/>
      <c r="I866" s="1318"/>
      <c r="J866" s="1254"/>
      <c r="K866" s="1254"/>
      <c r="L866" s="1254"/>
      <c r="M866" s="1254"/>
      <c r="N866" s="1318"/>
      <c r="O866" s="1386"/>
      <c r="P866" s="1254"/>
      <c r="Q866" s="1254"/>
      <c r="R866" s="1254"/>
      <c r="S866" s="1254"/>
      <c r="T866" s="1254"/>
      <c r="U866" s="1254"/>
      <c r="V866" s="1254"/>
      <c r="W866" s="1254"/>
      <c r="X866" s="1254"/>
      <c r="Y866" s="1254"/>
      <c r="Z866" s="1254"/>
    </row>
    <row r="867">
      <c r="A867" s="1254"/>
      <c r="B867" s="1254"/>
      <c r="C867" s="1320"/>
      <c r="D867" s="1254"/>
      <c r="E867" s="1254"/>
      <c r="F867" s="1263"/>
      <c r="G867" s="1317"/>
      <c r="H867" s="1254"/>
      <c r="I867" s="1318"/>
      <c r="J867" s="1254"/>
      <c r="K867" s="1254"/>
      <c r="L867" s="1254"/>
      <c r="M867" s="1254"/>
      <c r="N867" s="1318"/>
      <c r="O867" s="1386"/>
      <c r="P867" s="1254"/>
      <c r="Q867" s="1254"/>
      <c r="R867" s="1254"/>
      <c r="S867" s="1254"/>
      <c r="T867" s="1254"/>
      <c r="U867" s="1254"/>
      <c r="V867" s="1254"/>
      <c r="W867" s="1254"/>
      <c r="X867" s="1254"/>
      <c r="Y867" s="1254"/>
      <c r="Z867" s="1254"/>
    </row>
    <row r="868">
      <c r="A868" s="1254"/>
      <c r="B868" s="1254"/>
      <c r="C868" s="1320"/>
      <c r="D868" s="1254"/>
      <c r="E868" s="1254"/>
      <c r="F868" s="1263"/>
      <c r="G868" s="1317"/>
      <c r="H868" s="1254"/>
      <c r="I868" s="1318"/>
      <c r="J868" s="1254"/>
      <c r="K868" s="1254"/>
      <c r="L868" s="1254"/>
      <c r="M868" s="1254"/>
      <c r="N868" s="1318"/>
      <c r="O868" s="1386"/>
      <c r="P868" s="1254"/>
      <c r="Q868" s="1254"/>
      <c r="R868" s="1254"/>
      <c r="S868" s="1254"/>
      <c r="T868" s="1254"/>
      <c r="U868" s="1254"/>
      <c r="V868" s="1254"/>
      <c r="W868" s="1254"/>
      <c r="X868" s="1254"/>
      <c r="Y868" s="1254"/>
      <c r="Z868" s="1254"/>
    </row>
    <row r="869">
      <c r="A869" s="1254"/>
      <c r="B869" s="1254"/>
      <c r="C869" s="1320"/>
      <c r="D869" s="1254"/>
      <c r="E869" s="1254"/>
      <c r="F869" s="1263"/>
      <c r="G869" s="1317"/>
      <c r="H869" s="1254"/>
      <c r="I869" s="1318"/>
      <c r="J869" s="1254"/>
      <c r="K869" s="1254"/>
      <c r="L869" s="1254"/>
      <c r="M869" s="1254"/>
      <c r="N869" s="1318"/>
      <c r="O869" s="1386"/>
      <c r="P869" s="1254"/>
      <c r="Q869" s="1254"/>
      <c r="R869" s="1254"/>
      <c r="S869" s="1254"/>
      <c r="T869" s="1254"/>
      <c r="U869" s="1254"/>
      <c r="V869" s="1254"/>
      <c r="W869" s="1254"/>
      <c r="X869" s="1254"/>
      <c r="Y869" s="1254"/>
      <c r="Z869" s="1254"/>
    </row>
    <row r="870">
      <c r="A870" s="1254"/>
      <c r="B870" s="1254"/>
      <c r="C870" s="1320"/>
      <c r="D870" s="1254"/>
      <c r="E870" s="1254"/>
      <c r="F870" s="1263"/>
      <c r="G870" s="1317"/>
      <c r="H870" s="1254"/>
      <c r="I870" s="1318"/>
      <c r="J870" s="1254"/>
      <c r="K870" s="1254"/>
      <c r="L870" s="1254"/>
      <c r="M870" s="1254"/>
      <c r="N870" s="1318"/>
      <c r="O870" s="1386"/>
      <c r="P870" s="1254"/>
      <c r="Q870" s="1254"/>
      <c r="R870" s="1254"/>
      <c r="S870" s="1254"/>
      <c r="T870" s="1254"/>
      <c r="U870" s="1254"/>
      <c r="V870" s="1254"/>
      <c r="W870" s="1254"/>
      <c r="X870" s="1254"/>
      <c r="Y870" s="1254"/>
      <c r="Z870" s="1254"/>
    </row>
    <row r="871">
      <c r="A871" s="1254"/>
      <c r="B871" s="1254"/>
      <c r="C871" s="1320"/>
      <c r="D871" s="1254"/>
      <c r="E871" s="1254"/>
      <c r="F871" s="1263"/>
      <c r="G871" s="1317"/>
      <c r="H871" s="1254"/>
      <c r="I871" s="1318"/>
      <c r="J871" s="1254"/>
      <c r="K871" s="1254"/>
      <c r="L871" s="1254"/>
      <c r="M871" s="1254"/>
      <c r="N871" s="1318"/>
      <c r="O871" s="1386"/>
      <c r="P871" s="1254"/>
      <c r="Q871" s="1254"/>
      <c r="R871" s="1254"/>
      <c r="S871" s="1254"/>
      <c r="T871" s="1254"/>
      <c r="U871" s="1254"/>
      <c r="V871" s="1254"/>
      <c r="W871" s="1254"/>
      <c r="X871" s="1254"/>
      <c r="Y871" s="1254"/>
      <c r="Z871" s="1254"/>
    </row>
    <row r="872">
      <c r="A872" s="1254"/>
      <c r="B872" s="1254"/>
      <c r="C872" s="1320"/>
      <c r="D872" s="1254"/>
      <c r="E872" s="1254"/>
      <c r="F872" s="1263"/>
      <c r="G872" s="1317"/>
      <c r="H872" s="1254"/>
      <c r="I872" s="1318"/>
      <c r="J872" s="1254"/>
      <c r="K872" s="1254"/>
      <c r="L872" s="1254"/>
      <c r="M872" s="1254"/>
      <c r="N872" s="1318"/>
      <c r="O872" s="1386"/>
      <c r="P872" s="1254"/>
      <c r="Q872" s="1254"/>
      <c r="R872" s="1254"/>
      <c r="S872" s="1254"/>
      <c r="T872" s="1254"/>
      <c r="U872" s="1254"/>
      <c r="V872" s="1254"/>
      <c r="W872" s="1254"/>
      <c r="X872" s="1254"/>
      <c r="Y872" s="1254"/>
      <c r="Z872" s="1254"/>
    </row>
    <row r="873">
      <c r="A873" s="1254"/>
      <c r="B873" s="1254"/>
      <c r="C873" s="1320"/>
      <c r="D873" s="1254"/>
      <c r="E873" s="1254"/>
      <c r="F873" s="1263"/>
      <c r="G873" s="1317"/>
      <c r="H873" s="1254"/>
      <c r="I873" s="1318"/>
      <c r="J873" s="1254"/>
      <c r="K873" s="1254"/>
      <c r="L873" s="1254"/>
      <c r="M873" s="1254"/>
      <c r="N873" s="1318"/>
      <c r="O873" s="1386"/>
      <c r="P873" s="1254"/>
      <c r="Q873" s="1254"/>
      <c r="R873" s="1254"/>
      <c r="S873" s="1254"/>
      <c r="T873" s="1254"/>
      <c r="U873" s="1254"/>
      <c r="V873" s="1254"/>
      <c r="W873" s="1254"/>
      <c r="X873" s="1254"/>
      <c r="Y873" s="1254"/>
      <c r="Z873" s="1254"/>
    </row>
    <row r="874">
      <c r="A874" s="1254"/>
      <c r="B874" s="1254"/>
      <c r="C874" s="1320"/>
      <c r="D874" s="1254"/>
      <c r="E874" s="1254"/>
      <c r="F874" s="1263"/>
      <c r="G874" s="1317"/>
      <c r="H874" s="1254"/>
      <c r="I874" s="1318"/>
      <c r="J874" s="1254"/>
      <c r="K874" s="1254"/>
      <c r="L874" s="1254"/>
      <c r="M874" s="1254"/>
      <c r="N874" s="1318"/>
      <c r="O874" s="1386"/>
      <c r="P874" s="1254"/>
      <c r="Q874" s="1254"/>
      <c r="R874" s="1254"/>
      <c r="S874" s="1254"/>
      <c r="T874" s="1254"/>
      <c r="U874" s="1254"/>
      <c r="V874" s="1254"/>
      <c r="W874" s="1254"/>
      <c r="X874" s="1254"/>
      <c r="Y874" s="1254"/>
      <c r="Z874" s="1254"/>
    </row>
    <row r="875">
      <c r="A875" s="1254"/>
      <c r="B875" s="1254"/>
      <c r="C875" s="1320"/>
      <c r="D875" s="1254"/>
      <c r="E875" s="1254"/>
      <c r="F875" s="1263"/>
      <c r="G875" s="1317"/>
      <c r="H875" s="1254"/>
      <c r="I875" s="1318"/>
      <c r="J875" s="1254"/>
      <c r="K875" s="1254"/>
      <c r="L875" s="1254"/>
      <c r="M875" s="1254"/>
      <c r="N875" s="1318"/>
      <c r="O875" s="1386"/>
      <c r="P875" s="1254"/>
      <c r="Q875" s="1254"/>
      <c r="R875" s="1254"/>
      <c r="S875" s="1254"/>
      <c r="T875" s="1254"/>
      <c r="U875" s="1254"/>
      <c r="V875" s="1254"/>
      <c r="W875" s="1254"/>
      <c r="X875" s="1254"/>
      <c r="Y875" s="1254"/>
      <c r="Z875" s="1254"/>
    </row>
    <row r="876">
      <c r="A876" s="1254"/>
      <c r="B876" s="1254"/>
      <c r="C876" s="1320"/>
      <c r="D876" s="1254"/>
      <c r="E876" s="1254"/>
      <c r="F876" s="1263"/>
      <c r="G876" s="1317"/>
      <c r="H876" s="1254"/>
      <c r="I876" s="1318"/>
      <c r="J876" s="1254"/>
      <c r="K876" s="1254"/>
      <c r="L876" s="1254"/>
      <c r="M876" s="1254"/>
      <c r="N876" s="1318"/>
      <c r="O876" s="1386"/>
      <c r="P876" s="1254"/>
      <c r="Q876" s="1254"/>
      <c r="R876" s="1254"/>
      <c r="S876" s="1254"/>
      <c r="T876" s="1254"/>
      <c r="U876" s="1254"/>
      <c r="V876" s="1254"/>
      <c r="W876" s="1254"/>
      <c r="X876" s="1254"/>
      <c r="Y876" s="1254"/>
      <c r="Z876" s="1254"/>
    </row>
    <row r="877">
      <c r="A877" s="1254"/>
      <c r="B877" s="1254"/>
      <c r="C877" s="1320"/>
      <c r="D877" s="1254"/>
      <c r="E877" s="1254"/>
      <c r="F877" s="1263"/>
      <c r="G877" s="1317"/>
      <c r="H877" s="1254"/>
      <c r="I877" s="1318"/>
      <c r="J877" s="1254"/>
      <c r="K877" s="1254"/>
      <c r="L877" s="1254"/>
      <c r="M877" s="1254"/>
      <c r="N877" s="1318"/>
      <c r="O877" s="1386"/>
      <c r="P877" s="1254"/>
      <c r="Q877" s="1254"/>
      <c r="R877" s="1254"/>
      <c r="S877" s="1254"/>
      <c r="T877" s="1254"/>
      <c r="U877" s="1254"/>
      <c r="V877" s="1254"/>
      <c r="W877" s="1254"/>
      <c r="X877" s="1254"/>
      <c r="Y877" s="1254"/>
      <c r="Z877" s="1254"/>
    </row>
    <row r="878">
      <c r="A878" s="1254"/>
      <c r="B878" s="1254"/>
      <c r="C878" s="1320"/>
      <c r="D878" s="1254"/>
      <c r="E878" s="1254"/>
      <c r="F878" s="1263"/>
      <c r="G878" s="1317"/>
      <c r="H878" s="1254"/>
      <c r="I878" s="1318"/>
      <c r="J878" s="1254"/>
      <c r="K878" s="1254"/>
      <c r="L878" s="1254"/>
      <c r="M878" s="1254"/>
      <c r="N878" s="1318"/>
      <c r="O878" s="1386"/>
      <c r="P878" s="1254"/>
      <c r="Q878" s="1254"/>
      <c r="R878" s="1254"/>
      <c r="S878" s="1254"/>
      <c r="T878" s="1254"/>
      <c r="U878" s="1254"/>
      <c r="V878" s="1254"/>
      <c r="W878" s="1254"/>
      <c r="X878" s="1254"/>
      <c r="Y878" s="1254"/>
      <c r="Z878" s="1254"/>
    </row>
    <row r="879">
      <c r="A879" s="1254"/>
      <c r="B879" s="1254"/>
      <c r="C879" s="1320"/>
      <c r="D879" s="1254"/>
      <c r="E879" s="1254"/>
      <c r="F879" s="1263"/>
      <c r="G879" s="1317"/>
      <c r="H879" s="1254"/>
      <c r="I879" s="1318"/>
      <c r="J879" s="1254"/>
      <c r="K879" s="1254"/>
      <c r="L879" s="1254"/>
      <c r="M879" s="1254"/>
      <c r="N879" s="1318"/>
      <c r="O879" s="1386"/>
      <c r="P879" s="1254"/>
      <c r="Q879" s="1254"/>
      <c r="R879" s="1254"/>
      <c r="S879" s="1254"/>
      <c r="T879" s="1254"/>
      <c r="U879" s="1254"/>
      <c r="V879" s="1254"/>
      <c r="W879" s="1254"/>
      <c r="X879" s="1254"/>
      <c r="Y879" s="1254"/>
      <c r="Z879" s="1254"/>
    </row>
    <row r="880">
      <c r="A880" s="1254"/>
      <c r="B880" s="1254"/>
      <c r="C880" s="1320"/>
      <c r="D880" s="1254"/>
      <c r="E880" s="1254"/>
      <c r="F880" s="1263"/>
      <c r="G880" s="1317"/>
      <c r="H880" s="1254"/>
      <c r="I880" s="1318"/>
      <c r="J880" s="1254"/>
      <c r="K880" s="1254"/>
      <c r="L880" s="1254"/>
      <c r="M880" s="1254"/>
      <c r="N880" s="1318"/>
      <c r="O880" s="1386"/>
      <c r="P880" s="1254"/>
      <c r="Q880" s="1254"/>
      <c r="R880" s="1254"/>
      <c r="S880" s="1254"/>
      <c r="T880" s="1254"/>
      <c r="U880" s="1254"/>
      <c r="V880" s="1254"/>
      <c r="W880" s="1254"/>
      <c r="X880" s="1254"/>
      <c r="Y880" s="1254"/>
      <c r="Z880" s="1254"/>
    </row>
    <row r="881">
      <c r="A881" s="1254"/>
      <c r="B881" s="1254"/>
      <c r="C881" s="1320"/>
      <c r="D881" s="1254"/>
      <c r="E881" s="1254"/>
      <c r="F881" s="1263"/>
      <c r="G881" s="1317"/>
      <c r="H881" s="1254"/>
      <c r="I881" s="1318"/>
      <c r="J881" s="1254"/>
      <c r="K881" s="1254"/>
      <c r="L881" s="1254"/>
      <c r="M881" s="1254"/>
      <c r="N881" s="1318"/>
      <c r="O881" s="1386"/>
      <c r="P881" s="1254"/>
      <c r="Q881" s="1254"/>
      <c r="R881" s="1254"/>
      <c r="S881" s="1254"/>
      <c r="T881" s="1254"/>
      <c r="U881" s="1254"/>
      <c r="V881" s="1254"/>
      <c r="W881" s="1254"/>
      <c r="X881" s="1254"/>
      <c r="Y881" s="1254"/>
      <c r="Z881" s="1254"/>
    </row>
    <row r="882">
      <c r="A882" s="1254"/>
      <c r="B882" s="1254"/>
      <c r="C882" s="1320"/>
      <c r="D882" s="1254"/>
      <c r="E882" s="1254"/>
      <c r="F882" s="1263"/>
      <c r="G882" s="1317"/>
      <c r="H882" s="1254"/>
      <c r="I882" s="1318"/>
      <c r="J882" s="1254"/>
      <c r="K882" s="1254"/>
      <c r="L882" s="1254"/>
      <c r="M882" s="1254"/>
      <c r="N882" s="1318"/>
      <c r="O882" s="1386"/>
      <c r="P882" s="1254"/>
      <c r="Q882" s="1254"/>
      <c r="R882" s="1254"/>
      <c r="S882" s="1254"/>
      <c r="T882" s="1254"/>
      <c r="U882" s="1254"/>
      <c r="V882" s="1254"/>
      <c r="W882" s="1254"/>
      <c r="X882" s="1254"/>
      <c r="Y882" s="1254"/>
      <c r="Z882" s="1254"/>
    </row>
    <row r="883">
      <c r="A883" s="1254"/>
      <c r="B883" s="1254"/>
      <c r="C883" s="1320"/>
      <c r="D883" s="1254"/>
      <c r="E883" s="1254"/>
      <c r="F883" s="1263"/>
      <c r="G883" s="1317"/>
      <c r="H883" s="1254"/>
      <c r="I883" s="1318"/>
      <c r="J883" s="1254"/>
      <c r="K883" s="1254"/>
      <c r="L883" s="1254"/>
      <c r="M883" s="1254"/>
      <c r="N883" s="1318"/>
      <c r="O883" s="1386"/>
      <c r="P883" s="1254"/>
      <c r="Q883" s="1254"/>
      <c r="R883" s="1254"/>
      <c r="S883" s="1254"/>
      <c r="T883" s="1254"/>
      <c r="U883" s="1254"/>
      <c r="V883" s="1254"/>
      <c r="W883" s="1254"/>
      <c r="X883" s="1254"/>
      <c r="Y883" s="1254"/>
      <c r="Z883" s="1254"/>
    </row>
    <row r="884">
      <c r="A884" s="1254"/>
      <c r="B884" s="1254"/>
      <c r="C884" s="1320"/>
      <c r="D884" s="1254"/>
      <c r="E884" s="1254"/>
      <c r="F884" s="1263"/>
      <c r="G884" s="1317"/>
      <c r="H884" s="1254"/>
      <c r="I884" s="1318"/>
      <c r="J884" s="1254"/>
      <c r="K884" s="1254"/>
      <c r="L884" s="1254"/>
      <c r="M884" s="1254"/>
      <c r="N884" s="1318"/>
      <c r="O884" s="1386"/>
      <c r="P884" s="1254"/>
      <c r="Q884" s="1254"/>
      <c r="R884" s="1254"/>
      <c r="S884" s="1254"/>
      <c r="T884" s="1254"/>
      <c r="U884" s="1254"/>
      <c r="V884" s="1254"/>
      <c r="W884" s="1254"/>
      <c r="X884" s="1254"/>
      <c r="Y884" s="1254"/>
      <c r="Z884" s="1254"/>
    </row>
    <row r="885">
      <c r="A885" s="1254"/>
      <c r="B885" s="1254"/>
      <c r="C885" s="1320"/>
      <c r="D885" s="1254"/>
      <c r="E885" s="1254"/>
      <c r="F885" s="1263"/>
      <c r="G885" s="1317"/>
      <c r="H885" s="1254"/>
      <c r="I885" s="1318"/>
      <c r="J885" s="1254"/>
      <c r="K885" s="1254"/>
      <c r="L885" s="1254"/>
      <c r="M885" s="1254"/>
      <c r="N885" s="1318"/>
      <c r="O885" s="1386"/>
      <c r="P885" s="1254"/>
      <c r="Q885" s="1254"/>
      <c r="R885" s="1254"/>
      <c r="S885" s="1254"/>
      <c r="T885" s="1254"/>
      <c r="U885" s="1254"/>
      <c r="V885" s="1254"/>
      <c r="W885" s="1254"/>
      <c r="X885" s="1254"/>
      <c r="Y885" s="1254"/>
      <c r="Z885" s="1254"/>
    </row>
    <row r="886">
      <c r="A886" s="1254"/>
      <c r="B886" s="1254"/>
      <c r="C886" s="1320"/>
      <c r="D886" s="1254"/>
      <c r="E886" s="1254"/>
      <c r="F886" s="1263"/>
      <c r="G886" s="1317"/>
      <c r="H886" s="1254"/>
      <c r="I886" s="1318"/>
      <c r="J886" s="1254"/>
      <c r="K886" s="1254"/>
      <c r="L886" s="1254"/>
      <c r="M886" s="1254"/>
      <c r="N886" s="1318"/>
      <c r="O886" s="1386"/>
      <c r="P886" s="1254"/>
      <c r="Q886" s="1254"/>
      <c r="R886" s="1254"/>
      <c r="S886" s="1254"/>
      <c r="T886" s="1254"/>
      <c r="U886" s="1254"/>
      <c r="V886" s="1254"/>
      <c r="W886" s="1254"/>
      <c r="X886" s="1254"/>
      <c r="Y886" s="1254"/>
      <c r="Z886" s="1254"/>
    </row>
    <row r="887">
      <c r="A887" s="1254"/>
      <c r="B887" s="1254"/>
      <c r="C887" s="1320"/>
      <c r="D887" s="1254"/>
      <c r="E887" s="1254"/>
      <c r="F887" s="1263"/>
      <c r="G887" s="1317"/>
      <c r="H887" s="1254"/>
      <c r="I887" s="1318"/>
      <c r="J887" s="1254"/>
      <c r="K887" s="1254"/>
      <c r="L887" s="1254"/>
      <c r="M887" s="1254"/>
      <c r="N887" s="1318"/>
      <c r="O887" s="1386"/>
      <c r="P887" s="1254"/>
      <c r="Q887" s="1254"/>
      <c r="R887" s="1254"/>
      <c r="S887" s="1254"/>
      <c r="T887" s="1254"/>
      <c r="U887" s="1254"/>
      <c r="V887" s="1254"/>
      <c r="W887" s="1254"/>
      <c r="X887" s="1254"/>
      <c r="Y887" s="1254"/>
      <c r="Z887" s="1254"/>
    </row>
    <row r="888">
      <c r="A888" s="1254"/>
      <c r="B888" s="1254"/>
      <c r="C888" s="1320"/>
      <c r="D888" s="1254"/>
      <c r="E888" s="1254"/>
      <c r="F888" s="1263"/>
      <c r="G888" s="1317"/>
      <c r="H888" s="1254"/>
      <c r="I888" s="1318"/>
      <c r="J888" s="1254"/>
      <c r="K888" s="1254"/>
      <c r="L888" s="1254"/>
      <c r="M888" s="1254"/>
      <c r="N888" s="1318"/>
      <c r="O888" s="1386"/>
      <c r="P888" s="1254"/>
      <c r="Q888" s="1254"/>
      <c r="R888" s="1254"/>
      <c r="S888" s="1254"/>
      <c r="T888" s="1254"/>
      <c r="U888" s="1254"/>
      <c r="V888" s="1254"/>
      <c r="W888" s="1254"/>
      <c r="X888" s="1254"/>
      <c r="Y888" s="1254"/>
      <c r="Z888" s="1254"/>
    </row>
    <row r="889">
      <c r="A889" s="1254"/>
      <c r="B889" s="1254"/>
      <c r="C889" s="1320"/>
      <c r="D889" s="1254"/>
      <c r="E889" s="1254"/>
      <c r="F889" s="1263"/>
      <c r="G889" s="1317"/>
      <c r="H889" s="1254"/>
      <c r="I889" s="1318"/>
      <c r="J889" s="1254"/>
      <c r="K889" s="1254"/>
      <c r="L889" s="1254"/>
      <c r="M889" s="1254"/>
      <c r="N889" s="1318"/>
      <c r="O889" s="1386"/>
      <c r="P889" s="1254"/>
      <c r="Q889" s="1254"/>
      <c r="R889" s="1254"/>
      <c r="S889" s="1254"/>
      <c r="T889" s="1254"/>
      <c r="U889" s="1254"/>
      <c r="V889" s="1254"/>
      <c r="W889" s="1254"/>
      <c r="X889" s="1254"/>
      <c r="Y889" s="1254"/>
      <c r="Z889" s="1254"/>
    </row>
    <row r="890">
      <c r="A890" s="1254"/>
      <c r="B890" s="1254"/>
      <c r="C890" s="1320"/>
      <c r="D890" s="1254"/>
      <c r="E890" s="1254"/>
      <c r="F890" s="1263"/>
      <c r="G890" s="1317"/>
      <c r="H890" s="1254"/>
      <c r="I890" s="1318"/>
      <c r="J890" s="1254"/>
      <c r="K890" s="1254"/>
      <c r="L890" s="1254"/>
      <c r="M890" s="1254"/>
      <c r="N890" s="1318"/>
      <c r="O890" s="1386"/>
      <c r="P890" s="1254"/>
      <c r="Q890" s="1254"/>
      <c r="R890" s="1254"/>
      <c r="S890" s="1254"/>
      <c r="T890" s="1254"/>
      <c r="U890" s="1254"/>
      <c r="V890" s="1254"/>
      <c r="W890" s="1254"/>
      <c r="X890" s="1254"/>
      <c r="Y890" s="1254"/>
      <c r="Z890" s="1254"/>
    </row>
    <row r="891">
      <c r="A891" s="1254"/>
      <c r="B891" s="1254"/>
      <c r="C891" s="1320"/>
      <c r="D891" s="1254"/>
      <c r="E891" s="1254"/>
      <c r="F891" s="1263"/>
      <c r="G891" s="1317"/>
      <c r="H891" s="1254"/>
      <c r="I891" s="1318"/>
      <c r="J891" s="1254"/>
      <c r="K891" s="1254"/>
      <c r="L891" s="1254"/>
      <c r="M891" s="1254"/>
      <c r="N891" s="1318"/>
      <c r="O891" s="1386"/>
      <c r="P891" s="1254"/>
      <c r="Q891" s="1254"/>
      <c r="R891" s="1254"/>
      <c r="S891" s="1254"/>
      <c r="T891" s="1254"/>
      <c r="U891" s="1254"/>
      <c r="V891" s="1254"/>
      <c r="W891" s="1254"/>
      <c r="X891" s="1254"/>
      <c r="Y891" s="1254"/>
      <c r="Z891" s="1254"/>
    </row>
    <row r="892">
      <c r="A892" s="1254"/>
      <c r="B892" s="1254"/>
      <c r="C892" s="1320"/>
      <c r="D892" s="1254"/>
      <c r="E892" s="1254"/>
      <c r="F892" s="1263"/>
      <c r="G892" s="1317"/>
      <c r="H892" s="1254"/>
      <c r="I892" s="1318"/>
      <c r="J892" s="1254"/>
      <c r="K892" s="1254"/>
      <c r="L892" s="1254"/>
      <c r="M892" s="1254"/>
      <c r="N892" s="1318"/>
      <c r="O892" s="1386"/>
      <c r="P892" s="1254"/>
      <c r="Q892" s="1254"/>
      <c r="R892" s="1254"/>
      <c r="S892" s="1254"/>
      <c r="T892" s="1254"/>
      <c r="U892" s="1254"/>
      <c r="V892" s="1254"/>
      <c r="W892" s="1254"/>
      <c r="X892" s="1254"/>
      <c r="Y892" s="1254"/>
      <c r="Z892" s="1254"/>
    </row>
    <row r="893">
      <c r="A893" s="1254"/>
      <c r="B893" s="1254"/>
      <c r="C893" s="1320"/>
      <c r="D893" s="1254"/>
      <c r="E893" s="1254"/>
      <c r="F893" s="1263"/>
      <c r="G893" s="1317"/>
      <c r="H893" s="1254"/>
      <c r="I893" s="1318"/>
      <c r="J893" s="1254"/>
      <c r="K893" s="1254"/>
      <c r="L893" s="1254"/>
      <c r="M893" s="1254"/>
      <c r="N893" s="1318"/>
      <c r="O893" s="1386"/>
      <c r="P893" s="1254"/>
      <c r="Q893" s="1254"/>
      <c r="R893" s="1254"/>
      <c r="S893" s="1254"/>
      <c r="T893" s="1254"/>
      <c r="U893" s="1254"/>
      <c r="V893" s="1254"/>
      <c r="W893" s="1254"/>
      <c r="X893" s="1254"/>
      <c r="Y893" s="1254"/>
      <c r="Z893" s="1254"/>
    </row>
    <row r="894">
      <c r="A894" s="1254"/>
      <c r="B894" s="1254"/>
      <c r="C894" s="1320"/>
      <c r="D894" s="1254"/>
      <c r="E894" s="1254"/>
      <c r="F894" s="1263"/>
      <c r="G894" s="1317"/>
      <c r="H894" s="1254"/>
      <c r="I894" s="1318"/>
      <c r="J894" s="1254"/>
      <c r="K894" s="1254"/>
      <c r="L894" s="1254"/>
      <c r="M894" s="1254"/>
      <c r="N894" s="1318"/>
      <c r="O894" s="1386"/>
      <c r="P894" s="1254"/>
      <c r="Q894" s="1254"/>
      <c r="R894" s="1254"/>
      <c r="S894" s="1254"/>
      <c r="T894" s="1254"/>
      <c r="U894" s="1254"/>
      <c r="V894" s="1254"/>
      <c r="W894" s="1254"/>
      <c r="X894" s="1254"/>
      <c r="Y894" s="1254"/>
      <c r="Z894" s="1254"/>
    </row>
    <row r="895">
      <c r="A895" s="1254"/>
      <c r="B895" s="1254"/>
      <c r="C895" s="1320"/>
      <c r="D895" s="1254"/>
      <c r="E895" s="1254"/>
      <c r="F895" s="1263"/>
      <c r="G895" s="1317"/>
      <c r="H895" s="1254"/>
      <c r="I895" s="1318"/>
      <c r="J895" s="1254"/>
      <c r="K895" s="1254"/>
      <c r="L895" s="1254"/>
      <c r="M895" s="1254"/>
      <c r="N895" s="1318"/>
      <c r="O895" s="1386"/>
      <c r="P895" s="1254"/>
      <c r="Q895" s="1254"/>
      <c r="R895" s="1254"/>
      <c r="S895" s="1254"/>
      <c r="T895" s="1254"/>
      <c r="U895" s="1254"/>
      <c r="V895" s="1254"/>
      <c r="W895" s="1254"/>
      <c r="X895" s="1254"/>
      <c r="Y895" s="1254"/>
      <c r="Z895" s="1254"/>
    </row>
    <row r="896">
      <c r="A896" s="1254"/>
      <c r="B896" s="1254"/>
      <c r="C896" s="1320"/>
      <c r="D896" s="1254"/>
      <c r="E896" s="1254"/>
      <c r="F896" s="1263"/>
      <c r="G896" s="1317"/>
      <c r="H896" s="1254"/>
      <c r="I896" s="1318"/>
      <c r="J896" s="1254"/>
      <c r="K896" s="1254"/>
      <c r="L896" s="1254"/>
      <c r="M896" s="1254"/>
      <c r="N896" s="1318"/>
      <c r="O896" s="1386"/>
      <c r="P896" s="1254"/>
      <c r="Q896" s="1254"/>
      <c r="R896" s="1254"/>
      <c r="S896" s="1254"/>
      <c r="T896" s="1254"/>
      <c r="U896" s="1254"/>
      <c r="V896" s="1254"/>
      <c r="W896" s="1254"/>
      <c r="X896" s="1254"/>
      <c r="Y896" s="1254"/>
      <c r="Z896" s="1254"/>
    </row>
    <row r="897">
      <c r="A897" s="1254"/>
      <c r="B897" s="1254"/>
      <c r="C897" s="1320"/>
      <c r="D897" s="1254"/>
      <c r="E897" s="1254"/>
      <c r="F897" s="1263"/>
      <c r="G897" s="1317"/>
      <c r="H897" s="1254"/>
      <c r="I897" s="1318"/>
      <c r="J897" s="1254"/>
      <c r="K897" s="1254"/>
      <c r="L897" s="1254"/>
      <c r="M897" s="1254"/>
      <c r="N897" s="1318"/>
      <c r="O897" s="1386"/>
      <c r="P897" s="1254"/>
      <c r="Q897" s="1254"/>
      <c r="R897" s="1254"/>
      <c r="S897" s="1254"/>
      <c r="T897" s="1254"/>
      <c r="U897" s="1254"/>
      <c r="V897" s="1254"/>
      <c r="W897" s="1254"/>
      <c r="X897" s="1254"/>
      <c r="Y897" s="1254"/>
      <c r="Z897" s="1254"/>
    </row>
    <row r="898">
      <c r="A898" s="1254"/>
      <c r="B898" s="1254"/>
      <c r="C898" s="1320"/>
      <c r="D898" s="1254"/>
      <c r="E898" s="1254"/>
      <c r="F898" s="1263"/>
      <c r="G898" s="1317"/>
      <c r="H898" s="1254"/>
      <c r="I898" s="1318"/>
      <c r="J898" s="1254"/>
      <c r="K898" s="1254"/>
      <c r="L898" s="1254"/>
      <c r="M898" s="1254"/>
      <c r="N898" s="1318"/>
      <c r="O898" s="1386"/>
      <c r="P898" s="1254"/>
      <c r="Q898" s="1254"/>
      <c r="R898" s="1254"/>
      <c r="S898" s="1254"/>
      <c r="T898" s="1254"/>
      <c r="U898" s="1254"/>
      <c r="V898" s="1254"/>
      <c r="W898" s="1254"/>
      <c r="X898" s="1254"/>
      <c r="Y898" s="1254"/>
      <c r="Z898" s="1254"/>
    </row>
    <row r="899">
      <c r="A899" s="1254"/>
      <c r="B899" s="1254"/>
      <c r="C899" s="1320"/>
      <c r="D899" s="1254"/>
      <c r="E899" s="1254"/>
      <c r="F899" s="1263"/>
      <c r="G899" s="1317"/>
      <c r="H899" s="1254"/>
      <c r="I899" s="1318"/>
      <c r="J899" s="1254"/>
      <c r="K899" s="1254"/>
      <c r="L899" s="1254"/>
      <c r="M899" s="1254"/>
      <c r="N899" s="1318"/>
      <c r="O899" s="1386"/>
      <c r="P899" s="1254"/>
      <c r="Q899" s="1254"/>
      <c r="R899" s="1254"/>
      <c r="S899" s="1254"/>
      <c r="T899" s="1254"/>
      <c r="U899" s="1254"/>
      <c r="V899" s="1254"/>
      <c r="W899" s="1254"/>
      <c r="X899" s="1254"/>
      <c r="Y899" s="1254"/>
      <c r="Z899" s="1254"/>
    </row>
    <row r="900">
      <c r="A900" s="1254"/>
      <c r="B900" s="1254"/>
      <c r="C900" s="1320"/>
      <c r="D900" s="1254"/>
      <c r="E900" s="1254"/>
      <c r="F900" s="1263"/>
      <c r="G900" s="1317"/>
      <c r="H900" s="1254"/>
      <c r="I900" s="1318"/>
      <c r="J900" s="1254"/>
      <c r="K900" s="1254"/>
      <c r="L900" s="1254"/>
      <c r="M900" s="1254"/>
      <c r="N900" s="1318"/>
      <c r="O900" s="1386"/>
      <c r="P900" s="1254"/>
      <c r="Q900" s="1254"/>
      <c r="R900" s="1254"/>
      <c r="S900" s="1254"/>
      <c r="T900" s="1254"/>
      <c r="U900" s="1254"/>
      <c r="V900" s="1254"/>
      <c r="W900" s="1254"/>
      <c r="X900" s="1254"/>
      <c r="Y900" s="1254"/>
      <c r="Z900" s="1254"/>
    </row>
    <row r="901">
      <c r="A901" s="1254"/>
      <c r="B901" s="1254"/>
      <c r="C901" s="1320"/>
      <c r="D901" s="1254"/>
      <c r="E901" s="1254"/>
      <c r="F901" s="1263"/>
      <c r="G901" s="1317"/>
      <c r="H901" s="1254"/>
      <c r="I901" s="1318"/>
      <c r="J901" s="1254"/>
      <c r="K901" s="1254"/>
      <c r="L901" s="1254"/>
      <c r="M901" s="1254"/>
      <c r="N901" s="1318"/>
      <c r="O901" s="1386"/>
      <c r="P901" s="1254"/>
      <c r="Q901" s="1254"/>
      <c r="R901" s="1254"/>
      <c r="S901" s="1254"/>
      <c r="T901" s="1254"/>
      <c r="U901" s="1254"/>
      <c r="V901" s="1254"/>
      <c r="W901" s="1254"/>
      <c r="X901" s="1254"/>
      <c r="Y901" s="1254"/>
      <c r="Z901" s="1254"/>
    </row>
    <row r="902">
      <c r="A902" s="1254"/>
      <c r="B902" s="1254"/>
      <c r="C902" s="1320"/>
      <c r="D902" s="1254"/>
      <c r="E902" s="1254"/>
      <c r="F902" s="1263"/>
      <c r="G902" s="1317"/>
      <c r="H902" s="1254"/>
      <c r="I902" s="1318"/>
      <c r="J902" s="1254"/>
      <c r="K902" s="1254"/>
      <c r="L902" s="1254"/>
      <c r="M902" s="1254"/>
      <c r="N902" s="1318"/>
      <c r="O902" s="1386"/>
      <c r="P902" s="1254"/>
      <c r="Q902" s="1254"/>
      <c r="R902" s="1254"/>
      <c r="S902" s="1254"/>
      <c r="T902" s="1254"/>
      <c r="U902" s="1254"/>
      <c r="V902" s="1254"/>
      <c r="W902" s="1254"/>
      <c r="X902" s="1254"/>
      <c r="Y902" s="1254"/>
      <c r="Z902" s="1254"/>
    </row>
    <row r="903">
      <c r="A903" s="1254"/>
      <c r="B903" s="1254"/>
      <c r="C903" s="1320"/>
      <c r="D903" s="1254"/>
      <c r="E903" s="1254"/>
      <c r="F903" s="1263"/>
      <c r="G903" s="1317"/>
      <c r="H903" s="1254"/>
      <c r="I903" s="1318"/>
      <c r="J903" s="1254"/>
      <c r="K903" s="1254"/>
      <c r="L903" s="1254"/>
      <c r="M903" s="1254"/>
      <c r="N903" s="1318"/>
      <c r="O903" s="1386"/>
      <c r="P903" s="1254"/>
      <c r="Q903" s="1254"/>
      <c r="R903" s="1254"/>
      <c r="S903" s="1254"/>
      <c r="T903" s="1254"/>
      <c r="U903" s="1254"/>
      <c r="V903" s="1254"/>
      <c r="W903" s="1254"/>
      <c r="X903" s="1254"/>
      <c r="Y903" s="1254"/>
      <c r="Z903" s="1254"/>
    </row>
    <row r="904">
      <c r="A904" s="1254"/>
      <c r="B904" s="1254"/>
      <c r="C904" s="1320"/>
      <c r="D904" s="1254"/>
      <c r="E904" s="1254"/>
      <c r="F904" s="1263"/>
      <c r="G904" s="1317"/>
      <c r="H904" s="1254"/>
      <c r="I904" s="1318"/>
      <c r="J904" s="1254"/>
      <c r="K904" s="1254"/>
      <c r="L904" s="1254"/>
      <c r="M904" s="1254"/>
      <c r="N904" s="1318"/>
      <c r="O904" s="1386"/>
      <c r="P904" s="1254"/>
      <c r="Q904" s="1254"/>
      <c r="R904" s="1254"/>
      <c r="S904" s="1254"/>
      <c r="T904" s="1254"/>
      <c r="U904" s="1254"/>
      <c r="V904" s="1254"/>
      <c r="W904" s="1254"/>
      <c r="X904" s="1254"/>
      <c r="Y904" s="1254"/>
      <c r="Z904" s="1254"/>
    </row>
    <row r="905">
      <c r="A905" s="1254"/>
      <c r="B905" s="1254"/>
      <c r="C905" s="1320"/>
      <c r="D905" s="1254"/>
      <c r="E905" s="1254"/>
      <c r="F905" s="1263"/>
      <c r="G905" s="1317"/>
      <c r="H905" s="1254"/>
      <c r="I905" s="1318"/>
      <c r="J905" s="1254"/>
      <c r="K905" s="1254"/>
      <c r="L905" s="1254"/>
      <c r="M905" s="1254"/>
      <c r="N905" s="1318"/>
      <c r="O905" s="1386"/>
      <c r="P905" s="1254"/>
      <c r="Q905" s="1254"/>
      <c r="R905" s="1254"/>
      <c r="S905" s="1254"/>
      <c r="T905" s="1254"/>
      <c r="U905" s="1254"/>
      <c r="V905" s="1254"/>
      <c r="W905" s="1254"/>
      <c r="X905" s="1254"/>
      <c r="Y905" s="1254"/>
      <c r="Z905" s="1254"/>
    </row>
    <row r="906">
      <c r="A906" s="1254"/>
      <c r="B906" s="1254"/>
      <c r="C906" s="1320"/>
      <c r="D906" s="1254"/>
      <c r="E906" s="1254"/>
      <c r="F906" s="1263"/>
      <c r="G906" s="1317"/>
      <c r="H906" s="1254"/>
      <c r="I906" s="1318"/>
      <c r="J906" s="1254"/>
      <c r="K906" s="1254"/>
      <c r="L906" s="1254"/>
      <c r="M906" s="1254"/>
      <c r="N906" s="1318"/>
      <c r="O906" s="1386"/>
      <c r="P906" s="1254"/>
      <c r="Q906" s="1254"/>
      <c r="R906" s="1254"/>
      <c r="S906" s="1254"/>
      <c r="T906" s="1254"/>
      <c r="U906" s="1254"/>
      <c r="V906" s="1254"/>
      <c r="W906" s="1254"/>
      <c r="X906" s="1254"/>
      <c r="Y906" s="1254"/>
      <c r="Z906" s="1254"/>
    </row>
    <row r="907">
      <c r="A907" s="1254"/>
      <c r="B907" s="1254"/>
      <c r="C907" s="1320"/>
      <c r="D907" s="1254"/>
      <c r="E907" s="1254"/>
      <c r="F907" s="1263"/>
      <c r="G907" s="1317"/>
      <c r="H907" s="1254"/>
      <c r="I907" s="1318"/>
      <c r="J907" s="1254"/>
      <c r="K907" s="1254"/>
      <c r="L907" s="1254"/>
      <c r="M907" s="1254"/>
      <c r="N907" s="1318"/>
      <c r="O907" s="1386"/>
      <c r="P907" s="1254"/>
      <c r="Q907" s="1254"/>
      <c r="R907" s="1254"/>
      <c r="S907" s="1254"/>
      <c r="T907" s="1254"/>
      <c r="U907" s="1254"/>
      <c r="V907" s="1254"/>
      <c r="W907" s="1254"/>
      <c r="X907" s="1254"/>
      <c r="Y907" s="1254"/>
      <c r="Z907" s="1254"/>
    </row>
    <row r="908">
      <c r="A908" s="1254"/>
      <c r="B908" s="1254"/>
      <c r="C908" s="1320"/>
      <c r="D908" s="1254"/>
      <c r="E908" s="1254"/>
      <c r="F908" s="1263"/>
      <c r="G908" s="1317"/>
      <c r="H908" s="1254"/>
      <c r="I908" s="1318"/>
      <c r="J908" s="1254"/>
      <c r="K908" s="1254"/>
      <c r="L908" s="1254"/>
      <c r="M908" s="1254"/>
      <c r="N908" s="1318"/>
      <c r="O908" s="1386"/>
      <c r="P908" s="1254"/>
      <c r="Q908" s="1254"/>
      <c r="R908" s="1254"/>
      <c r="S908" s="1254"/>
      <c r="T908" s="1254"/>
      <c r="U908" s="1254"/>
      <c r="V908" s="1254"/>
      <c r="W908" s="1254"/>
      <c r="X908" s="1254"/>
      <c r="Y908" s="1254"/>
      <c r="Z908" s="1254"/>
    </row>
    <row r="909">
      <c r="A909" s="1254"/>
      <c r="B909" s="1254"/>
      <c r="C909" s="1320"/>
      <c r="D909" s="1254"/>
      <c r="E909" s="1254"/>
      <c r="F909" s="1263"/>
      <c r="G909" s="1317"/>
      <c r="H909" s="1254"/>
      <c r="I909" s="1318"/>
      <c r="J909" s="1254"/>
      <c r="K909" s="1254"/>
      <c r="L909" s="1254"/>
      <c r="M909" s="1254"/>
      <c r="N909" s="1318"/>
      <c r="O909" s="1386"/>
      <c r="P909" s="1254"/>
      <c r="Q909" s="1254"/>
      <c r="R909" s="1254"/>
      <c r="S909" s="1254"/>
      <c r="T909" s="1254"/>
      <c r="U909" s="1254"/>
      <c r="V909" s="1254"/>
      <c r="W909" s="1254"/>
      <c r="X909" s="1254"/>
      <c r="Y909" s="1254"/>
      <c r="Z909" s="1254"/>
    </row>
    <row r="910">
      <c r="A910" s="1254"/>
      <c r="B910" s="1254"/>
      <c r="C910" s="1320"/>
      <c r="D910" s="1254"/>
      <c r="E910" s="1254"/>
      <c r="F910" s="1263"/>
      <c r="G910" s="1317"/>
      <c r="H910" s="1254"/>
      <c r="I910" s="1318"/>
      <c r="J910" s="1254"/>
      <c r="K910" s="1254"/>
      <c r="L910" s="1254"/>
      <c r="M910" s="1254"/>
      <c r="N910" s="1318"/>
      <c r="O910" s="1386"/>
      <c r="P910" s="1254"/>
      <c r="Q910" s="1254"/>
      <c r="R910" s="1254"/>
      <c r="S910" s="1254"/>
      <c r="T910" s="1254"/>
      <c r="U910" s="1254"/>
      <c r="V910" s="1254"/>
      <c r="W910" s="1254"/>
      <c r="X910" s="1254"/>
      <c r="Y910" s="1254"/>
      <c r="Z910" s="1254"/>
    </row>
    <row r="911">
      <c r="A911" s="1254"/>
      <c r="B911" s="1254"/>
      <c r="C911" s="1320"/>
      <c r="D911" s="1254"/>
      <c r="E911" s="1254"/>
      <c r="F911" s="1263"/>
      <c r="G911" s="1317"/>
      <c r="H911" s="1254"/>
      <c r="I911" s="1318"/>
      <c r="J911" s="1254"/>
      <c r="K911" s="1254"/>
      <c r="L911" s="1254"/>
      <c r="M911" s="1254"/>
      <c r="N911" s="1318"/>
      <c r="O911" s="1386"/>
      <c r="P911" s="1254"/>
      <c r="Q911" s="1254"/>
      <c r="R911" s="1254"/>
      <c r="S911" s="1254"/>
      <c r="T911" s="1254"/>
      <c r="U911" s="1254"/>
      <c r="V911" s="1254"/>
      <c r="W911" s="1254"/>
      <c r="X911" s="1254"/>
      <c r="Y911" s="1254"/>
      <c r="Z911" s="1254"/>
    </row>
    <row r="912">
      <c r="A912" s="1254"/>
      <c r="B912" s="1254"/>
      <c r="C912" s="1320"/>
      <c r="D912" s="1254"/>
      <c r="E912" s="1254"/>
      <c r="F912" s="1263"/>
      <c r="G912" s="1317"/>
      <c r="H912" s="1254"/>
      <c r="I912" s="1318"/>
      <c r="J912" s="1254"/>
      <c r="K912" s="1254"/>
      <c r="L912" s="1254"/>
      <c r="M912" s="1254"/>
      <c r="N912" s="1318"/>
      <c r="O912" s="1386"/>
      <c r="P912" s="1254"/>
      <c r="Q912" s="1254"/>
      <c r="R912" s="1254"/>
      <c r="S912" s="1254"/>
      <c r="T912" s="1254"/>
      <c r="U912" s="1254"/>
      <c r="V912" s="1254"/>
      <c r="W912" s="1254"/>
      <c r="X912" s="1254"/>
      <c r="Y912" s="1254"/>
      <c r="Z912" s="1254"/>
    </row>
    <row r="913">
      <c r="A913" s="1254"/>
      <c r="B913" s="1254"/>
      <c r="C913" s="1320"/>
      <c r="D913" s="1254"/>
      <c r="E913" s="1254"/>
      <c r="F913" s="1263"/>
      <c r="G913" s="1317"/>
      <c r="H913" s="1254"/>
      <c r="I913" s="1318"/>
      <c r="J913" s="1254"/>
      <c r="K913" s="1254"/>
      <c r="L913" s="1254"/>
      <c r="M913" s="1254"/>
      <c r="N913" s="1318"/>
      <c r="O913" s="1386"/>
      <c r="P913" s="1254"/>
      <c r="Q913" s="1254"/>
      <c r="R913" s="1254"/>
      <c r="S913" s="1254"/>
      <c r="T913" s="1254"/>
      <c r="U913" s="1254"/>
      <c r="V913" s="1254"/>
      <c r="W913" s="1254"/>
      <c r="X913" s="1254"/>
      <c r="Y913" s="1254"/>
      <c r="Z913" s="1254"/>
    </row>
    <row r="914">
      <c r="A914" s="1254"/>
      <c r="B914" s="1254"/>
      <c r="C914" s="1320"/>
      <c r="D914" s="1254"/>
      <c r="E914" s="1254"/>
      <c r="F914" s="1263"/>
      <c r="G914" s="1317"/>
      <c r="H914" s="1254"/>
      <c r="I914" s="1318"/>
      <c r="J914" s="1254"/>
      <c r="K914" s="1254"/>
      <c r="L914" s="1254"/>
      <c r="M914" s="1254"/>
      <c r="N914" s="1318"/>
      <c r="O914" s="1386"/>
      <c r="P914" s="1254"/>
      <c r="Q914" s="1254"/>
      <c r="R914" s="1254"/>
      <c r="S914" s="1254"/>
      <c r="T914" s="1254"/>
      <c r="U914" s="1254"/>
      <c r="V914" s="1254"/>
      <c r="W914" s="1254"/>
      <c r="X914" s="1254"/>
      <c r="Y914" s="1254"/>
      <c r="Z914" s="1254"/>
    </row>
    <row r="915">
      <c r="A915" s="1254"/>
      <c r="B915" s="1254"/>
      <c r="C915" s="1320"/>
      <c r="D915" s="1254"/>
      <c r="E915" s="1254"/>
      <c r="F915" s="1263"/>
      <c r="G915" s="1317"/>
      <c r="H915" s="1254"/>
      <c r="I915" s="1318"/>
      <c r="J915" s="1254"/>
      <c r="K915" s="1254"/>
      <c r="L915" s="1254"/>
      <c r="M915" s="1254"/>
      <c r="N915" s="1318"/>
      <c r="O915" s="1386"/>
      <c r="P915" s="1254"/>
      <c r="Q915" s="1254"/>
      <c r="R915" s="1254"/>
      <c r="S915" s="1254"/>
      <c r="T915" s="1254"/>
      <c r="U915" s="1254"/>
      <c r="V915" s="1254"/>
      <c r="W915" s="1254"/>
      <c r="X915" s="1254"/>
      <c r="Y915" s="1254"/>
      <c r="Z915" s="1254"/>
    </row>
    <row r="916">
      <c r="A916" s="1254"/>
      <c r="B916" s="1254"/>
      <c r="C916" s="1320"/>
      <c r="D916" s="1254"/>
      <c r="E916" s="1254"/>
      <c r="F916" s="1263"/>
      <c r="G916" s="1317"/>
      <c r="H916" s="1254"/>
      <c r="I916" s="1318"/>
      <c r="J916" s="1254"/>
      <c r="K916" s="1254"/>
      <c r="L916" s="1254"/>
      <c r="M916" s="1254"/>
      <c r="N916" s="1318"/>
      <c r="O916" s="1386"/>
      <c r="P916" s="1254"/>
      <c r="Q916" s="1254"/>
      <c r="R916" s="1254"/>
      <c r="S916" s="1254"/>
      <c r="T916" s="1254"/>
      <c r="U916" s="1254"/>
      <c r="V916" s="1254"/>
      <c r="W916" s="1254"/>
      <c r="X916" s="1254"/>
      <c r="Y916" s="1254"/>
      <c r="Z916" s="1254"/>
    </row>
    <row r="917">
      <c r="A917" s="1254"/>
      <c r="B917" s="1254"/>
      <c r="C917" s="1320"/>
      <c r="D917" s="1254"/>
      <c r="E917" s="1254"/>
      <c r="F917" s="1263"/>
      <c r="G917" s="1317"/>
      <c r="H917" s="1254"/>
      <c r="I917" s="1318"/>
      <c r="J917" s="1254"/>
      <c r="K917" s="1254"/>
      <c r="L917" s="1254"/>
      <c r="M917" s="1254"/>
      <c r="N917" s="1318"/>
      <c r="O917" s="1386"/>
      <c r="P917" s="1254"/>
      <c r="Q917" s="1254"/>
      <c r="R917" s="1254"/>
      <c r="S917" s="1254"/>
      <c r="T917" s="1254"/>
      <c r="U917" s="1254"/>
      <c r="V917" s="1254"/>
      <c r="W917" s="1254"/>
      <c r="X917" s="1254"/>
      <c r="Y917" s="1254"/>
      <c r="Z917" s="1254"/>
    </row>
    <row r="918">
      <c r="A918" s="1254"/>
      <c r="B918" s="1254"/>
      <c r="C918" s="1320"/>
      <c r="D918" s="1254"/>
      <c r="E918" s="1254"/>
      <c r="F918" s="1263"/>
      <c r="G918" s="1317"/>
      <c r="H918" s="1254"/>
      <c r="I918" s="1318"/>
      <c r="J918" s="1254"/>
      <c r="K918" s="1254"/>
      <c r="L918" s="1254"/>
      <c r="M918" s="1254"/>
      <c r="N918" s="1318"/>
      <c r="O918" s="1386"/>
      <c r="P918" s="1254"/>
      <c r="Q918" s="1254"/>
      <c r="R918" s="1254"/>
      <c r="S918" s="1254"/>
      <c r="T918" s="1254"/>
      <c r="U918" s="1254"/>
      <c r="V918" s="1254"/>
      <c r="W918" s="1254"/>
      <c r="X918" s="1254"/>
      <c r="Y918" s="1254"/>
      <c r="Z918" s="1254"/>
    </row>
    <row r="919">
      <c r="A919" s="1254"/>
      <c r="B919" s="1254"/>
      <c r="C919" s="1320"/>
      <c r="D919" s="1254"/>
      <c r="E919" s="1254"/>
      <c r="F919" s="1263"/>
      <c r="G919" s="1317"/>
      <c r="H919" s="1254"/>
      <c r="I919" s="1318"/>
      <c r="J919" s="1254"/>
      <c r="K919" s="1254"/>
      <c r="L919" s="1254"/>
      <c r="M919" s="1254"/>
      <c r="N919" s="1318"/>
      <c r="O919" s="1386"/>
      <c r="P919" s="1254"/>
      <c r="Q919" s="1254"/>
      <c r="R919" s="1254"/>
      <c r="S919" s="1254"/>
      <c r="T919" s="1254"/>
      <c r="U919" s="1254"/>
      <c r="V919" s="1254"/>
      <c r="W919" s="1254"/>
      <c r="X919" s="1254"/>
      <c r="Y919" s="1254"/>
      <c r="Z919" s="1254"/>
    </row>
    <row r="920">
      <c r="A920" s="1254"/>
      <c r="B920" s="1254"/>
      <c r="C920" s="1320"/>
      <c r="D920" s="1254"/>
      <c r="E920" s="1254"/>
      <c r="F920" s="1263"/>
      <c r="G920" s="1317"/>
      <c r="H920" s="1254"/>
      <c r="I920" s="1318"/>
      <c r="J920" s="1254"/>
      <c r="K920" s="1254"/>
      <c r="L920" s="1254"/>
      <c r="M920" s="1254"/>
      <c r="N920" s="1318"/>
      <c r="O920" s="1386"/>
      <c r="P920" s="1254"/>
      <c r="Q920" s="1254"/>
      <c r="R920" s="1254"/>
      <c r="S920" s="1254"/>
      <c r="T920" s="1254"/>
      <c r="U920" s="1254"/>
      <c r="V920" s="1254"/>
      <c r="W920" s="1254"/>
      <c r="X920" s="1254"/>
      <c r="Y920" s="1254"/>
      <c r="Z920" s="1254"/>
    </row>
    <row r="921">
      <c r="A921" s="1254"/>
      <c r="B921" s="1254"/>
      <c r="C921" s="1320"/>
      <c r="D921" s="1254"/>
      <c r="E921" s="1254"/>
      <c r="F921" s="1263"/>
      <c r="G921" s="1317"/>
      <c r="H921" s="1254"/>
      <c r="I921" s="1318"/>
      <c r="J921" s="1254"/>
      <c r="K921" s="1254"/>
      <c r="L921" s="1254"/>
      <c r="M921" s="1254"/>
      <c r="N921" s="1318"/>
      <c r="O921" s="1386"/>
      <c r="P921" s="1254"/>
      <c r="Q921" s="1254"/>
      <c r="R921" s="1254"/>
      <c r="S921" s="1254"/>
      <c r="T921" s="1254"/>
      <c r="U921" s="1254"/>
      <c r="V921" s="1254"/>
      <c r="W921" s="1254"/>
      <c r="X921" s="1254"/>
      <c r="Y921" s="1254"/>
      <c r="Z921" s="1254"/>
    </row>
    <row r="922">
      <c r="A922" s="1254"/>
      <c r="B922" s="1254"/>
      <c r="C922" s="1320"/>
      <c r="D922" s="1254"/>
      <c r="E922" s="1254"/>
      <c r="F922" s="1263"/>
      <c r="G922" s="1317"/>
      <c r="H922" s="1254"/>
      <c r="I922" s="1318"/>
      <c r="J922" s="1254"/>
      <c r="K922" s="1254"/>
      <c r="L922" s="1254"/>
      <c r="M922" s="1254"/>
      <c r="N922" s="1318"/>
      <c r="O922" s="1386"/>
      <c r="P922" s="1254"/>
      <c r="Q922" s="1254"/>
      <c r="R922" s="1254"/>
      <c r="S922" s="1254"/>
      <c r="T922" s="1254"/>
      <c r="U922" s="1254"/>
      <c r="V922" s="1254"/>
      <c r="W922" s="1254"/>
      <c r="X922" s="1254"/>
      <c r="Y922" s="1254"/>
      <c r="Z922" s="1254"/>
    </row>
    <row r="923">
      <c r="A923" s="1254"/>
      <c r="B923" s="1254"/>
      <c r="C923" s="1320"/>
      <c r="D923" s="1254"/>
      <c r="E923" s="1254"/>
      <c r="F923" s="1263"/>
      <c r="G923" s="1317"/>
      <c r="H923" s="1254"/>
      <c r="I923" s="1318"/>
      <c r="J923" s="1254"/>
      <c r="K923" s="1254"/>
      <c r="L923" s="1254"/>
      <c r="M923" s="1254"/>
      <c r="N923" s="1318"/>
      <c r="O923" s="1386"/>
      <c r="P923" s="1254"/>
      <c r="Q923" s="1254"/>
      <c r="R923" s="1254"/>
      <c r="S923" s="1254"/>
      <c r="T923" s="1254"/>
      <c r="U923" s="1254"/>
      <c r="V923" s="1254"/>
      <c r="W923" s="1254"/>
      <c r="X923" s="1254"/>
      <c r="Y923" s="1254"/>
      <c r="Z923" s="1254"/>
    </row>
    <row r="924">
      <c r="A924" s="1254"/>
      <c r="B924" s="1254"/>
      <c r="C924" s="1320"/>
      <c r="D924" s="1254"/>
      <c r="E924" s="1254"/>
      <c r="F924" s="1263"/>
      <c r="G924" s="1317"/>
      <c r="H924" s="1254"/>
      <c r="I924" s="1318"/>
      <c r="J924" s="1254"/>
      <c r="K924" s="1254"/>
      <c r="L924" s="1254"/>
      <c r="M924" s="1254"/>
      <c r="N924" s="1318"/>
      <c r="O924" s="1386"/>
      <c r="P924" s="1254"/>
      <c r="Q924" s="1254"/>
      <c r="R924" s="1254"/>
      <c r="S924" s="1254"/>
      <c r="T924" s="1254"/>
      <c r="U924" s="1254"/>
      <c r="V924" s="1254"/>
      <c r="W924" s="1254"/>
      <c r="X924" s="1254"/>
      <c r="Y924" s="1254"/>
      <c r="Z924" s="1254"/>
    </row>
    <row r="925">
      <c r="A925" s="1254"/>
      <c r="B925" s="1254"/>
      <c r="C925" s="1320"/>
      <c r="D925" s="1254"/>
      <c r="E925" s="1254"/>
      <c r="F925" s="1263"/>
      <c r="G925" s="1317"/>
      <c r="H925" s="1254"/>
      <c r="I925" s="1318"/>
      <c r="J925" s="1254"/>
      <c r="K925" s="1254"/>
      <c r="L925" s="1254"/>
      <c r="M925" s="1254"/>
      <c r="N925" s="1318"/>
      <c r="O925" s="1386"/>
      <c r="P925" s="1254"/>
      <c r="Q925" s="1254"/>
      <c r="R925" s="1254"/>
      <c r="S925" s="1254"/>
      <c r="T925" s="1254"/>
      <c r="U925" s="1254"/>
      <c r="V925" s="1254"/>
      <c r="W925" s="1254"/>
      <c r="X925" s="1254"/>
      <c r="Y925" s="1254"/>
      <c r="Z925" s="1254"/>
    </row>
    <row r="926">
      <c r="A926" s="1254"/>
      <c r="B926" s="1254"/>
      <c r="C926" s="1320"/>
      <c r="D926" s="1254"/>
      <c r="E926" s="1254"/>
      <c r="F926" s="1263"/>
      <c r="G926" s="1317"/>
      <c r="H926" s="1254"/>
      <c r="I926" s="1318"/>
      <c r="J926" s="1254"/>
      <c r="K926" s="1254"/>
      <c r="L926" s="1254"/>
      <c r="M926" s="1254"/>
      <c r="N926" s="1318"/>
      <c r="O926" s="1386"/>
      <c r="P926" s="1254"/>
      <c r="Q926" s="1254"/>
      <c r="R926" s="1254"/>
      <c r="S926" s="1254"/>
      <c r="T926" s="1254"/>
      <c r="U926" s="1254"/>
      <c r="V926" s="1254"/>
      <c r="W926" s="1254"/>
      <c r="X926" s="1254"/>
      <c r="Y926" s="1254"/>
      <c r="Z926" s="1254"/>
    </row>
    <row r="927">
      <c r="A927" s="1254"/>
      <c r="B927" s="1254"/>
      <c r="C927" s="1320"/>
      <c r="D927" s="1254"/>
      <c r="E927" s="1254"/>
      <c r="F927" s="1263"/>
      <c r="G927" s="1317"/>
      <c r="H927" s="1254"/>
      <c r="I927" s="1318"/>
      <c r="J927" s="1254"/>
      <c r="K927" s="1254"/>
      <c r="L927" s="1254"/>
      <c r="M927" s="1254"/>
      <c r="N927" s="1318"/>
      <c r="O927" s="1386"/>
      <c r="P927" s="1254"/>
      <c r="Q927" s="1254"/>
      <c r="R927" s="1254"/>
      <c r="S927" s="1254"/>
      <c r="T927" s="1254"/>
      <c r="U927" s="1254"/>
      <c r="V927" s="1254"/>
      <c r="W927" s="1254"/>
      <c r="X927" s="1254"/>
      <c r="Y927" s="1254"/>
      <c r="Z927" s="1254"/>
    </row>
    <row r="928">
      <c r="A928" s="1254"/>
      <c r="B928" s="1254"/>
      <c r="C928" s="1320"/>
      <c r="D928" s="1254"/>
      <c r="E928" s="1254"/>
      <c r="F928" s="1263"/>
      <c r="G928" s="1317"/>
      <c r="H928" s="1254"/>
      <c r="I928" s="1318"/>
      <c r="J928" s="1254"/>
      <c r="K928" s="1254"/>
      <c r="L928" s="1254"/>
      <c r="M928" s="1254"/>
      <c r="N928" s="1318"/>
      <c r="O928" s="1386"/>
      <c r="P928" s="1254"/>
      <c r="Q928" s="1254"/>
      <c r="R928" s="1254"/>
      <c r="S928" s="1254"/>
      <c r="T928" s="1254"/>
      <c r="U928" s="1254"/>
      <c r="V928" s="1254"/>
      <c r="W928" s="1254"/>
      <c r="X928" s="1254"/>
      <c r="Y928" s="1254"/>
      <c r="Z928" s="1254"/>
    </row>
    <row r="929">
      <c r="A929" s="1254"/>
      <c r="B929" s="1254"/>
      <c r="C929" s="1320"/>
      <c r="D929" s="1254"/>
      <c r="E929" s="1254"/>
      <c r="F929" s="1263"/>
      <c r="G929" s="1317"/>
      <c r="H929" s="1254"/>
      <c r="I929" s="1318"/>
      <c r="J929" s="1254"/>
      <c r="K929" s="1254"/>
      <c r="L929" s="1254"/>
      <c r="M929" s="1254"/>
      <c r="N929" s="1318"/>
      <c r="O929" s="1386"/>
      <c r="P929" s="1254"/>
      <c r="Q929" s="1254"/>
      <c r="R929" s="1254"/>
      <c r="S929" s="1254"/>
      <c r="T929" s="1254"/>
      <c r="U929" s="1254"/>
      <c r="V929" s="1254"/>
      <c r="W929" s="1254"/>
      <c r="X929" s="1254"/>
      <c r="Y929" s="1254"/>
      <c r="Z929" s="1254"/>
    </row>
    <row r="930">
      <c r="A930" s="1254"/>
      <c r="B930" s="1254"/>
      <c r="C930" s="1320"/>
      <c r="D930" s="1254"/>
      <c r="E930" s="1254"/>
      <c r="F930" s="1263"/>
      <c r="G930" s="1317"/>
      <c r="H930" s="1254"/>
      <c r="I930" s="1318"/>
      <c r="J930" s="1254"/>
      <c r="K930" s="1254"/>
      <c r="L930" s="1254"/>
      <c r="M930" s="1254"/>
      <c r="N930" s="1318"/>
      <c r="O930" s="1386"/>
      <c r="P930" s="1254"/>
      <c r="Q930" s="1254"/>
      <c r="R930" s="1254"/>
      <c r="S930" s="1254"/>
      <c r="T930" s="1254"/>
      <c r="U930" s="1254"/>
      <c r="V930" s="1254"/>
      <c r="W930" s="1254"/>
      <c r="X930" s="1254"/>
      <c r="Y930" s="1254"/>
      <c r="Z930" s="1254"/>
    </row>
    <row r="931">
      <c r="A931" s="1254"/>
      <c r="B931" s="1254"/>
      <c r="C931" s="1320"/>
      <c r="D931" s="1254"/>
      <c r="E931" s="1254"/>
      <c r="F931" s="1263"/>
      <c r="G931" s="1317"/>
      <c r="H931" s="1254"/>
      <c r="I931" s="1318"/>
      <c r="J931" s="1254"/>
      <c r="K931" s="1254"/>
      <c r="L931" s="1254"/>
      <c r="M931" s="1254"/>
      <c r="N931" s="1318"/>
      <c r="O931" s="1386"/>
      <c r="P931" s="1254"/>
      <c r="Q931" s="1254"/>
      <c r="R931" s="1254"/>
      <c r="S931" s="1254"/>
      <c r="T931" s="1254"/>
      <c r="U931" s="1254"/>
      <c r="V931" s="1254"/>
      <c r="W931" s="1254"/>
      <c r="X931" s="1254"/>
      <c r="Y931" s="1254"/>
      <c r="Z931" s="1254"/>
    </row>
    <row r="932">
      <c r="A932" s="1254"/>
      <c r="B932" s="1254"/>
      <c r="C932" s="1320"/>
      <c r="D932" s="1254"/>
      <c r="E932" s="1254"/>
      <c r="F932" s="1263"/>
      <c r="G932" s="1317"/>
      <c r="H932" s="1254"/>
      <c r="I932" s="1318"/>
      <c r="J932" s="1254"/>
      <c r="K932" s="1254"/>
      <c r="L932" s="1254"/>
      <c r="M932" s="1254"/>
      <c r="N932" s="1318"/>
      <c r="O932" s="1386"/>
      <c r="P932" s="1254"/>
      <c r="Q932" s="1254"/>
      <c r="R932" s="1254"/>
      <c r="S932" s="1254"/>
      <c r="T932" s="1254"/>
      <c r="U932" s="1254"/>
      <c r="V932" s="1254"/>
      <c r="W932" s="1254"/>
      <c r="X932" s="1254"/>
      <c r="Y932" s="1254"/>
      <c r="Z932" s="1254"/>
    </row>
    <row r="933">
      <c r="A933" s="1254"/>
      <c r="B933" s="1254"/>
      <c r="C933" s="1320"/>
      <c r="D933" s="1254"/>
      <c r="E933" s="1254"/>
      <c r="F933" s="1263"/>
      <c r="G933" s="1317"/>
      <c r="H933" s="1254"/>
      <c r="I933" s="1318"/>
      <c r="J933" s="1254"/>
      <c r="K933" s="1254"/>
      <c r="L933" s="1254"/>
      <c r="M933" s="1254"/>
      <c r="N933" s="1318"/>
      <c r="O933" s="1386"/>
      <c r="P933" s="1254"/>
      <c r="Q933" s="1254"/>
      <c r="R933" s="1254"/>
      <c r="S933" s="1254"/>
      <c r="T933" s="1254"/>
      <c r="U933" s="1254"/>
      <c r="V933" s="1254"/>
      <c r="W933" s="1254"/>
      <c r="X933" s="1254"/>
      <c r="Y933" s="1254"/>
      <c r="Z933" s="1254"/>
    </row>
    <row r="934">
      <c r="A934" s="1254"/>
      <c r="B934" s="1254"/>
      <c r="C934" s="1320"/>
      <c r="D934" s="1254"/>
      <c r="E934" s="1254"/>
      <c r="F934" s="1263"/>
      <c r="G934" s="1317"/>
      <c r="H934" s="1254"/>
      <c r="I934" s="1318"/>
      <c r="J934" s="1254"/>
      <c r="K934" s="1254"/>
      <c r="L934" s="1254"/>
      <c r="M934" s="1254"/>
      <c r="N934" s="1318"/>
      <c r="O934" s="1386"/>
      <c r="P934" s="1254"/>
      <c r="Q934" s="1254"/>
      <c r="R934" s="1254"/>
      <c r="S934" s="1254"/>
      <c r="T934" s="1254"/>
      <c r="U934" s="1254"/>
      <c r="V934" s="1254"/>
      <c r="W934" s="1254"/>
      <c r="X934" s="1254"/>
      <c r="Y934" s="1254"/>
      <c r="Z934" s="1254"/>
    </row>
    <row r="935">
      <c r="A935" s="1254"/>
      <c r="B935" s="1254"/>
      <c r="C935" s="1320"/>
      <c r="D935" s="1254"/>
      <c r="E935" s="1254"/>
      <c r="F935" s="1263"/>
      <c r="G935" s="1317"/>
      <c r="H935" s="1254"/>
      <c r="I935" s="1318"/>
      <c r="J935" s="1254"/>
      <c r="K935" s="1254"/>
      <c r="L935" s="1254"/>
      <c r="M935" s="1254"/>
      <c r="N935" s="1318"/>
      <c r="O935" s="1386"/>
      <c r="P935" s="1254"/>
      <c r="Q935" s="1254"/>
      <c r="R935" s="1254"/>
      <c r="S935" s="1254"/>
      <c r="T935" s="1254"/>
      <c r="U935" s="1254"/>
      <c r="V935" s="1254"/>
      <c r="W935" s="1254"/>
      <c r="X935" s="1254"/>
      <c r="Y935" s="1254"/>
      <c r="Z935" s="1254"/>
    </row>
    <row r="936">
      <c r="A936" s="1254"/>
      <c r="B936" s="1254"/>
      <c r="C936" s="1320"/>
      <c r="D936" s="1254"/>
      <c r="E936" s="1254"/>
      <c r="F936" s="1263"/>
      <c r="G936" s="1317"/>
      <c r="H936" s="1254"/>
      <c r="I936" s="1318"/>
      <c r="J936" s="1254"/>
      <c r="K936" s="1254"/>
      <c r="L936" s="1254"/>
      <c r="M936" s="1254"/>
      <c r="N936" s="1318"/>
      <c r="O936" s="1386"/>
      <c r="P936" s="1254"/>
      <c r="Q936" s="1254"/>
      <c r="R936" s="1254"/>
      <c r="S936" s="1254"/>
      <c r="T936" s="1254"/>
      <c r="U936" s="1254"/>
      <c r="V936" s="1254"/>
      <c r="W936" s="1254"/>
      <c r="X936" s="1254"/>
      <c r="Y936" s="1254"/>
      <c r="Z936" s="1254"/>
    </row>
    <row r="937">
      <c r="A937" s="1254"/>
      <c r="B937" s="1254"/>
      <c r="C937" s="1320"/>
      <c r="D937" s="1254"/>
      <c r="E937" s="1254"/>
      <c r="F937" s="1263"/>
      <c r="G937" s="1317"/>
      <c r="H937" s="1254"/>
      <c r="I937" s="1318"/>
      <c r="J937" s="1254"/>
      <c r="K937" s="1254"/>
      <c r="L937" s="1254"/>
      <c r="M937" s="1254"/>
      <c r="N937" s="1318"/>
      <c r="O937" s="1386"/>
      <c r="P937" s="1254"/>
      <c r="Q937" s="1254"/>
      <c r="R937" s="1254"/>
      <c r="S937" s="1254"/>
      <c r="T937" s="1254"/>
      <c r="U937" s="1254"/>
      <c r="V937" s="1254"/>
      <c r="W937" s="1254"/>
      <c r="X937" s="1254"/>
      <c r="Y937" s="1254"/>
      <c r="Z937" s="1254"/>
    </row>
    <row r="938">
      <c r="A938" s="1254"/>
      <c r="B938" s="1254"/>
      <c r="C938" s="1320"/>
      <c r="D938" s="1254"/>
      <c r="E938" s="1254"/>
      <c r="F938" s="1263"/>
      <c r="G938" s="1317"/>
      <c r="H938" s="1254"/>
      <c r="I938" s="1318"/>
      <c r="J938" s="1254"/>
      <c r="K938" s="1254"/>
      <c r="L938" s="1254"/>
      <c r="M938" s="1254"/>
      <c r="N938" s="1318"/>
      <c r="O938" s="1386"/>
      <c r="P938" s="1254"/>
      <c r="Q938" s="1254"/>
      <c r="R938" s="1254"/>
      <c r="S938" s="1254"/>
      <c r="T938" s="1254"/>
      <c r="U938" s="1254"/>
      <c r="V938" s="1254"/>
      <c r="W938" s="1254"/>
      <c r="X938" s="1254"/>
      <c r="Y938" s="1254"/>
      <c r="Z938" s="1254"/>
    </row>
    <row r="939">
      <c r="A939" s="1254"/>
      <c r="B939" s="1254"/>
      <c r="C939" s="1320"/>
      <c r="D939" s="1254"/>
      <c r="E939" s="1254"/>
      <c r="F939" s="1263"/>
      <c r="G939" s="1317"/>
      <c r="H939" s="1254"/>
      <c r="I939" s="1318"/>
      <c r="J939" s="1254"/>
      <c r="K939" s="1254"/>
      <c r="L939" s="1254"/>
      <c r="M939" s="1254"/>
      <c r="N939" s="1318"/>
      <c r="O939" s="1386"/>
      <c r="P939" s="1254"/>
      <c r="Q939" s="1254"/>
      <c r="R939" s="1254"/>
      <c r="S939" s="1254"/>
      <c r="T939" s="1254"/>
      <c r="U939" s="1254"/>
      <c r="V939" s="1254"/>
      <c r="W939" s="1254"/>
      <c r="X939" s="1254"/>
      <c r="Y939" s="1254"/>
      <c r="Z939" s="1254"/>
    </row>
    <row r="940">
      <c r="A940" s="1254"/>
      <c r="B940" s="1254"/>
      <c r="C940" s="1320"/>
      <c r="D940" s="1254"/>
      <c r="E940" s="1254"/>
      <c r="F940" s="1263"/>
      <c r="G940" s="1317"/>
      <c r="H940" s="1254"/>
      <c r="I940" s="1318"/>
      <c r="J940" s="1254"/>
      <c r="K940" s="1254"/>
      <c r="L940" s="1254"/>
      <c r="M940" s="1254"/>
      <c r="N940" s="1318"/>
      <c r="O940" s="1386"/>
      <c r="P940" s="1254"/>
      <c r="Q940" s="1254"/>
      <c r="R940" s="1254"/>
      <c r="S940" s="1254"/>
      <c r="T940" s="1254"/>
      <c r="U940" s="1254"/>
      <c r="V940" s="1254"/>
      <c r="W940" s="1254"/>
      <c r="X940" s="1254"/>
      <c r="Y940" s="1254"/>
      <c r="Z940" s="1254"/>
    </row>
    <row r="941">
      <c r="A941" s="1254"/>
      <c r="B941" s="1254"/>
      <c r="C941" s="1320"/>
      <c r="D941" s="1254"/>
      <c r="E941" s="1254"/>
      <c r="F941" s="1263"/>
      <c r="G941" s="1317"/>
      <c r="H941" s="1254"/>
      <c r="I941" s="1318"/>
      <c r="J941" s="1254"/>
      <c r="K941" s="1254"/>
      <c r="L941" s="1254"/>
      <c r="M941" s="1254"/>
      <c r="N941" s="1318"/>
      <c r="O941" s="1386"/>
      <c r="P941" s="1254"/>
      <c r="Q941" s="1254"/>
      <c r="R941" s="1254"/>
      <c r="S941" s="1254"/>
      <c r="T941" s="1254"/>
      <c r="U941" s="1254"/>
      <c r="V941" s="1254"/>
      <c r="W941" s="1254"/>
      <c r="X941" s="1254"/>
      <c r="Y941" s="1254"/>
      <c r="Z941" s="1254"/>
    </row>
    <row r="942">
      <c r="A942" s="1254"/>
      <c r="B942" s="1254"/>
      <c r="C942" s="1320"/>
      <c r="D942" s="1254"/>
      <c r="E942" s="1254"/>
      <c r="F942" s="1263"/>
      <c r="G942" s="1317"/>
      <c r="H942" s="1254"/>
      <c r="I942" s="1318"/>
      <c r="J942" s="1254"/>
      <c r="K942" s="1254"/>
      <c r="L942" s="1254"/>
      <c r="M942" s="1254"/>
      <c r="N942" s="1318"/>
      <c r="O942" s="1386"/>
      <c r="P942" s="1254"/>
      <c r="Q942" s="1254"/>
      <c r="R942" s="1254"/>
      <c r="S942" s="1254"/>
      <c r="T942" s="1254"/>
      <c r="U942" s="1254"/>
      <c r="V942" s="1254"/>
      <c r="W942" s="1254"/>
      <c r="X942" s="1254"/>
      <c r="Y942" s="1254"/>
      <c r="Z942" s="1254"/>
    </row>
    <row r="943">
      <c r="A943" s="1254"/>
      <c r="B943" s="1254"/>
      <c r="C943" s="1320"/>
      <c r="D943" s="1254"/>
      <c r="E943" s="1254"/>
      <c r="F943" s="1263"/>
      <c r="G943" s="1317"/>
      <c r="H943" s="1254"/>
      <c r="I943" s="1318"/>
      <c r="J943" s="1254"/>
      <c r="K943" s="1254"/>
      <c r="L943" s="1254"/>
      <c r="M943" s="1254"/>
      <c r="N943" s="1318"/>
      <c r="O943" s="1386"/>
      <c r="P943" s="1254"/>
      <c r="Q943" s="1254"/>
      <c r="R943" s="1254"/>
      <c r="S943" s="1254"/>
      <c r="T943" s="1254"/>
      <c r="U943" s="1254"/>
      <c r="V943" s="1254"/>
      <c r="W943" s="1254"/>
      <c r="X943" s="1254"/>
      <c r="Y943" s="1254"/>
      <c r="Z943" s="1254"/>
    </row>
    <row r="944">
      <c r="A944" s="1254"/>
      <c r="B944" s="1254"/>
      <c r="C944" s="1320"/>
      <c r="D944" s="1254"/>
      <c r="E944" s="1254"/>
      <c r="F944" s="1263"/>
      <c r="G944" s="1317"/>
      <c r="H944" s="1254"/>
      <c r="I944" s="1318"/>
      <c r="J944" s="1254"/>
      <c r="K944" s="1254"/>
      <c r="L944" s="1254"/>
      <c r="M944" s="1254"/>
      <c r="N944" s="1318"/>
      <c r="O944" s="1386"/>
      <c r="P944" s="1254"/>
      <c r="Q944" s="1254"/>
      <c r="R944" s="1254"/>
      <c r="S944" s="1254"/>
      <c r="T944" s="1254"/>
      <c r="U944" s="1254"/>
      <c r="V944" s="1254"/>
      <c r="W944" s="1254"/>
      <c r="X944" s="1254"/>
      <c r="Y944" s="1254"/>
      <c r="Z944" s="1254"/>
    </row>
    <row r="945">
      <c r="A945" s="1254"/>
      <c r="B945" s="1254"/>
      <c r="C945" s="1320"/>
      <c r="D945" s="1254"/>
      <c r="E945" s="1254"/>
      <c r="F945" s="1263"/>
      <c r="G945" s="1317"/>
      <c r="H945" s="1254"/>
      <c r="I945" s="1318"/>
      <c r="J945" s="1254"/>
      <c r="K945" s="1254"/>
      <c r="L945" s="1254"/>
      <c r="M945" s="1254"/>
      <c r="N945" s="1318"/>
      <c r="O945" s="1386"/>
      <c r="P945" s="1254"/>
      <c r="Q945" s="1254"/>
      <c r="R945" s="1254"/>
      <c r="S945" s="1254"/>
      <c r="T945" s="1254"/>
      <c r="U945" s="1254"/>
      <c r="V945" s="1254"/>
      <c r="W945" s="1254"/>
      <c r="X945" s="1254"/>
      <c r="Y945" s="1254"/>
      <c r="Z945" s="1254"/>
    </row>
    <row r="946">
      <c r="A946" s="1254"/>
      <c r="B946" s="1254"/>
      <c r="C946" s="1320"/>
      <c r="D946" s="1254"/>
      <c r="E946" s="1254"/>
      <c r="F946" s="1263"/>
      <c r="G946" s="1317"/>
      <c r="H946" s="1254"/>
      <c r="I946" s="1318"/>
      <c r="J946" s="1254"/>
      <c r="K946" s="1254"/>
      <c r="L946" s="1254"/>
      <c r="M946" s="1254"/>
      <c r="N946" s="1318"/>
      <c r="O946" s="1386"/>
      <c r="P946" s="1254"/>
      <c r="Q946" s="1254"/>
      <c r="R946" s="1254"/>
      <c r="S946" s="1254"/>
      <c r="T946" s="1254"/>
      <c r="U946" s="1254"/>
      <c r="V946" s="1254"/>
      <c r="W946" s="1254"/>
      <c r="X946" s="1254"/>
      <c r="Y946" s="1254"/>
      <c r="Z946" s="1254"/>
    </row>
    <row r="947">
      <c r="A947" s="1254"/>
      <c r="B947" s="1254"/>
      <c r="C947" s="1320"/>
      <c r="D947" s="1254"/>
      <c r="E947" s="1254"/>
      <c r="F947" s="1263"/>
      <c r="G947" s="1317"/>
      <c r="H947" s="1254"/>
      <c r="I947" s="1318"/>
      <c r="J947" s="1254"/>
      <c r="K947" s="1254"/>
      <c r="L947" s="1254"/>
      <c r="M947" s="1254"/>
      <c r="N947" s="1318"/>
      <c r="O947" s="1386"/>
      <c r="P947" s="1254"/>
      <c r="Q947" s="1254"/>
      <c r="R947" s="1254"/>
      <c r="S947" s="1254"/>
      <c r="T947" s="1254"/>
      <c r="U947" s="1254"/>
      <c r="V947" s="1254"/>
      <c r="W947" s="1254"/>
      <c r="X947" s="1254"/>
      <c r="Y947" s="1254"/>
      <c r="Z947" s="1254"/>
    </row>
    <row r="948">
      <c r="A948" s="1254"/>
      <c r="B948" s="1254"/>
      <c r="C948" s="1320"/>
      <c r="D948" s="1254"/>
      <c r="E948" s="1254"/>
      <c r="F948" s="1263"/>
      <c r="G948" s="1317"/>
      <c r="H948" s="1254"/>
      <c r="I948" s="1318"/>
      <c r="J948" s="1254"/>
      <c r="K948" s="1254"/>
      <c r="L948" s="1254"/>
      <c r="M948" s="1254"/>
      <c r="N948" s="1318"/>
      <c r="O948" s="1386"/>
      <c r="P948" s="1254"/>
      <c r="Q948" s="1254"/>
      <c r="R948" s="1254"/>
      <c r="S948" s="1254"/>
      <c r="T948" s="1254"/>
      <c r="U948" s="1254"/>
      <c r="V948" s="1254"/>
      <c r="W948" s="1254"/>
      <c r="X948" s="1254"/>
      <c r="Y948" s="1254"/>
      <c r="Z948" s="1254"/>
    </row>
    <row r="949">
      <c r="A949" s="1254"/>
      <c r="B949" s="1254"/>
      <c r="C949" s="1320"/>
      <c r="D949" s="1254"/>
      <c r="E949" s="1254"/>
      <c r="F949" s="1263"/>
      <c r="G949" s="1317"/>
      <c r="H949" s="1254"/>
      <c r="I949" s="1318"/>
      <c r="J949" s="1254"/>
      <c r="K949" s="1254"/>
      <c r="L949" s="1254"/>
      <c r="M949" s="1254"/>
      <c r="N949" s="1318"/>
      <c r="O949" s="1386"/>
      <c r="P949" s="1254"/>
      <c r="Q949" s="1254"/>
      <c r="R949" s="1254"/>
      <c r="S949" s="1254"/>
      <c r="T949" s="1254"/>
      <c r="U949" s="1254"/>
      <c r="V949" s="1254"/>
      <c r="W949" s="1254"/>
      <c r="X949" s="1254"/>
      <c r="Y949" s="1254"/>
      <c r="Z949" s="1254"/>
    </row>
    <row r="950">
      <c r="A950" s="1254"/>
      <c r="B950" s="1254"/>
      <c r="C950" s="1320"/>
      <c r="D950" s="1254"/>
      <c r="E950" s="1254"/>
      <c r="F950" s="1263"/>
      <c r="G950" s="1317"/>
      <c r="H950" s="1254"/>
      <c r="I950" s="1318"/>
      <c r="J950" s="1254"/>
      <c r="K950" s="1254"/>
      <c r="L950" s="1254"/>
      <c r="M950" s="1254"/>
      <c r="N950" s="1318"/>
      <c r="O950" s="1386"/>
      <c r="P950" s="1254"/>
      <c r="Q950" s="1254"/>
      <c r="R950" s="1254"/>
      <c r="S950" s="1254"/>
      <c r="T950" s="1254"/>
      <c r="U950" s="1254"/>
      <c r="V950" s="1254"/>
      <c r="W950" s="1254"/>
      <c r="X950" s="1254"/>
      <c r="Y950" s="1254"/>
      <c r="Z950" s="1254"/>
    </row>
    <row r="951">
      <c r="A951" s="1254"/>
      <c r="B951" s="1254"/>
      <c r="C951" s="1320"/>
      <c r="D951" s="1254"/>
      <c r="E951" s="1254"/>
      <c r="F951" s="1263"/>
      <c r="G951" s="1317"/>
      <c r="H951" s="1254"/>
      <c r="I951" s="1318"/>
      <c r="J951" s="1254"/>
      <c r="K951" s="1254"/>
      <c r="L951" s="1254"/>
      <c r="M951" s="1254"/>
      <c r="N951" s="1318"/>
      <c r="O951" s="1386"/>
      <c r="P951" s="1254"/>
      <c r="Q951" s="1254"/>
      <c r="R951" s="1254"/>
      <c r="S951" s="1254"/>
      <c r="T951" s="1254"/>
      <c r="U951" s="1254"/>
      <c r="V951" s="1254"/>
      <c r="W951" s="1254"/>
      <c r="X951" s="1254"/>
      <c r="Y951" s="1254"/>
      <c r="Z951" s="1254"/>
    </row>
    <row r="952">
      <c r="A952" s="1254"/>
      <c r="B952" s="1254"/>
      <c r="C952" s="1320"/>
      <c r="D952" s="1254"/>
      <c r="E952" s="1254"/>
      <c r="F952" s="1263"/>
      <c r="G952" s="1317"/>
      <c r="H952" s="1254"/>
      <c r="I952" s="1318"/>
      <c r="J952" s="1254"/>
      <c r="K952" s="1254"/>
      <c r="L952" s="1254"/>
      <c r="M952" s="1254"/>
      <c r="N952" s="1318"/>
      <c r="O952" s="1386"/>
      <c r="P952" s="1254"/>
      <c r="Q952" s="1254"/>
      <c r="R952" s="1254"/>
      <c r="S952" s="1254"/>
      <c r="T952" s="1254"/>
      <c r="U952" s="1254"/>
      <c r="V952" s="1254"/>
      <c r="W952" s="1254"/>
      <c r="X952" s="1254"/>
      <c r="Y952" s="1254"/>
      <c r="Z952" s="1254"/>
    </row>
    <row r="953">
      <c r="A953" s="1254"/>
      <c r="B953" s="1254"/>
      <c r="C953" s="1320"/>
      <c r="D953" s="1254"/>
      <c r="E953" s="1254"/>
      <c r="F953" s="1263"/>
      <c r="G953" s="1317"/>
      <c r="H953" s="1254"/>
      <c r="I953" s="1318"/>
      <c r="J953" s="1254"/>
      <c r="K953" s="1254"/>
      <c r="L953" s="1254"/>
      <c r="M953" s="1254"/>
      <c r="N953" s="1318"/>
      <c r="O953" s="1386"/>
      <c r="P953" s="1254"/>
      <c r="Q953" s="1254"/>
      <c r="R953" s="1254"/>
      <c r="S953" s="1254"/>
      <c r="T953" s="1254"/>
      <c r="U953" s="1254"/>
      <c r="V953" s="1254"/>
      <c r="W953" s="1254"/>
      <c r="X953" s="1254"/>
      <c r="Y953" s="1254"/>
      <c r="Z953" s="1254"/>
    </row>
    <row r="954">
      <c r="A954" s="1254"/>
      <c r="B954" s="1254"/>
      <c r="C954" s="1320"/>
      <c r="D954" s="1254"/>
      <c r="E954" s="1254"/>
      <c r="F954" s="1263"/>
      <c r="G954" s="1317"/>
      <c r="H954" s="1254"/>
      <c r="I954" s="1318"/>
      <c r="J954" s="1254"/>
      <c r="K954" s="1254"/>
      <c r="L954" s="1254"/>
      <c r="M954" s="1254"/>
      <c r="N954" s="1318"/>
      <c r="O954" s="1386"/>
      <c r="P954" s="1254"/>
      <c r="Q954" s="1254"/>
      <c r="R954" s="1254"/>
      <c r="S954" s="1254"/>
      <c r="T954" s="1254"/>
      <c r="U954" s="1254"/>
      <c r="V954" s="1254"/>
      <c r="W954" s="1254"/>
      <c r="X954" s="1254"/>
      <c r="Y954" s="1254"/>
      <c r="Z954" s="1254"/>
    </row>
    <row r="955">
      <c r="A955" s="1254"/>
      <c r="B955" s="1254"/>
      <c r="C955" s="1320"/>
      <c r="D955" s="1254"/>
      <c r="E955" s="1254"/>
      <c r="F955" s="1263"/>
      <c r="G955" s="1317"/>
      <c r="H955" s="1254"/>
      <c r="I955" s="1318"/>
      <c r="J955" s="1254"/>
      <c r="K955" s="1254"/>
      <c r="L955" s="1254"/>
      <c r="M955" s="1254"/>
      <c r="N955" s="1318"/>
      <c r="O955" s="1386"/>
      <c r="P955" s="1254"/>
      <c r="Q955" s="1254"/>
      <c r="R955" s="1254"/>
      <c r="S955" s="1254"/>
      <c r="T955" s="1254"/>
      <c r="U955" s="1254"/>
      <c r="V955" s="1254"/>
      <c r="W955" s="1254"/>
      <c r="X955" s="1254"/>
      <c r="Y955" s="1254"/>
      <c r="Z955" s="1254"/>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400" t="s">
        <v>1177</v>
      </c>
      <c r="B1" s="1400"/>
      <c r="C1" s="1400"/>
      <c r="D1" s="1400"/>
      <c r="E1" s="1400"/>
      <c r="F1" s="1400"/>
      <c r="G1" s="1400"/>
      <c r="H1" s="1400"/>
      <c r="I1" s="1401"/>
      <c r="J1" s="1401"/>
      <c r="K1" s="1401"/>
      <c r="L1" s="1401"/>
      <c r="M1" s="1401"/>
      <c r="N1" s="1401"/>
      <c r="O1" s="1401"/>
      <c r="P1" s="1401"/>
      <c r="Q1" s="1401"/>
      <c r="R1" s="1401"/>
      <c r="S1" s="1401"/>
      <c r="T1" s="1401"/>
      <c r="U1" s="1401"/>
      <c r="V1" s="1401"/>
      <c r="W1" s="1401"/>
      <c r="X1" s="1401"/>
      <c r="Y1" s="1401"/>
      <c r="Z1" s="1401"/>
    </row>
    <row r="2">
      <c r="A2" s="1400" t="s">
        <v>9</v>
      </c>
      <c r="B2" s="1400" t="s">
        <v>1178</v>
      </c>
      <c r="C2" s="1400">
        <v>1.0</v>
      </c>
      <c r="D2" s="1400">
        <v>2.0</v>
      </c>
      <c r="E2" s="1400">
        <v>3.0</v>
      </c>
      <c r="F2" s="1400">
        <v>4.0</v>
      </c>
      <c r="G2" s="1400">
        <v>5.0</v>
      </c>
      <c r="H2" s="1400">
        <v>6.0</v>
      </c>
      <c r="I2" s="1401"/>
      <c r="J2" s="1401"/>
      <c r="K2" s="1401"/>
      <c r="L2" s="1401"/>
      <c r="M2" s="1401"/>
      <c r="N2" s="1401"/>
      <c r="O2" s="1401"/>
      <c r="P2" s="1401"/>
      <c r="Q2" s="1401"/>
      <c r="R2" s="1401"/>
      <c r="S2" s="1401"/>
      <c r="T2" s="1401"/>
      <c r="U2" s="1401"/>
      <c r="V2" s="1401"/>
      <c r="W2" s="1401"/>
      <c r="X2" s="1401"/>
      <c r="Y2" s="1401"/>
      <c r="Z2" s="1401"/>
    </row>
    <row r="3">
      <c r="A3" s="1402">
        <v>50.0</v>
      </c>
      <c r="B3" s="1403">
        <v>2.54</v>
      </c>
      <c r="C3" s="1403">
        <v>4.46</v>
      </c>
      <c r="D3" s="1403">
        <v>6.38</v>
      </c>
      <c r="E3" s="1403">
        <v>8.3</v>
      </c>
      <c r="F3" s="1403">
        <v>10.22</v>
      </c>
      <c r="G3" s="1403">
        <v>12.14</v>
      </c>
      <c r="H3" s="1403">
        <v>14.06</v>
      </c>
      <c r="I3" s="1404"/>
      <c r="J3" s="1404"/>
      <c r="K3" s="1404"/>
      <c r="L3" s="1404"/>
      <c r="M3" s="1404"/>
      <c r="N3" s="1404"/>
      <c r="O3" s="1404"/>
      <c r="P3" s="1404"/>
      <c r="Q3" s="1404"/>
      <c r="R3" s="1404"/>
      <c r="S3" s="1404"/>
      <c r="T3" s="1404"/>
      <c r="U3" s="1404"/>
      <c r="V3" s="1404"/>
      <c r="W3" s="1404"/>
      <c r="X3" s="1404"/>
      <c r="Y3" s="1404"/>
      <c r="Z3" s="1404"/>
    </row>
    <row r="4">
      <c r="A4" s="1402">
        <v>100.0</v>
      </c>
      <c r="B4" s="1403">
        <v>5.08</v>
      </c>
      <c r="C4" s="1403">
        <v>7.0</v>
      </c>
      <c r="D4" s="1403">
        <v>8.92</v>
      </c>
      <c r="E4" s="1403">
        <v>10.84</v>
      </c>
      <c r="F4" s="1403">
        <v>12.76</v>
      </c>
      <c r="G4" s="1403">
        <v>14.68</v>
      </c>
      <c r="H4" s="1403">
        <v>16.6</v>
      </c>
      <c r="I4" s="1404"/>
      <c r="J4" s="1404"/>
      <c r="K4" s="1404"/>
      <c r="L4" s="1404"/>
      <c r="M4" s="1404"/>
      <c r="N4" s="1404"/>
      <c r="O4" s="1404"/>
      <c r="P4" s="1404"/>
      <c r="Q4" s="1404"/>
      <c r="R4" s="1404"/>
      <c r="S4" s="1404"/>
      <c r="T4" s="1404"/>
      <c r="U4" s="1404"/>
      <c r="V4" s="1404"/>
      <c r="W4" s="1404"/>
      <c r="X4" s="1404"/>
      <c r="Y4" s="1404"/>
      <c r="Z4" s="1404"/>
    </row>
    <row r="5">
      <c r="A5" s="1402">
        <v>150.0</v>
      </c>
      <c r="B5" s="1403">
        <v>7.62</v>
      </c>
      <c r="C5" s="1403">
        <v>9.54</v>
      </c>
      <c r="D5" s="1403">
        <v>11.46</v>
      </c>
      <c r="E5" s="1403">
        <v>13.38</v>
      </c>
      <c r="F5" s="1403">
        <v>15.3</v>
      </c>
      <c r="G5" s="1403">
        <v>17.22</v>
      </c>
      <c r="H5" s="1403">
        <v>19.14</v>
      </c>
      <c r="I5" s="1404"/>
      <c r="J5" s="1404"/>
      <c r="K5" s="1404"/>
      <c r="L5" s="1404"/>
      <c r="M5" s="1404"/>
      <c r="N5" s="1404"/>
      <c r="O5" s="1404"/>
      <c r="P5" s="1404"/>
      <c r="Q5" s="1404"/>
      <c r="R5" s="1404"/>
      <c r="S5" s="1404"/>
      <c r="T5" s="1404"/>
      <c r="U5" s="1404"/>
      <c r="V5" s="1404"/>
      <c r="W5" s="1404"/>
      <c r="X5" s="1404"/>
      <c r="Y5" s="1404"/>
      <c r="Z5" s="1404"/>
    </row>
    <row r="6">
      <c r="A6" s="1402">
        <v>200.0</v>
      </c>
      <c r="B6" s="1403">
        <v>10.16</v>
      </c>
      <c r="C6" s="1403">
        <v>12.08</v>
      </c>
      <c r="D6" s="1403">
        <v>14.0</v>
      </c>
      <c r="E6" s="1403">
        <v>15.92</v>
      </c>
      <c r="F6" s="1403">
        <v>17.84</v>
      </c>
      <c r="G6" s="1403">
        <v>19.76</v>
      </c>
      <c r="H6" s="1403">
        <v>21.68</v>
      </c>
      <c r="I6" s="1404"/>
      <c r="J6" s="1404"/>
      <c r="K6" s="1404"/>
      <c r="L6" s="1404"/>
      <c r="M6" s="1404"/>
      <c r="N6" s="1404"/>
      <c r="O6" s="1404"/>
      <c r="P6" s="1404"/>
      <c r="Q6" s="1404"/>
      <c r="R6" s="1404"/>
      <c r="S6" s="1404"/>
      <c r="T6" s="1404"/>
      <c r="U6" s="1404"/>
      <c r="V6" s="1404"/>
      <c r="W6" s="1404"/>
      <c r="X6" s="1404"/>
      <c r="Y6" s="1404"/>
      <c r="Z6" s="1404"/>
    </row>
    <row r="7">
      <c r="A7" s="1402">
        <v>250.0</v>
      </c>
      <c r="B7" s="1403">
        <v>12.7</v>
      </c>
      <c r="C7" s="1403">
        <v>14.62</v>
      </c>
      <c r="D7" s="1403">
        <v>16.54</v>
      </c>
      <c r="E7" s="1403">
        <v>18.46</v>
      </c>
      <c r="F7" s="1403">
        <v>20.38</v>
      </c>
      <c r="G7" s="1403">
        <v>22.3</v>
      </c>
      <c r="H7" s="1403">
        <v>24.22</v>
      </c>
      <c r="I7" s="1404"/>
      <c r="J7" s="1404"/>
      <c r="K7" s="1404"/>
      <c r="L7" s="1404"/>
      <c r="M7" s="1404"/>
      <c r="N7" s="1404"/>
      <c r="O7" s="1404"/>
      <c r="P7" s="1404"/>
      <c r="Q7" s="1404"/>
      <c r="R7" s="1404"/>
      <c r="S7" s="1404"/>
      <c r="T7" s="1404"/>
      <c r="U7" s="1404"/>
      <c r="V7" s="1404"/>
      <c r="W7" s="1404"/>
      <c r="X7" s="1404"/>
      <c r="Y7" s="1404"/>
      <c r="Z7" s="1404"/>
    </row>
    <row r="8">
      <c r="A8" s="1402">
        <v>300.0</v>
      </c>
      <c r="B8" s="1403">
        <v>15.24</v>
      </c>
      <c r="C8" s="1403">
        <v>17.16</v>
      </c>
      <c r="D8" s="1403">
        <v>19.08</v>
      </c>
      <c r="E8" s="1403">
        <v>21.0</v>
      </c>
      <c r="F8" s="1403">
        <v>22.92</v>
      </c>
      <c r="G8" s="1403">
        <v>24.84</v>
      </c>
      <c r="H8" s="1403">
        <v>26.76</v>
      </c>
      <c r="I8" s="1404"/>
      <c r="J8" s="1404"/>
      <c r="K8" s="1404"/>
      <c r="L8" s="1404"/>
      <c r="M8" s="1404"/>
      <c r="N8" s="1404"/>
      <c r="O8" s="1404"/>
      <c r="P8" s="1404"/>
      <c r="Q8" s="1404"/>
      <c r="R8" s="1404"/>
      <c r="S8" s="1404"/>
      <c r="T8" s="1404"/>
      <c r="U8" s="1404"/>
      <c r="V8" s="1404"/>
      <c r="W8" s="1404"/>
      <c r="X8" s="1404"/>
      <c r="Y8" s="1404"/>
      <c r="Z8" s="1404"/>
    </row>
    <row r="9">
      <c r="A9" s="1402">
        <v>350.0</v>
      </c>
      <c r="B9" s="1403">
        <v>17.78</v>
      </c>
      <c r="C9" s="1403">
        <v>19.7</v>
      </c>
      <c r="D9" s="1403">
        <v>21.62</v>
      </c>
      <c r="E9" s="1403">
        <v>23.54</v>
      </c>
      <c r="F9" s="1403">
        <v>25.46</v>
      </c>
      <c r="G9" s="1403">
        <v>27.38</v>
      </c>
      <c r="H9" s="1403">
        <v>29.3</v>
      </c>
      <c r="I9" s="1404"/>
      <c r="J9" s="1404"/>
      <c r="K9" s="1404"/>
      <c r="L9" s="1404"/>
      <c r="M9" s="1404"/>
      <c r="N9" s="1404"/>
      <c r="O9" s="1404"/>
      <c r="P9" s="1404"/>
      <c r="Q9" s="1404"/>
      <c r="R9" s="1404"/>
      <c r="S9" s="1404"/>
      <c r="T9" s="1404"/>
      <c r="U9" s="1404"/>
      <c r="V9" s="1404"/>
      <c r="W9" s="1404"/>
      <c r="X9" s="1404"/>
      <c r="Y9" s="1404"/>
      <c r="Z9" s="1404"/>
    </row>
    <row r="10">
      <c r="A10" s="1402">
        <v>400.0</v>
      </c>
      <c r="B10" s="1403">
        <v>20.32</v>
      </c>
      <c r="C10" s="1403">
        <v>22.24</v>
      </c>
      <c r="D10" s="1403">
        <v>24.16</v>
      </c>
      <c r="E10" s="1403">
        <v>26.08</v>
      </c>
      <c r="F10" s="1403">
        <v>28.0</v>
      </c>
      <c r="G10" s="1403">
        <v>29.92</v>
      </c>
      <c r="H10" s="1403">
        <v>31.84</v>
      </c>
      <c r="I10" s="1404"/>
      <c r="J10" s="1404"/>
      <c r="K10" s="1404"/>
      <c r="L10" s="1404"/>
      <c r="M10" s="1404"/>
      <c r="N10" s="1404"/>
      <c r="O10" s="1404"/>
      <c r="P10" s="1404"/>
      <c r="Q10" s="1404"/>
      <c r="R10" s="1404"/>
      <c r="S10" s="1404"/>
      <c r="T10" s="1404"/>
      <c r="U10" s="1404"/>
      <c r="V10" s="1404"/>
      <c r="W10" s="1404"/>
      <c r="X10" s="1404"/>
      <c r="Y10" s="1404"/>
      <c r="Z10" s="1404"/>
    </row>
    <row r="11">
      <c r="A11" s="1402">
        <v>450.0</v>
      </c>
      <c r="B11" s="1403">
        <v>22.86</v>
      </c>
      <c r="C11" s="1403">
        <v>24.78</v>
      </c>
      <c r="D11" s="1403">
        <v>26.7</v>
      </c>
      <c r="E11" s="1403">
        <v>28.62</v>
      </c>
      <c r="F11" s="1403">
        <v>30.54</v>
      </c>
      <c r="G11" s="1403">
        <v>32.46</v>
      </c>
      <c r="H11" s="1403">
        <v>34.38</v>
      </c>
      <c r="I11" s="1404"/>
      <c r="J11" s="1404"/>
      <c r="K11" s="1404"/>
      <c r="L11" s="1404"/>
      <c r="M11" s="1404"/>
      <c r="N11" s="1404"/>
      <c r="O11" s="1404"/>
      <c r="P11" s="1404"/>
      <c r="Q11" s="1404"/>
      <c r="R11" s="1404"/>
      <c r="S11" s="1404"/>
      <c r="T11" s="1404"/>
      <c r="U11" s="1404"/>
      <c r="V11" s="1404"/>
      <c r="W11" s="1404"/>
      <c r="X11" s="1404"/>
      <c r="Y11" s="1404"/>
      <c r="Z11" s="1404"/>
    </row>
    <row r="12">
      <c r="A12" s="1402">
        <v>500.0</v>
      </c>
      <c r="B12" s="1403">
        <v>25.4</v>
      </c>
      <c r="C12" s="1403">
        <v>27.32</v>
      </c>
      <c r="D12" s="1403">
        <v>29.24</v>
      </c>
      <c r="E12" s="1403">
        <v>31.16</v>
      </c>
      <c r="F12" s="1403">
        <v>33.08</v>
      </c>
      <c r="G12" s="1403">
        <v>35.0</v>
      </c>
      <c r="H12" s="1403">
        <v>36.92</v>
      </c>
      <c r="I12" s="1404"/>
      <c r="J12" s="1404"/>
      <c r="K12" s="1404"/>
      <c r="L12" s="1404"/>
      <c r="M12" s="1404"/>
      <c r="N12" s="1404"/>
      <c r="O12" s="1404"/>
      <c r="P12" s="1404"/>
      <c r="Q12" s="1404"/>
      <c r="R12" s="1404"/>
      <c r="S12" s="1404"/>
      <c r="T12" s="1404"/>
      <c r="U12" s="1404"/>
      <c r="V12" s="1404"/>
      <c r="W12" s="1404"/>
      <c r="X12" s="1404"/>
      <c r="Y12" s="1404"/>
      <c r="Z12" s="1404"/>
    </row>
    <row r="13">
      <c r="A13" s="1402">
        <v>550.0</v>
      </c>
      <c r="B13" s="1403">
        <v>27.94</v>
      </c>
      <c r="C13" s="1403">
        <v>29.86</v>
      </c>
      <c r="D13" s="1403">
        <v>31.78</v>
      </c>
      <c r="E13" s="1403">
        <v>33.7</v>
      </c>
      <c r="F13" s="1403">
        <v>35.62</v>
      </c>
      <c r="G13" s="1403">
        <v>37.54</v>
      </c>
      <c r="H13" s="1403">
        <v>39.46</v>
      </c>
      <c r="I13" s="1404"/>
      <c r="J13" s="1404"/>
      <c r="K13" s="1404"/>
      <c r="L13" s="1404"/>
      <c r="M13" s="1404"/>
      <c r="N13" s="1404"/>
      <c r="O13" s="1404"/>
      <c r="P13" s="1404"/>
      <c r="Q13" s="1404"/>
      <c r="R13" s="1404"/>
      <c r="S13" s="1404"/>
      <c r="T13" s="1404"/>
      <c r="U13" s="1404"/>
      <c r="V13" s="1404"/>
      <c r="W13" s="1404"/>
      <c r="X13" s="1404"/>
      <c r="Y13" s="1404"/>
      <c r="Z13" s="1404"/>
    </row>
    <row r="14">
      <c r="A14" s="1402">
        <v>600.0</v>
      </c>
      <c r="B14" s="1403">
        <v>30.48</v>
      </c>
      <c r="C14" s="1403">
        <v>32.4</v>
      </c>
      <c r="D14" s="1403">
        <v>34.32</v>
      </c>
      <c r="E14" s="1403">
        <v>36.24</v>
      </c>
      <c r="F14" s="1403">
        <v>38.16</v>
      </c>
      <c r="G14" s="1403">
        <v>40.08</v>
      </c>
      <c r="H14" s="1403">
        <v>42.0</v>
      </c>
      <c r="I14" s="1404"/>
      <c r="J14" s="1404"/>
      <c r="K14" s="1404"/>
      <c r="L14" s="1404"/>
      <c r="M14" s="1404"/>
      <c r="N14" s="1404"/>
      <c r="O14" s="1404"/>
      <c r="P14" s="1404"/>
      <c r="Q14" s="1404"/>
      <c r="R14" s="1404"/>
      <c r="S14" s="1404"/>
      <c r="T14" s="1404"/>
      <c r="U14" s="1404"/>
      <c r="V14" s="1404"/>
      <c r="W14" s="1404"/>
      <c r="X14" s="1404"/>
      <c r="Y14" s="1404"/>
      <c r="Z14" s="1404"/>
    </row>
    <row r="15">
      <c r="A15" s="1402">
        <v>650.0</v>
      </c>
      <c r="B15" s="1403">
        <v>33.02</v>
      </c>
      <c r="C15" s="1403">
        <v>34.94</v>
      </c>
      <c r="D15" s="1403">
        <v>36.86</v>
      </c>
      <c r="E15" s="1403">
        <v>38.78</v>
      </c>
      <c r="F15" s="1403">
        <v>40.7</v>
      </c>
      <c r="G15" s="1403">
        <v>42.62</v>
      </c>
      <c r="H15" s="1403">
        <v>44.54</v>
      </c>
      <c r="I15" s="1404"/>
      <c r="J15" s="1404"/>
      <c r="K15" s="1404"/>
      <c r="L15" s="1404"/>
      <c r="M15" s="1404"/>
      <c r="N15" s="1404"/>
      <c r="O15" s="1404"/>
      <c r="P15" s="1404"/>
      <c r="Q15" s="1404"/>
      <c r="R15" s="1404"/>
      <c r="S15" s="1404"/>
      <c r="T15" s="1404"/>
      <c r="U15" s="1404"/>
      <c r="V15" s="1404"/>
      <c r="W15" s="1404"/>
      <c r="X15" s="1404"/>
      <c r="Y15" s="1404"/>
      <c r="Z15" s="1404"/>
    </row>
    <row r="16">
      <c r="A16" s="1402">
        <v>700.0</v>
      </c>
      <c r="B16" s="1403">
        <v>35.56</v>
      </c>
      <c r="C16" s="1403">
        <v>37.48</v>
      </c>
      <c r="D16" s="1403">
        <v>39.4</v>
      </c>
      <c r="E16" s="1403">
        <v>41.32</v>
      </c>
      <c r="F16" s="1403">
        <v>43.24</v>
      </c>
      <c r="G16" s="1403">
        <v>45.16</v>
      </c>
      <c r="H16" s="1403">
        <v>47.08</v>
      </c>
      <c r="I16" s="1404"/>
      <c r="J16" s="1404"/>
      <c r="K16" s="1404"/>
      <c r="L16" s="1404"/>
      <c r="M16" s="1404"/>
      <c r="N16" s="1404"/>
      <c r="O16" s="1404"/>
      <c r="P16" s="1404"/>
      <c r="Q16" s="1404"/>
      <c r="R16" s="1404"/>
      <c r="S16" s="1404"/>
      <c r="T16" s="1404"/>
      <c r="U16" s="1404"/>
      <c r="V16" s="1404"/>
      <c r="W16" s="1404"/>
      <c r="X16" s="1404"/>
      <c r="Y16" s="1404"/>
      <c r="Z16" s="1404"/>
    </row>
    <row r="17">
      <c r="A17" s="1402">
        <v>750.0</v>
      </c>
      <c r="B17" s="1403">
        <v>38.1</v>
      </c>
      <c r="C17" s="1403">
        <v>40.02</v>
      </c>
      <c r="D17" s="1403">
        <v>41.94</v>
      </c>
      <c r="E17" s="1403">
        <v>43.86</v>
      </c>
      <c r="F17" s="1403">
        <v>45.78</v>
      </c>
      <c r="G17" s="1403">
        <v>47.7</v>
      </c>
      <c r="H17" s="1403">
        <v>49.62</v>
      </c>
      <c r="I17" s="1404"/>
      <c r="J17" s="1404"/>
      <c r="K17" s="1404"/>
      <c r="L17" s="1404"/>
      <c r="M17" s="1404"/>
      <c r="N17" s="1404"/>
      <c r="O17" s="1404"/>
      <c r="P17" s="1404"/>
      <c r="Q17" s="1404"/>
      <c r="R17" s="1404"/>
      <c r="S17" s="1404"/>
      <c r="T17" s="1404"/>
      <c r="U17" s="1404"/>
      <c r="V17" s="1404"/>
      <c r="W17" s="1404"/>
      <c r="X17" s="1404"/>
      <c r="Y17" s="1404"/>
      <c r="Z17" s="1404"/>
    </row>
    <row r="18">
      <c r="A18" s="1402">
        <v>800.0</v>
      </c>
      <c r="B18" s="1403">
        <v>40.64</v>
      </c>
      <c r="C18" s="1403">
        <v>42.56</v>
      </c>
      <c r="D18" s="1403">
        <v>44.48</v>
      </c>
      <c r="E18" s="1403">
        <v>46.4</v>
      </c>
      <c r="F18" s="1403">
        <v>48.32</v>
      </c>
      <c r="G18" s="1403">
        <v>50.24</v>
      </c>
      <c r="H18" s="1403">
        <v>52.16</v>
      </c>
      <c r="I18" s="1404"/>
      <c r="J18" s="1404"/>
      <c r="K18" s="1404"/>
      <c r="L18" s="1404"/>
      <c r="M18" s="1404"/>
      <c r="N18" s="1404"/>
      <c r="O18" s="1404"/>
      <c r="P18" s="1404"/>
      <c r="Q18" s="1404"/>
      <c r="R18" s="1404"/>
      <c r="S18" s="1404"/>
      <c r="T18" s="1404"/>
      <c r="U18" s="1404"/>
      <c r="V18" s="1404"/>
      <c r="W18" s="1404"/>
      <c r="X18" s="1404"/>
      <c r="Y18" s="1404"/>
      <c r="Z18" s="1404"/>
    </row>
    <row r="19">
      <c r="A19" s="1402">
        <v>850.0</v>
      </c>
      <c r="B19" s="1403">
        <v>43.18</v>
      </c>
      <c r="C19" s="1403">
        <v>45.1</v>
      </c>
      <c r="D19" s="1403">
        <v>47.02</v>
      </c>
      <c r="E19" s="1403">
        <v>48.94</v>
      </c>
      <c r="F19" s="1403">
        <v>50.86</v>
      </c>
      <c r="G19" s="1403">
        <v>52.78</v>
      </c>
      <c r="H19" s="1403">
        <v>54.7</v>
      </c>
      <c r="I19" s="1404"/>
      <c r="J19" s="1404"/>
      <c r="K19" s="1404"/>
      <c r="L19" s="1404"/>
      <c r="M19" s="1404"/>
      <c r="N19" s="1404"/>
      <c r="O19" s="1404"/>
      <c r="P19" s="1404"/>
      <c r="Q19" s="1404"/>
      <c r="R19" s="1404"/>
      <c r="S19" s="1404"/>
      <c r="T19" s="1404"/>
      <c r="U19" s="1404"/>
      <c r="V19" s="1404"/>
      <c r="W19" s="1404"/>
      <c r="X19" s="1404"/>
      <c r="Y19" s="1404"/>
      <c r="Z19" s="1404"/>
    </row>
    <row r="20">
      <c r="A20" s="1402">
        <v>900.0</v>
      </c>
      <c r="B20" s="1403">
        <v>45.72</v>
      </c>
      <c r="C20" s="1403">
        <v>47.64</v>
      </c>
      <c r="D20" s="1403">
        <v>49.56</v>
      </c>
      <c r="E20" s="1403">
        <v>51.48</v>
      </c>
      <c r="F20" s="1403">
        <v>53.4</v>
      </c>
      <c r="G20" s="1403">
        <v>55.32</v>
      </c>
      <c r="H20" s="1403">
        <v>57.24</v>
      </c>
      <c r="I20" s="1404"/>
      <c r="J20" s="1404"/>
      <c r="K20" s="1404"/>
      <c r="L20" s="1404"/>
      <c r="M20" s="1404"/>
      <c r="N20" s="1404"/>
      <c r="O20" s="1404"/>
      <c r="P20" s="1404"/>
      <c r="Q20" s="1404"/>
      <c r="R20" s="1404"/>
      <c r="S20" s="1404"/>
      <c r="T20" s="1404"/>
      <c r="U20" s="1404"/>
      <c r="V20" s="1404"/>
      <c r="W20" s="1404"/>
      <c r="X20" s="1404"/>
      <c r="Y20" s="1404"/>
      <c r="Z20" s="1404"/>
    </row>
    <row r="21">
      <c r="A21" s="1402">
        <v>950.0</v>
      </c>
      <c r="B21" s="1403">
        <v>48.26</v>
      </c>
      <c r="C21" s="1403">
        <v>50.18</v>
      </c>
      <c r="D21" s="1403">
        <v>52.1</v>
      </c>
      <c r="E21" s="1403">
        <v>54.02</v>
      </c>
      <c r="F21" s="1403">
        <v>55.94</v>
      </c>
      <c r="G21" s="1403">
        <v>57.86</v>
      </c>
      <c r="H21" s="1403">
        <v>59.78</v>
      </c>
      <c r="I21" s="1404"/>
      <c r="J21" s="1404"/>
      <c r="K21" s="1404"/>
      <c r="L21" s="1404"/>
      <c r="M21" s="1404"/>
      <c r="N21" s="1404"/>
      <c r="O21" s="1404"/>
      <c r="P21" s="1404"/>
      <c r="Q21" s="1404"/>
      <c r="R21" s="1404"/>
      <c r="S21" s="1404"/>
      <c r="T21" s="1404"/>
      <c r="U21" s="1404"/>
      <c r="V21" s="1404"/>
      <c r="W21" s="1404"/>
      <c r="X21" s="1404"/>
      <c r="Y21" s="1404"/>
      <c r="Z21" s="1404"/>
    </row>
    <row r="22">
      <c r="A22" s="1402">
        <v>1000.0</v>
      </c>
      <c r="B22" s="1403">
        <v>50.8</v>
      </c>
      <c r="C22" s="1403">
        <v>52.72</v>
      </c>
      <c r="D22" s="1403">
        <v>54.64</v>
      </c>
      <c r="E22" s="1403">
        <v>56.56</v>
      </c>
      <c r="F22" s="1403">
        <v>58.48</v>
      </c>
      <c r="G22" s="1403">
        <v>60.4</v>
      </c>
      <c r="H22" s="1403">
        <v>62.32</v>
      </c>
      <c r="I22" s="1404"/>
      <c r="J22" s="1404"/>
      <c r="K22" s="1404"/>
      <c r="L22" s="1404"/>
      <c r="M22" s="1404"/>
      <c r="N22" s="1404"/>
      <c r="O22" s="1404"/>
      <c r="P22" s="1404"/>
      <c r="Q22" s="1404"/>
      <c r="R22" s="1404"/>
      <c r="S22" s="1404"/>
      <c r="T22" s="1404"/>
      <c r="U22" s="1404"/>
      <c r="V22" s="1404"/>
      <c r="W22" s="1404"/>
      <c r="X22" s="1404"/>
      <c r="Y22" s="1404"/>
      <c r="Z22" s="1404"/>
    </row>
    <row r="23">
      <c r="A23" s="1402">
        <v>1050.0</v>
      </c>
      <c r="B23" s="1403">
        <v>53.34</v>
      </c>
      <c r="C23" s="1403">
        <v>55.26</v>
      </c>
      <c r="D23" s="1403">
        <v>57.18</v>
      </c>
      <c r="E23" s="1403">
        <v>59.1</v>
      </c>
      <c r="F23" s="1403">
        <v>61.02</v>
      </c>
      <c r="G23" s="1403">
        <v>62.94</v>
      </c>
      <c r="H23" s="1403">
        <v>64.86</v>
      </c>
      <c r="I23" s="1404"/>
      <c r="J23" s="1404"/>
      <c r="K23" s="1404"/>
      <c r="L23" s="1404"/>
      <c r="M23" s="1404"/>
      <c r="N23" s="1404"/>
      <c r="O23" s="1404"/>
      <c r="P23" s="1404"/>
      <c r="Q23" s="1404"/>
      <c r="R23" s="1404"/>
      <c r="S23" s="1404"/>
      <c r="T23" s="1404"/>
      <c r="U23" s="1404"/>
      <c r="V23" s="1404"/>
      <c r="W23" s="1404"/>
      <c r="X23" s="1404"/>
      <c r="Y23" s="1404"/>
      <c r="Z23" s="1404"/>
    </row>
    <row r="24">
      <c r="A24" s="1402">
        <v>1100.0</v>
      </c>
      <c r="B24" s="1403">
        <v>55.88</v>
      </c>
      <c r="C24" s="1403">
        <v>57.8</v>
      </c>
      <c r="D24" s="1403">
        <v>59.72</v>
      </c>
      <c r="E24" s="1403">
        <v>61.64</v>
      </c>
      <c r="F24" s="1403">
        <v>63.56</v>
      </c>
      <c r="G24" s="1403">
        <v>65.48</v>
      </c>
      <c r="H24" s="1403">
        <v>67.4</v>
      </c>
      <c r="I24" s="1404"/>
      <c r="J24" s="1404"/>
      <c r="K24" s="1404"/>
      <c r="L24" s="1404"/>
      <c r="M24" s="1404"/>
      <c r="N24" s="1404"/>
      <c r="O24" s="1404"/>
      <c r="P24" s="1404"/>
      <c r="Q24" s="1404"/>
      <c r="R24" s="1404"/>
      <c r="S24" s="1404"/>
      <c r="T24" s="1404"/>
      <c r="U24" s="1404"/>
      <c r="V24" s="1404"/>
      <c r="W24" s="1404"/>
      <c r="X24" s="1404"/>
      <c r="Y24" s="1404"/>
      <c r="Z24" s="1404"/>
    </row>
    <row r="25">
      <c r="A25" s="1402">
        <v>1150.0</v>
      </c>
      <c r="B25" s="1403">
        <v>58.42</v>
      </c>
      <c r="C25" s="1403">
        <v>60.34</v>
      </c>
      <c r="D25" s="1403">
        <v>62.26</v>
      </c>
      <c r="E25" s="1403">
        <v>64.18</v>
      </c>
      <c r="F25" s="1403">
        <v>66.1</v>
      </c>
      <c r="G25" s="1403">
        <v>68.02</v>
      </c>
      <c r="H25" s="1403">
        <v>69.94</v>
      </c>
      <c r="I25" s="1404"/>
      <c r="J25" s="1404"/>
      <c r="K25" s="1404"/>
      <c r="L25" s="1404"/>
      <c r="M25" s="1404"/>
      <c r="N25" s="1404"/>
      <c r="O25" s="1404"/>
      <c r="P25" s="1404"/>
      <c r="Q25" s="1404"/>
      <c r="R25" s="1404"/>
      <c r="S25" s="1404"/>
      <c r="T25" s="1404"/>
      <c r="U25" s="1404"/>
      <c r="V25" s="1404"/>
      <c r="W25" s="1404"/>
      <c r="X25" s="1404"/>
      <c r="Y25" s="1404"/>
      <c r="Z25" s="1404"/>
    </row>
    <row r="26">
      <c r="A26" s="1402">
        <v>1200.0</v>
      </c>
      <c r="B26" s="1403">
        <v>60.96</v>
      </c>
      <c r="C26" s="1403">
        <v>62.88</v>
      </c>
      <c r="D26" s="1403">
        <v>64.8</v>
      </c>
      <c r="E26" s="1403">
        <v>66.72</v>
      </c>
      <c r="F26" s="1403">
        <v>68.64</v>
      </c>
      <c r="G26" s="1403">
        <v>70.56</v>
      </c>
      <c r="H26" s="1403">
        <v>72.48</v>
      </c>
      <c r="I26" s="1404"/>
      <c r="J26" s="1404"/>
      <c r="K26" s="1404"/>
      <c r="L26" s="1404"/>
      <c r="M26" s="1404"/>
      <c r="N26" s="1404"/>
      <c r="O26" s="1404"/>
      <c r="P26" s="1404"/>
      <c r="Q26" s="1404"/>
      <c r="R26" s="1404"/>
      <c r="S26" s="1404"/>
      <c r="T26" s="1404"/>
      <c r="U26" s="1404"/>
      <c r="V26" s="1404"/>
      <c r="W26" s="1404"/>
      <c r="X26" s="1404"/>
      <c r="Y26" s="1404"/>
      <c r="Z26" s="1404"/>
    </row>
    <row r="27">
      <c r="A27" s="1404"/>
      <c r="B27" s="1404"/>
      <c r="C27" s="1404"/>
      <c r="D27" s="1404"/>
      <c r="E27" s="1404"/>
      <c r="F27" s="1404"/>
      <c r="G27" s="1404"/>
      <c r="H27" s="1404"/>
      <c r="I27" s="1404"/>
      <c r="J27" s="1404"/>
      <c r="K27" s="1404"/>
      <c r="L27" s="1404"/>
      <c r="M27" s="1404"/>
      <c r="N27" s="1404"/>
      <c r="O27" s="1404"/>
      <c r="P27" s="1404"/>
      <c r="Q27" s="1404"/>
      <c r="R27" s="1404"/>
      <c r="S27" s="1404"/>
      <c r="T27" s="1404"/>
      <c r="U27" s="1404"/>
      <c r="V27" s="1404"/>
      <c r="W27" s="1404"/>
      <c r="X27" s="1404"/>
      <c r="Y27" s="1404"/>
      <c r="Z27" s="1404"/>
    </row>
    <row r="28">
      <c r="A28" s="1400" t="s">
        <v>728</v>
      </c>
      <c r="B28" s="1400"/>
      <c r="C28" s="1400"/>
      <c r="D28" s="1400"/>
      <c r="E28" s="1400"/>
      <c r="F28" s="1400"/>
      <c r="G28" s="1400"/>
      <c r="H28" s="1400"/>
      <c r="I28" s="1401"/>
      <c r="J28" s="1401"/>
      <c r="K28" s="1401"/>
      <c r="L28" s="1401"/>
      <c r="M28" s="1401"/>
      <c r="N28" s="1401"/>
      <c r="O28" s="1401"/>
      <c r="P28" s="1401"/>
      <c r="Q28" s="1401"/>
      <c r="R28" s="1401"/>
      <c r="S28" s="1401"/>
      <c r="T28" s="1401"/>
      <c r="U28" s="1401"/>
      <c r="V28" s="1401"/>
      <c r="W28" s="1401"/>
      <c r="X28" s="1401"/>
      <c r="Y28" s="1401"/>
      <c r="Z28" s="1401"/>
    </row>
    <row r="29">
      <c r="A29" s="1400" t="s">
        <v>9</v>
      </c>
      <c r="B29" s="1400" t="s">
        <v>1178</v>
      </c>
      <c r="C29" s="1400">
        <v>1.0</v>
      </c>
      <c r="D29" s="1400">
        <v>2.0</v>
      </c>
      <c r="E29" s="1400">
        <v>3.0</v>
      </c>
      <c r="F29" s="1400">
        <v>4.0</v>
      </c>
      <c r="G29" s="1400">
        <v>5.0</v>
      </c>
      <c r="H29" s="1400">
        <v>6.0</v>
      </c>
      <c r="I29" s="1401"/>
      <c r="J29" s="1401"/>
      <c r="K29" s="1401"/>
      <c r="L29" s="1401"/>
      <c r="M29" s="1401"/>
      <c r="N29" s="1401"/>
      <c r="O29" s="1401"/>
      <c r="P29" s="1401"/>
      <c r="Q29" s="1401"/>
      <c r="R29" s="1401"/>
      <c r="S29" s="1401"/>
      <c r="T29" s="1401"/>
      <c r="U29" s="1401"/>
      <c r="V29" s="1401"/>
      <c r="W29" s="1401"/>
      <c r="X29" s="1401"/>
      <c r="Y29" s="1401"/>
      <c r="Z29" s="1401"/>
    </row>
    <row r="30">
      <c r="A30" s="1402">
        <v>50.0</v>
      </c>
      <c r="B30" s="1403">
        <v>1.29</v>
      </c>
      <c r="C30" s="1403">
        <v>3.21</v>
      </c>
      <c r="D30" s="1403">
        <v>5.13</v>
      </c>
      <c r="E30" s="1403">
        <v>7.05</v>
      </c>
      <c r="F30" s="1403">
        <v>8.97</v>
      </c>
      <c r="G30" s="1403">
        <v>10.89</v>
      </c>
      <c r="H30" s="1403">
        <v>12.81</v>
      </c>
      <c r="I30" s="1404"/>
      <c r="J30" s="1404"/>
      <c r="K30" s="1404"/>
      <c r="L30" s="1404"/>
      <c r="M30" s="1404"/>
      <c r="N30" s="1404"/>
      <c r="O30" s="1404"/>
      <c r="P30" s="1404"/>
      <c r="Q30" s="1404"/>
      <c r="R30" s="1404"/>
      <c r="S30" s="1404"/>
      <c r="T30" s="1404"/>
      <c r="U30" s="1404"/>
      <c r="V30" s="1404"/>
      <c r="W30" s="1404"/>
      <c r="X30" s="1404"/>
      <c r="Y30" s="1404"/>
      <c r="Z30" s="1404"/>
    </row>
    <row r="31">
      <c r="A31" s="1402">
        <v>100.0</v>
      </c>
      <c r="B31" s="1403">
        <v>2.57</v>
      </c>
      <c r="C31" s="1403">
        <v>4.49</v>
      </c>
      <c r="D31" s="1403">
        <v>6.41</v>
      </c>
      <c r="E31" s="1403">
        <v>8.33</v>
      </c>
      <c r="F31" s="1403">
        <v>10.25</v>
      </c>
      <c r="G31" s="1403">
        <v>12.17</v>
      </c>
      <c r="H31" s="1403">
        <v>14.09</v>
      </c>
      <c r="I31" s="1404"/>
      <c r="J31" s="1404"/>
      <c r="K31" s="1404"/>
      <c r="L31" s="1404"/>
      <c r="M31" s="1404"/>
      <c r="N31" s="1404"/>
      <c r="O31" s="1404"/>
      <c r="P31" s="1404"/>
      <c r="Q31" s="1404"/>
      <c r="R31" s="1404"/>
      <c r="S31" s="1404"/>
      <c r="T31" s="1404"/>
      <c r="U31" s="1404"/>
      <c r="V31" s="1404"/>
      <c r="W31" s="1404"/>
      <c r="X31" s="1404"/>
      <c r="Y31" s="1404"/>
      <c r="Z31" s="1404"/>
    </row>
    <row r="32">
      <c r="A32" s="1402">
        <v>150.0</v>
      </c>
      <c r="B32" s="1403">
        <v>3.86</v>
      </c>
      <c r="C32" s="1403">
        <v>5.78</v>
      </c>
      <c r="D32" s="1403">
        <v>7.7</v>
      </c>
      <c r="E32" s="1403">
        <v>9.62</v>
      </c>
      <c r="F32" s="1403">
        <v>11.54</v>
      </c>
      <c r="G32" s="1403">
        <v>13.46</v>
      </c>
      <c r="H32" s="1403">
        <v>15.38</v>
      </c>
      <c r="I32" s="1404"/>
      <c r="J32" s="1404"/>
      <c r="K32" s="1404"/>
      <c r="L32" s="1404"/>
      <c r="M32" s="1404"/>
      <c r="N32" s="1404"/>
      <c r="O32" s="1404"/>
      <c r="P32" s="1404"/>
      <c r="Q32" s="1404"/>
      <c r="R32" s="1404"/>
      <c r="S32" s="1404"/>
      <c r="T32" s="1404"/>
      <c r="U32" s="1404"/>
      <c r="V32" s="1404"/>
      <c r="W32" s="1404"/>
      <c r="X32" s="1404"/>
      <c r="Y32" s="1404"/>
      <c r="Z32" s="1404"/>
    </row>
    <row r="33">
      <c r="A33" s="1402">
        <v>200.0</v>
      </c>
      <c r="B33" s="1403">
        <v>5.15</v>
      </c>
      <c r="C33" s="1403">
        <v>7.07</v>
      </c>
      <c r="D33" s="1403">
        <v>8.99</v>
      </c>
      <c r="E33" s="1403">
        <v>10.91</v>
      </c>
      <c r="F33" s="1403">
        <v>12.83</v>
      </c>
      <c r="G33" s="1403">
        <v>14.75</v>
      </c>
      <c r="H33" s="1403">
        <v>16.67</v>
      </c>
      <c r="I33" s="1404"/>
      <c r="J33" s="1404"/>
      <c r="K33" s="1404"/>
      <c r="L33" s="1404"/>
      <c r="M33" s="1404"/>
      <c r="N33" s="1404"/>
      <c r="O33" s="1404"/>
      <c r="P33" s="1404"/>
      <c r="Q33" s="1404"/>
      <c r="R33" s="1404"/>
      <c r="S33" s="1404"/>
      <c r="T33" s="1404"/>
      <c r="U33" s="1404"/>
      <c r="V33" s="1404"/>
      <c r="W33" s="1404"/>
      <c r="X33" s="1404"/>
      <c r="Y33" s="1404"/>
      <c r="Z33" s="1404"/>
    </row>
    <row r="34">
      <c r="A34" s="1402">
        <v>250.0</v>
      </c>
      <c r="B34" s="1403">
        <v>6.44</v>
      </c>
      <c r="C34" s="1403">
        <v>8.36</v>
      </c>
      <c r="D34" s="1403">
        <v>10.28</v>
      </c>
      <c r="E34" s="1403">
        <v>12.2</v>
      </c>
      <c r="F34" s="1403">
        <v>14.12</v>
      </c>
      <c r="G34" s="1403">
        <v>16.04</v>
      </c>
      <c r="H34" s="1403">
        <v>17.96</v>
      </c>
      <c r="I34" s="1404"/>
      <c r="J34" s="1404"/>
      <c r="K34" s="1404"/>
      <c r="L34" s="1404"/>
      <c r="M34" s="1404"/>
      <c r="N34" s="1404"/>
      <c r="O34" s="1404"/>
      <c r="P34" s="1404"/>
      <c r="Q34" s="1404"/>
      <c r="R34" s="1404"/>
      <c r="S34" s="1404"/>
      <c r="T34" s="1404"/>
      <c r="U34" s="1404"/>
      <c r="V34" s="1404"/>
      <c r="W34" s="1404"/>
      <c r="X34" s="1404"/>
      <c r="Y34" s="1404"/>
      <c r="Z34" s="1404"/>
    </row>
    <row r="35">
      <c r="A35" s="1402">
        <v>300.0</v>
      </c>
      <c r="B35" s="1403">
        <v>7.72</v>
      </c>
      <c r="C35" s="1403">
        <v>9.64</v>
      </c>
      <c r="D35" s="1403">
        <v>11.56</v>
      </c>
      <c r="E35" s="1403">
        <v>13.48</v>
      </c>
      <c r="F35" s="1403">
        <v>15.4</v>
      </c>
      <c r="G35" s="1403">
        <v>17.32</v>
      </c>
      <c r="H35" s="1403">
        <v>19.24</v>
      </c>
      <c r="I35" s="1404"/>
      <c r="J35" s="1404"/>
      <c r="K35" s="1404"/>
      <c r="L35" s="1404"/>
      <c r="M35" s="1404"/>
      <c r="N35" s="1404"/>
      <c r="O35" s="1404"/>
      <c r="P35" s="1404"/>
      <c r="Q35" s="1404"/>
      <c r="R35" s="1404"/>
      <c r="S35" s="1404"/>
      <c r="T35" s="1404"/>
      <c r="U35" s="1404"/>
      <c r="V35" s="1404"/>
      <c r="W35" s="1404"/>
      <c r="X35" s="1404"/>
      <c r="Y35" s="1404"/>
      <c r="Z35" s="1404"/>
    </row>
    <row r="36">
      <c r="A36" s="1402">
        <v>350.0</v>
      </c>
      <c r="B36" s="1403">
        <v>9.01</v>
      </c>
      <c r="C36" s="1403">
        <v>10.93</v>
      </c>
      <c r="D36" s="1403">
        <v>12.85</v>
      </c>
      <c r="E36" s="1403">
        <v>14.77</v>
      </c>
      <c r="F36" s="1403">
        <v>16.69</v>
      </c>
      <c r="G36" s="1403">
        <v>18.61</v>
      </c>
      <c r="H36" s="1403">
        <v>20.53</v>
      </c>
      <c r="I36" s="1404"/>
      <c r="J36" s="1404"/>
      <c r="K36" s="1404"/>
      <c r="L36" s="1404"/>
      <c r="M36" s="1404"/>
      <c r="N36" s="1404"/>
      <c r="O36" s="1404"/>
      <c r="P36" s="1404"/>
      <c r="Q36" s="1404"/>
      <c r="R36" s="1404"/>
      <c r="S36" s="1404"/>
      <c r="T36" s="1404"/>
      <c r="U36" s="1404"/>
      <c r="V36" s="1404"/>
      <c r="W36" s="1404"/>
      <c r="X36" s="1404"/>
      <c r="Y36" s="1404"/>
      <c r="Z36" s="1404"/>
    </row>
    <row r="37">
      <c r="A37" s="1402">
        <v>400.0</v>
      </c>
      <c r="B37" s="1403">
        <v>10.3</v>
      </c>
      <c r="C37" s="1403">
        <v>12.22</v>
      </c>
      <c r="D37" s="1403">
        <v>14.14</v>
      </c>
      <c r="E37" s="1403">
        <v>16.06</v>
      </c>
      <c r="F37" s="1403">
        <v>17.98</v>
      </c>
      <c r="G37" s="1403">
        <v>19.9</v>
      </c>
      <c r="H37" s="1403">
        <v>21.82</v>
      </c>
      <c r="I37" s="1404"/>
      <c r="J37" s="1404"/>
      <c r="K37" s="1404"/>
      <c r="L37" s="1404"/>
      <c r="M37" s="1404"/>
      <c r="N37" s="1404"/>
      <c r="O37" s="1404"/>
      <c r="P37" s="1404"/>
      <c r="Q37" s="1404"/>
      <c r="R37" s="1404"/>
      <c r="S37" s="1404"/>
      <c r="T37" s="1404"/>
      <c r="U37" s="1404"/>
      <c r="V37" s="1404"/>
      <c r="W37" s="1404"/>
      <c r="X37" s="1404"/>
      <c r="Y37" s="1404"/>
      <c r="Z37" s="1404"/>
    </row>
    <row r="38">
      <c r="A38" s="1402">
        <v>450.0</v>
      </c>
      <c r="B38" s="1403">
        <v>11.58</v>
      </c>
      <c r="C38" s="1403">
        <v>13.5</v>
      </c>
      <c r="D38" s="1403">
        <v>15.42</v>
      </c>
      <c r="E38" s="1403">
        <v>17.34</v>
      </c>
      <c r="F38" s="1403">
        <v>19.26</v>
      </c>
      <c r="G38" s="1403">
        <v>21.18</v>
      </c>
      <c r="H38" s="1403">
        <v>23.1</v>
      </c>
      <c r="I38" s="1404"/>
      <c r="J38" s="1404"/>
      <c r="K38" s="1404"/>
      <c r="L38" s="1404"/>
      <c r="M38" s="1404"/>
      <c r="N38" s="1404"/>
      <c r="O38" s="1404"/>
      <c r="P38" s="1404"/>
      <c r="Q38" s="1404"/>
      <c r="R38" s="1404"/>
      <c r="S38" s="1404"/>
      <c r="T38" s="1404"/>
      <c r="U38" s="1404"/>
      <c r="V38" s="1404"/>
      <c r="W38" s="1404"/>
      <c r="X38" s="1404"/>
      <c r="Y38" s="1404"/>
      <c r="Z38" s="1404"/>
    </row>
    <row r="39">
      <c r="A39" s="1402">
        <v>500.0</v>
      </c>
      <c r="B39" s="1403">
        <v>12.87</v>
      </c>
      <c r="C39" s="1403">
        <v>14.79</v>
      </c>
      <c r="D39" s="1403">
        <v>16.71</v>
      </c>
      <c r="E39" s="1403">
        <v>18.63</v>
      </c>
      <c r="F39" s="1403">
        <v>20.55</v>
      </c>
      <c r="G39" s="1403">
        <v>22.47</v>
      </c>
      <c r="H39" s="1403">
        <v>24.39</v>
      </c>
      <c r="I39" s="1404"/>
      <c r="J39" s="1404"/>
      <c r="K39" s="1404"/>
      <c r="L39" s="1404"/>
      <c r="M39" s="1404"/>
      <c r="N39" s="1404"/>
      <c r="O39" s="1404"/>
      <c r="P39" s="1404"/>
      <c r="Q39" s="1404"/>
      <c r="R39" s="1404"/>
      <c r="S39" s="1404"/>
      <c r="T39" s="1404"/>
      <c r="U39" s="1404"/>
      <c r="V39" s="1404"/>
      <c r="W39" s="1404"/>
      <c r="X39" s="1404"/>
      <c r="Y39" s="1404"/>
      <c r="Z39" s="1404"/>
    </row>
    <row r="40">
      <c r="A40" s="1402">
        <v>550.0</v>
      </c>
      <c r="B40" s="1403">
        <v>14.16</v>
      </c>
      <c r="C40" s="1403">
        <v>16.08</v>
      </c>
      <c r="D40" s="1403">
        <v>18.0</v>
      </c>
      <c r="E40" s="1403">
        <v>19.92</v>
      </c>
      <c r="F40" s="1403">
        <v>21.84</v>
      </c>
      <c r="G40" s="1403">
        <v>23.76</v>
      </c>
      <c r="H40" s="1403">
        <v>25.68</v>
      </c>
      <c r="I40" s="1404"/>
      <c r="J40" s="1404"/>
      <c r="K40" s="1404"/>
      <c r="L40" s="1404"/>
      <c r="M40" s="1404"/>
      <c r="N40" s="1404"/>
      <c r="O40" s="1404"/>
      <c r="P40" s="1404"/>
      <c r="Q40" s="1404"/>
      <c r="R40" s="1404"/>
      <c r="S40" s="1404"/>
      <c r="T40" s="1404"/>
      <c r="U40" s="1404"/>
      <c r="V40" s="1404"/>
      <c r="W40" s="1404"/>
      <c r="X40" s="1404"/>
      <c r="Y40" s="1404"/>
      <c r="Z40" s="1404"/>
    </row>
    <row r="41">
      <c r="A41" s="1402">
        <v>600.0</v>
      </c>
      <c r="B41" s="1403">
        <v>15.44</v>
      </c>
      <c r="C41" s="1403">
        <v>17.36</v>
      </c>
      <c r="D41" s="1403">
        <v>19.28</v>
      </c>
      <c r="E41" s="1403">
        <v>21.2</v>
      </c>
      <c r="F41" s="1403">
        <v>23.12</v>
      </c>
      <c r="G41" s="1403">
        <v>25.04</v>
      </c>
      <c r="H41" s="1403">
        <v>26.96</v>
      </c>
      <c r="I41" s="1404"/>
      <c r="J41" s="1404"/>
      <c r="K41" s="1404"/>
      <c r="L41" s="1404"/>
      <c r="M41" s="1404"/>
      <c r="N41" s="1404"/>
      <c r="O41" s="1404"/>
      <c r="P41" s="1404"/>
      <c r="Q41" s="1404"/>
      <c r="R41" s="1404"/>
      <c r="S41" s="1404"/>
      <c r="T41" s="1404"/>
      <c r="U41" s="1404"/>
      <c r="V41" s="1404"/>
      <c r="W41" s="1404"/>
      <c r="X41" s="1404"/>
      <c r="Y41" s="1404"/>
      <c r="Z41" s="1404"/>
    </row>
    <row r="42">
      <c r="A42" s="1402">
        <v>650.0</v>
      </c>
      <c r="B42" s="1403">
        <v>16.73</v>
      </c>
      <c r="C42" s="1403">
        <v>18.65</v>
      </c>
      <c r="D42" s="1403">
        <v>20.57</v>
      </c>
      <c r="E42" s="1403">
        <v>22.49</v>
      </c>
      <c r="F42" s="1403">
        <v>24.41</v>
      </c>
      <c r="G42" s="1403">
        <v>26.33</v>
      </c>
      <c r="H42" s="1403">
        <v>28.25</v>
      </c>
      <c r="I42" s="1404"/>
      <c r="J42" s="1404"/>
      <c r="K42" s="1404"/>
      <c r="L42" s="1404"/>
      <c r="M42" s="1404"/>
      <c r="N42" s="1404"/>
      <c r="O42" s="1404"/>
      <c r="P42" s="1404"/>
      <c r="Q42" s="1404"/>
      <c r="R42" s="1404"/>
      <c r="S42" s="1404"/>
      <c r="T42" s="1404"/>
      <c r="U42" s="1404"/>
      <c r="V42" s="1404"/>
      <c r="W42" s="1404"/>
      <c r="X42" s="1404"/>
      <c r="Y42" s="1404"/>
      <c r="Z42" s="1404"/>
    </row>
    <row r="43">
      <c r="A43" s="1402">
        <v>700.0</v>
      </c>
      <c r="B43" s="1403">
        <v>18.02</v>
      </c>
      <c r="C43" s="1403">
        <v>19.94</v>
      </c>
      <c r="D43" s="1403">
        <v>21.86</v>
      </c>
      <c r="E43" s="1403">
        <v>23.78</v>
      </c>
      <c r="F43" s="1403">
        <v>25.7</v>
      </c>
      <c r="G43" s="1403">
        <v>27.62</v>
      </c>
      <c r="H43" s="1403">
        <v>29.54</v>
      </c>
      <c r="I43" s="1404"/>
      <c r="J43" s="1404"/>
      <c r="K43" s="1404"/>
      <c r="L43" s="1404"/>
      <c r="M43" s="1404"/>
      <c r="N43" s="1404"/>
      <c r="O43" s="1404"/>
      <c r="P43" s="1404"/>
      <c r="Q43" s="1404"/>
      <c r="R43" s="1404"/>
      <c r="S43" s="1404"/>
      <c r="T43" s="1404"/>
      <c r="U43" s="1404"/>
      <c r="V43" s="1404"/>
      <c r="W43" s="1404"/>
      <c r="X43" s="1404"/>
      <c r="Y43" s="1404"/>
      <c r="Z43" s="1404"/>
    </row>
    <row r="44">
      <c r="A44" s="1402">
        <v>750.0</v>
      </c>
      <c r="B44" s="1403">
        <v>19.31</v>
      </c>
      <c r="C44" s="1403">
        <v>21.23</v>
      </c>
      <c r="D44" s="1403">
        <v>23.15</v>
      </c>
      <c r="E44" s="1403">
        <v>25.07</v>
      </c>
      <c r="F44" s="1403">
        <v>26.99</v>
      </c>
      <c r="G44" s="1403">
        <v>28.91</v>
      </c>
      <c r="H44" s="1403">
        <v>30.83</v>
      </c>
      <c r="I44" s="1404"/>
      <c r="J44" s="1404"/>
      <c r="K44" s="1404"/>
      <c r="L44" s="1404"/>
      <c r="M44" s="1404"/>
      <c r="N44" s="1404"/>
      <c r="O44" s="1404"/>
      <c r="P44" s="1404"/>
      <c r="Q44" s="1404"/>
      <c r="R44" s="1404"/>
      <c r="S44" s="1404"/>
      <c r="T44" s="1404"/>
      <c r="U44" s="1404"/>
      <c r="V44" s="1404"/>
      <c r="W44" s="1404"/>
      <c r="X44" s="1404"/>
      <c r="Y44" s="1404"/>
      <c r="Z44" s="1404"/>
    </row>
    <row r="45">
      <c r="A45" s="1402">
        <v>800.0</v>
      </c>
      <c r="B45" s="1403">
        <v>20.59</v>
      </c>
      <c r="C45" s="1403">
        <v>22.51</v>
      </c>
      <c r="D45" s="1403">
        <v>24.43</v>
      </c>
      <c r="E45" s="1403">
        <v>26.35</v>
      </c>
      <c r="F45" s="1403">
        <v>28.27</v>
      </c>
      <c r="G45" s="1403">
        <v>30.19</v>
      </c>
      <c r="H45" s="1403">
        <v>32.11</v>
      </c>
      <c r="I45" s="1404"/>
      <c r="J45" s="1404"/>
      <c r="K45" s="1404"/>
      <c r="L45" s="1404"/>
      <c r="M45" s="1404"/>
      <c r="N45" s="1404"/>
      <c r="O45" s="1404"/>
      <c r="P45" s="1404"/>
      <c r="Q45" s="1404"/>
      <c r="R45" s="1404"/>
      <c r="S45" s="1404"/>
      <c r="T45" s="1404"/>
      <c r="U45" s="1404"/>
      <c r="V45" s="1404"/>
      <c r="W45" s="1404"/>
      <c r="X45" s="1404"/>
      <c r="Y45" s="1404"/>
      <c r="Z45" s="1404"/>
    </row>
    <row r="46">
      <c r="A46" s="1402">
        <v>850.0</v>
      </c>
      <c r="B46" s="1403">
        <v>21.88</v>
      </c>
      <c r="C46" s="1403">
        <v>23.8</v>
      </c>
      <c r="D46" s="1403">
        <v>25.72</v>
      </c>
      <c r="E46" s="1403">
        <v>27.64</v>
      </c>
      <c r="F46" s="1403">
        <v>29.56</v>
      </c>
      <c r="G46" s="1403">
        <v>31.48</v>
      </c>
      <c r="H46" s="1403">
        <v>33.4</v>
      </c>
      <c r="I46" s="1404"/>
      <c r="J46" s="1404"/>
      <c r="K46" s="1404"/>
      <c r="L46" s="1404"/>
      <c r="M46" s="1404"/>
      <c r="N46" s="1404"/>
      <c r="O46" s="1404"/>
      <c r="P46" s="1404"/>
      <c r="Q46" s="1404"/>
      <c r="R46" s="1404"/>
      <c r="S46" s="1404"/>
      <c r="T46" s="1404"/>
      <c r="U46" s="1404"/>
      <c r="V46" s="1404"/>
      <c r="W46" s="1404"/>
      <c r="X46" s="1404"/>
      <c r="Y46" s="1404"/>
      <c r="Z46" s="1404"/>
    </row>
    <row r="47">
      <c r="A47" s="1402">
        <v>900.0</v>
      </c>
      <c r="B47" s="1403">
        <v>23.17</v>
      </c>
      <c r="C47" s="1403">
        <v>25.09</v>
      </c>
      <c r="D47" s="1403">
        <v>27.01</v>
      </c>
      <c r="E47" s="1403">
        <v>28.93</v>
      </c>
      <c r="F47" s="1403">
        <v>30.85</v>
      </c>
      <c r="G47" s="1403">
        <v>32.77</v>
      </c>
      <c r="H47" s="1403">
        <v>34.69</v>
      </c>
      <c r="I47" s="1404"/>
      <c r="J47" s="1404"/>
      <c r="K47" s="1404"/>
      <c r="L47" s="1404"/>
      <c r="M47" s="1404"/>
      <c r="N47" s="1404"/>
      <c r="O47" s="1404"/>
      <c r="P47" s="1404"/>
      <c r="Q47" s="1404"/>
      <c r="R47" s="1404"/>
      <c r="S47" s="1404"/>
      <c r="T47" s="1404"/>
      <c r="U47" s="1404"/>
      <c r="V47" s="1404"/>
      <c r="W47" s="1404"/>
      <c r="X47" s="1404"/>
      <c r="Y47" s="1404"/>
      <c r="Z47" s="1404"/>
    </row>
    <row r="48">
      <c r="A48" s="1402">
        <v>950.0</v>
      </c>
      <c r="B48" s="1403">
        <v>24.45</v>
      </c>
      <c r="C48" s="1403">
        <v>26.37</v>
      </c>
      <c r="D48" s="1403">
        <v>28.29</v>
      </c>
      <c r="E48" s="1403">
        <v>30.21</v>
      </c>
      <c r="F48" s="1403">
        <v>32.13</v>
      </c>
      <c r="G48" s="1403">
        <v>34.05</v>
      </c>
      <c r="H48" s="1403">
        <v>35.97</v>
      </c>
      <c r="I48" s="1404"/>
      <c r="J48" s="1404"/>
      <c r="K48" s="1404"/>
      <c r="L48" s="1404"/>
      <c r="M48" s="1404"/>
      <c r="N48" s="1404"/>
      <c r="O48" s="1404"/>
      <c r="P48" s="1404"/>
      <c r="Q48" s="1404"/>
      <c r="R48" s="1404"/>
      <c r="S48" s="1404"/>
      <c r="T48" s="1404"/>
      <c r="U48" s="1404"/>
      <c r="V48" s="1404"/>
      <c r="W48" s="1404"/>
      <c r="X48" s="1404"/>
      <c r="Y48" s="1404"/>
      <c r="Z48" s="1404"/>
    </row>
    <row r="49">
      <c r="A49" s="1402">
        <v>1000.0</v>
      </c>
      <c r="B49" s="1403">
        <v>25.74</v>
      </c>
      <c r="C49" s="1403">
        <v>27.66</v>
      </c>
      <c r="D49" s="1403">
        <v>29.58</v>
      </c>
      <c r="E49" s="1403">
        <v>31.5</v>
      </c>
      <c r="F49" s="1403">
        <v>33.42</v>
      </c>
      <c r="G49" s="1403">
        <v>35.34</v>
      </c>
      <c r="H49" s="1403">
        <v>37.26</v>
      </c>
      <c r="I49" s="1404"/>
      <c r="J49" s="1404"/>
      <c r="K49" s="1404"/>
      <c r="L49" s="1404"/>
      <c r="M49" s="1404"/>
      <c r="N49" s="1404"/>
      <c r="O49" s="1404"/>
      <c r="P49" s="1404"/>
      <c r="Q49" s="1404"/>
      <c r="R49" s="1404"/>
      <c r="S49" s="1404"/>
      <c r="T49" s="1404"/>
      <c r="U49" s="1404"/>
      <c r="V49" s="1404"/>
      <c r="W49" s="1404"/>
      <c r="X49" s="1404"/>
      <c r="Y49" s="1404"/>
      <c r="Z49" s="1404"/>
    </row>
    <row r="50">
      <c r="A50" s="1402">
        <v>1050.0</v>
      </c>
      <c r="B50" s="1403">
        <v>27.03</v>
      </c>
      <c r="C50" s="1403">
        <v>28.95</v>
      </c>
      <c r="D50" s="1403">
        <v>30.87</v>
      </c>
      <c r="E50" s="1403">
        <v>32.79</v>
      </c>
      <c r="F50" s="1403">
        <v>34.71</v>
      </c>
      <c r="G50" s="1403">
        <v>36.63</v>
      </c>
      <c r="H50" s="1403">
        <v>38.55</v>
      </c>
      <c r="I50" s="1404"/>
      <c r="J50" s="1404"/>
      <c r="K50" s="1404"/>
      <c r="L50" s="1404"/>
      <c r="M50" s="1404"/>
      <c r="N50" s="1404"/>
      <c r="O50" s="1404"/>
      <c r="P50" s="1404"/>
      <c r="Q50" s="1404"/>
      <c r="R50" s="1404"/>
      <c r="S50" s="1404"/>
      <c r="T50" s="1404"/>
      <c r="U50" s="1404"/>
      <c r="V50" s="1404"/>
      <c r="W50" s="1404"/>
      <c r="X50" s="1404"/>
      <c r="Y50" s="1404"/>
      <c r="Z50" s="1404"/>
    </row>
    <row r="51">
      <c r="A51" s="1402">
        <v>1100.0</v>
      </c>
      <c r="B51" s="1403">
        <v>28.31</v>
      </c>
      <c r="C51" s="1403">
        <v>30.23</v>
      </c>
      <c r="D51" s="1403">
        <v>32.15</v>
      </c>
      <c r="E51" s="1403">
        <v>34.07</v>
      </c>
      <c r="F51" s="1403">
        <v>35.99</v>
      </c>
      <c r="G51" s="1403">
        <v>37.91</v>
      </c>
      <c r="H51" s="1403">
        <v>39.83</v>
      </c>
      <c r="I51" s="1404"/>
      <c r="J51" s="1404"/>
      <c r="K51" s="1404"/>
      <c r="L51" s="1404"/>
      <c r="M51" s="1404"/>
      <c r="N51" s="1404"/>
      <c r="O51" s="1404"/>
      <c r="P51" s="1404"/>
      <c r="Q51" s="1404"/>
      <c r="R51" s="1404"/>
      <c r="S51" s="1404"/>
      <c r="T51" s="1404"/>
      <c r="U51" s="1404"/>
      <c r="V51" s="1404"/>
      <c r="W51" s="1404"/>
      <c r="X51" s="1404"/>
      <c r="Y51" s="1404"/>
      <c r="Z51" s="1404"/>
    </row>
    <row r="52">
      <c r="A52" s="1402">
        <v>1150.0</v>
      </c>
      <c r="B52" s="1403">
        <v>29.6</v>
      </c>
      <c r="C52" s="1403">
        <v>31.52</v>
      </c>
      <c r="D52" s="1403">
        <v>33.44</v>
      </c>
      <c r="E52" s="1403">
        <v>35.36</v>
      </c>
      <c r="F52" s="1403">
        <v>37.28</v>
      </c>
      <c r="G52" s="1403">
        <v>39.2</v>
      </c>
      <c r="H52" s="1403">
        <v>41.12</v>
      </c>
      <c r="I52" s="1404"/>
      <c r="J52" s="1404"/>
      <c r="K52" s="1404"/>
      <c r="L52" s="1404"/>
      <c r="M52" s="1404"/>
      <c r="N52" s="1404"/>
      <c r="O52" s="1404"/>
      <c r="P52" s="1404"/>
      <c r="Q52" s="1404"/>
      <c r="R52" s="1404"/>
      <c r="S52" s="1404"/>
      <c r="T52" s="1404"/>
      <c r="U52" s="1404"/>
      <c r="V52" s="1404"/>
      <c r="W52" s="1404"/>
      <c r="X52" s="1404"/>
      <c r="Y52" s="1404"/>
      <c r="Z52" s="1404"/>
    </row>
    <row r="53">
      <c r="A53" s="1402">
        <v>1200.0</v>
      </c>
      <c r="B53" s="1403">
        <v>30.89</v>
      </c>
      <c r="C53" s="1403">
        <v>32.81</v>
      </c>
      <c r="D53" s="1403">
        <v>34.73</v>
      </c>
      <c r="E53" s="1403">
        <v>36.65</v>
      </c>
      <c r="F53" s="1403">
        <v>38.57</v>
      </c>
      <c r="G53" s="1403">
        <v>40.49</v>
      </c>
      <c r="H53" s="1403">
        <v>42.41</v>
      </c>
      <c r="I53" s="1404"/>
      <c r="J53" s="1404"/>
      <c r="K53" s="1404"/>
      <c r="L53" s="1404"/>
      <c r="M53" s="1404"/>
      <c r="N53" s="1404"/>
      <c r="O53" s="1404"/>
      <c r="P53" s="1404"/>
      <c r="Q53" s="1404"/>
      <c r="R53" s="1404"/>
      <c r="S53" s="1404"/>
      <c r="T53" s="1404"/>
      <c r="U53" s="1404"/>
      <c r="V53" s="1404"/>
      <c r="W53" s="1404"/>
      <c r="X53" s="1404"/>
      <c r="Y53" s="1404"/>
      <c r="Z53" s="1404"/>
    </row>
    <row r="54">
      <c r="A54" s="1404"/>
      <c r="B54" s="1404"/>
      <c r="C54" s="1404"/>
      <c r="D54" s="1404"/>
      <c r="E54" s="1404"/>
      <c r="F54" s="1404"/>
      <c r="G54" s="1404"/>
      <c r="H54" s="1404"/>
      <c r="I54" s="1404"/>
      <c r="J54" s="1404"/>
      <c r="K54" s="1404"/>
      <c r="L54" s="1404"/>
      <c r="M54" s="1404"/>
      <c r="N54" s="1404"/>
      <c r="O54" s="1404"/>
      <c r="P54" s="1404"/>
      <c r="Q54" s="1404"/>
      <c r="R54" s="1404"/>
      <c r="S54" s="1404"/>
      <c r="T54" s="1404"/>
      <c r="U54" s="1404"/>
      <c r="V54" s="1404"/>
      <c r="W54" s="1404"/>
      <c r="X54" s="1404"/>
      <c r="Y54" s="1404"/>
      <c r="Z54" s="1404"/>
    </row>
    <row r="55">
      <c r="A55" s="1400" t="s">
        <v>1179</v>
      </c>
      <c r="B55" s="1400"/>
      <c r="C55" s="1400"/>
      <c r="D55" s="1400"/>
      <c r="E55" s="1400"/>
      <c r="F55" s="1400"/>
      <c r="G55" s="1400"/>
      <c r="H55" s="1400"/>
      <c r="I55" s="1401"/>
      <c r="J55" s="1401"/>
      <c r="K55" s="1401"/>
      <c r="L55" s="1401"/>
      <c r="M55" s="1401"/>
      <c r="N55" s="1401"/>
      <c r="O55" s="1401"/>
      <c r="P55" s="1401"/>
      <c r="Q55" s="1401"/>
      <c r="R55" s="1401"/>
      <c r="S55" s="1401"/>
      <c r="T55" s="1401"/>
      <c r="U55" s="1401"/>
      <c r="V55" s="1401"/>
      <c r="W55" s="1401"/>
      <c r="X55" s="1401"/>
      <c r="Y55" s="1401"/>
      <c r="Z55" s="1401"/>
    </row>
    <row r="56">
      <c r="A56" s="1400" t="s">
        <v>9</v>
      </c>
      <c r="B56" s="1400" t="s">
        <v>1178</v>
      </c>
      <c r="C56" s="1400">
        <v>1.0</v>
      </c>
      <c r="D56" s="1400">
        <v>2.0</v>
      </c>
      <c r="E56" s="1400">
        <v>3.0</v>
      </c>
      <c r="F56" s="1400">
        <v>4.0</v>
      </c>
      <c r="G56" s="1400">
        <v>5.0</v>
      </c>
      <c r="H56" s="1400">
        <v>6.0</v>
      </c>
      <c r="I56" s="1401"/>
      <c r="J56" s="1401"/>
      <c r="K56" s="1401"/>
      <c r="L56" s="1401"/>
      <c r="M56" s="1401"/>
      <c r="N56" s="1401"/>
      <c r="O56" s="1401"/>
      <c r="P56" s="1401"/>
      <c r="Q56" s="1401"/>
      <c r="R56" s="1401"/>
      <c r="S56" s="1401"/>
      <c r="T56" s="1401"/>
      <c r="U56" s="1401"/>
      <c r="V56" s="1401"/>
      <c r="W56" s="1401"/>
      <c r="X56" s="1401"/>
      <c r="Y56" s="1401"/>
      <c r="Z56" s="1401"/>
    </row>
    <row r="57">
      <c r="A57" s="1402">
        <v>50.0</v>
      </c>
      <c r="B57" s="1403">
        <v>3.05</v>
      </c>
      <c r="C57" s="1403">
        <v>4.97</v>
      </c>
      <c r="D57" s="1403">
        <v>6.89</v>
      </c>
      <c r="E57" s="1403">
        <v>8.81</v>
      </c>
      <c r="F57" s="1403">
        <v>10.73</v>
      </c>
      <c r="G57" s="1403">
        <v>12.65</v>
      </c>
      <c r="H57" s="1403">
        <v>14.57</v>
      </c>
      <c r="I57" s="1404"/>
      <c r="J57" s="1404"/>
      <c r="K57" s="1404"/>
      <c r="L57" s="1404"/>
      <c r="M57" s="1404"/>
      <c r="N57" s="1404"/>
      <c r="O57" s="1404"/>
      <c r="P57" s="1404"/>
      <c r="Q57" s="1404"/>
      <c r="R57" s="1404"/>
      <c r="S57" s="1404"/>
      <c r="T57" s="1404"/>
      <c r="U57" s="1404"/>
      <c r="V57" s="1404"/>
      <c r="W57" s="1404"/>
      <c r="X57" s="1404"/>
      <c r="Y57" s="1404"/>
      <c r="Z57" s="1404"/>
    </row>
    <row r="58">
      <c r="A58" s="1402">
        <v>100.0</v>
      </c>
      <c r="B58" s="1403">
        <v>6.1</v>
      </c>
      <c r="C58" s="1403">
        <v>8.02</v>
      </c>
      <c r="D58" s="1403">
        <v>9.94</v>
      </c>
      <c r="E58" s="1403">
        <v>11.86</v>
      </c>
      <c r="F58" s="1403">
        <v>13.78</v>
      </c>
      <c r="G58" s="1403">
        <v>15.7</v>
      </c>
      <c r="H58" s="1403">
        <v>17.62</v>
      </c>
      <c r="I58" s="1404"/>
      <c r="J58" s="1404"/>
      <c r="K58" s="1404"/>
      <c r="L58" s="1404"/>
      <c r="M58" s="1404"/>
      <c r="N58" s="1404"/>
      <c r="O58" s="1404"/>
      <c r="P58" s="1404"/>
      <c r="Q58" s="1404"/>
      <c r="R58" s="1404"/>
      <c r="S58" s="1404"/>
      <c r="T58" s="1404"/>
      <c r="U58" s="1404"/>
      <c r="V58" s="1404"/>
      <c r="W58" s="1404"/>
      <c r="X58" s="1404"/>
      <c r="Y58" s="1404"/>
      <c r="Z58" s="1404"/>
    </row>
    <row r="59">
      <c r="A59" s="1402">
        <v>150.0</v>
      </c>
      <c r="B59" s="1403">
        <v>9.15</v>
      </c>
      <c r="C59" s="1403">
        <v>11.07</v>
      </c>
      <c r="D59" s="1403">
        <v>12.99</v>
      </c>
      <c r="E59" s="1403">
        <v>14.91</v>
      </c>
      <c r="F59" s="1403">
        <v>16.83</v>
      </c>
      <c r="G59" s="1403">
        <v>18.75</v>
      </c>
      <c r="H59" s="1403">
        <v>20.67</v>
      </c>
      <c r="I59" s="1404"/>
      <c r="J59" s="1404"/>
      <c r="K59" s="1404"/>
      <c r="L59" s="1404"/>
      <c r="M59" s="1404"/>
      <c r="N59" s="1404"/>
      <c r="O59" s="1404"/>
      <c r="P59" s="1404"/>
      <c r="Q59" s="1404"/>
      <c r="R59" s="1404"/>
      <c r="S59" s="1404"/>
      <c r="T59" s="1404"/>
      <c r="U59" s="1404"/>
      <c r="V59" s="1404"/>
      <c r="W59" s="1404"/>
      <c r="X59" s="1404"/>
      <c r="Y59" s="1404"/>
      <c r="Z59" s="1404"/>
    </row>
    <row r="60">
      <c r="A60" s="1402">
        <v>200.0</v>
      </c>
      <c r="B60" s="1403">
        <v>12.2</v>
      </c>
      <c r="C60" s="1403">
        <v>14.12</v>
      </c>
      <c r="D60" s="1403">
        <v>16.04</v>
      </c>
      <c r="E60" s="1403">
        <v>17.96</v>
      </c>
      <c r="F60" s="1403">
        <v>19.88</v>
      </c>
      <c r="G60" s="1403">
        <v>21.8</v>
      </c>
      <c r="H60" s="1403">
        <v>23.72</v>
      </c>
      <c r="I60" s="1404"/>
      <c r="J60" s="1404"/>
      <c r="K60" s="1404"/>
      <c r="L60" s="1404"/>
      <c r="M60" s="1404"/>
      <c r="N60" s="1404"/>
      <c r="O60" s="1404"/>
      <c r="P60" s="1404"/>
      <c r="Q60" s="1404"/>
      <c r="R60" s="1404"/>
      <c r="S60" s="1404"/>
      <c r="T60" s="1404"/>
      <c r="U60" s="1404"/>
      <c r="V60" s="1404"/>
      <c r="W60" s="1404"/>
      <c r="X60" s="1404"/>
      <c r="Y60" s="1404"/>
      <c r="Z60" s="1404"/>
    </row>
    <row r="61">
      <c r="A61" s="1402">
        <v>250.0</v>
      </c>
      <c r="B61" s="1403">
        <v>15.26</v>
      </c>
      <c r="C61" s="1403">
        <v>17.18</v>
      </c>
      <c r="D61" s="1403">
        <v>19.1</v>
      </c>
      <c r="E61" s="1403">
        <v>21.02</v>
      </c>
      <c r="F61" s="1403">
        <v>22.94</v>
      </c>
      <c r="G61" s="1403">
        <v>24.86</v>
      </c>
      <c r="H61" s="1403">
        <v>26.78</v>
      </c>
      <c r="I61" s="1404"/>
      <c r="J61" s="1404"/>
      <c r="K61" s="1404"/>
      <c r="L61" s="1404"/>
      <c r="M61" s="1404"/>
      <c r="N61" s="1404"/>
      <c r="O61" s="1404"/>
      <c r="P61" s="1404"/>
      <c r="Q61" s="1404"/>
      <c r="R61" s="1404"/>
      <c r="S61" s="1404"/>
      <c r="T61" s="1404"/>
      <c r="U61" s="1404"/>
      <c r="V61" s="1404"/>
      <c r="W61" s="1404"/>
      <c r="X61" s="1404"/>
      <c r="Y61" s="1404"/>
      <c r="Z61" s="1404"/>
    </row>
    <row r="62">
      <c r="A62" s="1402">
        <v>300.0</v>
      </c>
      <c r="B62" s="1403">
        <v>18.31</v>
      </c>
      <c r="C62" s="1403">
        <v>20.23</v>
      </c>
      <c r="D62" s="1403">
        <v>22.15</v>
      </c>
      <c r="E62" s="1403">
        <v>24.07</v>
      </c>
      <c r="F62" s="1403">
        <v>25.99</v>
      </c>
      <c r="G62" s="1403">
        <v>27.91</v>
      </c>
      <c r="H62" s="1403">
        <v>29.83</v>
      </c>
      <c r="I62" s="1404"/>
      <c r="J62" s="1404"/>
      <c r="K62" s="1404"/>
      <c r="L62" s="1404"/>
      <c r="M62" s="1404"/>
      <c r="N62" s="1404"/>
      <c r="O62" s="1404"/>
      <c r="P62" s="1404"/>
      <c r="Q62" s="1404"/>
      <c r="R62" s="1404"/>
      <c r="S62" s="1404"/>
      <c r="T62" s="1404"/>
      <c r="U62" s="1404"/>
      <c r="V62" s="1404"/>
      <c r="W62" s="1404"/>
      <c r="X62" s="1404"/>
      <c r="Y62" s="1404"/>
      <c r="Z62" s="1404"/>
    </row>
    <row r="63">
      <c r="A63" s="1402">
        <v>350.0</v>
      </c>
      <c r="B63" s="1403">
        <v>21.36</v>
      </c>
      <c r="C63" s="1403">
        <v>23.28</v>
      </c>
      <c r="D63" s="1403">
        <v>25.2</v>
      </c>
      <c r="E63" s="1403">
        <v>27.12</v>
      </c>
      <c r="F63" s="1403">
        <v>29.04</v>
      </c>
      <c r="G63" s="1403">
        <v>30.96</v>
      </c>
      <c r="H63" s="1403">
        <v>32.88</v>
      </c>
      <c r="I63" s="1404"/>
      <c r="J63" s="1404"/>
      <c r="K63" s="1404"/>
      <c r="L63" s="1404"/>
      <c r="M63" s="1404"/>
      <c r="N63" s="1404"/>
      <c r="O63" s="1404"/>
      <c r="P63" s="1404"/>
      <c r="Q63" s="1404"/>
      <c r="R63" s="1404"/>
      <c r="S63" s="1404"/>
      <c r="T63" s="1404"/>
      <c r="U63" s="1404"/>
      <c r="V63" s="1404"/>
      <c r="W63" s="1404"/>
      <c r="X63" s="1404"/>
      <c r="Y63" s="1404"/>
      <c r="Z63" s="1404"/>
    </row>
    <row r="64">
      <c r="A64" s="1402">
        <v>400.0</v>
      </c>
      <c r="B64" s="1403">
        <v>24.41</v>
      </c>
      <c r="C64" s="1403">
        <v>26.33</v>
      </c>
      <c r="D64" s="1403">
        <v>28.25</v>
      </c>
      <c r="E64" s="1403">
        <v>30.17</v>
      </c>
      <c r="F64" s="1403">
        <v>32.09</v>
      </c>
      <c r="G64" s="1403">
        <v>34.01</v>
      </c>
      <c r="H64" s="1403">
        <v>35.93</v>
      </c>
      <c r="I64" s="1404"/>
      <c r="J64" s="1404"/>
      <c r="K64" s="1404"/>
      <c r="L64" s="1404"/>
      <c r="M64" s="1404"/>
      <c r="N64" s="1404"/>
      <c r="O64" s="1404"/>
      <c r="P64" s="1404"/>
      <c r="Q64" s="1404"/>
      <c r="R64" s="1404"/>
      <c r="S64" s="1404"/>
      <c r="T64" s="1404"/>
      <c r="U64" s="1404"/>
      <c r="V64" s="1404"/>
      <c r="W64" s="1404"/>
      <c r="X64" s="1404"/>
      <c r="Y64" s="1404"/>
      <c r="Z64" s="1404"/>
    </row>
    <row r="65">
      <c r="A65" s="1402">
        <v>450.0</v>
      </c>
      <c r="B65" s="1403">
        <v>27.46</v>
      </c>
      <c r="C65" s="1403">
        <v>29.38</v>
      </c>
      <c r="D65" s="1403">
        <v>31.3</v>
      </c>
      <c r="E65" s="1403">
        <v>33.22</v>
      </c>
      <c r="F65" s="1403">
        <v>35.14</v>
      </c>
      <c r="G65" s="1403">
        <v>37.06</v>
      </c>
      <c r="H65" s="1403">
        <v>38.98</v>
      </c>
      <c r="I65" s="1404"/>
      <c r="J65" s="1404"/>
      <c r="K65" s="1404"/>
      <c r="L65" s="1404"/>
      <c r="M65" s="1404"/>
      <c r="N65" s="1404"/>
      <c r="O65" s="1404"/>
      <c r="P65" s="1404"/>
      <c r="Q65" s="1404"/>
      <c r="R65" s="1404"/>
      <c r="S65" s="1404"/>
      <c r="T65" s="1404"/>
      <c r="U65" s="1404"/>
      <c r="V65" s="1404"/>
      <c r="W65" s="1404"/>
      <c r="X65" s="1404"/>
      <c r="Y65" s="1404"/>
      <c r="Z65" s="1404"/>
    </row>
    <row r="66">
      <c r="A66" s="1402">
        <v>500.0</v>
      </c>
      <c r="B66" s="1403">
        <v>30.51</v>
      </c>
      <c r="C66" s="1403">
        <v>32.43</v>
      </c>
      <c r="D66" s="1403">
        <v>34.35</v>
      </c>
      <c r="E66" s="1403">
        <v>36.27</v>
      </c>
      <c r="F66" s="1403">
        <v>38.19</v>
      </c>
      <c r="G66" s="1403">
        <v>40.11</v>
      </c>
      <c r="H66" s="1403">
        <v>42.03</v>
      </c>
      <c r="I66" s="1404"/>
      <c r="J66" s="1404"/>
      <c r="K66" s="1404"/>
      <c r="L66" s="1404"/>
      <c r="M66" s="1404"/>
      <c r="N66" s="1404"/>
      <c r="O66" s="1404"/>
      <c r="P66" s="1404"/>
      <c r="Q66" s="1404"/>
      <c r="R66" s="1404"/>
      <c r="S66" s="1404"/>
      <c r="T66" s="1404"/>
      <c r="U66" s="1404"/>
      <c r="V66" s="1404"/>
      <c r="W66" s="1404"/>
      <c r="X66" s="1404"/>
      <c r="Y66" s="1404"/>
      <c r="Z66" s="1404"/>
    </row>
    <row r="67">
      <c r="A67" s="1402">
        <v>550.0</v>
      </c>
      <c r="B67" s="1403">
        <v>33.56</v>
      </c>
      <c r="C67" s="1403">
        <v>35.48</v>
      </c>
      <c r="D67" s="1403">
        <v>37.4</v>
      </c>
      <c r="E67" s="1403">
        <v>39.32</v>
      </c>
      <c r="F67" s="1403">
        <v>41.24</v>
      </c>
      <c r="G67" s="1403">
        <v>43.16</v>
      </c>
      <c r="H67" s="1403">
        <v>45.08</v>
      </c>
      <c r="I67" s="1404"/>
      <c r="J67" s="1404"/>
      <c r="K67" s="1404"/>
      <c r="L67" s="1404"/>
      <c r="M67" s="1404"/>
      <c r="N67" s="1404"/>
      <c r="O67" s="1404"/>
      <c r="P67" s="1404"/>
      <c r="Q67" s="1404"/>
      <c r="R67" s="1404"/>
      <c r="S67" s="1404"/>
      <c r="T67" s="1404"/>
      <c r="U67" s="1404"/>
      <c r="V67" s="1404"/>
      <c r="W67" s="1404"/>
      <c r="X67" s="1404"/>
      <c r="Y67" s="1404"/>
      <c r="Z67" s="1404"/>
    </row>
    <row r="68">
      <c r="A68" s="1402">
        <v>600.0</v>
      </c>
      <c r="B68" s="1403">
        <v>36.61</v>
      </c>
      <c r="C68" s="1403">
        <v>38.53</v>
      </c>
      <c r="D68" s="1403">
        <v>40.45</v>
      </c>
      <c r="E68" s="1403">
        <v>42.37</v>
      </c>
      <c r="F68" s="1403">
        <v>44.29</v>
      </c>
      <c r="G68" s="1403">
        <v>46.21</v>
      </c>
      <c r="H68" s="1403">
        <v>48.13</v>
      </c>
      <c r="I68" s="1404"/>
      <c r="J68" s="1404"/>
      <c r="K68" s="1404"/>
      <c r="L68" s="1404"/>
      <c r="M68" s="1404"/>
      <c r="N68" s="1404"/>
      <c r="O68" s="1404"/>
      <c r="P68" s="1404"/>
      <c r="Q68" s="1404"/>
      <c r="R68" s="1404"/>
      <c r="S68" s="1404"/>
      <c r="T68" s="1404"/>
      <c r="U68" s="1404"/>
      <c r="V68" s="1404"/>
      <c r="W68" s="1404"/>
      <c r="X68" s="1404"/>
      <c r="Y68" s="1404"/>
      <c r="Z68" s="1404"/>
    </row>
    <row r="69">
      <c r="A69" s="1402">
        <v>650.0</v>
      </c>
      <c r="B69" s="1403">
        <v>39.66</v>
      </c>
      <c r="C69" s="1403">
        <v>41.58</v>
      </c>
      <c r="D69" s="1403">
        <v>43.5</v>
      </c>
      <c r="E69" s="1403">
        <v>45.42</v>
      </c>
      <c r="F69" s="1403">
        <v>47.34</v>
      </c>
      <c r="G69" s="1403">
        <v>49.26</v>
      </c>
      <c r="H69" s="1403">
        <v>51.18</v>
      </c>
      <c r="I69" s="1404"/>
      <c r="J69" s="1404"/>
      <c r="K69" s="1404"/>
      <c r="L69" s="1404"/>
      <c r="M69" s="1404"/>
      <c r="N69" s="1404"/>
      <c r="O69" s="1404"/>
      <c r="P69" s="1404"/>
      <c r="Q69" s="1404"/>
      <c r="R69" s="1404"/>
      <c r="S69" s="1404"/>
      <c r="T69" s="1404"/>
      <c r="U69" s="1404"/>
      <c r="V69" s="1404"/>
      <c r="W69" s="1404"/>
      <c r="X69" s="1404"/>
      <c r="Y69" s="1404"/>
      <c r="Z69" s="1404"/>
    </row>
    <row r="70">
      <c r="A70" s="1402">
        <v>700.0</v>
      </c>
      <c r="B70" s="1403">
        <v>42.71</v>
      </c>
      <c r="C70" s="1403">
        <v>44.63</v>
      </c>
      <c r="D70" s="1403">
        <v>46.55</v>
      </c>
      <c r="E70" s="1403">
        <v>48.47</v>
      </c>
      <c r="F70" s="1403">
        <v>50.39</v>
      </c>
      <c r="G70" s="1403">
        <v>52.31</v>
      </c>
      <c r="H70" s="1403">
        <v>54.23</v>
      </c>
      <c r="I70" s="1404"/>
      <c r="J70" s="1404"/>
      <c r="K70" s="1404"/>
      <c r="L70" s="1404"/>
      <c r="M70" s="1404"/>
      <c r="N70" s="1404"/>
      <c r="O70" s="1404"/>
      <c r="P70" s="1404"/>
      <c r="Q70" s="1404"/>
      <c r="R70" s="1404"/>
      <c r="S70" s="1404"/>
      <c r="T70" s="1404"/>
      <c r="U70" s="1404"/>
      <c r="V70" s="1404"/>
      <c r="W70" s="1404"/>
      <c r="X70" s="1404"/>
      <c r="Y70" s="1404"/>
      <c r="Z70" s="1404"/>
    </row>
    <row r="71">
      <c r="A71" s="1402">
        <v>750.0</v>
      </c>
      <c r="B71" s="1403">
        <v>45.77</v>
      </c>
      <c r="C71" s="1403">
        <v>47.69</v>
      </c>
      <c r="D71" s="1403">
        <v>49.61</v>
      </c>
      <c r="E71" s="1403">
        <v>51.53</v>
      </c>
      <c r="F71" s="1403">
        <v>53.45</v>
      </c>
      <c r="G71" s="1403">
        <v>55.37</v>
      </c>
      <c r="H71" s="1403">
        <v>57.29</v>
      </c>
      <c r="I71" s="1404"/>
      <c r="J71" s="1404"/>
      <c r="K71" s="1404"/>
      <c r="L71" s="1404"/>
      <c r="M71" s="1404"/>
      <c r="N71" s="1404"/>
      <c r="O71" s="1404"/>
      <c r="P71" s="1404"/>
      <c r="Q71" s="1404"/>
      <c r="R71" s="1404"/>
      <c r="S71" s="1404"/>
      <c r="T71" s="1404"/>
      <c r="U71" s="1404"/>
      <c r="V71" s="1404"/>
      <c r="W71" s="1404"/>
      <c r="X71" s="1404"/>
      <c r="Y71" s="1404"/>
      <c r="Z71" s="1404"/>
    </row>
    <row r="72">
      <c r="A72" s="1402">
        <v>800.0</v>
      </c>
      <c r="B72" s="1403">
        <v>48.82</v>
      </c>
      <c r="C72" s="1403">
        <v>50.74</v>
      </c>
      <c r="D72" s="1403">
        <v>52.66</v>
      </c>
      <c r="E72" s="1403">
        <v>54.58</v>
      </c>
      <c r="F72" s="1403">
        <v>56.5</v>
      </c>
      <c r="G72" s="1403">
        <v>58.42</v>
      </c>
      <c r="H72" s="1403">
        <v>60.34</v>
      </c>
      <c r="I72" s="1404"/>
      <c r="J72" s="1404"/>
      <c r="K72" s="1404"/>
      <c r="L72" s="1404"/>
      <c r="M72" s="1404"/>
      <c r="N72" s="1404"/>
      <c r="O72" s="1404"/>
      <c r="P72" s="1404"/>
      <c r="Q72" s="1404"/>
      <c r="R72" s="1404"/>
      <c r="S72" s="1404"/>
      <c r="T72" s="1404"/>
      <c r="U72" s="1404"/>
      <c r="V72" s="1404"/>
      <c r="W72" s="1404"/>
      <c r="X72" s="1404"/>
      <c r="Y72" s="1404"/>
      <c r="Z72" s="1404"/>
    </row>
    <row r="73">
      <c r="A73" s="1402">
        <v>850.0</v>
      </c>
      <c r="B73" s="1403">
        <v>51.87</v>
      </c>
      <c r="C73" s="1403">
        <v>53.79</v>
      </c>
      <c r="D73" s="1403">
        <v>55.71</v>
      </c>
      <c r="E73" s="1403">
        <v>57.63</v>
      </c>
      <c r="F73" s="1403">
        <v>59.55</v>
      </c>
      <c r="G73" s="1403">
        <v>61.47</v>
      </c>
      <c r="H73" s="1403">
        <v>63.39</v>
      </c>
      <c r="I73" s="1404"/>
      <c r="J73" s="1404"/>
      <c r="K73" s="1404"/>
      <c r="L73" s="1404"/>
      <c r="M73" s="1404"/>
      <c r="N73" s="1404"/>
      <c r="O73" s="1404"/>
      <c r="P73" s="1404"/>
      <c r="Q73" s="1404"/>
      <c r="R73" s="1404"/>
      <c r="S73" s="1404"/>
      <c r="T73" s="1404"/>
      <c r="U73" s="1404"/>
      <c r="V73" s="1404"/>
      <c r="W73" s="1404"/>
      <c r="X73" s="1404"/>
      <c r="Y73" s="1404"/>
      <c r="Z73" s="1404"/>
    </row>
    <row r="74">
      <c r="A74" s="1402">
        <v>900.0</v>
      </c>
      <c r="B74" s="1403">
        <v>54.92</v>
      </c>
      <c r="C74" s="1403">
        <v>56.84</v>
      </c>
      <c r="D74" s="1403">
        <v>58.76</v>
      </c>
      <c r="E74" s="1403">
        <v>60.68</v>
      </c>
      <c r="F74" s="1403">
        <v>62.6</v>
      </c>
      <c r="G74" s="1403">
        <v>64.52</v>
      </c>
      <c r="H74" s="1403">
        <v>66.44</v>
      </c>
      <c r="I74" s="1404"/>
      <c r="J74" s="1404"/>
      <c r="K74" s="1404"/>
      <c r="L74" s="1404"/>
      <c r="M74" s="1404"/>
      <c r="N74" s="1404"/>
      <c r="O74" s="1404"/>
      <c r="P74" s="1404"/>
      <c r="Q74" s="1404"/>
      <c r="R74" s="1404"/>
      <c r="S74" s="1404"/>
      <c r="T74" s="1404"/>
      <c r="U74" s="1404"/>
      <c r="V74" s="1404"/>
      <c r="W74" s="1404"/>
      <c r="X74" s="1404"/>
      <c r="Y74" s="1404"/>
      <c r="Z74" s="1404"/>
    </row>
    <row r="75">
      <c r="A75" s="1402">
        <v>950.0</v>
      </c>
      <c r="B75" s="1403">
        <v>57.97</v>
      </c>
      <c r="C75" s="1403">
        <v>59.89</v>
      </c>
      <c r="D75" s="1403">
        <v>61.81</v>
      </c>
      <c r="E75" s="1403">
        <v>63.73</v>
      </c>
      <c r="F75" s="1403">
        <v>65.65</v>
      </c>
      <c r="G75" s="1403">
        <v>67.57</v>
      </c>
      <c r="H75" s="1403">
        <v>69.49</v>
      </c>
      <c r="I75" s="1404"/>
      <c r="J75" s="1404"/>
      <c r="K75" s="1404"/>
      <c r="L75" s="1404"/>
      <c r="M75" s="1404"/>
      <c r="N75" s="1404"/>
      <c r="O75" s="1404"/>
      <c r="P75" s="1404"/>
      <c r="Q75" s="1404"/>
      <c r="R75" s="1404"/>
      <c r="S75" s="1404"/>
      <c r="T75" s="1404"/>
      <c r="U75" s="1404"/>
      <c r="V75" s="1404"/>
      <c r="W75" s="1404"/>
      <c r="X75" s="1404"/>
      <c r="Y75" s="1404"/>
      <c r="Z75" s="1404"/>
    </row>
    <row r="76">
      <c r="A76" s="1402">
        <v>1000.0</v>
      </c>
      <c r="B76" s="1403">
        <v>61.02</v>
      </c>
      <c r="C76" s="1403">
        <v>62.94</v>
      </c>
      <c r="D76" s="1403">
        <v>64.86</v>
      </c>
      <c r="E76" s="1403">
        <v>66.78</v>
      </c>
      <c r="F76" s="1403">
        <v>68.7</v>
      </c>
      <c r="G76" s="1403">
        <v>70.62</v>
      </c>
      <c r="H76" s="1403">
        <v>72.54</v>
      </c>
      <c r="I76" s="1404"/>
      <c r="J76" s="1404"/>
      <c r="K76" s="1404"/>
      <c r="L76" s="1404"/>
      <c r="M76" s="1404"/>
      <c r="N76" s="1404"/>
      <c r="O76" s="1404"/>
      <c r="P76" s="1404"/>
      <c r="Q76" s="1404"/>
      <c r="R76" s="1404"/>
      <c r="S76" s="1404"/>
      <c r="T76" s="1404"/>
      <c r="U76" s="1404"/>
      <c r="V76" s="1404"/>
      <c r="W76" s="1404"/>
      <c r="X76" s="1404"/>
      <c r="Y76" s="1404"/>
      <c r="Z76" s="1404"/>
    </row>
    <row r="77">
      <c r="A77" s="1402">
        <v>1050.0</v>
      </c>
      <c r="B77" s="1403">
        <v>64.07</v>
      </c>
      <c r="C77" s="1403">
        <v>65.99</v>
      </c>
      <c r="D77" s="1403">
        <v>67.91</v>
      </c>
      <c r="E77" s="1403">
        <v>69.83</v>
      </c>
      <c r="F77" s="1403">
        <v>71.75</v>
      </c>
      <c r="G77" s="1403">
        <v>73.67</v>
      </c>
      <c r="H77" s="1403">
        <v>75.59</v>
      </c>
      <c r="I77" s="1404"/>
      <c r="J77" s="1404"/>
      <c r="K77" s="1404"/>
      <c r="L77" s="1404"/>
      <c r="M77" s="1404"/>
      <c r="N77" s="1404"/>
      <c r="O77" s="1404"/>
      <c r="P77" s="1404"/>
      <c r="Q77" s="1404"/>
      <c r="R77" s="1404"/>
      <c r="S77" s="1404"/>
      <c r="T77" s="1404"/>
      <c r="U77" s="1404"/>
      <c r="V77" s="1404"/>
      <c r="W77" s="1404"/>
      <c r="X77" s="1404"/>
      <c r="Y77" s="1404"/>
      <c r="Z77" s="1404"/>
    </row>
    <row r="78">
      <c r="A78" s="1402">
        <v>1100.0</v>
      </c>
      <c r="B78" s="1403">
        <v>67.12</v>
      </c>
      <c r="C78" s="1403">
        <v>69.04</v>
      </c>
      <c r="D78" s="1403">
        <v>70.96</v>
      </c>
      <c r="E78" s="1403">
        <v>72.88</v>
      </c>
      <c r="F78" s="1403">
        <v>74.8</v>
      </c>
      <c r="G78" s="1403">
        <v>76.72</v>
      </c>
      <c r="H78" s="1403">
        <v>78.64</v>
      </c>
      <c r="I78" s="1404"/>
      <c r="J78" s="1404"/>
      <c r="K78" s="1404"/>
      <c r="L78" s="1404"/>
      <c r="M78" s="1404"/>
      <c r="N78" s="1404"/>
      <c r="O78" s="1404"/>
      <c r="P78" s="1404"/>
      <c r="Q78" s="1404"/>
      <c r="R78" s="1404"/>
      <c r="S78" s="1404"/>
      <c r="T78" s="1404"/>
      <c r="U78" s="1404"/>
      <c r="V78" s="1404"/>
      <c r="W78" s="1404"/>
      <c r="X78" s="1404"/>
      <c r="Y78" s="1404"/>
      <c r="Z78" s="1404"/>
    </row>
    <row r="79">
      <c r="A79" s="1402">
        <v>1150.0</v>
      </c>
      <c r="B79" s="1403">
        <v>70.17</v>
      </c>
      <c r="C79" s="1403">
        <v>72.09</v>
      </c>
      <c r="D79" s="1403">
        <v>74.01</v>
      </c>
      <c r="E79" s="1403">
        <v>75.93</v>
      </c>
      <c r="F79" s="1403">
        <v>77.85</v>
      </c>
      <c r="G79" s="1403">
        <v>79.77</v>
      </c>
      <c r="H79" s="1403">
        <v>81.69</v>
      </c>
      <c r="I79" s="1404"/>
      <c r="J79" s="1404"/>
      <c r="K79" s="1404"/>
      <c r="L79" s="1404"/>
      <c r="M79" s="1404"/>
      <c r="N79" s="1404"/>
      <c r="O79" s="1404"/>
      <c r="P79" s="1404"/>
      <c r="Q79" s="1404"/>
      <c r="R79" s="1404"/>
      <c r="S79" s="1404"/>
      <c r="T79" s="1404"/>
      <c r="U79" s="1404"/>
      <c r="V79" s="1404"/>
      <c r="W79" s="1404"/>
      <c r="X79" s="1404"/>
      <c r="Y79" s="1404"/>
      <c r="Z79" s="1404"/>
    </row>
    <row r="80">
      <c r="A80" s="1402">
        <v>1200.0</v>
      </c>
      <c r="B80" s="1403">
        <v>73.22</v>
      </c>
      <c r="C80" s="1403">
        <v>75.14</v>
      </c>
      <c r="D80" s="1403">
        <v>77.06</v>
      </c>
      <c r="E80" s="1403">
        <v>78.98</v>
      </c>
      <c r="F80" s="1403">
        <v>80.9</v>
      </c>
      <c r="G80" s="1403">
        <v>82.82</v>
      </c>
      <c r="H80" s="1403">
        <v>84.74</v>
      </c>
      <c r="I80" s="1404"/>
      <c r="J80" s="1404"/>
      <c r="K80" s="1404"/>
      <c r="L80" s="1404"/>
      <c r="M80" s="1404"/>
      <c r="N80" s="1404"/>
      <c r="O80" s="1404"/>
      <c r="P80" s="1404"/>
      <c r="Q80" s="1404"/>
      <c r="R80" s="1404"/>
      <c r="S80" s="1404"/>
      <c r="T80" s="1404"/>
      <c r="U80" s="1404"/>
      <c r="V80" s="1404"/>
      <c r="W80" s="1404"/>
      <c r="X80" s="1404"/>
      <c r="Y80" s="1404"/>
      <c r="Z80" s="1404"/>
    </row>
    <row r="81">
      <c r="A81" s="1404"/>
      <c r="B81" s="1404"/>
      <c r="C81" s="1404"/>
      <c r="D81" s="1404"/>
      <c r="E81" s="1404"/>
      <c r="F81" s="1404"/>
      <c r="G81" s="1404"/>
      <c r="H81" s="1404"/>
      <c r="I81" s="1404"/>
      <c r="J81" s="1404"/>
      <c r="K81" s="1404"/>
      <c r="L81" s="1404"/>
      <c r="M81" s="1404"/>
      <c r="N81" s="1404"/>
      <c r="O81" s="1404"/>
      <c r="P81" s="1404"/>
      <c r="Q81" s="1404"/>
      <c r="R81" s="1404"/>
      <c r="S81" s="1404"/>
      <c r="T81" s="1404"/>
      <c r="U81" s="1404"/>
      <c r="V81" s="1404"/>
      <c r="W81" s="1404"/>
      <c r="X81" s="1404"/>
      <c r="Y81" s="1404"/>
      <c r="Z81" s="1404"/>
    </row>
    <row r="82">
      <c r="A82" s="1404"/>
      <c r="B82" s="1404"/>
      <c r="C82" s="1404"/>
      <c r="D82" s="1404"/>
      <c r="E82" s="1404"/>
      <c r="F82" s="1404"/>
      <c r="G82" s="1404"/>
      <c r="H82" s="1404"/>
      <c r="I82" s="1404"/>
      <c r="J82" s="1404"/>
      <c r="K82" s="1404"/>
      <c r="L82" s="1404"/>
      <c r="M82" s="1404"/>
      <c r="N82" s="1404"/>
      <c r="O82" s="1404"/>
      <c r="P82" s="1404"/>
      <c r="Q82" s="1404"/>
      <c r="R82" s="1404"/>
      <c r="S82" s="1404"/>
      <c r="T82" s="1404"/>
      <c r="U82" s="1404"/>
      <c r="V82" s="1404"/>
      <c r="W82" s="1404"/>
      <c r="X82" s="1404"/>
      <c r="Y82" s="1404"/>
      <c r="Z82" s="1404"/>
    </row>
    <row r="83">
      <c r="A83" s="1404"/>
      <c r="B83" s="1404"/>
      <c r="C83" s="1404"/>
      <c r="D83" s="1404"/>
      <c r="E83" s="1404"/>
      <c r="F83" s="1404"/>
      <c r="G83" s="1404"/>
      <c r="H83" s="1404"/>
      <c r="I83" s="1404"/>
      <c r="J83" s="1404"/>
      <c r="K83" s="1404"/>
      <c r="L83" s="1404"/>
      <c r="M83" s="1404"/>
      <c r="N83" s="1404"/>
      <c r="O83" s="1404"/>
      <c r="P83" s="1404"/>
      <c r="Q83" s="1404"/>
      <c r="R83" s="1404"/>
      <c r="S83" s="1404"/>
      <c r="T83" s="1404"/>
      <c r="U83" s="1404"/>
      <c r="V83" s="1404"/>
      <c r="W83" s="1404"/>
      <c r="X83" s="1404"/>
      <c r="Y83" s="1404"/>
      <c r="Z83" s="1404"/>
    </row>
    <row r="84">
      <c r="A84" s="1404"/>
      <c r="B84" s="1404"/>
      <c r="C84" s="1404"/>
      <c r="D84" s="1404"/>
      <c r="E84" s="1404"/>
      <c r="F84" s="1404"/>
      <c r="G84" s="1404"/>
      <c r="H84" s="1404"/>
      <c r="I84" s="1404"/>
      <c r="J84" s="1404"/>
      <c r="K84" s="1404"/>
      <c r="L84" s="1404"/>
      <c r="M84" s="1404"/>
      <c r="N84" s="1404"/>
      <c r="O84" s="1404"/>
      <c r="P84" s="1404"/>
      <c r="Q84" s="1404"/>
      <c r="R84" s="1404"/>
      <c r="S84" s="1404"/>
      <c r="T84" s="1404"/>
      <c r="U84" s="1404"/>
      <c r="V84" s="1404"/>
      <c r="W84" s="1404"/>
      <c r="X84" s="1404"/>
      <c r="Y84" s="1404"/>
      <c r="Z84" s="1404"/>
    </row>
    <row r="85">
      <c r="A85" s="1404"/>
      <c r="B85" s="1404"/>
      <c r="C85" s="1404"/>
      <c r="D85" s="1404"/>
      <c r="E85" s="1404"/>
      <c r="F85" s="1404"/>
      <c r="G85" s="1404"/>
      <c r="H85" s="1404"/>
      <c r="I85" s="1404"/>
      <c r="J85" s="1404"/>
      <c r="K85" s="1404"/>
      <c r="L85" s="1404"/>
      <c r="M85" s="1404"/>
      <c r="N85" s="1404"/>
      <c r="O85" s="1404"/>
      <c r="P85" s="1404"/>
      <c r="Q85" s="1404"/>
      <c r="R85" s="1404"/>
      <c r="S85" s="1404"/>
      <c r="T85" s="1404"/>
      <c r="U85" s="1404"/>
      <c r="V85" s="1404"/>
      <c r="W85" s="1404"/>
      <c r="X85" s="1404"/>
      <c r="Y85" s="1404"/>
      <c r="Z85" s="1404"/>
    </row>
    <row r="86">
      <c r="A86" s="1404"/>
      <c r="B86" s="1404"/>
      <c r="C86" s="1404"/>
      <c r="D86" s="1404"/>
      <c r="E86" s="1404"/>
      <c r="F86" s="1404"/>
      <c r="G86" s="1404"/>
      <c r="H86" s="1404"/>
      <c r="I86" s="1404"/>
      <c r="J86" s="1404"/>
      <c r="K86" s="1404"/>
      <c r="L86" s="1404"/>
      <c r="M86" s="1404"/>
      <c r="N86" s="1404"/>
      <c r="O86" s="1404"/>
      <c r="P86" s="1404"/>
      <c r="Q86" s="1404"/>
      <c r="R86" s="1404"/>
      <c r="S86" s="1404"/>
      <c r="T86" s="1404"/>
      <c r="U86" s="1404"/>
      <c r="V86" s="1404"/>
      <c r="W86" s="1404"/>
      <c r="X86" s="1404"/>
      <c r="Y86" s="1404"/>
      <c r="Z86" s="1404"/>
    </row>
    <row r="87">
      <c r="A87" s="1404"/>
      <c r="B87" s="1404"/>
      <c r="C87" s="1404"/>
      <c r="D87" s="1404"/>
      <c r="E87" s="1404"/>
      <c r="F87" s="1404"/>
      <c r="G87" s="1404"/>
      <c r="H87" s="1404"/>
      <c r="I87" s="1404"/>
      <c r="J87" s="1404"/>
      <c r="K87" s="1404"/>
      <c r="L87" s="1404"/>
      <c r="M87" s="1404"/>
      <c r="N87" s="1404"/>
      <c r="O87" s="1404"/>
      <c r="P87" s="1404"/>
      <c r="Q87" s="1404"/>
      <c r="R87" s="1404"/>
      <c r="S87" s="1404"/>
      <c r="T87" s="1404"/>
      <c r="U87" s="1404"/>
      <c r="V87" s="1404"/>
      <c r="W87" s="1404"/>
      <c r="X87" s="1404"/>
      <c r="Y87" s="1404"/>
      <c r="Z87" s="1404"/>
    </row>
    <row r="88">
      <c r="A88" s="1404"/>
      <c r="B88" s="1404"/>
      <c r="C88" s="1404"/>
      <c r="D88" s="1404"/>
      <c r="E88" s="1404"/>
      <c r="F88" s="1404"/>
      <c r="G88" s="1404"/>
      <c r="H88" s="1404"/>
      <c r="I88" s="1404"/>
      <c r="J88" s="1404"/>
      <c r="K88" s="1404"/>
      <c r="L88" s="1404"/>
      <c r="M88" s="1404"/>
      <c r="N88" s="1404"/>
      <c r="O88" s="1404"/>
      <c r="P88" s="1404"/>
      <c r="Q88" s="1404"/>
      <c r="R88" s="1404"/>
      <c r="S88" s="1404"/>
      <c r="T88" s="1404"/>
      <c r="U88" s="1404"/>
      <c r="V88" s="1404"/>
      <c r="W88" s="1404"/>
      <c r="X88" s="1404"/>
      <c r="Y88" s="1404"/>
      <c r="Z88" s="1404"/>
    </row>
    <row r="89">
      <c r="A89" s="1404"/>
      <c r="B89" s="1404"/>
      <c r="C89" s="1404"/>
      <c r="D89" s="1404"/>
      <c r="E89" s="1404"/>
      <c r="F89" s="1404"/>
      <c r="G89" s="1404"/>
      <c r="H89" s="1404"/>
      <c r="I89" s="1404"/>
      <c r="J89" s="1404"/>
      <c r="K89" s="1404"/>
      <c r="L89" s="1404"/>
      <c r="M89" s="1404"/>
      <c r="N89" s="1404"/>
      <c r="O89" s="1404"/>
      <c r="P89" s="1404"/>
      <c r="Q89" s="1404"/>
      <c r="R89" s="1404"/>
      <c r="S89" s="1404"/>
      <c r="T89" s="1404"/>
      <c r="U89" s="1404"/>
      <c r="V89" s="1404"/>
      <c r="W89" s="1404"/>
      <c r="X89" s="1404"/>
      <c r="Y89" s="1404"/>
      <c r="Z89" s="1404"/>
    </row>
    <row r="90">
      <c r="A90" s="1404"/>
      <c r="B90" s="1404"/>
      <c r="C90" s="1404"/>
      <c r="D90" s="1404"/>
      <c r="E90" s="1404"/>
      <c r="F90" s="1404"/>
      <c r="G90" s="1404"/>
      <c r="H90" s="1404"/>
      <c r="I90" s="1404"/>
      <c r="J90" s="1404"/>
      <c r="K90" s="1404"/>
      <c r="L90" s="1404"/>
      <c r="M90" s="1404"/>
      <c r="N90" s="1404"/>
      <c r="O90" s="1404"/>
      <c r="P90" s="1404"/>
      <c r="Q90" s="1404"/>
      <c r="R90" s="1404"/>
      <c r="S90" s="1404"/>
      <c r="T90" s="1404"/>
      <c r="U90" s="1404"/>
      <c r="V90" s="1404"/>
      <c r="W90" s="1404"/>
      <c r="X90" s="1404"/>
      <c r="Y90" s="1404"/>
      <c r="Z90" s="1404"/>
    </row>
    <row r="91">
      <c r="A91" s="1404"/>
      <c r="B91" s="1404"/>
      <c r="C91" s="1404"/>
      <c r="D91" s="1404"/>
      <c r="E91" s="1404"/>
      <c r="F91" s="1404"/>
      <c r="G91" s="1404"/>
      <c r="H91" s="1404"/>
      <c r="I91" s="1404"/>
      <c r="J91" s="1404"/>
      <c r="K91" s="1404"/>
      <c r="L91" s="1404"/>
      <c r="M91" s="1404"/>
      <c r="N91" s="1404"/>
      <c r="O91" s="1404"/>
      <c r="P91" s="1404"/>
      <c r="Q91" s="1404"/>
      <c r="R91" s="1404"/>
      <c r="S91" s="1404"/>
      <c r="T91" s="1404"/>
      <c r="U91" s="1404"/>
      <c r="V91" s="1404"/>
      <c r="W91" s="1404"/>
      <c r="X91" s="1404"/>
      <c r="Y91" s="1404"/>
      <c r="Z91" s="1404"/>
    </row>
    <row r="92">
      <c r="A92" s="1404"/>
      <c r="B92" s="1404"/>
      <c r="C92" s="1404"/>
      <c r="D92" s="1404"/>
      <c r="E92" s="1404"/>
      <c r="F92" s="1404"/>
      <c r="G92" s="1404"/>
      <c r="H92" s="1404"/>
      <c r="I92" s="1404"/>
      <c r="J92" s="1404"/>
      <c r="K92" s="1404"/>
      <c r="L92" s="1404"/>
      <c r="M92" s="1404"/>
      <c r="N92" s="1404"/>
      <c r="O92" s="1404"/>
      <c r="P92" s="1404"/>
      <c r="Q92" s="1404"/>
      <c r="R92" s="1404"/>
      <c r="S92" s="1404"/>
      <c r="T92" s="1404"/>
      <c r="U92" s="1404"/>
      <c r="V92" s="1404"/>
      <c r="W92" s="1404"/>
      <c r="X92" s="1404"/>
      <c r="Y92" s="1404"/>
      <c r="Z92" s="1404"/>
    </row>
    <row r="93">
      <c r="A93" s="1404"/>
      <c r="B93" s="1404"/>
      <c r="C93" s="1404"/>
      <c r="D93" s="1404"/>
      <c r="E93" s="1404"/>
      <c r="F93" s="1404"/>
      <c r="G93" s="1404"/>
      <c r="H93" s="1404"/>
      <c r="I93" s="1404"/>
      <c r="J93" s="1404"/>
      <c r="K93" s="1404"/>
      <c r="L93" s="1404"/>
      <c r="M93" s="1404"/>
      <c r="N93" s="1404"/>
      <c r="O93" s="1404"/>
      <c r="P93" s="1404"/>
      <c r="Q93" s="1404"/>
      <c r="R93" s="1404"/>
      <c r="S93" s="1404"/>
      <c r="T93" s="1404"/>
      <c r="U93" s="1404"/>
      <c r="V93" s="1404"/>
      <c r="W93" s="1404"/>
      <c r="X93" s="1404"/>
      <c r="Y93" s="1404"/>
      <c r="Z93" s="1404"/>
    </row>
    <row r="94">
      <c r="A94" s="1404"/>
      <c r="B94" s="1404"/>
      <c r="C94" s="1404"/>
      <c r="D94" s="1404"/>
      <c r="E94" s="1404"/>
      <c r="F94" s="1404"/>
      <c r="G94" s="1404"/>
      <c r="H94" s="1404"/>
      <c r="I94" s="1404"/>
      <c r="J94" s="1404"/>
      <c r="K94" s="1404"/>
      <c r="L94" s="1404"/>
      <c r="M94" s="1404"/>
      <c r="N94" s="1404"/>
      <c r="O94" s="1404"/>
      <c r="P94" s="1404"/>
      <c r="Q94" s="1404"/>
      <c r="R94" s="1404"/>
      <c r="S94" s="1404"/>
      <c r="T94" s="1404"/>
      <c r="U94" s="1404"/>
      <c r="V94" s="1404"/>
      <c r="W94" s="1404"/>
      <c r="X94" s="1404"/>
      <c r="Y94" s="1404"/>
      <c r="Z94" s="1404"/>
    </row>
    <row r="95">
      <c r="A95" s="1404"/>
      <c r="B95" s="1404"/>
      <c r="C95" s="1404"/>
      <c r="D95" s="1404"/>
      <c r="E95" s="1404"/>
      <c r="F95" s="1404"/>
      <c r="G95" s="1404"/>
      <c r="H95" s="1404"/>
      <c r="I95" s="1404"/>
      <c r="J95" s="1404"/>
      <c r="K95" s="1404"/>
      <c r="L95" s="1404"/>
      <c r="M95" s="1404"/>
      <c r="N95" s="1404"/>
      <c r="O95" s="1404"/>
      <c r="P95" s="1404"/>
      <c r="Q95" s="1404"/>
      <c r="R95" s="1404"/>
      <c r="S95" s="1404"/>
      <c r="T95" s="1404"/>
      <c r="U95" s="1404"/>
      <c r="V95" s="1404"/>
      <c r="W95" s="1404"/>
      <c r="X95" s="1404"/>
      <c r="Y95" s="1404"/>
      <c r="Z95" s="1404"/>
    </row>
    <row r="96">
      <c r="A96" s="1404"/>
      <c r="B96" s="1404"/>
      <c r="C96" s="1404"/>
      <c r="D96" s="1404"/>
      <c r="E96" s="1404"/>
      <c r="F96" s="1404"/>
      <c r="G96" s="1404"/>
      <c r="H96" s="1404"/>
      <c r="I96" s="1404"/>
      <c r="J96" s="1404"/>
      <c r="K96" s="1404"/>
      <c r="L96" s="1404"/>
      <c r="M96" s="1404"/>
      <c r="N96" s="1404"/>
      <c r="O96" s="1404"/>
      <c r="P96" s="1404"/>
      <c r="Q96" s="1404"/>
      <c r="R96" s="1404"/>
      <c r="S96" s="1404"/>
      <c r="T96" s="1404"/>
      <c r="U96" s="1404"/>
      <c r="V96" s="1404"/>
      <c r="W96" s="1404"/>
      <c r="X96" s="1404"/>
      <c r="Y96" s="1404"/>
      <c r="Z96" s="1404"/>
    </row>
    <row r="97">
      <c r="A97" s="1404"/>
      <c r="B97" s="1404"/>
      <c r="C97" s="1404"/>
      <c r="D97" s="1404"/>
      <c r="E97" s="1404"/>
      <c r="F97" s="1404"/>
      <c r="G97" s="1404"/>
      <c r="H97" s="1404"/>
      <c r="I97" s="1404"/>
      <c r="J97" s="1404"/>
      <c r="K97" s="1404"/>
      <c r="L97" s="1404"/>
      <c r="M97" s="1404"/>
      <c r="N97" s="1404"/>
      <c r="O97" s="1404"/>
      <c r="P97" s="1404"/>
      <c r="Q97" s="1404"/>
      <c r="R97" s="1404"/>
      <c r="S97" s="1404"/>
      <c r="T97" s="1404"/>
      <c r="U97" s="1404"/>
      <c r="V97" s="1404"/>
      <c r="W97" s="1404"/>
      <c r="X97" s="1404"/>
      <c r="Y97" s="1404"/>
      <c r="Z97" s="1404"/>
    </row>
    <row r="98">
      <c r="A98" s="1404"/>
      <c r="B98" s="1404"/>
      <c r="C98" s="1404"/>
      <c r="D98" s="1404"/>
      <c r="E98" s="1404"/>
      <c r="F98" s="1404"/>
      <c r="G98" s="1404"/>
      <c r="H98" s="1404"/>
      <c r="I98" s="1404"/>
      <c r="J98" s="1404"/>
      <c r="K98" s="1404"/>
      <c r="L98" s="1404"/>
      <c r="M98" s="1404"/>
      <c r="N98" s="1404"/>
      <c r="O98" s="1404"/>
      <c r="P98" s="1404"/>
      <c r="Q98" s="1404"/>
      <c r="R98" s="1404"/>
      <c r="S98" s="1404"/>
      <c r="T98" s="1404"/>
      <c r="U98" s="1404"/>
      <c r="V98" s="1404"/>
      <c r="W98" s="1404"/>
      <c r="X98" s="1404"/>
      <c r="Y98" s="1404"/>
      <c r="Z98" s="1404"/>
    </row>
    <row r="99">
      <c r="A99" s="1404"/>
      <c r="B99" s="1404"/>
      <c r="C99" s="1404"/>
      <c r="D99" s="1404"/>
      <c r="E99" s="1404"/>
      <c r="F99" s="1404"/>
      <c r="G99" s="1404"/>
      <c r="H99" s="1404"/>
      <c r="I99" s="1404"/>
      <c r="J99" s="1404"/>
      <c r="K99" s="1404"/>
      <c r="L99" s="1404"/>
      <c r="M99" s="1404"/>
      <c r="N99" s="1404"/>
      <c r="O99" s="1404"/>
      <c r="P99" s="1404"/>
      <c r="Q99" s="1404"/>
      <c r="R99" s="1404"/>
      <c r="S99" s="1404"/>
      <c r="T99" s="1404"/>
      <c r="U99" s="1404"/>
      <c r="V99" s="1404"/>
      <c r="W99" s="1404"/>
      <c r="X99" s="1404"/>
      <c r="Y99" s="1404"/>
      <c r="Z99" s="1404"/>
    </row>
    <row r="100">
      <c r="A100" s="1404"/>
      <c r="B100" s="1404"/>
      <c r="C100" s="1404"/>
      <c r="D100" s="1404"/>
      <c r="E100" s="1404"/>
      <c r="F100" s="1404"/>
      <c r="G100" s="1404"/>
      <c r="H100" s="1404"/>
      <c r="I100" s="1404"/>
      <c r="J100" s="1404"/>
      <c r="K100" s="1404"/>
      <c r="L100" s="1404"/>
      <c r="M100" s="1404"/>
      <c r="N100" s="1404"/>
      <c r="O100" s="1404"/>
      <c r="P100" s="1404"/>
      <c r="Q100" s="1404"/>
      <c r="R100" s="1404"/>
      <c r="S100" s="1404"/>
      <c r="T100" s="1404"/>
      <c r="U100" s="1404"/>
      <c r="V100" s="1404"/>
      <c r="W100" s="1404"/>
      <c r="X100" s="1404"/>
      <c r="Y100" s="1404"/>
      <c r="Z100" s="1404"/>
    </row>
    <row r="101">
      <c r="A101" s="1404"/>
      <c r="B101" s="1404"/>
      <c r="C101" s="1404"/>
      <c r="D101" s="1404"/>
      <c r="E101" s="1404"/>
      <c r="F101" s="1404"/>
      <c r="G101" s="1404"/>
      <c r="H101" s="1404"/>
      <c r="I101" s="1404"/>
      <c r="J101" s="1404"/>
      <c r="K101" s="1404"/>
      <c r="L101" s="1404"/>
      <c r="M101" s="1404"/>
      <c r="N101" s="1404"/>
      <c r="O101" s="1404"/>
      <c r="P101" s="1404"/>
      <c r="Q101" s="1404"/>
      <c r="R101" s="1404"/>
      <c r="S101" s="1404"/>
      <c r="T101" s="1404"/>
      <c r="U101" s="1404"/>
      <c r="V101" s="1404"/>
      <c r="W101" s="1404"/>
      <c r="X101" s="1404"/>
      <c r="Y101" s="1404"/>
      <c r="Z101" s="1404"/>
    </row>
    <row r="102">
      <c r="A102" s="1404"/>
      <c r="B102" s="1404"/>
      <c r="C102" s="1404"/>
      <c r="D102" s="1404"/>
      <c r="E102" s="1404"/>
      <c r="F102" s="1404"/>
      <c r="G102" s="1404"/>
      <c r="H102" s="1404"/>
      <c r="I102" s="1404"/>
      <c r="J102" s="1404"/>
      <c r="K102" s="1404"/>
      <c r="L102" s="1404"/>
      <c r="M102" s="1404"/>
      <c r="N102" s="1404"/>
      <c r="O102" s="1404"/>
      <c r="P102" s="1404"/>
      <c r="Q102" s="1404"/>
      <c r="R102" s="1404"/>
      <c r="S102" s="1404"/>
      <c r="T102" s="1404"/>
      <c r="U102" s="1404"/>
      <c r="V102" s="1404"/>
      <c r="W102" s="1404"/>
      <c r="X102" s="1404"/>
      <c r="Y102" s="1404"/>
      <c r="Z102" s="1404"/>
    </row>
    <row r="103">
      <c r="A103" s="1404"/>
      <c r="B103" s="1404"/>
      <c r="C103" s="1404"/>
      <c r="D103" s="1404"/>
      <c r="E103" s="1404"/>
      <c r="F103" s="1404"/>
      <c r="G103" s="1404"/>
      <c r="H103" s="1404"/>
      <c r="I103" s="1404"/>
      <c r="J103" s="1404"/>
      <c r="K103" s="1404"/>
      <c r="L103" s="1404"/>
      <c r="M103" s="1404"/>
      <c r="N103" s="1404"/>
      <c r="O103" s="1404"/>
      <c r="P103" s="1404"/>
      <c r="Q103" s="1404"/>
      <c r="R103" s="1404"/>
      <c r="S103" s="1404"/>
      <c r="T103" s="1404"/>
      <c r="U103" s="1404"/>
      <c r="V103" s="1404"/>
      <c r="W103" s="1404"/>
      <c r="X103" s="1404"/>
      <c r="Y103" s="1404"/>
      <c r="Z103" s="1404"/>
    </row>
    <row r="104">
      <c r="A104" s="1404"/>
      <c r="B104" s="1404"/>
      <c r="C104" s="1404"/>
      <c r="D104" s="1404"/>
      <c r="E104" s="1404"/>
      <c r="F104" s="1404"/>
      <c r="G104" s="1404"/>
      <c r="H104" s="1404"/>
      <c r="I104" s="1404"/>
      <c r="J104" s="1404"/>
      <c r="K104" s="1404"/>
      <c r="L104" s="1404"/>
      <c r="M104" s="1404"/>
      <c r="N104" s="1404"/>
      <c r="O104" s="1404"/>
      <c r="P104" s="1404"/>
      <c r="Q104" s="1404"/>
      <c r="R104" s="1404"/>
      <c r="S104" s="1404"/>
      <c r="T104" s="1404"/>
      <c r="U104" s="1404"/>
      <c r="V104" s="1404"/>
      <c r="W104" s="1404"/>
      <c r="X104" s="1404"/>
      <c r="Y104" s="1404"/>
      <c r="Z104" s="1404"/>
    </row>
    <row r="105">
      <c r="A105" s="1404"/>
      <c r="B105" s="1404"/>
      <c r="C105" s="1404"/>
      <c r="D105" s="1404"/>
      <c r="E105" s="1404"/>
      <c r="F105" s="1404"/>
      <c r="G105" s="1404"/>
      <c r="H105" s="1404"/>
      <c r="I105" s="1404"/>
      <c r="J105" s="1404"/>
      <c r="K105" s="1404"/>
      <c r="L105" s="1404"/>
      <c r="M105" s="1404"/>
      <c r="N105" s="1404"/>
      <c r="O105" s="1404"/>
      <c r="P105" s="1404"/>
      <c r="Q105" s="1404"/>
      <c r="R105" s="1404"/>
      <c r="S105" s="1404"/>
      <c r="T105" s="1404"/>
      <c r="U105" s="1404"/>
      <c r="V105" s="1404"/>
      <c r="W105" s="1404"/>
      <c r="X105" s="1404"/>
      <c r="Y105" s="1404"/>
      <c r="Z105" s="1404"/>
    </row>
    <row r="106">
      <c r="A106" s="1404"/>
      <c r="B106" s="1404"/>
      <c r="C106" s="1404"/>
      <c r="D106" s="1404"/>
      <c r="E106" s="1404"/>
      <c r="F106" s="1404"/>
      <c r="G106" s="1404"/>
      <c r="H106" s="1404"/>
      <c r="I106" s="1404"/>
      <c r="J106" s="1404"/>
      <c r="K106" s="1404"/>
      <c r="L106" s="1404"/>
      <c r="M106" s="1404"/>
      <c r="N106" s="1404"/>
      <c r="O106" s="1404"/>
      <c r="P106" s="1404"/>
      <c r="Q106" s="1404"/>
      <c r="R106" s="1404"/>
      <c r="S106" s="1404"/>
      <c r="T106" s="1404"/>
      <c r="U106" s="1404"/>
      <c r="V106" s="1404"/>
      <c r="W106" s="1404"/>
      <c r="X106" s="1404"/>
      <c r="Y106" s="1404"/>
      <c r="Z106" s="1404"/>
    </row>
    <row r="107">
      <c r="A107" s="1404"/>
      <c r="B107" s="1404"/>
      <c r="C107" s="1404"/>
      <c r="D107" s="1404"/>
      <c r="E107" s="1404"/>
      <c r="F107" s="1404"/>
      <c r="G107" s="1404"/>
      <c r="H107" s="1404"/>
      <c r="I107" s="1404"/>
      <c r="J107" s="1404"/>
      <c r="K107" s="1404"/>
      <c r="L107" s="1404"/>
      <c r="M107" s="1404"/>
      <c r="N107" s="1404"/>
      <c r="O107" s="1404"/>
      <c r="P107" s="1404"/>
      <c r="Q107" s="1404"/>
      <c r="R107" s="1404"/>
      <c r="S107" s="1404"/>
      <c r="T107" s="1404"/>
      <c r="U107" s="1404"/>
      <c r="V107" s="1404"/>
      <c r="W107" s="1404"/>
      <c r="X107" s="1404"/>
      <c r="Y107" s="1404"/>
      <c r="Z107" s="1404"/>
    </row>
    <row r="108">
      <c r="A108" s="1404"/>
      <c r="B108" s="1404"/>
      <c r="C108" s="1404"/>
      <c r="D108" s="1404"/>
      <c r="E108" s="1404"/>
      <c r="F108" s="1404"/>
      <c r="G108" s="1404"/>
      <c r="H108" s="1404"/>
      <c r="I108" s="1404"/>
      <c r="J108" s="1404"/>
      <c r="K108" s="1404"/>
      <c r="L108" s="1404"/>
      <c r="M108" s="1404"/>
      <c r="N108" s="1404"/>
      <c r="O108" s="1404"/>
      <c r="P108" s="1404"/>
      <c r="Q108" s="1404"/>
      <c r="R108" s="1404"/>
      <c r="S108" s="1404"/>
      <c r="T108" s="1404"/>
      <c r="U108" s="1404"/>
      <c r="V108" s="1404"/>
      <c r="W108" s="1404"/>
      <c r="X108" s="1404"/>
      <c r="Y108" s="1404"/>
      <c r="Z108" s="1404"/>
    </row>
    <row r="109">
      <c r="A109" s="1404"/>
      <c r="B109" s="1404"/>
      <c r="C109" s="1404"/>
      <c r="D109" s="1404"/>
      <c r="E109" s="1404"/>
      <c r="F109" s="1404"/>
      <c r="G109" s="1404"/>
      <c r="H109" s="1404"/>
      <c r="I109" s="1404"/>
      <c r="J109" s="1404"/>
      <c r="K109" s="1404"/>
      <c r="L109" s="1404"/>
      <c r="M109" s="1404"/>
      <c r="N109" s="1404"/>
      <c r="O109" s="1404"/>
      <c r="P109" s="1404"/>
      <c r="Q109" s="1404"/>
      <c r="R109" s="1404"/>
      <c r="S109" s="1404"/>
      <c r="T109" s="1404"/>
      <c r="U109" s="1404"/>
      <c r="V109" s="1404"/>
      <c r="W109" s="1404"/>
      <c r="X109" s="1404"/>
      <c r="Y109" s="1404"/>
      <c r="Z109" s="1404"/>
    </row>
    <row r="110">
      <c r="A110" s="1404"/>
      <c r="B110" s="1404"/>
      <c r="C110" s="1404"/>
      <c r="D110" s="1404"/>
      <c r="E110" s="1404"/>
      <c r="F110" s="1404"/>
      <c r="G110" s="1404"/>
      <c r="H110" s="1404"/>
      <c r="I110" s="1404"/>
      <c r="J110" s="1404"/>
      <c r="K110" s="1404"/>
      <c r="L110" s="1404"/>
      <c r="M110" s="1404"/>
      <c r="N110" s="1404"/>
      <c r="O110" s="1404"/>
      <c r="P110" s="1404"/>
      <c r="Q110" s="1404"/>
      <c r="R110" s="1404"/>
      <c r="S110" s="1404"/>
      <c r="T110" s="1404"/>
      <c r="U110" s="1404"/>
      <c r="V110" s="1404"/>
      <c r="W110" s="1404"/>
      <c r="X110" s="1404"/>
      <c r="Y110" s="1404"/>
      <c r="Z110" s="1404"/>
    </row>
    <row r="111">
      <c r="A111" s="1404"/>
      <c r="B111" s="1404"/>
      <c r="C111" s="1404"/>
      <c r="D111" s="1404"/>
      <c r="E111" s="1404"/>
      <c r="F111" s="1404"/>
      <c r="G111" s="1404"/>
      <c r="H111" s="1404"/>
      <c r="I111" s="1404"/>
      <c r="J111" s="1404"/>
      <c r="K111" s="1404"/>
      <c r="L111" s="1404"/>
      <c r="M111" s="1404"/>
      <c r="N111" s="1404"/>
      <c r="O111" s="1404"/>
      <c r="P111" s="1404"/>
      <c r="Q111" s="1404"/>
      <c r="R111" s="1404"/>
      <c r="S111" s="1404"/>
      <c r="T111" s="1404"/>
      <c r="U111" s="1404"/>
      <c r="V111" s="1404"/>
      <c r="W111" s="1404"/>
      <c r="X111" s="1404"/>
      <c r="Y111" s="1404"/>
      <c r="Z111" s="1404"/>
    </row>
    <row r="112">
      <c r="A112" s="1404"/>
      <c r="B112" s="1404"/>
      <c r="C112" s="1404"/>
      <c r="D112" s="1404"/>
      <c r="E112" s="1404"/>
      <c r="F112" s="1404"/>
      <c r="G112" s="1404"/>
      <c r="H112" s="1404"/>
      <c r="I112" s="1404"/>
      <c r="J112" s="1404"/>
      <c r="K112" s="1404"/>
      <c r="L112" s="1404"/>
      <c r="M112" s="1404"/>
      <c r="N112" s="1404"/>
      <c r="O112" s="1404"/>
      <c r="P112" s="1404"/>
      <c r="Q112" s="1404"/>
      <c r="R112" s="1404"/>
      <c r="S112" s="1404"/>
      <c r="T112" s="1404"/>
      <c r="U112" s="1404"/>
      <c r="V112" s="1404"/>
      <c r="W112" s="1404"/>
      <c r="X112" s="1404"/>
      <c r="Y112" s="1404"/>
      <c r="Z112" s="1404"/>
    </row>
    <row r="113">
      <c r="A113" s="1404"/>
      <c r="B113" s="1404"/>
      <c r="C113" s="1404"/>
      <c r="D113" s="1404"/>
      <c r="E113" s="1404"/>
      <c r="F113" s="1404"/>
      <c r="G113" s="1404"/>
      <c r="H113" s="1404"/>
      <c r="I113" s="1404"/>
      <c r="J113" s="1404"/>
      <c r="K113" s="1404"/>
      <c r="L113" s="1404"/>
      <c r="M113" s="1404"/>
      <c r="N113" s="1404"/>
      <c r="O113" s="1404"/>
      <c r="P113" s="1404"/>
      <c r="Q113" s="1404"/>
      <c r="R113" s="1404"/>
      <c r="S113" s="1404"/>
      <c r="T113" s="1404"/>
      <c r="U113" s="1404"/>
      <c r="V113" s="1404"/>
      <c r="W113" s="1404"/>
      <c r="X113" s="1404"/>
      <c r="Y113" s="1404"/>
      <c r="Z113" s="1404"/>
    </row>
    <row r="114">
      <c r="A114" s="1404"/>
      <c r="B114" s="1404"/>
      <c r="C114" s="1404"/>
      <c r="D114" s="1404"/>
      <c r="E114" s="1404"/>
      <c r="F114" s="1404"/>
      <c r="G114" s="1404"/>
      <c r="H114" s="1404"/>
      <c r="I114" s="1404"/>
      <c r="J114" s="1404"/>
      <c r="K114" s="1404"/>
      <c r="L114" s="1404"/>
      <c r="M114" s="1404"/>
      <c r="N114" s="1404"/>
      <c r="O114" s="1404"/>
      <c r="P114" s="1404"/>
      <c r="Q114" s="1404"/>
      <c r="R114" s="1404"/>
      <c r="S114" s="1404"/>
      <c r="T114" s="1404"/>
      <c r="U114" s="1404"/>
      <c r="V114" s="1404"/>
      <c r="W114" s="1404"/>
      <c r="X114" s="1404"/>
      <c r="Y114" s="1404"/>
      <c r="Z114" s="1404"/>
    </row>
    <row r="115">
      <c r="A115" s="1404"/>
      <c r="B115" s="1404"/>
      <c r="C115" s="1404"/>
      <c r="D115" s="1404"/>
      <c r="E115" s="1404"/>
      <c r="F115" s="1404"/>
      <c r="G115" s="1404"/>
      <c r="H115" s="1404"/>
      <c r="I115" s="1404"/>
      <c r="J115" s="1404"/>
      <c r="K115" s="1404"/>
      <c r="L115" s="1404"/>
      <c r="M115" s="1404"/>
      <c r="N115" s="1404"/>
      <c r="O115" s="1404"/>
      <c r="P115" s="1404"/>
      <c r="Q115" s="1404"/>
      <c r="R115" s="1404"/>
      <c r="S115" s="1404"/>
      <c r="T115" s="1404"/>
      <c r="U115" s="1404"/>
      <c r="V115" s="1404"/>
      <c r="W115" s="1404"/>
      <c r="X115" s="1404"/>
      <c r="Y115" s="1404"/>
      <c r="Z115" s="1404"/>
    </row>
    <row r="116">
      <c r="A116" s="1404"/>
      <c r="B116" s="1404"/>
      <c r="C116" s="1404"/>
      <c r="D116" s="1404"/>
      <c r="E116" s="1404"/>
      <c r="F116" s="1404"/>
      <c r="G116" s="1404"/>
      <c r="H116" s="1404"/>
      <c r="I116" s="1404"/>
      <c r="J116" s="1404"/>
      <c r="K116" s="1404"/>
      <c r="L116" s="1404"/>
      <c r="M116" s="1404"/>
      <c r="N116" s="1404"/>
      <c r="O116" s="1404"/>
      <c r="P116" s="1404"/>
      <c r="Q116" s="1404"/>
      <c r="R116" s="1404"/>
      <c r="S116" s="1404"/>
      <c r="T116" s="1404"/>
      <c r="U116" s="1404"/>
      <c r="V116" s="1404"/>
      <c r="W116" s="1404"/>
      <c r="X116" s="1404"/>
      <c r="Y116" s="1404"/>
      <c r="Z116" s="1404"/>
    </row>
    <row r="117">
      <c r="A117" s="1404"/>
      <c r="B117" s="1404"/>
      <c r="C117" s="1404"/>
      <c r="D117" s="1404"/>
      <c r="E117" s="1404"/>
      <c r="F117" s="1404"/>
      <c r="G117" s="1404"/>
      <c r="H117" s="1404"/>
      <c r="I117" s="1404"/>
      <c r="J117" s="1404"/>
      <c r="K117" s="1404"/>
      <c r="L117" s="1404"/>
      <c r="M117" s="1404"/>
      <c r="N117" s="1404"/>
      <c r="O117" s="1404"/>
      <c r="P117" s="1404"/>
      <c r="Q117" s="1404"/>
      <c r="R117" s="1404"/>
      <c r="S117" s="1404"/>
      <c r="T117" s="1404"/>
      <c r="U117" s="1404"/>
      <c r="V117" s="1404"/>
      <c r="W117" s="1404"/>
      <c r="X117" s="1404"/>
      <c r="Y117" s="1404"/>
      <c r="Z117" s="1404"/>
    </row>
    <row r="118">
      <c r="A118" s="1404"/>
      <c r="B118" s="1404"/>
      <c r="C118" s="1404"/>
      <c r="D118" s="1404"/>
      <c r="E118" s="1404"/>
      <c r="F118" s="1404"/>
      <c r="G118" s="1404"/>
      <c r="H118" s="1404"/>
      <c r="I118" s="1404"/>
      <c r="J118" s="1404"/>
      <c r="K118" s="1404"/>
      <c r="L118" s="1404"/>
      <c r="M118" s="1404"/>
      <c r="N118" s="1404"/>
      <c r="O118" s="1404"/>
      <c r="P118" s="1404"/>
      <c r="Q118" s="1404"/>
      <c r="R118" s="1404"/>
      <c r="S118" s="1404"/>
      <c r="T118" s="1404"/>
      <c r="U118" s="1404"/>
      <c r="V118" s="1404"/>
      <c r="W118" s="1404"/>
      <c r="X118" s="1404"/>
      <c r="Y118" s="1404"/>
      <c r="Z118" s="1404"/>
    </row>
    <row r="119">
      <c r="A119" s="1404"/>
      <c r="B119" s="1404"/>
      <c r="C119" s="1404"/>
      <c r="D119" s="1404"/>
      <c r="E119" s="1404"/>
      <c r="F119" s="1404"/>
      <c r="G119" s="1404"/>
      <c r="H119" s="1404"/>
      <c r="I119" s="1404"/>
      <c r="J119" s="1404"/>
      <c r="K119" s="1404"/>
      <c r="L119" s="1404"/>
      <c r="M119" s="1404"/>
      <c r="N119" s="1404"/>
      <c r="O119" s="1404"/>
      <c r="P119" s="1404"/>
      <c r="Q119" s="1404"/>
      <c r="R119" s="1404"/>
      <c r="S119" s="1404"/>
      <c r="T119" s="1404"/>
      <c r="U119" s="1404"/>
      <c r="V119" s="1404"/>
      <c r="W119" s="1404"/>
      <c r="X119" s="1404"/>
      <c r="Y119" s="1404"/>
      <c r="Z119" s="1404"/>
    </row>
    <row r="120">
      <c r="A120" s="1404"/>
      <c r="B120" s="1404"/>
      <c r="C120" s="1404"/>
      <c r="D120" s="1404"/>
      <c r="E120" s="1404"/>
      <c r="F120" s="1404"/>
      <c r="G120" s="1404"/>
      <c r="H120" s="1404"/>
      <c r="I120" s="1404"/>
      <c r="J120" s="1404"/>
      <c r="K120" s="1404"/>
      <c r="L120" s="1404"/>
      <c r="M120" s="1404"/>
      <c r="N120" s="1404"/>
      <c r="O120" s="1404"/>
      <c r="P120" s="1404"/>
      <c r="Q120" s="1404"/>
      <c r="R120" s="1404"/>
      <c r="S120" s="1404"/>
      <c r="T120" s="1404"/>
      <c r="U120" s="1404"/>
      <c r="V120" s="1404"/>
      <c r="W120" s="1404"/>
      <c r="X120" s="1404"/>
      <c r="Y120" s="1404"/>
      <c r="Z120" s="1404"/>
    </row>
    <row r="121">
      <c r="A121" s="1404"/>
      <c r="B121" s="1404"/>
      <c r="C121" s="1404"/>
      <c r="D121" s="1404"/>
      <c r="E121" s="1404"/>
      <c r="F121" s="1404"/>
      <c r="G121" s="1404"/>
      <c r="H121" s="1404"/>
      <c r="I121" s="1404"/>
      <c r="J121" s="1404"/>
      <c r="K121" s="1404"/>
      <c r="L121" s="1404"/>
      <c r="M121" s="1404"/>
      <c r="N121" s="1404"/>
      <c r="O121" s="1404"/>
      <c r="P121" s="1404"/>
      <c r="Q121" s="1404"/>
      <c r="R121" s="1404"/>
      <c r="S121" s="1404"/>
      <c r="T121" s="1404"/>
      <c r="U121" s="1404"/>
      <c r="V121" s="1404"/>
      <c r="W121" s="1404"/>
      <c r="X121" s="1404"/>
      <c r="Y121" s="1404"/>
      <c r="Z121" s="1404"/>
    </row>
    <row r="122">
      <c r="A122" s="1404"/>
      <c r="B122" s="1404"/>
      <c r="C122" s="1404"/>
      <c r="D122" s="1404"/>
      <c r="E122" s="1404"/>
      <c r="F122" s="1404"/>
      <c r="G122" s="1404"/>
      <c r="H122" s="1404"/>
      <c r="I122" s="1404"/>
      <c r="J122" s="1404"/>
      <c r="K122" s="1404"/>
      <c r="L122" s="1404"/>
      <c r="M122" s="1404"/>
      <c r="N122" s="1404"/>
      <c r="O122" s="1404"/>
      <c r="P122" s="1404"/>
      <c r="Q122" s="1404"/>
      <c r="R122" s="1404"/>
      <c r="S122" s="1404"/>
      <c r="T122" s="1404"/>
      <c r="U122" s="1404"/>
      <c r="V122" s="1404"/>
      <c r="W122" s="1404"/>
      <c r="X122" s="1404"/>
      <c r="Y122" s="1404"/>
      <c r="Z122" s="1404"/>
    </row>
    <row r="123">
      <c r="A123" s="1404"/>
      <c r="B123" s="1404"/>
      <c r="C123" s="1404"/>
      <c r="D123" s="1404"/>
      <c r="E123" s="1404"/>
      <c r="F123" s="1404"/>
      <c r="G123" s="1404"/>
      <c r="H123" s="1404"/>
      <c r="I123" s="1404"/>
      <c r="J123" s="1404"/>
      <c r="K123" s="1404"/>
      <c r="L123" s="1404"/>
      <c r="M123" s="1404"/>
      <c r="N123" s="1404"/>
      <c r="O123" s="1404"/>
      <c r="P123" s="1404"/>
      <c r="Q123" s="1404"/>
      <c r="R123" s="1404"/>
      <c r="S123" s="1404"/>
      <c r="T123" s="1404"/>
      <c r="U123" s="1404"/>
      <c r="V123" s="1404"/>
      <c r="W123" s="1404"/>
      <c r="X123" s="1404"/>
      <c r="Y123" s="1404"/>
      <c r="Z123" s="1404"/>
    </row>
    <row r="124">
      <c r="A124" s="1404"/>
      <c r="B124" s="1404"/>
      <c r="C124" s="1404"/>
      <c r="D124" s="1404"/>
      <c r="E124" s="1404"/>
      <c r="F124" s="1404"/>
      <c r="G124" s="1404"/>
      <c r="H124" s="1404"/>
      <c r="I124" s="1404"/>
      <c r="J124" s="1404"/>
      <c r="K124" s="1404"/>
      <c r="L124" s="1404"/>
      <c r="M124" s="1404"/>
      <c r="N124" s="1404"/>
      <c r="O124" s="1404"/>
      <c r="P124" s="1404"/>
      <c r="Q124" s="1404"/>
      <c r="R124" s="1404"/>
      <c r="S124" s="1404"/>
      <c r="T124" s="1404"/>
      <c r="U124" s="1404"/>
      <c r="V124" s="1404"/>
      <c r="W124" s="1404"/>
      <c r="X124" s="1404"/>
      <c r="Y124" s="1404"/>
      <c r="Z124" s="1404"/>
    </row>
    <row r="125">
      <c r="A125" s="1404"/>
      <c r="B125" s="1404"/>
      <c r="C125" s="1404"/>
      <c r="D125" s="1404"/>
      <c r="E125" s="1404"/>
      <c r="F125" s="1404"/>
      <c r="G125" s="1404"/>
      <c r="H125" s="1404"/>
      <c r="I125" s="1404"/>
      <c r="J125" s="1404"/>
      <c r="K125" s="1404"/>
      <c r="L125" s="1404"/>
      <c r="M125" s="1404"/>
      <c r="N125" s="1404"/>
      <c r="O125" s="1404"/>
      <c r="P125" s="1404"/>
      <c r="Q125" s="1404"/>
      <c r="R125" s="1404"/>
      <c r="S125" s="1404"/>
      <c r="T125" s="1404"/>
      <c r="U125" s="1404"/>
      <c r="V125" s="1404"/>
      <c r="W125" s="1404"/>
      <c r="X125" s="1404"/>
      <c r="Y125" s="1404"/>
      <c r="Z125" s="1404"/>
    </row>
    <row r="126">
      <c r="A126" s="1404"/>
      <c r="B126" s="1404"/>
      <c r="C126" s="1404"/>
      <c r="D126" s="1404"/>
      <c r="E126" s="1404"/>
      <c r="F126" s="1404"/>
      <c r="G126" s="1404"/>
      <c r="H126" s="1404"/>
      <c r="I126" s="1404"/>
      <c r="J126" s="1404"/>
      <c r="K126" s="1404"/>
      <c r="L126" s="1404"/>
      <c r="M126" s="1404"/>
      <c r="N126" s="1404"/>
      <c r="O126" s="1404"/>
      <c r="P126" s="1404"/>
      <c r="Q126" s="1404"/>
      <c r="R126" s="1404"/>
      <c r="S126" s="1404"/>
      <c r="T126" s="1404"/>
      <c r="U126" s="1404"/>
      <c r="V126" s="1404"/>
      <c r="W126" s="1404"/>
      <c r="X126" s="1404"/>
      <c r="Y126" s="1404"/>
      <c r="Z126" s="1404"/>
    </row>
    <row r="127">
      <c r="A127" s="1404"/>
      <c r="B127" s="1404"/>
      <c r="C127" s="1404"/>
      <c r="D127" s="1404"/>
      <c r="E127" s="1404"/>
      <c r="F127" s="1404"/>
      <c r="G127" s="1404"/>
      <c r="H127" s="1404"/>
      <c r="I127" s="1404"/>
      <c r="J127" s="1404"/>
      <c r="K127" s="1404"/>
      <c r="L127" s="1404"/>
      <c r="M127" s="1404"/>
      <c r="N127" s="1404"/>
      <c r="O127" s="1404"/>
      <c r="P127" s="1404"/>
      <c r="Q127" s="1404"/>
      <c r="R127" s="1404"/>
      <c r="S127" s="1404"/>
      <c r="T127" s="1404"/>
      <c r="U127" s="1404"/>
      <c r="V127" s="1404"/>
      <c r="W127" s="1404"/>
      <c r="X127" s="1404"/>
      <c r="Y127" s="1404"/>
      <c r="Z127" s="1404"/>
    </row>
    <row r="128">
      <c r="A128" s="1404"/>
      <c r="B128" s="1404"/>
      <c r="C128" s="1404"/>
      <c r="D128" s="1404"/>
      <c r="E128" s="1404"/>
      <c r="F128" s="1404"/>
      <c r="G128" s="1404"/>
      <c r="H128" s="1404"/>
      <c r="I128" s="1404"/>
      <c r="J128" s="1404"/>
      <c r="K128" s="1404"/>
      <c r="L128" s="1404"/>
      <c r="M128" s="1404"/>
      <c r="N128" s="1404"/>
      <c r="O128" s="1404"/>
      <c r="P128" s="1404"/>
      <c r="Q128" s="1404"/>
      <c r="R128" s="1404"/>
      <c r="S128" s="1404"/>
      <c r="T128" s="1404"/>
      <c r="U128" s="1404"/>
      <c r="V128" s="1404"/>
      <c r="W128" s="1404"/>
      <c r="X128" s="1404"/>
      <c r="Y128" s="1404"/>
      <c r="Z128" s="1404"/>
    </row>
    <row r="129">
      <c r="A129" s="1404"/>
      <c r="B129" s="1404"/>
      <c r="C129" s="1404"/>
      <c r="D129" s="1404"/>
      <c r="E129" s="1404"/>
      <c r="F129" s="1404"/>
      <c r="G129" s="1404"/>
      <c r="H129" s="1404"/>
      <c r="I129" s="1404"/>
      <c r="J129" s="1404"/>
      <c r="K129" s="1404"/>
      <c r="L129" s="1404"/>
      <c r="M129" s="1404"/>
      <c r="N129" s="1404"/>
      <c r="O129" s="1404"/>
      <c r="P129" s="1404"/>
      <c r="Q129" s="1404"/>
      <c r="R129" s="1404"/>
      <c r="S129" s="1404"/>
      <c r="T129" s="1404"/>
      <c r="U129" s="1404"/>
      <c r="V129" s="1404"/>
      <c r="W129" s="1404"/>
      <c r="X129" s="1404"/>
      <c r="Y129" s="1404"/>
      <c r="Z129" s="1404"/>
    </row>
    <row r="130">
      <c r="A130" s="1404"/>
      <c r="B130" s="1404"/>
      <c r="C130" s="1404"/>
      <c r="D130" s="1404"/>
      <c r="E130" s="1404"/>
      <c r="F130" s="1404"/>
      <c r="G130" s="1404"/>
      <c r="H130" s="1404"/>
      <c r="I130" s="1404"/>
      <c r="J130" s="1404"/>
      <c r="K130" s="1404"/>
      <c r="L130" s="1404"/>
      <c r="M130" s="1404"/>
      <c r="N130" s="1404"/>
      <c r="O130" s="1404"/>
      <c r="P130" s="1404"/>
      <c r="Q130" s="1404"/>
      <c r="R130" s="1404"/>
      <c r="S130" s="1404"/>
      <c r="T130" s="1404"/>
      <c r="U130" s="1404"/>
      <c r="V130" s="1404"/>
      <c r="W130" s="1404"/>
      <c r="X130" s="1404"/>
      <c r="Y130" s="1404"/>
      <c r="Z130" s="1404"/>
    </row>
    <row r="131">
      <c r="A131" s="1404"/>
      <c r="B131" s="1404"/>
      <c r="C131" s="1404"/>
      <c r="D131" s="1404"/>
      <c r="E131" s="1404"/>
      <c r="F131" s="1404"/>
      <c r="G131" s="1404"/>
      <c r="H131" s="1404"/>
      <c r="I131" s="1404"/>
      <c r="J131" s="1404"/>
      <c r="K131" s="1404"/>
      <c r="L131" s="1404"/>
      <c r="M131" s="1404"/>
      <c r="N131" s="1404"/>
      <c r="O131" s="1404"/>
      <c r="P131" s="1404"/>
      <c r="Q131" s="1404"/>
      <c r="R131" s="1404"/>
      <c r="S131" s="1404"/>
      <c r="T131" s="1404"/>
      <c r="U131" s="1404"/>
      <c r="V131" s="1404"/>
      <c r="W131" s="1404"/>
      <c r="X131" s="1404"/>
      <c r="Y131" s="1404"/>
      <c r="Z131" s="1404"/>
    </row>
    <row r="132">
      <c r="A132" s="1404"/>
      <c r="B132" s="1404"/>
      <c r="C132" s="1404"/>
      <c r="D132" s="1404"/>
      <c r="E132" s="1404"/>
      <c r="F132" s="1404"/>
      <c r="G132" s="1404"/>
      <c r="H132" s="1404"/>
      <c r="I132" s="1404"/>
      <c r="J132" s="1404"/>
      <c r="K132" s="1404"/>
      <c r="L132" s="1404"/>
      <c r="M132" s="1404"/>
      <c r="N132" s="1404"/>
      <c r="O132" s="1404"/>
      <c r="P132" s="1404"/>
      <c r="Q132" s="1404"/>
      <c r="R132" s="1404"/>
      <c r="S132" s="1404"/>
      <c r="T132" s="1404"/>
      <c r="U132" s="1404"/>
      <c r="V132" s="1404"/>
      <c r="W132" s="1404"/>
      <c r="X132" s="1404"/>
      <c r="Y132" s="1404"/>
      <c r="Z132" s="1404"/>
    </row>
    <row r="133">
      <c r="A133" s="1404"/>
      <c r="B133" s="1404"/>
      <c r="C133" s="1404"/>
      <c r="D133" s="1404"/>
      <c r="E133" s="1404"/>
      <c r="F133" s="1404"/>
      <c r="G133" s="1404"/>
      <c r="H133" s="1404"/>
      <c r="I133" s="1404"/>
      <c r="J133" s="1404"/>
      <c r="K133" s="1404"/>
      <c r="L133" s="1404"/>
      <c r="M133" s="1404"/>
      <c r="N133" s="1404"/>
      <c r="O133" s="1404"/>
      <c r="P133" s="1404"/>
      <c r="Q133" s="1404"/>
      <c r="R133" s="1404"/>
      <c r="S133" s="1404"/>
      <c r="T133" s="1404"/>
      <c r="U133" s="1404"/>
      <c r="V133" s="1404"/>
      <c r="W133" s="1404"/>
      <c r="X133" s="1404"/>
      <c r="Y133" s="1404"/>
      <c r="Z133" s="1404"/>
    </row>
    <row r="134">
      <c r="A134" s="1404"/>
      <c r="B134" s="1404"/>
      <c r="C134" s="1404"/>
      <c r="D134" s="1404"/>
      <c r="E134" s="1404"/>
      <c r="F134" s="1404"/>
      <c r="G134" s="1404"/>
      <c r="H134" s="1404"/>
      <c r="I134" s="1404"/>
      <c r="J134" s="1404"/>
      <c r="K134" s="1404"/>
      <c r="L134" s="1404"/>
      <c r="M134" s="1404"/>
      <c r="N134" s="1404"/>
      <c r="O134" s="1404"/>
      <c r="P134" s="1404"/>
      <c r="Q134" s="1404"/>
      <c r="R134" s="1404"/>
      <c r="S134" s="1404"/>
      <c r="T134" s="1404"/>
      <c r="U134" s="1404"/>
      <c r="V134" s="1404"/>
      <c r="W134" s="1404"/>
      <c r="X134" s="1404"/>
      <c r="Y134" s="1404"/>
      <c r="Z134" s="1404"/>
    </row>
    <row r="135">
      <c r="A135" s="1404"/>
      <c r="B135" s="1404"/>
      <c r="C135" s="1404"/>
      <c r="D135" s="1404"/>
      <c r="E135" s="1404"/>
      <c r="F135" s="1404"/>
      <c r="G135" s="1404"/>
      <c r="H135" s="1404"/>
      <c r="I135" s="1404"/>
      <c r="J135" s="1404"/>
      <c r="K135" s="1404"/>
      <c r="L135" s="1404"/>
      <c r="M135" s="1404"/>
      <c r="N135" s="1404"/>
      <c r="O135" s="1404"/>
      <c r="P135" s="1404"/>
      <c r="Q135" s="1404"/>
      <c r="R135" s="1404"/>
      <c r="S135" s="1404"/>
      <c r="T135" s="1404"/>
      <c r="U135" s="1404"/>
      <c r="V135" s="1404"/>
      <c r="W135" s="1404"/>
      <c r="X135" s="1404"/>
      <c r="Y135" s="1404"/>
      <c r="Z135" s="1404"/>
    </row>
    <row r="136">
      <c r="A136" s="1404"/>
      <c r="B136" s="1404"/>
      <c r="C136" s="1404"/>
      <c r="D136" s="1404"/>
      <c r="E136" s="1404"/>
      <c r="F136" s="1404"/>
      <c r="G136" s="1404"/>
      <c r="H136" s="1404"/>
      <c r="I136" s="1404"/>
      <c r="J136" s="1404"/>
      <c r="K136" s="1404"/>
      <c r="L136" s="1404"/>
      <c r="M136" s="1404"/>
      <c r="N136" s="1404"/>
      <c r="O136" s="1404"/>
      <c r="P136" s="1404"/>
      <c r="Q136" s="1404"/>
      <c r="R136" s="1404"/>
      <c r="S136" s="1404"/>
      <c r="T136" s="1404"/>
      <c r="U136" s="1404"/>
      <c r="V136" s="1404"/>
      <c r="W136" s="1404"/>
      <c r="X136" s="1404"/>
      <c r="Y136" s="1404"/>
      <c r="Z136" s="1404"/>
    </row>
    <row r="137">
      <c r="A137" s="1404"/>
      <c r="B137" s="1404"/>
      <c r="C137" s="1404"/>
      <c r="D137" s="1404"/>
      <c r="E137" s="1404"/>
      <c r="F137" s="1404"/>
      <c r="G137" s="1404"/>
      <c r="H137" s="1404"/>
      <c r="I137" s="1404"/>
      <c r="J137" s="1404"/>
      <c r="K137" s="1404"/>
      <c r="L137" s="1404"/>
      <c r="M137" s="1404"/>
      <c r="N137" s="1404"/>
      <c r="O137" s="1404"/>
      <c r="P137" s="1404"/>
      <c r="Q137" s="1404"/>
      <c r="R137" s="1404"/>
      <c r="S137" s="1404"/>
      <c r="T137" s="1404"/>
      <c r="U137" s="1404"/>
      <c r="V137" s="1404"/>
      <c r="W137" s="1404"/>
      <c r="X137" s="1404"/>
      <c r="Y137" s="1404"/>
      <c r="Z137" s="1404"/>
    </row>
    <row r="138">
      <c r="A138" s="1404"/>
      <c r="B138" s="1404"/>
      <c r="C138" s="1404"/>
      <c r="D138" s="1404"/>
      <c r="E138" s="1404"/>
      <c r="F138" s="1404"/>
      <c r="G138" s="1404"/>
      <c r="H138" s="1404"/>
      <c r="I138" s="1404"/>
      <c r="J138" s="1404"/>
      <c r="K138" s="1404"/>
      <c r="L138" s="1404"/>
      <c r="M138" s="1404"/>
      <c r="N138" s="1404"/>
      <c r="O138" s="1404"/>
      <c r="P138" s="1404"/>
      <c r="Q138" s="1404"/>
      <c r="R138" s="1404"/>
      <c r="S138" s="1404"/>
      <c r="T138" s="1404"/>
      <c r="U138" s="1404"/>
      <c r="V138" s="1404"/>
      <c r="W138" s="1404"/>
      <c r="X138" s="1404"/>
      <c r="Y138" s="1404"/>
      <c r="Z138" s="1404"/>
    </row>
    <row r="139">
      <c r="A139" s="1404"/>
      <c r="B139" s="1404"/>
      <c r="C139" s="1404"/>
      <c r="D139" s="1404"/>
      <c r="E139" s="1404"/>
      <c r="F139" s="1404"/>
      <c r="G139" s="1404"/>
      <c r="H139" s="1404"/>
      <c r="I139" s="1404"/>
      <c r="J139" s="1404"/>
      <c r="K139" s="1404"/>
      <c r="L139" s="1404"/>
      <c r="M139" s="1404"/>
      <c r="N139" s="1404"/>
      <c r="O139" s="1404"/>
      <c r="P139" s="1404"/>
      <c r="Q139" s="1404"/>
      <c r="R139" s="1404"/>
      <c r="S139" s="1404"/>
      <c r="T139" s="1404"/>
      <c r="U139" s="1404"/>
      <c r="V139" s="1404"/>
      <c r="W139" s="1404"/>
      <c r="X139" s="1404"/>
      <c r="Y139" s="1404"/>
      <c r="Z139" s="1404"/>
    </row>
    <row r="140">
      <c r="A140" s="1404"/>
      <c r="B140" s="1404"/>
      <c r="C140" s="1404"/>
      <c r="D140" s="1404"/>
      <c r="E140" s="1404"/>
      <c r="F140" s="1404"/>
      <c r="G140" s="1404"/>
      <c r="H140" s="1404"/>
      <c r="I140" s="1404"/>
      <c r="J140" s="1404"/>
      <c r="K140" s="1404"/>
      <c r="L140" s="1404"/>
      <c r="M140" s="1404"/>
      <c r="N140" s="1404"/>
      <c r="O140" s="1404"/>
      <c r="P140" s="1404"/>
      <c r="Q140" s="1404"/>
      <c r="R140" s="1404"/>
      <c r="S140" s="1404"/>
      <c r="T140" s="1404"/>
      <c r="U140" s="1404"/>
      <c r="V140" s="1404"/>
      <c r="W140" s="1404"/>
      <c r="X140" s="1404"/>
      <c r="Y140" s="1404"/>
      <c r="Z140" s="1404"/>
    </row>
    <row r="141">
      <c r="A141" s="1404"/>
      <c r="B141" s="1404"/>
      <c r="C141" s="1404"/>
      <c r="D141" s="1404"/>
      <c r="E141" s="1404"/>
      <c r="F141" s="1404"/>
      <c r="G141" s="1404"/>
      <c r="H141" s="1404"/>
      <c r="I141" s="1404"/>
      <c r="J141" s="1404"/>
      <c r="K141" s="1404"/>
      <c r="L141" s="1404"/>
      <c r="M141" s="1404"/>
      <c r="N141" s="1404"/>
      <c r="O141" s="1404"/>
      <c r="P141" s="1404"/>
      <c r="Q141" s="1404"/>
      <c r="R141" s="1404"/>
      <c r="S141" s="1404"/>
      <c r="T141" s="1404"/>
      <c r="U141" s="1404"/>
      <c r="V141" s="1404"/>
      <c r="W141" s="1404"/>
      <c r="X141" s="1404"/>
      <c r="Y141" s="1404"/>
      <c r="Z141" s="1404"/>
    </row>
    <row r="142">
      <c r="A142" s="1404"/>
      <c r="B142" s="1404"/>
      <c r="C142" s="1404"/>
      <c r="D142" s="1404"/>
      <c r="E142" s="1404"/>
      <c r="F142" s="1404"/>
      <c r="G142" s="1404"/>
      <c r="H142" s="1404"/>
      <c r="I142" s="1404"/>
      <c r="J142" s="1404"/>
      <c r="K142" s="1404"/>
      <c r="L142" s="1404"/>
      <c r="M142" s="1404"/>
      <c r="N142" s="1404"/>
      <c r="O142" s="1404"/>
      <c r="P142" s="1404"/>
      <c r="Q142" s="1404"/>
      <c r="R142" s="1404"/>
      <c r="S142" s="1404"/>
      <c r="T142" s="1404"/>
      <c r="U142" s="1404"/>
      <c r="V142" s="1404"/>
      <c r="W142" s="1404"/>
      <c r="X142" s="1404"/>
      <c r="Y142" s="1404"/>
      <c r="Z142" s="1404"/>
    </row>
    <row r="143">
      <c r="A143" s="1404"/>
      <c r="B143" s="1404"/>
      <c r="C143" s="1404"/>
      <c r="D143" s="1404"/>
      <c r="E143" s="1404"/>
      <c r="F143" s="1404"/>
      <c r="G143" s="1404"/>
      <c r="H143" s="1404"/>
      <c r="I143" s="1404"/>
      <c r="J143" s="1404"/>
      <c r="K143" s="1404"/>
      <c r="L143" s="1404"/>
      <c r="M143" s="1404"/>
      <c r="N143" s="1404"/>
      <c r="O143" s="1404"/>
      <c r="P143" s="1404"/>
      <c r="Q143" s="1404"/>
      <c r="R143" s="1404"/>
      <c r="S143" s="1404"/>
      <c r="T143" s="1404"/>
      <c r="U143" s="1404"/>
      <c r="V143" s="1404"/>
      <c r="W143" s="1404"/>
      <c r="X143" s="1404"/>
      <c r="Y143" s="1404"/>
      <c r="Z143" s="1404"/>
    </row>
    <row r="144">
      <c r="A144" s="1404"/>
      <c r="B144" s="1404"/>
      <c r="C144" s="1404"/>
      <c r="D144" s="1404"/>
      <c r="E144" s="1404"/>
      <c r="F144" s="1404"/>
      <c r="G144" s="1404"/>
      <c r="H144" s="1404"/>
      <c r="I144" s="1404"/>
      <c r="J144" s="1404"/>
      <c r="K144" s="1404"/>
      <c r="L144" s="1404"/>
      <c r="M144" s="1404"/>
      <c r="N144" s="1404"/>
      <c r="O144" s="1404"/>
      <c r="P144" s="1404"/>
      <c r="Q144" s="1404"/>
      <c r="R144" s="1404"/>
      <c r="S144" s="1404"/>
      <c r="T144" s="1404"/>
      <c r="U144" s="1404"/>
      <c r="V144" s="1404"/>
      <c r="W144" s="1404"/>
      <c r="X144" s="1404"/>
      <c r="Y144" s="1404"/>
      <c r="Z144" s="1404"/>
    </row>
    <row r="145">
      <c r="A145" s="1404"/>
      <c r="B145" s="1404"/>
      <c r="C145" s="1404"/>
      <c r="D145" s="1404"/>
      <c r="E145" s="1404"/>
      <c r="F145" s="1404"/>
      <c r="G145" s="1404"/>
      <c r="H145" s="1404"/>
      <c r="I145" s="1404"/>
      <c r="J145" s="1404"/>
      <c r="K145" s="1404"/>
      <c r="L145" s="1404"/>
      <c r="M145" s="1404"/>
      <c r="N145" s="1404"/>
      <c r="O145" s="1404"/>
      <c r="P145" s="1404"/>
      <c r="Q145" s="1404"/>
      <c r="R145" s="1404"/>
      <c r="S145" s="1404"/>
      <c r="T145" s="1404"/>
      <c r="U145" s="1404"/>
      <c r="V145" s="1404"/>
      <c r="W145" s="1404"/>
      <c r="X145" s="1404"/>
      <c r="Y145" s="1404"/>
      <c r="Z145" s="1404"/>
    </row>
    <row r="146">
      <c r="A146" s="1404"/>
      <c r="B146" s="1404"/>
      <c r="C146" s="1404"/>
      <c r="D146" s="1404"/>
      <c r="E146" s="1404"/>
      <c r="F146" s="1404"/>
      <c r="G146" s="1404"/>
      <c r="H146" s="1404"/>
      <c r="I146" s="1404"/>
      <c r="J146" s="1404"/>
      <c r="K146" s="1404"/>
      <c r="L146" s="1404"/>
      <c r="M146" s="1404"/>
      <c r="N146" s="1404"/>
      <c r="O146" s="1404"/>
      <c r="P146" s="1404"/>
      <c r="Q146" s="1404"/>
      <c r="R146" s="1404"/>
      <c r="S146" s="1404"/>
      <c r="T146" s="1404"/>
      <c r="U146" s="1404"/>
      <c r="V146" s="1404"/>
      <c r="W146" s="1404"/>
      <c r="X146" s="1404"/>
      <c r="Y146" s="1404"/>
      <c r="Z146" s="1404"/>
    </row>
    <row r="147">
      <c r="A147" s="1404"/>
      <c r="B147" s="1404"/>
      <c r="C147" s="1404"/>
      <c r="D147" s="1404"/>
      <c r="E147" s="1404"/>
      <c r="F147" s="1404"/>
      <c r="G147" s="1404"/>
      <c r="H147" s="1404"/>
      <c r="I147" s="1404"/>
      <c r="J147" s="1404"/>
      <c r="K147" s="1404"/>
      <c r="L147" s="1404"/>
      <c r="M147" s="1404"/>
      <c r="N147" s="1404"/>
      <c r="O147" s="1404"/>
      <c r="P147" s="1404"/>
      <c r="Q147" s="1404"/>
      <c r="R147" s="1404"/>
      <c r="S147" s="1404"/>
      <c r="T147" s="1404"/>
      <c r="U147" s="1404"/>
      <c r="V147" s="1404"/>
      <c r="W147" s="1404"/>
      <c r="X147" s="1404"/>
      <c r="Y147" s="1404"/>
      <c r="Z147" s="1404"/>
    </row>
    <row r="148">
      <c r="A148" s="1404"/>
      <c r="B148" s="1404"/>
      <c r="C148" s="1404"/>
      <c r="D148" s="1404"/>
      <c r="E148" s="1404"/>
      <c r="F148" s="1404"/>
      <c r="G148" s="1404"/>
      <c r="H148" s="1404"/>
      <c r="I148" s="1404"/>
      <c r="J148" s="1404"/>
      <c r="K148" s="1404"/>
      <c r="L148" s="1404"/>
      <c r="M148" s="1404"/>
      <c r="N148" s="1404"/>
      <c r="O148" s="1404"/>
      <c r="P148" s="1404"/>
      <c r="Q148" s="1404"/>
      <c r="R148" s="1404"/>
      <c r="S148" s="1404"/>
      <c r="T148" s="1404"/>
      <c r="U148" s="1404"/>
      <c r="V148" s="1404"/>
      <c r="W148" s="1404"/>
      <c r="X148" s="1404"/>
      <c r="Y148" s="1404"/>
      <c r="Z148" s="1404"/>
    </row>
    <row r="149">
      <c r="A149" s="1404"/>
      <c r="B149" s="1404"/>
      <c r="C149" s="1404"/>
      <c r="D149" s="1404"/>
      <c r="E149" s="1404"/>
      <c r="F149" s="1404"/>
      <c r="G149" s="1404"/>
      <c r="H149" s="1404"/>
      <c r="I149" s="1404"/>
      <c r="J149" s="1404"/>
      <c r="K149" s="1404"/>
      <c r="L149" s="1404"/>
      <c r="M149" s="1404"/>
      <c r="N149" s="1404"/>
      <c r="O149" s="1404"/>
      <c r="P149" s="1404"/>
      <c r="Q149" s="1404"/>
      <c r="R149" s="1404"/>
      <c r="S149" s="1404"/>
      <c r="T149" s="1404"/>
      <c r="U149" s="1404"/>
      <c r="V149" s="1404"/>
      <c r="W149" s="1404"/>
      <c r="X149" s="1404"/>
      <c r="Y149" s="1404"/>
      <c r="Z149" s="1404"/>
    </row>
    <row r="150">
      <c r="A150" s="1404"/>
      <c r="B150" s="1404"/>
      <c r="C150" s="1404"/>
      <c r="D150" s="1404"/>
      <c r="E150" s="1404"/>
      <c r="F150" s="1404"/>
      <c r="G150" s="1404"/>
      <c r="H150" s="1404"/>
      <c r="I150" s="1404"/>
      <c r="J150" s="1404"/>
      <c r="K150" s="1404"/>
      <c r="L150" s="1404"/>
      <c r="M150" s="1404"/>
      <c r="N150" s="1404"/>
      <c r="O150" s="1404"/>
      <c r="P150" s="1404"/>
      <c r="Q150" s="1404"/>
      <c r="R150" s="1404"/>
      <c r="S150" s="1404"/>
      <c r="T150" s="1404"/>
      <c r="U150" s="1404"/>
      <c r="V150" s="1404"/>
      <c r="W150" s="1404"/>
      <c r="X150" s="1404"/>
      <c r="Y150" s="1404"/>
      <c r="Z150" s="1404"/>
    </row>
    <row r="151">
      <c r="A151" s="1404"/>
      <c r="B151" s="1404"/>
      <c r="C151" s="1404"/>
      <c r="D151" s="1404"/>
      <c r="E151" s="1404"/>
      <c r="F151" s="1404"/>
      <c r="G151" s="1404"/>
      <c r="H151" s="1404"/>
      <c r="I151" s="1404"/>
      <c r="J151" s="1404"/>
      <c r="K151" s="1404"/>
      <c r="L151" s="1404"/>
      <c r="M151" s="1404"/>
      <c r="N151" s="1404"/>
      <c r="O151" s="1404"/>
      <c r="P151" s="1404"/>
      <c r="Q151" s="1404"/>
      <c r="R151" s="1404"/>
      <c r="S151" s="1404"/>
      <c r="T151" s="1404"/>
      <c r="U151" s="1404"/>
      <c r="V151" s="1404"/>
      <c r="W151" s="1404"/>
      <c r="X151" s="1404"/>
      <c r="Y151" s="1404"/>
      <c r="Z151" s="1404"/>
    </row>
    <row r="152">
      <c r="A152" s="1404"/>
      <c r="B152" s="1404"/>
      <c r="C152" s="1404"/>
      <c r="D152" s="1404"/>
      <c r="E152" s="1404"/>
      <c r="F152" s="1404"/>
      <c r="G152" s="1404"/>
      <c r="H152" s="1404"/>
      <c r="I152" s="1404"/>
      <c r="J152" s="1404"/>
      <c r="K152" s="1404"/>
      <c r="L152" s="1404"/>
      <c r="M152" s="1404"/>
      <c r="N152" s="1404"/>
      <c r="O152" s="1404"/>
      <c r="P152" s="1404"/>
      <c r="Q152" s="1404"/>
      <c r="R152" s="1404"/>
      <c r="S152" s="1404"/>
      <c r="T152" s="1404"/>
      <c r="U152" s="1404"/>
      <c r="V152" s="1404"/>
      <c r="W152" s="1404"/>
      <c r="X152" s="1404"/>
      <c r="Y152" s="1404"/>
      <c r="Z152" s="1404"/>
    </row>
    <row r="153">
      <c r="A153" s="1404"/>
      <c r="B153" s="1404"/>
      <c r="C153" s="1404"/>
      <c r="D153" s="1404"/>
      <c r="E153" s="1404"/>
      <c r="F153" s="1404"/>
      <c r="G153" s="1404"/>
      <c r="H153" s="1404"/>
      <c r="I153" s="1404"/>
      <c r="J153" s="1404"/>
      <c r="K153" s="1404"/>
      <c r="L153" s="1404"/>
      <c r="M153" s="1404"/>
      <c r="N153" s="1404"/>
      <c r="O153" s="1404"/>
      <c r="P153" s="1404"/>
      <c r="Q153" s="1404"/>
      <c r="R153" s="1404"/>
      <c r="S153" s="1404"/>
      <c r="T153" s="1404"/>
      <c r="U153" s="1404"/>
      <c r="V153" s="1404"/>
      <c r="W153" s="1404"/>
      <c r="X153" s="1404"/>
      <c r="Y153" s="1404"/>
      <c r="Z153" s="1404"/>
    </row>
    <row r="154">
      <c r="A154" s="1404"/>
      <c r="B154" s="1404"/>
      <c r="C154" s="1404"/>
      <c r="D154" s="1404"/>
      <c r="E154" s="1404"/>
      <c r="F154" s="1404"/>
      <c r="G154" s="1404"/>
      <c r="H154" s="1404"/>
      <c r="I154" s="1404"/>
      <c r="J154" s="1404"/>
      <c r="K154" s="1404"/>
      <c r="L154" s="1404"/>
      <c r="M154" s="1404"/>
      <c r="N154" s="1404"/>
      <c r="O154" s="1404"/>
      <c r="P154" s="1404"/>
      <c r="Q154" s="1404"/>
      <c r="R154" s="1404"/>
      <c r="S154" s="1404"/>
      <c r="T154" s="1404"/>
      <c r="U154" s="1404"/>
      <c r="V154" s="1404"/>
      <c r="W154" s="1404"/>
      <c r="X154" s="1404"/>
      <c r="Y154" s="1404"/>
      <c r="Z154" s="1404"/>
    </row>
    <row r="155">
      <c r="A155" s="1404"/>
      <c r="B155" s="1404"/>
      <c r="C155" s="1404"/>
      <c r="D155" s="1404"/>
      <c r="E155" s="1404"/>
      <c r="F155" s="1404"/>
      <c r="G155" s="1404"/>
      <c r="H155" s="1404"/>
      <c r="I155" s="1404"/>
      <c r="J155" s="1404"/>
      <c r="K155" s="1404"/>
      <c r="L155" s="1404"/>
      <c r="M155" s="1404"/>
      <c r="N155" s="1404"/>
      <c r="O155" s="1404"/>
      <c r="P155" s="1404"/>
      <c r="Q155" s="1404"/>
      <c r="R155" s="1404"/>
      <c r="S155" s="1404"/>
      <c r="T155" s="1404"/>
      <c r="U155" s="1404"/>
      <c r="V155" s="1404"/>
      <c r="W155" s="1404"/>
      <c r="X155" s="1404"/>
      <c r="Y155" s="1404"/>
      <c r="Z155" s="1404"/>
    </row>
    <row r="156">
      <c r="A156" s="1404"/>
      <c r="B156" s="1404"/>
      <c r="C156" s="1404"/>
      <c r="D156" s="1404"/>
      <c r="E156" s="1404"/>
      <c r="F156" s="1404"/>
      <c r="G156" s="1404"/>
      <c r="H156" s="1404"/>
      <c r="I156" s="1404"/>
      <c r="J156" s="1404"/>
      <c r="K156" s="1404"/>
      <c r="L156" s="1404"/>
      <c r="M156" s="1404"/>
      <c r="N156" s="1404"/>
      <c r="O156" s="1404"/>
      <c r="P156" s="1404"/>
      <c r="Q156" s="1404"/>
      <c r="R156" s="1404"/>
      <c r="S156" s="1404"/>
      <c r="T156" s="1404"/>
      <c r="U156" s="1404"/>
      <c r="V156" s="1404"/>
      <c r="W156" s="1404"/>
      <c r="X156" s="1404"/>
      <c r="Y156" s="1404"/>
      <c r="Z156" s="1404"/>
    </row>
    <row r="157">
      <c r="A157" s="1404"/>
      <c r="B157" s="1404"/>
      <c r="C157" s="1404"/>
      <c r="D157" s="1404"/>
      <c r="E157" s="1404"/>
      <c r="F157" s="1404"/>
      <c r="G157" s="1404"/>
      <c r="H157" s="1404"/>
      <c r="I157" s="1404"/>
      <c r="J157" s="1404"/>
      <c r="K157" s="1404"/>
      <c r="L157" s="1404"/>
      <c r="M157" s="1404"/>
      <c r="N157" s="1404"/>
      <c r="O157" s="1404"/>
      <c r="P157" s="1404"/>
      <c r="Q157" s="1404"/>
      <c r="R157" s="1404"/>
      <c r="S157" s="1404"/>
      <c r="T157" s="1404"/>
      <c r="U157" s="1404"/>
      <c r="V157" s="1404"/>
      <c r="W157" s="1404"/>
      <c r="X157" s="1404"/>
      <c r="Y157" s="1404"/>
      <c r="Z157" s="1404"/>
    </row>
    <row r="158">
      <c r="A158" s="1404"/>
      <c r="B158" s="1404"/>
      <c r="C158" s="1404"/>
      <c r="D158" s="1404"/>
      <c r="E158" s="1404"/>
      <c r="F158" s="1404"/>
      <c r="G158" s="1404"/>
      <c r="H158" s="1404"/>
      <c r="I158" s="1404"/>
      <c r="J158" s="1404"/>
      <c r="K158" s="1404"/>
      <c r="L158" s="1404"/>
      <c r="M158" s="1404"/>
      <c r="N158" s="1404"/>
      <c r="O158" s="1404"/>
      <c r="P158" s="1404"/>
      <c r="Q158" s="1404"/>
      <c r="R158" s="1404"/>
      <c r="S158" s="1404"/>
      <c r="T158" s="1404"/>
      <c r="U158" s="1404"/>
      <c r="V158" s="1404"/>
      <c r="W158" s="1404"/>
      <c r="X158" s="1404"/>
      <c r="Y158" s="1404"/>
      <c r="Z158" s="1404"/>
    </row>
    <row r="159">
      <c r="A159" s="1404"/>
      <c r="B159" s="1404"/>
      <c r="C159" s="1404"/>
      <c r="D159" s="1404"/>
      <c r="E159" s="1404"/>
      <c r="F159" s="1404"/>
      <c r="G159" s="1404"/>
      <c r="H159" s="1404"/>
      <c r="I159" s="1404"/>
      <c r="J159" s="1404"/>
      <c r="K159" s="1404"/>
      <c r="L159" s="1404"/>
      <c r="M159" s="1404"/>
      <c r="N159" s="1404"/>
      <c r="O159" s="1404"/>
      <c r="P159" s="1404"/>
      <c r="Q159" s="1404"/>
      <c r="R159" s="1404"/>
      <c r="S159" s="1404"/>
      <c r="T159" s="1404"/>
      <c r="U159" s="1404"/>
      <c r="V159" s="1404"/>
      <c r="W159" s="1404"/>
      <c r="X159" s="1404"/>
      <c r="Y159" s="1404"/>
      <c r="Z159" s="1404"/>
    </row>
    <row r="160">
      <c r="A160" s="1404"/>
      <c r="B160" s="1404"/>
      <c r="C160" s="1404"/>
      <c r="D160" s="1404"/>
      <c r="E160" s="1404"/>
      <c r="F160" s="1404"/>
      <c r="G160" s="1404"/>
      <c r="H160" s="1404"/>
      <c r="I160" s="1404"/>
      <c r="J160" s="1404"/>
      <c r="K160" s="1404"/>
      <c r="L160" s="1404"/>
      <c r="M160" s="1404"/>
      <c r="N160" s="1404"/>
      <c r="O160" s="1404"/>
      <c r="P160" s="1404"/>
      <c r="Q160" s="1404"/>
      <c r="R160" s="1404"/>
      <c r="S160" s="1404"/>
      <c r="T160" s="1404"/>
      <c r="U160" s="1404"/>
      <c r="V160" s="1404"/>
      <c r="W160" s="1404"/>
      <c r="X160" s="1404"/>
      <c r="Y160" s="1404"/>
      <c r="Z160" s="1404"/>
    </row>
    <row r="161">
      <c r="A161" s="1404"/>
      <c r="B161" s="1404"/>
      <c r="C161" s="1404"/>
      <c r="D161" s="1404"/>
      <c r="E161" s="1404"/>
      <c r="F161" s="1404"/>
      <c r="G161" s="1404"/>
      <c r="H161" s="1404"/>
      <c r="I161" s="1404"/>
      <c r="J161" s="1404"/>
      <c r="K161" s="1404"/>
      <c r="L161" s="1404"/>
      <c r="M161" s="1404"/>
      <c r="N161" s="1404"/>
      <c r="O161" s="1404"/>
      <c r="P161" s="1404"/>
      <c r="Q161" s="1404"/>
      <c r="R161" s="1404"/>
      <c r="S161" s="1404"/>
      <c r="T161" s="1404"/>
      <c r="U161" s="1404"/>
      <c r="V161" s="1404"/>
      <c r="W161" s="1404"/>
      <c r="X161" s="1404"/>
      <c r="Y161" s="1404"/>
      <c r="Z161" s="1404"/>
    </row>
    <row r="162">
      <c r="A162" s="1404"/>
      <c r="B162" s="1404"/>
      <c r="C162" s="1404"/>
      <c r="D162" s="1404"/>
      <c r="E162" s="1404"/>
      <c r="F162" s="1404"/>
      <c r="G162" s="1404"/>
      <c r="H162" s="1404"/>
      <c r="I162" s="1404"/>
      <c r="J162" s="1404"/>
      <c r="K162" s="1404"/>
      <c r="L162" s="1404"/>
      <c r="M162" s="1404"/>
      <c r="N162" s="1404"/>
      <c r="O162" s="1404"/>
      <c r="P162" s="1404"/>
      <c r="Q162" s="1404"/>
      <c r="R162" s="1404"/>
      <c r="S162" s="1404"/>
      <c r="T162" s="1404"/>
      <c r="U162" s="1404"/>
      <c r="V162" s="1404"/>
      <c r="W162" s="1404"/>
      <c r="X162" s="1404"/>
      <c r="Y162" s="1404"/>
      <c r="Z162" s="1404"/>
    </row>
    <row r="163">
      <c r="A163" s="1404"/>
      <c r="B163" s="1404"/>
      <c r="C163" s="1404"/>
      <c r="D163" s="1404"/>
      <c r="E163" s="1404"/>
      <c r="F163" s="1404"/>
      <c r="G163" s="1404"/>
      <c r="H163" s="1404"/>
      <c r="I163" s="1404"/>
      <c r="J163" s="1404"/>
      <c r="K163" s="1404"/>
      <c r="L163" s="1404"/>
      <c r="M163" s="1404"/>
      <c r="N163" s="1404"/>
      <c r="O163" s="1404"/>
      <c r="P163" s="1404"/>
      <c r="Q163" s="1404"/>
      <c r="R163" s="1404"/>
      <c r="S163" s="1404"/>
      <c r="T163" s="1404"/>
      <c r="U163" s="1404"/>
      <c r="V163" s="1404"/>
      <c r="W163" s="1404"/>
      <c r="X163" s="1404"/>
      <c r="Y163" s="1404"/>
      <c r="Z163" s="1404"/>
    </row>
    <row r="164">
      <c r="A164" s="1404"/>
      <c r="B164" s="1404"/>
      <c r="C164" s="1404"/>
      <c r="D164" s="1404"/>
      <c r="E164" s="1404"/>
      <c r="F164" s="1404"/>
      <c r="G164" s="1404"/>
      <c r="H164" s="1404"/>
      <c r="I164" s="1404"/>
      <c r="J164" s="1404"/>
      <c r="K164" s="1404"/>
      <c r="L164" s="1404"/>
      <c r="M164" s="1404"/>
      <c r="N164" s="1404"/>
      <c r="O164" s="1404"/>
      <c r="P164" s="1404"/>
      <c r="Q164" s="1404"/>
      <c r="R164" s="1404"/>
      <c r="S164" s="1404"/>
      <c r="T164" s="1404"/>
      <c r="U164" s="1404"/>
      <c r="V164" s="1404"/>
      <c r="W164" s="1404"/>
      <c r="X164" s="1404"/>
      <c r="Y164" s="1404"/>
      <c r="Z164" s="1404"/>
    </row>
    <row r="165">
      <c r="A165" s="1404"/>
      <c r="B165" s="1404"/>
      <c r="C165" s="1404"/>
      <c r="D165" s="1404"/>
      <c r="E165" s="1404"/>
      <c r="F165" s="1404"/>
      <c r="G165" s="1404"/>
      <c r="H165" s="1404"/>
      <c r="I165" s="1404"/>
      <c r="J165" s="1404"/>
      <c r="K165" s="1404"/>
      <c r="L165" s="1404"/>
      <c r="M165" s="1404"/>
      <c r="N165" s="1404"/>
      <c r="O165" s="1404"/>
      <c r="P165" s="1404"/>
      <c r="Q165" s="1404"/>
      <c r="R165" s="1404"/>
      <c r="S165" s="1404"/>
      <c r="T165" s="1404"/>
      <c r="U165" s="1404"/>
      <c r="V165" s="1404"/>
      <c r="W165" s="1404"/>
      <c r="X165" s="1404"/>
      <c r="Y165" s="1404"/>
      <c r="Z165" s="1404"/>
    </row>
    <row r="166">
      <c r="A166" s="1404"/>
      <c r="B166" s="1404"/>
      <c r="C166" s="1404"/>
      <c r="D166" s="1404"/>
      <c r="E166" s="1404"/>
      <c r="F166" s="1404"/>
      <c r="G166" s="1404"/>
      <c r="H166" s="1404"/>
      <c r="I166" s="1404"/>
      <c r="J166" s="1404"/>
      <c r="K166" s="1404"/>
      <c r="L166" s="1404"/>
      <c r="M166" s="1404"/>
      <c r="N166" s="1404"/>
      <c r="O166" s="1404"/>
      <c r="P166" s="1404"/>
      <c r="Q166" s="1404"/>
      <c r="R166" s="1404"/>
      <c r="S166" s="1404"/>
      <c r="T166" s="1404"/>
      <c r="U166" s="1404"/>
      <c r="V166" s="1404"/>
      <c r="W166" s="1404"/>
      <c r="X166" s="1404"/>
      <c r="Y166" s="1404"/>
      <c r="Z166" s="1404"/>
    </row>
    <row r="167">
      <c r="A167" s="1404"/>
      <c r="B167" s="1404"/>
      <c r="C167" s="1404"/>
      <c r="D167" s="1404"/>
      <c r="E167" s="1404"/>
      <c r="F167" s="1404"/>
      <c r="G167" s="1404"/>
      <c r="H167" s="1404"/>
      <c r="I167" s="1404"/>
      <c r="J167" s="1404"/>
      <c r="K167" s="1404"/>
      <c r="L167" s="1404"/>
      <c r="M167" s="1404"/>
      <c r="N167" s="1404"/>
      <c r="O167" s="1404"/>
      <c r="P167" s="1404"/>
      <c r="Q167" s="1404"/>
      <c r="R167" s="1404"/>
      <c r="S167" s="1404"/>
      <c r="T167" s="1404"/>
      <c r="U167" s="1404"/>
      <c r="V167" s="1404"/>
      <c r="W167" s="1404"/>
      <c r="X167" s="1404"/>
      <c r="Y167" s="1404"/>
      <c r="Z167" s="1404"/>
    </row>
    <row r="168">
      <c r="A168" s="1404"/>
      <c r="B168" s="1404"/>
      <c r="C168" s="1404"/>
      <c r="D168" s="1404"/>
      <c r="E168" s="1404"/>
      <c r="F168" s="1404"/>
      <c r="G168" s="1404"/>
      <c r="H168" s="1404"/>
      <c r="I168" s="1404"/>
      <c r="J168" s="1404"/>
      <c r="K168" s="1404"/>
      <c r="L168" s="1404"/>
      <c r="M168" s="1404"/>
      <c r="N168" s="1404"/>
      <c r="O168" s="1404"/>
      <c r="P168" s="1404"/>
      <c r="Q168" s="1404"/>
      <c r="R168" s="1404"/>
      <c r="S168" s="1404"/>
      <c r="T168" s="1404"/>
      <c r="U168" s="1404"/>
      <c r="V168" s="1404"/>
      <c r="W168" s="1404"/>
      <c r="X168" s="1404"/>
      <c r="Y168" s="1404"/>
      <c r="Z168" s="1404"/>
    </row>
    <row r="169">
      <c r="A169" s="1404"/>
      <c r="B169" s="1404"/>
      <c r="C169" s="1404"/>
      <c r="D169" s="1404"/>
      <c r="E169" s="1404"/>
      <c r="F169" s="1404"/>
      <c r="G169" s="1404"/>
      <c r="H169" s="1404"/>
      <c r="I169" s="1404"/>
      <c r="J169" s="1404"/>
      <c r="K169" s="1404"/>
      <c r="L169" s="1404"/>
      <c r="M169" s="1404"/>
      <c r="N169" s="1404"/>
      <c r="O169" s="1404"/>
      <c r="P169" s="1404"/>
      <c r="Q169" s="1404"/>
      <c r="R169" s="1404"/>
      <c r="S169" s="1404"/>
      <c r="T169" s="1404"/>
      <c r="U169" s="1404"/>
      <c r="V169" s="1404"/>
      <c r="W169" s="1404"/>
      <c r="X169" s="1404"/>
      <c r="Y169" s="1404"/>
      <c r="Z169" s="1404"/>
    </row>
    <row r="170">
      <c r="A170" s="1404"/>
      <c r="B170" s="1404"/>
      <c r="C170" s="1404"/>
      <c r="D170" s="1404"/>
      <c r="E170" s="1404"/>
      <c r="F170" s="1404"/>
      <c r="G170" s="1404"/>
      <c r="H170" s="1404"/>
      <c r="I170" s="1404"/>
      <c r="J170" s="1404"/>
      <c r="K170" s="1404"/>
      <c r="L170" s="1404"/>
      <c r="M170" s="1404"/>
      <c r="N170" s="1404"/>
      <c r="O170" s="1404"/>
      <c r="P170" s="1404"/>
      <c r="Q170" s="1404"/>
      <c r="R170" s="1404"/>
      <c r="S170" s="1404"/>
      <c r="T170" s="1404"/>
      <c r="U170" s="1404"/>
      <c r="V170" s="1404"/>
      <c r="W170" s="1404"/>
      <c r="X170" s="1404"/>
      <c r="Y170" s="1404"/>
      <c r="Z170" s="1404"/>
    </row>
    <row r="171">
      <c r="A171" s="1404"/>
      <c r="B171" s="1404"/>
      <c r="C171" s="1404"/>
      <c r="D171" s="1404"/>
      <c r="E171" s="1404"/>
      <c r="F171" s="1404"/>
      <c r="G171" s="1404"/>
      <c r="H171" s="1404"/>
      <c r="I171" s="1404"/>
      <c r="J171" s="1404"/>
      <c r="K171" s="1404"/>
      <c r="L171" s="1404"/>
      <c r="M171" s="1404"/>
      <c r="N171" s="1404"/>
      <c r="O171" s="1404"/>
      <c r="P171" s="1404"/>
      <c r="Q171" s="1404"/>
      <c r="R171" s="1404"/>
      <c r="S171" s="1404"/>
      <c r="T171" s="1404"/>
      <c r="U171" s="1404"/>
      <c r="V171" s="1404"/>
      <c r="W171" s="1404"/>
      <c r="X171" s="1404"/>
      <c r="Y171" s="1404"/>
      <c r="Z171" s="1404"/>
    </row>
    <row r="172">
      <c r="A172" s="1404"/>
      <c r="B172" s="1404"/>
      <c r="C172" s="1404"/>
      <c r="D172" s="1404"/>
      <c r="E172" s="1404"/>
      <c r="F172" s="1404"/>
      <c r="G172" s="1404"/>
      <c r="H172" s="1404"/>
      <c r="I172" s="1404"/>
      <c r="J172" s="1404"/>
      <c r="K172" s="1404"/>
      <c r="L172" s="1404"/>
      <c r="M172" s="1404"/>
      <c r="N172" s="1404"/>
      <c r="O172" s="1404"/>
      <c r="P172" s="1404"/>
      <c r="Q172" s="1404"/>
      <c r="R172" s="1404"/>
      <c r="S172" s="1404"/>
      <c r="T172" s="1404"/>
      <c r="U172" s="1404"/>
      <c r="V172" s="1404"/>
      <c r="W172" s="1404"/>
      <c r="X172" s="1404"/>
      <c r="Y172" s="1404"/>
      <c r="Z172" s="1404"/>
    </row>
    <row r="173">
      <c r="A173" s="1404"/>
      <c r="B173" s="1404"/>
      <c r="C173" s="1404"/>
      <c r="D173" s="1404"/>
      <c r="E173" s="1404"/>
      <c r="F173" s="1404"/>
      <c r="G173" s="1404"/>
      <c r="H173" s="1404"/>
      <c r="I173" s="1404"/>
      <c r="J173" s="1404"/>
      <c r="K173" s="1404"/>
      <c r="L173" s="1404"/>
      <c r="M173" s="1404"/>
      <c r="N173" s="1404"/>
      <c r="O173" s="1404"/>
      <c r="P173" s="1404"/>
      <c r="Q173" s="1404"/>
      <c r="R173" s="1404"/>
      <c r="S173" s="1404"/>
      <c r="T173" s="1404"/>
      <c r="U173" s="1404"/>
      <c r="V173" s="1404"/>
      <c r="W173" s="1404"/>
      <c r="X173" s="1404"/>
      <c r="Y173" s="1404"/>
      <c r="Z173" s="1404"/>
    </row>
    <row r="174">
      <c r="A174" s="1404"/>
      <c r="B174" s="1404"/>
      <c r="C174" s="1404"/>
      <c r="D174" s="1404"/>
      <c r="E174" s="1404"/>
      <c r="F174" s="1404"/>
      <c r="G174" s="1404"/>
      <c r="H174" s="1404"/>
      <c r="I174" s="1404"/>
      <c r="J174" s="1404"/>
      <c r="K174" s="1404"/>
      <c r="L174" s="1404"/>
      <c r="M174" s="1404"/>
      <c r="N174" s="1404"/>
      <c r="O174" s="1404"/>
      <c r="P174" s="1404"/>
      <c r="Q174" s="1404"/>
      <c r="R174" s="1404"/>
      <c r="S174" s="1404"/>
      <c r="T174" s="1404"/>
      <c r="U174" s="1404"/>
      <c r="V174" s="1404"/>
      <c r="W174" s="1404"/>
      <c r="X174" s="1404"/>
      <c r="Y174" s="1404"/>
      <c r="Z174" s="1404"/>
    </row>
    <row r="175">
      <c r="A175" s="1404"/>
      <c r="B175" s="1404"/>
      <c r="C175" s="1404"/>
      <c r="D175" s="1404"/>
      <c r="E175" s="1404"/>
      <c r="F175" s="1404"/>
      <c r="G175" s="1404"/>
      <c r="H175" s="1404"/>
      <c r="I175" s="1404"/>
      <c r="J175" s="1404"/>
      <c r="K175" s="1404"/>
      <c r="L175" s="1404"/>
      <c r="M175" s="1404"/>
      <c r="N175" s="1404"/>
      <c r="O175" s="1404"/>
      <c r="P175" s="1404"/>
      <c r="Q175" s="1404"/>
      <c r="R175" s="1404"/>
      <c r="S175" s="1404"/>
      <c r="T175" s="1404"/>
      <c r="U175" s="1404"/>
      <c r="V175" s="1404"/>
      <c r="W175" s="1404"/>
      <c r="X175" s="1404"/>
      <c r="Y175" s="1404"/>
      <c r="Z175" s="1404"/>
    </row>
    <row r="176">
      <c r="A176" s="1404"/>
      <c r="B176" s="1404"/>
      <c r="C176" s="1404"/>
      <c r="D176" s="1404"/>
      <c r="E176" s="1404"/>
      <c r="F176" s="1404"/>
      <c r="G176" s="1404"/>
      <c r="H176" s="1404"/>
      <c r="I176" s="1404"/>
      <c r="J176" s="1404"/>
      <c r="K176" s="1404"/>
      <c r="L176" s="1404"/>
      <c r="M176" s="1404"/>
      <c r="N176" s="1404"/>
      <c r="O176" s="1404"/>
      <c r="P176" s="1404"/>
      <c r="Q176" s="1404"/>
      <c r="R176" s="1404"/>
      <c r="S176" s="1404"/>
      <c r="T176" s="1404"/>
      <c r="U176" s="1404"/>
      <c r="V176" s="1404"/>
      <c r="W176" s="1404"/>
      <c r="X176" s="1404"/>
      <c r="Y176" s="1404"/>
      <c r="Z176" s="1404"/>
    </row>
    <row r="177">
      <c r="A177" s="1404"/>
      <c r="B177" s="1404"/>
      <c r="C177" s="1404"/>
      <c r="D177" s="1404"/>
      <c r="E177" s="1404"/>
      <c r="F177" s="1404"/>
      <c r="G177" s="1404"/>
      <c r="H177" s="1404"/>
      <c r="I177" s="1404"/>
      <c r="J177" s="1404"/>
      <c r="K177" s="1404"/>
      <c r="L177" s="1404"/>
      <c r="M177" s="1404"/>
      <c r="N177" s="1404"/>
      <c r="O177" s="1404"/>
      <c r="P177" s="1404"/>
      <c r="Q177" s="1404"/>
      <c r="R177" s="1404"/>
      <c r="S177" s="1404"/>
      <c r="T177" s="1404"/>
      <c r="U177" s="1404"/>
      <c r="V177" s="1404"/>
      <c r="W177" s="1404"/>
      <c r="X177" s="1404"/>
      <c r="Y177" s="1404"/>
      <c r="Z177" s="1404"/>
    </row>
    <row r="178">
      <c r="A178" s="1404"/>
      <c r="B178" s="1404"/>
      <c r="C178" s="1404"/>
      <c r="D178" s="1404"/>
      <c r="E178" s="1404"/>
      <c r="F178" s="1404"/>
      <c r="G178" s="1404"/>
      <c r="H178" s="1404"/>
      <c r="I178" s="1404"/>
      <c r="J178" s="1404"/>
      <c r="K178" s="1404"/>
      <c r="L178" s="1404"/>
      <c r="M178" s="1404"/>
      <c r="N178" s="1404"/>
      <c r="O178" s="1404"/>
      <c r="P178" s="1404"/>
      <c r="Q178" s="1404"/>
      <c r="R178" s="1404"/>
      <c r="S178" s="1404"/>
      <c r="T178" s="1404"/>
      <c r="U178" s="1404"/>
      <c r="V178" s="1404"/>
      <c r="W178" s="1404"/>
      <c r="X178" s="1404"/>
      <c r="Y178" s="1404"/>
      <c r="Z178" s="1404"/>
    </row>
    <row r="179">
      <c r="A179" s="1404"/>
      <c r="B179" s="1404"/>
      <c r="C179" s="1404"/>
      <c r="D179" s="1404"/>
      <c r="E179" s="1404"/>
      <c r="F179" s="1404"/>
      <c r="G179" s="1404"/>
      <c r="H179" s="1404"/>
      <c r="I179" s="1404"/>
      <c r="J179" s="1404"/>
      <c r="K179" s="1404"/>
      <c r="L179" s="1404"/>
      <c r="M179" s="1404"/>
      <c r="N179" s="1404"/>
      <c r="O179" s="1404"/>
      <c r="P179" s="1404"/>
      <c r="Q179" s="1404"/>
      <c r="R179" s="1404"/>
      <c r="S179" s="1404"/>
      <c r="T179" s="1404"/>
      <c r="U179" s="1404"/>
      <c r="V179" s="1404"/>
      <c r="W179" s="1404"/>
      <c r="X179" s="1404"/>
      <c r="Y179" s="1404"/>
      <c r="Z179" s="1404"/>
    </row>
    <row r="180">
      <c r="A180" s="1404"/>
      <c r="B180" s="1404"/>
      <c r="C180" s="1404"/>
      <c r="D180" s="1404"/>
      <c r="E180" s="1404"/>
      <c r="F180" s="1404"/>
      <c r="G180" s="1404"/>
      <c r="H180" s="1404"/>
      <c r="I180" s="1404"/>
      <c r="J180" s="1404"/>
      <c r="K180" s="1404"/>
      <c r="L180" s="1404"/>
      <c r="M180" s="1404"/>
      <c r="N180" s="1404"/>
      <c r="O180" s="1404"/>
      <c r="P180" s="1404"/>
      <c r="Q180" s="1404"/>
      <c r="R180" s="1404"/>
      <c r="S180" s="1404"/>
      <c r="T180" s="1404"/>
      <c r="U180" s="1404"/>
      <c r="V180" s="1404"/>
      <c r="W180" s="1404"/>
      <c r="X180" s="1404"/>
      <c r="Y180" s="1404"/>
      <c r="Z180" s="1404"/>
    </row>
    <row r="181">
      <c r="A181" s="1404"/>
      <c r="B181" s="1404"/>
      <c r="C181" s="1404"/>
      <c r="D181" s="1404"/>
      <c r="E181" s="1404"/>
      <c r="F181" s="1404"/>
      <c r="G181" s="1404"/>
      <c r="H181" s="1404"/>
      <c r="I181" s="1404"/>
      <c r="J181" s="1404"/>
      <c r="K181" s="1404"/>
      <c r="L181" s="1404"/>
      <c r="M181" s="1404"/>
      <c r="N181" s="1404"/>
      <c r="O181" s="1404"/>
      <c r="P181" s="1404"/>
      <c r="Q181" s="1404"/>
      <c r="R181" s="1404"/>
      <c r="S181" s="1404"/>
      <c r="T181" s="1404"/>
      <c r="U181" s="1404"/>
      <c r="V181" s="1404"/>
      <c r="W181" s="1404"/>
      <c r="X181" s="1404"/>
      <c r="Y181" s="1404"/>
      <c r="Z181" s="1404"/>
    </row>
    <row r="182">
      <c r="A182" s="1404"/>
      <c r="B182" s="1404"/>
      <c r="C182" s="1404"/>
      <c r="D182" s="1404"/>
      <c r="E182" s="1404"/>
      <c r="F182" s="1404"/>
      <c r="G182" s="1404"/>
      <c r="H182" s="1404"/>
      <c r="I182" s="1404"/>
      <c r="J182" s="1404"/>
      <c r="K182" s="1404"/>
      <c r="L182" s="1404"/>
      <c r="M182" s="1404"/>
      <c r="N182" s="1404"/>
      <c r="O182" s="1404"/>
      <c r="P182" s="1404"/>
      <c r="Q182" s="1404"/>
      <c r="R182" s="1404"/>
      <c r="S182" s="1404"/>
      <c r="T182" s="1404"/>
      <c r="U182" s="1404"/>
      <c r="V182" s="1404"/>
      <c r="W182" s="1404"/>
      <c r="X182" s="1404"/>
      <c r="Y182" s="1404"/>
      <c r="Z182" s="1404"/>
    </row>
    <row r="183">
      <c r="A183" s="1404"/>
      <c r="B183" s="1404"/>
      <c r="C183" s="1404"/>
      <c r="D183" s="1404"/>
      <c r="E183" s="1404"/>
      <c r="F183" s="1404"/>
      <c r="G183" s="1404"/>
      <c r="H183" s="1404"/>
      <c r="I183" s="1404"/>
      <c r="J183" s="1404"/>
      <c r="K183" s="1404"/>
      <c r="L183" s="1404"/>
      <c r="M183" s="1404"/>
      <c r="N183" s="1404"/>
      <c r="O183" s="1404"/>
      <c r="P183" s="1404"/>
      <c r="Q183" s="1404"/>
      <c r="R183" s="1404"/>
      <c r="S183" s="1404"/>
      <c r="T183" s="1404"/>
      <c r="U183" s="1404"/>
      <c r="V183" s="1404"/>
      <c r="W183" s="1404"/>
      <c r="X183" s="1404"/>
      <c r="Y183" s="1404"/>
      <c r="Z183" s="1404"/>
    </row>
    <row r="184">
      <c r="A184" s="1404"/>
      <c r="B184" s="1404"/>
      <c r="C184" s="1404"/>
      <c r="D184" s="1404"/>
      <c r="E184" s="1404"/>
      <c r="F184" s="1404"/>
      <c r="G184" s="1404"/>
      <c r="H184" s="1404"/>
      <c r="I184" s="1404"/>
      <c r="J184" s="1404"/>
      <c r="K184" s="1404"/>
      <c r="L184" s="1404"/>
      <c r="M184" s="1404"/>
      <c r="N184" s="1404"/>
      <c r="O184" s="1404"/>
      <c r="P184" s="1404"/>
      <c r="Q184" s="1404"/>
      <c r="R184" s="1404"/>
      <c r="S184" s="1404"/>
      <c r="T184" s="1404"/>
      <c r="U184" s="1404"/>
      <c r="V184" s="1404"/>
      <c r="W184" s="1404"/>
      <c r="X184" s="1404"/>
      <c r="Y184" s="1404"/>
      <c r="Z184" s="1404"/>
    </row>
    <row r="185">
      <c r="A185" s="1404"/>
      <c r="B185" s="1404"/>
      <c r="C185" s="1404"/>
      <c r="D185" s="1404"/>
      <c r="E185" s="1404"/>
      <c r="F185" s="1404"/>
      <c r="G185" s="1404"/>
      <c r="H185" s="1404"/>
      <c r="I185" s="1404"/>
      <c r="J185" s="1404"/>
      <c r="K185" s="1404"/>
      <c r="L185" s="1404"/>
      <c r="M185" s="1404"/>
      <c r="N185" s="1404"/>
      <c r="O185" s="1404"/>
      <c r="P185" s="1404"/>
      <c r="Q185" s="1404"/>
      <c r="R185" s="1404"/>
      <c r="S185" s="1404"/>
      <c r="T185" s="1404"/>
      <c r="U185" s="1404"/>
      <c r="V185" s="1404"/>
      <c r="W185" s="1404"/>
      <c r="X185" s="1404"/>
      <c r="Y185" s="1404"/>
      <c r="Z185" s="1404"/>
    </row>
    <row r="186">
      <c r="A186" s="1404"/>
      <c r="B186" s="1404"/>
      <c r="C186" s="1404"/>
      <c r="D186" s="1404"/>
      <c r="E186" s="1404"/>
      <c r="F186" s="1404"/>
      <c r="G186" s="1404"/>
      <c r="H186" s="1404"/>
      <c r="I186" s="1404"/>
      <c r="J186" s="1404"/>
      <c r="K186" s="1404"/>
      <c r="L186" s="1404"/>
      <c r="M186" s="1404"/>
      <c r="N186" s="1404"/>
      <c r="O186" s="1404"/>
      <c r="P186" s="1404"/>
      <c r="Q186" s="1404"/>
      <c r="R186" s="1404"/>
      <c r="S186" s="1404"/>
      <c r="T186" s="1404"/>
      <c r="U186" s="1404"/>
      <c r="V186" s="1404"/>
      <c r="W186" s="1404"/>
      <c r="X186" s="1404"/>
      <c r="Y186" s="1404"/>
      <c r="Z186" s="1404"/>
    </row>
    <row r="187">
      <c r="A187" s="1404"/>
      <c r="B187" s="1404"/>
      <c r="C187" s="1404"/>
      <c r="D187" s="1404"/>
      <c r="E187" s="1404"/>
      <c r="F187" s="1404"/>
      <c r="G187" s="1404"/>
      <c r="H187" s="1404"/>
      <c r="I187" s="1404"/>
      <c r="J187" s="1404"/>
      <c r="K187" s="1404"/>
      <c r="L187" s="1404"/>
      <c r="M187" s="1404"/>
      <c r="N187" s="1404"/>
      <c r="O187" s="1404"/>
      <c r="P187" s="1404"/>
      <c r="Q187" s="1404"/>
      <c r="R187" s="1404"/>
      <c r="S187" s="1404"/>
      <c r="T187" s="1404"/>
      <c r="U187" s="1404"/>
      <c r="V187" s="1404"/>
      <c r="W187" s="1404"/>
      <c r="X187" s="1404"/>
      <c r="Y187" s="1404"/>
      <c r="Z187" s="1404"/>
    </row>
    <row r="188">
      <c r="A188" s="1404"/>
      <c r="B188" s="1404"/>
      <c r="C188" s="1404"/>
      <c r="D188" s="1404"/>
      <c r="E188" s="1404"/>
      <c r="F188" s="1404"/>
      <c r="G188" s="1404"/>
      <c r="H188" s="1404"/>
      <c r="I188" s="1404"/>
      <c r="J188" s="1404"/>
      <c r="K188" s="1404"/>
      <c r="L188" s="1404"/>
      <c r="M188" s="1404"/>
      <c r="N188" s="1404"/>
      <c r="O188" s="1404"/>
      <c r="P188" s="1404"/>
      <c r="Q188" s="1404"/>
      <c r="R188" s="1404"/>
      <c r="S188" s="1404"/>
      <c r="T188" s="1404"/>
      <c r="U188" s="1404"/>
      <c r="V188" s="1404"/>
      <c r="W188" s="1404"/>
      <c r="X188" s="1404"/>
      <c r="Y188" s="1404"/>
      <c r="Z188" s="1404"/>
    </row>
    <row r="189">
      <c r="A189" s="1404"/>
      <c r="B189" s="1404"/>
      <c r="C189" s="1404"/>
      <c r="D189" s="1404"/>
      <c r="E189" s="1404"/>
      <c r="F189" s="1404"/>
      <c r="G189" s="1404"/>
      <c r="H189" s="1404"/>
      <c r="I189" s="1404"/>
      <c r="J189" s="1404"/>
      <c r="K189" s="1404"/>
      <c r="L189" s="1404"/>
      <c r="M189" s="1404"/>
      <c r="N189" s="1404"/>
      <c r="O189" s="1404"/>
      <c r="P189" s="1404"/>
      <c r="Q189" s="1404"/>
      <c r="R189" s="1404"/>
      <c r="S189" s="1404"/>
      <c r="T189" s="1404"/>
      <c r="U189" s="1404"/>
      <c r="V189" s="1404"/>
      <c r="W189" s="1404"/>
      <c r="X189" s="1404"/>
      <c r="Y189" s="1404"/>
      <c r="Z189" s="1404"/>
    </row>
    <row r="190">
      <c r="A190" s="1404"/>
      <c r="B190" s="1404"/>
      <c r="C190" s="1404"/>
      <c r="D190" s="1404"/>
      <c r="E190" s="1404"/>
      <c r="F190" s="1404"/>
      <c r="G190" s="1404"/>
      <c r="H190" s="1404"/>
      <c r="I190" s="1404"/>
      <c r="J190" s="1404"/>
      <c r="K190" s="1404"/>
      <c r="L190" s="1404"/>
      <c r="M190" s="1404"/>
      <c r="N190" s="1404"/>
      <c r="O190" s="1404"/>
      <c r="P190" s="1404"/>
      <c r="Q190" s="1404"/>
      <c r="R190" s="1404"/>
      <c r="S190" s="1404"/>
      <c r="T190" s="1404"/>
      <c r="U190" s="1404"/>
      <c r="V190" s="1404"/>
      <c r="W190" s="1404"/>
      <c r="X190" s="1404"/>
      <c r="Y190" s="1404"/>
      <c r="Z190" s="1404"/>
    </row>
    <row r="191">
      <c r="A191" s="1404"/>
      <c r="B191" s="1404"/>
      <c r="C191" s="1404"/>
      <c r="D191" s="1404"/>
      <c r="E191" s="1404"/>
      <c r="F191" s="1404"/>
      <c r="G191" s="1404"/>
      <c r="H191" s="1404"/>
      <c r="I191" s="1404"/>
      <c r="J191" s="1404"/>
      <c r="K191" s="1404"/>
      <c r="L191" s="1404"/>
      <c r="M191" s="1404"/>
      <c r="N191" s="1404"/>
      <c r="O191" s="1404"/>
      <c r="P191" s="1404"/>
      <c r="Q191" s="1404"/>
      <c r="R191" s="1404"/>
      <c r="S191" s="1404"/>
      <c r="T191" s="1404"/>
      <c r="U191" s="1404"/>
      <c r="V191" s="1404"/>
      <c r="W191" s="1404"/>
      <c r="X191" s="1404"/>
      <c r="Y191" s="1404"/>
      <c r="Z191" s="1404"/>
    </row>
    <row r="192">
      <c r="A192" s="1404"/>
      <c r="B192" s="1404"/>
      <c r="C192" s="1404"/>
      <c r="D192" s="1404"/>
      <c r="E192" s="1404"/>
      <c r="F192" s="1404"/>
      <c r="G192" s="1404"/>
      <c r="H192" s="1404"/>
      <c r="I192" s="1404"/>
      <c r="J192" s="1404"/>
      <c r="K192" s="1404"/>
      <c r="L192" s="1404"/>
      <c r="M192" s="1404"/>
      <c r="N192" s="1404"/>
      <c r="O192" s="1404"/>
      <c r="P192" s="1404"/>
      <c r="Q192" s="1404"/>
      <c r="R192" s="1404"/>
      <c r="S192" s="1404"/>
      <c r="T192" s="1404"/>
      <c r="U192" s="1404"/>
      <c r="V192" s="1404"/>
      <c r="W192" s="1404"/>
      <c r="X192" s="1404"/>
      <c r="Y192" s="1404"/>
      <c r="Z192" s="1404"/>
    </row>
    <row r="193">
      <c r="A193" s="1404"/>
      <c r="B193" s="1404"/>
      <c r="C193" s="1404"/>
      <c r="D193" s="1404"/>
      <c r="E193" s="1404"/>
      <c r="F193" s="1404"/>
      <c r="G193" s="1404"/>
      <c r="H193" s="1404"/>
      <c r="I193" s="1404"/>
      <c r="J193" s="1404"/>
      <c r="K193" s="1404"/>
      <c r="L193" s="1404"/>
      <c r="M193" s="1404"/>
      <c r="N193" s="1404"/>
      <c r="O193" s="1404"/>
      <c r="P193" s="1404"/>
      <c r="Q193" s="1404"/>
      <c r="R193" s="1404"/>
      <c r="S193" s="1404"/>
      <c r="T193" s="1404"/>
      <c r="U193" s="1404"/>
      <c r="V193" s="1404"/>
      <c r="W193" s="1404"/>
      <c r="X193" s="1404"/>
      <c r="Y193" s="1404"/>
      <c r="Z193" s="1404"/>
    </row>
    <row r="194">
      <c r="A194" s="1404"/>
      <c r="B194" s="1404"/>
      <c r="C194" s="1404"/>
      <c r="D194" s="1404"/>
      <c r="E194" s="1404"/>
      <c r="F194" s="1404"/>
      <c r="G194" s="1404"/>
      <c r="H194" s="1404"/>
      <c r="I194" s="1404"/>
      <c r="J194" s="1404"/>
      <c r="K194" s="1404"/>
      <c r="L194" s="1404"/>
      <c r="M194" s="1404"/>
      <c r="N194" s="1404"/>
      <c r="O194" s="1404"/>
      <c r="P194" s="1404"/>
      <c r="Q194" s="1404"/>
      <c r="R194" s="1404"/>
      <c r="S194" s="1404"/>
      <c r="T194" s="1404"/>
      <c r="U194" s="1404"/>
      <c r="V194" s="1404"/>
      <c r="W194" s="1404"/>
      <c r="X194" s="1404"/>
      <c r="Y194" s="1404"/>
      <c r="Z194" s="1404"/>
    </row>
    <row r="195">
      <c r="A195" s="1404"/>
      <c r="B195" s="1404"/>
      <c r="C195" s="1404"/>
      <c r="D195" s="1404"/>
      <c r="E195" s="1404"/>
      <c r="F195" s="1404"/>
      <c r="G195" s="1404"/>
      <c r="H195" s="1404"/>
      <c r="I195" s="1404"/>
      <c r="J195" s="1404"/>
      <c r="K195" s="1404"/>
      <c r="L195" s="1404"/>
      <c r="M195" s="1404"/>
      <c r="N195" s="1404"/>
      <c r="O195" s="1404"/>
      <c r="P195" s="1404"/>
      <c r="Q195" s="1404"/>
      <c r="R195" s="1404"/>
      <c r="S195" s="1404"/>
      <c r="T195" s="1404"/>
      <c r="U195" s="1404"/>
      <c r="V195" s="1404"/>
      <c r="W195" s="1404"/>
      <c r="X195" s="1404"/>
      <c r="Y195" s="1404"/>
      <c r="Z195" s="1404"/>
    </row>
    <row r="196">
      <c r="A196" s="1404"/>
      <c r="B196" s="1404"/>
      <c r="C196" s="1404"/>
      <c r="D196" s="1404"/>
      <c r="E196" s="1404"/>
      <c r="F196" s="1404"/>
      <c r="G196" s="1404"/>
      <c r="H196" s="1404"/>
      <c r="I196" s="1404"/>
      <c r="J196" s="1404"/>
      <c r="K196" s="1404"/>
      <c r="L196" s="1404"/>
      <c r="M196" s="1404"/>
      <c r="N196" s="1404"/>
      <c r="O196" s="1404"/>
      <c r="P196" s="1404"/>
      <c r="Q196" s="1404"/>
      <c r="R196" s="1404"/>
      <c r="S196" s="1404"/>
      <c r="T196" s="1404"/>
      <c r="U196" s="1404"/>
      <c r="V196" s="1404"/>
      <c r="W196" s="1404"/>
      <c r="X196" s="1404"/>
      <c r="Y196" s="1404"/>
      <c r="Z196" s="1404"/>
    </row>
    <row r="197">
      <c r="A197" s="1404"/>
      <c r="B197" s="1404"/>
      <c r="C197" s="1404"/>
      <c r="D197" s="1404"/>
      <c r="E197" s="1404"/>
      <c r="F197" s="1404"/>
      <c r="G197" s="1404"/>
      <c r="H197" s="1404"/>
      <c r="I197" s="1404"/>
      <c r="J197" s="1404"/>
      <c r="K197" s="1404"/>
      <c r="L197" s="1404"/>
      <c r="M197" s="1404"/>
      <c r="N197" s="1404"/>
      <c r="O197" s="1404"/>
      <c r="P197" s="1404"/>
      <c r="Q197" s="1404"/>
      <c r="R197" s="1404"/>
      <c r="S197" s="1404"/>
      <c r="T197" s="1404"/>
      <c r="U197" s="1404"/>
      <c r="V197" s="1404"/>
      <c r="W197" s="1404"/>
      <c r="X197" s="1404"/>
      <c r="Y197" s="1404"/>
      <c r="Z197" s="1404"/>
    </row>
    <row r="198">
      <c r="A198" s="1404"/>
      <c r="B198" s="1404"/>
      <c r="C198" s="1404"/>
      <c r="D198" s="1404"/>
      <c r="E198" s="1404"/>
      <c r="F198" s="1404"/>
      <c r="G198" s="1404"/>
      <c r="H198" s="1404"/>
      <c r="I198" s="1404"/>
      <c r="J198" s="1404"/>
      <c r="K198" s="1404"/>
      <c r="L198" s="1404"/>
      <c r="M198" s="1404"/>
      <c r="N198" s="1404"/>
      <c r="O198" s="1404"/>
      <c r="P198" s="1404"/>
      <c r="Q198" s="1404"/>
      <c r="R198" s="1404"/>
      <c r="S198" s="1404"/>
      <c r="T198" s="1404"/>
      <c r="U198" s="1404"/>
      <c r="V198" s="1404"/>
      <c r="W198" s="1404"/>
      <c r="X198" s="1404"/>
      <c r="Y198" s="1404"/>
      <c r="Z198" s="1404"/>
    </row>
    <row r="199">
      <c r="A199" s="1404"/>
      <c r="B199" s="1404"/>
      <c r="C199" s="1404"/>
      <c r="D199" s="1404"/>
      <c r="E199" s="1404"/>
      <c r="F199" s="1404"/>
      <c r="G199" s="1404"/>
      <c r="H199" s="1404"/>
      <c r="I199" s="1404"/>
      <c r="J199" s="1404"/>
      <c r="K199" s="1404"/>
      <c r="L199" s="1404"/>
      <c r="M199" s="1404"/>
      <c r="N199" s="1404"/>
      <c r="O199" s="1404"/>
      <c r="P199" s="1404"/>
      <c r="Q199" s="1404"/>
      <c r="R199" s="1404"/>
      <c r="S199" s="1404"/>
      <c r="T199" s="1404"/>
      <c r="U199" s="1404"/>
      <c r="V199" s="1404"/>
      <c r="W199" s="1404"/>
      <c r="X199" s="1404"/>
      <c r="Y199" s="1404"/>
      <c r="Z199" s="1404"/>
    </row>
    <row r="200">
      <c r="A200" s="1404"/>
      <c r="B200" s="1404"/>
      <c r="C200" s="1404"/>
      <c r="D200" s="1404"/>
      <c r="E200" s="1404"/>
      <c r="F200" s="1404"/>
      <c r="G200" s="1404"/>
      <c r="H200" s="1404"/>
      <c r="I200" s="1404"/>
      <c r="J200" s="1404"/>
      <c r="K200" s="1404"/>
      <c r="L200" s="1404"/>
      <c r="M200" s="1404"/>
      <c r="N200" s="1404"/>
      <c r="O200" s="1404"/>
      <c r="P200" s="1404"/>
      <c r="Q200" s="1404"/>
      <c r="R200" s="1404"/>
      <c r="S200" s="1404"/>
      <c r="T200" s="1404"/>
      <c r="U200" s="1404"/>
      <c r="V200" s="1404"/>
      <c r="W200" s="1404"/>
      <c r="X200" s="1404"/>
      <c r="Y200" s="1404"/>
      <c r="Z200" s="1404"/>
    </row>
    <row r="201">
      <c r="A201" s="1404"/>
      <c r="B201" s="1404"/>
      <c r="C201" s="1404"/>
      <c r="D201" s="1404"/>
      <c r="E201" s="1404"/>
      <c r="F201" s="1404"/>
      <c r="G201" s="1404"/>
      <c r="H201" s="1404"/>
      <c r="I201" s="1404"/>
      <c r="J201" s="1404"/>
      <c r="K201" s="1404"/>
      <c r="L201" s="1404"/>
      <c r="M201" s="1404"/>
      <c r="N201" s="1404"/>
      <c r="O201" s="1404"/>
      <c r="P201" s="1404"/>
      <c r="Q201" s="1404"/>
      <c r="R201" s="1404"/>
      <c r="S201" s="1404"/>
      <c r="T201" s="1404"/>
      <c r="U201" s="1404"/>
      <c r="V201" s="1404"/>
      <c r="W201" s="1404"/>
      <c r="X201" s="1404"/>
      <c r="Y201" s="1404"/>
      <c r="Z201" s="1404"/>
    </row>
    <row r="202">
      <c r="A202" s="1404"/>
      <c r="B202" s="1404"/>
      <c r="C202" s="1404"/>
      <c r="D202" s="1404"/>
      <c r="E202" s="1404"/>
      <c r="F202" s="1404"/>
      <c r="G202" s="1404"/>
      <c r="H202" s="1404"/>
      <c r="I202" s="1404"/>
      <c r="J202" s="1404"/>
      <c r="K202" s="1404"/>
      <c r="L202" s="1404"/>
      <c r="M202" s="1404"/>
      <c r="N202" s="1404"/>
      <c r="O202" s="1404"/>
      <c r="P202" s="1404"/>
      <c r="Q202" s="1404"/>
      <c r="R202" s="1404"/>
      <c r="S202" s="1404"/>
      <c r="T202" s="1404"/>
      <c r="U202" s="1404"/>
      <c r="V202" s="1404"/>
      <c r="W202" s="1404"/>
      <c r="X202" s="1404"/>
      <c r="Y202" s="1404"/>
      <c r="Z202" s="1404"/>
    </row>
    <row r="203">
      <c r="A203" s="1404"/>
      <c r="B203" s="1404"/>
      <c r="C203" s="1404"/>
      <c r="D203" s="1404"/>
      <c r="E203" s="1404"/>
      <c r="F203" s="1404"/>
      <c r="G203" s="1404"/>
      <c r="H203" s="1404"/>
      <c r="I203" s="1404"/>
      <c r="J203" s="1404"/>
      <c r="K203" s="1404"/>
      <c r="L203" s="1404"/>
      <c r="M203" s="1404"/>
      <c r="N203" s="1404"/>
      <c r="O203" s="1404"/>
      <c r="P203" s="1404"/>
      <c r="Q203" s="1404"/>
      <c r="R203" s="1404"/>
      <c r="S203" s="1404"/>
      <c r="T203" s="1404"/>
      <c r="U203" s="1404"/>
      <c r="V203" s="1404"/>
      <c r="W203" s="1404"/>
      <c r="X203" s="1404"/>
      <c r="Y203" s="1404"/>
      <c r="Z203" s="1404"/>
    </row>
    <row r="204">
      <c r="A204" s="1404"/>
      <c r="B204" s="1404"/>
      <c r="C204" s="1404"/>
      <c r="D204" s="1404"/>
      <c r="E204" s="1404"/>
      <c r="F204" s="1404"/>
      <c r="G204" s="1404"/>
      <c r="H204" s="1404"/>
      <c r="I204" s="1404"/>
      <c r="J204" s="1404"/>
      <c r="K204" s="1404"/>
      <c r="L204" s="1404"/>
      <c r="M204" s="1404"/>
      <c r="N204" s="1404"/>
      <c r="O204" s="1404"/>
      <c r="P204" s="1404"/>
      <c r="Q204" s="1404"/>
      <c r="R204" s="1404"/>
      <c r="S204" s="1404"/>
      <c r="T204" s="1404"/>
      <c r="U204" s="1404"/>
      <c r="V204" s="1404"/>
      <c r="W204" s="1404"/>
      <c r="X204" s="1404"/>
      <c r="Y204" s="1404"/>
      <c r="Z204" s="1404"/>
    </row>
    <row r="205">
      <c r="A205" s="1404"/>
      <c r="B205" s="1404"/>
      <c r="C205" s="1404"/>
      <c r="D205" s="1404"/>
      <c r="E205" s="1404"/>
      <c r="F205" s="1404"/>
      <c r="G205" s="1404"/>
      <c r="H205" s="1404"/>
      <c r="I205" s="1404"/>
      <c r="J205" s="1404"/>
      <c r="K205" s="1404"/>
      <c r="L205" s="1404"/>
      <c r="M205" s="1404"/>
      <c r="N205" s="1404"/>
      <c r="O205" s="1404"/>
      <c r="P205" s="1404"/>
      <c r="Q205" s="1404"/>
      <c r="R205" s="1404"/>
      <c r="S205" s="1404"/>
      <c r="T205" s="1404"/>
      <c r="U205" s="1404"/>
      <c r="V205" s="1404"/>
      <c r="W205" s="1404"/>
      <c r="X205" s="1404"/>
      <c r="Y205" s="1404"/>
      <c r="Z205" s="1404"/>
    </row>
    <row r="206">
      <c r="A206" s="1404"/>
      <c r="B206" s="1404"/>
      <c r="C206" s="1404"/>
      <c r="D206" s="1404"/>
      <c r="E206" s="1404"/>
      <c r="F206" s="1404"/>
      <c r="G206" s="1404"/>
      <c r="H206" s="1404"/>
      <c r="I206" s="1404"/>
      <c r="J206" s="1404"/>
      <c r="K206" s="1404"/>
      <c r="L206" s="1404"/>
      <c r="M206" s="1404"/>
      <c r="N206" s="1404"/>
      <c r="O206" s="1404"/>
      <c r="P206" s="1404"/>
      <c r="Q206" s="1404"/>
      <c r="R206" s="1404"/>
      <c r="S206" s="1404"/>
      <c r="T206" s="1404"/>
      <c r="U206" s="1404"/>
      <c r="V206" s="1404"/>
      <c r="W206" s="1404"/>
      <c r="X206" s="1404"/>
      <c r="Y206" s="1404"/>
      <c r="Z206" s="1404"/>
    </row>
    <row r="207">
      <c r="A207" s="1404"/>
      <c r="B207" s="1404"/>
      <c r="C207" s="1404"/>
      <c r="D207" s="1404"/>
      <c r="E207" s="1404"/>
      <c r="F207" s="1404"/>
      <c r="G207" s="1404"/>
      <c r="H207" s="1404"/>
      <c r="I207" s="1404"/>
      <c r="J207" s="1404"/>
      <c r="K207" s="1404"/>
      <c r="L207" s="1404"/>
      <c r="M207" s="1404"/>
      <c r="N207" s="1404"/>
      <c r="O207" s="1404"/>
      <c r="P207" s="1404"/>
      <c r="Q207" s="1404"/>
      <c r="R207" s="1404"/>
      <c r="S207" s="1404"/>
      <c r="T207" s="1404"/>
      <c r="U207" s="1404"/>
      <c r="V207" s="1404"/>
      <c r="W207" s="1404"/>
      <c r="X207" s="1404"/>
      <c r="Y207" s="1404"/>
      <c r="Z207" s="1404"/>
    </row>
    <row r="208">
      <c r="A208" s="1404"/>
      <c r="B208" s="1404"/>
      <c r="C208" s="1404"/>
      <c r="D208" s="1404"/>
      <c r="E208" s="1404"/>
      <c r="F208" s="1404"/>
      <c r="G208" s="1404"/>
      <c r="H208" s="1404"/>
      <c r="I208" s="1404"/>
      <c r="J208" s="1404"/>
      <c r="K208" s="1404"/>
      <c r="L208" s="1404"/>
      <c r="M208" s="1404"/>
      <c r="N208" s="1404"/>
      <c r="O208" s="1404"/>
      <c r="P208" s="1404"/>
      <c r="Q208" s="1404"/>
      <c r="R208" s="1404"/>
      <c r="S208" s="1404"/>
      <c r="T208" s="1404"/>
      <c r="U208" s="1404"/>
      <c r="V208" s="1404"/>
      <c r="W208" s="1404"/>
      <c r="X208" s="1404"/>
      <c r="Y208" s="1404"/>
      <c r="Z208" s="1404"/>
    </row>
    <row r="209">
      <c r="A209" s="1404"/>
      <c r="B209" s="1404"/>
      <c r="C209" s="1404"/>
      <c r="D209" s="1404"/>
      <c r="E209" s="1404"/>
      <c r="F209" s="1404"/>
      <c r="G209" s="1404"/>
      <c r="H209" s="1404"/>
      <c r="I209" s="1404"/>
      <c r="J209" s="1404"/>
      <c r="K209" s="1404"/>
      <c r="L209" s="1404"/>
      <c r="M209" s="1404"/>
      <c r="N209" s="1404"/>
      <c r="O209" s="1404"/>
      <c r="P209" s="1404"/>
      <c r="Q209" s="1404"/>
      <c r="R209" s="1404"/>
      <c r="S209" s="1404"/>
      <c r="T209" s="1404"/>
      <c r="U209" s="1404"/>
      <c r="V209" s="1404"/>
      <c r="W209" s="1404"/>
      <c r="X209" s="1404"/>
      <c r="Y209" s="1404"/>
      <c r="Z209" s="1404"/>
    </row>
    <row r="210">
      <c r="A210" s="1404"/>
      <c r="B210" s="1404"/>
      <c r="C210" s="1404"/>
      <c r="D210" s="1404"/>
      <c r="E210" s="1404"/>
      <c r="F210" s="1404"/>
      <c r="G210" s="1404"/>
      <c r="H210" s="1404"/>
      <c r="I210" s="1404"/>
      <c r="J210" s="1404"/>
      <c r="K210" s="1404"/>
      <c r="L210" s="1404"/>
      <c r="M210" s="1404"/>
      <c r="N210" s="1404"/>
      <c r="O210" s="1404"/>
      <c r="P210" s="1404"/>
      <c r="Q210" s="1404"/>
      <c r="R210" s="1404"/>
      <c r="S210" s="1404"/>
      <c r="T210" s="1404"/>
      <c r="U210" s="1404"/>
      <c r="V210" s="1404"/>
      <c r="W210" s="1404"/>
      <c r="X210" s="1404"/>
      <c r="Y210" s="1404"/>
      <c r="Z210" s="1404"/>
    </row>
    <row r="211">
      <c r="A211" s="1404"/>
      <c r="B211" s="1404"/>
      <c r="C211" s="1404"/>
      <c r="D211" s="1404"/>
      <c r="E211" s="1404"/>
      <c r="F211" s="1404"/>
      <c r="G211" s="1404"/>
      <c r="H211" s="1404"/>
      <c r="I211" s="1404"/>
      <c r="J211" s="1404"/>
      <c r="K211" s="1404"/>
      <c r="L211" s="1404"/>
      <c r="M211" s="1404"/>
      <c r="N211" s="1404"/>
      <c r="O211" s="1404"/>
      <c r="P211" s="1404"/>
      <c r="Q211" s="1404"/>
      <c r="R211" s="1404"/>
      <c r="S211" s="1404"/>
      <c r="T211" s="1404"/>
      <c r="U211" s="1404"/>
      <c r="V211" s="1404"/>
      <c r="W211" s="1404"/>
      <c r="X211" s="1404"/>
      <c r="Y211" s="1404"/>
      <c r="Z211" s="1404"/>
    </row>
    <row r="212">
      <c r="A212" s="1404"/>
      <c r="B212" s="1404"/>
      <c r="C212" s="1404"/>
      <c r="D212" s="1404"/>
      <c r="E212" s="1404"/>
      <c r="F212" s="1404"/>
      <c r="G212" s="1404"/>
      <c r="H212" s="1404"/>
      <c r="I212" s="1404"/>
      <c r="J212" s="1404"/>
      <c r="K212" s="1404"/>
      <c r="L212" s="1404"/>
      <c r="M212" s="1404"/>
      <c r="N212" s="1404"/>
      <c r="O212" s="1404"/>
      <c r="P212" s="1404"/>
      <c r="Q212" s="1404"/>
      <c r="R212" s="1404"/>
      <c r="S212" s="1404"/>
      <c r="T212" s="1404"/>
      <c r="U212" s="1404"/>
      <c r="V212" s="1404"/>
      <c r="W212" s="1404"/>
      <c r="X212" s="1404"/>
      <c r="Y212" s="1404"/>
      <c r="Z212" s="1404"/>
    </row>
    <row r="213">
      <c r="A213" s="1404"/>
      <c r="B213" s="1404"/>
      <c r="C213" s="1404"/>
      <c r="D213" s="1404"/>
      <c r="E213" s="1404"/>
      <c r="F213" s="1404"/>
      <c r="G213" s="1404"/>
      <c r="H213" s="1404"/>
      <c r="I213" s="1404"/>
      <c r="J213" s="1404"/>
      <c r="K213" s="1404"/>
      <c r="L213" s="1404"/>
      <c r="M213" s="1404"/>
      <c r="N213" s="1404"/>
      <c r="O213" s="1404"/>
      <c r="P213" s="1404"/>
      <c r="Q213" s="1404"/>
      <c r="R213" s="1404"/>
      <c r="S213" s="1404"/>
      <c r="T213" s="1404"/>
      <c r="U213" s="1404"/>
      <c r="V213" s="1404"/>
      <c r="W213" s="1404"/>
      <c r="X213" s="1404"/>
      <c r="Y213" s="1404"/>
      <c r="Z213" s="1404"/>
    </row>
    <row r="214">
      <c r="A214" s="1404"/>
      <c r="B214" s="1404"/>
      <c r="C214" s="1404"/>
      <c r="D214" s="1404"/>
      <c r="E214" s="1404"/>
      <c r="F214" s="1404"/>
      <c r="G214" s="1404"/>
      <c r="H214" s="1404"/>
      <c r="I214" s="1404"/>
      <c r="J214" s="1404"/>
      <c r="K214" s="1404"/>
      <c r="L214" s="1404"/>
      <c r="M214" s="1404"/>
      <c r="N214" s="1404"/>
      <c r="O214" s="1404"/>
      <c r="P214" s="1404"/>
      <c r="Q214" s="1404"/>
      <c r="R214" s="1404"/>
      <c r="S214" s="1404"/>
      <c r="T214" s="1404"/>
      <c r="U214" s="1404"/>
      <c r="V214" s="1404"/>
      <c r="W214" s="1404"/>
      <c r="X214" s="1404"/>
      <c r="Y214" s="1404"/>
      <c r="Z214" s="1404"/>
    </row>
    <row r="215">
      <c r="A215" s="1404"/>
      <c r="B215" s="1404"/>
      <c r="C215" s="1404"/>
      <c r="D215" s="1404"/>
      <c r="E215" s="1404"/>
      <c r="F215" s="1404"/>
      <c r="G215" s="1404"/>
      <c r="H215" s="1404"/>
      <c r="I215" s="1404"/>
      <c r="J215" s="1404"/>
      <c r="K215" s="1404"/>
      <c r="L215" s="1404"/>
      <c r="M215" s="1404"/>
      <c r="N215" s="1404"/>
      <c r="O215" s="1404"/>
      <c r="P215" s="1404"/>
      <c r="Q215" s="1404"/>
      <c r="R215" s="1404"/>
      <c r="S215" s="1404"/>
      <c r="T215" s="1404"/>
      <c r="U215" s="1404"/>
      <c r="V215" s="1404"/>
      <c r="W215" s="1404"/>
      <c r="X215" s="1404"/>
      <c r="Y215" s="1404"/>
      <c r="Z215" s="1404"/>
    </row>
    <row r="216">
      <c r="A216" s="1404"/>
      <c r="B216" s="1404"/>
      <c r="C216" s="1404"/>
      <c r="D216" s="1404"/>
      <c r="E216" s="1404"/>
      <c r="F216" s="1404"/>
      <c r="G216" s="1404"/>
      <c r="H216" s="1404"/>
      <c r="I216" s="1404"/>
      <c r="J216" s="1404"/>
      <c r="K216" s="1404"/>
      <c r="L216" s="1404"/>
      <c r="M216" s="1404"/>
      <c r="N216" s="1404"/>
      <c r="O216" s="1404"/>
      <c r="P216" s="1404"/>
      <c r="Q216" s="1404"/>
      <c r="R216" s="1404"/>
      <c r="S216" s="1404"/>
      <c r="T216" s="1404"/>
      <c r="U216" s="1404"/>
      <c r="V216" s="1404"/>
      <c r="W216" s="1404"/>
      <c r="X216" s="1404"/>
      <c r="Y216" s="1404"/>
      <c r="Z216" s="1404"/>
    </row>
    <row r="217">
      <c r="A217" s="1404"/>
      <c r="B217" s="1404"/>
      <c r="C217" s="1404"/>
      <c r="D217" s="1404"/>
      <c r="E217" s="1404"/>
      <c r="F217" s="1404"/>
      <c r="G217" s="1404"/>
      <c r="H217" s="1404"/>
      <c r="I217" s="1404"/>
      <c r="J217" s="1404"/>
      <c r="K217" s="1404"/>
      <c r="L217" s="1404"/>
      <c r="M217" s="1404"/>
      <c r="N217" s="1404"/>
      <c r="O217" s="1404"/>
      <c r="P217" s="1404"/>
      <c r="Q217" s="1404"/>
      <c r="R217" s="1404"/>
      <c r="S217" s="1404"/>
      <c r="T217" s="1404"/>
      <c r="U217" s="1404"/>
      <c r="V217" s="1404"/>
      <c r="W217" s="1404"/>
      <c r="X217" s="1404"/>
      <c r="Y217" s="1404"/>
      <c r="Z217" s="1404"/>
    </row>
    <row r="218">
      <c r="A218" s="1404"/>
      <c r="B218" s="1404"/>
      <c r="C218" s="1404"/>
      <c r="D218" s="1404"/>
      <c r="E218" s="1404"/>
      <c r="F218" s="1404"/>
      <c r="G218" s="1404"/>
      <c r="H218" s="1404"/>
      <c r="I218" s="1404"/>
      <c r="J218" s="1404"/>
      <c r="K218" s="1404"/>
      <c r="L218" s="1404"/>
      <c r="M218" s="1404"/>
      <c r="N218" s="1404"/>
      <c r="O218" s="1404"/>
      <c r="P218" s="1404"/>
      <c r="Q218" s="1404"/>
      <c r="R218" s="1404"/>
      <c r="S218" s="1404"/>
      <c r="T218" s="1404"/>
      <c r="U218" s="1404"/>
      <c r="V218" s="1404"/>
      <c r="W218" s="1404"/>
      <c r="X218" s="1404"/>
      <c r="Y218" s="1404"/>
      <c r="Z218" s="1404"/>
    </row>
    <row r="219">
      <c r="A219" s="1404"/>
      <c r="B219" s="1404"/>
      <c r="C219" s="1404"/>
      <c r="D219" s="1404"/>
      <c r="E219" s="1404"/>
      <c r="F219" s="1404"/>
      <c r="G219" s="1404"/>
      <c r="H219" s="1404"/>
      <c r="I219" s="1404"/>
      <c r="J219" s="1404"/>
      <c r="K219" s="1404"/>
      <c r="L219" s="1404"/>
      <c r="M219" s="1404"/>
      <c r="N219" s="1404"/>
      <c r="O219" s="1404"/>
      <c r="P219" s="1404"/>
      <c r="Q219" s="1404"/>
      <c r="R219" s="1404"/>
      <c r="S219" s="1404"/>
      <c r="T219" s="1404"/>
      <c r="U219" s="1404"/>
      <c r="V219" s="1404"/>
      <c r="W219" s="1404"/>
      <c r="X219" s="1404"/>
      <c r="Y219" s="1404"/>
      <c r="Z219" s="1404"/>
    </row>
    <row r="220">
      <c r="A220" s="1404"/>
      <c r="B220" s="1404"/>
      <c r="C220" s="1404"/>
      <c r="D220" s="1404"/>
      <c r="E220" s="1404"/>
      <c r="F220" s="1404"/>
      <c r="G220" s="1404"/>
      <c r="H220" s="1404"/>
      <c r="I220" s="1404"/>
      <c r="J220" s="1404"/>
      <c r="K220" s="1404"/>
      <c r="L220" s="1404"/>
      <c r="M220" s="1404"/>
      <c r="N220" s="1404"/>
      <c r="O220" s="1404"/>
      <c r="P220" s="1404"/>
      <c r="Q220" s="1404"/>
      <c r="R220" s="1404"/>
      <c r="S220" s="1404"/>
      <c r="T220" s="1404"/>
      <c r="U220" s="1404"/>
      <c r="V220" s="1404"/>
      <c r="W220" s="1404"/>
      <c r="X220" s="1404"/>
      <c r="Y220" s="1404"/>
      <c r="Z220" s="1404"/>
    </row>
    <row r="221">
      <c r="A221" s="1404"/>
      <c r="B221" s="1404"/>
      <c r="C221" s="1404"/>
      <c r="D221" s="1404"/>
      <c r="E221" s="1404"/>
      <c r="F221" s="1404"/>
      <c r="G221" s="1404"/>
      <c r="H221" s="1404"/>
      <c r="I221" s="1404"/>
      <c r="J221" s="1404"/>
      <c r="K221" s="1404"/>
      <c r="L221" s="1404"/>
      <c r="M221" s="1404"/>
      <c r="N221" s="1404"/>
      <c r="O221" s="1404"/>
      <c r="P221" s="1404"/>
      <c r="Q221" s="1404"/>
      <c r="R221" s="1404"/>
      <c r="S221" s="1404"/>
      <c r="T221" s="1404"/>
      <c r="U221" s="1404"/>
      <c r="V221" s="1404"/>
      <c r="W221" s="1404"/>
      <c r="X221" s="1404"/>
      <c r="Y221" s="1404"/>
      <c r="Z221" s="1404"/>
    </row>
    <row r="222">
      <c r="A222" s="1404"/>
      <c r="B222" s="1404"/>
      <c r="C222" s="1404"/>
      <c r="D222" s="1404"/>
      <c r="E222" s="1404"/>
      <c r="F222" s="1404"/>
      <c r="G222" s="1404"/>
      <c r="H222" s="1404"/>
      <c r="I222" s="1404"/>
      <c r="J222" s="1404"/>
      <c r="K222" s="1404"/>
      <c r="L222" s="1404"/>
      <c r="M222" s="1404"/>
      <c r="N222" s="1404"/>
      <c r="O222" s="1404"/>
      <c r="P222" s="1404"/>
      <c r="Q222" s="1404"/>
      <c r="R222" s="1404"/>
      <c r="S222" s="1404"/>
      <c r="T222" s="1404"/>
      <c r="U222" s="1404"/>
      <c r="V222" s="1404"/>
      <c r="W222" s="1404"/>
      <c r="X222" s="1404"/>
      <c r="Y222" s="1404"/>
      <c r="Z222" s="1404"/>
    </row>
    <row r="223">
      <c r="A223" s="1404"/>
      <c r="B223" s="1404"/>
      <c r="C223" s="1404"/>
      <c r="D223" s="1404"/>
      <c r="E223" s="1404"/>
      <c r="F223" s="1404"/>
      <c r="G223" s="1404"/>
      <c r="H223" s="1404"/>
      <c r="I223" s="1404"/>
      <c r="J223" s="1404"/>
      <c r="K223" s="1404"/>
      <c r="L223" s="1404"/>
      <c r="M223" s="1404"/>
      <c r="N223" s="1404"/>
      <c r="O223" s="1404"/>
      <c r="P223" s="1404"/>
      <c r="Q223" s="1404"/>
      <c r="R223" s="1404"/>
      <c r="S223" s="1404"/>
      <c r="T223" s="1404"/>
      <c r="U223" s="1404"/>
      <c r="V223" s="1404"/>
      <c r="W223" s="1404"/>
      <c r="X223" s="1404"/>
      <c r="Y223" s="1404"/>
      <c r="Z223" s="1404"/>
    </row>
    <row r="224">
      <c r="A224" s="1404"/>
      <c r="B224" s="1404"/>
      <c r="C224" s="1404"/>
      <c r="D224" s="1404"/>
      <c r="E224" s="1404"/>
      <c r="F224" s="1404"/>
      <c r="G224" s="1404"/>
      <c r="H224" s="1404"/>
      <c r="I224" s="1404"/>
      <c r="J224" s="1404"/>
      <c r="K224" s="1404"/>
      <c r="L224" s="1404"/>
      <c r="M224" s="1404"/>
      <c r="N224" s="1404"/>
      <c r="O224" s="1404"/>
      <c r="P224" s="1404"/>
      <c r="Q224" s="1404"/>
      <c r="R224" s="1404"/>
      <c r="S224" s="1404"/>
      <c r="T224" s="1404"/>
      <c r="U224" s="1404"/>
      <c r="V224" s="1404"/>
      <c r="W224" s="1404"/>
      <c r="X224" s="1404"/>
      <c r="Y224" s="1404"/>
      <c r="Z224" s="1404"/>
    </row>
    <row r="225">
      <c r="A225" s="1404"/>
      <c r="B225" s="1404"/>
      <c r="C225" s="1404"/>
      <c r="D225" s="1404"/>
      <c r="E225" s="1404"/>
      <c r="F225" s="1404"/>
      <c r="G225" s="1404"/>
      <c r="H225" s="1404"/>
      <c r="I225" s="1404"/>
      <c r="J225" s="1404"/>
      <c r="K225" s="1404"/>
      <c r="L225" s="1404"/>
      <c r="M225" s="1404"/>
      <c r="N225" s="1404"/>
      <c r="O225" s="1404"/>
      <c r="P225" s="1404"/>
      <c r="Q225" s="1404"/>
      <c r="R225" s="1404"/>
      <c r="S225" s="1404"/>
      <c r="T225" s="1404"/>
      <c r="U225" s="1404"/>
      <c r="V225" s="1404"/>
      <c r="W225" s="1404"/>
      <c r="X225" s="1404"/>
      <c r="Y225" s="1404"/>
      <c r="Z225" s="1404"/>
    </row>
    <row r="226">
      <c r="A226" s="1404"/>
      <c r="B226" s="1404"/>
      <c r="C226" s="1404"/>
      <c r="D226" s="1404"/>
      <c r="E226" s="1404"/>
      <c r="F226" s="1404"/>
      <c r="G226" s="1404"/>
      <c r="H226" s="1404"/>
      <c r="I226" s="1404"/>
      <c r="J226" s="1404"/>
      <c r="K226" s="1404"/>
      <c r="L226" s="1404"/>
      <c r="M226" s="1404"/>
      <c r="N226" s="1404"/>
      <c r="O226" s="1404"/>
      <c r="P226" s="1404"/>
      <c r="Q226" s="1404"/>
      <c r="R226" s="1404"/>
      <c r="S226" s="1404"/>
      <c r="T226" s="1404"/>
      <c r="U226" s="1404"/>
      <c r="V226" s="1404"/>
      <c r="W226" s="1404"/>
      <c r="X226" s="1404"/>
      <c r="Y226" s="1404"/>
      <c r="Z226" s="1404"/>
    </row>
    <row r="227">
      <c r="A227" s="1404"/>
      <c r="B227" s="1404"/>
      <c r="C227" s="1404"/>
      <c r="D227" s="1404"/>
      <c r="E227" s="1404"/>
      <c r="F227" s="1404"/>
      <c r="G227" s="1404"/>
      <c r="H227" s="1404"/>
      <c r="I227" s="1404"/>
      <c r="J227" s="1404"/>
      <c r="K227" s="1404"/>
      <c r="L227" s="1404"/>
      <c r="M227" s="1404"/>
      <c r="N227" s="1404"/>
      <c r="O227" s="1404"/>
      <c r="P227" s="1404"/>
      <c r="Q227" s="1404"/>
      <c r="R227" s="1404"/>
      <c r="S227" s="1404"/>
      <c r="T227" s="1404"/>
      <c r="U227" s="1404"/>
      <c r="V227" s="1404"/>
      <c r="W227" s="1404"/>
      <c r="X227" s="1404"/>
      <c r="Y227" s="1404"/>
      <c r="Z227" s="1404"/>
    </row>
    <row r="228">
      <c r="A228" s="1404"/>
      <c r="B228" s="1404"/>
      <c r="C228" s="1404"/>
      <c r="D228" s="1404"/>
      <c r="E228" s="1404"/>
      <c r="F228" s="1404"/>
      <c r="G228" s="1404"/>
      <c r="H228" s="1404"/>
      <c r="I228" s="1404"/>
      <c r="J228" s="1404"/>
      <c r="K228" s="1404"/>
      <c r="L228" s="1404"/>
      <c r="M228" s="1404"/>
      <c r="N228" s="1404"/>
      <c r="O228" s="1404"/>
      <c r="P228" s="1404"/>
      <c r="Q228" s="1404"/>
      <c r="R228" s="1404"/>
      <c r="S228" s="1404"/>
      <c r="T228" s="1404"/>
      <c r="U228" s="1404"/>
      <c r="V228" s="1404"/>
      <c r="W228" s="1404"/>
      <c r="X228" s="1404"/>
      <c r="Y228" s="1404"/>
      <c r="Z228" s="1404"/>
    </row>
    <row r="229">
      <c r="A229" s="1404"/>
      <c r="B229" s="1404"/>
      <c r="C229" s="1404"/>
      <c r="D229" s="1404"/>
      <c r="E229" s="1404"/>
      <c r="F229" s="1404"/>
      <c r="G229" s="1404"/>
      <c r="H229" s="1404"/>
      <c r="I229" s="1404"/>
      <c r="J229" s="1404"/>
      <c r="K229" s="1404"/>
      <c r="L229" s="1404"/>
      <c r="M229" s="1404"/>
      <c r="N229" s="1404"/>
      <c r="O229" s="1404"/>
      <c r="P229" s="1404"/>
      <c r="Q229" s="1404"/>
      <c r="R229" s="1404"/>
      <c r="S229" s="1404"/>
      <c r="T229" s="1404"/>
      <c r="U229" s="1404"/>
      <c r="V229" s="1404"/>
      <c r="W229" s="1404"/>
      <c r="X229" s="1404"/>
      <c r="Y229" s="1404"/>
      <c r="Z229" s="1404"/>
    </row>
    <row r="230">
      <c r="A230" s="1404"/>
      <c r="B230" s="1404"/>
      <c r="C230" s="1404"/>
      <c r="D230" s="1404"/>
      <c r="E230" s="1404"/>
      <c r="F230" s="1404"/>
      <c r="G230" s="1404"/>
      <c r="H230" s="1404"/>
      <c r="I230" s="1404"/>
      <c r="J230" s="1404"/>
      <c r="K230" s="1404"/>
      <c r="L230" s="1404"/>
      <c r="M230" s="1404"/>
      <c r="N230" s="1404"/>
      <c r="O230" s="1404"/>
      <c r="P230" s="1404"/>
      <c r="Q230" s="1404"/>
      <c r="R230" s="1404"/>
      <c r="S230" s="1404"/>
      <c r="T230" s="1404"/>
      <c r="U230" s="1404"/>
      <c r="V230" s="1404"/>
      <c r="W230" s="1404"/>
      <c r="X230" s="1404"/>
      <c r="Y230" s="1404"/>
      <c r="Z230" s="1404"/>
    </row>
    <row r="231">
      <c r="A231" s="1404"/>
      <c r="B231" s="1404"/>
      <c r="C231" s="1404"/>
      <c r="D231" s="1404"/>
      <c r="E231" s="1404"/>
      <c r="F231" s="1404"/>
      <c r="G231" s="1404"/>
      <c r="H231" s="1404"/>
      <c r="I231" s="1404"/>
      <c r="J231" s="1404"/>
      <c r="K231" s="1404"/>
      <c r="L231" s="1404"/>
      <c r="M231" s="1404"/>
      <c r="N231" s="1404"/>
      <c r="O231" s="1404"/>
      <c r="P231" s="1404"/>
      <c r="Q231" s="1404"/>
      <c r="R231" s="1404"/>
      <c r="S231" s="1404"/>
      <c r="T231" s="1404"/>
      <c r="U231" s="1404"/>
      <c r="V231" s="1404"/>
      <c r="W231" s="1404"/>
      <c r="X231" s="1404"/>
      <c r="Y231" s="1404"/>
      <c r="Z231" s="1404"/>
    </row>
    <row r="232">
      <c r="A232" s="1404"/>
      <c r="B232" s="1404"/>
      <c r="C232" s="1404"/>
      <c r="D232" s="1404"/>
      <c r="E232" s="1404"/>
      <c r="F232" s="1404"/>
      <c r="G232" s="1404"/>
      <c r="H232" s="1404"/>
      <c r="I232" s="1404"/>
      <c r="J232" s="1404"/>
      <c r="K232" s="1404"/>
      <c r="L232" s="1404"/>
      <c r="M232" s="1404"/>
      <c r="N232" s="1404"/>
      <c r="O232" s="1404"/>
      <c r="P232" s="1404"/>
      <c r="Q232" s="1404"/>
      <c r="R232" s="1404"/>
      <c r="S232" s="1404"/>
      <c r="T232" s="1404"/>
      <c r="U232" s="1404"/>
      <c r="V232" s="1404"/>
      <c r="W232" s="1404"/>
      <c r="X232" s="1404"/>
      <c r="Y232" s="1404"/>
      <c r="Z232" s="1404"/>
    </row>
    <row r="233">
      <c r="A233" s="1404"/>
      <c r="B233" s="1404"/>
      <c r="C233" s="1404"/>
      <c r="D233" s="1404"/>
      <c r="E233" s="1404"/>
      <c r="F233" s="1404"/>
      <c r="G233" s="1404"/>
      <c r="H233" s="1404"/>
      <c r="I233" s="1404"/>
      <c r="J233" s="1404"/>
      <c r="K233" s="1404"/>
      <c r="L233" s="1404"/>
      <c r="M233" s="1404"/>
      <c r="N233" s="1404"/>
      <c r="O233" s="1404"/>
      <c r="P233" s="1404"/>
      <c r="Q233" s="1404"/>
      <c r="R233" s="1404"/>
      <c r="S233" s="1404"/>
      <c r="T233" s="1404"/>
      <c r="U233" s="1404"/>
      <c r="V233" s="1404"/>
      <c r="W233" s="1404"/>
      <c r="X233" s="1404"/>
      <c r="Y233" s="1404"/>
      <c r="Z233" s="1404"/>
    </row>
    <row r="234">
      <c r="A234" s="1404"/>
      <c r="B234" s="1404"/>
      <c r="C234" s="1404"/>
      <c r="D234" s="1404"/>
      <c r="E234" s="1404"/>
      <c r="F234" s="1404"/>
      <c r="G234" s="1404"/>
      <c r="H234" s="1404"/>
      <c r="I234" s="1404"/>
      <c r="J234" s="1404"/>
      <c r="K234" s="1404"/>
      <c r="L234" s="1404"/>
      <c r="M234" s="1404"/>
      <c r="N234" s="1404"/>
      <c r="O234" s="1404"/>
      <c r="P234" s="1404"/>
      <c r="Q234" s="1404"/>
      <c r="R234" s="1404"/>
      <c r="S234" s="1404"/>
      <c r="T234" s="1404"/>
      <c r="U234" s="1404"/>
      <c r="V234" s="1404"/>
      <c r="W234" s="1404"/>
      <c r="X234" s="1404"/>
      <c r="Y234" s="1404"/>
      <c r="Z234" s="1404"/>
    </row>
    <row r="235">
      <c r="A235" s="1404"/>
      <c r="B235" s="1404"/>
      <c r="C235" s="1404"/>
      <c r="D235" s="1404"/>
      <c r="E235" s="1404"/>
      <c r="F235" s="1404"/>
      <c r="G235" s="1404"/>
      <c r="H235" s="1404"/>
      <c r="I235" s="1404"/>
      <c r="J235" s="1404"/>
      <c r="K235" s="1404"/>
      <c r="L235" s="1404"/>
      <c r="M235" s="1404"/>
      <c r="N235" s="1404"/>
      <c r="O235" s="1404"/>
      <c r="P235" s="1404"/>
      <c r="Q235" s="1404"/>
      <c r="R235" s="1404"/>
      <c r="S235" s="1404"/>
      <c r="T235" s="1404"/>
      <c r="U235" s="1404"/>
      <c r="V235" s="1404"/>
      <c r="W235" s="1404"/>
      <c r="X235" s="1404"/>
      <c r="Y235" s="1404"/>
      <c r="Z235" s="1404"/>
    </row>
    <row r="236">
      <c r="A236" s="1404"/>
      <c r="B236" s="1404"/>
      <c r="C236" s="1404"/>
      <c r="D236" s="1404"/>
      <c r="E236" s="1404"/>
      <c r="F236" s="1404"/>
      <c r="G236" s="1404"/>
      <c r="H236" s="1404"/>
      <c r="I236" s="1404"/>
      <c r="J236" s="1404"/>
      <c r="K236" s="1404"/>
      <c r="L236" s="1404"/>
      <c r="M236" s="1404"/>
      <c r="N236" s="1404"/>
      <c r="O236" s="1404"/>
      <c r="P236" s="1404"/>
      <c r="Q236" s="1404"/>
      <c r="R236" s="1404"/>
      <c r="S236" s="1404"/>
      <c r="T236" s="1404"/>
      <c r="U236" s="1404"/>
      <c r="V236" s="1404"/>
      <c r="W236" s="1404"/>
      <c r="X236" s="1404"/>
      <c r="Y236" s="1404"/>
      <c r="Z236" s="1404"/>
    </row>
    <row r="237">
      <c r="A237" s="1404"/>
      <c r="B237" s="1404"/>
      <c r="C237" s="1404"/>
      <c r="D237" s="1404"/>
      <c r="E237" s="1404"/>
      <c r="F237" s="1404"/>
      <c r="G237" s="1404"/>
      <c r="H237" s="1404"/>
      <c r="I237" s="1404"/>
      <c r="J237" s="1404"/>
      <c r="K237" s="1404"/>
      <c r="L237" s="1404"/>
      <c r="M237" s="1404"/>
      <c r="N237" s="1404"/>
      <c r="O237" s="1404"/>
      <c r="P237" s="1404"/>
      <c r="Q237" s="1404"/>
      <c r="R237" s="1404"/>
      <c r="S237" s="1404"/>
      <c r="T237" s="1404"/>
      <c r="U237" s="1404"/>
      <c r="V237" s="1404"/>
      <c r="W237" s="1404"/>
      <c r="X237" s="1404"/>
      <c r="Y237" s="1404"/>
      <c r="Z237" s="1404"/>
    </row>
    <row r="238">
      <c r="A238" s="1404"/>
      <c r="B238" s="1404"/>
      <c r="C238" s="1404"/>
      <c r="D238" s="1404"/>
      <c r="E238" s="1404"/>
      <c r="F238" s="1404"/>
      <c r="G238" s="1404"/>
      <c r="H238" s="1404"/>
      <c r="I238" s="1404"/>
      <c r="J238" s="1404"/>
      <c r="K238" s="1404"/>
      <c r="L238" s="1404"/>
      <c r="M238" s="1404"/>
      <c r="N238" s="1404"/>
      <c r="O238" s="1404"/>
      <c r="P238" s="1404"/>
      <c r="Q238" s="1404"/>
      <c r="R238" s="1404"/>
      <c r="S238" s="1404"/>
      <c r="T238" s="1404"/>
      <c r="U238" s="1404"/>
      <c r="V238" s="1404"/>
      <c r="W238" s="1404"/>
      <c r="X238" s="1404"/>
      <c r="Y238" s="1404"/>
      <c r="Z238" s="1404"/>
    </row>
    <row r="239">
      <c r="A239" s="1404"/>
      <c r="B239" s="1404"/>
      <c r="C239" s="1404"/>
      <c r="D239" s="1404"/>
      <c r="E239" s="1404"/>
      <c r="F239" s="1404"/>
      <c r="G239" s="1404"/>
      <c r="H239" s="1404"/>
      <c r="I239" s="1404"/>
      <c r="J239" s="1404"/>
      <c r="K239" s="1404"/>
      <c r="L239" s="1404"/>
      <c r="M239" s="1404"/>
      <c r="N239" s="1404"/>
      <c r="O239" s="1404"/>
      <c r="P239" s="1404"/>
      <c r="Q239" s="1404"/>
      <c r="R239" s="1404"/>
      <c r="S239" s="1404"/>
      <c r="T239" s="1404"/>
      <c r="U239" s="1404"/>
      <c r="V239" s="1404"/>
      <c r="W239" s="1404"/>
      <c r="X239" s="1404"/>
      <c r="Y239" s="1404"/>
      <c r="Z239" s="1404"/>
    </row>
    <row r="240">
      <c r="A240" s="1404"/>
      <c r="B240" s="1404"/>
      <c r="C240" s="1404"/>
      <c r="D240" s="1404"/>
      <c r="E240" s="1404"/>
      <c r="F240" s="1404"/>
      <c r="G240" s="1404"/>
      <c r="H240" s="1404"/>
      <c r="I240" s="1404"/>
      <c r="J240" s="1404"/>
      <c r="K240" s="1404"/>
      <c r="L240" s="1404"/>
      <c r="M240" s="1404"/>
      <c r="N240" s="1404"/>
      <c r="O240" s="1404"/>
      <c r="P240" s="1404"/>
      <c r="Q240" s="1404"/>
      <c r="R240" s="1404"/>
      <c r="S240" s="1404"/>
      <c r="T240" s="1404"/>
      <c r="U240" s="1404"/>
      <c r="V240" s="1404"/>
      <c r="W240" s="1404"/>
      <c r="X240" s="1404"/>
      <c r="Y240" s="1404"/>
      <c r="Z240" s="1404"/>
    </row>
    <row r="241">
      <c r="A241" s="1404"/>
      <c r="B241" s="1404"/>
      <c r="C241" s="1404"/>
      <c r="D241" s="1404"/>
      <c r="E241" s="1404"/>
      <c r="F241" s="1404"/>
      <c r="G241" s="1404"/>
      <c r="H241" s="1404"/>
      <c r="I241" s="1404"/>
      <c r="J241" s="1404"/>
      <c r="K241" s="1404"/>
      <c r="L241" s="1404"/>
      <c r="M241" s="1404"/>
      <c r="N241" s="1404"/>
      <c r="O241" s="1404"/>
      <c r="P241" s="1404"/>
      <c r="Q241" s="1404"/>
      <c r="R241" s="1404"/>
      <c r="S241" s="1404"/>
      <c r="T241" s="1404"/>
      <c r="U241" s="1404"/>
      <c r="V241" s="1404"/>
      <c r="W241" s="1404"/>
      <c r="X241" s="1404"/>
      <c r="Y241" s="1404"/>
      <c r="Z241" s="1404"/>
    </row>
    <row r="242">
      <c r="A242" s="1404"/>
      <c r="B242" s="1404"/>
      <c r="C242" s="1404"/>
      <c r="D242" s="1404"/>
      <c r="E242" s="1404"/>
      <c r="F242" s="1404"/>
      <c r="G242" s="1404"/>
      <c r="H242" s="1404"/>
      <c r="I242" s="1404"/>
      <c r="J242" s="1404"/>
      <c r="K242" s="1404"/>
      <c r="L242" s="1404"/>
      <c r="M242" s="1404"/>
      <c r="N242" s="1404"/>
      <c r="O242" s="1404"/>
      <c r="P242" s="1404"/>
      <c r="Q242" s="1404"/>
      <c r="R242" s="1404"/>
      <c r="S242" s="1404"/>
      <c r="T242" s="1404"/>
      <c r="U242" s="1404"/>
      <c r="V242" s="1404"/>
      <c r="W242" s="1404"/>
      <c r="X242" s="1404"/>
      <c r="Y242" s="1404"/>
      <c r="Z242" s="1404"/>
    </row>
    <row r="243">
      <c r="A243" s="1404"/>
      <c r="B243" s="1404"/>
      <c r="C243" s="1404"/>
      <c r="D243" s="1404"/>
      <c r="E243" s="1404"/>
      <c r="F243" s="1404"/>
      <c r="G243" s="1404"/>
      <c r="H243" s="1404"/>
      <c r="I243" s="1404"/>
      <c r="J243" s="1404"/>
      <c r="K243" s="1404"/>
      <c r="L243" s="1404"/>
      <c r="M243" s="1404"/>
      <c r="N243" s="1404"/>
      <c r="O243" s="1404"/>
      <c r="P243" s="1404"/>
      <c r="Q243" s="1404"/>
      <c r="R243" s="1404"/>
      <c r="S243" s="1404"/>
      <c r="T243" s="1404"/>
      <c r="U243" s="1404"/>
      <c r="V243" s="1404"/>
      <c r="W243" s="1404"/>
      <c r="X243" s="1404"/>
      <c r="Y243" s="1404"/>
      <c r="Z243" s="1404"/>
    </row>
    <row r="244">
      <c r="A244" s="1404"/>
      <c r="B244" s="1404"/>
      <c r="C244" s="1404"/>
      <c r="D244" s="1404"/>
      <c r="E244" s="1404"/>
      <c r="F244" s="1404"/>
      <c r="G244" s="1404"/>
      <c r="H244" s="1404"/>
      <c r="I244" s="1404"/>
      <c r="J244" s="1404"/>
      <c r="K244" s="1404"/>
      <c r="L244" s="1404"/>
      <c r="M244" s="1404"/>
      <c r="N244" s="1404"/>
      <c r="O244" s="1404"/>
      <c r="P244" s="1404"/>
      <c r="Q244" s="1404"/>
      <c r="R244" s="1404"/>
      <c r="S244" s="1404"/>
      <c r="T244" s="1404"/>
      <c r="U244" s="1404"/>
      <c r="V244" s="1404"/>
      <c r="W244" s="1404"/>
      <c r="X244" s="1404"/>
      <c r="Y244" s="1404"/>
      <c r="Z244" s="1404"/>
    </row>
    <row r="245">
      <c r="A245" s="1404"/>
      <c r="B245" s="1404"/>
      <c r="C245" s="1404"/>
      <c r="D245" s="1404"/>
      <c r="E245" s="1404"/>
      <c r="F245" s="1404"/>
      <c r="G245" s="1404"/>
      <c r="H245" s="1404"/>
      <c r="I245" s="1404"/>
      <c r="J245" s="1404"/>
      <c r="K245" s="1404"/>
      <c r="L245" s="1404"/>
      <c r="M245" s="1404"/>
      <c r="N245" s="1404"/>
      <c r="O245" s="1404"/>
      <c r="P245" s="1404"/>
      <c r="Q245" s="1404"/>
      <c r="R245" s="1404"/>
      <c r="S245" s="1404"/>
      <c r="T245" s="1404"/>
      <c r="U245" s="1404"/>
      <c r="V245" s="1404"/>
      <c r="W245" s="1404"/>
      <c r="X245" s="1404"/>
      <c r="Y245" s="1404"/>
      <c r="Z245" s="1404"/>
    </row>
    <row r="246">
      <c r="A246" s="1404"/>
      <c r="B246" s="1404"/>
      <c r="C246" s="1404"/>
      <c r="D246" s="1404"/>
      <c r="E246" s="1404"/>
      <c r="F246" s="1404"/>
      <c r="G246" s="1404"/>
      <c r="H246" s="1404"/>
      <c r="I246" s="1404"/>
      <c r="J246" s="1404"/>
      <c r="K246" s="1404"/>
      <c r="L246" s="1404"/>
      <c r="M246" s="1404"/>
      <c r="N246" s="1404"/>
      <c r="O246" s="1404"/>
      <c r="P246" s="1404"/>
      <c r="Q246" s="1404"/>
      <c r="R246" s="1404"/>
      <c r="S246" s="1404"/>
      <c r="T246" s="1404"/>
      <c r="U246" s="1404"/>
      <c r="V246" s="1404"/>
      <c r="W246" s="1404"/>
      <c r="X246" s="1404"/>
      <c r="Y246" s="1404"/>
      <c r="Z246" s="1404"/>
    </row>
    <row r="247">
      <c r="A247" s="1404"/>
      <c r="B247" s="1404"/>
      <c r="C247" s="1404"/>
      <c r="D247" s="1404"/>
      <c r="E247" s="1404"/>
      <c r="F247" s="1404"/>
      <c r="G247" s="1404"/>
      <c r="H247" s="1404"/>
      <c r="I247" s="1404"/>
      <c r="J247" s="1404"/>
      <c r="K247" s="1404"/>
      <c r="L247" s="1404"/>
      <c r="M247" s="1404"/>
      <c r="N247" s="1404"/>
      <c r="O247" s="1404"/>
      <c r="P247" s="1404"/>
      <c r="Q247" s="1404"/>
      <c r="R247" s="1404"/>
      <c r="S247" s="1404"/>
      <c r="T247" s="1404"/>
      <c r="U247" s="1404"/>
      <c r="V247" s="1404"/>
      <c r="W247" s="1404"/>
      <c r="X247" s="1404"/>
      <c r="Y247" s="1404"/>
      <c r="Z247" s="1404"/>
    </row>
    <row r="248">
      <c r="A248" s="1404"/>
      <c r="B248" s="1404"/>
      <c r="C248" s="1404"/>
      <c r="D248" s="1404"/>
      <c r="E248" s="1404"/>
      <c r="F248" s="1404"/>
      <c r="G248" s="1404"/>
      <c r="H248" s="1404"/>
      <c r="I248" s="1404"/>
      <c r="J248" s="1404"/>
      <c r="K248" s="1404"/>
      <c r="L248" s="1404"/>
      <c r="M248" s="1404"/>
      <c r="N248" s="1404"/>
      <c r="O248" s="1404"/>
      <c r="P248" s="1404"/>
      <c r="Q248" s="1404"/>
      <c r="R248" s="1404"/>
      <c r="S248" s="1404"/>
      <c r="T248" s="1404"/>
      <c r="U248" s="1404"/>
      <c r="V248" s="1404"/>
      <c r="W248" s="1404"/>
      <c r="X248" s="1404"/>
      <c r="Y248" s="1404"/>
      <c r="Z248" s="1404"/>
    </row>
    <row r="249">
      <c r="A249" s="1404"/>
      <c r="B249" s="1404"/>
      <c r="C249" s="1404"/>
      <c r="D249" s="1404"/>
      <c r="E249" s="1404"/>
      <c r="F249" s="1404"/>
      <c r="G249" s="1404"/>
      <c r="H249" s="1404"/>
      <c r="I249" s="1404"/>
      <c r="J249" s="1404"/>
      <c r="K249" s="1404"/>
      <c r="L249" s="1404"/>
      <c r="M249" s="1404"/>
      <c r="N249" s="1404"/>
      <c r="O249" s="1404"/>
      <c r="P249" s="1404"/>
      <c r="Q249" s="1404"/>
      <c r="R249" s="1404"/>
      <c r="S249" s="1404"/>
      <c r="T249" s="1404"/>
      <c r="U249" s="1404"/>
      <c r="V249" s="1404"/>
      <c r="W249" s="1404"/>
      <c r="X249" s="1404"/>
      <c r="Y249" s="1404"/>
      <c r="Z249" s="1404"/>
    </row>
    <row r="250">
      <c r="A250" s="1404"/>
      <c r="B250" s="1404"/>
      <c r="C250" s="1404"/>
      <c r="D250" s="1404"/>
      <c r="E250" s="1404"/>
      <c r="F250" s="1404"/>
      <c r="G250" s="1404"/>
      <c r="H250" s="1404"/>
      <c r="I250" s="1404"/>
      <c r="J250" s="1404"/>
      <c r="K250" s="1404"/>
      <c r="L250" s="1404"/>
      <c r="M250" s="1404"/>
      <c r="N250" s="1404"/>
      <c r="O250" s="1404"/>
      <c r="P250" s="1404"/>
      <c r="Q250" s="1404"/>
      <c r="R250" s="1404"/>
      <c r="S250" s="1404"/>
      <c r="T250" s="1404"/>
      <c r="U250" s="1404"/>
      <c r="V250" s="1404"/>
      <c r="W250" s="1404"/>
      <c r="X250" s="1404"/>
      <c r="Y250" s="1404"/>
      <c r="Z250" s="1404"/>
    </row>
    <row r="251">
      <c r="A251" s="1404"/>
      <c r="B251" s="1404"/>
      <c r="C251" s="1404"/>
      <c r="D251" s="1404"/>
      <c r="E251" s="1404"/>
      <c r="F251" s="1404"/>
      <c r="G251" s="1404"/>
      <c r="H251" s="1404"/>
      <c r="I251" s="1404"/>
      <c r="J251" s="1404"/>
      <c r="K251" s="1404"/>
      <c r="L251" s="1404"/>
      <c r="M251" s="1404"/>
      <c r="N251" s="1404"/>
      <c r="O251" s="1404"/>
      <c r="P251" s="1404"/>
      <c r="Q251" s="1404"/>
      <c r="R251" s="1404"/>
      <c r="S251" s="1404"/>
      <c r="T251" s="1404"/>
      <c r="U251" s="1404"/>
      <c r="V251" s="1404"/>
      <c r="W251" s="1404"/>
      <c r="X251" s="1404"/>
      <c r="Y251" s="1404"/>
      <c r="Z251" s="1404"/>
    </row>
    <row r="252">
      <c r="A252" s="1404"/>
      <c r="B252" s="1404"/>
      <c r="C252" s="1404"/>
      <c r="D252" s="1404"/>
      <c r="E252" s="1404"/>
      <c r="F252" s="1404"/>
      <c r="G252" s="1404"/>
      <c r="H252" s="1404"/>
      <c r="I252" s="1404"/>
      <c r="J252" s="1404"/>
      <c r="K252" s="1404"/>
      <c r="L252" s="1404"/>
      <c r="M252" s="1404"/>
      <c r="N252" s="1404"/>
      <c r="O252" s="1404"/>
      <c r="P252" s="1404"/>
      <c r="Q252" s="1404"/>
      <c r="R252" s="1404"/>
      <c r="S252" s="1404"/>
      <c r="T252" s="1404"/>
      <c r="U252" s="1404"/>
      <c r="V252" s="1404"/>
      <c r="W252" s="1404"/>
      <c r="X252" s="1404"/>
      <c r="Y252" s="1404"/>
      <c r="Z252" s="1404"/>
    </row>
    <row r="253">
      <c r="A253" s="1404"/>
      <c r="B253" s="1404"/>
      <c r="C253" s="1404"/>
      <c r="D253" s="1404"/>
      <c r="E253" s="1404"/>
      <c r="F253" s="1404"/>
      <c r="G253" s="1404"/>
      <c r="H253" s="1404"/>
      <c r="I253" s="1404"/>
      <c r="J253" s="1404"/>
      <c r="K253" s="1404"/>
      <c r="L253" s="1404"/>
      <c r="M253" s="1404"/>
      <c r="N253" s="1404"/>
      <c r="O253" s="1404"/>
      <c r="P253" s="1404"/>
      <c r="Q253" s="1404"/>
      <c r="R253" s="1404"/>
      <c r="S253" s="1404"/>
      <c r="T253" s="1404"/>
      <c r="U253" s="1404"/>
      <c r="V253" s="1404"/>
      <c r="W253" s="1404"/>
      <c r="X253" s="1404"/>
      <c r="Y253" s="1404"/>
      <c r="Z253" s="1404"/>
    </row>
    <row r="254">
      <c r="A254" s="1404"/>
      <c r="B254" s="1404"/>
      <c r="C254" s="1404"/>
      <c r="D254" s="1404"/>
      <c r="E254" s="1404"/>
      <c r="F254" s="1404"/>
      <c r="G254" s="1404"/>
      <c r="H254" s="1404"/>
      <c r="I254" s="1404"/>
      <c r="J254" s="1404"/>
      <c r="K254" s="1404"/>
      <c r="L254" s="1404"/>
      <c r="M254" s="1404"/>
      <c r="N254" s="1404"/>
      <c r="O254" s="1404"/>
      <c r="P254" s="1404"/>
      <c r="Q254" s="1404"/>
      <c r="R254" s="1404"/>
      <c r="S254" s="1404"/>
      <c r="T254" s="1404"/>
      <c r="U254" s="1404"/>
      <c r="V254" s="1404"/>
      <c r="W254" s="1404"/>
      <c r="X254" s="1404"/>
      <c r="Y254" s="1404"/>
      <c r="Z254" s="1404"/>
    </row>
    <row r="255">
      <c r="A255" s="1404"/>
      <c r="B255" s="1404"/>
      <c r="C255" s="1404"/>
      <c r="D255" s="1404"/>
      <c r="E255" s="1404"/>
      <c r="F255" s="1404"/>
      <c r="G255" s="1404"/>
      <c r="H255" s="1404"/>
      <c r="I255" s="1404"/>
      <c r="J255" s="1404"/>
      <c r="K255" s="1404"/>
      <c r="L255" s="1404"/>
      <c r="M255" s="1404"/>
      <c r="N255" s="1404"/>
      <c r="O255" s="1404"/>
      <c r="P255" s="1404"/>
      <c r="Q255" s="1404"/>
      <c r="R255" s="1404"/>
      <c r="S255" s="1404"/>
      <c r="T255" s="1404"/>
      <c r="U255" s="1404"/>
      <c r="V255" s="1404"/>
      <c r="W255" s="1404"/>
      <c r="X255" s="1404"/>
      <c r="Y255" s="1404"/>
      <c r="Z255" s="1404"/>
    </row>
    <row r="256">
      <c r="A256" s="1404"/>
      <c r="B256" s="1404"/>
      <c r="C256" s="1404"/>
      <c r="D256" s="1404"/>
      <c r="E256" s="1404"/>
      <c r="F256" s="1404"/>
      <c r="G256" s="1404"/>
      <c r="H256" s="1404"/>
      <c r="I256" s="1404"/>
      <c r="J256" s="1404"/>
      <c r="K256" s="1404"/>
      <c r="L256" s="1404"/>
      <c r="M256" s="1404"/>
      <c r="N256" s="1404"/>
      <c r="O256" s="1404"/>
      <c r="P256" s="1404"/>
      <c r="Q256" s="1404"/>
      <c r="R256" s="1404"/>
      <c r="S256" s="1404"/>
      <c r="T256" s="1404"/>
      <c r="U256" s="1404"/>
      <c r="V256" s="1404"/>
      <c r="W256" s="1404"/>
      <c r="X256" s="1404"/>
      <c r="Y256" s="1404"/>
      <c r="Z256" s="1404"/>
    </row>
    <row r="257">
      <c r="A257" s="1404"/>
      <c r="B257" s="1404"/>
      <c r="C257" s="1404"/>
      <c r="D257" s="1404"/>
      <c r="E257" s="1404"/>
      <c r="F257" s="1404"/>
      <c r="G257" s="1404"/>
      <c r="H257" s="1404"/>
      <c r="I257" s="1404"/>
      <c r="J257" s="1404"/>
      <c r="K257" s="1404"/>
      <c r="L257" s="1404"/>
      <c r="M257" s="1404"/>
      <c r="N257" s="1404"/>
      <c r="O257" s="1404"/>
      <c r="P257" s="1404"/>
      <c r="Q257" s="1404"/>
      <c r="R257" s="1404"/>
      <c r="S257" s="1404"/>
      <c r="T257" s="1404"/>
      <c r="U257" s="1404"/>
      <c r="V257" s="1404"/>
      <c r="W257" s="1404"/>
      <c r="X257" s="1404"/>
      <c r="Y257" s="1404"/>
      <c r="Z257" s="1404"/>
    </row>
    <row r="258">
      <c r="A258" s="1404"/>
      <c r="B258" s="1404"/>
      <c r="C258" s="1404"/>
      <c r="D258" s="1404"/>
      <c r="E258" s="1404"/>
      <c r="F258" s="1404"/>
      <c r="G258" s="1404"/>
      <c r="H258" s="1404"/>
      <c r="I258" s="1404"/>
      <c r="J258" s="1404"/>
      <c r="K258" s="1404"/>
      <c r="L258" s="1404"/>
      <c r="M258" s="1404"/>
      <c r="N258" s="1404"/>
      <c r="O258" s="1404"/>
      <c r="P258" s="1404"/>
      <c r="Q258" s="1404"/>
      <c r="R258" s="1404"/>
      <c r="S258" s="1404"/>
      <c r="T258" s="1404"/>
      <c r="U258" s="1404"/>
      <c r="V258" s="1404"/>
      <c r="W258" s="1404"/>
      <c r="X258" s="1404"/>
      <c r="Y258" s="1404"/>
      <c r="Z258" s="1404"/>
    </row>
    <row r="259">
      <c r="A259" s="1404"/>
      <c r="B259" s="1404"/>
      <c r="C259" s="1404"/>
      <c r="D259" s="1404"/>
      <c r="E259" s="1404"/>
      <c r="F259" s="1404"/>
      <c r="G259" s="1404"/>
      <c r="H259" s="1404"/>
      <c r="I259" s="1404"/>
      <c r="J259" s="1404"/>
      <c r="K259" s="1404"/>
      <c r="L259" s="1404"/>
      <c r="M259" s="1404"/>
      <c r="N259" s="1404"/>
      <c r="O259" s="1404"/>
      <c r="P259" s="1404"/>
      <c r="Q259" s="1404"/>
      <c r="R259" s="1404"/>
      <c r="S259" s="1404"/>
      <c r="T259" s="1404"/>
      <c r="U259" s="1404"/>
      <c r="V259" s="1404"/>
      <c r="W259" s="1404"/>
      <c r="X259" s="1404"/>
      <c r="Y259" s="1404"/>
      <c r="Z259" s="1404"/>
    </row>
    <row r="260">
      <c r="A260" s="1404"/>
      <c r="B260" s="1404"/>
      <c r="C260" s="1404"/>
      <c r="D260" s="1404"/>
      <c r="E260" s="1404"/>
      <c r="F260" s="1404"/>
      <c r="G260" s="1404"/>
      <c r="H260" s="1404"/>
      <c r="I260" s="1404"/>
      <c r="J260" s="1404"/>
      <c r="K260" s="1404"/>
      <c r="L260" s="1404"/>
      <c r="M260" s="1404"/>
      <c r="N260" s="1404"/>
      <c r="O260" s="1404"/>
      <c r="P260" s="1404"/>
      <c r="Q260" s="1404"/>
      <c r="R260" s="1404"/>
      <c r="S260" s="1404"/>
      <c r="T260" s="1404"/>
      <c r="U260" s="1404"/>
      <c r="V260" s="1404"/>
      <c r="W260" s="1404"/>
      <c r="X260" s="1404"/>
      <c r="Y260" s="1404"/>
      <c r="Z260" s="1404"/>
    </row>
    <row r="261">
      <c r="A261" s="1404"/>
      <c r="B261" s="1404"/>
      <c r="C261" s="1404"/>
      <c r="D261" s="1404"/>
      <c r="E261" s="1404"/>
      <c r="F261" s="1404"/>
      <c r="G261" s="1404"/>
      <c r="H261" s="1404"/>
      <c r="I261" s="1404"/>
      <c r="J261" s="1404"/>
      <c r="K261" s="1404"/>
      <c r="L261" s="1404"/>
      <c r="M261" s="1404"/>
      <c r="N261" s="1404"/>
      <c r="O261" s="1404"/>
      <c r="P261" s="1404"/>
      <c r="Q261" s="1404"/>
      <c r="R261" s="1404"/>
      <c r="S261" s="1404"/>
      <c r="T261" s="1404"/>
      <c r="U261" s="1404"/>
      <c r="V261" s="1404"/>
      <c r="W261" s="1404"/>
      <c r="X261" s="1404"/>
      <c r="Y261" s="1404"/>
      <c r="Z261" s="1404"/>
    </row>
    <row r="262">
      <c r="A262" s="1404"/>
      <c r="B262" s="1404"/>
      <c r="C262" s="1404"/>
      <c r="D262" s="1404"/>
      <c r="E262" s="1404"/>
      <c r="F262" s="1404"/>
      <c r="G262" s="1404"/>
      <c r="H262" s="1404"/>
      <c r="I262" s="1404"/>
      <c r="J262" s="1404"/>
      <c r="K262" s="1404"/>
      <c r="L262" s="1404"/>
      <c r="M262" s="1404"/>
      <c r="N262" s="1404"/>
      <c r="O262" s="1404"/>
      <c r="P262" s="1404"/>
      <c r="Q262" s="1404"/>
      <c r="R262" s="1404"/>
      <c r="S262" s="1404"/>
      <c r="T262" s="1404"/>
      <c r="U262" s="1404"/>
      <c r="V262" s="1404"/>
      <c r="W262" s="1404"/>
      <c r="X262" s="1404"/>
      <c r="Y262" s="1404"/>
      <c r="Z262" s="1404"/>
    </row>
    <row r="263">
      <c r="A263" s="1404"/>
      <c r="B263" s="1404"/>
      <c r="C263" s="1404"/>
      <c r="D263" s="1404"/>
      <c r="E263" s="1404"/>
      <c r="F263" s="1404"/>
      <c r="G263" s="1404"/>
      <c r="H263" s="1404"/>
      <c r="I263" s="1404"/>
      <c r="J263" s="1404"/>
      <c r="K263" s="1404"/>
      <c r="L263" s="1404"/>
      <c r="M263" s="1404"/>
      <c r="N263" s="1404"/>
      <c r="O263" s="1404"/>
      <c r="P263" s="1404"/>
      <c r="Q263" s="1404"/>
      <c r="R263" s="1404"/>
      <c r="S263" s="1404"/>
      <c r="T263" s="1404"/>
      <c r="U263" s="1404"/>
      <c r="V263" s="1404"/>
      <c r="W263" s="1404"/>
      <c r="X263" s="1404"/>
      <c r="Y263" s="1404"/>
      <c r="Z263" s="1404"/>
    </row>
    <row r="264">
      <c r="A264" s="1404"/>
      <c r="B264" s="1404"/>
      <c r="C264" s="1404"/>
      <c r="D264" s="1404"/>
      <c r="E264" s="1404"/>
      <c r="F264" s="1404"/>
      <c r="G264" s="1404"/>
      <c r="H264" s="1404"/>
      <c r="I264" s="1404"/>
      <c r="J264" s="1404"/>
      <c r="K264" s="1404"/>
      <c r="L264" s="1404"/>
      <c r="M264" s="1404"/>
      <c r="N264" s="1404"/>
      <c r="O264" s="1404"/>
      <c r="P264" s="1404"/>
      <c r="Q264" s="1404"/>
      <c r="R264" s="1404"/>
      <c r="S264" s="1404"/>
      <c r="T264" s="1404"/>
      <c r="U264" s="1404"/>
      <c r="V264" s="1404"/>
      <c r="W264" s="1404"/>
      <c r="X264" s="1404"/>
      <c r="Y264" s="1404"/>
      <c r="Z264" s="1404"/>
    </row>
    <row r="265">
      <c r="A265" s="1404"/>
      <c r="B265" s="1404"/>
      <c r="C265" s="1404"/>
      <c r="D265" s="1404"/>
      <c r="E265" s="1404"/>
      <c r="F265" s="1404"/>
      <c r="G265" s="1404"/>
      <c r="H265" s="1404"/>
      <c r="I265" s="1404"/>
      <c r="J265" s="1404"/>
      <c r="K265" s="1404"/>
      <c r="L265" s="1404"/>
      <c r="M265" s="1404"/>
      <c r="N265" s="1404"/>
      <c r="O265" s="1404"/>
      <c r="P265" s="1404"/>
      <c r="Q265" s="1404"/>
      <c r="R265" s="1404"/>
      <c r="S265" s="1404"/>
      <c r="T265" s="1404"/>
      <c r="U265" s="1404"/>
      <c r="V265" s="1404"/>
      <c r="W265" s="1404"/>
      <c r="X265" s="1404"/>
      <c r="Y265" s="1404"/>
      <c r="Z265" s="1404"/>
    </row>
    <row r="266">
      <c r="A266" s="1404"/>
      <c r="B266" s="1404"/>
      <c r="C266" s="1404"/>
      <c r="D266" s="1404"/>
      <c r="E266" s="1404"/>
      <c r="F266" s="1404"/>
      <c r="G266" s="1404"/>
      <c r="H266" s="1404"/>
      <c r="I266" s="1404"/>
      <c r="J266" s="1404"/>
      <c r="K266" s="1404"/>
      <c r="L266" s="1404"/>
      <c r="M266" s="1404"/>
      <c r="N266" s="1404"/>
      <c r="O266" s="1404"/>
      <c r="P266" s="1404"/>
      <c r="Q266" s="1404"/>
      <c r="R266" s="1404"/>
      <c r="S266" s="1404"/>
      <c r="T266" s="1404"/>
      <c r="U266" s="1404"/>
      <c r="V266" s="1404"/>
      <c r="W266" s="1404"/>
      <c r="X266" s="1404"/>
      <c r="Y266" s="1404"/>
      <c r="Z266" s="1404"/>
    </row>
    <row r="267">
      <c r="A267" s="1404"/>
      <c r="B267" s="1404"/>
      <c r="C267" s="1404"/>
      <c r="D267" s="1404"/>
      <c r="E267" s="1404"/>
      <c r="F267" s="1404"/>
      <c r="G267" s="1404"/>
      <c r="H267" s="1404"/>
      <c r="I267" s="1404"/>
      <c r="J267" s="1404"/>
      <c r="K267" s="1404"/>
      <c r="L267" s="1404"/>
      <c r="M267" s="1404"/>
      <c r="N267" s="1404"/>
      <c r="O267" s="1404"/>
      <c r="P267" s="1404"/>
      <c r="Q267" s="1404"/>
      <c r="R267" s="1404"/>
      <c r="S267" s="1404"/>
      <c r="T267" s="1404"/>
      <c r="U267" s="1404"/>
      <c r="V267" s="1404"/>
      <c r="W267" s="1404"/>
      <c r="X267" s="1404"/>
      <c r="Y267" s="1404"/>
      <c r="Z267" s="1404"/>
    </row>
    <row r="268">
      <c r="A268" s="1404"/>
      <c r="B268" s="1404"/>
      <c r="C268" s="1404"/>
      <c r="D268" s="1404"/>
      <c r="E268" s="1404"/>
      <c r="F268" s="1404"/>
      <c r="G268" s="1404"/>
      <c r="H268" s="1404"/>
      <c r="I268" s="1404"/>
      <c r="J268" s="1404"/>
      <c r="K268" s="1404"/>
      <c r="L268" s="1404"/>
      <c r="M268" s="1404"/>
      <c r="N268" s="1404"/>
      <c r="O268" s="1404"/>
      <c r="P268" s="1404"/>
      <c r="Q268" s="1404"/>
      <c r="R268" s="1404"/>
      <c r="S268" s="1404"/>
      <c r="T268" s="1404"/>
      <c r="U268" s="1404"/>
      <c r="V268" s="1404"/>
      <c r="W268" s="1404"/>
      <c r="X268" s="1404"/>
      <c r="Y268" s="1404"/>
      <c r="Z268" s="1404"/>
    </row>
    <row r="269">
      <c r="A269" s="1404"/>
      <c r="B269" s="1404"/>
      <c r="C269" s="1404"/>
      <c r="D269" s="1404"/>
      <c r="E269" s="1404"/>
      <c r="F269" s="1404"/>
      <c r="G269" s="1404"/>
      <c r="H269" s="1404"/>
      <c r="I269" s="1404"/>
      <c r="J269" s="1404"/>
      <c r="K269" s="1404"/>
      <c r="L269" s="1404"/>
      <c r="M269" s="1404"/>
      <c r="N269" s="1404"/>
      <c r="O269" s="1404"/>
      <c r="P269" s="1404"/>
      <c r="Q269" s="1404"/>
      <c r="R269" s="1404"/>
      <c r="S269" s="1404"/>
      <c r="T269" s="1404"/>
      <c r="U269" s="1404"/>
      <c r="V269" s="1404"/>
      <c r="W269" s="1404"/>
      <c r="X269" s="1404"/>
      <c r="Y269" s="1404"/>
      <c r="Z269" s="1404"/>
    </row>
    <row r="270">
      <c r="A270" s="1404"/>
      <c r="B270" s="1404"/>
      <c r="C270" s="1404"/>
      <c r="D270" s="1404"/>
      <c r="E270" s="1404"/>
      <c r="F270" s="1404"/>
      <c r="G270" s="1404"/>
      <c r="H270" s="1404"/>
      <c r="I270" s="1404"/>
      <c r="J270" s="1404"/>
      <c r="K270" s="1404"/>
      <c r="L270" s="1404"/>
      <c r="M270" s="1404"/>
      <c r="N270" s="1404"/>
      <c r="O270" s="1404"/>
      <c r="P270" s="1404"/>
      <c r="Q270" s="1404"/>
      <c r="R270" s="1404"/>
      <c r="S270" s="1404"/>
      <c r="T270" s="1404"/>
      <c r="U270" s="1404"/>
      <c r="V270" s="1404"/>
      <c r="W270" s="1404"/>
      <c r="X270" s="1404"/>
      <c r="Y270" s="1404"/>
      <c r="Z270" s="1404"/>
    </row>
    <row r="271">
      <c r="A271" s="1404"/>
      <c r="B271" s="1404"/>
      <c r="C271" s="1404"/>
      <c r="D271" s="1404"/>
      <c r="E271" s="1404"/>
      <c r="F271" s="1404"/>
      <c r="G271" s="1404"/>
      <c r="H271" s="1404"/>
      <c r="I271" s="1404"/>
      <c r="J271" s="1404"/>
      <c r="K271" s="1404"/>
      <c r="L271" s="1404"/>
      <c r="M271" s="1404"/>
      <c r="N271" s="1404"/>
      <c r="O271" s="1404"/>
      <c r="P271" s="1404"/>
      <c r="Q271" s="1404"/>
      <c r="R271" s="1404"/>
      <c r="S271" s="1404"/>
      <c r="T271" s="1404"/>
      <c r="U271" s="1404"/>
      <c r="V271" s="1404"/>
      <c r="W271" s="1404"/>
      <c r="X271" s="1404"/>
      <c r="Y271" s="1404"/>
      <c r="Z271" s="1404"/>
    </row>
    <row r="272">
      <c r="A272" s="1404"/>
      <c r="B272" s="1404"/>
      <c r="C272" s="1404"/>
      <c r="D272" s="1404"/>
      <c r="E272" s="1404"/>
      <c r="F272" s="1404"/>
      <c r="G272" s="1404"/>
      <c r="H272" s="1404"/>
      <c r="I272" s="1404"/>
      <c r="J272" s="1404"/>
      <c r="K272" s="1404"/>
      <c r="L272" s="1404"/>
      <c r="M272" s="1404"/>
      <c r="N272" s="1404"/>
      <c r="O272" s="1404"/>
      <c r="P272" s="1404"/>
      <c r="Q272" s="1404"/>
      <c r="R272" s="1404"/>
      <c r="S272" s="1404"/>
      <c r="T272" s="1404"/>
      <c r="U272" s="1404"/>
      <c r="V272" s="1404"/>
      <c r="W272" s="1404"/>
      <c r="X272" s="1404"/>
      <c r="Y272" s="1404"/>
      <c r="Z272" s="1404"/>
    </row>
    <row r="273">
      <c r="A273" s="1404"/>
      <c r="B273" s="1404"/>
      <c r="C273" s="1404"/>
      <c r="D273" s="1404"/>
      <c r="E273" s="1404"/>
      <c r="F273" s="1404"/>
      <c r="G273" s="1404"/>
      <c r="H273" s="1404"/>
      <c r="I273" s="1404"/>
      <c r="J273" s="1404"/>
      <c r="K273" s="1404"/>
      <c r="L273" s="1404"/>
      <c r="M273" s="1404"/>
      <c r="N273" s="1404"/>
      <c r="O273" s="1404"/>
      <c r="P273" s="1404"/>
      <c r="Q273" s="1404"/>
      <c r="R273" s="1404"/>
      <c r="S273" s="1404"/>
      <c r="T273" s="1404"/>
      <c r="U273" s="1404"/>
      <c r="V273" s="1404"/>
      <c r="W273" s="1404"/>
      <c r="X273" s="1404"/>
      <c r="Y273" s="1404"/>
      <c r="Z273" s="1404"/>
    </row>
    <row r="274">
      <c r="A274" s="1404"/>
      <c r="B274" s="1404"/>
      <c r="C274" s="1404"/>
      <c r="D274" s="1404"/>
      <c r="E274" s="1404"/>
      <c r="F274" s="1404"/>
      <c r="G274" s="1404"/>
      <c r="H274" s="1404"/>
      <c r="I274" s="1404"/>
      <c r="J274" s="1404"/>
      <c r="K274" s="1404"/>
      <c r="L274" s="1404"/>
      <c r="M274" s="1404"/>
      <c r="N274" s="1404"/>
      <c r="O274" s="1404"/>
      <c r="P274" s="1404"/>
      <c r="Q274" s="1404"/>
      <c r="R274" s="1404"/>
      <c r="S274" s="1404"/>
      <c r="T274" s="1404"/>
      <c r="U274" s="1404"/>
      <c r="V274" s="1404"/>
      <c r="W274" s="1404"/>
      <c r="X274" s="1404"/>
      <c r="Y274" s="1404"/>
      <c r="Z274" s="1404"/>
    </row>
    <row r="275">
      <c r="A275" s="1404"/>
      <c r="B275" s="1404"/>
      <c r="C275" s="1404"/>
      <c r="D275" s="1404"/>
      <c r="E275" s="1404"/>
      <c r="F275" s="1404"/>
      <c r="G275" s="1404"/>
      <c r="H275" s="1404"/>
      <c r="I275" s="1404"/>
      <c r="J275" s="1404"/>
      <c r="K275" s="1404"/>
      <c r="L275" s="1404"/>
      <c r="M275" s="1404"/>
      <c r="N275" s="1404"/>
      <c r="O275" s="1404"/>
      <c r="P275" s="1404"/>
      <c r="Q275" s="1404"/>
      <c r="R275" s="1404"/>
      <c r="S275" s="1404"/>
      <c r="T275" s="1404"/>
      <c r="U275" s="1404"/>
      <c r="V275" s="1404"/>
      <c r="W275" s="1404"/>
      <c r="X275" s="1404"/>
      <c r="Y275" s="1404"/>
      <c r="Z275" s="1404"/>
    </row>
    <row r="276">
      <c r="A276" s="1404"/>
      <c r="B276" s="1404"/>
      <c r="C276" s="1404"/>
      <c r="D276" s="1404"/>
      <c r="E276" s="1404"/>
      <c r="F276" s="1404"/>
      <c r="G276" s="1404"/>
      <c r="H276" s="1404"/>
      <c r="I276" s="1404"/>
      <c r="J276" s="1404"/>
      <c r="K276" s="1404"/>
      <c r="L276" s="1404"/>
      <c r="M276" s="1404"/>
      <c r="N276" s="1404"/>
      <c r="O276" s="1404"/>
      <c r="P276" s="1404"/>
      <c r="Q276" s="1404"/>
      <c r="R276" s="1404"/>
      <c r="S276" s="1404"/>
      <c r="T276" s="1404"/>
      <c r="U276" s="1404"/>
      <c r="V276" s="1404"/>
      <c r="W276" s="1404"/>
      <c r="X276" s="1404"/>
      <c r="Y276" s="1404"/>
      <c r="Z276" s="1404"/>
    </row>
    <row r="277">
      <c r="A277" s="1404"/>
      <c r="B277" s="1404"/>
      <c r="C277" s="1404"/>
      <c r="D277" s="1404"/>
      <c r="E277" s="1404"/>
      <c r="F277" s="1404"/>
      <c r="G277" s="1404"/>
      <c r="H277" s="1404"/>
      <c r="I277" s="1404"/>
      <c r="J277" s="1404"/>
      <c r="K277" s="1404"/>
      <c r="L277" s="1404"/>
      <c r="M277" s="1404"/>
      <c r="N277" s="1404"/>
      <c r="O277" s="1404"/>
      <c r="P277" s="1404"/>
      <c r="Q277" s="1404"/>
      <c r="R277" s="1404"/>
      <c r="S277" s="1404"/>
      <c r="T277" s="1404"/>
      <c r="U277" s="1404"/>
      <c r="V277" s="1404"/>
      <c r="W277" s="1404"/>
      <c r="X277" s="1404"/>
      <c r="Y277" s="1404"/>
      <c r="Z277" s="1404"/>
    </row>
    <row r="278">
      <c r="A278" s="1404"/>
      <c r="B278" s="1404"/>
      <c r="C278" s="1404"/>
      <c r="D278" s="1404"/>
      <c r="E278" s="1404"/>
      <c r="F278" s="1404"/>
      <c r="G278" s="1404"/>
      <c r="H278" s="1404"/>
      <c r="I278" s="1404"/>
      <c r="J278" s="1404"/>
      <c r="K278" s="1404"/>
      <c r="L278" s="1404"/>
      <c r="M278" s="1404"/>
      <c r="N278" s="1404"/>
      <c r="O278" s="1404"/>
      <c r="P278" s="1404"/>
      <c r="Q278" s="1404"/>
      <c r="R278" s="1404"/>
      <c r="S278" s="1404"/>
      <c r="T278" s="1404"/>
      <c r="U278" s="1404"/>
      <c r="V278" s="1404"/>
      <c r="W278" s="1404"/>
      <c r="X278" s="1404"/>
      <c r="Y278" s="1404"/>
      <c r="Z278" s="1404"/>
    </row>
    <row r="279">
      <c r="A279" s="1404"/>
      <c r="B279" s="1404"/>
      <c r="C279" s="1404"/>
      <c r="D279" s="1404"/>
      <c r="E279" s="1404"/>
      <c r="F279" s="1404"/>
      <c r="G279" s="1404"/>
      <c r="H279" s="1404"/>
      <c r="I279" s="1404"/>
      <c r="J279" s="1404"/>
      <c r="K279" s="1404"/>
      <c r="L279" s="1404"/>
      <c r="M279" s="1404"/>
      <c r="N279" s="1404"/>
      <c r="O279" s="1404"/>
      <c r="P279" s="1404"/>
      <c r="Q279" s="1404"/>
      <c r="R279" s="1404"/>
      <c r="S279" s="1404"/>
      <c r="T279" s="1404"/>
      <c r="U279" s="1404"/>
      <c r="V279" s="1404"/>
      <c r="W279" s="1404"/>
      <c r="X279" s="1404"/>
      <c r="Y279" s="1404"/>
      <c r="Z279" s="1404"/>
    </row>
    <row r="280">
      <c r="A280" s="1404"/>
      <c r="B280" s="1404"/>
      <c r="C280" s="1404"/>
      <c r="D280" s="1404"/>
      <c r="E280" s="1404"/>
      <c r="F280" s="1404"/>
      <c r="G280" s="1404"/>
      <c r="H280" s="1404"/>
      <c r="I280" s="1404"/>
      <c r="J280" s="1404"/>
      <c r="K280" s="1404"/>
      <c r="L280" s="1404"/>
      <c r="M280" s="1404"/>
      <c r="N280" s="1404"/>
      <c r="O280" s="1404"/>
      <c r="P280" s="1404"/>
      <c r="Q280" s="1404"/>
      <c r="R280" s="1404"/>
      <c r="S280" s="1404"/>
      <c r="T280" s="1404"/>
      <c r="U280" s="1404"/>
      <c r="V280" s="1404"/>
      <c r="W280" s="1404"/>
      <c r="X280" s="1404"/>
      <c r="Y280" s="1404"/>
      <c r="Z280" s="1404"/>
    </row>
    <row r="281">
      <c r="A281" s="1404"/>
      <c r="B281" s="1404"/>
      <c r="C281" s="1404"/>
      <c r="D281" s="1404"/>
      <c r="E281" s="1404"/>
      <c r="F281" s="1404"/>
      <c r="G281" s="1404"/>
      <c r="H281" s="1404"/>
      <c r="I281" s="1404"/>
      <c r="J281" s="1404"/>
      <c r="K281" s="1404"/>
      <c r="L281" s="1404"/>
      <c r="M281" s="1404"/>
      <c r="N281" s="1404"/>
      <c r="O281" s="1404"/>
      <c r="P281" s="1404"/>
      <c r="Q281" s="1404"/>
      <c r="R281" s="1404"/>
      <c r="S281" s="1404"/>
      <c r="T281" s="1404"/>
      <c r="U281" s="1404"/>
      <c r="V281" s="1404"/>
      <c r="W281" s="1404"/>
      <c r="X281" s="1404"/>
      <c r="Y281" s="1404"/>
      <c r="Z281" s="1404"/>
    </row>
    <row r="282">
      <c r="A282" s="1404"/>
      <c r="B282" s="1404"/>
      <c r="C282" s="1404"/>
      <c r="D282" s="1404"/>
      <c r="E282" s="1404"/>
      <c r="F282" s="1404"/>
      <c r="G282" s="1404"/>
      <c r="H282" s="1404"/>
      <c r="I282" s="1404"/>
      <c r="J282" s="1404"/>
      <c r="K282" s="1404"/>
      <c r="L282" s="1404"/>
      <c r="M282" s="1404"/>
      <c r="N282" s="1404"/>
      <c r="O282" s="1404"/>
      <c r="P282" s="1404"/>
      <c r="Q282" s="1404"/>
      <c r="R282" s="1404"/>
      <c r="S282" s="1404"/>
      <c r="T282" s="1404"/>
      <c r="U282" s="1404"/>
      <c r="V282" s="1404"/>
      <c r="W282" s="1404"/>
      <c r="X282" s="1404"/>
      <c r="Y282" s="1404"/>
      <c r="Z282" s="1404"/>
    </row>
    <row r="283">
      <c r="A283" s="1404"/>
      <c r="B283" s="1404"/>
      <c r="C283" s="1404"/>
      <c r="D283" s="1404"/>
      <c r="E283" s="1404"/>
      <c r="F283" s="1404"/>
      <c r="G283" s="1404"/>
      <c r="H283" s="1404"/>
      <c r="I283" s="1404"/>
      <c r="J283" s="1404"/>
      <c r="K283" s="1404"/>
      <c r="L283" s="1404"/>
      <c r="M283" s="1404"/>
      <c r="N283" s="1404"/>
      <c r="O283" s="1404"/>
      <c r="P283" s="1404"/>
      <c r="Q283" s="1404"/>
      <c r="R283" s="1404"/>
      <c r="S283" s="1404"/>
      <c r="T283" s="1404"/>
      <c r="U283" s="1404"/>
      <c r="V283" s="1404"/>
      <c r="W283" s="1404"/>
      <c r="X283" s="1404"/>
      <c r="Y283" s="1404"/>
      <c r="Z283" s="1404"/>
    </row>
    <row r="284">
      <c r="A284" s="1404"/>
      <c r="B284" s="1404"/>
      <c r="C284" s="1404"/>
      <c r="D284" s="1404"/>
      <c r="E284" s="1404"/>
      <c r="F284" s="1404"/>
      <c r="G284" s="1404"/>
      <c r="H284" s="1404"/>
      <c r="I284" s="1404"/>
      <c r="J284" s="1404"/>
      <c r="K284" s="1404"/>
      <c r="L284" s="1404"/>
      <c r="M284" s="1404"/>
      <c r="N284" s="1404"/>
      <c r="O284" s="1404"/>
      <c r="P284" s="1404"/>
      <c r="Q284" s="1404"/>
      <c r="R284" s="1404"/>
      <c r="S284" s="1404"/>
      <c r="T284" s="1404"/>
      <c r="U284" s="1404"/>
      <c r="V284" s="1404"/>
      <c r="W284" s="1404"/>
      <c r="X284" s="1404"/>
      <c r="Y284" s="1404"/>
      <c r="Z284" s="1404"/>
    </row>
    <row r="285">
      <c r="A285" s="1404"/>
      <c r="B285" s="1404"/>
      <c r="C285" s="1404"/>
      <c r="D285" s="1404"/>
      <c r="E285" s="1404"/>
      <c r="F285" s="1404"/>
      <c r="G285" s="1404"/>
      <c r="H285" s="1404"/>
      <c r="I285" s="1404"/>
      <c r="J285" s="1404"/>
      <c r="K285" s="1404"/>
      <c r="L285" s="1404"/>
      <c r="M285" s="1404"/>
      <c r="N285" s="1404"/>
      <c r="O285" s="1404"/>
      <c r="P285" s="1404"/>
      <c r="Q285" s="1404"/>
      <c r="R285" s="1404"/>
      <c r="S285" s="1404"/>
      <c r="T285" s="1404"/>
      <c r="U285" s="1404"/>
      <c r="V285" s="1404"/>
      <c r="W285" s="1404"/>
      <c r="X285" s="1404"/>
      <c r="Y285" s="1404"/>
      <c r="Z285" s="1404"/>
    </row>
    <row r="286">
      <c r="A286" s="1404"/>
      <c r="B286" s="1404"/>
      <c r="C286" s="1404"/>
      <c r="D286" s="1404"/>
      <c r="E286" s="1404"/>
      <c r="F286" s="1404"/>
      <c r="G286" s="1404"/>
      <c r="H286" s="1404"/>
      <c r="I286" s="1404"/>
      <c r="J286" s="1404"/>
      <c r="K286" s="1404"/>
      <c r="L286" s="1404"/>
      <c r="M286" s="1404"/>
      <c r="N286" s="1404"/>
      <c r="O286" s="1404"/>
      <c r="P286" s="1404"/>
      <c r="Q286" s="1404"/>
      <c r="R286" s="1404"/>
      <c r="S286" s="1404"/>
      <c r="T286" s="1404"/>
      <c r="U286" s="1404"/>
      <c r="V286" s="1404"/>
      <c r="W286" s="1404"/>
      <c r="X286" s="1404"/>
      <c r="Y286" s="1404"/>
      <c r="Z286" s="1404"/>
    </row>
    <row r="287">
      <c r="A287" s="1404"/>
      <c r="B287" s="1404"/>
      <c r="C287" s="1404"/>
      <c r="D287" s="1404"/>
      <c r="E287" s="1404"/>
      <c r="F287" s="1404"/>
      <c r="G287" s="1404"/>
      <c r="H287" s="1404"/>
      <c r="I287" s="1404"/>
      <c r="J287" s="1404"/>
      <c r="K287" s="1404"/>
      <c r="L287" s="1404"/>
      <c r="M287" s="1404"/>
      <c r="N287" s="1404"/>
      <c r="O287" s="1404"/>
      <c r="P287" s="1404"/>
      <c r="Q287" s="1404"/>
      <c r="R287" s="1404"/>
      <c r="S287" s="1404"/>
      <c r="T287" s="1404"/>
      <c r="U287" s="1404"/>
      <c r="V287" s="1404"/>
      <c r="W287" s="1404"/>
      <c r="X287" s="1404"/>
      <c r="Y287" s="1404"/>
      <c r="Z287" s="1404"/>
    </row>
    <row r="288">
      <c r="A288" s="1404"/>
      <c r="B288" s="1404"/>
      <c r="C288" s="1404"/>
      <c r="D288" s="1404"/>
      <c r="E288" s="1404"/>
      <c r="F288" s="1404"/>
      <c r="G288" s="1404"/>
      <c r="H288" s="1404"/>
      <c r="I288" s="1404"/>
      <c r="J288" s="1404"/>
      <c r="K288" s="1404"/>
      <c r="L288" s="1404"/>
      <c r="M288" s="1404"/>
      <c r="N288" s="1404"/>
      <c r="O288" s="1404"/>
      <c r="P288" s="1404"/>
      <c r="Q288" s="1404"/>
      <c r="R288" s="1404"/>
      <c r="S288" s="1404"/>
      <c r="T288" s="1404"/>
      <c r="U288" s="1404"/>
      <c r="V288" s="1404"/>
      <c r="W288" s="1404"/>
      <c r="X288" s="1404"/>
      <c r="Y288" s="1404"/>
      <c r="Z288" s="1404"/>
    </row>
    <row r="289">
      <c r="A289" s="1404"/>
      <c r="B289" s="1404"/>
      <c r="C289" s="1404"/>
      <c r="D289" s="1404"/>
      <c r="E289" s="1404"/>
      <c r="F289" s="1404"/>
      <c r="G289" s="1404"/>
      <c r="H289" s="1404"/>
      <c r="I289" s="1404"/>
      <c r="J289" s="1404"/>
      <c r="K289" s="1404"/>
      <c r="L289" s="1404"/>
      <c r="M289" s="1404"/>
      <c r="N289" s="1404"/>
      <c r="O289" s="1404"/>
      <c r="P289" s="1404"/>
      <c r="Q289" s="1404"/>
      <c r="R289" s="1404"/>
      <c r="S289" s="1404"/>
      <c r="T289" s="1404"/>
      <c r="U289" s="1404"/>
      <c r="V289" s="1404"/>
      <c r="W289" s="1404"/>
      <c r="X289" s="1404"/>
      <c r="Y289" s="1404"/>
      <c r="Z289" s="1404"/>
    </row>
    <row r="290">
      <c r="A290" s="1404"/>
      <c r="B290" s="1404"/>
      <c r="C290" s="1404"/>
      <c r="D290" s="1404"/>
      <c r="E290" s="1404"/>
      <c r="F290" s="1404"/>
      <c r="G290" s="1404"/>
      <c r="H290" s="1404"/>
      <c r="I290" s="1404"/>
      <c r="J290" s="1404"/>
      <c r="K290" s="1404"/>
      <c r="L290" s="1404"/>
      <c r="M290" s="1404"/>
      <c r="N290" s="1404"/>
      <c r="O290" s="1404"/>
      <c r="P290" s="1404"/>
      <c r="Q290" s="1404"/>
      <c r="R290" s="1404"/>
      <c r="S290" s="1404"/>
      <c r="T290" s="1404"/>
      <c r="U290" s="1404"/>
      <c r="V290" s="1404"/>
      <c r="W290" s="1404"/>
      <c r="X290" s="1404"/>
      <c r="Y290" s="1404"/>
      <c r="Z290" s="1404"/>
    </row>
    <row r="291">
      <c r="A291" s="1404"/>
      <c r="B291" s="1404"/>
      <c r="C291" s="1404"/>
      <c r="D291" s="1404"/>
      <c r="E291" s="1404"/>
      <c r="F291" s="1404"/>
      <c r="G291" s="1404"/>
      <c r="H291" s="1404"/>
      <c r="I291" s="1404"/>
      <c r="J291" s="1404"/>
      <c r="K291" s="1404"/>
      <c r="L291" s="1404"/>
      <c r="M291" s="1404"/>
      <c r="N291" s="1404"/>
      <c r="O291" s="1404"/>
      <c r="P291" s="1404"/>
      <c r="Q291" s="1404"/>
      <c r="R291" s="1404"/>
      <c r="S291" s="1404"/>
      <c r="T291" s="1404"/>
      <c r="U291" s="1404"/>
      <c r="V291" s="1404"/>
      <c r="W291" s="1404"/>
      <c r="X291" s="1404"/>
      <c r="Y291" s="1404"/>
      <c r="Z291" s="1404"/>
    </row>
    <row r="292">
      <c r="A292" s="1404"/>
      <c r="B292" s="1404"/>
      <c r="C292" s="1404"/>
      <c r="D292" s="1404"/>
      <c r="E292" s="1404"/>
      <c r="F292" s="1404"/>
      <c r="G292" s="1404"/>
      <c r="H292" s="1404"/>
      <c r="I292" s="1404"/>
      <c r="J292" s="1404"/>
      <c r="K292" s="1404"/>
      <c r="L292" s="1404"/>
      <c r="M292" s="1404"/>
      <c r="N292" s="1404"/>
      <c r="O292" s="1404"/>
      <c r="P292" s="1404"/>
      <c r="Q292" s="1404"/>
      <c r="R292" s="1404"/>
      <c r="S292" s="1404"/>
      <c r="T292" s="1404"/>
      <c r="U292" s="1404"/>
      <c r="V292" s="1404"/>
      <c r="W292" s="1404"/>
      <c r="X292" s="1404"/>
      <c r="Y292" s="1404"/>
      <c r="Z292" s="1404"/>
    </row>
    <row r="293">
      <c r="A293" s="1404"/>
      <c r="B293" s="1404"/>
      <c r="C293" s="1404"/>
      <c r="D293" s="1404"/>
      <c r="E293" s="1404"/>
      <c r="F293" s="1404"/>
      <c r="G293" s="1404"/>
      <c r="H293" s="1404"/>
      <c r="I293" s="1404"/>
      <c r="J293" s="1404"/>
      <c r="K293" s="1404"/>
      <c r="L293" s="1404"/>
      <c r="M293" s="1404"/>
      <c r="N293" s="1404"/>
      <c r="O293" s="1404"/>
      <c r="P293" s="1404"/>
      <c r="Q293" s="1404"/>
      <c r="R293" s="1404"/>
      <c r="S293" s="1404"/>
      <c r="T293" s="1404"/>
      <c r="U293" s="1404"/>
      <c r="V293" s="1404"/>
      <c r="W293" s="1404"/>
      <c r="X293" s="1404"/>
      <c r="Y293" s="1404"/>
      <c r="Z293" s="1404"/>
    </row>
    <row r="294">
      <c r="A294" s="1404"/>
      <c r="B294" s="1404"/>
      <c r="C294" s="1404"/>
      <c r="D294" s="1404"/>
      <c r="E294" s="1404"/>
      <c r="F294" s="1404"/>
      <c r="G294" s="1404"/>
      <c r="H294" s="1404"/>
      <c r="I294" s="1404"/>
      <c r="J294" s="1404"/>
      <c r="K294" s="1404"/>
      <c r="L294" s="1404"/>
      <c r="M294" s="1404"/>
      <c r="N294" s="1404"/>
      <c r="O294" s="1404"/>
      <c r="P294" s="1404"/>
      <c r="Q294" s="1404"/>
      <c r="R294" s="1404"/>
      <c r="S294" s="1404"/>
      <c r="T294" s="1404"/>
      <c r="U294" s="1404"/>
      <c r="V294" s="1404"/>
      <c r="W294" s="1404"/>
      <c r="X294" s="1404"/>
      <c r="Y294" s="1404"/>
      <c r="Z294" s="1404"/>
    </row>
    <row r="295">
      <c r="A295" s="1404"/>
      <c r="B295" s="1404"/>
      <c r="C295" s="1404"/>
      <c r="D295" s="1404"/>
      <c r="E295" s="1404"/>
      <c r="F295" s="1404"/>
      <c r="G295" s="1404"/>
      <c r="H295" s="1404"/>
      <c r="I295" s="1404"/>
      <c r="J295" s="1404"/>
      <c r="K295" s="1404"/>
      <c r="L295" s="1404"/>
      <c r="M295" s="1404"/>
      <c r="N295" s="1404"/>
      <c r="O295" s="1404"/>
      <c r="P295" s="1404"/>
      <c r="Q295" s="1404"/>
      <c r="R295" s="1404"/>
      <c r="S295" s="1404"/>
      <c r="T295" s="1404"/>
      <c r="U295" s="1404"/>
      <c r="V295" s="1404"/>
      <c r="W295" s="1404"/>
      <c r="X295" s="1404"/>
      <c r="Y295" s="1404"/>
      <c r="Z295" s="1404"/>
    </row>
    <row r="296">
      <c r="A296" s="1404"/>
      <c r="B296" s="1404"/>
      <c r="C296" s="1404"/>
      <c r="D296" s="1404"/>
      <c r="E296" s="1404"/>
      <c r="F296" s="1404"/>
      <c r="G296" s="1404"/>
      <c r="H296" s="1404"/>
      <c r="I296" s="1404"/>
      <c r="J296" s="1404"/>
      <c r="K296" s="1404"/>
      <c r="L296" s="1404"/>
      <c r="M296" s="1404"/>
      <c r="N296" s="1404"/>
      <c r="O296" s="1404"/>
      <c r="P296" s="1404"/>
      <c r="Q296" s="1404"/>
      <c r="R296" s="1404"/>
      <c r="S296" s="1404"/>
      <c r="T296" s="1404"/>
      <c r="U296" s="1404"/>
      <c r="V296" s="1404"/>
      <c r="W296" s="1404"/>
      <c r="X296" s="1404"/>
      <c r="Y296" s="1404"/>
      <c r="Z296" s="1404"/>
    </row>
    <row r="297">
      <c r="A297" s="1404"/>
      <c r="B297" s="1404"/>
      <c r="C297" s="1404"/>
      <c r="D297" s="1404"/>
      <c r="E297" s="1404"/>
      <c r="F297" s="1404"/>
      <c r="G297" s="1404"/>
      <c r="H297" s="1404"/>
      <c r="I297" s="1404"/>
      <c r="J297" s="1404"/>
      <c r="K297" s="1404"/>
      <c r="L297" s="1404"/>
      <c r="M297" s="1404"/>
      <c r="N297" s="1404"/>
      <c r="O297" s="1404"/>
      <c r="P297" s="1404"/>
      <c r="Q297" s="1404"/>
      <c r="R297" s="1404"/>
      <c r="S297" s="1404"/>
      <c r="T297" s="1404"/>
      <c r="U297" s="1404"/>
      <c r="V297" s="1404"/>
      <c r="W297" s="1404"/>
      <c r="X297" s="1404"/>
      <c r="Y297" s="1404"/>
      <c r="Z297" s="1404"/>
    </row>
    <row r="298">
      <c r="A298" s="1404"/>
      <c r="B298" s="1404"/>
      <c r="C298" s="1404"/>
      <c r="D298" s="1404"/>
      <c r="E298" s="1404"/>
      <c r="F298" s="1404"/>
      <c r="G298" s="1404"/>
      <c r="H298" s="1404"/>
      <c r="I298" s="1404"/>
      <c r="J298" s="1404"/>
      <c r="K298" s="1404"/>
      <c r="L298" s="1404"/>
      <c r="M298" s="1404"/>
      <c r="N298" s="1404"/>
      <c r="O298" s="1404"/>
      <c r="P298" s="1404"/>
      <c r="Q298" s="1404"/>
      <c r="R298" s="1404"/>
      <c r="S298" s="1404"/>
      <c r="T298" s="1404"/>
      <c r="U298" s="1404"/>
      <c r="V298" s="1404"/>
      <c r="W298" s="1404"/>
      <c r="X298" s="1404"/>
      <c r="Y298" s="1404"/>
      <c r="Z298" s="1404"/>
    </row>
    <row r="299">
      <c r="A299" s="1404"/>
      <c r="B299" s="1404"/>
      <c r="C299" s="1404"/>
      <c r="D299" s="1404"/>
      <c r="E299" s="1404"/>
      <c r="F299" s="1404"/>
      <c r="G299" s="1404"/>
      <c r="H299" s="1404"/>
      <c r="I299" s="1404"/>
      <c r="J299" s="1404"/>
      <c r="K299" s="1404"/>
      <c r="L299" s="1404"/>
      <c r="M299" s="1404"/>
      <c r="N299" s="1404"/>
      <c r="O299" s="1404"/>
      <c r="P299" s="1404"/>
      <c r="Q299" s="1404"/>
      <c r="R299" s="1404"/>
      <c r="S299" s="1404"/>
      <c r="T299" s="1404"/>
      <c r="U299" s="1404"/>
      <c r="V299" s="1404"/>
      <c r="W299" s="1404"/>
      <c r="X299" s="1404"/>
      <c r="Y299" s="1404"/>
      <c r="Z299" s="1404"/>
    </row>
    <row r="300">
      <c r="A300" s="1404"/>
      <c r="B300" s="1404"/>
      <c r="C300" s="1404"/>
      <c r="D300" s="1404"/>
      <c r="E300" s="1404"/>
      <c r="F300" s="1404"/>
      <c r="G300" s="1404"/>
      <c r="H300" s="1404"/>
      <c r="I300" s="1404"/>
      <c r="J300" s="1404"/>
      <c r="K300" s="1404"/>
      <c r="L300" s="1404"/>
      <c r="M300" s="1404"/>
      <c r="N300" s="1404"/>
      <c r="O300" s="1404"/>
      <c r="P300" s="1404"/>
      <c r="Q300" s="1404"/>
      <c r="R300" s="1404"/>
      <c r="S300" s="1404"/>
      <c r="T300" s="1404"/>
      <c r="U300" s="1404"/>
      <c r="V300" s="1404"/>
      <c r="W300" s="1404"/>
      <c r="X300" s="1404"/>
      <c r="Y300" s="1404"/>
      <c r="Z300" s="1404"/>
    </row>
    <row r="301">
      <c r="A301" s="1404"/>
      <c r="B301" s="1404"/>
      <c r="C301" s="1404"/>
      <c r="D301" s="1404"/>
      <c r="E301" s="1404"/>
      <c r="F301" s="1404"/>
      <c r="G301" s="1404"/>
      <c r="H301" s="1404"/>
      <c r="I301" s="1404"/>
      <c r="J301" s="1404"/>
      <c r="K301" s="1404"/>
      <c r="L301" s="1404"/>
      <c r="M301" s="1404"/>
      <c r="N301" s="1404"/>
      <c r="O301" s="1404"/>
      <c r="P301" s="1404"/>
      <c r="Q301" s="1404"/>
      <c r="R301" s="1404"/>
      <c r="S301" s="1404"/>
      <c r="T301" s="1404"/>
      <c r="U301" s="1404"/>
      <c r="V301" s="1404"/>
      <c r="W301" s="1404"/>
      <c r="X301" s="1404"/>
      <c r="Y301" s="1404"/>
      <c r="Z301" s="1404"/>
    </row>
    <row r="302">
      <c r="A302" s="1404"/>
      <c r="B302" s="1404"/>
      <c r="C302" s="1404"/>
      <c r="D302" s="1404"/>
      <c r="E302" s="1404"/>
      <c r="F302" s="1404"/>
      <c r="G302" s="1404"/>
      <c r="H302" s="1404"/>
      <c r="I302" s="1404"/>
      <c r="J302" s="1404"/>
      <c r="K302" s="1404"/>
      <c r="L302" s="1404"/>
      <c r="M302" s="1404"/>
      <c r="N302" s="1404"/>
      <c r="O302" s="1404"/>
      <c r="P302" s="1404"/>
      <c r="Q302" s="1404"/>
      <c r="R302" s="1404"/>
      <c r="S302" s="1404"/>
      <c r="T302" s="1404"/>
      <c r="U302" s="1404"/>
      <c r="V302" s="1404"/>
      <c r="W302" s="1404"/>
      <c r="X302" s="1404"/>
      <c r="Y302" s="1404"/>
      <c r="Z302" s="1404"/>
    </row>
    <row r="303">
      <c r="A303" s="1404"/>
      <c r="B303" s="1404"/>
      <c r="C303" s="1404"/>
      <c r="D303" s="1404"/>
      <c r="E303" s="1404"/>
      <c r="F303" s="1404"/>
      <c r="G303" s="1404"/>
      <c r="H303" s="1404"/>
      <c r="I303" s="1404"/>
      <c r="J303" s="1404"/>
      <c r="K303" s="1404"/>
      <c r="L303" s="1404"/>
      <c r="M303" s="1404"/>
      <c r="N303" s="1404"/>
      <c r="O303" s="1404"/>
      <c r="P303" s="1404"/>
      <c r="Q303" s="1404"/>
      <c r="R303" s="1404"/>
      <c r="S303" s="1404"/>
      <c r="T303" s="1404"/>
      <c r="U303" s="1404"/>
      <c r="V303" s="1404"/>
      <c r="W303" s="1404"/>
      <c r="X303" s="1404"/>
      <c r="Y303" s="1404"/>
      <c r="Z303" s="1404"/>
    </row>
    <row r="304">
      <c r="A304" s="1404"/>
      <c r="B304" s="1404"/>
      <c r="C304" s="1404"/>
      <c r="D304" s="1404"/>
      <c r="E304" s="1404"/>
      <c r="F304" s="1404"/>
      <c r="G304" s="1404"/>
      <c r="H304" s="1404"/>
      <c r="I304" s="1404"/>
      <c r="J304" s="1404"/>
      <c r="K304" s="1404"/>
      <c r="L304" s="1404"/>
      <c r="M304" s="1404"/>
      <c r="N304" s="1404"/>
      <c r="O304" s="1404"/>
      <c r="P304" s="1404"/>
      <c r="Q304" s="1404"/>
      <c r="R304" s="1404"/>
      <c r="S304" s="1404"/>
      <c r="T304" s="1404"/>
      <c r="U304" s="1404"/>
      <c r="V304" s="1404"/>
      <c r="W304" s="1404"/>
      <c r="X304" s="1404"/>
      <c r="Y304" s="1404"/>
      <c r="Z304" s="1404"/>
    </row>
    <row r="305">
      <c r="A305" s="1404"/>
      <c r="B305" s="1404"/>
      <c r="C305" s="1404"/>
      <c r="D305" s="1404"/>
      <c r="E305" s="1404"/>
      <c r="F305" s="1404"/>
      <c r="G305" s="1404"/>
      <c r="H305" s="1404"/>
      <c r="I305" s="1404"/>
      <c r="J305" s="1404"/>
      <c r="K305" s="1404"/>
      <c r="L305" s="1404"/>
      <c r="M305" s="1404"/>
      <c r="N305" s="1404"/>
      <c r="O305" s="1404"/>
      <c r="P305" s="1404"/>
      <c r="Q305" s="1404"/>
      <c r="R305" s="1404"/>
      <c r="S305" s="1404"/>
      <c r="T305" s="1404"/>
      <c r="U305" s="1404"/>
      <c r="V305" s="1404"/>
      <c r="W305" s="1404"/>
      <c r="X305" s="1404"/>
      <c r="Y305" s="1404"/>
      <c r="Z305" s="1404"/>
    </row>
    <row r="306">
      <c r="A306" s="1404"/>
      <c r="B306" s="1404"/>
      <c r="C306" s="1404"/>
      <c r="D306" s="1404"/>
      <c r="E306" s="1404"/>
      <c r="F306" s="1404"/>
      <c r="G306" s="1404"/>
      <c r="H306" s="1404"/>
      <c r="I306" s="1404"/>
      <c r="J306" s="1404"/>
      <c r="K306" s="1404"/>
      <c r="L306" s="1404"/>
      <c r="M306" s="1404"/>
      <c r="N306" s="1404"/>
      <c r="O306" s="1404"/>
      <c r="P306" s="1404"/>
      <c r="Q306" s="1404"/>
      <c r="R306" s="1404"/>
      <c r="S306" s="1404"/>
      <c r="T306" s="1404"/>
      <c r="U306" s="1404"/>
      <c r="V306" s="1404"/>
      <c r="W306" s="1404"/>
      <c r="X306" s="1404"/>
      <c r="Y306" s="1404"/>
      <c r="Z306" s="1404"/>
    </row>
    <row r="307">
      <c r="A307" s="1404"/>
      <c r="B307" s="1404"/>
      <c r="C307" s="1404"/>
      <c r="D307" s="1404"/>
      <c r="E307" s="1404"/>
      <c r="F307" s="1404"/>
      <c r="G307" s="1404"/>
      <c r="H307" s="1404"/>
      <c r="I307" s="1404"/>
      <c r="J307" s="1404"/>
      <c r="K307" s="1404"/>
      <c r="L307" s="1404"/>
      <c r="M307" s="1404"/>
      <c r="N307" s="1404"/>
      <c r="O307" s="1404"/>
      <c r="P307" s="1404"/>
      <c r="Q307" s="1404"/>
      <c r="R307" s="1404"/>
      <c r="S307" s="1404"/>
      <c r="T307" s="1404"/>
      <c r="U307" s="1404"/>
      <c r="V307" s="1404"/>
      <c r="W307" s="1404"/>
      <c r="X307" s="1404"/>
      <c r="Y307" s="1404"/>
      <c r="Z307" s="1404"/>
    </row>
    <row r="308">
      <c r="A308" s="1404"/>
      <c r="B308" s="1404"/>
      <c r="C308" s="1404"/>
      <c r="D308" s="1404"/>
      <c r="E308" s="1404"/>
      <c r="F308" s="1404"/>
      <c r="G308" s="1404"/>
      <c r="H308" s="1404"/>
      <c r="I308" s="1404"/>
      <c r="J308" s="1404"/>
      <c r="K308" s="1404"/>
      <c r="L308" s="1404"/>
      <c r="M308" s="1404"/>
      <c r="N308" s="1404"/>
      <c r="O308" s="1404"/>
      <c r="P308" s="1404"/>
      <c r="Q308" s="1404"/>
      <c r="R308" s="1404"/>
      <c r="S308" s="1404"/>
      <c r="T308" s="1404"/>
      <c r="U308" s="1404"/>
      <c r="V308" s="1404"/>
      <c r="W308" s="1404"/>
      <c r="X308" s="1404"/>
      <c r="Y308" s="1404"/>
      <c r="Z308" s="1404"/>
    </row>
    <row r="309">
      <c r="A309" s="1404"/>
      <c r="B309" s="1404"/>
      <c r="C309" s="1404"/>
      <c r="D309" s="1404"/>
      <c r="E309" s="1404"/>
      <c r="F309" s="1404"/>
      <c r="G309" s="1404"/>
      <c r="H309" s="1404"/>
      <c r="I309" s="1404"/>
      <c r="J309" s="1404"/>
      <c r="K309" s="1404"/>
      <c r="L309" s="1404"/>
      <c r="M309" s="1404"/>
      <c r="N309" s="1404"/>
      <c r="O309" s="1404"/>
      <c r="P309" s="1404"/>
      <c r="Q309" s="1404"/>
      <c r="R309" s="1404"/>
      <c r="S309" s="1404"/>
      <c r="T309" s="1404"/>
      <c r="U309" s="1404"/>
      <c r="V309" s="1404"/>
      <c r="W309" s="1404"/>
      <c r="X309" s="1404"/>
      <c r="Y309" s="1404"/>
      <c r="Z309" s="1404"/>
    </row>
    <row r="310">
      <c r="A310" s="1404"/>
      <c r="B310" s="1404"/>
      <c r="C310" s="1404"/>
      <c r="D310" s="1404"/>
      <c r="E310" s="1404"/>
      <c r="F310" s="1404"/>
      <c r="G310" s="1404"/>
      <c r="H310" s="1404"/>
      <c r="I310" s="1404"/>
      <c r="J310" s="1404"/>
      <c r="K310" s="1404"/>
      <c r="L310" s="1404"/>
      <c r="M310" s="1404"/>
      <c r="N310" s="1404"/>
      <c r="O310" s="1404"/>
      <c r="P310" s="1404"/>
      <c r="Q310" s="1404"/>
      <c r="R310" s="1404"/>
      <c r="S310" s="1404"/>
      <c r="T310" s="1404"/>
      <c r="U310" s="1404"/>
      <c r="V310" s="1404"/>
      <c r="W310" s="1404"/>
      <c r="X310" s="1404"/>
      <c r="Y310" s="1404"/>
      <c r="Z310" s="1404"/>
    </row>
    <row r="311">
      <c r="A311" s="1404"/>
      <c r="B311" s="1404"/>
      <c r="C311" s="1404"/>
      <c r="D311" s="1404"/>
      <c r="E311" s="1404"/>
      <c r="F311" s="1404"/>
      <c r="G311" s="1404"/>
      <c r="H311" s="1404"/>
      <c r="I311" s="1404"/>
      <c r="J311" s="1404"/>
      <c r="K311" s="1404"/>
      <c r="L311" s="1404"/>
      <c r="M311" s="1404"/>
      <c r="N311" s="1404"/>
      <c r="O311" s="1404"/>
      <c r="P311" s="1404"/>
      <c r="Q311" s="1404"/>
      <c r="R311" s="1404"/>
      <c r="S311" s="1404"/>
      <c r="T311" s="1404"/>
      <c r="U311" s="1404"/>
      <c r="V311" s="1404"/>
      <c r="W311" s="1404"/>
      <c r="X311" s="1404"/>
      <c r="Y311" s="1404"/>
      <c r="Z311" s="1404"/>
    </row>
    <row r="312">
      <c r="A312" s="1404"/>
      <c r="B312" s="1404"/>
      <c r="C312" s="1404"/>
      <c r="D312" s="1404"/>
      <c r="E312" s="1404"/>
      <c r="F312" s="1404"/>
      <c r="G312" s="1404"/>
      <c r="H312" s="1404"/>
      <c r="I312" s="1404"/>
      <c r="J312" s="1404"/>
      <c r="K312" s="1404"/>
      <c r="L312" s="1404"/>
      <c r="M312" s="1404"/>
      <c r="N312" s="1404"/>
      <c r="O312" s="1404"/>
      <c r="P312" s="1404"/>
      <c r="Q312" s="1404"/>
      <c r="R312" s="1404"/>
      <c r="S312" s="1404"/>
      <c r="T312" s="1404"/>
      <c r="U312" s="1404"/>
      <c r="V312" s="1404"/>
      <c r="W312" s="1404"/>
      <c r="X312" s="1404"/>
      <c r="Y312" s="1404"/>
      <c r="Z312" s="1404"/>
    </row>
    <row r="313">
      <c r="A313" s="1404"/>
      <c r="B313" s="1404"/>
      <c r="C313" s="1404"/>
      <c r="D313" s="1404"/>
      <c r="E313" s="1404"/>
      <c r="F313" s="1404"/>
      <c r="G313" s="1404"/>
      <c r="H313" s="1404"/>
      <c r="I313" s="1404"/>
      <c r="J313" s="1404"/>
      <c r="K313" s="1404"/>
      <c r="L313" s="1404"/>
      <c r="M313" s="1404"/>
      <c r="N313" s="1404"/>
      <c r="O313" s="1404"/>
      <c r="P313" s="1404"/>
      <c r="Q313" s="1404"/>
      <c r="R313" s="1404"/>
      <c r="S313" s="1404"/>
      <c r="T313" s="1404"/>
      <c r="U313" s="1404"/>
      <c r="V313" s="1404"/>
      <c r="W313" s="1404"/>
      <c r="X313" s="1404"/>
      <c r="Y313" s="1404"/>
      <c r="Z313" s="1404"/>
    </row>
    <row r="314">
      <c r="A314" s="1404"/>
      <c r="B314" s="1404"/>
      <c r="C314" s="1404"/>
      <c r="D314" s="1404"/>
      <c r="E314" s="1404"/>
      <c r="F314" s="1404"/>
      <c r="G314" s="1404"/>
      <c r="H314" s="1404"/>
      <c r="I314" s="1404"/>
      <c r="J314" s="1404"/>
      <c r="K314" s="1404"/>
      <c r="L314" s="1404"/>
      <c r="M314" s="1404"/>
      <c r="N314" s="1404"/>
      <c r="O314" s="1404"/>
      <c r="P314" s="1404"/>
      <c r="Q314" s="1404"/>
      <c r="R314" s="1404"/>
      <c r="S314" s="1404"/>
      <c r="T314" s="1404"/>
      <c r="U314" s="1404"/>
      <c r="V314" s="1404"/>
      <c r="W314" s="1404"/>
      <c r="X314" s="1404"/>
      <c r="Y314" s="1404"/>
      <c r="Z314" s="1404"/>
    </row>
    <row r="315">
      <c r="A315" s="1404"/>
      <c r="B315" s="1404"/>
      <c r="C315" s="1404"/>
      <c r="D315" s="1404"/>
      <c r="E315" s="1404"/>
      <c r="F315" s="1404"/>
      <c r="G315" s="1404"/>
      <c r="H315" s="1404"/>
      <c r="I315" s="1404"/>
      <c r="J315" s="1404"/>
      <c r="K315" s="1404"/>
      <c r="L315" s="1404"/>
      <c r="M315" s="1404"/>
      <c r="N315" s="1404"/>
      <c r="O315" s="1404"/>
      <c r="P315" s="1404"/>
      <c r="Q315" s="1404"/>
      <c r="R315" s="1404"/>
      <c r="S315" s="1404"/>
      <c r="T315" s="1404"/>
      <c r="U315" s="1404"/>
      <c r="V315" s="1404"/>
      <c r="W315" s="1404"/>
      <c r="X315" s="1404"/>
      <c r="Y315" s="1404"/>
      <c r="Z315" s="1404"/>
    </row>
    <row r="316">
      <c r="A316" s="1404"/>
      <c r="B316" s="1404"/>
      <c r="C316" s="1404"/>
      <c r="D316" s="1404"/>
      <c r="E316" s="1404"/>
      <c r="F316" s="1404"/>
      <c r="G316" s="1404"/>
      <c r="H316" s="1404"/>
      <c r="I316" s="1404"/>
      <c r="J316" s="1404"/>
      <c r="K316" s="1404"/>
      <c r="L316" s="1404"/>
      <c r="M316" s="1404"/>
      <c r="N316" s="1404"/>
      <c r="O316" s="1404"/>
      <c r="P316" s="1404"/>
      <c r="Q316" s="1404"/>
      <c r="R316" s="1404"/>
      <c r="S316" s="1404"/>
      <c r="T316" s="1404"/>
      <c r="U316" s="1404"/>
      <c r="V316" s="1404"/>
      <c r="W316" s="1404"/>
      <c r="X316" s="1404"/>
      <c r="Y316" s="1404"/>
      <c r="Z316" s="1404"/>
    </row>
    <row r="317">
      <c r="A317" s="1404"/>
      <c r="B317" s="1404"/>
      <c r="C317" s="1404"/>
      <c r="D317" s="1404"/>
      <c r="E317" s="1404"/>
      <c r="F317" s="1404"/>
      <c r="G317" s="1404"/>
      <c r="H317" s="1404"/>
      <c r="I317" s="1404"/>
      <c r="J317" s="1404"/>
      <c r="K317" s="1404"/>
      <c r="L317" s="1404"/>
      <c r="M317" s="1404"/>
      <c r="N317" s="1404"/>
      <c r="O317" s="1404"/>
      <c r="P317" s="1404"/>
      <c r="Q317" s="1404"/>
      <c r="R317" s="1404"/>
      <c r="S317" s="1404"/>
      <c r="T317" s="1404"/>
      <c r="U317" s="1404"/>
      <c r="V317" s="1404"/>
      <c r="W317" s="1404"/>
      <c r="X317" s="1404"/>
      <c r="Y317" s="1404"/>
      <c r="Z317" s="1404"/>
    </row>
    <row r="318">
      <c r="A318" s="1404"/>
      <c r="B318" s="1404"/>
      <c r="C318" s="1404"/>
      <c r="D318" s="1404"/>
      <c r="E318" s="1404"/>
      <c r="F318" s="1404"/>
      <c r="G318" s="1404"/>
      <c r="H318" s="1404"/>
      <c r="I318" s="1404"/>
      <c r="J318" s="1404"/>
      <c r="K318" s="1404"/>
      <c r="L318" s="1404"/>
      <c r="M318" s="1404"/>
      <c r="N318" s="1404"/>
      <c r="O318" s="1404"/>
      <c r="P318" s="1404"/>
      <c r="Q318" s="1404"/>
      <c r="R318" s="1404"/>
      <c r="S318" s="1404"/>
      <c r="T318" s="1404"/>
      <c r="U318" s="1404"/>
      <c r="V318" s="1404"/>
      <c r="W318" s="1404"/>
      <c r="X318" s="1404"/>
      <c r="Y318" s="1404"/>
      <c r="Z318" s="1404"/>
    </row>
    <row r="319">
      <c r="A319" s="1404"/>
      <c r="B319" s="1404"/>
      <c r="C319" s="1404"/>
      <c r="D319" s="1404"/>
      <c r="E319" s="1404"/>
      <c r="F319" s="1404"/>
      <c r="G319" s="1404"/>
      <c r="H319" s="1404"/>
      <c r="I319" s="1404"/>
      <c r="J319" s="1404"/>
      <c r="K319" s="1404"/>
      <c r="L319" s="1404"/>
      <c r="M319" s="1404"/>
      <c r="N319" s="1404"/>
      <c r="O319" s="1404"/>
      <c r="P319" s="1404"/>
      <c r="Q319" s="1404"/>
      <c r="R319" s="1404"/>
      <c r="S319" s="1404"/>
      <c r="T319" s="1404"/>
      <c r="U319" s="1404"/>
      <c r="V319" s="1404"/>
      <c r="W319" s="1404"/>
      <c r="X319" s="1404"/>
      <c r="Y319" s="1404"/>
      <c r="Z319" s="1404"/>
    </row>
    <row r="320">
      <c r="A320" s="1404"/>
      <c r="B320" s="1404"/>
      <c r="C320" s="1404"/>
      <c r="D320" s="1404"/>
      <c r="E320" s="1404"/>
      <c r="F320" s="1404"/>
      <c r="G320" s="1404"/>
      <c r="H320" s="1404"/>
      <c r="I320" s="1404"/>
      <c r="J320" s="1404"/>
      <c r="K320" s="1404"/>
      <c r="L320" s="1404"/>
      <c r="M320" s="1404"/>
      <c r="N320" s="1404"/>
      <c r="O320" s="1404"/>
      <c r="P320" s="1404"/>
      <c r="Q320" s="1404"/>
      <c r="R320" s="1404"/>
      <c r="S320" s="1404"/>
      <c r="T320" s="1404"/>
      <c r="U320" s="1404"/>
      <c r="V320" s="1404"/>
      <c r="W320" s="1404"/>
      <c r="X320" s="1404"/>
      <c r="Y320" s="1404"/>
      <c r="Z320" s="1404"/>
    </row>
    <row r="321">
      <c r="A321" s="1404"/>
      <c r="B321" s="1404"/>
      <c r="C321" s="1404"/>
      <c r="D321" s="1404"/>
      <c r="E321" s="1404"/>
      <c r="F321" s="1404"/>
      <c r="G321" s="1404"/>
      <c r="H321" s="1404"/>
      <c r="I321" s="1404"/>
      <c r="J321" s="1404"/>
      <c r="K321" s="1404"/>
      <c r="L321" s="1404"/>
      <c r="M321" s="1404"/>
      <c r="N321" s="1404"/>
      <c r="O321" s="1404"/>
      <c r="P321" s="1404"/>
      <c r="Q321" s="1404"/>
      <c r="R321" s="1404"/>
      <c r="S321" s="1404"/>
      <c r="T321" s="1404"/>
      <c r="U321" s="1404"/>
      <c r="V321" s="1404"/>
      <c r="W321" s="1404"/>
      <c r="X321" s="1404"/>
      <c r="Y321" s="1404"/>
      <c r="Z321" s="1404"/>
    </row>
    <row r="322">
      <c r="A322" s="1404"/>
      <c r="B322" s="1404"/>
      <c r="C322" s="1404"/>
      <c r="D322" s="1404"/>
      <c r="E322" s="1404"/>
      <c r="F322" s="1404"/>
      <c r="G322" s="1404"/>
      <c r="H322" s="1404"/>
      <c r="I322" s="1404"/>
      <c r="J322" s="1404"/>
      <c r="K322" s="1404"/>
      <c r="L322" s="1404"/>
      <c r="M322" s="1404"/>
      <c r="N322" s="1404"/>
      <c r="O322" s="1404"/>
      <c r="P322" s="1404"/>
      <c r="Q322" s="1404"/>
      <c r="R322" s="1404"/>
      <c r="S322" s="1404"/>
      <c r="T322" s="1404"/>
      <c r="U322" s="1404"/>
      <c r="V322" s="1404"/>
      <c r="W322" s="1404"/>
      <c r="X322" s="1404"/>
      <c r="Y322" s="1404"/>
      <c r="Z322" s="1404"/>
    </row>
    <row r="323">
      <c r="A323" s="1404"/>
      <c r="B323" s="1404"/>
      <c r="C323" s="1404"/>
      <c r="D323" s="1404"/>
      <c r="E323" s="1404"/>
      <c r="F323" s="1404"/>
      <c r="G323" s="1404"/>
      <c r="H323" s="1404"/>
      <c r="I323" s="1404"/>
      <c r="J323" s="1404"/>
      <c r="K323" s="1404"/>
      <c r="L323" s="1404"/>
      <c r="M323" s="1404"/>
      <c r="N323" s="1404"/>
      <c r="O323" s="1404"/>
      <c r="P323" s="1404"/>
      <c r="Q323" s="1404"/>
      <c r="R323" s="1404"/>
      <c r="S323" s="1404"/>
      <c r="T323" s="1404"/>
      <c r="U323" s="1404"/>
      <c r="V323" s="1404"/>
      <c r="W323" s="1404"/>
      <c r="X323" s="1404"/>
      <c r="Y323" s="1404"/>
      <c r="Z323" s="1404"/>
    </row>
    <row r="324">
      <c r="A324" s="1404"/>
      <c r="B324" s="1404"/>
      <c r="C324" s="1404"/>
      <c r="D324" s="1404"/>
      <c r="E324" s="1404"/>
      <c r="F324" s="1404"/>
      <c r="G324" s="1404"/>
      <c r="H324" s="1404"/>
      <c r="I324" s="1404"/>
      <c r="J324" s="1404"/>
      <c r="K324" s="1404"/>
      <c r="L324" s="1404"/>
      <c r="M324" s="1404"/>
      <c r="N324" s="1404"/>
      <c r="O324" s="1404"/>
      <c r="P324" s="1404"/>
      <c r="Q324" s="1404"/>
      <c r="R324" s="1404"/>
      <c r="S324" s="1404"/>
      <c r="T324" s="1404"/>
      <c r="U324" s="1404"/>
      <c r="V324" s="1404"/>
      <c r="W324" s="1404"/>
      <c r="X324" s="1404"/>
      <c r="Y324" s="1404"/>
      <c r="Z324" s="1404"/>
    </row>
    <row r="325">
      <c r="A325" s="1404"/>
      <c r="B325" s="1404"/>
      <c r="C325" s="1404"/>
      <c r="D325" s="1404"/>
      <c r="E325" s="1404"/>
      <c r="F325" s="1404"/>
      <c r="G325" s="1404"/>
      <c r="H325" s="1404"/>
      <c r="I325" s="1404"/>
      <c r="J325" s="1404"/>
      <c r="K325" s="1404"/>
      <c r="L325" s="1404"/>
      <c r="M325" s="1404"/>
      <c r="N325" s="1404"/>
      <c r="O325" s="1404"/>
      <c r="P325" s="1404"/>
      <c r="Q325" s="1404"/>
      <c r="R325" s="1404"/>
      <c r="S325" s="1404"/>
      <c r="T325" s="1404"/>
      <c r="U325" s="1404"/>
      <c r="V325" s="1404"/>
      <c r="W325" s="1404"/>
      <c r="X325" s="1404"/>
      <c r="Y325" s="1404"/>
      <c r="Z325" s="1404"/>
    </row>
    <row r="326">
      <c r="A326" s="1404"/>
      <c r="B326" s="1404"/>
      <c r="C326" s="1404"/>
      <c r="D326" s="1404"/>
      <c r="E326" s="1404"/>
      <c r="F326" s="1404"/>
      <c r="G326" s="1404"/>
      <c r="H326" s="1404"/>
      <c r="I326" s="1404"/>
      <c r="J326" s="1404"/>
      <c r="K326" s="1404"/>
      <c r="L326" s="1404"/>
      <c r="M326" s="1404"/>
      <c r="N326" s="1404"/>
      <c r="O326" s="1404"/>
      <c r="P326" s="1404"/>
      <c r="Q326" s="1404"/>
      <c r="R326" s="1404"/>
      <c r="S326" s="1404"/>
      <c r="T326" s="1404"/>
      <c r="U326" s="1404"/>
      <c r="V326" s="1404"/>
      <c r="W326" s="1404"/>
      <c r="X326" s="1404"/>
      <c r="Y326" s="1404"/>
      <c r="Z326" s="1404"/>
    </row>
    <row r="327">
      <c r="A327" s="1404"/>
      <c r="B327" s="1404"/>
      <c r="C327" s="1404"/>
      <c r="D327" s="1404"/>
      <c r="E327" s="1404"/>
      <c r="F327" s="1404"/>
      <c r="G327" s="1404"/>
      <c r="H327" s="1404"/>
      <c r="I327" s="1404"/>
      <c r="J327" s="1404"/>
      <c r="K327" s="1404"/>
      <c r="L327" s="1404"/>
      <c r="M327" s="1404"/>
      <c r="N327" s="1404"/>
      <c r="O327" s="1404"/>
      <c r="P327" s="1404"/>
      <c r="Q327" s="1404"/>
      <c r="R327" s="1404"/>
      <c r="S327" s="1404"/>
      <c r="T327" s="1404"/>
      <c r="U327" s="1404"/>
      <c r="V327" s="1404"/>
      <c r="W327" s="1404"/>
      <c r="X327" s="1404"/>
      <c r="Y327" s="1404"/>
      <c r="Z327" s="1404"/>
    </row>
    <row r="328">
      <c r="A328" s="1404"/>
      <c r="B328" s="1404"/>
      <c r="C328" s="1404"/>
      <c r="D328" s="1404"/>
      <c r="E328" s="1404"/>
      <c r="F328" s="1404"/>
      <c r="G328" s="1404"/>
      <c r="H328" s="1404"/>
      <c r="I328" s="1404"/>
      <c r="J328" s="1404"/>
      <c r="K328" s="1404"/>
      <c r="L328" s="1404"/>
      <c r="M328" s="1404"/>
      <c r="N328" s="1404"/>
      <c r="O328" s="1404"/>
      <c r="P328" s="1404"/>
      <c r="Q328" s="1404"/>
      <c r="R328" s="1404"/>
      <c r="S328" s="1404"/>
      <c r="T328" s="1404"/>
      <c r="U328" s="1404"/>
      <c r="V328" s="1404"/>
      <c r="W328" s="1404"/>
      <c r="X328" s="1404"/>
      <c r="Y328" s="1404"/>
      <c r="Z328" s="1404"/>
    </row>
    <row r="329">
      <c r="A329" s="1404"/>
      <c r="B329" s="1404"/>
      <c r="C329" s="1404"/>
      <c r="D329" s="1404"/>
      <c r="E329" s="1404"/>
      <c r="F329" s="1404"/>
      <c r="G329" s="1404"/>
      <c r="H329" s="1404"/>
      <c r="I329" s="1404"/>
      <c r="J329" s="1404"/>
      <c r="K329" s="1404"/>
      <c r="L329" s="1404"/>
      <c r="M329" s="1404"/>
      <c r="N329" s="1404"/>
      <c r="O329" s="1404"/>
      <c r="P329" s="1404"/>
      <c r="Q329" s="1404"/>
      <c r="R329" s="1404"/>
      <c r="S329" s="1404"/>
      <c r="T329" s="1404"/>
      <c r="U329" s="1404"/>
      <c r="V329" s="1404"/>
      <c r="W329" s="1404"/>
      <c r="X329" s="1404"/>
      <c r="Y329" s="1404"/>
      <c r="Z329" s="1404"/>
    </row>
    <row r="330">
      <c r="A330" s="1404"/>
      <c r="B330" s="1404"/>
      <c r="C330" s="1404"/>
      <c r="D330" s="1404"/>
      <c r="E330" s="1404"/>
      <c r="F330" s="1404"/>
      <c r="G330" s="1404"/>
      <c r="H330" s="1404"/>
      <c r="I330" s="1404"/>
      <c r="J330" s="1404"/>
      <c r="K330" s="1404"/>
      <c r="L330" s="1404"/>
      <c r="M330" s="1404"/>
      <c r="N330" s="1404"/>
      <c r="O330" s="1404"/>
      <c r="P330" s="1404"/>
      <c r="Q330" s="1404"/>
      <c r="R330" s="1404"/>
      <c r="S330" s="1404"/>
      <c r="T330" s="1404"/>
      <c r="U330" s="1404"/>
      <c r="V330" s="1404"/>
      <c r="W330" s="1404"/>
      <c r="X330" s="1404"/>
      <c r="Y330" s="1404"/>
      <c r="Z330" s="1404"/>
    </row>
    <row r="331">
      <c r="A331" s="1404"/>
      <c r="B331" s="1404"/>
      <c r="C331" s="1404"/>
      <c r="D331" s="1404"/>
      <c r="E331" s="1404"/>
      <c r="F331" s="1404"/>
      <c r="G331" s="1404"/>
      <c r="H331" s="1404"/>
      <c r="I331" s="1404"/>
      <c r="J331" s="1404"/>
      <c r="K331" s="1404"/>
      <c r="L331" s="1404"/>
      <c r="M331" s="1404"/>
      <c r="N331" s="1404"/>
      <c r="O331" s="1404"/>
      <c r="P331" s="1404"/>
      <c r="Q331" s="1404"/>
      <c r="R331" s="1404"/>
      <c r="S331" s="1404"/>
      <c r="T331" s="1404"/>
      <c r="U331" s="1404"/>
      <c r="V331" s="1404"/>
      <c r="W331" s="1404"/>
      <c r="X331" s="1404"/>
      <c r="Y331" s="1404"/>
      <c r="Z331" s="1404"/>
    </row>
    <row r="332">
      <c r="A332" s="1404"/>
      <c r="B332" s="1404"/>
      <c r="C332" s="1404"/>
      <c r="D332" s="1404"/>
      <c r="E332" s="1404"/>
      <c r="F332" s="1404"/>
      <c r="G332" s="1404"/>
      <c r="H332" s="1404"/>
      <c r="I332" s="1404"/>
      <c r="J332" s="1404"/>
      <c r="K332" s="1404"/>
      <c r="L332" s="1404"/>
      <c r="M332" s="1404"/>
      <c r="N332" s="1404"/>
      <c r="O332" s="1404"/>
      <c r="P332" s="1404"/>
      <c r="Q332" s="1404"/>
      <c r="R332" s="1404"/>
      <c r="S332" s="1404"/>
      <c r="T332" s="1404"/>
      <c r="U332" s="1404"/>
      <c r="V332" s="1404"/>
      <c r="W332" s="1404"/>
      <c r="X332" s="1404"/>
      <c r="Y332" s="1404"/>
      <c r="Z332" s="1404"/>
    </row>
    <row r="333">
      <c r="A333" s="1404"/>
      <c r="B333" s="1404"/>
      <c r="C333" s="1404"/>
      <c r="D333" s="1404"/>
      <c r="E333" s="1404"/>
      <c r="F333" s="1404"/>
      <c r="G333" s="1404"/>
      <c r="H333" s="1404"/>
      <c r="I333" s="1404"/>
      <c r="J333" s="1404"/>
      <c r="K333" s="1404"/>
      <c r="L333" s="1404"/>
      <c r="M333" s="1404"/>
      <c r="N333" s="1404"/>
      <c r="O333" s="1404"/>
      <c r="P333" s="1404"/>
      <c r="Q333" s="1404"/>
      <c r="R333" s="1404"/>
      <c r="S333" s="1404"/>
      <c r="T333" s="1404"/>
      <c r="U333" s="1404"/>
      <c r="V333" s="1404"/>
      <c r="W333" s="1404"/>
      <c r="X333" s="1404"/>
      <c r="Y333" s="1404"/>
      <c r="Z333" s="1404"/>
    </row>
    <row r="334">
      <c r="A334" s="1404"/>
      <c r="B334" s="1404"/>
      <c r="C334" s="1404"/>
      <c r="D334" s="1404"/>
      <c r="E334" s="1404"/>
      <c r="F334" s="1404"/>
      <c r="G334" s="1404"/>
      <c r="H334" s="1404"/>
      <c r="I334" s="1404"/>
      <c r="J334" s="1404"/>
      <c r="K334" s="1404"/>
      <c r="L334" s="1404"/>
      <c r="M334" s="1404"/>
      <c r="N334" s="1404"/>
      <c r="O334" s="1404"/>
      <c r="P334" s="1404"/>
      <c r="Q334" s="1404"/>
      <c r="R334" s="1404"/>
      <c r="S334" s="1404"/>
      <c r="T334" s="1404"/>
      <c r="U334" s="1404"/>
      <c r="V334" s="1404"/>
      <c r="W334" s="1404"/>
      <c r="X334" s="1404"/>
      <c r="Y334" s="1404"/>
      <c r="Z334" s="1404"/>
    </row>
    <row r="335">
      <c r="A335" s="1404"/>
      <c r="B335" s="1404"/>
      <c r="C335" s="1404"/>
      <c r="D335" s="1404"/>
      <c r="E335" s="1404"/>
      <c r="F335" s="1404"/>
      <c r="G335" s="1404"/>
      <c r="H335" s="1404"/>
      <c r="I335" s="1404"/>
      <c r="J335" s="1404"/>
      <c r="K335" s="1404"/>
      <c r="L335" s="1404"/>
      <c r="M335" s="1404"/>
      <c r="N335" s="1404"/>
      <c r="O335" s="1404"/>
      <c r="P335" s="1404"/>
      <c r="Q335" s="1404"/>
      <c r="R335" s="1404"/>
      <c r="S335" s="1404"/>
      <c r="T335" s="1404"/>
      <c r="U335" s="1404"/>
      <c r="V335" s="1404"/>
      <c r="W335" s="1404"/>
      <c r="X335" s="1404"/>
      <c r="Y335" s="1404"/>
      <c r="Z335" s="1404"/>
    </row>
    <row r="336">
      <c r="A336" s="1404"/>
      <c r="B336" s="1404"/>
      <c r="C336" s="1404"/>
      <c r="D336" s="1404"/>
      <c r="E336" s="1404"/>
      <c r="F336" s="1404"/>
      <c r="G336" s="1404"/>
      <c r="H336" s="1404"/>
      <c r="I336" s="1404"/>
      <c r="J336" s="1404"/>
      <c r="K336" s="1404"/>
      <c r="L336" s="1404"/>
      <c r="M336" s="1404"/>
      <c r="N336" s="1404"/>
      <c r="O336" s="1404"/>
      <c r="P336" s="1404"/>
      <c r="Q336" s="1404"/>
      <c r="R336" s="1404"/>
      <c r="S336" s="1404"/>
      <c r="T336" s="1404"/>
      <c r="U336" s="1404"/>
      <c r="V336" s="1404"/>
      <c r="W336" s="1404"/>
      <c r="X336" s="1404"/>
      <c r="Y336" s="1404"/>
      <c r="Z336" s="1404"/>
    </row>
    <row r="337">
      <c r="A337" s="1404"/>
      <c r="B337" s="1404"/>
      <c r="C337" s="1404"/>
      <c r="D337" s="1404"/>
      <c r="E337" s="1404"/>
      <c r="F337" s="1404"/>
      <c r="G337" s="1404"/>
      <c r="H337" s="1404"/>
      <c r="I337" s="1404"/>
      <c r="J337" s="1404"/>
      <c r="K337" s="1404"/>
      <c r="L337" s="1404"/>
      <c r="M337" s="1404"/>
      <c r="N337" s="1404"/>
      <c r="O337" s="1404"/>
      <c r="P337" s="1404"/>
      <c r="Q337" s="1404"/>
      <c r="R337" s="1404"/>
      <c r="S337" s="1404"/>
      <c r="T337" s="1404"/>
      <c r="U337" s="1404"/>
      <c r="V337" s="1404"/>
      <c r="W337" s="1404"/>
      <c r="X337" s="1404"/>
      <c r="Y337" s="1404"/>
      <c r="Z337" s="1404"/>
    </row>
    <row r="338">
      <c r="A338" s="1404"/>
      <c r="B338" s="1404"/>
      <c r="C338" s="1404"/>
      <c r="D338" s="1404"/>
      <c r="E338" s="1404"/>
      <c r="F338" s="1404"/>
      <c r="G338" s="1404"/>
      <c r="H338" s="1404"/>
      <c r="I338" s="1404"/>
      <c r="J338" s="1404"/>
      <c r="K338" s="1404"/>
      <c r="L338" s="1404"/>
      <c r="M338" s="1404"/>
      <c r="N338" s="1404"/>
      <c r="O338" s="1404"/>
      <c r="P338" s="1404"/>
      <c r="Q338" s="1404"/>
      <c r="R338" s="1404"/>
      <c r="S338" s="1404"/>
      <c r="T338" s="1404"/>
      <c r="U338" s="1404"/>
      <c r="V338" s="1404"/>
      <c r="W338" s="1404"/>
      <c r="X338" s="1404"/>
      <c r="Y338" s="1404"/>
      <c r="Z338" s="1404"/>
    </row>
    <row r="339">
      <c r="A339" s="1404"/>
      <c r="B339" s="1404"/>
      <c r="C339" s="1404"/>
      <c r="D339" s="1404"/>
      <c r="E339" s="1404"/>
      <c r="F339" s="1404"/>
      <c r="G339" s="1404"/>
      <c r="H339" s="1404"/>
      <c r="I339" s="1404"/>
      <c r="J339" s="1404"/>
      <c r="K339" s="1404"/>
      <c r="L339" s="1404"/>
      <c r="M339" s="1404"/>
      <c r="N339" s="1404"/>
      <c r="O339" s="1404"/>
      <c r="P339" s="1404"/>
      <c r="Q339" s="1404"/>
      <c r="R339" s="1404"/>
      <c r="S339" s="1404"/>
      <c r="T339" s="1404"/>
      <c r="U339" s="1404"/>
      <c r="V339" s="1404"/>
      <c r="W339" s="1404"/>
      <c r="X339" s="1404"/>
      <c r="Y339" s="1404"/>
      <c r="Z339" s="1404"/>
    </row>
    <row r="340">
      <c r="A340" s="1404"/>
      <c r="B340" s="1404"/>
      <c r="C340" s="1404"/>
      <c r="D340" s="1404"/>
      <c r="E340" s="1404"/>
      <c r="F340" s="1404"/>
      <c r="G340" s="1404"/>
      <c r="H340" s="1404"/>
      <c r="I340" s="1404"/>
      <c r="J340" s="1404"/>
      <c r="K340" s="1404"/>
      <c r="L340" s="1404"/>
      <c r="M340" s="1404"/>
      <c r="N340" s="1404"/>
      <c r="O340" s="1404"/>
      <c r="P340" s="1404"/>
      <c r="Q340" s="1404"/>
      <c r="R340" s="1404"/>
      <c r="S340" s="1404"/>
      <c r="T340" s="1404"/>
      <c r="U340" s="1404"/>
      <c r="V340" s="1404"/>
      <c r="W340" s="1404"/>
      <c r="X340" s="1404"/>
      <c r="Y340" s="1404"/>
      <c r="Z340" s="1404"/>
    </row>
    <row r="341">
      <c r="A341" s="1404"/>
      <c r="B341" s="1404"/>
      <c r="C341" s="1404"/>
      <c r="D341" s="1404"/>
      <c r="E341" s="1404"/>
      <c r="F341" s="1404"/>
      <c r="G341" s="1404"/>
      <c r="H341" s="1404"/>
      <c r="I341" s="1404"/>
      <c r="J341" s="1404"/>
      <c r="K341" s="1404"/>
      <c r="L341" s="1404"/>
      <c r="M341" s="1404"/>
      <c r="N341" s="1404"/>
      <c r="O341" s="1404"/>
      <c r="P341" s="1404"/>
      <c r="Q341" s="1404"/>
      <c r="R341" s="1404"/>
      <c r="S341" s="1404"/>
      <c r="T341" s="1404"/>
      <c r="U341" s="1404"/>
      <c r="V341" s="1404"/>
      <c r="W341" s="1404"/>
      <c r="X341" s="1404"/>
      <c r="Y341" s="1404"/>
      <c r="Z341" s="1404"/>
    </row>
    <row r="342">
      <c r="A342" s="1404"/>
      <c r="B342" s="1404"/>
      <c r="C342" s="1404"/>
      <c r="D342" s="1404"/>
      <c r="E342" s="1404"/>
      <c r="F342" s="1404"/>
      <c r="G342" s="1404"/>
      <c r="H342" s="1404"/>
      <c r="I342" s="1404"/>
      <c r="J342" s="1404"/>
      <c r="K342" s="1404"/>
      <c r="L342" s="1404"/>
      <c r="M342" s="1404"/>
      <c r="N342" s="1404"/>
      <c r="O342" s="1404"/>
      <c r="P342" s="1404"/>
      <c r="Q342" s="1404"/>
      <c r="R342" s="1404"/>
      <c r="S342" s="1404"/>
      <c r="T342" s="1404"/>
      <c r="U342" s="1404"/>
      <c r="V342" s="1404"/>
      <c r="W342" s="1404"/>
      <c r="X342" s="1404"/>
      <c r="Y342" s="1404"/>
      <c r="Z342" s="1404"/>
    </row>
    <row r="343">
      <c r="A343" s="1404"/>
      <c r="B343" s="1404"/>
      <c r="C343" s="1404"/>
      <c r="D343" s="1404"/>
      <c r="E343" s="1404"/>
      <c r="F343" s="1404"/>
      <c r="G343" s="1404"/>
      <c r="H343" s="1404"/>
      <c r="I343" s="1404"/>
      <c r="J343" s="1404"/>
      <c r="K343" s="1404"/>
      <c r="L343" s="1404"/>
      <c r="M343" s="1404"/>
      <c r="N343" s="1404"/>
      <c r="O343" s="1404"/>
      <c r="P343" s="1404"/>
      <c r="Q343" s="1404"/>
      <c r="R343" s="1404"/>
      <c r="S343" s="1404"/>
      <c r="T343" s="1404"/>
      <c r="U343" s="1404"/>
      <c r="V343" s="1404"/>
      <c r="W343" s="1404"/>
      <c r="X343" s="1404"/>
      <c r="Y343" s="1404"/>
      <c r="Z343" s="1404"/>
    </row>
    <row r="344">
      <c r="A344" s="1404"/>
      <c r="B344" s="1404"/>
      <c r="C344" s="1404"/>
      <c r="D344" s="1404"/>
      <c r="E344" s="1404"/>
      <c r="F344" s="1404"/>
      <c r="G344" s="1404"/>
      <c r="H344" s="1404"/>
      <c r="I344" s="1404"/>
      <c r="J344" s="1404"/>
      <c r="K344" s="1404"/>
      <c r="L344" s="1404"/>
      <c r="M344" s="1404"/>
      <c r="N344" s="1404"/>
      <c r="O344" s="1404"/>
      <c r="P344" s="1404"/>
      <c r="Q344" s="1404"/>
      <c r="R344" s="1404"/>
      <c r="S344" s="1404"/>
      <c r="T344" s="1404"/>
      <c r="U344" s="1404"/>
      <c r="V344" s="1404"/>
      <c r="W344" s="1404"/>
      <c r="X344" s="1404"/>
      <c r="Y344" s="1404"/>
      <c r="Z344" s="1404"/>
    </row>
    <row r="345">
      <c r="A345" s="1404"/>
      <c r="B345" s="1404"/>
      <c r="C345" s="1404"/>
      <c r="D345" s="1404"/>
      <c r="E345" s="1404"/>
      <c r="F345" s="1404"/>
      <c r="G345" s="1404"/>
      <c r="H345" s="1404"/>
      <c r="I345" s="1404"/>
      <c r="J345" s="1404"/>
      <c r="K345" s="1404"/>
      <c r="L345" s="1404"/>
      <c r="M345" s="1404"/>
      <c r="N345" s="1404"/>
      <c r="O345" s="1404"/>
      <c r="P345" s="1404"/>
      <c r="Q345" s="1404"/>
      <c r="R345" s="1404"/>
      <c r="S345" s="1404"/>
      <c r="T345" s="1404"/>
      <c r="U345" s="1404"/>
      <c r="V345" s="1404"/>
      <c r="W345" s="1404"/>
      <c r="X345" s="1404"/>
      <c r="Y345" s="1404"/>
      <c r="Z345" s="1404"/>
    </row>
    <row r="346">
      <c r="A346" s="1404"/>
      <c r="B346" s="1404"/>
      <c r="C346" s="1404"/>
      <c r="D346" s="1404"/>
      <c r="E346" s="1404"/>
      <c r="F346" s="1404"/>
      <c r="G346" s="1404"/>
      <c r="H346" s="1404"/>
      <c r="I346" s="1404"/>
      <c r="J346" s="1404"/>
      <c r="K346" s="1404"/>
      <c r="L346" s="1404"/>
      <c r="M346" s="1404"/>
      <c r="N346" s="1404"/>
      <c r="O346" s="1404"/>
      <c r="P346" s="1404"/>
      <c r="Q346" s="1404"/>
      <c r="R346" s="1404"/>
      <c r="S346" s="1404"/>
      <c r="T346" s="1404"/>
      <c r="U346" s="1404"/>
      <c r="V346" s="1404"/>
      <c r="W346" s="1404"/>
      <c r="X346" s="1404"/>
      <c r="Y346" s="1404"/>
      <c r="Z346" s="1404"/>
    </row>
    <row r="347">
      <c r="A347" s="1404"/>
      <c r="B347" s="1404"/>
      <c r="C347" s="1404"/>
      <c r="D347" s="1404"/>
      <c r="E347" s="1404"/>
      <c r="F347" s="1404"/>
      <c r="G347" s="1404"/>
      <c r="H347" s="1404"/>
      <c r="I347" s="1404"/>
      <c r="J347" s="1404"/>
      <c r="K347" s="1404"/>
      <c r="L347" s="1404"/>
      <c r="M347" s="1404"/>
      <c r="N347" s="1404"/>
      <c r="O347" s="1404"/>
      <c r="P347" s="1404"/>
      <c r="Q347" s="1404"/>
      <c r="R347" s="1404"/>
      <c r="S347" s="1404"/>
      <c r="T347" s="1404"/>
      <c r="U347" s="1404"/>
      <c r="V347" s="1404"/>
      <c r="W347" s="1404"/>
      <c r="X347" s="1404"/>
      <c r="Y347" s="1404"/>
      <c r="Z347" s="1404"/>
    </row>
    <row r="348">
      <c r="A348" s="1404"/>
      <c r="B348" s="1404"/>
      <c r="C348" s="1404"/>
      <c r="D348" s="1404"/>
      <c r="E348" s="1404"/>
      <c r="F348" s="1404"/>
      <c r="G348" s="1404"/>
      <c r="H348" s="1404"/>
      <c r="I348" s="1404"/>
      <c r="J348" s="1404"/>
      <c r="K348" s="1404"/>
      <c r="L348" s="1404"/>
      <c r="M348" s="1404"/>
      <c r="N348" s="1404"/>
      <c r="O348" s="1404"/>
      <c r="P348" s="1404"/>
      <c r="Q348" s="1404"/>
      <c r="R348" s="1404"/>
      <c r="S348" s="1404"/>
      <c r="T348" s="1404"/>
      <c r="U348" s="1404"/>
      <c r="V348" s="1404"/>
      <c r="W348" s="1404"/>
      <c r="X348" s="1404"/>
      <c r="Y348" s="1404"/>
      <c r="Z348" s="1404"/>
    </row>
    <row r="349">
      <c r="A349" s="1404"/>
      <c r="B349" s="1404"/>
      <c r="C349" s="1404"/>
      <c r="D349" s="1404"/>
      <c r="E349" s="1404"/>
      <c r="F349" s="1404"/>
      <c r="G349" s="1404"/>
      <c r="H349" s="1404"/>
      <c r="I349" s="1404"/>
      <c r="J349" s="1404"/>
      <c r="K349" s="1404"/>
      <c r="L349" s="1404"/>
      <c r="M349" s="1404"/>
      <c r="N349" s="1404"/>
      <c r="O349" s="1404"/>
      <c r="P349" s="1404"/>
      <c r="Q349" s="1404"/>
      <c r="R349" s="1404"/>
      <c r="S349" s="1404"/>
      <c r="T349" s="1404"/>
      <c r="U349" s="1404"/>
      <c r="V349" s="1404"/>
      <c r="W349" s="1404"/>
      <c r="X349" s="1404"/>
      <c r="Y349" s="1404"/>
      <c r="Z349" s="1404"/>
    </row>
    <row r="350">
      <c r="A350" s="1404"/>
      <c r="B350" s="1404"/>
      <c r="C350" s="1404"/>
      <c r="D350" s="1404"/>
      <c r="E350" s="1404"/>
      <c r="F350" s="1404"/>
      <c r="G350" s="1404"/>
      <c r="H350" s="1404"/>
      <c r="I350" s="1404"/>
      <c r="J350" s="1404"/>
      <c r="K350" s="1404"/>
      <c r="L350" s="1404"/>
      <c r="M350" s="1404"/>
      <c r="N350" s="1404"/>
      <c r="O350" s="1404"/>
      <c r="P350" s="1404"/>
      <c r="Q350" s="1404"/>
      <c r="R350" s="1404"/>
      <c r="S350" s="1404"/>
      <c r="T350" s="1404"/>
      <c r="U350" s="1404"/>
      <c r="V350" s="1404"/>
      <c r="W350" s="1404"/>
      <c r="X350" s="1404"/>
      <c r="Y350" s="1404"/>
      <c r="Z350" s="1404"/>
    </row>
    <row r="351">
      <c r="A351" s="1404"/>
      <c r="B351" s="1404"/>
      <c r="C351" s="1404"/>
      <c r="D351" s="1404"/>
      <c r="E351" s="1404"/>
      <c r="F351" s="1404"/>
      <c r="G351" s="1404"/>
      <c r="H351" s="1404"/>
      <c r="I351" s="1404"/>
      <c r="J351" s="1404"/>
      <c r="K351" s="1404"/>
      <c r="L351" s="1404"/>
      <c r="M351" s="1404"/>
      <c r="N351" s="1404"/>
      <c r="O351" s="1404"/>
      <c r="P351" s="1404"/>
      <c r="Q351" s="1404"/>
      <c r="R351" s="1404"/>
      <c r="S351" s="1404"/>
      <c r="T351" s="1404"/>
      <c r="U351" s="1404"/>
      <c r="V351" s="1404"/>
      <c r="W351" s="1404"/>
      <c r="X351" s="1404"/>
      <c r="Y351" s="1404"/>
      <c r="Z351" s="1404"/>
    </row>
    <row r="352">
      <c r="A352" s="1404"/>
      <c r="B352" s="1404"/>
      <c r="C352" s="1404"/>
      <c r="D352" s="1404"/>
      <c r="E352" s="1404"/>
      <c r="F352" s="1404"/>
      <c r="G352" s="1404"/>
      <c r="H352" s="1404"/>
      <c r="I352" s="1404"/>
      <c r="J352" s="1404"/>
      <c r="K352" s="1404"/>
      <c r="L352" s="1404"/>
      <c r="M352" s="1404"/>
      <c r="N352" s="1404"/>
      <c r="O352" s="1404"/>
      <c r="P352" s="1404"/>
      <c r="Q352" s="1404"/>
      <c r="R352" s="1404"/>
      <c r="S352" s="1404"/>
      <c r="T352" s="1404"/>
      <c r="U352" s="1404"/>
      <c r="V352" s="1404"/>
      <c r="W352" s="1404"/>
      <c r="X352" s="1404"/>
      <c r="Y352" s="1404"/>
      <c r="Z352" s="1404"/>
    </row>
    <row r="353">
      <c r="A353" s="1404"/>
      <c r="B353" s="1404"/>
      <c r="C353" s="1404"/>
      <c r="D353" s="1404"/>
      <c r="E353" s="1404"/>
      <c r="F353" s="1404"/>
      <c r="G353" s="1404"/>
      <c r="H353" s="1404"/>
      <c r="I353" s="1404"/>
      <c r="J353" s="1404"/>
      <c r="K353" s="1404"/>
      <c r="L353" s="1404"/>
      <c r="M353" s="1404"/>
      <c r="N353" s="1404"/>
      <c r="O353" s="1404"/>
      <c r="P353" s="1404"/>
      <c r="Q353" s="1404"/>
      <c r="R353" s="1404"/>
      <c r="S353" s="1404"/>
      <c r="T353" s="1404"/>
      <c r="U353" s="1404"/>
      <c r="V353" s="1404"/>
      <c r="W353" s="1404"/>
      <c r="X353" s="1404"/>
      <c r="Y353" s="1404"/>
      <c r="Z353" s="1404"/>
    </row>
    <row r="354">
      <c r="A354" s="1404"/>
      <c r="B354" s="1404"/>
      <c r="C354" s="1404"/>
      <c r="D354" s="1404"/>
      <c r="E354" s="1404"/>
      <c r="F354" s="1404"/>
      <c r="G354" s="1404"/>
      <c r="H354" s="1404"/>
      <c r="I354" s="1404"/>
      <c r="J354" s="1404"/>
      <c r="K354" s="1404"/>
      <c r="L354" s="1404"/>
      <c r="M354" s="1404"/>
      <c r="N354" s="1404"/>
      <c r="O354" s="1404"/>
      <c r="P354" s="1404"/>
      <c r="Q354" s="1404"/>
      <c r="R354" s="1404"/>
      <c r="S354" s="1404"/>
      <c r="T354" s="1404"/>
      <c r="U354" s="1404"/>
      <c r="V354" s="1404"/>
      <c r="W354" s="1404"/>
      <c r="X354" s="1404"/>
      <c r="Y354" s="1404"/>
      <c r="Z354" s="1404"/>
    </row>
    <row r="355">
      <c r="A355" s="1404"/>
      <c r="B355" s="1404"/>
      <c r="C355" s="1404"/>
      <c r="D355" s="1404"/>
      <c r="E355" s="1404"/>
      <c r="F355" s="1404"/>
      <c r="G355" s="1404"/>
      <c r="H355" s="1404"/>
      <c r="I355" s="1404"/>
      <c r="J355" s="1404"/>
      <c r="K355" s="1404"/>
      <c r="L355" s="1404"/>
      <c r="M355" s="1404"/>
      <c r="N355" s="1404"/>
      <c r="O355" s="1404"/>
      <c r="P355" s="1404"/>
      <c r="Q355" s="1404"/>
      <c r="R355" s="1404"/>
      <c r="S355" s="1404"/>
      <c r="T355" s="1404"/>
      <c r="U355" s="1404"/>
      <c r="V355" s="1404"/>
      <c r="W355" s="1404"/>
      <c r="X355" s="1404"/>
      <c r="Y355" s="1404"/>
      <c r="Z355" s="1404"/>
    </row>
    <row r="356">
      <c r="A356" s="1404"/>
      <c r="B356" s="1404"/>
      <c r="C356" s="1404"/>
      <c r="D356" s="1404"/>
      <c r="E356" s="1404"/>
      <c r="F356" s="1404"/>
      <c r="G356" s="1404"/>
      <c r="H356" s="1404"/>
      <c r="I356" s="1404"/>
      <c r="J356" s="1404"/>
      <c r="K356" s="1404"/>
      <c r="L356" s="1404"/>
      <c r="M356" s="1404"/>
      <c r="N356" s="1404"/>
      <c r="O356" s="1404"/>
      <c r="P356" s="1404"/>
      <c r="Q356" s="1404"/>
      <c r="R356" s="1404"/>
      <c r="S356" s="1404"/>
      <c r="T356" s="1404"/>
      <c r="U356" s="1404"/>
      <c r="V356" s="1404"/>
      <c r="W356" s="1404"/>
      <c r="X356" s="1404"/>
      <c r="Y356" s="1404"/>
      <c r="Z356" s="1404"/>
    </row>
    <row r="357">
      <c r="A357" s="1404"/>
      <c r="B357" s="1404"/>
      <c r="C357" s="1404"/>
      <c r="D357" s="1404"/>
      <c r="E357" s="1404"/>
      <c r="F357" s="1404"/>
      <c r="G357" s="1404"/>
      <c r="H357" s="1404"/>
      <c r="I357" s="1404"/>
      <c r="J357" s="1404"/>
      <c r="K357" s="1404"/>
      <c r="L357" s="1404"/>
      <c r="M357" s="1404"/>
      <c r="N357" s="1404"/>
      <c r="O357" s="1404"/>
      <c r="P357" s="1404"/>
      <c r="Q357" s="1404"/>
      <c r="R357" s="1404"/>
      <c r="S357" s="1404"/>
      <c r="T357" s="1404"/>
      <c r="U357" s="1404"/>
      <c r="V357" s="1404"/>
      <c r="W357" s="1404"/>
      <c r="X357" s="1404"/>
      <c r="Y357" s="1404"/>
      <c r="Z357" s="1404"/>
    </row>
    <row r="358">
      <c r="A358" s="1404"/>
      <c r="B358" s="1404"/>
      <c r="C358" s="1404"/>
      <c r="D358" s="1404"/>
      <c r="E358" s="1404"/>
      <c r="F358" s="1404"/>
      <c r="G358" s="1404"/>
      <c r="H358" s="1404"/>
      <c r="I358" s="1404"/>
      <c r="J358" s="1404"/>
      <c r="K358" s="1404"/>
      <c r="L358" s="1404"/>
      <c r="M358" s="1404"/>
      <c r="N358" s="1404"/>
      <c r="O358" s="1404"/>
      <c r="P358" s="1404"/>
      <c r="Q358" s="1404"/>
      <c r="R358" s="1404"/>
      <c r="S358" s="1404"/>
      <c r="T358" s="1404"/>
      <c r="U358" s="1404"/>
      <c r="V358" s="1404"/>
      <c r="W358" s="1404"/>
      <c r="X358" s="1404"/>
      <c r="Y358" s="1404"/>
      <c r="Z358" s="1404"/>
    </row>
    <row r="359">
      <c r="A359" s="1404"/>
      <c r="B359" s="1404"/>
      <c r="C359" s="1404"/>
      <c r="D359" s="1404"/>
      <c r="E359" s="1404"/>
      <c r="F359" s="1404"/>
      <c r="G359" s="1404"/>
      <c r="H359" s="1404"/>
      <c r="I359" s="1404"/>
      <c r="J359" s="1404"/>
      <c r="K359" s="1404"/>
      <c r="L359" s="1404"/>
      <c r="M359" s="1404"/>
      <c r="N359" s="1404"/>
      <c r="O359" s="1404"/>
      <c r="P359" s="1404"/>
      <c r="Q359" s="1404"/>
      <c r="R359" s="1404"/>
      <c r="S359" s="1404"/>
      <c r="T359" s="1404"/>
      <c r="U359" s="1404"/>
      <c r="V359" s="1404"/>
      <c r="W359" s="1404"/>
      <c r="X359" s="1404"/>
      <c r="Y359" s="1404"/>
      <c r="Z359" s="1404"/>
    </row>
    <row r="360">
      <c r="A360" s="1404"/>
      <c r="B360" s="1404"/>
      <c r="C360" s="1404"/>
      <c r="D360" s="1404"/>
      <c r="E360" s="1404"/>
      <c r="F360" s="1404"/>
      <c r="G360" s="1404"/>
      <c r="H360" s="1404"/>
      <c r="I360" s="1404"/>
      <c r="J360" s="1404"/>
      <c r="K360" s="1404"/>
      <c r="L360" s="1404"/>
      <c r="M360" s="1404"/>
      <c r="N360" s="1404"/>
      <c r="O360" s="1404"/>
      <c r="P360" s="1404"/>
      <c r="Q360" s="1404"/>
      <c r="R360" s="1404"/>
      <c r="S360" s="1404"/>
      <c r="T360" s="1404"/>
      <c r="U360" s="1404"/>
      <c r="V360" s="1404"/>
      <c r="W360" s="1404"/>
      <c r="X360" s="1404"/>
      <c r="Y360" s="1404"/>
      <c r="Z360" s="1404"/>
    </row>
    <row r="361">
      <c r="A361" s="1404"/>
      <c r="B361" s="1404"/>
      <c r="C361" s="1404"/>
      <c r="D361" s="1404"/>
      <c r="E361" s="1404"/>
      <c r="F361" s="1404"/>
      <c r="G361" s="1404"/>
      <c r="H361" s="1404"/>
      <c r="I361" s="1404"/>
      <c r="J361" s="1404"/>
      <c r="K361" s="1404"/>
      <c r="L361" s="1404"/>
      <c r="M361" s="1404"/>
      <c r="N361" s="1404"/>
      <c r="O361" s="1404"/>
      <c r="P361" s="1404"/>
      <c r="Q361" s="1404"/>
      <c r="R361" s="1404"/>
      <c r="S361" s="1404"/>
      <c r="T361" s="1404"/>
      <c r="U361" s="1404"/>
      <c r="V361" s="1404"/>
      <c r="W361" s="1404"/>
      <c r="X361" s="1404"/>
      <c r="Y361" s="1404"/>
      <c r="Z361" s="1404"/>
    </row>
    <row r="362">
      <c r="A362" s="1404"/>
      <c r="B362" s="1404"/>
      <c r="C362" s="1404"/>
      <c r="D362" s="1404"/>
      <c r="E362" s="1404"/>
      <c r="F362" s="1404"/>
      <c r="G362" s="1404"/>
      <c r="H362" s="1404"/>
      <c r="I362" s="1404"/>
      <c r="J362" s="1404"/>
      <c r="K362" s="1404"/>
      <c r="L362" s="1404"/>
      <c r="M362" s="1404"/>
      <c r="N362" s="1404"/>
      <c r="O362" s="1404"/>
      <c r="P362" s="1404"/>
      <c r="Q362" s="1404"/>
      <c r="R362" s="1404"/>
      <c r="S362" s="1404"/>
      <c r="T362" s="1404"/>
      <c r="U362" s="1404"/>
      <c r="V362" s="1404"/>
      <c r="W362" s="1404"/>
      <c r="X362" s="1404"/>
      <c r="Y362" s="1404"/>
      <c r="Z362" s="1404"/>
    </row>
    <row r="363">
      <c r="A363" s="1404"/>
      <c r="B363" s="1404"/>
      <c r="C363" s="1404"/>
      <c r="D363" s="1404"/>
      <c r="E363" s="1404"/>
      <c r="F363" s="1404"/>
      <c r="G363" s="1404"/>
      <c r="H363" s="1404"/>
      <c r="I363" s="1404"/>
      <c r="J363" s="1404"/>
      <c r="K363" s="1404"/>
      <c r="L363" s="1404"/>
      <c r="M363" s="1404"/>
      <c r="N363" s="1404"/>
      <c r="O363" s="1404"/>
      <c r="P363" s="1404"/>
      <c r="Q363" s="1404"/>
      <c r="R363" s="1404"/>
      <c r="S363" s="1404"/>
      <c r="T363" s="1404"/>
      <c r="U363" s="1404"/>
      <c r="V363" s="1404"/>
      <c r="W363" s="1404"/>
      <c r="X363" s="1404"/>
      <c r="Y363" s="1404"/>
      <c r="Z363" s="1404"/>
    </row>
    <row r="364">
      <c r="A364" s="1404"/>
      <c r="B364" s="1404"/>
      <c r="C364" s="1404"/>
      <c r="D364" s="1404"/>
      <c r="E364" s="1404"/>
      <c r="F364" s="1404"/>
      <c r="G364" s="1404"/>
      <c r="H364" s="1404"/>
      <c r="I364" s="1404"/>
      <c r="J364" s="1404"/>
      <c r="K364" s="1404"/>
      <c r="L364" s="1404"/>
      <c r="M364" s="1404"/>
      <c r="N364" s="1404"/>
      <c r="O364" s="1404"/>
      <c r="P364" s="1404"/>
      <c r="Q364" s="1404"/>
      <c r="R364" s="1404"/>
      <c r="S364" s="1404"/>
      <c r="T364" s="1404"/>
      <c r="U364" s="1404"/>
      <c r="V364" s="1404"/>
      <c r="W364" s="1404"/>
      <c r="X364" s="1404"/>
      <c r="Y364" s="1404"/>
      <c r="Z364" s="1404"/>
    </row>
    <row r="365">
      <c r="A365" s="1404"/>
      <c r="B365" s="1404"/>
      <c r="C365" s="1404"/>
      <c r="D365" s="1404"/>
      <c r="E365" s="1404"/>
      <c r="F365" s="1404"/>
      <c r="G365" s="1404"/>
      <c r="H365" s="1404"/>
      <c r="I365" s="1404"/>
      <c r="J365" s="1404"/>
      <c r="K365" s="1404"/>
      <c r="L365" s="1404"/>
      <c r="M365" s="1404"/>
      <c r="N365" s="1404"/>
      <c r="O365" s="1404"/>
      <c r="P365" s="1404"/>
      <c r="Q365" s="1404"/>
      <c r="R365" s="1404"/>
      <c r="S365" s="1404"/>
      <c r="T365" s="1404"/>
      <c r="U365" s="1404"/>
      <c r="V365" s="1404"/>
      <c r="W365" s="1404"/>
      <c r="X365" s="1404"/>
      <c r="Y365" s="1404"/>
      <c r="Z365" s="1404"/>
    </row>
    <row r="366">
      <c r="A366" s="1404"/>
      <c r="B366" s="1404"/>
      <c r="C366" s="1404"/>
      <c r="D366" s="1404"/>
      <c r="E366" s="1404"/>
      <c r="F366" s="1404"/>
      <c r="G366" s="1404"/>
      <c r="H366" s="1404"/>
      <c r="I366" s="1404"/>
      <c r="J366" s="1404"/>
      <c r="K366" s="1404"/>
      <c r="L366" s="1404"/>
      <c r="M366" s="1404"/>
      <c r="N366" s="1404"/>
      <c r="O366" s="1404"/>
      <c r="P366" s="1404"/>
      <c r="Q366" s="1404"/>
      <c r="R366" s="1404"/>
      <c r="S366" s="1404"/>
      <c r="T366" s="1404"/>
      <c r="U366" s="1404"/>
      <c r="V366" s="1404"/>
      <c r="W366" s="1404"/>
      <c r="X366" s="1404"/>
      <c r="Y366" s="1404"/>
      <c r="Z366" s="1404"/>
    </row>
    <row r="367">
      <c r="A367" s="1404"/>
      <c r="B367" s="1404"/>
      <c r="C367" s="1404"/>
      <c r="D367" s="1404"/>
      <c r="E367" s="1404"/>
      <c r="F367" s="1404"/>
      <c r="G367" s="1404"/>
      <c r="H367" s="1404"/>
      <c r="I367" s="1404"/>
      <c r="J367" s="1404"/>
      <c r="K367" s="1404"/>
      <c r="L367" s="1404"/>
      <c r="M367" s="1404"/>
      <c r="N367" s="1404"/>
      <c r="O367" s="1404"/>
      <c r="P367" s="1404"/>
      <c r="Q367" s="1404"/>
      <c r="R367" s="1404"/>
      <c r="S367" s="1404"/>
      <c r="T367" s="1404"/>
      <c r="U367" s="1404"/>
      <c r="V367" s="1404"/>
      <c r="W367" s="1404"/>
      <c r="X367" s="1404"/>
      <c r="Y367" s="1404"/>
      <c r="Z367" s="1404"/>
    </row>
    <row r="368">
      <c r="A368" s="1404"/>
      <c r="B368" s="1404"/>
      <c r="C368" s="1404"/>
      <c r="D368" s="1404"/>
      <c r="E368" s="1404"/>
      <c r="F368" s="1404"/>
      <c r="G368" s="1404"/>
      <c r="H368" s="1404"/>
      <c r="I368" s="1404"/>
      <c r="J368" s="1404"/>
      <c r="K368" s="1404"/>
      <c r="L368" s="1404"/>
      <c r="M368" s="1404"/>
      <c r="N368" s="1404"/>
      <c r="O368" s="1404"/>
      <c r="P368" s="1404"/>
      <c r="Q368" s="1404"/>
      <c r="R368" s="1404"/>
      <c r="S368" s="1404"/>
      <c r="T368" s="1404"/>
      <c r="U368" s="1404"/>
      <c r="V368" s="1404"/>
      <c r="W368" s="1404"/>
      <c r="X368" s="1404"/>
      <c r="Y368" s="1404"/>
      <c r="Z368" s="1404"/>
    </row>
    <row r="369">
      <c r="A369" s="1404"/>
      <c r="B369" s="1404"/>
      <c r="C369" s="1404"/>
      <c r="D369" s="1404"/>
      <c r="E369" s="1404"/>
      <c r="F369" s="1404"/>
      <c r="G369" s="1404"/>
      <c r="H369" s="1404"/>
      <c r="I369" s="1404"/>
      <c r="J369" s="1404"/>
      <c r="K369" s="1404"/>
      <c r="L369" s="1404"/>
      <c r="M369" s="1404"/>
      <c r="N369" s="1404"/>
      <c r="O369" s="1404"/>
      <c r="P369" s="1404"/>
      <c r="Q369" s="1404"/>
      <c r="R369" s="1404"/>
      <c r="S369" s="1404"/>
      <c r="T369" s="1404"/>
      <c r="U369" s="1404"/>
      <c r="V369" s="1404"/>
      <c r="W369" s="1404"/>
      <c r="X369" s="1404"/>
      <c r="Y369" s="1404"/>
      <c r="Z369" s="1404"/>
    </row>
    <row r="370">
      <c r="A370" s="1404"/>
      <c r="B370" s="1404"/>
      <c r="C370" s="1404"/>
      <c r="D370" s="1404"/>
      <c r="E370" s="1404"/>
      <c r="F370" s="1404"/>
      <c r="G370" s="1404"/>
      <c r="H370" s="1404"/>
      <c r="I370" s="1404"/>
      <c r="J370" s="1404"/>
      <c r="K370" s="1404"/>
      <c r="L370" s="1404"/>
      <c r="M370" s="1404"/>
      <c r="N370" s="1404"/>
      <c r="O370" s="1404"/>
      <c r="P370" s="1404"/>
      <c r="Q370" s="1404"/>
      <c r="R370" s="1404"/>
      <c r="S370" s="1404"/>
      <c r="T370" s="1404"/>
      <c r="U370" s="1404"/>
      <c r="V370" s="1404"/>
      <c r="W370" s="1404"/>
      <c r="X370" s="1404"/>
      <c r="Y370" s="1404"/>
      <c r="Z370" s="1404"/>
    </row>
    <row r="371">
      <c r="A371" s="1404"/>
      <c r="B371" s="1404"/>
      <c r="C371" s="1404"/>
      <c r="D371" s="1404"/>
      <c r="E371" s="1404"/>
      <c r="F371" s="1404"/>
      <c r="G371" s="1404"/>
      <c r="H371" s="1404"/>
      <c r="I371" s="1404"/>
      <c r="J371" s="1404"/>
      <c r="K371" s="1404"/>
      <c r="L371" s="1404"/>
      <c r="M371" s="1404"/>
      <c r="N371" s="1404"/>
      <c r="O371" s="1404"/>
      <c r="P371" s="1404"/>
      <c r="Q371" s="1404"/>
      <c r="R371" s="1404"/>
      <c r="S371" s="1404"/>
      <c r="T371" s="1404"/>
      <c r="U371" s="1404"/>
      <c r="V371" s="1404"/>
      <c r="W371" s="1404"/>
      <c r="X371" s="1404"/>
      <c r="Y371" s="1404"/>
      <c r="Z371" s="1404"/>
    </row>
    <row r="372">
      <c r="A372" s="1404"/>
      <c r="B372" s="1404"/>
      <c r="C372" s="1404"/>
      <c r="D372" s="1404"/>
      <c r="E372" s="1404"/>
      <c r="F372" s="1404"/>
      <c r="G372" s="1404"/>
      <c r="H372" s="1404"/>
      <c r="I372" s="1404"/>
      <c r="J372" s="1404"/>
      <c r="K372" s="1404"/>
      <c r="L372" s="1404"/>
      <c r="M372" s="1404"/>
      <c r="N372" s="1404"/>
      <c r="O372" s="1404"/>
      <c r="P372" s="1404"/>
      <c r="Q372" s="1404"/>
      <c r="R372" s="1404"/>
      <c r="S372" s="1404"/>
      <c r="T372" s="1404"/>
      <c r="U372" s="1404"/>
      <c r="V372" s="1404"/>
      <c r="W372" s="1404"/>
      <c r="X372" s="1404"/>
      <c r="Y372" s="1404"/>
      <c r="Z372" s="1404"/>
    </row>
    <row r="373">
      <c r="A373" s="1404"/>
      <c r="B373" s="1404"/>
      <c r="C373" s="1404"/>
      <c r="D373" s="1404"/>
      <c r="E373" s="1404"/>
      <c r="F373" s="1404"/>
      <c r="G373" s="1404"/>
      <c r="H373" s="1404"/>
      <c r="I373" s="1404"/>
      <c r="J373" s="1404"/>
      <c r="K373" s="1404"/>
      <c r="L373" s="1404"/>
      <c r="M373" s="1404"/>
      <c r="N373" s="1404"/>
      <c r="O373" s="1404"/>
      <c r="P373" s="1404"/>
      <c r="Q373" s="1404"/>
      <c r="R373" s="1404"/>
      <c r="S373" s="1404"/>
      <c r="T373" s="1404"/>
      <c r="U373" s="1404"/>
      <c r="V373" s="1404"/>
      <c r="W373" s="1404"/>
      <c r="X373" s="1404"/>
      <c r="Y373" s="1404"/>
      <c r="Z373" s="1404"/>
    </row>
    <row r="374">
      <c r="A374" s="1404"/>
      <c r="B374" s="1404"/>
      <c r="C374" s="1404"/>
      <c r="D374" s="1404"/>
      <c r="E374" s="1404"/>
      <c r="F374" s="1404"/>
      <c r="G374" s="1404"/>
      <c r="H374" s="1404"/>
      <c r="I374" s="1404"/>
      <c r="J374" s="1404"/>
      <c r="K374" s="1404"/>
      <c r="L374" s="1404"/>
      <c r="M374" s="1404"/>
      <c r="N374" s="1404"/>
      <c r="O374" s="1404"/>
      <c r="P374" s="1404"/>
      <c r="Q374" s="1404"/>
      <c r="R374" s="1404"/>
      <c r="S374" s="1404"/>
      <c r="T374" s="1404"/>
      <c r="U374" s="1404"/>
      <c r="V374" s="1404"/>
      <c r="W374" s="1404"/>
      <c r="X374" s="1404"/>
      <c r="Y374" s="1404"/>
      <c r="Z374" s="1404"/>
    </row>
    <row r="375">
      <c r="A375" s="1404"/>
      <c r="B375" s="1404"/>
      <c r="C375" s="1404"/>
      <c r="D375" s="1404"/>
      <c r="E375" s="1404"/>
      <c r="F375" s="1404"/>
      <c r="G375" s="1404"/>
      <c r="H375" s="1404"/>
      <c r="I375" s="1404"/>
      <c r="J375" s="1404"/>
      <c r="K375" s="1404"/>
      <c r="L375" s="1404"/>
      <c r="M375" s="1404"/>
      <c r="N375" s="1404"/>
      <c r="O375" s="1404"/>
      <c r="P375" s="1404"/>
      <c r="Q375" s="1404"/>
      <c r="R375" s="1404"/>
      <c r="S375" s="1404"/>
      <c r="T375" s="1404"/>
      <c r="U375" s="1404"/>
      <c r="V375" s="1404"/>
      <c r="W375" s="1404"/>
      <c r="X375" s="1404"/>
      <c r="Y375" s="1404"/>
      <c r="Z375" s="1404"/>
    </row>
    <row r="376">
      <c r="A376" s="1404"/>
      <c r="B376" s="1404"/>
      <c r="C376" s="1404"/>
      <c r="D376" s="1404"/>
      <c r="E376" s="1404"/>
      <c r="F376" s="1404"/>
      <c r="G376" s="1404"/>
      <c r="H376" s="1404"/>
      <c r="I376" s="1404"/>
      <c r="J376" s="1404"/>
      <c r="K376" s="1404"/>
      <c r="L376" s="1404"/>
      <c r="M376" s="1404"/>
      <c r="N376" s="1404"/>
      <c r="O376" s="1404"/>
      <c r="P376" s="1404"/>
      <c r="Q376" s="1404"/>
      <c r="R376" s="1404"/>
      <c r="S376" s="1404"/>
      <c r="T376" s="1404"/>
      <c r="U376" s="1404"/>
      <c r="V376" s="1404"/>
      <c r="W376" s="1404"/>
      <c r="X376" s="1404"/>
      <c r="Y376" s="1404"/>
      <c r="Z376" s="1404"/>
    </row>
    <row r="377">
      <c r="A377" s="1404"/>
      <c r="B377" s="1404"/>
      <c r="C377" s="1404"/>
      <c r="D377" s="1404"/>
      <c r="E377" s="1404"/>
      <c r="F377" s="1404"/>
      <c r="G377" s="1404"/>
      <c r="H377" s="1404"/>
      <c r="I377" s="1404"/>
      <c r="J377" s="1404"/>
      <c r="K377" s="1404"/>
      <c r="L377" s="1404"/>
      <c r="M377" s="1404"/>
      <c r="N377" s="1404"/>
      <c r="O377" s="1404"/>
      <c r="P377" s="1404"/>
      <c r="Q377" s="1404"/>
      <c r="R377" s="1404"/>
      <c r="S377" s="1404"/>
      <c r="T377" s="1404"/>
      <c r="U377" s="1404"/>
      <c r="V377" s="1404"/>
      <c r="W377" s="1404"/>
      <c r="X377" s="1404"/>
      <c r="Y377" s="1404"/>
      <c r="Z377" s="1404"/>
    </row>
    <row r="378">
      <c r="A378" s="1404"/>
      <c r="B378" s="1404"/>
      <c r="C378" s="1404"/>
      <c r="D378" s="1404"/>
      <c r="E378" s="1404"/>
      <c r="F378" s="1404"/>
      <c r="G378" s="1404"/>
      <c r="H378" s="1404"/>
      <c r="I378" s="1404"/>
      <c r="J378" s="1404"/>
      <c r="K378" s="1404"/>
      <c r="L378" s="1404"/>
      <c r="M378" s="1404"/>
      <c r="N378" s="1404"/>
      <c r="O378" s="1404"/>
      <c r="P378" s="1404"/>
      <c r="Q378" s="1404"/>
      <c r="R378" s="1404"/>
      <c r="S378" s="1404"/>
      <c r="T378" s="1404"/>
      <c r="U378" s="1404"/>
      <c r="V378" s="1404"/>
      <c r="W378" s="1404"/>
      <c r="X378" s="1404"/>
      <c r="Y378" s="1404"/>
      <c r="Z378" s="1404"/>
    </row>
    <row r="379">
      <c r="A379" s="1404"/>
      <c r="B379" s="1404"/>
      <c r="C379" s="1404"/>
      <c r="D379" s="1404"/>
      <c r="E379" s="1404"/>
      <c r="F379" s="1404"/>
      <c r="G379" s="1404"/>
      <c r="H379" s="1404"/>
      <c r="I379" s="1404"/>
      <c r="J379" s="1404"/>
      <c r="K379" s="1404"/>
      <c r="L379" s="1404"/>
      <c r="M379" s="1404"/>
      <c r="N379" s="1404"/>
      <c r="O379" s="1404"/>
      <c r="P379" s="1404"/>
      <c r="Q379" s="1404"/>
      <c r="R379" s="1404"/>
      <c r="S379" s="1404"/>
      <c r="T379" s="1404"/>
      <c r="U379" s="1404"/>
      <c r="V379" s="1404"/>
      <c r="W379" s="1404"/>
      <c r="X379" s="1404"/>
      <c r="Y379" s="1404"/>
      <c r="Z379" s="1404"/>
    </row>
    <row r="380">
      <c r="A380" s="1404"/>
      <c r="B380" s="1404"/>
      <c r="C380" s="1404"/>
      <c r="D380" s="1404"/>
      <c r="E380" s="1404"/>
      <c r="F380" s="1404"/>
      <c r="G380" s="1404"/>
      <c r="H380" s="1404"/>
      <c r="I380" s="1404"/>
      <c r="J380" s="1404"/>
      <c r="K380" s="1404"/>
      <c r="L380" s="1404"/>
      <c r="M380" s="1404"/>
      <c r="N380" s="1404"/>
      <c r="O380" s="1404"/>
      <c r="P380" s="1404"/>
      <c r="Q380" s="1404"/>
      <c r="R380" s="1404"/>
      <c r="S380" s="1404"/>
      <c r="T380" s="1404"/>
      <c r="U380" s="1404"/>
      <c r="V380" s="1404"/>
      <c r="W380" s="1404"/>
      <c r="X380" s="1404"/>
      <c r="Y380" s="1404"/>
      <c r="Z380" s="1404"/>
    </row>
    <row r="381">
      <c r="A381" s="1404"/>
      <c r="B381" s="1404"/>
      <c r="C381" s="1404"/>
      <c r="D381" s="1404"/>
      <c r="E381" s="1404"/>
      <c r="F381" s="1404"/>
      <c r="G381" s="1404"/>
      <c r="H381" s="1404"/>
      <c r="I381" s="1404"/>
      <c r="J381" s="1404"/>
      <c r="K381" s="1404"/>
      <c r="L381" s="1404"/>
      <c r="M381" s="1404"/>
      <c r="N381" s="1404"/>
      <c r="O381" s="1404"/>
      <c r="P381" s="1404"/>
      <c r="Q381" s="1404"/>
      <c r="R381" s="1404"/>
      <c r="S381" s="1404"/>
      <c r="T381" s="1404"/>
      <c r="U381" s="1404"/>
      <c r="V381" s="1404"/>
      <c r="W381" s="1404"/>
      <c r="X381" s="1404"/>
      <c r="Y381" s="1404"/>
      <c r="Z381" s="1404"/>
    </row>
    <row r="382">
      <c r="A382" s="1404"/>
      <c r="B382" s="1404"/>
      <c r="C382" s="1404"/>
      <c r="D382" s="1404"/>
      <c r="E382" s="1404"/>
      <c r="F382" s="1404"/>
      <c r="G382" s="1404"/>
      <c r="H382" s="1404"/>
      <c r="I382" s="1404"/>
      <c r="J382" s="1404"/>
      <c r="K382" s="1404"/>
      <c r="L382" s="1404"/>
      <c r="M382" s="1404"/>
      <c r="N382" s="1404"/>
      <c r="O382" s="1404"/>
      <c r="P382" s="1404"/>
      <c r="Q382" s="1404"/>
      <c r="R382" s="1404"/>
      <c r="S382" s="1404"/>
      <c r="T382" s="1404"/>
      <c r="U382" s="1404"/>
      <c r="V382" s="1404"/>
      <c r="W382" s="1404"/>
      <c r="X382" s="1404"/>
      <c r="Y382" s="1404"/>
      <c r="Z382" s="1404"/>
    </row>
    <row r="383">
      <c r="A383" s="1404"/>
      <c r="B383" s="1404"/>
      <c r="C383" s="1404"/>
      <c r="D383" s="1404"/>
      <c r="E383" s="1404"/>
      <c r="F383" s="1404"/>
      <c r="G383" s="1404"/>
      <c r="H383" s="1404"/>
      <c r="I383" s="1404"/>
      <c r="J383" s="1404"/>
      <c r="K383" s="1404"/>
      <c r="L383" s="1404"/>
      <c r="M383" s="1404"/>
      <c r="N383" s="1404"/>
      <c r="O383" s="1404"/>
      <c r="P383" s="1404"/>
      <c r="Q383" s="1404"/>
      <c r="R383" s="1404"/>
      <c r="S383" s="1404"/>
      <c r="T383" s="1404"/>
      <c r="U383" s="1404"/>
      <c r="V383" s="1404"/>
      <c r="W383" s="1404"/>
      <c r="X383" s="1404"/>
      <c r="Y383" s="1404"/>
      <c r="Z383" s="1404"/>
    </row>
    <row r="384">
      <c r="A384" s="1404"/>
      <c r="B384" s="1404"/>
      <c r="C384" s="1404"/>
      <c r="D384" s="1404"/>
      <c r="E384" s="1404"/>
      <c r="F384" s="1404"/>
      <c r="G384" s="1404"/>
      <c r="H384" s="1404"/>
      <c r="I384" s="1404"/>
      <c r="J384" s="1404"/>
      <c r="K384" s="1404"/>
      <c r="L384" s="1404"/>
      <c r="M384" s="1404"/>
      <c r="N384" s="1404"/>
      <c r="O384" s="1404"/>
      <c r="P384" s="1404"/>
      <c r="Q384" s="1404"/>
      <c r="R384" s="1404"/>
      <c r="S384" s="1404"/>
      <c r="T384" s="1404"/>
      <c r="U384" s="1404"/>
      <c r="V384" s="1404"/>
      <c r="W384" s="1404"/>
      <c r="X384" s="1404"/>
      <c r="Y384" s="1404"/>
      <c r="Z384" s="1404"/>
    </row>
    <row r="385">
      <c r="A385" s="1404"/>
      <c r="B385" s="1404"/>
      <c r="C385" s="1404"/>
      <c r="D385" s="1404"/>
      <c r="E385" s="1404"/>
      <c r="F385" s="1404"/>
      <c r="G385" s="1404"/>
      <c r="H385" s="1404"/>
      <c r="I385" s="1404"/>
      <c r="J385" s="1404"/>
      <c r="K385" s="1404"/>
      <c r="L385" s="1404"/>
      <c r="M385" s="1404"/>
      <c r="N385" s="1404"/>
      <c r="O385" s="1404"/>
      <c r="P385" s="1404"/>
      <c r="Q385" s="1404"/>
      <c r="R385" s="1404"/>
      <c r="S385" s="1404"/>
      <c r="T385" s="1404"/>
      <c r="U385" s="1404"/>
      <c r="V385" s="1404"/>
      <c r="W385" s="1404"/>
      <c r="X385" s="1404"/>
      <c r="Y385" s="1404"/>
      <c r="Z385" s="1404"/>
    </row>
    <row r="386">
      <c r="A386" s="1404"/>
      <c r="B386" s="1404"/>
      <c r="C386" s="1404"/>
      <c r="D386" s="1404"/>
      <c r="E386" s="1404"/>
      <c r="F386" s="1404"/>
      <c r="G386" s="1404"/>
      <c r="H386" s="1404"/>
      <c r="I386" s="1404"/>
      <c r="J386" s="1404"/>
      <c r="K386" s="1404"/>
      <c r="L386" s="1404"/>
      <c r="M386" s="1404"/>
      <c r="N386" s="1404"/>
      <c r="O386" s="1404"/>
      <c r="P386" s="1404"/>
      <c r="Q386" s="1404"/>
      <c r="R386" s="1404"/>
      <c r="S386" s="1404"/>
      <c r="T386" s="1404"/>
      <c r="U386" s="1404"/>
      <c r="V386" s="1404"/>
      <c r="W386" s="1404"/>
      <c r="X386" s="1404"/>
      <c r="Y386" s="1404"/>
      <c r="Z386" s="1404"/>
    </row>
    <row r="387">
      <c r="A387" s="1404"/>
      <c r="B387" s="1404"/>
      <c r="C387" s="1404"/>
      <c r="D387" s="1404"/>
      <c r="E387" s="1404"/>
      <c r="F387" s="1404"/>
      <c r="G387" s="1404"/>
      <c r="H387" s="1404"/>
      <c r="I387" s="1404"/>
      <c r="J387" s="1404"/>
      <c r="K387" s="1404"/>
      <c r="L387" s="1404"/>
      <c r="M387" s="1404"/>
      <c r="N387" s="1404"/>
      <c r="O387" s="1404"/>
      <c r="P387" s="1404"/>
      <c r="Q387" s="1404"/>
      <c r="R387" s="1404"/>
      <c r="S387" s="1404"/>
      <c r="T387" s="1404"/>
      <c r="U387" s="1404"/>
      <c r="V387" s="1404"/>
      <c r="W387" s="1404"/>
      <c r="X387" s="1404"/>
      <c r="Y387" s="1404"/>
      <c r="Z387" s="1404"/>
    </row>
    <row r="388">
      <c r="A388" s="1404"/>
      <c r="B388" s="1404"/>
      <c r="C388" s="1404"/>
      <c r="D388" s="1404"/>
      <c r="E388" s="1404"/>
      <c r="F388" s="1404"/>
      <c r="G388" s="1404"/>
      <c r="H388" s="1404"/>
      <c r="I388" s="1404"/>
      <c r="J388" s="1404"/>
      <c r="K388" s="1404"/>
      <c r="L388" s="1404"/>
      <c r="M388" s="1404"/>
      <c r="N388" s="1404"/>
      <c r="O388" s="1404"/>
      <c r="P388" s="1404"/>
      <c r="Q388" s="1404"/>
      <c r="R388" s="1404"/>
      <c r="S388" s="1404"/>
      <c r="T388" s="1404"/>
      <c r="U388" s="1404"/>
      <c r="V388" s="1404"/>
      <c r="W388" s="1404"/>
      <c r="X388" s="1404"/>
      <c r="Y388" s="1404"/>
      <c r="Z388" s="1404"/>
    </row>
    <row r="389">
      <c r="A389" s="1404"/>
      <c r="B389" s="1404"/>
      <c r="C389" s="1404"/>
      <c r="D389" s="1404"/>
      <c r="E389" s="1404"/>
      <c r="F389" s="1404"/>
      <c r="G389" s="1404"/>
      <c r="H389" s="1404"/>
      <c r="I389" s="1404"/>
      <c r="J389" s="1404"/>
      <c r="K389" s="1404"/>
      <c r="L389" s="1404"/>
      <c r="M389" s="1404"/>
      <c r="N389" s="1404"/>
      <c r="O389" s="1404"/>
      <c r="P389" s="1404"/>
      <c r="Q389" s="1404"/>
      <c r="R389" s="1404"/>
      <c r="S389" s="1404"/>
      <c r="T389" s="1404"/>
      <c r="U389" s="1404"/>
      <c r="V389" s="1404"/>
      <c r="W389" s="1404"/>
      <c r="X389" s="1404"/>
      <c r="Y389" s="1404"/>
      <c r="Z389" s="1404"/>
    </row>
    <row r="390">
      <c r="A390" s="1404"/>
      <c r="B390" s="1404"/>
      <c r="C390" s="1404"/>
      <c r="D390" s="1404"/>
      <c r="E390" s="1404"/>
      <c r="F390" s="1404"/>
      <c r="G390" s="1404"/>
      <c r="H390" s="1404"/>
      <c r="I390" s="1404"/>
      <c r="J390" s="1404"/>
      <c r="K390" s="1404"/>
      <c r="L390" s="1404"/>
      <c r="M390" s="1404"/>
      <c r="N390" s="1404"/>
      <c r="O390" s="1404"/>
      <c r="P390" s="1404"/>
      <c r="Q390" s="1404"/>
      <c r="R390" s="1404"/>
      <c r="S390" s="1404"/>
      <c r="T390" s="1404"/>
      <c r="U390" s="1404"/>
      <c r="V390" s="1404"/>
      <c r="W390" s="1404"/>
      <c r="X390" s="1404"/>
      <c r="Y390" s="1404"/>
      <c r="Z390" s="1404"/>
    </row>
    <row r="391">
      <c r="A391" s="1404"/>
      <c r="B391" s="1404"/>
      <c r="C391" s="1404"/>
      <c r="D391" s="1404"/>
      <c r="E391" s="1404"/>
      <c r="F391" s="1404"/>
      <c r="G391" s="1404"/>
      <c r="H391" s="1404"/>
      <c r="I391" s="1404"/>
      <c r="J391" s="1404"/>
      <c r="K391" s="1404"/>
      <c r="L391" s="1404"/>
      <c r="M391" s="1404"/>
      <c r="N391" s="1404"/>
      <c r="O391" s="1404"/>
      <c r="P391" s="1404"/>
      <c r="Q391" s="1404"/>
      <c r="R391" s="1404"/>
      <c r="S391" s="1404"/>
      <c r="T391" s="1404"/>
      <c r="U391" s="1404"/>
      <c r="V391" s="1404"/>
      <c r="W391" s="1404"/>
      <c r="X391" s="1404"/>
      <c r="Y391" s="1404"/>
      <c r="Z391" s="1404"/>
    </row>
    <row r="392">
      <c r="A392" s="1404"/>
      <c r="B392" s="1404"/>
      <c r="C392" s="1404"/>
      <c r="D392" s="1404"/>
      <c r="E392" s="1404"/>
      <c r="F392" s="1404"/>
      <c r="G392" s="1404"/>
      <c r="H392" s="1404"/>
      <c r="I392" s="1404"/>
      <c r="J392" s="1404"/>
      <c r="K392" s="1404"/>
      <c r="L392" s="1404"/>
      <c r="M392" s="1404"/>
      <c r="N392" s="1404"/>
      <c r="O392" s="1404"/>
      <c r="P392" s="1404"/>
      <c r="Q392" s="1404"/>
      <c r="R392" s="1404"/>
      <c r="S392" s="1404"/>
      <c r="T392" s="1404"/>
      <c r="U392" s="1404"/>
      <c r="V392" s="1404"/>
      <c r="W392" s="1404"/>
      <c r="X392" s="1404"/>
      <c r="Y392" s="1404"/>
      <c r="Z392" s="1404"/>
    </row>
    <row r="393">
      <c r="A393" s="1404"/>
      <c r="B393" s="1404"/>
      <c r="C393" s="1404"/>
      <c r="D393" s="1404"/>
      <c r="E393" s="1404"/>
      <c r="F393" s="1404"/>
      <c r="G393" s="1404"/>
      <c r="H393" s="1404"/>
      <c r="I393" s="1404"/>
      <c r="J393" s="1404"/>
      <c r="K393" s="1404"/>
      <c r="L393" s="1404"/>
      <c r="M393" s="1404"/>
      <c r="N393" s="1404"/>
      <c r="O393" s="1404"/>
      <c r="P393" s="1404"/>
      <c r="Q393" s="1404"/>
      <c r="R393" s="1404"/>
      <c r="S393" s="1404"/>
      <c r="T393" s="1404"/>
      <c r="U393" s="1404"/>
      <c r="V393" s="1404"/>
      <c r="W393" s="1404"/>
      <c r="X393" s="1404"/>
      <c r="Y393" s="1404"/>
      <c r="Z393" s="1404"/>
    </row>
    <row r="394">
      <c r="A394" s="1404"/>
      <c r="B394" s="1404"/>
      <c r="C394" s="1404"/>
      <c r="D394" s="1404"/>
      <c r="E394" s="1404"/>
      <c r="F394" s="1404"/>
      <c r="G394" s="1404"/>
      <c r="H394" s="1404"/>
      <c r="I394" s="1404"/>
      <c r="J394" s="1404"/>
      <c r="K394" s="1404"/>
      <c r="L394" s="1404"/>
      <c r="M394" s="1404"/>
      <c r="N394" s="1404"/>
      <c r="O394" s="1404"/>
      <c r="P394" s="1404"/>
      <c r="Q394" s="1404"/>
      <c r="R394" s="1404"/>
      <c r="S394" s="1404"/>
      <c r="T394" s="1404"/>
      <c r="U394" s="1404"/>
      <c r="V394" s="1404"/>
      <c r="W394" s="1404"/>
      <c r="X394" s="1404"/>
      <c r="Y394" s="1404"/>
      <c r="Z394" s="1404"/>
    </row>
    <row r="395">
      <c r="A395" s="1404"/>
      <c r="B395" s="1404"/>
      <c r="C395" s="1404"/>
      <c r="D395" s="1404"/>
      <c r="E395" s="1404"/>
      <c r="F395" s="1404"/>
      <c r="G395" s="1404"/>
      <c r="H395" s="1404"/>
      <c r="I395" s="1404"/>
      <c r="J395" s="1404"/>
      <c r="K395" s="1404"/>
      <c r="L395" s="1404"/>
      <c r="M395" s="1404"/>
      <c r="N395" s="1404"/>
      <c r="O395" s="1404"/>
      <c r="P395" s="1404"/>
      <c r="Q395" s="1404"/>
      <c r="R395" s="1404"/>
      <c r="S395" s="1404"/>
      <c r="T395" s="1404"/>
      <c r="U395" s="1404"/>
      <c r="V395" s="1404"/>
      <c r="W395" s="1404"/>
      <c r="X395" s="1404"/>
      <c r="Y395" s="1404"/>
      <c r="Z395" s="1404"/>
    </row>
    <row r="396">
      <c r="A396" s="1404"/>
      <c r="B396" s="1404"/>
      <c r="C396" s="1404"/>
      <c r="D396" s="1404"/>
      <c r="E396" s="1404"/>
      <c r="F396" s="1404"/>
      <c r="G396" s="1404"/>
      <c r="H396" s="1404"/>
      <c r="I396" s="1404"/>
      <c r="J396" s="1404"/>
      <c r="K396" s="1404"/>
      <c r="L396" s="1404"/>
      <c r="M396" s="1404"/>
      <c r="N396" s="1404"/>
      <c r="O396" s="1404"/>
      <c r="P396" s="1404"/>
      <c r="Q396" s="1404"/>
      <c r="R396" s="1404"/>
      <c r="S396" s="1404"/>
      <c r="T396" s="1404"/>
      <c r="U396" s="1404"/>
      <c r="V396" s="1404"/>
      <c r="W396" s="1404"/>
      <c r="X396" s="1404"/>
      <c r="Y396" s="1404"/>
      <c r="Z396" s="1404"/>
    </row>
    <row r="397">
      <c r="A397" s="1404"/>
      <c r="B397" s="1404"/>
      <c r="C397" s="1404"/>
      <c r="D397" s="1404"/>
      <c r="E397" s="1404"/>
      <c r="F397" s="1404"/>
      <c r="G397" s="1404"/>
      <c r="H397" s="1404"/>
      <c r="I397" s="1404"/>
      <c r="J397" s="1404"/>
      <c r="K397" s="1404"/>
      <c r="L397" s="1404"/>
      <c r="M397" s="1404"/>
      <c r="N397" s="1404"/>
      <c r="O397" s="1404"/>
      <c r="P397" s="1404"/>
      <c r="Q397" s="1404"/>
      <c r="R397" s="1404"/>
      <c r="S397" s="1404"/>
      <c r="T397" s="1404"/>
      <c r="U397" s="1404"/>
      <c r="V397" s="1404"/>
      <c r="W397" s="1404"/>
      <c r="X397" s="1404"/>
      <c r="Y397" s="1404"/>
      <c r="Z397" s="1404"/>
    </row>
    <row r="398">
      <c r="A398" s="1404"/>
      <c r="B398" s="1404"/>
      <c r="C398" s="1404"/>
      <c r="D398" s="1404"/>
      <c r="E398" s="1404"/>
      <c r="F398" s="1404"/>
      <c r="G398" s="1404"/>
      <c r="H398" s="1404"/>
      <c r="I398" s="1404"/>
      <c r="J398" s="1404"/>
      <c r="K398" s="1404"/>
      <c r="L398" s="1404"/>
      <c r="M398" s="1404"/>
      <c r="N398" s="1404"/>
      <c r="O398" s="1404"/>
      <c r="P398" s="1404"/>
      <c r="Q398" s="1404"/>
      <c r="R398" s="1404"/>
      <c r="S398" s="1404"/>
      <c r="T398" s="1404"/>
      <c r="U398" s="1404"/>
      <c r="V398" s="1404"/>
      <c r="W398" s="1404"/>
      <c r="X398" s="1404"/>
      <c r="Y398" s="1404"/>
      <c r="Z398" s="1404"/>
    </row>
    <row r="399">
      <c r="A399" s="1404"/>
      <c r="B399" s="1404"/>
      <c r="C399" s="1404"/>
      <c r="D399" s="1404"/>
      <c r="E399" s="1404"/>
      <c r="F399" s="1404"/>
      <c r="G399" s="1404"/>
      <c r="H399" s="1404"/>
      <c r="I399" s="1404"/>
      <c r="J399" s="1404"/>
      <c r="K399" s="1404"/>
      <c r="L399" s="1404"/>
      <c r="M399" s="1404"/>
      <c r="N399" s="1404"/>
      <c r="O399" s="1404"/>
      <c r="P399" s="1404"/>
      <c r="Q399" s="1404"/>
      <c r="R399" s="1404"/>
      <c r="S399" s="1404"/>
      <c r="T399" s="1404"/>
      <c r="U399" s="1404"/>
      <c r="V399" s="1404"/>
      <c r="W399" s="1404"/>
      <c r="X399" s="1404"/>
      <c r="Y399" s="1404"/>
      <c r="Z399" s="1404"/>
    </row>
    <row r="400">
      <c r="A400" s="1404"/>
      <c r="B400" s="1404"/>
      <c r="C400" s="1404"/>
      <c r="D400" s="1404"/>
      <c r="E400" s="1404"/>
      <c r="F400" s="1404"/>
      <c r="G400" s="1404"/>
      <c r="H400" s="1404"/>
      <c r="I400" s="1404"/>
      <c r="J400" s="1404"/>
      <c r="K400" s="1404"/>
      <c r="L400" s="1404"/>
      <c r="M400" s="1404"/>
      <c r="N400" s="1404"/>
      <c r="O400" s="1404"/>
      <c r="P400" s="1404"/>
      <c r="Q400" s="1404"/>
      <c r="R400" s="1404"/>
      <c r="S400" s="1404"/>
      <c r="T400" s="1404"/>
      <c r="U400" s="1404"/>
      <c r="V400" s="1404"/>
      <c r="W400" s="1404"/>
      <c r="X400" s="1404"/>
      <c r="Y400" s="1404"/>
      <c r="Z400" s="1404"/>
    </row>
    <row r="401">
      <c r="A401" s="1404"/>
      <c r="B401" s="1404"/>
      <c r="C401" s="1404"/>
      <c r="D401" s="1404"/>
      <c r="E401" s="1404"/>
      <c r="F401" s="1404"/>
      <c r="G401" s="1404"/>
      <c r="H401" s="1404"/>
      <c r="I401" s="1404"/>
      <c r="J401" s="1404"/>
      <c r="K401" s="1404"/>
      <c r="L401" s="1404"/>
      <c r="M401" s="1404"/>
      <c r="N401" s="1404"/>
      <c r="O401" s="1404"/>
      <c r="P401" s="1404"/>
      <c r="Q401" s="1404"/>
      <c r="R401" s="1404"/>
      <c r="S401" s="1404"/>
      <c r="T401" s="1404"/>
      <c r="U401" s="1404"/>
      <c r="V401" s="1404"/>
      <c r="W401" s="1404"/>
      <c r="X401" s="1404"/>
      <c r="Y401" s="1404"/>
      <c r="Z401" s="1404"/>
    </row>
    <row r="402">
      <c r="A402" s="1404"/>
      <c r="B402" s="1404"/>
      <c r="C402" s="1404"/>
      <c r="D402" s="1404"/>
      <c r="E402" s="1404"/>
      <c r="F402" s="1404"/>
      <c r="G402" s="1404"/>
      <c r="H402" s="1404"/>
      <c r="I402" s="1404"/>
      <c r="J402" s="1404"/>
      <c r="K402" s="1404"/>
      <c r="L402" s="1404"/>
      <c r="M402" s="1404"/>
      <c r="N402" s="1404"/>
      <c r="O402" s="1404"/>
      <c r="P402" s="1404"/>
      <c r="Q402" s="1404"/>
      <c r="R402" s="1404"/>
      <c r="S402" s="1404"/>
      <c r="T402" s="1404"/>
      <c r="U402" s="1404"/>
      <c r="V402" s="1404"/>
      <c r="W402" s="1404"/>
      <c r="X402" s="1404"/>
      <c r="Y402" s="1404"/>
      <c r="Z402" s="1404"/>
    </row>
    <row r="403">
      <c r="A403" s="1404"/>
      <c r="B403" s="1404"/>
      <c r="C403" s="1404"/>
      <c r="D403" s="1404"/>
      <c r="E403" s="1404"/>
      <c r="F403" s="1404"/>
      <c r="G403" s="1404"/>
      <c r="H403" s="1404"/>
      <c r="I403" s="1404"/>
      <c r="J403" s="1404"/>
      <c r="K403" s="1404"/>
      <c r="L403" s="1404"/>
      <c r="M403" s="1404"/>
      <c r="N403" s="1404"/>
      <c r="O403" s="1404"/>
      <c r="P403" s="1404"/>
      <c r="Q403" s="1404"/>
      <c r="R403" s="1404"/>
      <c r="S403" s="1404"/>
      <c r="T403" s="1404"/>
      <c r="U403" s="1404"/>
      <c r="V403" s="1404"/>
      <c r="W403" s="1404"/>
      <c r="X403" s="1404"/>
      <c r="Y403" s="1404"/>
      <c r="Z403" s="1404"/>
    </row>
    <row r="404">
      <c r="A404" s="1404"/>
      <c r="B404" s="1404"/>
      <c r="C404" s="1404"/>
      <c r="D404" s="1404"/>
      <c r="E404" s="1404"/>
      <c r="F404" s="1404"/>
      <c r="G404" s="1404"/>
      <c r="H404" s="1404"/>
      <c r="I404" s="1404"/>
      <c r="J404" s="1404"/>
      <c r="K404" s="1404"/>
      <c r="L404" s="1404"/>
      <c r="M404" s="1404"/>
      <c r="N404" s="1404"/>
      <c r="O404" s="1404"/>
      <c r="P404" s="1404"/>
      <c r="Q404" s="1404"/>
      <c r="R404" s="1404"/>
      <c r="S404" s="1404"/>
      <c r="T404" s="1404"/>
      <c r="U404" s="1404"/>
      <c r="V404" s="1404"/>
      <c r="W404" s="1404"/>
      <c r="X404" s="1404"/>
      <c r="Y404" s="1404"/>
      <c r="Z404" s="1404"/>
    </row>
    <row r="405">
      <c r="A405" s="1404"/>
      <c r="B405" s="1404"/>
      <c r="C405" s="1404"/>
      <c r="D405" s="1404"/>
      <c r="E405" s="1404"/>
      <c r="F405" s="1404"/>
      <c r="G405" s="1404"/>
      <c r="H405" s="1404"/>
      <c r="I405" s="1404"/>
      <c r="J405" s="1404"/>
      <c r="K405" s="1404"/>
      <c r="L405" s="1404"/>
      <c r="M405" s="1404"/>
      <c r="N405" s="1404"/>
      <c r="O405" s="1404"/>
      <c r="P405" s="1404"/>
      <c r="Q405" s="1404"/>
      <c r="R405" s="1404"/>
      <c r="S405" s="1404"/>
      <c r="T405" s="1404"/>
      <c r="U405" s="1404"/>
      <c r="V405" s="1404"/>
      <c r="W405" s="1404"/>
      <c r="X405" s="1404"/>
      <c r="Y405" s="1404"/>
      <c r="Z405" s="1404"/>
    </row>
    <row r="406">
      <c r="A406" s="1404"/>
      <c r="B406" s="1404"/>
      <c r="C406" s="1404"/>
      <c r="D406" s="1404"/>
      <c r="E406" s="1404"/>
      <c r="F406" s="1404"/>
      <c r="G406" s="1404"/>
      <c r="H406" s="1404"/>
      <c r="I406" s="1404"/>
      <c r="J406" s="1404"/>
      <c r="K406" s="1404"/>
      <c r="L406" s="1404"/>
      <c r="M406" s="1404"/>
      <c r="N406" s="1404"/>
      <c r="O406" s="1404"/>
      <c r="P406" s="1404"/>
      <c r="Q406" s="1404"/>
      <c r="R406" s="1404"/>
      <c r="S406" s="1404"/>
      <c r="T406" s="1404"/>
      <c r="U406" s="1404"/>
      <c r="V406" s="1404"/>
      <c r="W406" s="1404"/>
      <c r="X406" s="1404"/>
      <c r="Y406" s="1404"/>
      <c r="Z406" s="1404"/>
    </row>
    <row r="407">
      <c r="A407" s="1404"/>
      <c r="B407" s="1404"/>
      <c r="C407" s="1404"/>
      <c r="D407" s="1404"/>
      <c r="E407" s="1404"/>
      <c r="F407" s="1404"/>
      <c r="G407" s="1404"/>
      <c r="H407" s="1404"/>
      <c r="I407" s="1404"/>
      <c r="J407" s="1404"/>
      <c r="K407" s="1404"/>
      <c r="L407" s="1404"/>
      <c r="M407" s="1404"/>
      <c r="N407" s="1404"/>
      <c r="O407" s="1404"/>
      <c r="P407" s="1404"/>
      <c r="Q407" s="1404"/>
      <c r="R407" s="1404"/>
      <c r="S407" s="1404"/>
      <c r="T407" s="1404"/>
      <c r="U407" s="1404"/>
      <c r="V407" s="1404"/>
      <c r="W407" s="1404"/>
      <c r="X407" s="1404"/>
      <c r="Y407" s="1404"/>
      <c r="Z407" s="1404"/>
    </row>
    <row r="408">
      <c r="A408" s="1404"/>
      <c r="B408" s="1404"/>
      <c r="C408" s="1404"/>
      <c r="D408" s="1404"/>
      <c r="E408" s="1404"/>
      <c r="F408" s="1404"/>
      <c r="G408" s="1404"/>
      <c r="H408" s="1404"/>
      <c r="I408" s="1404"/>
      <c r="J408" s="1404"/>
      <c r="K408" s="1404"/>
      <c r="L408" s="1404"/>
      <c r="M408" s="1404"/>
      <c r="N408" s="1404"/>
      <c r="O408" s="1404"/>
      <c r="P408" s="1404"/>
      <c r="Q408" s="1404"/>
      <c r="R408" s="1404"/>
      <c r="S408" s="1404"/>
      <c r="T408" s="1404"/>
      <c r="U408" s="1404"/>
      <c r="V408" s="1404"/>
      <c r="W408" s="1404"/>
      <c r="X408" s="1404"/>
      <c r="Y408" s="1404"/>
      <c r="Z408" s="1404"/>
    </row>
    <row r="409">
      <c r="A409" s="1404"/>
      <c r="B409" s="1404"/>
      <c r="C409" s="1404"/>
      <c r="D409" s="1404"/>
      <c r="E409" s="1404"/>
      <c r="F409" s="1404"/>
      <c r="G409" s="1404"/>
      <c r="H409" s="1404"/>
      <c r="I409" s="1404"/>
      <c r="J409" s="1404"/>
      <c r="K409" s="1404"/>
      <c r="L409" s="1404"/>
      <c r="M409" s="1404"/>
      <c r="N409" s="1404"/>
      <c r="O409" s="1404"/>
      <c r="P409" s="1404"/>
      <c r="Q409" s="1404"/>
      <c r="R409" s="1404"/>
      <c r="S409" s="1404"/>
      <c r="T409" s="1404"/>
      <c r="U409" s="1404"/>
      <c r="V409" s="1404"/>
      <c r="W409" s="1404"/>
      <c r="X409" s="1404"/>
      <c r="Y409" s="1404"/>
      <c r="Z409" s="1404"/>
    </row>
    <row r="410">
      <c r="A410" s="1404"/>
      <c r="B410" s="1404"/>
      <c r="C410" s="1404"/>
      <c r="D410" s="1404"/>
      <c r="E410" s="1404"/>
      <c r="F410" s="1404"/>
      <c r="G410" s="1404"/>
      <c r="H410" s="1404"/>
      <c r="I410" s="1404"/>
      <c r="J410" s="1404"/>
      <c r="K410" s="1404"/>
      <c r="L410" s="1404"/>
      <c r="M410" s="1404"/>
      <c r="N410" s="1404"/>
      <c r="O410" s="1404"/>
      <c r="P410" s="1404"/>
      <c r="Q410" s="1404"/>
      <c r="R410" s="1404"/>
      <c r="S410" s="1404"/>
      <c r="T410" s="1404"/>
      <c r="U410" s="1404"/>
      <c r="V410" s="1404"/>
      <c r="W410" s="1404"/>
      <c r="X410" s="1404"/>
      <c r="Y410" s="1404"/>
      <c r="Z410" s="1404"/>
    </row>
    <row r="411">
      <c r="A411" s="1404"/>
      <c r="B411" s="1404"/>
      <c r="C411" s="1404"/>
      <c r="D411" s="1404"/>
      <c r="E411" s="1404"/>
      <c r="F411" s="1404"/>
      <c r="G411" s="1404"/>
      <c r="H411" s="1404"/>
      <c r="I411" s="1404"/>
      <c r="J411" s="1404"/>
      <c r="K411" s="1404"/>
      <c r="L411" s="1404"/>
      <c r="M411" s="1404"/>
      <c r="N411" s="1404"/>
      <c r="O411" s="1404"/>
      <c r="P411" s="1404"/>
      <c r="Q411" s="1404"/>
      <c r="R411" s="1404"/>
      <c r="S411" s="1404"/>
      <c r="T411" s="1404"/>
      <c r="U411" s="1404"/>
      <c r="V411" s="1404"/>
      <c r="W411" s="1404"/>
      <c r="X411" s="1404"/>
      <c r="Y411" s="1404"/>
      <c r="Z411" s="1404"/>
    </row>
    <row r="412">
      <c r="A412" s="1404"/>
      <c r="B412" s="1404"/>
      <c r="C412" s="1404"/>
      <c r="D412" s="1404"/>
      <c r="E412" s="1404"/>
      <c r="F412" s="1404"/>
      <c r="G412" s="1404"/>
      <c r="H412" s="1404"/>
      <c r="I412" s="1404"/>
      <c r="J412" s="1404"/>
      <c r="K412" s="1404"/>
      <c r="L412" s="1404"/>
      <c r="M412" s="1404"/>
      <c r="N412" s="1404"/>
      <c r="O412" s="1404"/>
      <c r="P412" s="1404"/>
      <c r="Q412" s="1404"/>
      <c r="R412" s="1404"/>
      <c r="S412" s="1404"/>
      <c r="T412" s="1404"/>
      <c r="U412" s="1404"/>
      <c r="V412" s="1404"/>
      <c r="W412" s="1404"/>
      <c r="X412" s="1404"/>
      <c r="Y412" s="1404"/>
      <c r="Z412" s="1404"/>
    </row>
    <row r="413">
      <c r="A413" s="1404"/>
      <c r="B413" s="1404"/>
      <c r="C413" s="1404"/>
      <c r="D413" s="1404"/>
      <c r="E413" s="1404"/>
      <c r="F413" s="1404"/>
      <c r="G413" s="1404"/>
      <c r="H413" s="1404"/>
      <c r="I413" s="1404"/>
      <c r="J413" s="1404"/>
      <c r="K413" s="1404"/>
      <c r="L413" s="1404"/>
      <c r="M413" s="1404"/>
      <c r="N413" s="1404"/>
      <c r="O413" s="1404"/>
      <c r="P413" s="1404"/>
      <c r="Q413" s="1404"/>
      <c r="R413" s="1404"/>
      <c r="S413" s="1404"/>
      <c r="T413" s="1404"/>
      <c r="U413" s="1404"/>
      <c r="V413" s="1404"/>
      <c r="W413" s="1404"/>
      <c r="X413" s="1404"/>
      <c r="Y413" s="1404"/>
      <c r="Z413" s="1404"/>
    </row>
    <row r="414">
      <c r="A414" s="1404"/>
      <c r="B414" s="1404"/>
      <c r="C414" s="1404"/>
      <c r="D414" s="1404"/>
      <c r="E414" s="1404"/>
      <c r="F414" s="1404"/>
      <c r="G414" s="1404"/>
      <c r="H414" s="1404"/>
      <c r="I414" s="1404"/>
      <c r="J414" s="1404"/>
      <c r="K414" s="1404"/>
      <c r="L414" s="1404"/>
      <c r="M414" s="1404"/>
      <c r="N414" s="1404"/>
      <c r="O414" s="1404"/>
      <c r="P414" s="1404"/>
      <c r="Q414" s="1404"/>
      <c r="R414" s="1404"/>
      <c r="S414" s="1404"/>
      <c r="T414" s="1404"/>
      <c r="U414" s="1404"/>
      <c r="V414" s="1404"/>
      <c r="W414" s="1404"/>
      <c r="X414" s="1404"/>
      <c r="Y414" s="1404"/>
      <c r="Z414" s="1404"/>
    </row>
    <row r="415">
      <c r="A415" s="1404"/>
      <c r="B415" s="1404"/>
      <c r="C415" s="1404"/>
      <c r="D415" s="1404"/>
      <c r="E415" s="1404"/>
      <c r="F415" s="1404"/>
      <c r="G415" s="1404"/>
      <c r="H415" s="1404"/>
      <c r="I415" s="1404"/>
      <c r="J415" s="1404"/>
      <c r="K415" s="1404"/>
      <c r="L415" s="1404"/>
      <c r="M415" s="1404"/>
      <c r="N415" s="1404"/>
      <c r="O415" s="1404"/>
      <c r="P415" s="1404"/>
      <c r="Q415" s="1404"/>
      <c r="R415" s="1404"/>
      <c r="S415" s="1404"/>
      <c r="T415" s="1404"/>
      <c r="U415" s="1404"/>
      <c r="V415" s="1404"/>
      <c r="W415" s="1404"/>
      <c r="X415" s="1404"/>
      <c r="Y415" s="1404"/>
      <c r="Z415" s="1404"/>
    </row>
    <row r="416">
      <c r="A416" s="1404"/>
      <c r="B416" s="1404"/>
      <c r="C416" s="1404"/>
      <c r="D416" s="1404"/>
      <c r="E416" s="1404"/>
      <c r="F416" s="1404"/>
      <c r="G416" s="1404"/>
      <c r="H416" s="1404"/>
      <c r="I416" s="1404"/>
      <c r="J416" s="1404"/>
      <c r="K416" s="1404"/>
      <c r="L416" s="1404"/>
      <c r="M416" s="1404"/>
      <c r="N416" s="1404"/>
      <c r="O416" s="1404"/>
      <c r="P416" s="1404"/>
      <c r="Q416" s="1404"/>
      <c r="R416" s="1404"/>
      <c r="S416" s="1404"/>
      <c r="T416" s="1404"/>
      <c r="U416" s="1404"/>
      <c r="V416" s="1404"/>
      <c r="W416" s="1404"/>
      <c r="X416" s="1404"/>
      <c r="Y416" s="1404"/>
      <c r="Z416" s="1404"/>
    </row>
    <row r="417">
      <c r="A417" s="1404"/>
      <c r="B417" s="1404"/>
      <c r="C417" s="1404"/>
      <c r="D417" s="1404"/>
      <c r="E417" s="1404"/>
      <c r="F417" s="1404"/>
      <c r="G417" s="1404"/>
      <c r="H417" s="1404"/>
      <c r="I417" s="1404"/>
      <c r="J417" s="1404"/>
      <c r="K417" s="1404"/>
      <c r="L417" s="1404"/>
      <c r="M417" s="1404"/>
      <c r="N417" s="1404"/>
      <c r="O417" s="1404"/>
      <c r="P417" s="1404"/>
      <c r="Q417" s="1404"/>
      <c r="R417" s="1404"/>
      <c r="S417" s="1404"/>
      <c r="T417" s="1404"/>
      <c r="U417" s="1404"/>
      <c r="V417" s="1404"/>
      <c r="W417" s="1404"/>
      <c r="X417" s="1404"/>
      <c r="Y417" s="1404"/>
      <c r="Z417" s="1404"/>
    </row>
    <row r="418">
      <c r="A418" s="1404"/>
      <c r="B418" s="1404"/>
      <c r="C418" s="1404"/>
      <c r="D418" s="1404"/>
      <c r="E418" s="1404"/>
      <c r="F418" s="1404"/>
      <c r="G418" s="1404"/>
      <c r="H418" s="1404"/>
      <c r="I418" s="1404"/>
      <c r="J418" s="1404"/>
      <c r="K418" s="1404"/>
      <c r="L418" s="1404"/>
      <c r="M418" s="1404"/>
      <c r="N418" s="1404"/>
      <c r="O418" s="1404"/>
      <c r="P418" s="1404"/>
      <c r="Q418" s="1404"/>
      <c r="R418" s="1404"/>
      <c r="S418" s="1404"/>
      <c r="T418" s="1404"/>
      <c r="U418" s="1404"/>
      <c r="V418" s="1404"/>
      <c r="W418" s="1404"/>
      <c r="X418" s="1404"/>
      <c r="Y418" s="1404"/>
      <c r="Z418" s="1404"/>
    </row>
    <row r="419">
      <c r="A419" s="1404"/>
      <c r="B419" s="1404"/>
      <c r="C419" s="1404"/>
      <c r="D419" s="1404"/>
      <c r="E419" s="1404"/>
      <c r="F419" s="1404"/>
      <c r="G419" s="1404"/>
      <c r="H419" s="1404"/>
      <c r="I419" s="1404"/>
      <c r="J419" s="1404"/>
      <c r="K419" s="1404"/>
      <c r="L419" s="1404"/>
      <c r="M419" s="1404"/>
      <c r="N419" s="1404"/>
      <c r="O419" s="1404"/>
      <c r="P419" s="1404"/>
      <c r="Q419" s="1404"/>
      <c r="R419" s="1404"/>
      <c r="S419" s="1404"/>
      <c r="T419" s="1404"/>
      <c r="U419" s="1404"/>
      <c r="V419" s="1404"/>
      <c r="W419" s="1404"/>
      <c r="X419" s="1404"/>
      <c r="Y419" s="1404"/>
      <c r="Z419" s="1404"/>
    </row>
    <row r="420">
      <c r="A420" s="1404"/>
      <c r="B420" s="1404"/>
      <c r="C420" s="1404"/>
      <c r="D420" s="1404"/>
      <c r="E420" s="1404"/>
      <c r="F420" s="1404"/>
      <c r="G420" s="1404"/>
      <c r="H420" s="1404"/>
      <c r="I420" s="1404"/>
      <c r="J420" s="1404"/>
      <c r="K420" s="1404"/>
      <c r="L420" s="1404"/>
      <c r="M420" s="1404"/>
      <c r="N420" s="1404"/>
      <c r="O420" s="1404"/>
      <c r="P420" s="1404"/>
      <c r="Q420" s="1404"/>
      <c r="R420" s="1404"/>
      <c r="S420" s="1404"/>
      <c r="T420" s="1404"/>
      <c r="U420" s="1404"/>
      <c r="V420" s="1404"/>
      <c r="W420" s="1404"/>
      <c r="X420" s="1404"/>
      <c r="Y420" s="1404"/>
      <c r="Z420" s="1404"/>
    </row>
    <row r="421">
      <c r="A421" s="1404"/>
      <c r="B421" s="1404"/>
      <c r="C421" s="1404"/>
      <c r="D421" s="1404"/>
      <c r="E421" s="1404"/>
      <c r="F421" s="1404"/>
      <c r="G421" s="1404"/>
      <c r="H421" s="1404"/>
      <c r="I421" s="1404"/>
      <c r="J421" s="1404"/>
      <c r="K421" s="1404"/>
      <c r="L421" s="1404"/>
      <c r="M421" s="1404"/>
      <c r="N421" s="1404"/>
      <c r="O421" s="1404"/>
      <c r="P421" s="1404"/>
      <c r="Q421" s="1404"/>
      <c r="R421" s="1404"/>
      <c r="S421" s="1404"/>
      <c r="T421" s="1404"/>
      <c r="U421" s="1404"/>
      <c r="V421" s="1404"/>
      <c r="W421" s="1404"/>
      <c r="X421" s="1404"/>
      <c r="Y421" s="1404"/>
      <c r="Z421" s="1404"/>
    </row>
    <row r="422">
      <c r="A422" s="1404"/>
      <c r="B422" s="1404"/>
      <c r="C422" s="1404"/>
      <c r="D422" s="1404"/>
      <c r="E422" s="1404"/>
      <c r="F422" s="1404"/>
      <c r="G422" s="1404"/>
      <c r="H422" s="1404"/>
      <c r="I422" s="1404"/>
      <c r="J422" s="1404"/>
      <c r="K422" s="1404"/>
      <c r="L422" s="1404"/>
      <c r="M422" s="1404"/>
      <c r="N422" s="1404"/>
      <c r="O422" s="1404"/>
      <c r="P422" s="1404"/>
      <c r="Q422" s="1404"/>
      <c r="R422" s="1404"/>
      <c r="S422" s="1404"/>
      <c r="T422" s="1404"/>
      <c r="U422" s="1404"/>
      <c r="V422" s="1404"/>
      <c r="W422" s="1404"/>
      <c r="X422" s="1404"/>
      <c r="Y422" s="1404"/>
      <c r="Z422" s="1404"/>
    </row>
    <row r="423">
      <c r="A423" s="1404"/>
      <c r="B423" s="1404"/>
      <c r="C423" s="1404"/>
      <c r="D423" s="1404"/>
      <c r="E423" s="1404"/>
      <c r="F423" s="1404"/>
      <c r="G423" s="1404"/>
      <c r="H423" s="1404"/>
      <c r="I423" s="1404"/>
      <c r="J423" s="1404"/>
      <c r="K423" s="1404"/>
      <c r="L423" s="1404"/>
      <c r="M423" s="1404"/>
      <c r="N423" s="1404"/>
      <c r="O423" s="1404"/>
      <c r="P423" s="1404"/>
      <c r="Q423" s="1404"/>
      <c r="R423" s="1404"/>
      <c r="S423" s="1404"/>
      <c r="T423" s="1404"/>
      <c r="U423" s="1404"/>
      <c r="V423" s="1404"/>
      <c r="W423" s="1404"/>
      <c r="X423" s="1404"/>
      <c r="Y423" s="1404"/>
      <c r="Z423" s="1404"/>
    </row>
    <row r="424">
      <c r="A424" s="1404"/>
      <c r="B424" s="1404"/>
      <c r="C424" s="1404"/>
      <c r="D424" s="1404"/>
      <c r="E424" s="1404"/>
      <c r="F424" s="1404"/>
      <c r="G424" s="1404"/>
      <c r="H424" s="1404"/>
      <c r="I424" s="1404"/>
      <c r="J424" s="1404"/>
      <c r="K424" s="1404"/>
      <c r="L424" s="1404"/>
      <c r="M424" s="1404"/>
      <c r="N424" s="1404"/>
      <c r="O424" s="1404"/>
      <c r="P424" s="1404"/>
      <c r="Q424" s="1404"/>
      <c r="R424" s="1404"/>
      <c r="S424" s="1404"/>
      <c r="T424" s="1404"/>
      <c r="U424" s="1404"/>
      <c r="V424" s="1404"/>
      <c r="W424" s="1404"/>
      <c r="X424" s="1404"/>
      <c r="Y424" s="1404"/>
      <c r="Z424" s="1404"/>
    </row>
    <row r="425">
      <c r="A425" s="1404"/>
      <c r="B425" s="1404"/>
      <c r="C425" s="1404"/>
      <c r="D425" s="1404"/>
      <c r="E425" s="1404"/>
      <c r="F425" s="1404"/>
      <c r="G425" s="1404"/>
      <c r="H425" s="1404"/>
      <c r="I425" s="1404"/>
      <c r="J425" s="1404"/>
      <c r="K425" s="1404"/>
      <c r="L425" s="1404"/>
      <c r="M425" s="1404"/>
      <c r="N425" s="1404"/>
      <c r="O425" s="1404"/>
      <c r="P425" s="1404"/>
      <c r="Q425" s="1404"/>
      <c r="R425" s="1404"/>
      <c r="S425" s="1404"/>
      <c r="T425" s="1404"/>
      <c r="U425" s="1404"/>
      <c r="V425" s="1404"/>
      <c r="W425" s="1404"/>
      <c r="X425" s="1404"/>
      <c r="Y425" s="1404"/>
      <c r="Z425" s="1404"/>
    </row>
    <row r="426">
      <c r="A426" s="1404"/>
      <c r="B426" s="1404"/>
      <c r="C426" s="1404"/>
      <c r="D426" s="1404"/>
      <c r="E426" s="1404"/>
      <c r="F426" s="1404"/>
      <c r="G426" s="1404"/>
      <c r="H426" s="1404"/>
      <c r="I426" s="1404"/>
      <c r="J426" s="1404"/>
      <c r="K426" s="1404"/>
      <c r="L426" s="1404"/>
      <c r="M426" s="1404"/>
      <c r="N426" s="1404"/>
      <c r="O426" s="1404"/>
      <c r="P426" s="1404"/>
      <c r="Q426" s="1404"/>
      <c r="R426" s="1404"/>
      <c r="S426" s="1404"/>
      <c r="T426" s="1404"/>
      <c r="U426" s="1404"/>
      <c r="V426" s="1404"/>
      <c r="W426" s="1404"/>
      <c r="X426" s="1404"/>
      <c r="Y426" s="1404"/>
      <c r="Z426" s="1404"/>
    </row>
    <row r="427">
      <c r="A427" s="1404"/>
      <c r="B427" s="1404"/>
      <c r="C427" s="1404"/>
      <c r="D427" s="1404"/>
      <c r="E427" s="1404"/>
      <c r="F427" s="1404"/>
      <c r="G427" s="1404"/>
      <c r="H427" s="1404"/>
      <c r="I427" s="1404"/>
      <c r="J427" s="1404"/>
      <c r="K427" s="1404"/>
      <c r="L427" s="1404"/>
      <c r="M427" s="1404"/>
      <c r="N427" s="1404"/>
      <c r="O427" s="1404"/>
      <c r="P427" s="1404"/>
      <c r="Q427" s="1404"/>
      <c r="R427" s="1404"/>
      <c r="S427" s="1404"/>
      <c r="T427" s="1404"/>
      <c r="U427" s="1404"/>
      <c r="V427" s="1404"/>
      <c r="W427" s="1404"/>
      <c r="X427" s="1404"/>
      <c r="Y427" s="1404"/>
      <c r="Z427" s="1404"/>
    </row>
    <row r="428">
      <c r="A428" s="1404"/>
      <c r="B428" s="1404"/>
      <c r="C428" s="1404"/>
      <c r="D428" s="1404"/>
      <c r="E428" s="1404"/>
      <c r="F428" s="1404"/>
      <c r="G428" s="1404"/>
      <c r="H428" s="1404"/>
      <c r="I428" s="1404"/>
      <c r="J428" s="1404"/>
      <c r="K428" s="1404"/>
      <c r="L428" s="1404"/>
      <c r="M428" s="1404"/>
      <c r="N428" s="1404"/>
      <c r="O428" s="1404"/>
      <c r="P428" s="1404"/>
      <c r="Q428" s="1404"/>
      <c r="R428" s="1404"/>
      <c r="S428" s="1404"/>
      <c r="T428" s="1404"/>
      <c r="U428" s="1404"/>
      <c r="V428" s="1404"/>
      <c r="W428" s="1404"/>
      <c r="X428" s="1404"/>
      <c r="Y428" s="1404"/>
      <c r="Z428" s="1404"/>
    </row>
    <row r="429">
      <c r="A429" s="1404"/>
      <c r="B429" s="1404"/>
      <c r="C429" s="1404"/>
      <c r="D429" s="1404"/>
      <c r="E429" s="1404"/>
      <c r="F429" s="1404"/>
      <c r="G429" s="1404"/>
      <c r="H429" s="1404"/>
      <c r="I429" s="1404"/>
      <c r="J429" s="1404"/>
      <c r="K429" s="1404"/>
      <c r="L429" s="1404"/>
      <c r="M429" s="1404"/>
      <c r="N429" s="1404"/>
      <c r="O429" s="1404"/>
      <c r="P429" s="1404"/>
      <c r="Q429" s="1404"/>
      <c r="R429" s="1404"/>
      <c r="S429" s="1404"/>
      <c r="T429" s="1404"/>
      <c r="U429" s="1404"/>
      <c r="V429" s="1404"/>
      <c r="W429" s="1404"/>
      <c r="X429" s="1404"/>
      <c r="Y429" s="1404"/>
      <c r="Z429" s="1404"/>
    </row>
    <row r="430">
      <c r="A430" s="1404"/>
      <c r="B430" s="1404"/>
      <c r="C430" s="1404"/>
      <c r="D430" s="1404"/>
      <c r="E430" s="1404"/>
      <c r="F430" s="1404"/>
      <c r="G430" s="1404"/>
      <c r="H430" s="1404"/>
      <c r="I430" s="1404"/>
      <c r="J430" s="1404"/>
      <c r="K430" s="1404"/>
      <c r="L430" s="1404"/>
      <c r="M430" s="1404"/>
      <c r="N430" s="1404"/>
      <c r="O430" s="1404"/>
      <c r="P430" s="1404"/>
      <c r="Q430" s="1404"/>
      <c r="R430" s="1404"/>
      <c r="S430" s="1404"/>
      <c r="T430" s="1404"/>
      <c r="U430" s="1404"/>
      <c r="V430" s="1404"/>
      <c r="W430" s="1404"/>
      <c r="X430" s="1404"/>
      <c r="Y430" s="1404"/>
      <c r="Z430" s="1404"/>
    </row>
    <row r="431">
      <c r="A431" s="1404"/>
      <c r="B431" s="1404"/>
      <c r="C431" s="1404"/>
      <c r="D431" s="1404"/>
      <c r="E431" s="1404"/>
      <c r="F431" s="1404"/>
      <c r="G431" s="1404"/>
      <c r="H431" s="1404"/>
      <c r="I431" s="1404"/>
      <c r="J431" s="1404"/>
      <c r="K431" s="1404"/>
      <c r="L431" s="1404"/>
      <c r="M431" s="1404"/>
      <c r="N431" s="1404"/>
      <c r="O431" s="1404"/>
      <c r="P431" s="1404"/>
      <c r="Q431" s="1404"/>
      <c r="R431" s="1404"/>
      <c r="S431" s="1404"/>
      <c r="T431" s="1404"/>
      <c r="U431" s="1404"/>
      <c r="V431" s="1404"/>
      <c r="W431" s="1404"/>
      <c r="X431" s="1404"/>
      <c r="Y431" s="1404"/>
      <c r="Z431" s="1404"/>
    </row>
    <row r="432">
      <c r="A432" s="1404"/>
      <c r="B432" s="1404"/>
      <c r="C432" s="1404"/>
      <c r="D432" s="1404"/>
      <c r="E432" s="1404"/>
      <c r="F432" s="1404"/>
      <c r="G432" s="1404"/>
      <c r="H432" s="1404"/>
      <c r="I432" s="1404"/>
      <c r="J432" s="1404"/>
      <c r="K432" s="1404"/>
      <c r="L432" s="1404"/>
      <c r="M432" s="1404"/>
      <c r="N432" s="1404"/>
      <c r="O432" s="1404"/>
      <c r="P432" s="1404"/>
      <c r="Q432" s="1404"/>
      <c r="R432" s="1404"/>
      <c r="S432" s="1404"/>
      <c r="T432" s="1404"/>
      <c r="U432" s="1404"/>
      <c r="V432" s="1404"/>
      <c r="W432" s="1404"/>
      <c r="X432" s="1404"/>
      <c r="Y432" s="1404"/>
      <c r="Z432" s="1404"/>
    </row>
    <row r="433">
      <c r="A433" s="1404"/>
      <c r="B433" s="1404"/>
      <c r="C433" s="1404"/>
      <c r="D433" s="1404"/>
      <c r="E433" s="1404"/>
      <c r="F433" s="1404"/>
      <c r="G433" s="1404"/>
      <c r="H433" s="1404"/>
      <c r="I433" s="1404"/>
      <c r="J433" s="1404"/>
      <c r="K433" s="1404"/>
      <c r="L433" s="1404"/>
      <c r="M433" s="1404"/>
      <c r="N433" s="1404"/>
      <c r="O433" s="1404"/>
      <c r="P433" s="1404"/>
      <c r="Q433" s="1404"/>
      <c r="R433" s="1404"/>
      <c r="S433" s="1404"/>
      <c r="T433" s="1404"/>
      <c r="U433" s="1404"/>
      <c r="V433" s="1404"/>
      <c r="W433" s="1404"/>
      <c r="X433" s="1404"/>
      <c r="Y433" s="1404"/>
      <c r="Z433" s="1404"/>
    </row>
    <row r="434">
      <c r="A434" s="1404"/>
      <c r="B434" s="1404"/>
      <c r="C434" s="1404"/>
      <c r="D434" s="1404"/>
      <c r="E434" s="1404"/>
      <c r="F434" s="1404"/>
      <c r="G434" s="1404"/>
      <c r="H434" s="1404"/>
      <c r="I434" s="1404"/>
      <c r="J434" s="1404"/>
      <c r="K434" s="1404"/>
      <c r="L434" s="1404"/>
      <c r="M434" s="1404"/>
      <c r="N434" s="1404"/>
      <c r="O434" s="1404"/>
      <c r="P434" s="1404"/>
      <c r="Q434" s="1404"/>
      <c r="R434" s="1404"/>
      <c r="S434" s="1404"/>
      <c r="T434" s="1404"/>
      <c r="U434" s="1404"/>
      <c r="V434" s="1404"/>
      <c r="W434" s="1404"/>
      <c r="X434" s="1404"/>
      <c r="Y434" s="1404"/>
      <c r="Z434" s="1404"/>
    </row>
    <row r="435">
      <c r="A435" s="1404"/>
      <c r="B435" s="1404"/>
      <c r="C435" s="1404"/>
      <c r="D435" s="1404"/>
      <c r="E435" s="1404"/>
      <c r="F435" s="1404"/>
      <c r="G435" s="1404"/>
      <c r="H435" s="1404"/>
      <c r="I435" s="1404"/>
      <c r="J435" s="1404"/>
      <c r="K435" s="1404"/>
      <c r="L435" s="1404"/>
      <c r="M435" s="1404"/>
      <c r="N435" s="1404"/>
      <c r="O435" s="1404"/>
      <c r="P435" s="1404"/>
      <c r="Q435" s="1404"/>
      <c r="R435" s="1404"/>
      <c r="S435" s="1404"/>
      <c r="T435" s="1404"/>
      <c r="U435" s="1404"/>
      <c r="V435" s="1404"/>
      <c r="W435" s="1404"/>
      <c r="X435" s="1404"/>
      <c r="Y435" s="1404"/>
      <c r="Z435" s="1404"/>
    </row>
    <row r="436">
      <c r="A436" s="1404"/>
      <c r="B436" s="1404"/>
      <c r="C436" s="1404"/>
      <c r="D436" s="1404"/>
      <c r="E436" s="1404"/>
      <c r="F436" s="1404"/>
      <c r="G436" s="1404"/>
      <c r="H436" s="1404"/>
      <c r="I436" s="1404"/>
      <c r="J436" s="1404"/>
      <c r="K436" s="1404"/>
      <c r="L436" s="1404"/>
      <c r="M436" s="1404"/>
      <c r="N436" s="1404"/>
      <c r="O436" s="1404"/>
      <c r="P436" s="1404"/>
      <c r="Q436" s="1404"/>
      <c r="R436" s="1404"/>
      <c r="S436" s="1404"/>
      <c r="T436" s="1404"/>
      <c r="U436" s="1404"/>
      <c r="V436" s="1404"/>
      <c r="W436" s="1404"/>
      <c r="X436" s="1404"/>
      <c r="Y436" s="1404"/>
      <c r="Z436" s="1404"/>
    </row>
    <row r="437">
      <c r="A437" s="1404"/>
      <c r="B437" s="1404"/>
      <c r="C437" s="1404"/>
      <c r="D437" s="1404"/>
      <c r="E437" s="1404"/>
      <c r="F437" s="1404"/>
      <c r="G437" s="1404"/>
      <c r="H437" s="1404"/>
      <c r="I437" s="1404"/>
      <c r="J437" s="1404"/>
      <c r="K437" s="1404"/>
      <c r="L437" s="1404"/>
      <c r="M437" s="1404"/>
      <c r="N437" s="1404"/>
      <c r="O437" s="1404"/>
      <c r="P437" s="1404"/>
      <c r="Q437" s="1404"/>
      <c r="R437" s="1404"/>
      <c r="S437" s="1404"/>
      <c r="T437" s="1404"/>
      <c r="U437" s="1404"/>
      <c r="V437" s="1404"/>
      <c r="W437" s="1404"/>
      <c r="X437" s="1404"/>
      <c r="Y437" s="1404"/>
      <c r="Z437" s="1404"/>
    </row>
    <row r="438">
      <c r="A438" s="1404"/>
      <c r="B438" s="1404"/>
      <c r="C438" s="1404"/>
      <c r="D438" s="1404"/>
      <c r="E438" s="1404"/>
      <c r="F438" s="1404"/>
      <c r="G438" s="1404"/>
      <c r="H438" s="1404"/>
      <c r="I438" s="1404"/>
      <c r="J438" s="1404"/>
      <c r="K438" s="1404"/>
      <c r="L438" s="1404"/>
      <c r="M438" s="1404"/>
      <c r="N438" s="1404"/>
      <c r="O438" s="1404"/>
      <c r="P438" s="1404"/>
      <c r="Q438" s="1404"/>
      <c r="R438" s="1404"/>
      <c r="S438" s="1404"/>
      <c r="T438" s="1404"/>
      <c r="U438" s="1404"/>
      <c r="V438" s="1404"/>
      <c r="W438" s="1404"/>
      <c r="X438" s="1404"/>
      <c r="Y438" s="1404"/>
      <c r="Z438" s="1404"/>
    </row>
    <row r="439">
      <c r="A439" s="1404"/>
      <c r="B439" s="1404"/>
      <c r="C439" s="1404"/>
      <c r="D439" s="1404"/>
      <c r="E439" s="1404"/>
      <c r="F439" s="1404"/>
      <c r="G439" s="1404"/>
      <c r="H439" s="1404"/>
      <c r="I439" s="1404"/>
      <c r="J439" s="1404"/>
      <c r="K439" s="1404"/>
      <c r="L439" s="1404"/>
      <c r="M439" s="1404"/>
      <c r="N439" s="1404"/>
      <c r="O439" s="1404"/>
      <c r="P439" s="1404"/>
      <c r="Q439" s="1404"/>
      <c r="R439" s="1404"/>
      <c r="S439" s="1404"/>
      <c r="T439" s="1404"/>
      <c r="U439" s="1404"/>
      <c r="V439" s="1404"/>
      <c r="W439" s="1404"/>
      <c r="X439" s="1404"/>
      <c r="Y439" s="1404"/>
      <c r="Z439" s="1404"/>
    </row>
    <row r="440">
      <c r="A440" s="1404"/>
      <c r="B440" s="1404"/>
      <c r="C440" s="1404"/>
      <c r="D440" s="1404"/>
      <c r="E440" s="1404"/>
      <c r="F440" s="1404"/>
      <c r="G440" s="1404"/>
      <c r="H440" s="1404"/>
      <c r="I440" s="1404"/>
      <c r="J440" s="1404"/>
      <c r="K440" s="1404"/>
      <c r="L440" s="1404"/>
      <c r="M440" s="1404"/>
      <c r="N440" s="1404"/>
      <c r="O440" s="1404"/>
      <c r="P440" s="1404"/>
      <c r="Q440" s="1404"/>
      <c r="R440" s="1404"/>
      <c r="S440" s="1404"/>
      <c r="T440" s="1404"/>
      <c r="U440" s="1404"/>
      <c r="V440" s="1404"/>
      <c r="W440" s="1404"/>
      <c r="X440" s="1404"/>
      <c r="Y440" s="1404"/>
      <c r="Z440" s="1404"/>
    </row>
    <row r="441">
      <c r="A441" s="1404"/>
      <c r="B441" s="1404"/>
      <c r="C441" s="1404"/>
      <c r="D441" s="1404"/>
      <c r="E441" s="1404"/>
      <c r="F441" s="1404"/>
      <c r="G441" s="1404"/>
      <c r="H441" s="1404"/>
      <c r="I441" s="1404"/>
      <c r="J441" s="1404"/>
      <c r="K441" s="1404"/>
      <c r="L441" s="1404"/>
      <c r="M441" s="1404"/>
      <c r="N441" s="1404"/>
      <c r="O441" s="1404"/>
      <c r="P441" s="1404"/>
      <c r="Q441" s="1404"/>
      <c r="R441" s="1404"/>
      <c r="S441" s="1404"/>
      <c r="T441" s="1404"/>
      <c r="U441" s="1404"/>
      <c r="V441" s="1404"/>
      <c r="W441" s="1404"/>
      <c r="X441" s="1404"/>
      <c r="Y441" s="1404"/>
      <c r="Z441" s="1404"/>
    </row>
    <row r="442">
      <c r="A442" s="1404"/>
      <c r="B442" s="1404"/>
      <c r="C442" s="1404"/>
      <c r="D442" s="1404"/>
      <c r="E442" s="1404"/>
      <c r="F442" s="1404"/>
      <c r="G442" s="1404"/>
      <c r="H442" s="1404"/>
      <c r="I442" s="1404"/>
      <c r="J442" s="1404"/>
      <c r="K442" s="1404"/>
      <c r="L442" s="1404"/>
      <c r="M442" s="1404"/>
      <c r="N442" s="1404"/>
      <c r="O442" s="1404"/>
      <c r="P442" s="1404"/>
      <c r="Q442" s="1404"/>
      <c r="R442" s="1404"/>
      <c r="S442" s="1404"/>
      <c r="T442" s="1404"/>
      <c r="U442" s="1404"/>
      <c r="V442" s="1404"/>
      <c r="W442" s="1404"/>
      <c r="X442" s="1404"/>
      <c r="Y442" s="1404"/>
      <c r="Z442" s="1404"/>
    </row>
    <row r="443">
      <c r="A443" s="1404"/>
      <c r="B443" s="1404"/>
      <c r="C443" s="1404"/>
      <c r="D443" s="1404"/>
      <c r="E443" s="1404"/>
      <c r="F443" s="1404"/>
      <c r="G443" s="1404"/>
      <c r="H443" s="1404"/>
      <c r="I443" s="1404"/>
      <c r="J443" s="1404"/>
      <c r="K443" s="1404"/>
      <c r="L443" s="1404"/>
      <c r="M443" s="1404"/>
      <c r="N443" s="1404"/>
      <c r="O443" s="1404"/>
      <c r="P443" s="1404"/>
      <c r="Q443" s="1404"/>
      <c r="R443" s="1404"/>
      <c r="S443" s="1404"/>
      <c r="T443" s="1404"/>
      <c r="U443" s="1404"/>
      <c r="V443" s="1404"/>
      <c r="W443" s="1404"/>
      <c r="X443" s="1404"/>
      <c r="Y443" s="1404"/>
      <c r="Z443" s="1404"/>
    </row>
    <row r="444">
      <c r="A444" s="1404"/>
      <c r="B444" s="1404"/>
      <c r="C444" s="1404"/>
      <c r="D444" s="1404"/>
      <c r="E444" s="1404"/>
      <c r="F444" s="1404"/>
      <c r="G444" s="1404"/>
      <c r="H444" s="1404"/>
      <c r="I444" s="1404"/>
      <c r="J444" s="1404"/>
      <c r="K444" s="1404"/>
      <c r="L444" s="1404"/>
      <c r="M444" s="1404"/>
      <c r="N444" s="1404"/>
      <c r="O444" s="1404"/>
      <c r="P444" s="1404"/>
      <c r="Q444" s="1404"/>
      <c r="R444" s="1404"/>
      <c r="S444" s="1404"/>
      <c r="T444" s="1404"/>
      <c r="U444" s="1404"/>
      <c r="V444" s="1404"/>
      <c r="W444" s="1404"/>
      <c r="X444" s="1404"/>
      <c r="Y444" s="1404"/>
      <c r="Z444" s="1404"/>
    </row>
    <row r="445">
      <c r="A445" s="1404"/>
      <c r="B445" s="1404"/>
      <c r="C445" s="1404"/>
      <c r="D445" s="1404"/>
      <c r="E445" s="1404"/>
      <c r="F445" s="1404"/>
      <c r="G445" s="1404"/>
      <c r="H445" s="1404"/>
      <c r="I445" s="1404"/>
      <c r="J445" s="1404"/>
      <c r="K445" s="1404"/>
      <c r="L445" s="1404"/>
      <c r="M445" s="1404"/>
      <c r="N445" s="1404"/>
      <c r="O445" s="1404"/>
      <c r="P445" s="1404"/>
      <c r="Q445" s="1404"/>
      <c r="R445" s="1404"/>
      <c r="S445" s="1404"/>
      <c r="T445" s="1404"/>
      <c r="U445" s="1404"/>
      <c r="V445" s="1404"/>
      <c r="W445" s="1404"/>
      <c r="X445" s="1404"/>
      <c r="Y445" s="1404"/>
      <c r="Z445" s="1404"/>
    </row>
    <row r="446">
      <c r="A446" s="1404"/>
      <c r="B446" s="1404"/>
      <c r="C446" s="1404"/>
      <c r="D446" s="1404"/>
      <c r="E446" s="1404"/>
      <c r="F446" s="1404"/>
      <c r="G446" s="1404"/>
      <c r="H446" s="1404"/>
      <c r="I446" s="1404"/>
      <c r="J446" s="1404"/>
      <c r="K446" s="1404"/>
      <c r="L446" s="1404"/>
      <c r="M446" s="1404"/>
      <c r="N446" s="1404"/>
      <c r="O446" s="1404"/>
      <c r="P446" s="1404"/>
      <c r="Q446" s="1404"/>
      <c r="R446" s="1404"/>
      <c r="S446" s="1404"/>
      <c r="T446" s="1404"/>
      <c r="U446" s="1404"/>
      <c r="V446" s="1404"/>
      <c r="W446" s="1404"/>
      <c r="X446" s="1404"/>
      <c r="Y446" s="1404"/>
      <c r="Z446" s="1404"/>
    </row>
    <row r="447">
      <c r="A447" s="1404"/>
      <c r="B447" s="1404"/>
      <c r="C447" s="1404"/>
      <c r="D447" s="1404"/>
      <c r="E447" s="1404"/>
      <c r="F447" s="1404"/>
      <c r="G447" s="1404"/>
      <c r="H447" s="1404"/>
      <c r="I447" s="1404"/>
      <c r="J447" s="1404"/>
      <c r="K447" s="1404"/>
      <c r="L447" s="1404"/>
      <c r="M447" s="1404"/>
      <c r="N447" s="1404"/>
      <c r="O447" s="1404"/>
      <c r="P447" s="1404"/>
      <c r="Q447" s="1404"/>
      <c r="R447" s="1404"/>
      <c r="S447" s="1404"/>
      <c r="T447" s="1404"/>
      <c r="U447" s="1404"/>
      <c r="V447" s="1404"/>
      <c r="W447" s="1404"/>
      <c r="X447" s="1404"/>
      <c r="Y447" s="1404"/>
      <c r="Z447" s="1404"/>
    </row>
    <row r="448">
      <c r="A448" s="1404"/>
      <c r="B448" s="1404"/>
      <c r="C448" s="1404"/>
      <c r="D448" s="1404"/>
      <c r="E448" s="1404"/>
      <c r="F448" s="1404"/>
      <c r="G448" s="1404"/>
      <c r="H448" s="1404"/>
      <c r="I448" s="1404"/>
      <c r="J448" s="1404"/>
      <c r="K448" s="1404"/>
      <c r="L448" s="1404"/>
      <c r="M448" s="1404"/>
      <c r="N448" s="1404"/>
      <c r="O448" s="1404"/>
      <c r="P448" s="1404"/>
      <c r="Q448" s="1404"/>
      <c r="R448" s="1404"/>
      <c r="S448" s="1404"/>
      <c r="T448" s="1404"/>
      <c r="U448" s="1404"/>
      <c r="V448" s="1404"/>
      <c r="W448" s="1404"/>
      <c r="X448" s="1404"/>
      <c r="Y448" s="1404"/>
      <c r="Z448" s="1404"/>
    </row>
    <row r="449">
      <c r="A449" s="1404"/>
      <c r="B449" s="1404"/>
      <c r="C449" s="1404"/>
      <c r="D449" s="1404"/>
      <c r="E449" s="1404"/>
      <c r="F449" s="1404"/>
      <c r="G449" s="1404"/>
      <c r="H449" s="1404"/>
      <c r="I449" s="1404"/>
      <c r="J449" s="1404"/>
      <c r="K449" s="1404"/>
      <c r="L449" s="1404"/>
      <c r="M449" s="1404"/>
      <c r="N449" s="1404"/>
      <c r="O449" s="1404"/>
      <c r="P449" s="1404"/>
      <c r="Q449" s="1404"/>
      <c r="R449" s="1404"/>
      <c r="S449" s="1404"/>
      <c r="T449" s="1404"/>
      <c r="U449" s="1404"/>
      <c r="V449" s="1404"/>
      <c r="W449" s="1404"/>
      <c r="X449" s="1404"/>
      <c r="Y449" s="1404"/>
      <c r="Z449" s="1404"/>
    </row>
    <row r="450">
      <c r="A450" s="1404"/>
      <c r="B450" s="1404"/>
      <c r="C450" s="1404"/>
      <c r="D450" s="1404"/>
      <c r="E450" s="1404"/>
      <c r="F450" s="1404"/>
      <c r="G450" s="1404"/>
      <c r="H450" s="1404"/>
      <c r="I450" s="1404"/>
      <c r="J450" s="1404"/>
      <c r="K450" s="1404"/>
      <c r="L450" s="1404"/>
      <c r="M450" s="1404"/>
      <c r="N450" s="1404"/>
      <c r="O450" s="1404"/>
      <c r="P450" s="1404"/>
      <c r="Q450" s="1404"/>
      <c r="R450" s="1404"/>
      <c r="S450" s="1404"/>
      <c r="T450" s="1404"/>
      <c r="U450" s="1404"/>
      <c r="V450" s="1404"/>
      <c r="W450" s="1404"/>
      <c r="X450" s="1404"/>
      <c r="Y450" s="1404"/>
      <c r="Z450" s="1404"/>
    </row>
    <row r="451">
      <c r="A451" s="1404"/>
      <c r="B451" s="1404"/>
      <c r="C451" s="1404"/>
      <c r="D451" s="1404"/>
      <c r="E451" s="1404"/>
      <c r="F451" s="1404"/>
      <c r="G451" s="1404"/>
      <c r="H451" s="1404"/>
      <c r="I451" s="1404"/>
      <c r="J451" s="1404"/>
      <c r="K451" s="1404"/>
      <c r="L451" s="1404"/>
      <c r="M451" s="1404"/>
      <c r="N451" s="1404"/>
      <c r="O451" s="1404"/>
      <c r="P451" s="1404"/>
      <c r="Q451" s="1404"/>
      <c r="R451" s="1404"/>
      <c r="S451" s="1404"/>
      <c r="T451" s="1404"/>
      <c r="U451" s="1404"/>
      <c r="V451" s="1404"/>
      <c r="W451" s="1404"/>
      <c r="X451" s="1404"/>
      <c r="Y451" s="1404"/>
      <c r="Z451" s="1404"/>
    </row>
    <row r="452">
      <c r="A452" s="1404"/>
      <c r="B452" s="1404"/>
      <c r="C452" s="1404"/>
      <c r="D452" s="1404"/>
      <c r="E452" s="1404"/>
      <c r="F452" s="1404"/>
      <c r="G452" s="1404"/>
      <c r="H452" s="1404"/>
      <c r="I452" s="1404"/>
      <c r="J452" s="1404"/>
      <c r="K452" s="1404"/>
      <c r="L452" s="1404"/>
      <c r="M452" s="1404"/>
      <c r="N452" s="1404"/>
      <c r="O452" s="1404"/>
      <c r="P452" s="1404"/>
      <c r="Q452" s="1404"/>
      <c r="R452" s="1404"/>
      <c r="S452" s="1404"/>
      <c r="T452" s="1404"/>
      <c r="U452" s="1404"/>
      <c r="V452" s="1404"/>
      <c r="W452" s="1404"/>
      <c r="X452" s="1404"/>
      <c r="Y452" s="1404"/>
      <c r="Z452" s="1404"/>
    </row>
    <row r="453">
      <c r="A453" s="1404"/>
      <c r="B453" s="1404"/>
      <c r="C453" s="1404"/>
      <c r="D453" s="1404"/>
      <c r="E453" s="1404"/>
      <c r="F453" s="1404"/>
      <c r="G453" s="1404"/>
      <c r="H453" s="1404"/>
      <c r="I453" s="1404"/>
      <c r="J453" s="1404"/>
      <c r="K453" s="1404"/>
      <c r="L453" s="1404"/>
      <c r="M453" s="1404"/>
      <c r="N453" s="1404"/>
      <c r="O453" s="1404"/>
      <c r="P453" s="1404"/>
      <c r="Q453" s="1404"/>
      <c r="R453" s="1404"/>
      <c r="S453" s="1404"/>
      <c r="T453" s="1404"/>
      <c r="U453" s="1404"/>
      <c r="V453" s="1404"/>
      <c r="W453" s="1404"/>
      <c r="X453" s="1404"/>
      <c r="Y453" s="1404"/>
      <c r="Z453" s="1404"/>
    </row>
    <row r="454">
      <c r="A454" s="1404"/>
      <c r="B454" s="1404"/>
      <c r="C454" s="1404"/>
      <c r="D454" s="1404"/>
      <c r="E454" s="1404"/>
      <c r="F454" s="1404"/>
      <c r="G454" s="1404"/>
      <c r="H454" s="1404"/>
      <c r="I454" s="1404"/>
      <c r="J454" s="1404"/>
      <c r="K454" s="1404"/>
      <c r="L454" s="1404"/>
      <c r="M454" s="1404"/>
      <c r="N454" s="1404"/>
      <c r="O454" s="1404"/>
      <c r="P454" s="1404"/>
      <c r="Q454" s="1404"/>
      <c r="R454" s="1404"/>
      <c r="S454" s="1404"/>
      <c r="T454" s="1404"/>
      <c r="U454" s="1404"/>
      <c r="V454" s="1404"/>
      <c r="W454" s="1404"/>
      <c r="X454" s="1404"/>
      <c r="Y454" s="1404"/>
      <c r="Z454" s="1404"/>
    </row>
    <row r="455">
      <c r="A455" s="1404"/>
      <c r="B455" s="1404"/>
      <c r="C455" s="1404"/>
      <c r="D455" s="1404"/>
      <c r="E455" s="1404"/>
      <c r="F455" s="1404"/>
      <c r="G455" s="1404"/>
      <c r="H455" s="1404"/>
      <c r="I455" s="1404"/>
      <c r="J455" s="1404"/>
      <c r="K455" s="1404"/>
      <c r="L455" s="1404"/>
      <c r="M455" s="1404"/>
      <c r="N455" s="1404"/>
      <c r="O455" s="1404"/>
      <c r="P455" s="1404"/>
      <c r="Q455" s="1404"/>
      <c r="R455" s="1404"/>
      <c r="S455" s="1404"/>
      <c r="T455" s="1404"/>
      <c r="U455" s="1404"/>
      <c r="V455" s="1404"/>
      <c r="W455" s="1404"/>
      <c r="X455" s="1404"/>
      <c r="Y455" s="1404"/>
      <c r="Z455" s="1404"/>
    </row>
    <row r="456">
      <c r="A456" s="1404"/>
      <c r="B456" s="1404"/>
      <c r="C456" s="1404"/>
      <c r="D456" s="1404"/>
      <c r="E456" s="1404"/>
      <c r="F456" s="1404"/>
      <c r="G456" s="1404"/>
      <c r="H456" s="1404"/>
      <c r="I456" s="1404"/>
      <c r="J456" s="1404"/>
      <c r="K456" s="1404"/>
      <c r="L456" s="1404"/>
      <c r="M456" s="1404"/>
      <c r="N456" s="1404"/>
      <c r="O456" s="1404"/>
      <c r="P456" s="1404"/>
      <c r="Q456" s="1404"/>
      <c r="R456" s="1404"/>
      <c r="S456" s="1404"/>
      <c r="T456" s="1404"/>
      <c r="U456" s="1404"/>
      <c r="V456" s="1404"/>
      <c r="W456" s="1404"/>
      <c r="X456" s="1404"/>
      <c r="Y456" s="1404"/>
      <c r="Z456" s="1404"/>
    </row>
    <row r="457">
      <c r="A457" s="1404"/>
      <c r="B457" s="1404"/>
      <c r="C457" s="1404"/>
      <c r="D457" s="1404"/>
      <c r="E457" s="1404"/>
      <c r="F457" s="1404"/>
      <c r="G457" s="1404"/>
      <c r="H457" s="1404"/>
      <c r="I457" s="1404"/>
      <c r="J457" s="1404"/>
      <c r="K457" s="1404"/>
      <c r="L457" s="1404"/>
      <c r="M457" s="1404"/>
      <c r="N457" s="1404"/>
      <c r="O457" s="1404"/>
      <c r="P457" s="1404"/>
      <c r="Q457" s="1404"/>
      <c r="R457" s="1404"/>
      <c r="S457" s="1404"/>
      <c r="T457" s="1404"/>
      <c r="U457" s="1404"/>
      <c r="V457" s="1404"/>
      <c r="W457" s="1404"/>
      <c r="X457" s="1404"/>
      <c r="Y457" s="1404"/>
      <c r="Z457" s="1404"/>
    </row>
    <row r="458">
      <c r="A458" s="1404"/>
      <c r="B458" s="1404"/>
      <c r="C458" s="1404"/>
      <c r="D458" s="1404"/>
      <c r="E458" s="1404"/>
      <c r="F458" s="1404"/>
      <c r="G458" s="1404"/>
      <c r="H458" s="1404"/>
      <c r="I458" s="1404"/>
      <c r="J458" s="1404"/>
      <c r="K458" s="1404"/>
      <c r="L458" s="1404"/>
      <c r="M458" s="1404"/>
      <c r="N458" s="1404"/>
      <c r="O458" s="1404"/>
      <c r="P458" s="1404"/>
      <c r="Q458" s="1404"/>
      <c r="R458" s="1404"/>
      <c r="S458" s="1404"/>
      <c r="T458" s="1404"/>
      <c r="U458" s="1404"/>
      <c r="V458" s="1404"/>
      <c r="W458" s="1404"/>
      <c r="X458" s="1404"/>
      <c r="Y458" s="1404"/>
      <c r="Z458" s="1404"/>
    </row>
    <row r="459">
      <c r="A459" s="1404"/>
      <c r="B459" s="1404"/>
      <c r="C459" s="1404"/>
      <c r="D459" s="1404"/>
      <c r="E459" s="1404"/>
      <c r="F459" s="1404"/>
      <c r="G459" s="1404"/>
      <c r="H459" s="1404"/>
      <c r="I459" s="1404"/>
      <c r="J459" s="1404"/>
      <c r="K459" s="1404"/>
      <c r="L459" s="1404"/>
      <c r="M459" s="1404"/>
      <c r="N459" s="1404"/>
      <c r="O459" s="1404"/>
      <c r="P459" s="1404"/>
      <c r="Q459" s="1404"/>
      <c r="R459" s="1404"/>
      <c r="S459" s="1404"/>
      <c r="T459" s="1404"/>
      <c r="U459" s="1404"/>
      <c r="V459" s="1404"/>
      <c r="W459" s="1404"/>
      <c r="X459" s="1404"/>
      <c r="Y459" s="1404"/>
      <c r="Z459" s="1404"/>
    </row>
    <row r="460">
      <c r="A460" s="1404"/>
      <c r="B460" s="1404"/>
      <c r="C460" s="1404"/>
      <c r="D460" s="1404"/>
      <c r="E460" s="1404"/>
      <c r="F460" s="1404"/>
      <c r="G460" s="1404"/>
      <c r="H460" s="1404"/>
      <c r="I460" s="1404"/>
      <c r="J460" s="1404"/>
      <c r="K460" s="1404"/>
      <c r="L460" s="1404"/>
      <c r="M460" s="1404"/>
      <c r="N460" s="1404"/>
      <c r="O460" s="1404"/>
      <c r="P460" s="1404"/>
      <c r="Q460" s="1404"/>
      <c r="R460" s="1404"/>
      <c r="S460" s="1404"/>
      <c r="T460" s="1404"/>
      <c r="U460" s="1404"/>
      <c r="V460" s="1404"/>
      <c r="W460" s="1404"/>
      <c r="X460" s="1404"/>
      <c r="Y460" s="1404"/>
      <c r="Z460" s="1404"/>
    </row>
    <row r="461">
      <c r="A461" s="1404"/>
      <c r="B461" s="1404"/>
      <c r="C461" s="1404"/>
      <c r="D461" s="1404"/>
      <c r="E461" s="1404"/>
      <c r="F461" s="1404"/>
      <c r="G461" s="1404"/>
      <c r="H461" s="1404"/>
      <c r="I461" s="1404"/>
      <c r="J461" s="1404"/>
      <c r="K461" s="1404"/>
      <c r="L461" s="1404"/>
      <c r="M461" s="1404"/>
      <c r="N461" s="1404"/>
      <c r="O461" s="1404"/>
      <c r="P461" s="1404"/>
      <c r="Q461" s="1404"/>
      <c r="R461" s="1404"/>
      <c r="S461" s="1404"/>
      <c r="T461" s="1404"/>
      <c r="U461" s="1404"/>
      <c r="V461" s="1404"/>
      <c r="W461" s="1404"/>
      <c r="X461" s="1404"/>
      <c r="Y461" s="1404"/>
      <c r="Z461" s="1404"/>
    </row>
    <row r="462">
      <c r="A462" s="1404"/>
      <c r="B462" s="1404"/>
      <c r="C462" s="1404"/>
      <c r="D462" s="1404"/>
      <c r="E462" s="1404"/>
      <c r="F462" s="1404"/>
      <c r="G462" s="1404"/>
      <c r="H462" s="1404"/>
      <c r="I462" s="1404"/>
      <c r="J462" s="1404"/>
      <c r="K462" s="1404"/>
      <c r="L462" s="1404"/>
      <c r="M462" s="1404"/>
      <c r="N462" s="1404"/>
      <c r="O462" s="1404"/>
      <c r="P462" s="1404"/>
      <c r="Q462" s="1404"/>
      <c r="R462" s="1404"/>
      <c r="S462" s="1404"/>
      <c r="T462" s="1404"/>
      <c r="U462" s="1404"/>
      <c r="V462" s="1404"/>
      <c r="W462" s="1404"/>
      <c r="X462" s="1404"/>
      <c r="Y462" s="1404"/>
      <c r="Z462" s="1404"/>
    </row>
    <row r="463">
      <c r="A463" s="1404"/>
      <c r="B463" s="1404"/>
      <c r="C463" s="1404"/>
      <c r="D463" s="1404"/>
      <c r="E463" s="1404"/>
      <c r="F463" s="1404"/>
      <c r="G463" s="1404"/>
      <c r="H463" s="1404"/>
      <c r="I463" s="1404"/>
      <c r="J463" s="1404"/>
      <c r="K463" s="1404"/>
      <c r="L463" s="1404"/>
      <c r="M463" s="1404"/>
      <c r="N463" s="1404"/>
      <c r="O463" s="1404"/>
      <c r="P463" s="1404"/>
      <c r="Q463" s="1404"/>
      <c r="R463" s="1404"/>
      <c r="S463" s="1404"/>
      <c r="T463" s="1404"/>
      <c r="U463" s="1404"/>
      <c r="V463" s="1404"/>
      <c r="W463" s="1404"/>
      <c r="X463" s="1404"/>
      <c r="Y463" s="1404"/>
      <c r="Z463" s="1404"/>
    </row>
    <row r="464">
      <c r="A464" s="1404"/>
      <c r="B464" s="1404"/>
      <c r="C464" s="1404"/>
      <c r="D464" s="1404"/>
      <c r="E464" s="1404"/>
      <c r="F464" s="1404"/>
      <c r="G464" s="1404"/>
      <c r="H464" s="1404"/>
      <c r="I464" s="1404"/>
      <c r="J464" s="1404"/>
      <c r="K464" s="1404"/>
      <c r="L464" s="1404"/>
      <c r="M464" s="1404"/>
      <c r="N464" s="1404"/>
      <c r="O464" s="1404"/>
      <c r="P464" s="1404"/>
      <c r="Q464" s="1404"/>
      <c r="R464" s="1404"/>
      <c r="S464" s="1404"/>
      <c r="T464" s="1404"/>
      <c r="U464" s="1404"/>
      <c r="V464" s="1404"/>
      <c r="W464" s="1404"/>
      <c r="X464" s="1404"/>
      <c r="Y464" s="1404"/>
      <c r="Z464" s="1404"/>
    </row>
    <row r="465">
      <c r="A465" s="1404"/>
      <c r="B465" s="1404"/>
      <c r="C465" s="1404"/>
      <c r="D465" s="1404"/>
      <c r="E465" s="1404"/>
      <c r="F465" s="1404"/>
      <c r="G465" s="1404"/>
      <c r="H465" s="1404"/>
      <c r="I465" s="1404"/>
      <c r="J465" s="1404"/>
      <c r="K465" s="1404"/>
      <c r="L465" s="1404"/>
      <c r="M465" s="1404"/>
      <c r="N465" s="1404"/>
      <c r="O465" s="1404"/>
      <c r="P465" s="1404"/>
      <c r="Q465" s="1404"/>
      <c r="R465" s="1404"/>
      <c r="S465" s="1404"/>
      <c r="T465" s="1404"/>
      <c r="U465" s="1404"/>
      <c r="V465" s="1404"/>
      <c r="W465" s="1404"/>
      <c r="X465" s="1404"/>
      <c r="Y465" s="1404"/>
      <c r="Z465" s="1404"/>
    </row>
    <row r="466">
      <c r="A466" s="1404"/>
      <c r="B466" s="1404"/>
      <c r="C466" s="1404"/>
      <c r="D466" s="1404"/>
      <c r="E466" s="1404"/>
      <c r="F466" s="1404"/>
      <c r="G466" s="1404"/>
      <c r="H466" s="1404"/>
      <c r="I466" s="1404"/>
      <c r="J466" s="1404"/>
      <c r="K466" s="1404"/>
      <c r="L466" s="1404"/>
      <c r="M466" s="1404"/>
      <c r="N466" s="1404"/>
      <c r="O466" s="1404"/>
      <c r="P466" s="1404"/>
      <c r="Q466" s="1404"/>
      <c r="R466" s="1404"/>
      <c r="S466" s="1404"/>
      <c r="T466" s="1404"/>
      <c r="U466" s="1404"/>
      <c r="V466" s="1404"/>
      <c r="W466" s="1404"/>
      <c r="X466" s="1404"/>
      <c r="Y466" s="1404"/>
      <c r="Z466" s="1404"/>
    </row>
    <row r="467">
      <c r="A467" s="1404"/>
      <c r="B467" s="1404"/>
      <c r="C467" s="1404"/>
      <c r="D467" s="1404"/>
      <c r="E467" s="1404"/>
      <c r="F467" s="1404"/>
      <c r="G467" s="1404"/>
      <c r="H467" s="1404"/>
      <c r="I467" s="1404"/>
      <c r="J467" s="1404"/>
      <c r="K467" s="1404"/>
      <c r="L467" s="1404"/>
      <c r="M467" s="1404"/>
      <c r="N467" s="1404"/>
      <c r="O467" s="1404"/>
      <c r="P467" s="1404"/>
      <c r="Q467" s="1404"/>
      <c r="R467" s="1404"/>
      <c r="S467" s="1404"/>
      <c r="T467" s="1404"/>
      <c r="U467" s="1404"/>
      <c r="V467" s="1404"/>
      <c r="W467" s="1404"/>
      <c r="X467" s="1404"/>
      <c r="Y467" s="1404"/>
      <c r="Z467" s="1404"/>
    </row>
    <row r="468">
      <c r="A468" s="1404"/>
      <c r="B468" s="1404"/>
      <c r="C468" s="1404"/>
      <c r="D468" s="1404"/>
      <c r="E468" s="1404"/>
      <c r="F468" s="1404"/>
      <c r="G468" s="1404"/>
      <c r="H468" s="1404"/>
      <c r="I468" s="1404"/>
      <c r="J468" s="1404"/>
      <c r="K468" s="1404"/>
      <c r="L468" s="1404"/>
      <c r="M468" s="1404"/>
      <c r="N468" s="1404"/>
      <c r="O468" s="1404"/>
      <c r="P468" s="1404"/>
      <c r="Q468" s="1404"/>
      <c r="R468" s="1404"/>
      <c r="S468" s="1404"/>
      <c r="T468" s="1404"/>
      <c r="U468" s="1404"/>
      <c r="V468" s="1404"/>
      <c r="W468" s="1404"/>
      <c r="X468" s="1404"/>
      <c r="Y468" s="1404"/>
      <c r="Z468" s="1404"/>
    </row>
    <row r="469">
      <c r="A469" s="1404"/>
      <c r="B469" s="1404"/>
      <c r="C469" s="1404"/>
      <c r="D469" s="1404"/>
      <c r="E469" s="1404"/>
      <c r="F469" s="1404"/>
      <c r="G469" s="1404"/>
      <c r="H469" s="1404"/>
      <c r="I469" s="1404"/>
      <c r="J469" s="1404"/>
      <c r="K469" s="1404"/>
      <c r="L469" s="1404"/>
      <c r="M469" s="1404"/>
      <c r="N469" s="1404"/>
      <c r="O469" s="1404"/>
      <c r="P469" s="1404"/>
      <c r="Q469" s="1404"/>
      <c r="R469" s="1404"/>
      <c r="S469" s="1404"/>
      <c r="T469" s="1404"/>
      <c r="U469" s="1404"/>
      <c r="V469" s="1404"/>
      <c r="W469" s="1404"/>
      <c r="X469" s="1404"/>
      <c r="Y469" s="1404"/>
      <c r="Z469" s="1404"/>
    </row>
    <row r="470">
      <c r="A470" s="1404"/>
      <c r="B470" s="1404"/>
      <c r="C470" s="1404"/>
      <c r="D470" s="1404"/>
      <c r="E470" s="1404"/>
      <c r="F470" s="1404"/>
      <c r="G470" s="1404"/>
      <c r="H470" s="1404"/>
      <c r="I470" s="1404"/>
      <c r="J470" s="1404"/>
      <c r="K470" s="1404"/>
      <c r="L470" s="1404"/>
      <c r="M470" s="1404"/>
      <c r="N470" s="1404"/>
      <c r="O470" s="1404"/>
      <c r="P470" s="1404"/>
      <c r="Q470" s="1404"/>
      <c r="R470" s="1404"/>
      <c r="S470" s="1404"/>
      <c r="T470" s="1404"/>
      <c r="U470" s="1404"/>
      <c r="V470" s="1404"/>
      <c r="W470" s="1404"/>
      <c r="X470" s="1404"/>
      <c r="Y470" s="1404"/>
      <c r="Z470" s="1404"/>
    </row>
    <row r="471">
      <c r="A471" s="1404"/>
      <c r="B471" s="1404"/>
      <c r="C471" s="1404"/>
      <c r="D471" s="1404"/>
      <c r="E471" s="1404"/>
      <c r="F471" s="1404"/>
      <c r="G471" s="1404"/>
      <c r="H471" s="1404"/>
      <c r="I471" s="1404"/>
      <c r="J471" s="1404"/>
      <c r="K471" s="1404"/>
      <c r="L471" s="1404"/>
      <c r="M471" s="1404"/>
      <c r="N471" s="1404"/>
      <c r="O471" s="1404"/>
      <c r="P471" s="1404"/>
      <c r="Q471" s="1404"/>
      <c r="R471" s="1404"/>
      <c r="S471" s="1404"/>
      <c r="T471" s="1404"/>
      <c r="U471" s="1404"/>
      <c r="V471" s="1404"/>
      <c r="W471" s="1404"/>
      <c r="X471" s="1404"/>
      <c r="Y471" s="1404"/>
      <c r="Z471" s="1404"/>
    </row>
    <row r="472">
      <c r="A472" s="1404"/>
      <c r="B472" s="1404"/>
      <c r="C472" s="1404"/>
      <c r="D472" s="1404"/>
      <c r="E472" s="1404"/>
      <c r="F472" s="1404"/>
      <c r="G472" s="1404"/>
      <c r="H472" s="1404"/>
      <c r="I472" s="1404"/>
      <c r="J472" s="1404"/>
      <c r="K472" s="1404"/>
      <c r="L472" s="1404"/>
      <c r="M472" s="1404"/>
      <c r="N472" s="1404"/>
      <c r="O472" s="1404"/>
      <c r="P472" s="1404"/>
      <c r="Q472" s="1404"/>
      <c r="R472" s="1404"/>
      <c r="S472" s="1404"/>
      <c r="T472" s="1404"/>
      <c r="U472" s="1404"/>
      <c r="V472" s="1404"/>
      <c r="W472" s="1404"/>
      <c r="X472" s="1404"/>
      <c r="Y472" s="1404"/>
      <c r="Z472" s="1404"/>
    </row>
    <row r="473">
      <c r="A473" s="1404"/>
      <c r="B473" s="1404"/>
      <c r="C473" s="1404"/>
      <c r="D473" s="1404"/>
      <c r="E473" s="1404"/>
      <c r="F473" s="1404"/>
      <c r="G473" s="1404"/>
      <c r="H473" s="1404"/>
      <c r="I473" s="1404"/>
      <c r="J473" s="1404"/>
      <c r="K473" s="1404"/>
      <c r="L473" s="1404"/>
      <c r="M473" s="1404"/>
      <c r="N473" s="1404"/>
      <c r="O473" s="1404"/>
      <c r="P473" s="1404"/>
      <c r="Q473" s="1404"/>
      <c r="R473" s="1404"/>
      <c r="S473" s="1404"/>
      <c r="T473" s="1404"/>
      <c r="U473" s="1404"/>
      <c r="V473" s="1404"/>
      <c r="W473" s="1404"/>
      <c r="X473" s="1404"/>
      <c r="Y473" s="1404"/>
      <c r="Z473" s="1404"/>
    </row>
    <row r="474">
      <c r="A474" s="1404"/>
      <c r="B474" s="1404"/>
      <c r="C474" s="1404"/>
      <c r="D474" s="1404"/>
      <c r="E474" s="1404"/>
      <c r="F474" s="1404"/>
      <c r="G474" s="1404"/>
      <c r="H474" s="1404"/>
      <c r="I474" s="1404"/>
      <c r="J474" s="1404"/>
      <c r="K474" s="1404"/>
      <c r="L474" s="1404"/>
      <c r="M474" s="1404"/>
      <c r="N474" s="1404"/>
      <c r="O474" s="1404"/>
      <c r="P474" s="1404"/>
      <c r="Q474" s="1404"/>
      <c r="R474" s="1404"/>
      <c r="S474" s="1404"/>
      <c r="T474" s="1404"/>
      <c r="U474" s="1404"/>
      <c r="V474" s="1404"/>
      <c r="W474" s="1404"/>
      <c r="X474" s="1404"/>
      <c r="Y474" s="1404"/>
      <c r="Z474" s="1404"/>
    </row>
    <row r="475">
      <c r="A475" s="1404"/>
      <c r="B475" s="1404"/>
      <c r="C475" s="1404"/>
      <c r="D475" s="1404"/>
      <c r="E475" s="1404"/>
      <c r="F475" s="1404"/>
      <c r="G475" s="1404"/>
      <c r="H475" s="1404"/>
      <c r="I475" s="1404"/>
      <c r="J475" s="1404"/>
      <c r="K475" s="1404"/>
      <c r="L475" s="1404"/>
      <c r="M475" s="1404"/>
      <c r="N475" s="1404"/>
      <c r="O475" s="1404"/>
      <c r="P475" s="1404"/>
      <c r="Q475" s="1404"/>
      <c r="R475" s="1404"/>
      <c r="S475" s="1404"/>
      <c r="T475" s="1404"/>
      <c r="U475" s="1404"/>
      <c r="V475" s="1404"/>
      <c r="W475" s="1404"/>
      <c r="X475" s="1404"/>
      <c r="Y475" s="1404"/>
      <c r="Z475" s="1404"/>
    </row>
    <row r="476">
      <c r="A476" s="1404"/>
      <c r="B476" s="1404"/>
      <c r="C476" s="1404"/>
      <c r="D476" s="1404"/>
      <c r="E476" s="1404"/>
      <c r="F476" s="1404"/>
      <c r="G476" s="1404"/>
      <c r="H476" s="1404"/>
      <c r="I476" s="1404"/>
      <c r="J476" s="1404"/>
      <c r="K476" s="1404"/>
      <c r="L476" s="1404"/>
      <c r="M476" s="1404"/>
      <c r="N476" s="1404"/>
      <c r="O476" s="1404"/>
      <c r="P476" s="1404"/>
      <c r="Q476" s="1404"/>
      <c r="R476" s="1404"/>
      <c r="S476" s="1404"/>
      <c r="T476" s="1404"/>
      <c r="U476" s="1404"/>
      <c r="V476" s="1404"/>
      <c r="W476" s="1404"/>
      <c r="X476" s="1404"/>
      <c r="Y476" s="1404"/>
      <c r="Z476" s="1404"/>
    </row>
    <row r="477">
      <c r="A477" s="1404"/>
      <c r="B477" s="1404"/>
      <c r="C477" s="1404"/>
      <c r="D477" s="1404"/>
      <c r="E477" s="1404"/>
      <c r="F477" s="1404"/>
      <c r="G477" s="1404"/>
      <c r="H477" s="1404"/>
      <c r="I477" s="1404"/>
      <c r="J477" s="1404"/>
      <c r="K477" s="1404"/>
      <c r="L477" s="1404"/>
      <c r="M477" s="1404"/>
      <c r="N477" s="1404"/>
      <c r="O477" s="1404"/>
      <c r="P477" s="1404"/>
      <c r="Q477" s="1404"/>
      <c r="R477" s="1404"/>
      <c r="S477" s="1404"/>
      <c r="T477" s="1404"/>
      <c r="U477" s="1404"/>
      <c r="V477" s="1404"/>
      <c r="W477" s="1404"/>
      <c r="X477" s="1404"/>
      <c r="Y477" s="1404"/>
      <c r="Z477" s="1404"/>
    </row>
    <row r="478">
      <c r="A478" s="1404"/>
      <c r="B478" s="1404"/>
      <c r="C478" s="1404"/>
      <c r="D478" s="1404"/>
      <c r="E478" s="1404"/>
      <c r="F478" s="1404"/>
      <c r="G478" s="1404"/>
      <c r="H478" s="1404"/>
      <c r="I478" s="1404"/>
      <c r="J478" s="1404"/>
      <c r="K478" s="1404"/>
      <c r="L478" s="1404"/>
      <c r="M478" s="1404"/>
      <c r="N478" s="1404"/>
      <c r="O478" s="1404"/>
      <c r="P478" s="1404"/>
      <c r="Q478" s="1404"/>
      <c r="R478" s="1404"/>
      <c r="S478" s="1404"/>
      <c r="T478" s="1404"/>
      <c r="U478" s="1404"/>
      <c r="V478" s="1404"/>
      <c r="W478" s="1404"/>
      <c r="X478" s="1404"/>
      <c r="Y478" s="1404"/>
      <c r="Z478" s="1404"/>
    </row>
    <row r="479">
      <c r="A479" s="1404"/>
      <c r="B479" s="1404"/>
      <c r="C479" s="1404"/>
      <c r="D479" s="1404"/>
      <c r="E479" s="1404"/>
      <c r="F479" s="1404"/>
      <c r="G479" s="1404"/>
      <c r="H479" s="1404"/>
      <c r="I479" s="1404"/>
      <c r="J479" s="1404"/>
      <c r="K479" s="1404"/>
      <c r="L479" s="1404"/>
      <c r="M479" s="1404"/>
      <c r="N479" s="1404"/>
      <c r="O479" s="1404"/>
      <c r="P479" s="1404"/>
      <c r="Q479" s="1404"/>
      <c r="R479" s="1404"/>
      <c r="S479" s="1404"/>
      <c r="T479" s="1404"/>
      <c r="U479" s="1404"/>
      <c r="V479" s="1404"/>
      <c r="W479" s="1404"/>
      <c r="X479" s="1404"/>
      <c r="Y479" s="1404"/>
      <c r="Z479" s="1404"/>
    </row>
    <row r="480">
      <c r="A480" s="1404"/>
      <c r="B480" s="1404"/>
      <c r="C480" s="1404"/>
      <c r="D480" s="1404"/>
      <c r="E480" s="1404"/>
      <c r="F480" s="1404"/>
      <c r="G480" s="1404"/>
      <c r="H480" s="1404"/>
      <c r="I480" s="1404"/>
      <c r="J480" s="1404"/>
      <c r="K480" s="1404"/>
      <c r="L480" s="1404"/>
      <c r="M480" s="1404"/>
      <c r="N480" s="1404"/>
      <c r="O480" s="1404"/>
      <c r="P480" s="1404"/>
      <c r="Q480" s="1404"/>
      <c r="R480" s="1404"/>
      <c r="S480" s="1404"/>
      <c r="T480" s="1404"/>
      <c r="U480" s="1404"/>
      <c r="V480" s="1404"/>
      <c r="W480" s="1404"/>
      <c r="X480" s="1404"/>
      <c r="Y480" s="1404"/>
      <c r="Z480" s="1404"/>
    </row>
    <row r="481">
      <c r="A481" s="1404"/>
      <c r="B481" s="1404"/>
      <c r="C481" s="1404"/>
      <c r="D481" s="1404"/>
      <c r="E481" s="1404"/>
      <c r="F481" s="1404"/>
      <c r="G481" s="1404"/>
      <c r="H481" s="1404"/>
      <c r="I481" s="1404"/>
      <c r="J481" s="1404"/>
      <c r="K481" s="1404"/>
      <c r="L481" s="1404"/>
      <c r="M481" s="1404"/>
      <c r="N481" s="1404"/>
      <c r="O481" s="1404"/>
      <c r="P481" s="1404"/>
      <c r="Q481" s="1404"/>
      <c r="R481" s="1404"/>
      <c r="S481" s="1404"/>
      <c r="T481" s="1404"/>
      <c r="U481" s="1404"/>
      <c r="V481" s="1404"/>
      <c r="W481" s="1404"/>
      <c r="X481" s="1404"/>
      <c r="Y481" s="1404"/>
      <c r="Z481" s="1404"/>
    </row>
    <row r="482">
      <c r="A482" s="1404"/>
      <c r="B482" s="1404"/>
      <c r="C482" s="1404"/>
      <c r="D482" s="1404"/>
      <c r="E482" s="1404"/>
      <c r="F482" s="1404"/>
      <c r="G482" s="1404"/>
      <c r="H482" s="1404"/>
      <c r="I482" s="1404"/>
      <c r="J482" s="1404"/>
      <c r="K482" s="1404"/>
      <c r="L482" s="1404"/>
      <c r="M482" s="1404"/>
      <c r="N482" s="1404"/>
      <c r="O482" s="1404"/>
      <c r="P482" s="1404"/>
      <c r="Q482" s="1404"/>
      <c r="R482" s="1404"/>
      <c r="S482" s="1404"/>
      <c r="T482" s="1404"/>
      <c r="U482" s="1404"/>
      <c r="V482" s="1404"/>
      <c r="W482" s="1404"/>
      <c r="X482" s="1404"/>
      <c r="Y482" s="1404"/>
      <c r="Z482" s="1404"/>
    </row>
    <row r="483">
      <c r="A483" s="1404"/>
      <c r="B483" s="1404"/>
      <c r="C483" s="1404"/>
      <c r="D483" s="1404"/>
      <c r="E483" s="1404"/>
      <c r="F483" s="1404"/>
      <c r="G483" s="1404"/>
      <c r="H483" s="1404"/>
      <c r="I483" s="1404"/>
      <c r="J483" s="1404"/>
      <c r="K483" s="1404"/>
      <c r="L483" s="1404"/>
      <c r="M483" s="1404"/>
      <c r="N483" s="1404"/>
      <c r="O483" s="1404"/>
      <c r="P483" s="1404"/>
      <c r="Q483" s="1404"/>
      <c r="R483" s="1404"/>
      <c r="S483" s="1404"/>
      <c r="T483" s="1404"/>
      <c r="U483" s="1404"/>
      <c r="V483" s="1404"/>
      <c r="W483" s="1404"/>
      <c r="X483" s="1404"/>
      <c r="Y483" s="1404"/>
      <c r="Z483" s="1404"/>
    </row>
    <row r="484">
      <c r="A484" s="1404"/>
      <c r="B484" s="1404"/>
      <c r="C484" s="1404"/>
      <c r="D484" s="1404"/>
      <c r="E484" s="1404"/>
      <c r="F484" s="1404"/>
      <c r="G484" s="1404"/>
      <c r="H484" s="1404"/>
      <c r="I484" s="1404"/>
      <c r="J484" s="1404"/>
      <c r="K484" s="1404"/>
      <c r="L484" s="1404"/>
      <c r="M484" s="1404"/>
      <c r="N484" s="1404"/>
      <c r="O484" s="1404"/>
      <c r="P484" s="1404"/>
      <c r="Q484" s="1404"/>
      <c r="R484" s="1404"/>
      <c r="S484" s="1404"/>
      <c r="T484" s="1404"/>
      <c r="U484" s="1404"/>
      <c r="V484" s="1404"/>
      <c r="W484" s="1404"/>
      <c r="X484" s="1404"/>
      <c r="Y484" s="1404"/>
      <c r="Z484" s="1404"/>
    </row>
    <row r="485">
      <c r="A485" s="1404"/>
      <c r="B485" s="1404"/>
      <c r="C485" s="1404"/>
      <c r="D485" s="1404"/>
      <c r="E485" s="1404"/>
      <c r="F485" s="1404"/>
      <c r="G485" s="1404"/>
      <c r="H485" s="1404"/>
      <c r="I485" s="1404"/>
      <c r="J485" s="1404"/>
      <c r="K485" s="1404"/>
      <c r="L485" s="1404"/>
      <c r="M485" s="1404"/>
      <c r="N485" s="1404"/>
      <c r="O485" s="1404"/>
      <c r="P485" s="1404"/>
      <c r="Q485" s="1404"/>
      <c r="R485" s="1404"/>
      <c r="S485" s="1404"/>
      <c r="T485" s="1404"/>
      <c r="U485" s="1404"/>
      <c r="V485" s="1404"/>
      <c r="W485" s="1404"/>
      <c r="X485" s="1404"/>
      <c r="Y485" s="1404"/>
      <c r="Z485" s="1404"/>
    </row>
    <row r="486">
      <c r="A486" s="1404"/>
      <c r="B486" s="1404"/>
      <c r="C486" s="1404"/>
      <c r="D486" s="1404"/>
      <c r="E486" s="1404"/>
      <c r="F486" s="1404"/>
      <c r="G486" s="1404"/>
      <c r="H486" s="1404"/>
      <c r="I486" s="1404"/>
      <c r="J486" s="1404"/>
      <c r="K486" s="1404"/>
      <c r="L486" s="1404"/>
      <c r="M486" s="1404"/>
      <c r="N486" s="1404"/>
      <c r="O486" s="1404"/>
      <c r="P486" s="1404"/>
      <c r="Q486" s="1404"/>
      <c r="R486" s="1404"/>
      <c r="S486" s="1404"/>
      <c r="T486" s="1404"/>
      <c r="U486" s="1404"/>
      <c r="V486" s="1404"/>
      <c r="W486" s="1404"/>
      <c r="X486" s="1404"/>
      <c r="Y486" s="1404"/>
      <c r="Z486" s="1404"/>
    </row>
    <row r="487">
      <c r="A487" s="1404"/>
      <c r="B487" s="1404"/>
      <c r="C487" s="1404"/>
      <c r="D487" s="1404"/>
      <c r="E487" s="1404"/>
      <c r="F487" s="1404"/>
      <c r="G487" s="1404"/>
      <c r="H487" s="1404"/>
      <c r="I487" s="1404"/>
      <c r="J487" s="1404"/>
      <c r="K487" s="1404"/>
      <c r="L487" s="1404"/>
      <c r="M487" s="1404"/>
      <c r="N487" s="1404"/>
      <c r="O487" s="1404"/>
      <c r="P487" s="1404"/>
      <c r="Q487" s="1404"/>
      <c r="R487" s="1404"/>
      <c r="S487" s="1404"/>
      <c r="T487" s="1404"/>
      <c r="U487" s="1404"/>
      <c r="V487" s="1404"/>
      <c r="W487" s="1404"/>
      <c r="X487" s="1404"/>
      <c r="Y487" s="1404"/>
      <c r="Z487" s="1404"/>
    </row>
    <row r="488">
      <c r="A488" s="1404"/>
      <c r="B488" s="1404"/>
      <c r="C488" s="1404"/>
      <c r="D488" s="1404"/>
      <c r="E488" s="1404"/>
      <c r="F488" s="1404"/>
      <c r="G488" s="1404"/>
      <c r="H488" s="1404"/>
      <c r="I488" s="1404"/>
      <c r="J488" s="1404"/>
      <c r="K488" s="1404"/>
      <c r="L488" s="1404"/>
      <c r="M488" s="1404"/>
      <c r="N488" s="1404"/>
      <c r="O488" s="1404"/>
      <c r="P488" s="1404"/>
      <c r="Q488" s="1404"/>
      <c r="R488" s="1404"/>
      <c r="S488" s="1404"/>
      <c r="T488" s="1404"/>
      <c r="U488" s="1404"/>
      <c r="V488" s="1404"/>
      <c r="W488" s="1404"/>
      <c r="X488" s="1404"/>
      <c r="Y488" s="1404"/>
      <c r="Z488" s="1404"/>
    </row>
    <row r="489">
      <c r="A489" s="1404"/>
      <c r="B489" s="1404"/>
      <c r="C489" s="1404"/>
      <c r="D489" s="1404"/>
      <c r="E489" s="1404"/>
      <c r="F489" s="1404"/>
      <c r="G489" s="1404"/>
      <c r="H489" s="1404"/>
      <c r="I489" s="1404"/>
      <c r="J489" s="1404"/>
      <c r="K489" s="1404"/>
      <c r="L489" s="1404"/>
      <c r="M489" s="1404"/>
      <c r="N489" s="1404"/>
      <c r="O489" s="1404"/>
      <c r="P489" s="1404"/>
      <c r="Q489" s="1404"/>
      <c r="R489" s="1404"/>
      <c r="S489" s="1404"/>
      <c r="T489" s="1404"/>
      <c r="U489" s="1404"/>
      <c r="V489" s="1404"/>
      <c r="W489" s="1404"/>
      <c r="X489" s="1404"/>
      <c r="Y489" s="1404"/>
      <c r="Z489" s="1404"/>
    </row>
    <row r="490">
      <c r="A490" s="1404"/>
      <c r="B490" s="1404"/>
      <c r="C490" s="1404"/>
      <c r="D490" s="1404"/>
      <c r="E490" s="1404"/>
      <c r="F490" s="1404"/>
      <c r="G490" s="1404"/>
      <c r="H490" s="1404"/>
      <c r="I490" s="1404"/>
      <c r="J490" s="1404"/>
      <c r="K490" s="1404"/>
      <c r="L490" s="1404"/>
      <c r="M490" s="1404"/>
      <c r="N490" s="1404"/>
      <c r="O490" s="1404"/>
      <c r="P490" s="1404"/>
      <c r="Q490" s="1404"/>
      <c r="R490" s="1404"/>
      <c r="S490" s="1404"/>
      <c r="T490" s="1404"/>
      <c r="U490" s="1404"/>
      <c r="V490" s="1404"/>
      <c r="W490" s="1404"/>
      <c r="X490" s="1404"/>
      <c r="Y490" s="1404"/>
      <c r="Z490" s="1404"/>
    </row>
    <row r="491">
      <c r="A491" s="1404"/>
      <c r="B491" s="1404"/>
      <c r="C491" s="1404"/>
      <c r="D491" s="1404"/>
      <c r="E491" s="1404"/>
      <c r="F491" s="1404"/>
      <c r="G491" s="1404"/>
      <c r="H491" s="1404"/>
      <c r="I491" s="1404"/>
      <c r="J491" s="1404"/>
      <c r="K491" s="1404"/>
      <c r="L491" s="1404"/>
      <c r="M491" s="1404"/>
      <c r="N491" s="1404"/>
      <c r="O491" s="1404"/>
      <c r="P491" s="1404"/>
      <c r="Q491" s="1404"/>
      <c r="R491" s="1404"/>
      <c r="S491" s="1404"/>
      <c r="T491" s="1404"/>
      <c r="U491" s="1404"/>
      <c r="V491" s="1404"/>
      <c r="W491" s="1404"/>
      <c r="X491" s="1404"/>
      <c r="Y491" s="1404"/>
      <c r="Z491" s="1404"/>
    </row>
    <row r="492">
      <c r="A492" s="1404"/>
      <c r="B492" s="1404"/>
      <c r="C492" s="1404"/>
      <c r="D492" s="1404"/>
      <c r="E492" s="1404"/>
      <c r="F492" s="1404"/>
      <c r="G492" s="1404"/>
      <c r="H492" s="1404"/>
      <c r="I492" s="1404"/>
      <c r="J492" s="1404"/>
      <c r="K492" s="1404"/>
      <c r="L492" s="1404"/>
      <c r="M492" s="1404"/>
      <c r="N492" s="1404"/>
      <c r="O492" s="1404"/>
      <c r="P492" s="1404"/>
      <c r="Q492" s="1404"/>
      <c r="R492" s="1404"/>
      <c r="S492" s="1404"/>
      <c r="T492" s="1404"/>
      <c r="U492" s="1404"/>
      <c r="V492" s="1404"/>
      <c r="W492" s="1404"/>
      <c r="X492" s="1404"/>
      <c r="Y492" s="1404"/>
      <c r="Z492" s="1404"/>
    </row>
    <row r="493">
      <c r="A493" s="1404"/>
      <c r="B493" s="1404"/>
      <c r="C493" s="1404"/>
      <c r="D493" s="1404"/>
      <c r="E493" s="1404"/>
      <c r="F493" s="1404"/>
      <c r="G493" s="1404"/>
      <c r="H493" s="1404"/>
      <c r="I493" s="1404"/>
      <c r="J493" s="1404"/>
      <c r="K493" s="1404"/>
      <c r="L493" s="1404"/>
      <c r="M493" s="1404"/>
      <c r="N493" s="1404"/>
      <c r="O493" s="1404"/>
      <c r="P493" s="1404"/>
      <c r="Q493" s="1404"/>
      <c r="R493" s="1404"/>
      <c r="S493" s="1404"/>
      <c r="T493" s="1404"/>
      <c r="U493" s="1404"/>
      <c r="V493" s="1404"/>
      <c r="W493" s="1404"/>
      <c r="X493" s="1404"/>
      <c r="Y493" s="1404"/>
      <c r="Z493" s="1404"/>
    </row>
    <row r="494">
      <c r="A494" s="1404"/>
      <c r="B494" s="1404"/>
      <c r="C494" s="1404"/>
      <c r="D494" s="1404"/>
      <c r="E494" s="1404"/>
      <c r="F494" s="1404"/>
      <c r="G494" s="1404"/>
      <c r="H494" s="1404"/>
      <c r="I494" s="1404"/>
      <c r="J494" s="1404"/>
      <c r="K494" s="1404"/>
      <c r="L494" s="1404"/>
      <c r="M494" s="1404"/>
      <c r="N494" s="1404"/>
      <c r="O494" s="1404"/>
      <c r="P494" s="1404"/>
      <c r="Q494" s="1404"/>
      <c r="R494" s="1404"/>
      <c r="S494" s="1404"/>
      <c r="T494" s="1404"/>
      <c r="U494" s="1404"/>
      <c r="V494" s="1404"/>
      <c r="W494" s="1404"/>
      <c r="X494" s="1404"/>
      <c r="Y494" s="1404"/>
      <c r="Z494" s="1404"/>
    </row>
    <row r="495">
      <c r="A495" s="1404"/>
      <c r="B495" s="1404"/>
      <c r="C495" s="1404"/>
      <c r="D495" s="1404"/>
      <c r="E495" s="1404"/>
      <c r="F495" s="1404"/>
      <c r="G495" s="1404"/>
      <c r="H495" s="1404"/>
      <c r="I495" s="1404"/>
      <c r="J495" s="1404"/>
      <c r="K495" s="1404"/>
      <c r="L495" s="1404"/>
      <c r="M495" s="1404"/>
      <c r="N495" s="1404"/>
      <c r="O495" s="1404"/>
      <c r="P495" s="1404"/>
      <c r="Q495" s="1404"/>
      <c r="R495" s="1404"/>
      <c r="S495" s="1404"/>
      <c r="T495" s="1404"/>
      <c r="U495" s="1404"/>
      <c r="V495" s="1404"/>
      <c r="W495" s="1404"/>
      <c r="X495" s="1404"/>
      <c r="Y495" s="1404"/>
      <c r="Z495" s="1404"/>
    </row>
    <row r="496">
      <c r="A496" s="1404"/>
      <c r="B496" s="1404"/>
      <c r="C496" s="1404"/>
      <c r="D496" s="1404"/>
      <c r="E496" s="1404"/>
      <c r="F496" s="1404"/>
      <c r="G496" s="1404"/>
      <c r="H496" s="1404"/>
      <c r="I496" s="1404"/>
      <c r="J496" s="1404"/>
      <c r="K496" s="1404"/>
      <c r="L496" s="1404"/>
      <c r="M496" s="1404"/>
      <c r="N496" s="1404"/>
      <c r="O496" s="1404"/>
      <c r="P496" s="1404"/>
      <c r="Q496" s="1404"/>
      <c r="R496" s="1404"/>
      <c r="S496" s="1404"/>
      <c r="T496" s="1404"/>
      <c r="U496" s="1404"/>
      <c r="V496" s="1404"/>
      <c r="W496" s="1404"/>
      <c r="X496" s="1404"/>
      <c r="Y496" s="1404"/>
      <c r="Z496" s="1404"/>
    </row>
    <row r="497">
      <c r="A497" s="1404"/>
      <c r="B497" s="1404"/>
      <c r="C497" s="1404"/>
      <c r="D497" s="1404"/>
      <c r="E497" s="1404"/>
      <c r="F497" s="1404"/>
      <c r="G497" s="1404"/>
      <c r="H497" s="1404"/>
      <c r="I497" s="1404"/>
      <c r="J497" s="1404"/>
      <c r="K497" s="1404"/>
      <c r="L497" s="1404"/>
      <c r="M497" s="1404"/>
      <c r="N497" s="1404"/>
      <c r="O497" s="1404"/>
      <c r="P497" s="1404"/>
      <c r="Q497" s="1404"/>
      <c r="R497" s="1404"/>
      <c r="S497" s="1404"/>
      <c r="T497" s="1404"/>
      <c r="U497" s="1404"/>
      <c r="V497" s="1404"/>
      <c r="W497" s="1404"/>
      <c r="X497" s="1404"/>
      <c r="Y497" s="1404"/>
      <c r="Z497" s="1404"/>
    </row>
    <row r="498">
      <c r="A498" s="1404"/>
      <c r="B498" s="1404"/>
      <c r="C498" s="1404"/>
      <c r="D498" s="1404"/>
      <c r="E498" s="1404"/>
      <c r="F498" s="1404"/>
      <c r="G498" s="1404"/>
      <c r="H498" s="1404"/>
      <c r="I498" s="1404"/>
      <c r="J498" s="1404"/>
      <c r="K498" s="1404"/>
      <c r="L498" s="1404"/>
      <c r="M498" s="1404"/>
      <c r="N498" s="1404"/>
      <c r="O498" s="1404"/>
      <c r="P498" s="1404"/>
      <c r="Q498" s="1404"/>
      <c r="R498" s="1404"/>
      <c r="S498" s="1404"/>
      <c r="T498" s="1404"/>
      <c r="U498" s="1404"/>
      <c r="V498" s="1404"/>
      <c r="W498" s="1404"/>
      <c r="X498" s="1404"/>
      <c r="Y498" s="1404"/>
      <c r="Z498" s="1404"/>
    </row>
    <row r="499">
      <c r="A499" s="1404"/>
      <c r="B499" s="1404"/>
      <c r="C499" s="1404"/>
      <c r="D499" s="1404"/>
      <c r="E499" s="1404"/>
      <c r="F499" s="1404"/>
      <c r="G499" s="1404"/>
      <c r="H499" s="1404"/>
      <c r="I499" s="1404"/>
      <c r="J499" s="1404"/>
      <c r="K499" s="1404"/>
      <c r="L499" s="1404"/>
      <c r="M499" s="1404"/>
      <c r="N499" s="1404"/>
      <c r="O499" s="1404"/>
      <c r="P499" s="1404"/>
      <c r="Q499" s="1404"/>
      <c r="R499" s="1404"/>
      <c r="S499" s="1404"/>
      <c r="T499" s="1404"/>
      <c r="U499" s="1404"/>
      <c r="V499" s="1404"/>
      <c r="W499" s="1404"/>
      <c r="X499" s="1404"/>
      <c r="Y499" s="1404"/>
      <c r="Z499" s="1404"/>
    </row>
    <row r="500">
      <c r="A500" s="1404"/>
      <c r="B500" s="1404"/>
      <c r="C500" s="1404"/>
      <c r="D500" s="1404"/>
      <c r="E500" s="1404"/>
      <c r="F500" s="1404"/>
      <c r="G500" s="1404"/>
      <c r="H500" s="1404"/>
      <c r="I500" s="1404"/>
      <c r="J500" s="1404"/>
      <c r="K500" s="1404"/>
      <c r="L500" s="1404"/>
      <c r="M500" s="1404"/>
      <c r="N500" s="1404"/>
      <c r="O500" s="1404"/>
      <c r="P500" s="1404"/>
      <c r="Q500" s="1404"/>
      <c r="R500" s="1404"/>
      <c r="S500" s="1404"/>
      <c r="T500" s="1404"/>
      <c r="U500" s="1404"/>
      <c r="V500" s="1404"/>
      <c r="W500" s="1404"/>
      <c r="X500" s="1404"/>
      <c r="Y500" s="1404"/>
      <c r="Z500" s="1404"/>
    </row>
    <row r="501">
      <c r="A501" s="1404"/>
      <c r="B501" s="1404"/>
      <c r="C501" s="1404"/>
      <c r="D501" s="1404"/>
      <c r="E501" s="1404"/>
      <c r="F501" s="1404"/>
      <c r="G501" s="1404"/>
      <c r="H501" s="1404"/>
      <c r="I501" s="1404"/>
      <c r="J501" s="1404"/>
      <c r="K501" s="1404"/>
      <c r="L501" s="1404"/>
      <c r="M501" s="1404"/>
      <c r="N501" s="1404"/>
      <c r="O501" s="1404"/>
      <c r="P501" s="1404"/>
      <c r="Q501" s="1404"/>
      <c r="R501" s="1404"/>
      <c r="S501" s="1404"/>
      <c r="T501" s="1404"/>
      <c r="U501" s="1404"/>
      <c r="V501" s="1404"/>
      <c r="W501" s="1404"/>
      <c r="X501" s="1404"/>
      <c r="Y501" s="1404"/>
      <c r="Z501" s="1404"/>
    </row>
    <row r="502">
      <c r="A502" s="1404"/>
      <c r="B502" s="1404"/>
      <c r="C502" s="1404"/>
      <c r="D502" s="1404"/>
      <c r="E502" s="1404"/>
      <c r="F502" s="1404"/>
      <c r="G502" s="1404"/>
      <c r="H502" s="1404"/>
      <c r="I502" s="1404"/>
      <c r="J502" s="1404"/>
      <c r="K502" s="1404"/>
      <c r="L502" s="1404"/>
      <c r="M502" s="1404"/>
      <c r="N502" s="1404"/>
      <c r="O502" s="1404"/>
      <c r="P502" s="1404"/>
      <c r="Q502" s="1404"/>
      <c r="R502" s="1404"/>
      <c r="S502" s="1404"/>
      <c r="T502" s="1404"/>
      <c r="U502" s="1404"/>
      <c r="V502" s="1404"/>
      <c r="W502" s="1404"/>
      <c r="X502" s="1404"/>
      <c r="Y502" s="1404"/>
      <c r="Z502" s="1404"/>
    </row>
    <row r="503">
      <c r="A503" s="1404"/>
      <c r="B503" s="1404"/>
      <c r="C503" s="1404"/>
      <c r="D503" s="1404"/>
      <c r="E503" s="1404"/>
      <c r="F503" s="1404"/>
      <c r="G503" s="1404"/>
      <c r="H503" s="1404"/>
      <c r="I503" s="1404"/>
      <c r="J503" s="1404"/>
      <c r="K503" s="1404"/>
      <c r="L503" s="1404"/>
      <c r="M503" s="1404"/>
      <c r="N503" s="1404"/>
      <c r="O503" s="1404"/>
      <c r="P503" s="1404"/>
      <c r="Q503" s="1404"/>
      <c r="R503" s="1404"/>
      <c r="S503" s="1404"/>
      <c r="T503" s="1404"/>
      <c r="U503" s="1404"/>
      <c r="V503" s="1404"/>
      <c r="W503" s="1404"/>
      <c r="X503" s="1404"/>
      <c r="Y503" s="1404"/>
      <c r="Z503" s="1404"/>
    </row>
    <row r="504">
      <c r="A504" s="1404"/>
      <c r="B504" s="1404"/>
      <c r="C504" s="1404"/>
      <c r="D504" s="1404"/>
      <c r="E504" s="1404"/>
      <c r="F504" s="1404"/>
      <c r="G504" s="1404"/>
      <c r="H504" s="1404"/>
      <c r="I504" s="1404"/>
      <c r="J504" s="1404"/>
      <c r="K504" s="1404"/>
      <c r="L504" s="1404"/>
      <c r="M504" s="1404"/>
      <c r="N504" s="1404"/>
      <c r="O504" s="1404"/>
      <c r="P504" s="1404"/>
      <c r="Q504" s="1404"/>
      <c r="R504" s="1404"/>
      <c r="S504" s="1404"/>
      <c r="T504" s="1404"/>
      <c r="U504" s="1404"/>
      <c r="V504" s="1404"/>
      <c r="W504" s="1404"/>
      <c r="X504" s="1404"/>
      <c r="Y504" s="1404"/>
      <c r="Z504" s="1404"/>
    </row>
    <row r="505">
      <c r="A505" s="1404"/>
      <c r="B505" s="1404"/>
      <c r="C505" s="1404"/>
      <c r="D505" s="1404"/>
      <c r="E505" s="1404"/>
      <c r="F505" s="1404"/>
      <c r="G505" s="1404"/>
      <c r="H505" s="1404"/>
      <c r="I505" s="1404"/>
      <c r="J505" s="1404"/>
      <c r="K505" s="1404"/>
      <c r="L505" s="1404"/>
      <c r="M505" s="1404"/>
      <c r="N505" s="1404"/>
      <c r="O505" s="1404"/>
      <c r="P505" s="1404"/>
      <c r="Q505" s="1404"/>
      <c r="R505" s="1404"/>
      <c r="S505" s="1404"/>
      <c r="T505" s="1404"/>
      <c r="U505" s="1404"/>
      <c r="V505" s="1404"/>
      <c r="W505" s="1404"/>
      <c r="X505" s="1404"/>
      <c r="Y505" s="1404"/>
      <c r="Z505" s="1404"/>
    </row>
    <row r="506">
      <c r="A506" s="1404"/>
      <c r="B506" s="1404"/>
      <c r="C506" s="1404"/>
      <c r="D506" s="1404"/>
      <c r="E506" s="1404"/>
      <c r="F506" s="1404"/>
      <c r="G506" s="1404"/>
      <c r="H506" s="1404"/>
      <c r="I506" s="1404"/>
      <c r="J506" s="1404"/>
      <c r="K506" s="1404"/>
      <c r="L506" s="1404"/>
      <c r="M506" s="1404"/>
      <c r="N506" s="1404"/>
      <c r="O506" s="1404"/>
      <c r="P506" s="1404"/>
      <c r="Q506" s="1404"/>
      <c r="R506" s="1404"/>
      <c r="S506" s="1404"/>
      <c r="T506" s="1404"/>
      <c r="U506" s="1404"/>
      <c r="V506" s="1404"/>
      <c r="W506" s="1404"/>
      <c r="X506" s="1404"/>
      <c r="Y506" s="1404"/>
      <c r="Z506" s="1404"/>
    </row>
    <row r="507">
      <c r="A507" s="1404"/>
      <c r="B507" s="1404"/>
      <c r="C507" s="1404"/>
      <c r="D507" s="1404"/>
      <c r="E507" s="1404"/>
      <c r="F507" s="1404"/>
      <c r="G507" s="1404"/>
      <c r="H507" s="1404"/>
      <c r="I507" s="1404"/>
      <c r="J507" s="1404"/>
      <c r="K507" s="1404"/>
      <c r="L507" s="1404"/>
      <c r="M507" s="1404"/>
      <c r="N507" s="1404"/>
      <c r="O507" s="1404"/>
      <c r="P507" s="1404"/>
      <c r="Q507" s="1404"/>
      <c r="R507" s="1404"/>
      <c r="S507" s="1404"/>
      <c r="T507" s="1404"/>
      <c r="U507" s="1404"/>
      <c r="V507" s="1404"/>
      <c r="W507" s="1404"/>
      <c r="X507" s="1404"/>
      <c r="Y507" s="1404"/>
      <c r="Z507" s="1404"/>
    </row>
    <row r="508">
      <c r="A508" s="1404"/>
      <c r="B508" s="1404"/>
      <c r="C508" s="1404"/>
      <c r="D508" s="1404"/>
      <c r="E508" s="1404"/>
      <c r="F508" s="1404"/>
      <c r="G508" s="1404"/>
      <c r="H508" s="1404"/>
      <c r="I508" s="1404"/>
      <c r="J508" s="1404"/>
      <c r="K508" s="1404"/>
      <c r="L508" s="1404"/>
      <c r="M508" s="1404"/>
      <c r="N508" s="1404"/>
      <c r="O508" s="1404"/>
      <c r="P508" s="1404"/>
      <c r="Q508" s="1404"/>
      <c r="R508" s="1404"/>
      <c r="S508" s="1404"/>
      <c r="T508" s="1404"/>
      <c r="U508" s="1404"/>
      <c r="V508" s="1404"/>
      <c r="W508" s="1404"/>
      <c r="X508" s="1404"/>
      <c r="Y508" s="1404"/>
      <c r="Z508" s="1404"/>
    </row>
    <row r="509">
      <c r="A509" s="1404"/>
      <c r="B509" s="1404"/>
      <c r="C509" s="1404"/>
      <c r="D509" s="1404"/>
      <c r="E509" s="1404"/>
      <c r="F509" s="1404"/>
      <c r="G509" s="1404"/>
      <c r="H509" s="1404"/>
      <c r="I509" s="1404"/>
      <c r="J509" s="1404"/>
      <c r="K509" s="1404"/>
      <c r="L509" s="1404"/>
      <c r="M509" s="1404"/>
      <c r="N509" s="1404"/>
      <c r="O509" s="1404"/>
      <c r="P509" s="1404"/>
      <c r="Q509" s="1404"/>
      <c r="R509" s="1404"/>
      <c r="S509" s="1404"/>
      <c r="T509" s="1404"/>
      <c r="U509" s="1404"/>
      <c r="V509" s="1404"/>
      <c r="W509" s="1404"/>
      <c r="X509" s="1404"/>
      <c r="Y509" s="1404"/>
      <c r="Z509" s="1404"/>
    </row>
    <row r="510">
      <c r="A510" s="1404"/>
      <c r="B510" s="1404"/>
      <c r="C510" s="1404"/>
      <c r="D510" s="1404"/>
      <c r="E510" s="1404"/>
      <c r="F510" s="1404"/>
      <c r="G510" s="1404"/>
      <c r="H510" s="1404"/>
      <c r="I510" s="1404"/>
      <c r="J510" s="1404"/>
      <c r="K510" s="1404"/>
      <c r="L510" s="1404"/>
      <c r="M510" s="1404"/>
      <c r="N510" s="1404"/>
      <c r="O510" s="1404"/>
      <c r="P510" s="1404"/>
      <c r="Q510" s="1404"/>
      <c r="R510" s="1404"/>
      <c r="S510" s="1404"/>
      <c r="T510" s="1404"/>
      <c r="U510" s="1404"/>
      <c r="V510" s="1404"/>
      <c r="W510" s="1404"/>
      <c r="X510" s="1404"/>
      <c r="Y510" s="1404"/>
      <c r="Z510" s="1404"/>
    </row>
    <row r="511">
      <c r="A511" s="1404"/>
      <c r="B511" s="1404"/>
      <c r="C511" s="1404"/>
      <c r="D511" s="1404"/>
      <c r="E511" s="1404"/>
      <c r="F511" s="1404"/>
      <c r="G511" s="1404"/>
      <c r="H511" s="1404"/>
      <c r="I511" s="1404"/>
      <c r="J511" s="1404"/>
      <c r="K511" s="1404"/>
      <c r="L511" s="1404"/>
      <c r="M511" s="1404"/>
      <c r="N511" s="1404"/>
      <c r="O511" s="1404"/>
      <c r="P511" s="1404"/>
      <c r="Q511" s="1404"/>
      <c r="R511" s="1404"/>
      <c r="S511" s="1404"/>
      <c r="T511" s="1404"/>
      <c r="U511" s="1404"/>
      <c r="V511" s="1404"/>
      <c r="W511" s="1404"/>
      <c r="X511" s="1404"/>
      <c r="Y511" s="1404"/>
      <c r="Z511" s="1404"/>
    </row>
    <row r="512">
      <c r="A512" s="1404"/>
      <c r="B512" s="1404"/>
      <c r="C512" s="1404"/>
      <c r="D512" s="1404"/>
      <c r="E512" s="1404"/>
      <c r="F512" s="1404"/>
      <c r="G512" s="1404"/>
      <c r="H512" s="1404"/>
      <c r="I512" s="1404"/>
      <c r="J512" s="1404"/>
      <c r="K512" s="1404"/>
      <c r="L512" s="1404"/>
      <c r="M512" s="1404"/>
      <c r="N512" s="1404"/>
      <c r="O512" s="1404"/>
      <c r="P512" s="1404"/>
      <c r="Q512" s="1404"/>
      <c r="R512" s="1404"/>
      <c r="S512" s="1404"/>
      <c r="T512" s="1404"/>
      <c r="U512" s="1404"/>
      <c r="V512" s="1404"/>
      <c r="W512" s="1404"/>
      <c r="X512" s="1404"/>
      <c r="Y512" s="1404"/>
      <c r="Z512" s="1404"/>
    </row>
    <row r="513">
      <c r="A513" s="1404"/>
      <c r="B513" s="1404"/>
      <c r="C513" s="1404"/>
      <c r="D513" s="1404"/>
      <c r="E513" s="1404"/>
      <c r="F513" s="1404"/>
      <c r="G513" s="1404"/>
      <c r="H513" s="1404"/>
      <c r="I513" s="1404"/>
      <c r="J513" s="1404"/>
      <c r="K513" s="1404"/>
      <c r="L513" s="1404"/>
      <c r="M513" s="1404"/>
      <c r="N513" s="1404"/>
      <c r="O513" s="1404"/>
      <c r="P513" s="1404"/>
      <c r="Q513" s="1404"/>
      <c r="R513" s="1404"/>
      <c r="S513" s="1404"/>
      <c r="T513" s="1404"/>
      <c r="U513" s="1404"/>
      <c r="V513" s="1404"/>
      <c r="W513" s="1404"/>
      <c r="X513" s="1404"/>
      <c r="Y513" s="1404"/>
      <c r="Z513" s="1404"/>
    </row>
    <row r="514">
      <c r="A514" s="1404"/>
      <c r="B514" s="1404"/>
      <c r="C514" s="1404"/>
      <c r="D514" s="1404"/>
      <c r="E514" s="1404"/>
      <c r="F514" s="1404"/>
      <c r="G514" s="1404"/>
      <c r="H514" s="1404"/>
      <c r="I514" s="1404"/>
      <c r="J514" s="1404"/>
      <c r="K514" s="1404"/>
      <c r="L514" s="1404"/>
      <c r="M514" s="1404"/>
      <c r="N514" s="1404"/>
      <c r="O514" s="1404"/>
      <c r="P514" s="1404"/>
      <c r="Q514" s="1404"/>
      <c r="R514" s="1404"/>
      <c r="S514" s="1404"/>
      <c r="T514" s="1404"/>
      <c r="U514" s="1404"/>
      <c r="V514" s="1404"/>
      <c r="W514" s="1404"/>
      <c r="X514" s="1404"/>
      <c r="Y514" s="1404"/>
      <c r="Z514" s="1404"/>
    </row>
    <row r="515">
      <c r="A515" s="1404"/>
      <c r="B515" s="1404"/>
      <c r="C515" s="1404"/>
      <c r="D515" s="1404"/>
      <c r="E515" s="1404"/>
      <c r="F515" s="1404"/>
      <c r="G515" s="1404"/>
      <c r="H515" s="1404"/>
      <c r="I515" s="1404"/>
      <c r="J515" s="1404"/>
      <c r="K515" s="1404"/>
      <c r="L515" s="1404"/>
      <c r="M515" s="1404"/>
      <c r="N515" s="1404"/>
      <c r="O515" s="1404"/>
      <c r="P515" s="1404"/>
      <c r="Q515" s="1404"/>
      <c r="R515" s="1404"/>
      <c r="S515" s="1404"/>
      <c r="T515" s="1404"/>
      <c r="U515" s="1404"/>
      <c r="V515" s="1404"/>
      <c r="W515" s="1404"/>
      <c r="X515" s="1404"/>
      <c r="Y515" s="1404"/>
      <c r="Z515" s="1404"/>
    </row>
    <row r="516">
      <c r="A516" s="1404"/>
      <c r="B516" s="1404"/>
      <c r="C516" s="1404"/>
      <c r="D516" s="1404"/>
      <c r="E516" s="1404"/>
      <c r="F516" s="1404"/>
      <c r="G516" s="1404"/>
      <c r="H516" s="1404"/>
      <c r="I516" s="1404"/>
      <c r="J516" s="1404"/>
      <c r="K516" s="1404"/>
      <c r="L516" s="1404"/>
      <c r="M516" s="1404"/>
      <c r="N516" s="1404"/>
      <c r="O516" s="1404"/>
      <c r="P516" s="1404"/>
      <c r="Q516" s="1404"/>
      <c r="R516" s="1404"/>
      <c r="S516" s="1404"/>
      <c r="T516" s="1404"/>
      <c r="U516" s="1404"/>
      <c r="V516" s="1404"/>
      <c r="W516" s="1404"/>
      <c r="X516" s="1404"/>
      <c r="Y516" s="1404"/>
      <c r="Z516" s="1404"/>
    </row>
    <row r="517">
      <c r="A517" s="1404"/>
      <c r="B517" s="1404"/>
      <c r="C517" s="1404"/>
      <c r="D517" s="1404"/>
      <c r="E517" s="1404"/>
      <c r="F517" s="1404"/>
      <c r="G517" s="1404"/>
      <c r="H517" s="1404"/>
      <c r="I517" s="1404"/>
      <c r="J517" s="1404"/>
      <c r="K517" s="1404"/>
      <c r="L517" s="1404"/>
      <c r="M517" s="1404"/>
      <c r="N517" s="1404"/>
      <c r="O517" s="1404"/>
      <c r="P517" s="1404"/>
      <c r="Q517" s="1404"/>
      <c r="R517" s="1404"/>
      <c r="S517" s="1404"/>
      <c r="T517" s="1404"/>
      <c r="U517" s="1404"/>
      <c r="V517" s="1404"/>
      <c r="W517" s="1404"/>
      <c r="X517" s="1404"/>
      <c r="Y517" s="1404"/>
      <c r="Z517" s="1404"/>
    </row>
    <row r="518">
      <c r="A518" s="1404"/>
      <c r="B518" s="1404"/>
      <c r="C518" s="1404"/>
      <c r="D518" s="1404"/>
      <c r="E518" s="1404"/>
      <c r="F518" s="1404"/>
      <c r="G518" s="1404"/>
      <c r="H518" s="1404"/>
      <c r="I518" s="1404"/>
      <c r="J518" s="1404"/>
      <c r="K518" s="1404"/>
      <c r="L518" s="1404"/>
      <c r="M518" s="1404"/>
      <c r="N518" s="1404"/>
      <c r="O518" s="1404"/>
      <c r="P518" s="1404"/>
      <c r="Q518" s="1404"/>
      <c r="R518" s="1404"/>
      <c r="S518" s="1404"/>
      <c r="T518" s="1404"/>
      <c r="U518" s="1404"/>
      <c r="V518" s="1404"/>
      <c r="W518" s="1404"/>
      <c r="X518" s="1404"/>
      <c r="Y518" s="1404"/>
      <c r="Z518" s="1404"/>
    </row>
    <row r="519">
      <c r="A519" s="1404"/>
      <c r="B519" s="1404"/>
      <c r="C519" s="1404"/>
      <c r="D519" s="1404"/>
      <c r="E519" s="1404"/>
      <c r="F519" s="1404"/>
      <c r="G519" s="1404"/>
      <c r="H519" s="1404"/>
      <c r="I519" s="1404"/>
      <c r="J519" s="1404"/>
      <c r="K519" s="1404"/>
      <c r="L519" s="1404"/>
      <c r="M519" s="1404"/>
      <c r="N519" s="1404"/>
      <c r="O519" s="1404"/>
      <c r="P519" s="1404"/>
      <c r="Q519" s="1404"/>
      <c r="R519" s="1404"/>
      <c r="S519" s="1404"/>
      <c r="T519" s="1404"/>
      <c r="U519" s="1404"/>
      <c r="V519" s="1404"/>
      <c r="W519" s="1404"/>
      <c r="X519" s="1404"/>
      <c r="Y519" s="1404"/>
      <c r="Z519" s="1404"/>
    </row>
    <row r="520">
      <c r="A520" s="1404"/>
      <c r="B520" s="1404"/>
      <c r="C520" s="1404"/>
      <c r="D520" s="1404"/>
      <c r="E520" s="1404"/>
      <c r="F520" s="1404"/>
      <c r="G520" s="1404"/>
      <c r="H520" s="1404"/>
      <c r="I520" s="1404"/>
      <c r="J520" s="1404"/>
      <c r="K520" s="1404"/>
      <c r="L520" s="1404"/>
      <c r="M520" s="1404"/>
      <c r="N520" s="1404"/>
      <c r="O520" s="1404"/>
      <c r="P520" s="1404"/>
      <c r="Q520" s="1404"/>
      <c r="R520" s="1404"/>
      <c r="S520" s="1404"/>
      <c r="T520" s="1404"/>
      <c r="U520" s="1404"/>
      <c r="V520" s="1404"/>
      <c r="W520" s="1404"/>
      <c r="X520" s="1404"/>
      <c r="Y520" s="1404"/>
      <c r="Z520" s="1404"/>
    </row>
    <row r="521">
      <c r="A521" s="1404"/>
      <c r="B521" s="1404"/>
      <c r="C521" s="1404"/>
      <c r="D521" s="1404"/>
      <c r="E521" s="1404"/>
      <c r="F521" s="1404"/>
      <c r="G521" s="1404"/>
      <c r="H521" s="1404"/>
      <c r="I521" s="1404"/>
      <c r="J521" s="1404"/>
      <c r="K521" s="1404"/>
      <c r="L521" s="1404"/>
      <c r="M521" s="1404"/>
      <c r="N521" s="1404"/>
      <c r="O521" s="1404"/>
      <c r="P521" s="1404"/>
      <c r="Q521" s="1404"/>
      <c r="R521" s="1404"/>
      <c r="S521" s="1404"/>
      <c r="T521" s="1404"/>
      <c r="U521" s="1404"/>
      <c r="V521" s="1404"/>
      <c r="W521" s="1404"/>
      <c r="X521" s="1404"/>
      <c r="Y521" s="1404"/>
      <c r="Z521" s="1404"/>
    </row>
    <row r="522">
      <c r="A522" s="1404"/>
      <c r="B522" s="1404"/>
      <c r="C522" s="1404"/>
      <c r="D522" s="1404"/>
      <c r="E522" s="1404"/>
      <c r="F522" s="1404"/>
      <c r="G522" s="1404"/>
      <c r="H522" s="1404"/>
      <c r="I522" s="1404"/>
      <c r="J522" s="1404"/>
      <c r="K522" s="1404"/>
      <c r="L522" s="1404"/>
      <c r="M522" s="1404"/>
      <c r="N522" s="1404"/>
      <c r="O522" s="1404"/>
      <c r="P522" s="1404"/>
      <c r="Q522" s="1404"/>
      <c r="R522" s="1404"/>
      <c r="S522" s="1404"/>
      <c r="T522" s="1404"/>
      <c r="U522" s="1404"/>
      <c r="V522" s="1404"/>
      <c r="W522" s="1404"/>
      <c r="X522" s="1404"/>
      <c r="Y522" s="1404"/>
      <c r="Z522" s="1404"/>
    </row>
    <row r="523">
      <c r="A523" s="1404"/>
      <c r="B523" s="1404"/>
      <c r="C523" s="1404"/>
      <c r="D523" s="1404"/>
      <c r="E523" s="1404"/>
      <c r="F523" s="1404"/>
      <c r="G523" s="1404"/>
      <c r="H523" s="1404"/>
      <c r="I523" s="1404"/>
      <c r="J523" s="1404"/>
      <c r="K523" s="1404"/>
      <c r="L523" s="1404"/>
      <c r="M523" s="1404"/>
      <c r="N523" s="1404"/>
      <c r="O523" s="1404"/>
      <c r="P523" s="1404"/>
      <c r="Q523" s="1404"/>
      <c r="R523" s="1404"/>
      <c r="S523" s="1404"/>
      <c r="T523" s="1404"/>
      <c r="U523" s="1404"/>
      <c r="V523" s="1404"/>
      <c r="W523" s="1404"/>
      <c r="X523" s="1404"/>
      <c r="Y523" s="1404"/>
      <c r="Z523" s="1404"/>
    </row>
    <row r="524">
      <c r="A524" s="1404"/>
      <c r="B524" s="1404"/>
      <c r="C524" s="1404"/>
      <c r="D524" s="1404"/>
      <c r="E524" s="1404"/>
      <c r="F524" s="1404"/>
      <c r="G524" s="1404"/>
      <c r="H524" s="1404"/>
      <c r="I524" s="1404"/>
      <c r="J524" s="1404"/>
      <c r="K524" s="1404"/>
      <c r="L524" s="1404"/>
      <c r="M524" s="1404"/>
      <c r="N524" s="1404"/>
      <c r="O524" s="1404"/>
      <c r="P524" s="1404"/>
      <c r="Q524" s="1404"/>
      <c r="R524" s="1404"/>
      <c r="S524" s="1404"/>
      <c r="T524" s="1404"/>
      <c r="U524" s="1404"/>
      <c r="V524" s="1404"/>
      <c r="W524" s="1404"/>
      <c r="X524" s="1404"/>
      <c r="Y524" s="1404"/>
      <c r="Z524" s="1404"/>
    </row>
    <row r="525">
      <c r="A525" s="1404"/>
      <c r="B525" s="1404"/>
      <c r="C525" s="1404"/>
      <c r="D525" s="1404"/>
      <c r="E525" s="1404"/>
      <c r="F525" s="1404"/>
      <c r="G525" s="1404"/>
      <c r="H525" s="1404"/>
      <c r="I525" s="1404"/>
      <c r="J525" s="1404"/>
      <c r="K525" s="1404"/>
      <c r="L525" s="1404"/>
      <c r="M525" s="1404"/>
      <c r="N525" s="1404"/>
      <c r="O525" s="1404"/>
      <c r="P525" s="1404"/>
      <c r="Q525" s="1404"/>
      <c r="R525" s="1404"/>
      <c r="S525" s="1404"/>
      <c r="T525" s="1404"/>
      <c r="U525" s="1404"/>
      <c r="V525" s="1404"/>
      <c r="W525" s="1404"/>
      <c r="X525" s="1404"/>
      <c r="Y525" s="1404"/>
      <c r="Z525" s="1404"/>
    </row>
    <row r="526">
      <c r="A526" s="1404"/>
      <c r="B526" s="1404"/>
      <c r="C526" s="1404"/>
      <c r="D526" s="1404"/>
      <c r="E526" s="1404"/>
      <c r="F526" s="1404"/>
      <c r="G526" s="1404"/>
      <c r="H526" s="1404"/>
      <c r="I526" s="1404"/>
      <c r="J526" s="1404"/>
      <c r="K526" s="1404"/>
      <c r="L526" s="1404"/>
      <c r="M526" s="1404"/>
      <c r="N526" s="1404"/>
      <c r="O526" s="1404"/>
      <c r="P526" s="1404"/>
      <c r="Q526" s="1404"/>
      <c r="R526" s="1404"/>
      <c r="S526" s="1404"/>
      <c r="T526" s="1404"/>
      <c r="U526" s="1404"/>
      <c r="V526" s="1404"/>
      <c r="W526" s="1404"/>
      <c r="X526" s="1404"/>
      <c r="Y526" s="1404"/>
      <c r="Z526" s="1404"/>
    </row>
    <row r="527">
      <c r="A527" s="1404"/>
      <c r="B527" s="1404"/>
      <c r="C527" s="1404"/>
      <c r="D527" s="1404"/>
      <c r="E527" s="1404"/>
      <c r="F527" s="1404"/>
      <c r="G527" s="1404"/>
      <c r="H527" s="1404"/>
      <c r="I527" s="1404"/>
      <c r="J527" s="1404"/>
      <c r="K527" s="1404"/>
      <c r="L527" s="1404"/>
      <c r="M527" s="1404"/>
      <c r="N527" s="1404"/>
      <c r="O527" s="1404"/>
      <c r="P527" s="1404"/>
      <c r="Q527" s="1404"/>
      <c r="R527" s="1404"/>
      <c r="S527" s="1404"/>
      <c r="T527" s="1404"/>
      <c r="U527" s="1404"/>
      <c r="V527" s="1404"/>
      <c r="W527" s="1404"/>
      <c r="X527" s="1404"/>
      <c r="Y527" s="1404"/>
      <c r="Z527" s="1404"/>
    </row>
    <row r="528">
      <c r="A528" s="1404"/>
      <c r="B528" s="1404"/>
      <c r="C528" s="1404"/>
      <c r="D528" s="1404"/>
      <c r="E528" s="1404"/>
      <c r="F528" s="1404"/>
      <c r="G528" s="1404"/>
      <c r="H528" s="1404"/>
      <c r="I528" s="1404"/>
      <c r="J528" s="1404"/>
      <c r="K528" s="1404"/>
      <c r="L528" s="1404"/>
      <c r="M528" s="1404"/>
      <c r="N528" s="1404"/>
      <c r="O528" s="1404"/>
      <c r="P528" s="1404"/>
      <c r="Q528" s="1404"/>
      <c r="R528" s="1404"/>
      <c r="S528" s="1404"/>
      <c r="T528" s="1404"/>
      <c r="U528" s="1404"/>
      <c r="V528" s="1404"/>
      <c r="W528" s="1404"/>
      <c r="X528" s="1404"/>
      <c r="Y528" s="1404"/>
      <c r="Z528" s="1404"/>
    </row>
    <row r="529">
      <c r="A529" s="1404"/>
      <c r="B529" s="1404"/>
      <c r="C529" s="1404"/>
      <c r="D529" s="1404"/>
      <c r="E529" s="1404"/>
      <c r="F529" s="1404"/>
      <c r="G529" s="1404"/>
      <c r="H529" s="1404"/>
      <c r="I529" s="1404"/>
      <c r="J529" s="1404"/>
      <c r="K529" s="1404"/>
      <c r="L529" s="1404"/>
      <c r="M529" s="1404"/>
      <c r="N529" s="1404"/>
      <c r="O529" s="1404"/>
      <c r="P529" s="1404"/>
      <c r="Q529" s="1404"/>
      <c r="R529" s="1404"/>
      <c r="S529" s="1404"/>
      <c r="T529" s="1404"/>
      <c r="U529" s="1404"/>
      <c r="V529" s="1404"/>
      <c r="W529" s="1404"/>
      <c r="X529" s="1404"/>
      <c r="Y529" s="1404"/>
      <c r="Z529" s="1404"/>
    </row>
    <row r="530">
      <c r="A530" s="1404"/>
      <c r="B530" s="1404"/>
      <c r="C530" s="1404"/>
      <c r="D530" s="1404"/>
      <c r="E530" s="1404"/>
      <c r="F530" s="1404"/>
      <c r="G530" s="1404"/>
      <c r="H530" s="1404"/>
      <c r="I530" s="1404"/>
      <c r="J530" s="1404"/>
      <c r="K530" s="1404"/>
      <c r="L530" s="1404"/>
      <c r="M530" s="1404"/>
      <c r="N530" s="1404"/>
      <c r="O530" s="1404"/>
      <c r="P530" s="1404"/>
      <c r="Q530" s="1404"/>
      <c r="R530" s="1404"/>
      <c r="S530" s="1404"/>
      <c r="T530" s="1404"/>
      <c r="U530" s="1404"/>
      <c r="V530" s="1404"/>
      <c r="W530" s="1404"/>
      <c r="X530" s="1404"/>
      <c r="Y530" s="1404"/>
      <c r="Z530" s="1404"/>
    </row>
    <row r="531">
      <c r="A531" s="1404"/>
      <c r="B531" s="1404"/>
      <c r="C531" s="1404"/>
      <c r="D531" s="1404"/>
      <c r="E531" s="1404"/>
      <c r="F531" s="1404"/>
      <c r="G531" s="1404"/>
      <c r="H531" s="1404"/>
      <c r="I531" s="1404"/>
      <c r="J531" s="1404"/>
      <c r="K531" s="1404"/>
      <c r="L531" s="1404"/>
      <c r="M531" s="1404"/>
      <c r="N531" s="1404"/>
      <c r="O531" s="1404"/>
      <c r="P531" s="1404"/>
      <c r="Q531" s="1404"/>
      <c r="R531" s="1404"/>
      <c r="S531" s="1404"/>
      <c r="T531" s="1404"/>
      <c r="U531" s="1404"/>
      <c r="V531" s="1404"/>
      <c r="W531" s="1404"/>
      <c r="X531" s="1404"/>
      <c r="Y531" s="1404"/>
      <c r="Z531" s="1404"/>
    </row>
    <row r="532">
      <c r="A532" s="1404"/>
      <c r="B532" s="1404"/>
      <c r="C532" s="1404"/>
      <c r="D532" s="1404"/>
      <c r="E532" s="1404"/>
      <c r="F532" s="1404"/>
      <c r="G532" s="1404"/>
      <c r="H532" s="1404"/>
      <c r="I532" s="1404"/>
      <c r="J532" s="1404"/>
      <c r="K532" s="1404"/>
      <c r="L532" s="1404"/>
      <c r="M532" s="1404"/>
      <c r="N532" s="1404"/>
      <c r="O532" s="1404"/>
      <c r="P532" s="1404"/>
      <c r="Q532" s="1404"/>
      <c r="R532" s="1404"/>
      <c r="S532" s="1404"/>
      <c r="T532" s="1404"/>
      <c r="U532" s="1404"/>
      <c r="V532" s="1404"/>
      <c r="W532" s="1404"/>
      <c r="X532" s="1404"/>
      <c r="Y532" s="1404"/>
      <c r="Z532" s="1404"/>
    </row>
    <row r="533">
      <c r="A533" s="1404"/>
      <c r="B533" s="1404"/>
      <c r="C533" s="1404"/>
      <c r="D533" s="1404"/>
      <c r="E533" s="1404"/>
      <c r="F533" s="1404"/>
      <c r="G533" s="1404"/>
      <c r="H533" s="1404"/>
      <c r="I533" s="1404"/>
      <c r="J533" s="1404"/>
      <c r="K533" s="1404"/>
      <c r="L533" s="1404"/>
      <c r="M533" s="1404"/>
      <c r="N533" s="1404"/>
      <c r="O533" s="1404"/>
      <c r="P533" s="1404"/>
      <c r="Q533" s="1404"/>
      <c r="R533" s="1404"/>
      <c r="S533" s="1404"/>
      <c r="T533" s="1404"/>
      <c r="U533" s="1404"/>
      <c r="V533" s="1404"/>
      <c r="W533" s="1404"/>
      <c r="X533" s="1404"/>
      <c r="Y533" s="1404"/>
      <c r="Z533" s="1404"/>
    </row>
    <row r="534">
      <c r="A534" s="1404"/>
      <c r="B534" s="1404"/>
      <c r="C534" s="1404"/>
      <c r="D534" s="1404"/>
      <c r="E534" s="1404"/>
      <c r="F534" s="1404"/>
      <c r="G534" s="1404"/>
      <c r="H534" s="1404"/>
      <c r="I534" s="1404"/>
      <c r="J534" s="1404"/>
      <c r="K534" s="1404"/>
      <c r="L534" s="1404"/>
      <c r="M534" s="1404"/>
      <c r="N534" s="1404"/>
      <c r="O534" s="1404"/>
      <c r="P534" s="1404"/>
      <c r="Q534" s="1404"/>
      <c r="R534" s="1404"/>
      <c r="S534" s="1404"/>
      <c r="T534" s="1404"/>
      <c r="U534" s="1404"/>
      <c r="V534" s="1404"/>
      <c r="W534" s="1404"/>
      <c r="X534" s="1404"/>
      <c r="Y534" s="1404"/>
      <c r="Z534" s="1404"/>
    </row>
    <row r="535">
      <c r="A535" s="1404"/>
      <c r="B535" s="1404"/>
      <c r="C535" s="1404"/>
      <c r="D535" s="1404"/>
      <c r="E535" s="1404"/>
      <c r="F535" s="1404"/>
      <c r="G535" s="1404"/>
      <c r="H535" s="1404"/>
      <c r="I535" s="1404"/>
      <c r="J535" s="1404"/>
      <c r="K535" s="1404"/>
      <c r="L535" s="1404"/>
      <c r="M535" s="1404"/>
      <c r="N535" s="1404"/>
      <c r="O535" s="1404"/>
      <c r="P535" s="1404"/>
      <c r="Q535" s="1404"/>
      <c r="R535" s="1404"/>
      <c r="S535" s="1404"/>
      <c r="T535" s="1404"/>
      <c r="U535" s="1404"/>
      <c r="V535" s="1404"/>
      <c r="W535" s="1404"/>
      <c r="X535" s="1404"/>
      <c r="Y535" s="1404"/>
      <c r="Z535" s="1404"/>
    </row>
    <row r="536">
      <c r="A536" s="1404"/>
      <c r="B536" s="1404"/>
      <c r="C536" s="1404"/>
      <c r="D536" s="1404"/>
      <c r="E536" s="1404"/>
      <c r="F536" s="1404"/>
      <c r="G536" s="1404"/>
      <c r="H536" s="1404"/>
      <c r="I536" s="1404"/>
      <c r="J536" s="1404"/>
      <c r="K536" s="1404"/>
      <c r="L536" s="1404"/>
      <c r="M536" s="1404"/>
      <c r="N536" s="1404"/>
      <c r="O536" s="1404"/>
      <c r="P536" s="1404"/>
      <c r="Q536" s="1404"/>
      <c r="R536" s="1404"/>
      <c r="S536" s="1404"/>
      <c r="T536" s="1404"/>
      <c r="U536" s="1404"/>
      <c r="V536" s="1404"/>
      <c r="W536" s="1404"/>
      <c r="X536" s="1404"/>
      <c r="Y536" s="1404"/>
      <c r="Z536" s="1404"/>
    </row>
    <row r="537">
      <c r="A537" s="1404"/>
      <c r="B537" s="1404"/>
      <c r="C537" s="1404"/>
      <c r="D537" s="1404"/>
      <c r="E537" s="1404"/>
      <c r="F537" s="1404"/>
      <c r="G537" s="1404"/>
      <c r="H537" s="1404"/>
      <c r="I537" s="1404"/>
      <c r="J537" s="1404"/>
      <c r="K537" s="1404"/>
      <c r="L537" s="1404"/>
      <c r="M537" s="1404"/>
      <c r="N537" s="1404"/>
      <c r="O537" s="1404"/>
      <c r="P537" s="1404"/>
      <c r="Q537" s="1404"/>
      <c r="R537" s="1404"/>
      <c r="S537" s="1404"/>
      <c r="T537" s="1404"/>
      <c r="U537" s="1404"/>
      <c r="V537" s="1404"/>
      <c r="W537" s="1404"/>
      <c r="X537" s="1404"/>
      <c r="Y537" s="1404"/>
      <c r="Z537" s="1404"/>
    </row>
    <row r="538">
      <c r="A538" s="1404"/>
      <c r="B538" s="1404"/>
      <c r="C538" s="1404"/>
      <c r="D538" s="1404"/>
      <c r="E538" s="1404"/>
      <c r="F538" s="1404"/>
      <c r="G538" s="1404"/>
      <c r="H538" s="1404"/>
      <c r="I538" s="1404"/>
      <c r="J538" s="1404"/>
      <c r="K538" s="1404"/>
      <c r="L538" s="1404"/>
      <c r="M538" s="1404"/>
      <c r="N538" s="1404"/>
      <c r="O538" s="1404"/>
      <c r="P538" s="1404"/>
      <c r="Q538" s="1404"/>
      <c r="R538" s="1404"/>
      <c r="S538" s="1404"/>
      <c r="T538" s="1404"/>
      <c r="U538" s="1404"/>
      <c r="V538" s="1404"/>
      <c r="W538" s="1404"/>
      <c r="X538" s="1404"/>
      <c r="Y538" s="1404"/>
      <c r="Z538" s="1404"/>
    </row>
    <row r="539">
      <c r="A539" s="1404"/>
      <c r="B539" s="1404"/>
      <c r="C539" s="1404"/>
      <c r="D539" s="1404"/>
      <c r="E539" s="1404"/>
      <c r="F539" s="1404"/>
      <c r="G539" s="1404"/>
      <c r="H539" s="1404"/>
      <c r="I539" s="1404"/>
      <c r="J539" s="1404"/>
      <c r="K539" s="1404"/>
      <c r="L539" s="1404"/>
      <c r="M539" s="1404"/>
      <c r="N539" s="1404"/>
      <c r="O539" s="1404"/>
      <c r="P539" s="1404"/>
      <c r="Q539" s="1404"/>
      <c r="R539" s="1404"/>
      <c r="S539" s="1404"/>
      <c r="T539" s="1404"/>
      <c r="U539" s="1404"/>
      <c r="V539" s="1404"/>
      <c r="W539" s="1404"/>
      <c r="X539" s="1404"/>
      <c r="Y539" s="1404"/>
      <c r="Z539" s="1404"/>
    </row>
    <row r="540">
      <c r="A540" s="1404"/>
      <c r="B540" s="1404"/>
      <c r="C540" s="1404"/>
      <c r="D540" s="1404"/>
      <c r="E540" s="1404"/>
      <c r="F540" s="1404"/>
      <c r="G540" s="1404"/>
      <c r="H540" s="1404"/>
      <c r="I540" s="1404"/>
      <c r="J540" s="1404"/>
      <c r="K540" s="1404"/>
      <c r="L540" s="1404"/>
      <c r="M540" s="1404"/>
      <c r="N540" s="1404"/>
      <c r="O540" s="1404"/>
      <c r="P540" s="1404"/>
      <c r="Q540" s="1404"/>
      <c r="R540" s="1404"/>
      <c r="S540" s="1404"/>
      <c r="T540" s="1404"/>
      <c r="U540" s="1404"/>
      <c r="V540" s="1404"/>
      <c r="W540" s="1404"/>
      <c r="X540" s="1404"/>
      <c r="Y540" s="1404"/>
      <c r="Z540" s="1404"/>
    </row>
    <row r="541">
      <c r="A541" s="1404"/>
      <c r="B541" s="1404"/>
      <c r="C541" s="1404"/>
      <c r="D541" s="1404"/>
      <c r="E541" s="1404"/>
      <c r="F541" s="1404"/>
      <c r="G541" s="1404"/>
      <c r="H541" s="1404"/>
      <c r="I541" s="1404"/>
      <c r="J541" s="1404"/>
      <c r="K541" s="1404"/>
      <c r="L541" s="1404"/>
      <c r="M541" s="1404"/>
      <c r="N541" s="1404"/>
      <c r="O541" s="1404"/>
      <c r="P541" s="1404"/>
      <c r="Q541" s="1404"/>
      <c r="R541" s="1404"/>
      <c r="S541" s="1404"/>
      <c r="T541" s="1404"/>
      <c r="U541" s="1404"/>
      <c r="V541" s="1404"/>
      <c r="W541" s="1404"/>
      <c r="X541" s="1404"/>
      <c r="Y541" s="1404"/>
      <c r="Z541" s="1404"/>
    </row>
    <row r="542">
      <c r="A542" s="1404"/>
      <c r="B542" s="1404"/>
      <c r="C542" s="1404"/>
      <c r="D542" s="1404"/>
      <c r="E542" s="1404"/>
      <c r="F542" s="1404"/>
      <c r="G542" s="1404"/>
      <c r="H542" s="1404"/>
      <c r="I542" s="1404"/>
      <c r="J542" s="1404"/>
      <c r="K542" s="1404"/>
      <c r="L542" s="1404"/>
      <c r="M542" s="1404"/>
      <c r="N542" s="1404"/>
      <c r="O542" s="1404"/>
      <c r="P542" s="1404"/>
      <c r="Q542" s="1404"/>
      <c r="R542" s="1404"/>
      <c r="S542" s="1404"/>
      <c r="T542" s="1404"/>
      <c r="U542" s="1404"/>
      <c r="V542" s="1404"/>
      <c r="W542" s="1404"/>
      <c r="X542" s="1404"/>
      <c r="Y542" s="1404"/>
      <c r="Z542" s="1404"/>
    </row>
    <row r="543">
      <c r="A543" s="1404"/>
      <c r="B543" s="1404"/>
      <c r="C543" s="1404"/>
      <c r="D543" s="1404"/>
      <c r="E543" s="1404"/>
      <c r="F543" s="1404"/>
      <c r="G543" s="1404"/>
      <c r="H543" s="1404"/>
      <c r="I543" s="1404"/>
      <c r="J543" s="1404"/>
      <c r="K543" s="1404"/>
      <c r="L543" s="1404"/>
      <c r="M543" s="1404"/>
      <c r="N543" s="1404"/>
      <c r="O543" s="1404"/>
      <c r="P543" s="1404"/>
      <c r="Q543" s="1404"/>
      <c r="R543" s="1404"/>
      <c r="S543" s="1404"/>
      <c r="T543" s="1404"/>
      <c r="U543" s="1404"/>
      <c r="V543" s="1404"/>
      <c r="W543" s="1404"/>
      <c r="X543" s="1404"/>
      <c r="Y543" s="1404"/>
      <c r="Z543" s="1404"/>
    </row>
    <row r="544">
      <c r="A544" s="1404"/>
      <c r="B544" s="1404"/>
      <c r="C544" s="1404"/>
      <c r="D544" s="1404"/>
      <c r="E544" s="1404"/>
      <c r="F544" s="1404"/>
      <c r="G544" s="1404"/>
      <c r="H544" s="1404"/>
      <c r="I544" s="1404"/>
      <c r="J544" s="1404"/>
      <c r="K544" s="1404"/>
      <c r="L544" s="1404"/>
      <c r="M544" s="1404"/>
      <c r="N544" s="1404"/>
      <c r="O544" s="1404"/>
      <c r="P544" s="1404"/>
      <c r="Q544" s="1404"/>
      <c r="R544" s="1404"/>
      <c r="S544" s="1404"/>
      <c r="T544" s="1404"/>
      <c r="U544" s="1404"/>
      <c r="V544" s="1404"/>
      <c r="W544" s="1404"/>
      <c r="X544" s="1404"/>
      <c r="Y544" s="1404"/>
      <c r="Z544" s="1404"/>
    </row>
    <row r="545">
      <c r="A545" s="1404"/>
      <c r="B545" s="1404"/>
      <c r="C545" s="1404"/>
      <c r="D545" s="1404"/>
      <c r="E545" s="1404"/>
      <c r="F545" s="1404"/>
      <c r="G545" s="1404"/>
      <c r="H545" s="1404"/>
      <c r="I545" s="1404"/>
      <c r="J545" s="1404"/>
      <c r="K545" s="1404"/>
      <c r="L545" s="1404"/>
      <c r="M545" s="1404"/>
      <c r="N545" s="1404"/>
      <c r="O545" s="1404"/>
      <c r="P545" s="1404"/>
      <c r="Q545" s="1404"/>
      <c r="R545" s="1404"/>
      <c r="S545" s="1404"/>
      <c r="T545" s="1404"/>
      <c r="U545" s="1404"/>
      <c r="V545" s="1404"/>
      <c r="W545" s="1404"/>
      <c r="X545" s="1404"/>
      <c r="Y545" s="1404"/>
      <c r="Z545" s="1404"/>
    </row>
    <row r="546">
      <c r="A546" s="1404"/>
      <c r="B546" s="1404"/>
      <c r="C546" s="1404"/>
      <c r="D546" s="1404"/>
      <c r="E546" s="1404"/>
      <c r="F546" s="1404"/>
      <c r="G546" s="1404"/>
      <c r="H546" s="1404"/>
      <c r="I546" s="1404"/>
      <c r="J546" s="1404"/>
      <c r="K546" s="1404"/>
      <c r="L546" s="1404"/>
      <c r="M546" s="1404"/>
      <c r="N546" s="1404"/>
      <c r="O546" s="1404"/>
      <c r="P546" s="1404"/>
      <c r="Q546" s="1404"/>
      <c r="R546" s="1404"/>
      <c r="S546" s="1404"/>
      <c r="T546" s="1404"/>
      <c r="U546" s="1404"/>
      <c r="V546" s="1404"/>
      <c r="W546" s="1404"/>
      <c r="X546" s="1404"/>
      <c r="Y546" s="1404"/>
      <c r="Z546" s="1404"/>
    </row>
    <row r="547">
      <c r="A547" s="1404"/>
      <c r="B547" s="1404"/>
      <c r="C547" s="1404"/>
      <c r="D547" s="1404"/>
      <c r="E547" s="1404"/>
      <c r="F547" s="1404"/>
      <c r="G547" s="1404"/>
      <c r="H547" s="1404"/>
      <c r="I547" s="1404"/>
      <c r="J547" s="1404"/>
      <c r="K547" s="1404"/>
      <c r="L547" s="1404"/>
      <c r="M547" s="1404"/>
      <c r="N547" s="1404"/>
      <c r="O547" s="1404"/>
      <c r="P547" s="1404"/>
      <c r="Q547" s="1404"/>
      <c r="R547" s="1404"/>
      <c r="S547" s="1404"/>
      <c r="T547" s="1404"/>
      <c r="U547" s="1404"/>
      <c r="V547" s="1404"/>
      <c r="W547" s="1404"/>
      <c r="X547" s="1404"/>
      <c r="Y547" s="1404"/>
      <c r="Z547" s="1404"/>
    </row>
    <row r="548">
      <c r="A548" s="1404"/>
      <c r="B548" s="1404"/>
      <c r="C548" s="1404"/>
      <c r="D548" s="1404"/>
      <c r="E548" s="1404"/>
      <c r="F548" s="1404"/>
      <c r="G548" s="1404"/>
      <c r="H548" s="1404"/>
      <c r="I548" s="1404"/>
      <c r="J548" s="1404"/>
      <c r="K548" s="1404"/>
      <c r="L548" s="1404"/>
      <c r="M548" s="1404"/>
      <c r="N548" s="1404"/>
      <c r="O548" s="1404"/>
      <c r="P548" s="1404"/>
      <c r="Q548" s="1404"/>
      <c r="R548" s="1404"/>
      <c r="S548" s="1404"/>
      <c r="T548" s="1404"/>
      <c r="U548" s="1404"/>
      <c r="V548" s="1404"/>
      <c r="W548" s="1404"/>
      <c r="X548" s="1404"/>
      <c r="Y548" s="1404"/>
      <c r="Z548" s="1404"/>
    </row>
    <row r="549">
      <c r="A549" s="1404"/>
      <c r="B549" s="1404"/>
      <c r="C549" s="1404"/>
      <c r="D549" s="1404"/>
      <c r="E549" s="1404"/>
      <c r="F549" s="1404"/>
      <c r="G549" s="1404"/>
      <c r="H549" s="1404"/>
      <c r="I549" s="1404"/>
      <c r="J549" s="1404"/>
      <c r="K549" s="1404"/>
      <c r="L549" s="1404"/>
      <c r="M549" s="1404"/>
      <c r="N549" s="1404"/>
      <c r="O549" s="1404"/>
      <c r="P549" s="1404"/>
      <c r="Q549" s="1404"/>
      <c r="R549" s="1404"/>
      <c r="S549" s="1404"/>
      <c r="T549" s="1404"/>
      <c r="U549" s="1404"/>
      <c r="V549" s="1404"/>
      <c r="W549" s="1404"/>
      <c r="X549" s="1404"/>
      <c r="Y549" s="1404"/>
      <c r="Z549" s="1404"/>
    </row>
    <row r="550">
      <c r="A550" s="1404"/>
      <c r="B550" s="1404"/>
      <c r="C550" s="1404"/>
      <c r="D550" s="1404"/>
      <c r="E550" s="1404"/>
      <c r="F550" s="1404"/>
      <c r="G550" s="1404"/>
      <c r="H550" s="1404"/>
      <c r="I550" s="1404"/>
      <c r="J550" s="1404"/>
      <c r="K550" s="1404"/>
      <c r="L550" s="1404"/>
      <c r="M550" s="1404"/>
      <c r="N550" s="1404"/>
      <c r="O550" s="1404"/>
      <c r="P550" s="1404"/>
      <c r="Q550" s="1404"/>
      <c r="R550" s="1404"/>
      <c r="S550" s="1404"/>
      <c r="T550" s="1404"/>
      <c r="U550" s="1404"/>
      <c r="V550" s="1404"/>
      <c r="W550" s="1404"/>
      <c r="X550" s="1404"/>
      <c r="Y550" s="1404"/>
      <c r="Z550" s="1404"/>
    </row>
    <row r="551">
      <c r="A551" s="1404"/>
      <c r="B551" s="1404"/>
      <c r="C551" s="1404"/>
      <c r="D551" s="1404"/>
      <c r="E551" s="1404"/>
      <c r="F551" s="1404"/>
      <c r="G551" s="1404"/>
      <c r="H551" s="1404"/>
      <c r="I551" s="1404"/>
      <c r="J551" s="1404"/>
      <c r="K551" s="1404"/>
      <c r="L551" s="1404"/>
      <c r="M551" s="1404"/>
      <c r="N551" s="1404"/>
      <c r="O551" s="1404"/>
      <c r="P551" s="1404"/>
      <c r="Q551" s="1404"/>
      <c r="R551" s="1404"/>
      <c r="S551" s="1404"/>
      <c r="T551" s="1404"/>
      <c r="U551" s="1404"/>
      <c r="V551" s="1404"/>
      <c r="W551" s="1404"/>
      <c r="X551" s="1404"/>
      <c r="Y551" s="1404"/>
      <c r="Z551" s="1404"/>
    </row>
    <row r="552">
      <c r="A552" s="1404"/>
      <c r="B552" s="1404"/>
      <c r="C552" s="1404"/>
      <c r="D552" s="1404"/>
      <c r="E552" s="1404"/>
      <c r="F552" s="1404"/>
      <c r="G552" s="1404"/>
      <c r="H552" s="1404"/>
      <c r="I552" s="1404"/>
      <c r="J552" s="1404"/>
      <c r="K552" s="1404"/>
      <c r="L552" s="1404"/>
      <c r="M552" s="1404"/>
      <c r="N552" s="1404"/>
      <c r="O552" s="1404"/>
      <c r="P552" s="1404"/>
      <c r="Q552" s="1404"/>
      <c r="R552" s="1404"/>
      <c r="S552" s="1404"/>
      <c r="T552" s="1404"/>
      <c r="U552" s="1404"/>
      <c r="V552" s="1404"/>
      <c r="W552" s="1404"/>
      <c r="X552" s="1404"/>
      <c r="Y552" s="1404"/>
      <c r="Z552" s="1404"/>
    </row>
    <row r="553">
      <c r="A553" s="1404"/>
      <c r="B553" s="1404"/>
      <c r="C553" s="1404"/>
      <c r="D553" s="1404"/>
      <c r="E553" s="1404"/>
      <c r="F553" s="1404"/>
      <c r="G553" s="1404"/>
      <c r="H553" s="1404"/>
      <c r="I553" s="1404"/>
      <c r="J553" s="1404"/>
      <c r="K553" s="1404"/>
      <c r="L553" s="1404"/>
      <c r="M553" s="1404"/>
      <c r="N553" s="1404"/>
      <c r="O553" s="1404"/>
      <c r="P553" s="1404"/>
      <c r="Q553" s="1404"/>
      <c r="R553" s="1404"/>
      <c r="S553" s="1404"/>
      <c r="T553" s="1404"/>
      <c r="U553" s="1404"/>
      <c r="V553" s="1404"/>
      <c r="W553" s="1404"/>
      <c r="X553" s="1404"/>
      <c r="Y553" s="1404"/>
      <c r="Z553" s="1404"/>
    </row>
    <row r="554">
      <c r="A554" s="1404"/>
      <c r="B554" s="1404"/>
      <c r="C554" s="1404"/>
      <c r="D554" s="1404"/>
      <c r="E554" s="1404"/>
      <c r="F554" s="1404"/>
      <c r="G554" s="1404"/>
      <c r="H554" s="1404"/>
      <c r="I554" s="1404"/>
      <c r="J554" s="1404"/>
      <c r="K554" s="1404"/>
      <c r="L554" s="1404"/>
      <c r="M554" s="1404"/>
      <c r="N554" s="1404"/>
      <c r="O554" s="1404"/>
      <c r="P554" s="1404"/>
      <c r="Q554" s="1404"/>
      <c r="R554" s="1404"/>
      <c r="S554" s="1404"/>
      <c r="T554" s="1404"/>
      <c r="U554" s="1404"/>
      <c r="V554" s="1404"/>
      <c r="W554" s="1404"/>
      <c r="X554" s="1404"/>
      <c r="Y554" s="1404"/>
      <c r="Z554" s="1404"/>
    </row>
    <row r="555">
      <c r="A555" s="1404"/>
      <c r="B555" s="1404"/>
      <c r="C555" s="1404"/>
      <c r="D555" s="1404"/>
      <c r="E555" s="1404"/>
      <c r="F555" s="1404"/>
      <c r="G555" s="1404"/>
      <c r="H555" s="1404"/>
      <c r="I555" s="1404"/>
      <c r="J555" s="1404"/>
      <c r="K555" s="1404"/>
      <c r="L555" s="1404"/>
      <c r="M555" s="1404"/>
      <c r="N555" s="1404"/>
      <c r="O555" s="1404"/>
      <c r="P555" s="1404"/>
      <c r="Q555" s="1404"/>
      <c r="R555" s="1404"/>
      <c r="S555" s="1404"/>
      <c r="T555" s="1404"/>
      <c r="U555" s="1404"/>
      <c r="V555" s="1404"/>
      <c r="W555" s="1404"/>
      <c r="X555" s="1404"/>
      <c r="Y555" s="1404"/>
      <c r="Z555" s="1404"/>
    </row>
    <row r="556">
      <c r="A556" s="1404"/>
      <c r="B556" s="1404"/>
      <c r="C556" s="1404"/>
      <c r="D556" s="1404"/>
      <c r="E556" s="1404"/>
      <c r="F556" s="1404"/>
      <c r="G556" s="1404"/>
      <c r="H556" s="1404"/>
      <c r="I556" s="1404"/>
      <c r="J556" s="1404"/>
      <c r="K556" s="1404"/>
      <c r="L556" s="1404"/>
      <c r="M556" s="1404"/>
      <c r="N556" s="1404"/>
      <c r="O556" s="1404"/>
      <c r="P556" s="1404"/>
      <c r="Q556" s="1404"/>
      <c r="R556" s="1404"/>
      <c r="S556" s="1404"/>
      <c r="T556" s="1404"/>
      <c r="U556" s="1404"/>
      <c r="V556" s="1404"/>
      <c r="W556" s="1404"/>
      <c r="X556" s="1404"/>
      <c r="Y556" s="1404"/>
      <c r="Z556" s="1404"/>
    </row>
    <row r="557">
      <c r="A557" s="1404"/>
      <c r="B557" s="1404"/>
      <c r="C557" s="1404"/>
      <c r="D557" s="1404"/>
      <c r="E557" s="1404"/>
      <c r="F557" s="1404"/>
      <c r="G557" s="1404"/>
      <c r="H557" s="1404"/>
      <c r="I557" s="1404"/>
      <c r="J557" s="1404"/>
      <c r="K557" s="1404"/>
      <c r="L557" s="1404"/>
      <c r="M557" s="1404"/>
      <c r="N557" s="1404"/>
      <c r="O557" s="1404"/>
      <c r="P557" s="1404"/>
      <c r="Q557" s="1404"/>
      <c r="R557" s="1404"/>
      <c r="S557" s="1404"/>
      <c r="T557" s="1404"/>
      <c r="U557" s="1404"/>
      <c r="V557" s="1404"/>
      <c r="W557" s="1404"/>
      <c r="X557" s="1404"/>
      <c r="Y557" s="1404"/>
      <c r="Z557" s="1404"/>
    </row>
    <row r="558">
      <c r="A558" s="1404"/>
      <c r="B558" s="1404"/>
      <c r="C558" s="1404"/>
      <c r="D558" s="1404"/>
      <c r="E558" s="1404"/>
      <c r="F558" s="1404"/>
      <c r="G558" s="1404"/>
      <c r="H558" s="1404"/>
      <c r="I558" s="1404"/>
      <c r="J558" s="1404"/>
      <c r="K558" s="1404"/>
      <c r="L558" s="1404"/>
      <c r="M558" s="1404"/>
      <c r="N558" s="1404"/>
      <c r="O558" s="1404"/>
      <c r="P558" s="1404"/>
      <c r="Q558" s="1404"/>
      <c r="R558" s="1404"/>
      <c r="S558" s="1404"/>
      <c r="T558" s="1404"/>
      <c r="U558" s="1404"/>
      <c r="V558" s="1404"/>
      <c r="W558" s="1404"/>
      <c r="X558" s="1404"/>
      <c r="Y558" s="1404"/>
      <c r="Z558" s="1404"/>
    </row>
    <row r="559">
      <c r="A559" s="1404"/>
      <c r="B559" s="1404"/>
      <c r="C559" s="1404"/>
      <c r="D559" s="1404"/>
      <c r="E559" s="1404"/>
      <c r="F559" s="1404"/>
      <c r="G559" s="1404"/>
      <c r="H559" s="1404"/>
      <c r="I559" s="1404"/>
      <c r="J559" s="1404"/>
      <c r="K559" s="1404"/>
      <c r="L559" s="1404"/>
      <c r="M559" s="1404"/>
      <c r="N559" s="1404"/>
      <c r="O559" s="1404"/>
      <c r="P559" s="1404"/>
      <c r="Q559" s="1404"/>
      <c r="R559" s="1404"/>
      <c r="S559" s="1404"/>
      <c r="T559" s="1404"/>
      <c r="U559" s="1404"/>
      <c r="V559" s="1404"/>
      <c r="W559" s="1404"/>
      <c r="X559" s="1404"/>
      <c r="Y559" s="1404"/>
      <c r="Z559" s="1404"/>
    </row>
    <row r="560">
      <c r="A560" s="1404"/>
      <c r="B560" s="1404"/>
      <c r="C560" s="1404"/>
      <c r="D560" s="1404"/>
      <c r="E560" s="1404"/>
      <c r="F560" s="1404"/>
      <c r="G560" s="1404"/>
      <c r="H560" s="1404"/>
      <c r="I560" s="1404"/>
      <c r="J560" s="1404"/>
      <c r="K560" s="1404"/>
      <c r="L560" s="1404"/>
      <c r="M560" s="1404"/>
      <c r="N560" s="1404"/>
      <c r="O560" s="1404"/>
      <c r="P560" s="1404"/>
      <c r="Q560" s="1404"/>
      <c r="R560" s="1404"/>
      <c r="S560" s="1404"/>
      <c r="T560" s="1404"/>
      <c r="U560" s="1404"/>
      <c r="V560" s="1404"/>
      <c r="W560" s="1404"/>
      <c r="X560" s="1404"/>
      <c r="Y560" s="1404"/>
      <c r="Z560" s="1404"/>
    </row>
    <row r="561">
      <c r="A561" s="1404"/>
      <c r="B561" s="1404"/>
      <c r="C561" s="1404"/>
      <c r="D561" s="1404"/>
      <c r="E561" s="1404"/>
      <c r="F561" s="1404"/>
      <c r="G561" s="1404"/>
      <c r="H561" s="1404"/>
      <c r="I561" s="1404"/>
      <c r="J561" s="1404"/>
      <c r="K561" s="1404"/>
      <c r="L561" s="1404"/>
      <c r="M561" s="1404"/>
      <c r="N561" s="1404"/>
      <c r="O561" s="1404"/>
      <c r="P561" s="1404"/>
      <c r="Q561" s="1404"/>
      <c r="R561" s="1404"/>
      <c r="S561" s="1404"/>
      <c r="T561" s="1404"/>
      <c r="U561" s="1404"/>
      <c r="V561" s="1404"/>
      <c r="W561" s="1404"/>
      <c r="X561" s="1404"/>
      <c r="Y561" s="1404"/>
      <c r="Z561" s="1404"/>
    </row>
    <row r="562">
      <c r="A562" s="1404"/>
      <c r="B562" s="1404"/>
      <c r="C562" s="1404"/>
      <c r="D562" s="1404"/>
      <c r="E562" s="1404"/>
      <c r="F562" s="1404"/>
      <c r="G562" s="1404"/>
      <c r="H562" s="1404"/>
      <c r="I562" s="1404"/>
      <c r="J562" s="1404"/>
      <c r="K562" s="1404"/>
      <c r="L562" s="1404"/>
      <c r="M562" s="1404"/>
      <c r="N562" s="1404"/>
      <c r="O562" s="1404"/>
      <c r="P562" s="1404"/>
      <c r="Q562" s="1404"/>
      <c r="R562" s="1404"/>
      <c r="S562" s="1404"/>
      <c r="T562" s="1404"/>
      <c r="U562" s="1404"/>
      <c r="V562" s="1404"/>
      <c r="W562" s="1404"/>
      <c r="X562" s="1404"/>
      <c r="Y562" s="1404"/>
      <c r="Z562" s="1404"/>
    </row>
    <row r="563">
      <c r="A563" s="1404"/>
      <c r="B563" s="1404"/>
      <c r="C563" s="1404"/>
      <c r="D563" s="1404"/>
      <c r="E563" s="1404"/>
      <c r="F563" s="1404"/>
      <c r="G563" s="1404"/>
      <c r="H563" s="1404"/>
      <c r="I563" s="1404"/>
      <c r="J563" s="1404"/>
      <c r="K563" s="1404"/>
      <c r="L563" s="1404"/>
      <c r="M563" s="1404"/>
      <c r="N563" s="1404"/>
      <c r="O563" s="1404"/>
      <c r="P563" s="1404"/>
      <c r="Q563" s="1404"/>
      <c r="R563" s="1404"/>
      <c r="S563" s="1404"/>
      <c r="T563" s="1404"/>
      <c r="U563" s="1404"/>
      <c r="V563" s="1404"/>
      <c r="W563" s="1404"/>
      <c r="X563" s="1404"/>
      <c r="Y563" s="1404"/>
      <c r="Z563" s="1404"/>
    </row>
    <row r="564">
      <c r="A564" s="1404"/>
      <c r="B564" s="1404"/>
      <c r="C564" s="1404"/>
      <c r="D564" s="1404"/>
      <c r="E564" s="1404"/>
      <c r="F564" s="1404"/>
      <c r="G564" s="1404"/>
      <c r="H564" s="1404"/>
      <c r="I564" s="1404"/>
      <c r="J564" s="1404"/>
      <c r="K564" s="1404"/>
      <c r="L564" s="1404"/>
      <c r="M564" s="1404"/>
      <c r="N564" s="1404"/>
      <c r="O564" s="1404"/>
      <c r="P564" s="1404"/>
      <c r="Q564" s="1404"/>
      <c r="R564" s="1404"/>
      <c r="S564" s="1404"/>
      <c r="T564" s="1404"/>
      <c r="U564" s="1404"/>
      <c r="V564" s="1404"/>
      <c r="W564" s="1404"/>
      <c r="X564" s="1404"/>
      <c r="Y564" s="1404"/>
      <c r="Z564" s="1404"/>
    </row>
    <row r="565">
      <c r="A565" s="1404"/>
      <c r="B565" s="1404"/>
      <c r="C565" s="1404"/>
      <c r="D565" s="1404"/>
      <c r="E565" s="1404"/>
      <c r="F565" s="1404"/>
      <c r="G565" s="1404"/>
      <c r="H565" s="1404"/>
      <c r="I565" s="1404"/>
      <c r="J565" s="1404"/>
      <c r="K565" s="1404"/>
      <c r="L565" s="1404"/>
      <c r="M565" s="1404"/>
      <c r="N565" s="1404"/>
      <c r="O565" s="1404"/>
      <c r="P565" s="1404"/>
      <c r="Q565" s="1404"/>
      <c r="R565" s="1404"/>
      <c r="S565" s="1404"/>
      <c r="T565" s="1404"/>
      <c r="U565" s="1404"/>
      <c r="V565" s="1404"/>
      <c r="W565" s="1404"/>
      <c r="X565" s="1404"/>
      <c r="Y565" s="1404"/>
      <c r="Z565" s="1404"/>
    </row>
    <row r="566">
      <c r="A566" s="1404"/>
      <c r="B566" s="1404"/>
      <c r="C566" s="1404"/>
      <c r="D566" s="1404"/>
      <c r="E566" s="1404"/>
      <c r="F566" s="1404"/>
      <c r="G566" s="1404"/>
      <c r="H566" s="1404"/>
      <c r="I566" s="1404"/>
      <c r="J566" s="1404"/>
      <c r="K566" s="1404"/>
      <c r="L566" s="1404"/>
      <c r="M566" s="1404"/>
      <c r="N566" s="1404"/>
      <c r="O566" s="1404"/>
      <c r="P566" s="1404"/>
      <c r="Q566" s="1404"/>
      <c r="R566" s="1404"/>
      <c r="S566" s="1404"/>
      <c r="T566" s="1404"/>
      <c r="U566" s="1404"/>
      <c r="V566" s="1404"/>
      <c r="W566" s="1404"/>
      <c r="X566" s="1404"/>
      <c r="Y566" s="1404"/>
      <c r="Z566" s="1404"/>
    </row>
    <row r="567">
      <c r="A567" s="1404"/>
      <c r="B567" s="1404"/>
      <c r="C567" s="1404"/>
      <c r="D567" s="1404"/>
      <c r="E567" s="1404"/>
      <c r="F567" s="1404"/>
      <c r="G567" s="1404"/>
      <c r="H567" s="1404"/>
      <c r="I567" s="1404"/>
      <c r="J567" s="1404"/>
      <c r="K567" s="1404"/>
      <c r="L567" s="1404"/>
      <c r="M567" s="1404"/>
      <c r="N567" s="1404"/>
      <c r="O567" s="1404"/>
      <c r="P567" s="1404"/>
      <c r="Q567" s="1404"/>
      <c r="R567" s="1404"/>
      <c r="S567" s="1404"/>
      <c r="T567" s="1404"/>
      <c r="U567" s="1404"/>
      <c r="V567" s="1404"/>
      <c r="W567" s="1404"/>
      <c r="X567" s="1404"/>
      <c r="Y567" s="1404"/>
      <c r="Z567" s="1404"/>
    </row>
    <row r="568">
      <c r="A568" s="1404"/>
      <c r="B568" s="1404"/>
      <c r="C568" s="1404"/>
      <c r="D568" s="1404"/>
      <c r="E568" s="1404"/>
      <c r="F568" s="1404"/>
      <c r="G568" s="1404"/>
      <c r="H568" s="1404"/>
      <c r="I568" s="1404"/>
      <c r="J568" s="1404"/>
      <c r="K568" s="1404"/>
      <c r="L568" s="1404"/>
      <c r="M568" s="1404"/>
      <c r="N568" s="1404"/>
      <c r="O568" s="1404"/>
      <c r="P568" s="1404"/>
      <c r="Q568" s="1404"/>
      <c r="R568" s="1404"/>
      <c r="S568" s="1404"/>
      <c r="T568" s="1404"/>
      <c r="U568" s="1404"/>
      <c r="V568" s="1404"/>
      <c r="W568" s="1404"/>
      <c r="X568" s="1404"/>
      <c r="Y568" s="1404"/>
      <c r="Z568" s="1404"/>
    </row>
    <row r="569">
      <c r="A569" s="1404"/>
      <c r="B569" s="1404"/>
      <c r="C569" s="1404"/>
      <c r="D569" s="1404"/>
      <c r="E569" s="1404"/>
      <c r="F569" s="1404"/>
      <c r="G569" s="1404"/>
      <c r="H569" s="1404"/>
      <c r="I569" s="1404"/>
      <c r="J569" s="1404"/>
      <c r="K569" s="1404"/>
      <c r="L569" s="1404"/>
      <c r="M569" s="1404"/>
      <c r="N569" s="1404"/>
      <c r="O569" s="1404"/>
      <c r="P569" s="1404"/>
      <c r="Q569" s="1404"/>
      <c r="R569" s="1404"/>
      <c r="S569" s="1404"/>
      <c r="T569" s="1404"/>
      <c r="U569" s="1404"/>
      <c r="V569" s="1404"/>
      <c r="W569" s="1404"/>
      <c r="X569" s="1404"/>
      <c r="Y569" s="1404"/>
      <c r="Z569" s="1404"/>
    </row>
    <row r="570">
      <c r="A570" s="1404"/>
      <c r="B570" s="1404"/>
      <c r="C570" s="1404"/>
      <c r="D570" s="1404"/>
      <c r="E570" s="1404"/>
      <c r="F570" s="1404"/>
      <c r="G570" s="1404"/>
      <c r="H570" s="1404"/>
      <c r="I570" s="1404"/>
      <c r="J570" s="1404"/>
      <c r="K570" s="1404"/>
      <c r="L570" s="1404"/>
      <c r="M570" s="1404"/>
      <c r="N570" s="1404"/>
      <c r="O570" s="1404"/>
      <c r="P570" s="1404"/>
      <c r="Q570" s="1404"/>
      <c r="R570" s="1404"/>
      <c r="S570" s="1404"/>
      <c r="T570" s="1404"/>
      <c r="U570" s="1404"/>
      <c r="V570" s="1404"/>
      <c r="W570" s="1404"/>
      <c r="X570" s="1404"/>
      <c r="Y570" s="1404"/>
      <c r="Z570" s="1404"/>
    </row>
    <row r="571">
      <c r="A571" s="1404"/>
      <c r="B571" s="1404"/>
      <c r="C571" s="1404"/>
      <c r="D571" s="1404"/>
      <c r="E571" s="1404"/>
      <c r="F571" s="1404"/>
      <c r="G571" s="1404"/>
      <c r="H571" s="1404"/>
      <c r="I571" s="1404"/>
      <c r="J571" s="1404"/>
      <c r="K571" s="1404"/>
      <c r="L571" s="1404"/>
      <c r="M571" s="1404"/>
      <c r="N571" s="1404"/>
      <c r="O571" s="1404"/>
      <c r="P571" s="1404"/>
      <c r="Q571" s="1404"/>
      <c r="R571" s="1404"/>
      <c r="S571" s="1404"/>
      <c r="T571" s="1404"/>
      <c r="U571" s="1404"/>
      <c r="V571" s="1404"/>
      <c r="W571" s="1404"/>
      <c r="X571" s="1404"/>
      <c r="Y571" s="1404"/>
      <c r="Z571" s="1404"/>
    </row>
    <row r="572">
      <c r="A572" s="1404"/>
      <c r="B572" s="1404"/>
      <c r="C572" s="1404"/>
      <c r="D572" s="1404"/>
      <c r="E572" s="1404"/>
      <c r="F572" s="1404"/>
      <c r="G572" s="1404"/>
      <c r="H572" s="1404"/>
      <c r="I572" s="1404"/>
      <c r="J572" s="1404"/>
      <c r="K572" s="1404"/>
      <c r="L572" s="1404"/>
      <c r="M572" s="1404"/>
      <c r="N572" s="1404"/>
      <c r="O572" s="1404"/>
      <c r="P572" s="1404"/>
      <c r="Q572" s="1404"/>
      <c r="R572" s="1404"/>
      <c r="S572" s="1404"/>
      <c r="T572" s="1404"/>
      <c r="U572" s="1404"/>
      <c r="V572" s="1404"/>
      <c r="W572" s="1404"/>
      <c r="X572" s="1404"/>
      <c r="Y572" s="1404"/>
      <c r="Z572" s="1404"/>
    </row>
    <row r="573">
      <c r="A573" s="1404"/>
      <c r="B573" s="1404"/>
      <c r="C573" s="1404"/>
      <c r="D573" s="1404"/>
      <c r="E573" s="1404"/>
      <c r="F573" s="1404"/>
      <c r="G573" s="1404"/>
      <c r="H573" s="1404"/>
      <c r="I573" s="1404"/>
      <c r="J573" s="1404"/>
      <c r="K573" s="1404"/>
      <c r="L573" s="1404"/>
      <c r="M573" s="1404"/>
      <c r="N573" s="1404"/>
      <c r="O573" s="1404"/>
      <c r="P573" s="1404"/>
      <c r="Q573" s="1404"/>
      <c r="R573" s="1404"/>
      <c r="S573" s="1404"/>
      <c r="T573" s="1404"/>
      <c r="U573" s="1404"/>
      <c r="V573" s="1404"/>
      <c r="W573" s="1404"/>
      <c r="X573" s="1404"/>
      <c r="Y573" s="1404"/>
      <c r="Z573" s="1404"/>
    </row>
    <row r="574">
      <c r="A574" s="1404"/>
      <c r="B574" s="1404"/>
      <c r="C574" s="1404"/>
      <c r="D574" s="1404"/>
      <c r="E574" s="1404"/>
      <c r="F574" s="1404"/>
      <c r="G574" s="1404"/>
      <c r="H574" s="1404"/>
      <c r="I574" s="1404"/>
      <c r="J574" s="1404"/>
      <c r="K574" s="1404"/>
      <c r="L574" s="1404"/>
      <c r="M574" s="1404"/>
      <c r="N574" s="1404"/>
      <c r="O574" s="1404"/>
      <c r="P574" s="1404"/>
      <c r="Q574" s="1404"/>
      <c r="R574" s="1404"/>
      <c r="S574" s="1404"/>
      <c r="T574" s="1404"/>
      <c r="U574" s="1404"/>
      <c r="V574" s="1404"/>
      <c r="W574" s="1404"/>
      <c r="X574" s="1404"/>
      <c r="Y574" s="1404"/>
      <c r="Z574" s="1404"/>
    </row>
    <row r="575">
      <c r="A575" s="1404"/>
      <c r="B575" s="1404"/>
      <c r="C575" s="1404"/>
      <c r="D575" s="1404"/>
      <c r="E575" s="1404"/>
      <c r="F575" s="1404"/>
      <c r="G575" s="1404"/>
      <c r="H575" s="1404"/>
      <c r="I575" s="1404"/>
      <c r="J575" s="1404"/>
      <c r="K575" s="1404"/>
      <c r="L575" s="1404"/>
      <c r="M575" s="1404"/>
      <c r="N575" s="1404"/>
      <c r="O575" s="1404"/>
      <c r="P575" s="1404"/>
      <c r="Q575" s="1404"/>
      <c r="R575" s="1404"/>
      <c r="S575" s="1404"/>
      <c r="T575" s="1404"/>
      <c r="U575" s="1404"/>
      <c r="V575" s="1404"/>
      <c r="W575" s="1404"/>
      <c r="X575" s="1404"/>
      <c r="Y575" s="1404"/>
      <c r="Z575" s="1404"/>
    </row>
    <row r="576">
      <c r="A576" s="1404"/>
      <c r="B576" s="1404"/>
      <c r="C576" s="1404"/>
      <c r="D576" s="1404"/>
      <c r="E576" s="1404"/>
      <c r="F576" s="1404"/>
      <c r="G576" s="1404"/>
      <c r="H576" s="1404"/>
      <c r="I576" s="1404"/>
      <c r="J576" s="1404"/>
      <c r="K576" s="1404"/>
      <c r="L576" s="1404"/>
      <c r="M576" s="1404"/>
      <c r="N576" s="1404"/>
      <c r="O576" s="1404"/>
      <c r="P576" s="1404"/>
      <c r="Q576" s="1404"/>
      <c r="R576" s="1404"/>
      <c r="S576" s="1404"/>
      <c r="T576" s="1404"/>
      <c r="U576" s="1404"/>
      <c r="V576" s="1404"/>
      <c r="W576" s="1404"/>
      <c r="X576" s="1404"/>
      <c r="Y576" s="1404"/>
      <c r="Z576" s="1404"/>
    </row>
    <row r="577">
      <c r="A577" s="1404"/>
      <c r="B577" s="1404"/>
      <c r="C577" s="1404"/>
      <c r="D577" s="1404"/>
      <c r="E577" s="1404"/>
      <c r="F577" s="1404"/>
      <c r="G577" s="1404"/>
      <c r="H577" s="1404"/>
      <c r="I577" s="1404"/>
      <c r="J577" s="1404"/>
      <c r="K577" s="1404"/>
      <c r="L577" s="1404"/>
      <c r="M577" s="1404"/>
      <c r="N577" s="1404"/>
      <c r="O577" s="1404"/>
      <c r="P577" s="1404"/>
      <c r="Q577" s="1404"/>
      <c r="R577" s="1404"/>
      <c r="S577" s="1404"/>
      <c r="T577" s="1404"/>
      <c r="U577" s="1404"/>
      <c r="V577" s="1404"/>
      <c r="W577" s="1404"/>
      <c r="X577" s="1404"/>
      <c r="Y577" s="1404"/>
      <c r="Z577" s="1404"/>
    </row>
    <row r="578">
      <c r="A578" s="1404"/>
      <c r="B578" s="1404"/>
      <c r="C578" s="1404"/>
      <c r="D578" s="1404"/>
      <c r="E578" s="1404"/>
      <c r="F578" s="1404"/>
      <c r="G578" s="1404"/>
      <c r="H578" s="1404"/>
      <c r="I578" s="1404"/>
      <c r="J578" s="1404"/>
      <c r="K578" s="1404"/>
      <c r="L578" s="1404"/>
      <c r="M578" s="1404"/>
      <c r="N578" s="1404"/>
      <c r="O578" s="1404"/>
      <c r="P578" s="1404"/>
      <c r="Q578" s="1404"/>
      <c r="R578" s="1404"/>
      <c r="S578" s="1404"/>
      <c r="T578" s="1404"/>
      <c r="U578" s="1404"/>
      <c r="V578" s="1404"/>
      <c r="W578" s="1404"/>
      <c r="X578" s="1404"/>
      <c r="Y578" s="1404"/>
      <c r="Z578" s="1404"/>
    </row>
    <row r="579">
      <c r="A579" s="1404"/>
      <c r="B579" s="1404"/>
      <c r="C579" s="1404"/>
      <c r="D579" s="1404"/>
      <c r="E579" s="1404"/>
      <c r="F579" s="1404"/>
      <c r="G579" s="1404"/>
      <c r="H579" s="1404"/>
      <c r="I579" s="1404"/>
      <c r="J579" s="1404"/>
      <c r="K579" s="1404"/>
      <c r="L579" s="1404"/>
      <c r="M579" s="1404"/>
      <c r="N579" s="1404"/>
      <c r="O579" s="1404"/>
      <c r="P579" s="1404"/>
      <c r="Q579" s="1404"/>
      <c r="R579" s="1404"/>
      <c r="S579" s="1404"/>
      <c r="T579" s="1404"/>
      <c r="U579" s="1404"/>
      <c r="V579" s="1404"/>
      <c r="W579" s="1404"/>
      <c r="X579" s="1404"/>
      <c r="Y579" s="1404"/>
      <c r="Z579" s="1404"/>
    </row>
    <row r="580">
      <c r="A580" s="1404"/>
      <c r="B580" s="1404"/>
      <c r="C580" s="1404"/>
      <c r="D580" s="1404"/>
      <c r="E580" s="1404"/>
      <c r="F580" s="1404"/>
      <c r="G580" s="1404"/>
      <c r="H580" s="1404"/>
      <c r="I580" s="1404"/>
      <c r="J580" s="1404"/>
      <c r="K580" s="1404"/>
      <c r="L580" s="1404"/>
      <c r="M580" s="1404"/>
      <c r="N580" s="1404"/>
      <c r="O580" s="1404"/>
      <c r="P580" s="1404"/>
      <c r="Q580" s="1404"/>
      <c r="R580" s="1404"/>
      <c r="S580" s="1404"/>
      <c r="T580" s="1404"/>
      <c r="U580" s="1404"/>
      <c r="V580" s="1404"/>
      <c r="W580" s="1404"/>
      <c r="X580" s="1404"/>
      <c r="Y580" s="1404"/>
      <c r="Z580" s="1404"/>
    </row>
    <row r="581">
      <c r="A581" s="1404"/>
      <c r="B581" s="1404"/>
      <c r="C581" s="1404"/>
      <c r="D581" s="1404"/>
      <c r="E581" s="1404"/>
      <c r="F581" s="1404"/>
      <c r="G581" s="1404"/>
      <c r="H581" s="1404"/>
      <c r="I581" s="1404"/>
      <c r="J581" s="1404"/>
      <c r="K581" s="1404"/>
      <c r="L581" s="1404"/>
      <c r="M581" s="1404"/>
      <c r="N581" s="1404"/>
      <c r="O581" s="1404"/>
      <c r="P581" s="1404"/>
      <c r="Q581" s="1404"/>
      <c r="R581" s="1404"/>
      <c r="S581" s="1404"/>
      <c r="T581" s="1404"/>
      <c r="U581" s="1404"/>
      <c r="V581" s="1404"/>
      <c r="W581" s="1404"/>
      <c r="X581" s="1404"/>
      <c r="Y581" s="1404"/>
      <c r="Z581" s="1404"/>
    </row>
    <row r="582">
      <c r="A582" s="1404"/>
      <c r="B582" s="1404"/>
      <c r="C582" s="1404"/>
      <c r="D582" s="1404"/>
      <c r="E582" s="1404"/>
      <c r="F582" s="1404"/>
      <c r="G582" s="1404"/>
      <c r="H582" s="1404"/>
      <c r="I582" s="1404"/>
      <c r="J582" s="1404"/>
      <c r="K582" s="1404"/>
      <c r="L582" s="1404"/>
      <c r="M582" s="1404"/>
      <c r="N582" s="1404"/>
      <c r="O582" s="1404"/>
      <c r="P582" s="1404"/>
      <c r="Q582" s="1404"/>
      <c r="R582" s="1404"/>
      <c r="S582" s="1404"/>
      <c r="T582" s="1404"/>
      <c r="U582" s="1404"/>
      <c r="V582" s="1404"/>
      <c r="W582" s="1404"/>
      <c r="X582" s="1404"/>
      <c r="Y582" s="1404"/>
      <c r="Z582" s="1404"/>
    </row>
    <row r="583">
      <c r="A583" s="1404"/>
      <c r="B583" s="1404"/>
      <c r="C583" s="1404"/>
      <c r="D583" s="1404"/>
      <c r="E583" s="1404"/>
      <c r="F583" s="1404"/>
      <c r="G583" s="1404"/>
      <c r="H583" s="1404"/>
      <c r="I583" s="1404"/>
      <c r="J583" s="1404"/>
      <c r="K583" s="1404"/>
      <c r="L583" s="1404"/>
      <c r="M583" s="1404"/>
      <c r="N583" s="1404"/>
      <c r="O583" s="1404"/>
      <c r="P583" s="1404"/>
      <c r="Q583" s="1404"/>
      <c r="R583" s="1404"/>
      <c r="S583" s="1404"/>
      <c r="T583" s="1404"/>
      <c r="U583" s="1404"/>
      <c r="V583" s="1404"/>
      <c r="W583" s="1404"/>
      <c r="X583" s="1404"/>
      <c r="Y583" s="1404"/>
      <c r="Z583" s="1404"/>
    </row>
    <row r="584">
      <c r="A584" s="1404"/>
      <c r="B584" s="1404"/>
      <c r="C584" s="1404"/>
      <c r="D584" s="1404"/>
      <c r="E584" s="1404"/>
      <c r="F584" s="1404"/>
      <c r="G584" s="1404"/>
      <c r="H584" s="1404"/>
      <c r="I584" s="1404"/>
      <c r="J584" s="1404"/>
      <c r="K584" s="1404"/>
      <c r="L584" s="1404"/>
      <c r="M584" s="1404"/>
      <c r="N584" s="1404"/>
      <c r="O584" s="1404"/>
      <c r="P584" s="1404"/>
      <c r="Q584" s="1404"/>
      <c r="R584" s="1404"/>
      <c r="S584" s="1404"/>
      <c r="T584" s="1404"/>
      <c r="U584" s="1404"/>
      <c r="V584" s="1404"/>
      <c r="W584" s="1404"/>
      <c r="X584" s="1404"/>
      <c r="Y584" s="1404"/>
      <c r="Z584" s="1404"/>
    </row>
    <row r="585">
      <c r="A585" s="1404"/>
      <c r="B585" s="1404"/>
      <c r="C585" s="1404"/>
      <c r="D585" s="1404"/>
      <c r="E585" s="1404"/>
      <c r="F585" s="1404"/>
      <c r="G585" s="1404"/>
      <c r="H585" s="1404"/>
      <c r="I585" s="1404"/>
      <c r="J585" s="1404"/>
      <c r="K585" s="1404"/>
      <c r="L585" s="1404"/>
      <c r="M585" s="1404"/>
      <c r="N585" s="1404"/>
      <c r="O585" s="1404"/>
      <c r="P585" s="1404"/>
      <c r="Q585" s="1404"/>
      <c r="R585" s="1404"/>
      <c r="S585" s="1404"/>
      <c r="T585" s="1404"/>
      <c r="U585" s="1404"/>
      <c r="V585" s="1404"/>
      <c r="W585" s="1404"/>
      <c r="X585" s="1404"/>
      <c r="Y585" s="1404"/>
      <c r="Z585" s="1404"/>
    </row>
    <row r="586">
      <c r="A586" s="1404"/>
      <c r="B586" s="1404"/>
      <c r="C586" s="1404"/>
      <c r="D586" s="1404"/>
      <c r="E586" s="1404"/>
      <c r="F586" s="1404"/>
      <c r="G586" s="1404"/>
      <c r="H586" s="1404"/>
      <c r="I586" s="1404"/>
      <c r="J586" s="1404"/>
      <c r="K586" s="1404"/>
      <c r="L586" s="1404"/>
      <c r="M586" s="1404"/>
      <c r="N586" s="1404"/>
      <c r="O586" s="1404"/>
      <c r="P586" s="1404"/>
      <c r="Q586" s="1404"/>
      <c r="R586" s="1404"/>
      <c r="S586" s="1404"/>
      <c r="T586" s="1404"/>
      <c r="U586" s="1404"/>
      <c r="V586" s="1404"/>
      <c r="W586" s="1404"/>
      <c r="X586" s="1404"/>
      <c r="Y586" s="1404"/>
      <c r="Z586" s="1404"/>
    </row>
    <row r="587">
      <c r="A587" s="1404"/>
      <c r="B587" s="1404"/>
      <c r="C587" s="1404"/>
      <c r="D587" s="1404"/>
      <c r="E587" s="1404"/>
      <c r="F587" s="1404"/>
      <c r="G587" s="1404"/>
      <c r="H587" s="1404"/>
      <c r="I587" s="1404"/>
      <c r="J587" s="1404"/>
      <c r="K587" s="1404"/>
      <c r="L587" s="1404"/>
      <c r="M587" s="1404"/>
      <c r="N587" s="1404"/>
      <c r="O587" s="1404"/>
      <c r="P587" s="1404"/>
      <c r="Q587" s="1404"/>
      <c r="R587" s="1404"/>
      <c r="S587" s="1404"/>
      <c r="T587" s="1404"/>
      <c r="U587" s="1404"/>
      <c r="V587" s="1404"/>
      <c r="W587" s="1404"/>
      <c r="X587" s="1404"/>
      <c r="Y587" s="1404"/>
      <c r="Z587" s="1404"/>
    </row>
    <row r="588">
      <c r="A588" s="1404"/>
      <c r="B588" s="1404"/>
      <c r="C588" s="1404"/>
      <c r="D588" s="1404"/>
      <c r="E588" s="1404"/>
      <c r="F588" s="1404"/>
      <c r="G588" s="1404"/>
      <c r="H588" s="1404"/>
      <c r="I588" s="1404"/>
      <c r="J588" s="1404"/>
      <c r="K588" s="1404"/>
      <c r="L588" s="1404"/>
      <c r="M588" s="1404"/>
      <c r="N588" s="1404"/>
      <c r="O588" s="1404"/>
      <c r="P588" s="1404"/>
      <c r="Q588" s="1404"/>
      <c r="R588" s="1404"/>
      <c r="S588" s="1404"/>
      <c r="T588" s="1404"/>
      <c r="U588" s="1404"/>
      <c r="V588" s="1404"/>
      <c r="W588" s="1404"/>
      <c r="X588" s="1404"/>
      <c r="Y588" s="1404"/>
      <c r="Z588" s="1404"/>
    </row>
    <row r="589">
      <c r="A589" s="1404"/>
      <c r="B589" s="1404"/>
      <c r="C589" s="1404"/>
      <c r="D589" s="1404"/>
      <c r="E589" s="1404"/>
      <c r="F589" s="1404"/>
      <c r="G589" s="1404"/>
      <c r="H589" s="1404"/>
      <c r="I589" s="1404"/>
      <c r="J589" s="1404"/>
      <c r="K589" s="1404"/>
      <c r="L589" s="1404"/>
      <c r="M589" s="1404"/>
      <c r="N589" s="1404"/>
      <c r="O589" s="1404"/>
      <c r="P589" s="1404"/>
      <c r="Q589" s="1404"/>
      <c r="R589" s="1404"/>
      <c r="S589" s="1404"/>
      <c r="T589" s="1404"/>
      <c r="U589" s="1404"/>
      <c r="V589" s="1404"/>
      <c r="W589" s="1404"/>
      <c r="X589" s="1404"/>
      <c r="Y589" s="1404"/>
      <c r="Z589" s="1404"/>
    </row>
    <row r="590">
      <c r="A590" s="1404"/>
      <c r="B590" s="1404"/>
      <c r="C590" s="1404"/>
      <c r="D590" s="1404"/>
      <c r="E590" s="1404"/>
      <c r="F590" s="1404"/>
      <c r="G590" s="1404"/>
      <c r="H590" s="1404"/>
      <c r="I590" s="1404"/>
      <c r="J590" s="1404"/>
      <c r="K590" s="1404"/>
      <c r="L590" s="1404"/>
      <c r="M590" s="1404"/>
      <c r="N590" s="1404"/>
      <c r="O590" s="1404"/>
      <c r="P590" s="1404"/>
      <c r="Q590" s="1404"/>
      <c r="R590" s="1404"/>
      <c r="S590" s="1404"/>
      <c r="T590" s="1404"/>
      <c r="U590" s="1404"/>
      <c r="V590" s="1404"/>
      <c r="W590" s="1404"/>
      <c r="X590" s="1404"/>
      <c r="Y590" s="1404"/>
      <c r="Z590" s="1404"/>
    </row>
    <row r="591">
      <c r="A591" s="1404"/>
      <c r="B591" s="1404"/>
      <c r="C591" s="1404"/>
      <c r="D591" s="1404"/>
      <c r="E591" s="1404"/>
      <c r="F591" s="1404"/>
      <c r="G591" s="1404"/>
      <c r="H591" s="1404"/>
      <c r="I591" s="1404"/>
      <c r="J591" s="1404"/>
      <c r="K591" s="1404"/>
      <c r="L591" s="1404"/>
      <c r="M591" s="1404"/>
      <c r="N591" s="1404"/>
      <c r="O591" s="1404"/>
      <c r="P591" s="1404"/>
      <c r="Q591" s="1404"/>
      <c r="R591" s="1404"/>
      <c r="S591" s="1404"/>
      <c r="T591" s="1404"/>
      <c r="U591" s="1404"/>
      <c r="V591" s="1404"/>
      <c r="W591" s="1404"/>
      <c r="X591" s="1404"/>
      <c r="Y591" s="1404"/>
      <c r="Z591" s="1404"/>
    </row>
    <row r="592">
      <c r="A592" s="1404"/>
      <c r="B592" s="1404"/>
      <c r="C592" s="1404"/>
      <c r="D592" s="1404"/>
      <c r="E592" s="1404"/>
      <c r="F592" s="1404"/>
      <c r="G592" s="1404"/>
      <c r="H592" s="1404"/>
      <c r="I592" s="1404"/>
      <c r="J592" s="1404"/>
      <c r="K592" s="1404"/>
      <c r="L592" s="1404"/>
      <c r="M592" s="1404"/>
      <c r="N592" s="1404"/>
      <c r="O592" s="1404"/>
      <c r="P592" s="1404"/>
      <c r="Q592" s="1404"/>
      <c r="R592" s="1404"/>
      <c r="S592" s="1404"/>
      <c r="T592" s="1404"/>
      <c r="U592" s="1404"/>
      <c r="V592" s="1404"/>
      <c r="W592" s="1404"/>
      <c r="X592" s="1404"/>
      <c r="Y592" s="1404"/>
      <c r="Z592" s="1404"/>
    </row>
    <row r="593">
      <c r="A593" s="1404"/>
      <c r="B593" s="1404"/>
      <c r="C593" s="1404"/>
      <c r="D593" s="1404"/>
      <c r="E593" s="1404"/>
      <c r="F593" s="1404"/>
      <c r="G593" s="1404"/>
      <c r="H593" s="1404"/>
      <c r="I593" s="1404"/>
      <c r="J593" s="1404"/>
      <c r="K593" s="1404"/>
      <c r="L593" s="1404"/>
      <c r="M593" s="1404"/>
      <c r="N593" s="1404"/>
      <c r="O593" s="1404"/>
      <c r="P593" s="1404"/>
      <c r="Q593" s="1404"/>
      <c r="R593" s="1404"/>
      <c r="S593" s="1404"/>
      <c r="T593" s="1404"/>
      <c r="U593" s="1404"/>
      <c r="V593" s="1404"/>
      <c r="W593" s="1404"/>
      <c r="X593" s="1404"/>
      <c r="Y593" s="1404"/>
      <c r="Z593" s="1404"/>
    </row>
    <row r="594">
      <c r="A594" s="1404"/>
      <c r="B594" s="1404"/>
      <c r="C594" s="1404"/>
      <c r="D594" s="1404"/>
      <c r="E594" s="1404"/>
      <c r="F594" s="1404"/>
      <c r="G594" s="1404"/>
      <c r="H594" s="1404"/>
      <c r="I594" s="1404"/>
      <c r="J594" s="1404"/>
      <c r="K594" s="1404"/>
      <c r="L594" s="1404"/>
      <c r="M594" s="1404"/>
      <c r="N594" s="1404"/>
      <c r="O594" s="1404"/>
      <c r="P594" s="1404"/>
      <c r="Q594" s="1404"/>
      <c r="R594" s="1404"/>
      <c r="S594" s="1404"/>
      <c r="T594" s="1404"/>
      <c r="U594" s="1404"/>
      <c r="V594" s="1404"/>
      <c r="W594" s="1404"/>
      <c r="X594" s="1404"/>
      <c r="Y594" s="1404"/>
      <c r="Z594" s="1404"/>
    </row>
    <row r="595">
      <c r="A595" s="1404"/>
      <c r="B595" s="1404"/>
      <c r="C595" s="1404"/>
      <c r="D595" s="1404"/>
      <c r="E595" s="1404"/>
      <c r="F595" s="1404"/>
      <c r="G595" s="1404"/>
      <c r="H595" s="1404"/>
      <c r="I595" s="1404"/>
      <c r="J595" s="1404"/>
      <c r="K595" s="1404"/>
      <c r="L595" s="1404"/>
      <c r="M595" s="1404"/>
      <c r="N595" s="1404"/>
      <c r="O595" s="1404"/>
      <c r="P595" s="1404"/>
      <c r="Q595" s="1404"/>
      <c r="R595" s="1404"/>
      <c r="S595" s="1404"/>
      <c r="T595" s="1404"/>
      <c r="U595" s="1404"/>
      <c r="V595" s="1404"/>
      <c r="W595" s="1404"/>
      <c r="X595" s="1404"/>
      <c r="Y595" s="1404"/>
      <c r="Z595" s="1404"/>
    </row>
    <row r="596">
      <c r="A596" s="1404"/>
      <c r="B596" s="1404"/>
      <c r="C596" s="1404"/>
      <c r="D596" s="1404"/>
      <c r="E596" s="1404"/>
      <c r="F596" s="1404"/>
      <c r="G596" s="1404"/>
      <c r="H596" s="1404"/>
      <c r="I596" s="1404"/>
      <c r="J596" s="1404"/>
      <c r="K596" s="1404"/>
      <c r="L596" s="1404"/>
      <c r="M596" s="1404"/>
      <c r="N596" s="1404"/>
      <c r="O596" s="1404"/>
      <c r="P596" s="1404"/>
      <c r="Q596" s="1404"/>
      <c r="R596" s="1404"/>
      <c r="S596" s="1404"/>
      <c r="T596" s="1404"/>
      <c r="U596" s="1404"/>
      <c r="V596" s="1404"/>
      <c r="W596" s="1404"/>
      <c r="X596" s="1404"/>
      <c r="Y596" s="1404"/>
      <c r="Z596" s="1404"/>
    </row>
    <row r="597">
      <c r="A597" s="1404"/>
      <c r="B597" s="1404"/>
      <c r="C597" s="1404"/>
      <c r="D597" s="1404"/>
      <c r="E597" s="1404"/>
      <c r="F597" s="1404"/>
      <c r="G597" s="1404"/>
      <c r="H597" s="1404"/>
      <c r="I597" s="1404"/>
      <c r="J597" s="1404"/>
      <c r="K597" s="1404"/>
      <c r="L597" s="1404"/>
      <c r="M597" s="1404"/>
      <c r="N597" s="1404"/>
      <c r="O597" s="1404"/>
      <c r="P597" s="1404"/>
      <c r="Q597" s="1404"/>
      <c r="R597" s="1404"/>
      <c r="S597" s="1404"/>
      <c r="T597" s="1404"/>
      <c r="U597" s="1404"/>
      <c r="V597" s="1404"/>
      <c r="W597" s="1404"/>
      <c r="X597" s="1404"/>
      <c r="Y597" s="1404"/>
      <c r="Z597" s="1404"/>
    </row>
    <row r="598">
      <c r="A598" s="1404"/>
      <c r="B598" s="1404"/>
      <c r="C598" s="1404"/>
      <c r="D598" s="1404"/>
      <c r="E598" s="1404"/>
      <c r="F598" s="1404"/>
      <c r="G598" s="1404"/>
      <c r="H598" s="1404"/>
      <c r="I598" s="1404"/>
      <c r="J598" s="1404"/>
      <c r="K598" s="1404"/>
      <c r="L598" s="1404"/>
      <c r="M598" s="1404"/>
      <c r="N598" s="1404"/>
      <c r="O598" s="1404"/>
      <c r="P598" s="1404"/>
      <c r="Q598" s="1404"/>
      <c r="R598" s="1404"/>
      <c r="S598" s="1404"/>
      <c r="T598" s="1404"/>
      <c r="U598" s="1404"/>
      <c r="V598" s="1404"/>
      <c r="W598" s="1404"/>
      <c r="X598" s="1404"/>
      <c r="Y598" s="1404"/>
      <c r="Z598" s="1404"/>
    </row>
    <row r="599">
      <c r="A599" s="1404"/>
      <c r="B599" s="1404"/>
      <c r="C599" s="1404"/>
      <c r="D599" s="1404"/>
      <c r="E599" s="1404"/>
      <c r="F599" s="1404"/>
      <c r="G599" s="1404"/>
      <c r="H599" s="1404"/>
      <c r="I599" s="1404"/>
      <c r="J599" s="1404"/>
      <c r="K599" s="1404"/>
      <c r="L599" s="1404"/>
      <c r="M599" s="1404"/>
      <c r="N599" s="1404"/>
      <c r="O599" s="1404"/>
      <c r="P599" s="1404"/>
      <c r="Q599" s="1404"/>
      <c r="R599" s="1404"/>
      <c r="S599" s="1404"/>
      <c r="T599" s="1404"/>
      <c r="U599" s="1404"/>
      <c r="V599" s="1404"/>
      <c r="W599" s="1404"/>
      <c r="X599" s="1404"/>
      <c r="Y599" s="1404"/>
      <c r="Z599" s="1404"/>
    </row>
    <row r="600">
      <c r="A600" s="1404"/>
      <c r="B600" s="1404"/>
      <c r="C600" s="1404"/>
      <c r="D600" s="1404"/>
      <c r="E600" s="1404"/>
      <c r="F600" s="1404"/>
      <c r="G600" s="1404"/>
      <c r="H600" s="1404"/>
      <c r="I600" s="1404"/>
      <c r="J600" s="1404"/>
      <c r="K600" s="1404"/>
      <c r="L600" s="1404"/>
      <c r="M600" s="1404"/>
      <c r="N600" s="1404"/>
      <c r="O600" s="1404"/>
      <c r="P600" s="1404"/>
      <c r="Q600" s="1404"/>
      <c r="R600" s="1404"/>
      <c r="S600" s="1404"/>
      <c r="T600" s="1404"/>
      <c r="U600" s="1404"/>
      <c r="V600" s="1404"/>
      <c r="W600" s="1404"/>
      <c r="X600" s="1404"/>
      <c r="Y600" s="1404"/>
      <c r="Z600" s="1404"/>
    </row>
    <row r="601">
      <c r="A601" s="1404"/>
      <c r="B601" s="1404"/>
      <c r="C601" s="1404"/>
      <c r="D601" s="1404"/>
      <c r="E601" s="1404"/>
      <c r="F601" s="1404"/>
      <c r="G601" s="1404"/>
      <c r="H601" s="1404"/>
      <c r="I601" s="1404"/>
      <c r="J601" s="1404"/>
      <c r="K601" s="1404"/>
      <c r="L601" s="1404"/>
      <c r="M601" s="1404"/>
      <c r="N601" s="1404"/>
      <c r="O601" s="1404"/>
      <c r="P601" s="1404"/>
      <c r="Q601" s="1404"/>
      <c r="R601" s="1404"/>
      <c r="S601" s="1404"/>
      <c r="T601" s="1404"/>
      <c r="U601" s="1404"/>
      <c r="V601" s="1404"/>
      <c r="W601" s="1404"/>
      <c r="X601" s="1404"/>
      <c r="Y601" s="1404"/>
      <c r="Z601" s="1404"/>
    </row>
    <row r="602">
      <c r="A602" s="1404"/>
      <c r="B602" s="1404"/>
      <c r="C602" s="1404"/>
      <c r="D602" s="1404"/>
      <c r="E602" s="1404"/>
      <c r="F602" s="1404"/>
      <c r="G602" s="1404"/>
      <c r="H602" s="1404"/>
      <c r="I602" s="1404"/>
      <c r="J602" s="1404"/>
      <c r="K602" s="1404"/>
      <c r="L602" s="1404"/>
      <c r="M602" s="1404"/>
      <c r="N602" s="1404"/>
      <c r="O602" s="1404"/>
      <c r="P602" s="1404"/>
      <c r="Q602" s="1404"/>
      <c r="R602" s="1404"/>
      <c r="S602" s="1404"/>
      <c r="T602" s="1404"/>
      <c r="U602" s="1404"/>
      <c r="V602" s="1404"/>
      <c r="W602" s="1404"/>
      <c r="X602" s="1404"/>
      <c r="Y602" s="1404"/>
      <c r="Z602" s="1404"/>
    </row>
    <row r="603">
      <c r="A603" s="1404"/>
      <c r="B603" s="1404"/>
      <c r="C603" s="1404"/>
      <c r="D603" s="1404"/>
      <c r="E603" s="1404"/>
      <c r="F603" s="1404"/>
      <c r="G603" s="1404"/>
      <c r="H603" s="1404"/>
      <c r="I603" s="1404"/>
      <c r="J603" s="1404"/>
      <c r="K603" s="1404"/>
      <c r="L603" s="1404"/>
      <c r="M603" s="1404"/>
      <c r="N603" s="1404"/>
      <c r="O603" s="1404"/>
      <c r="P603" s="1404"/>
      <c r="Q603" s="1404"/>
      <c r="R603" s="1404"/>
      <c r="S603" s="1404"/>
      <c r="T603" s="1404"/>
      <c r="U603" s="1404"/>
      <c r="V603" s="1404"/>
      <c r="W603" s="1404"/>
      <c r="X603" s="1404"/>
      <c r="Y603" s="1404"/>
      <c r="Z603" s="1404"/>
    </row>
    <row r="604">
      <c r="A604" s="1404"/>
      <c r="B604" s="1404"/>
      <c r="C604" s="1404"/>
      <c r="D604" s="1404"/>
      <c r="E604" s="1404"/>
      <c r="F604" s="1404"/>
      <c r="G604" s="1404"/>
      <c r="H604" s="1404"/>
      <c r="I604" s="1404"/>
      <c r="J604" s="1404"/>
      <c r="K604" s="1404"/>
      <c r="L604" s="1404"/>
      <c r="M604" s="1404"/>
      <c r="N604" s="1404"/>
      <c r="O604" s="1404"/>
      <c r="P604" s="1404"/>
      <c r="Q604" s="1404"/>
      <c r="R604" s="1404"/>
      <c r="S604" s="1404"/>
      <c r="T604" s="1404"/>
      <c r="U604" s="1404"/>
      <c r="V604" s="1404"/>
      <c r="W604" s="1404"/>
      <c r="X604" s="1404"/>
      <c r="Y604" s="1404"/>
      <c r="Z604" s="1404"/>
    </row>
    <row r="605">
      <c r="A605" s="1404"/>
      <c r="B605" s="1404"/>
      <c r="C605" s="1404"/>
      <c r="D605" s="1404"/>
      <c r="E605" s="1404"/>
      <c r="F605" s="1404"/>
      <c r="G605" s="1404"/>
      <c r="H605" s="1404"/>
      <c r="I605" s="1404"/>
      <c r="J605" s="1404"/>
      <c r="K605" s="1404"/>
      <c r="L605" s="1404"/>
      <c r="M605" s="1404"/>
      <c r="N605" s="1404"/>
      <c r="O605" s="1404"/>
      <c r="P605" s="1404"/>
      <c r="Q605" s="1404"/>
      <c r="R605" s="1404"/>
      <c r="S605" s="1404"/>
      <c r="T605" s="1404"/>
      <c r="U605" s="1404"/>
      <c r="V605" s="1404"/>
      <c r="W605" s="1404"/>
      <c r="X605" s="1404"/>
      <c r="Y605" s="1404"/>
      <c r="Z605" s="1404"/>
    </row>
    <row r="606">
      <c r="A606" s="1404"/>
      <c r="B606" s="1404"/>
      <c r="C606" s="1404"/>
      <c r="D606" s="1404"/>
      <c r="E606" s="1404"/>
      <c r="F606" s="1404"/>
      <c r="G606" s="1404"/>
      <c r="H606" s="1404"/>
      <c r="I606" s="1404"/>
      <c r="J606" s="1404"/>
      <c r="K606" s="1404"/>
      <c r="L606" s="1404"/>
      <c r="M606" s="1404"/>
      <c r="N606" s="1404"/>
      <c r="O606" s="1404"/>
      <c r="P606" s="1404"/>
      <c r="Q606" s="1404"/>
      <c r="R606" s="1404"/>
      <c r="S606" s="1404"/>
      <c r="T606" s="1404"/>
      <c r="U606" s="1404"/>
      <c r="V606" s="1404"/>
      <c r="W606" s="1404"/>
      <c r="X606" s="1404"/>
      <c r="Y606" s="1404"/>
      <c r="Z606" s="1404"/>
    </row>
    <row r="607">
      <c r="A607" s="1404"/>
      <c r="B607" s="1404"/>
      <c r="C607" s="1404"/>
      <c r="D607" s="1404"/>
      <c r="E607" s="1404"/>
      <c r="F607" s="1404"/>
      <c r="G607" s="1404"/>
      <c r="H607" s="1404"/>
      <c r="I607" s="1404"/>
      <c r="J607" s="1404"/>
      <c r="K607" s="1404"/>
      <c r="L607" s="1404"/>
      <c r="M607" s="1404"/>
      <c r="N607" s="1404"/>
      <c r="O607" s="1404"/>
      <c r="P607" s="1404"/>
      <c r="Q607" s="1404"/>
      <c r="R607" s="1404"/>
      <c r="S607" s="1404"/>
      <c r="T607" s="1404"/>
      <c r="U607" s="1404"/>
      <c r="V607" s="1404"/>
      <c r="W607" s="1404"/>
      <c r="X607" s="1404"/>
      <c r="Y607" s="1404"/>
      <c r="Z607" s="1404"/>
    </row>
    <row r="608">
      <c r="A608" s="1404"/>
      <c r="B608" s="1404"/>
      <c r="C608" s="1404"/>
      <c r="D608" s="1404"/>
      <c r="E608" s="1404"/>
      <c r="F608" s="1404"/>
      <c r="G608" s="1404"/>
      <c r="H608" s="1404"/>
      <c r="I608" s="1404"/>
      <c r="J608" s="1404"/>
      <c r="K608" s="1404"/>
      <c r="L608" s="1404"/>
      <c r="M608" s="1404"/>
      <c r="N608" s="1404"/>
      <c r="O608" s="1404"/>
      <c r="P608" s="1404"/>
      <c r="Q608" s="1404"/>
      <c r="R608" s="1404"/>
      <c r="S608" s="1404"/>
      <c r="T608" s="1404"/>
      <c r="U608" s="1404"/>
      <c r="V608" s="1404"/>
      <c r="W608" s="1404"/>
      <c r="X608" s="1404"/>
      <c r="Y608" s="1404"/>
      <c r="Z608" s="1404"/>
    </row>
    <row r="609">
      <c r="A609" s="1404"/>
      <c r="B609" s="1404"/>
      <c r="C609" s="1404"/>
      <c r="D609" s="1404"/>
      <c r="E609" s="1404"/>
      <c r="F609" s="1404"/>
      <c r="G609" s="1404"/>
      <c r="H609" s="1404"/>
      <c r="I609" s="1404"/>
      <c r="J609" s="1404"/>
      <c r="K609" s="1404"/>
      <c r="L609" s="1404"/>
      <c r="M609" s="1404"/>
      <c r="N609" s="1404"/>
      <c r="O609" s="1404"/>
      <c r="P609" s="1404"/>
      <c r="Q609" s="1404"/>
      <c r="R609" s="1404"/>
      <c r="S609" s="1404"/>
      <c r="T609" s="1404"/>
      <c r="U609" s="1404"/>
      <c r="V609" s="1404"/>
      <c r="W609" s="1404"/>
      <c r="X609" s="1404"/>
      <c r="Y609" s="1404"/>
      <c r="Z609" s="1404"/>
    </row>
    <row r="610">
      <c r="A610" s="1404"/>
      <c r="B610" s="1404"/>
      <c r="C610" s="1404"/>
      <c r="D610" s="1404"/>
      <c r="E610" s="1404"/>
      <c r="F610" s="1404"/>
      <c r="G610" s="1404"/>
      <c r="H610" s="1404"/>
      <c r="I610" s="1404"/>
      <c r="J610" s="1404"/>
      <c r="K610" s="1404"/>
      <c r="L610" s="1404"/>
      <c r="M610" s="1404"/>
      <c r="N610" s="1404"/>
      <c r="O610" s="1404"/>
      <c r="P610" s="1404"/>
      <c r="Q610" s="1404"/>
      <c r="R610" s="1404"/>
      <c r="S610" s="1404"/>
      <c r="T610" s="1404"/>
      <c r="U610" s="1404"/>
      <c r="V610" s="1404"/>
      <c r="W610" s="1404"/>
      <c r="X610" s="1404"/>
      <c r="Y610" s="1404"/>
      <c r="Z610" s="1404"/>
    </row>
    <row r="611">
      <c r="A611" s="1404"/>
      <c r="B611" s="1404"/>
      <c r="C611" s="1404"/>
      <c r="D611" s="1404"/>
      <c r="E611" s="1404"/>
      <c r="F611" s="1404"/>
      <c r="G611" s="1404"/>
      <c r="H611" s="1404"/>
      <c r="I611" s="1404"/>
      <c r="J611" s="1404"/>
      <c r="K611" s="1404"/>
      <c r="L611" s="1404"/>
      <c r="M611" s="1404"/>
      <c r="N611" s="1404"/>
      <c r="O611" s="1404"/>
      <c r="P611" s="1404"/>
      <c r="Q611" s="1404"/>
      <c r="R611" s="1404"/>
      <c r="S611" s="1404"/>
      <c r="T611" s="1404"/>
      <c r="U611" s="1404"/>
      <c r="V611" s="1404"/>
      <c r="W611" s="1404"/>
      <c r="X611" s="1404"/>
      <c r="Y611" s="1404"/>
      <c r="Z611" s="1404"/>
    </row>
    <row r="612">
      <c r="A612" s="1404"/>
      <c r="B612" s="1404"/>
      <c r="C612" s="1404"/>
      <c r="D612" s="1404"/>
      <c r="E612" s="1404"/>
      <c r="F612" s="1404"/>
      <c r="G612" s="1404"/>
      <c r="H612" s="1404"/>
      <c r="I612" s="1404"/>
      <c r="J612" s="1404"/>
      <c r="K612" s="1404"/>
      <c r="L612" s="1404"/>
      <c r="M612" s="1404"/>
      <c r="N612" s="1404"/>
      <c r="O612" s="1404"/>
      <c r="P612" s="1404"/>
      <c r="Q612" s="1404"/>
      <c r="R612" s="1404"/>
      <c r="S612" s="1404"/>
      <c r="T612" s="1404"/>
      <c r="U612" s="1404"/>
      <c r="V612" s="1404"/>
      <c r="W612" s="1404"/>
      <c r="X612" s="1404"/>
      <c r="Y612" s="1404"/>
      <c r="Z612" s="1404"/>
    </row>
    <row r="613">
      <c r="A613" s="1404"/>
      <c r="B613" s="1404"/>
      <c r="C613" s="1404"/>
      <c r="D613" s="1404"/>
      <c r="E613" s="1404"/>
      <c r="F613" s="1404"/>
      <c r="G613" s="1404"/>
      <c r="H613" s="1404"/>
      <c r="I613" s="1404"/>
      <c r="J613" s="1404"/>
      <c r="K613" s="1404"/>
      <c r="L613" s="1404"/>
      <c r="M613" s="1404"/>
      <c r="N613" s="1404"/>
      <c r="O613" s="1404"/>
      <c r="P613" s="1404"/>
      <c r="Q613" s="1404"/>
      <c r="R613" s="1404"/>
      <c r="S613" s="1404"/>
      <c r="T613" s="1404"/>
      <c r="U613" s="1404"/>
      <c r="V613" s="1404"/>
      <c r="W613" s="1404"/>
      <c r="X613" s="1404"/>
      <c r="Y613" s="1404"/>
      <c r="Z613" s="1404"/>
    </row>
    <row r="614">
      <c r="A614" s="1404"/>
      <c r="B614" s="1404"/>
      <c r="C614" s="1404"/>
      <c r="D614" s="1404"/>
      <c r="E614" s="1404"/>
      <c r="F614" s="1404"/>
      <c r="G614" s="1404"/>
      <c r="H614" s="1404"/>
      <c r="I614" s="1404"/>
      <c r="J614" s="1404"/>
      <c r="K614" s="1404"/>
      <c r="L614" s="1404"/>
      <c r="M614" s="1404"/>
      <c r="N614" s="1404"/>
      <c r="O614" s="1404"/>
      <c r="P614" s="1404"/>
      <c r="Q614" s="1404"/>
      <c r="R614" s="1404"/>
      <c r="S614" s="1404"/>
      <c r="T614" s="1404"/>
      <c r="U614" s="1404"/>
      <c r="V614" s="1404"/>
      <c r="W614" s="1404"/>
      <c r="X614" s="1404"/>
      <c r="Y614" s="1404"/>
      <c r="Z614" s="1404"/>
    </row>
    <row r="615">
      <c r="A615" s="1404"/>
      <c r="B615" s="1404"/>
      <c r="C615" s="1404"/>
      <c r="D615" s="1404"/>
      <c r="E615" s="1404"/>
      <c r="F615" s="1404"/>
      <c r="G615" s="1404"/>
      <c r="H615" s="1404"/>
      <c r="I615" s="1404"/>
      <c r="J615" s="1404"/>
      <c r="K615" s="1404"/>
      <c r="L615" s="1404"/>
      <c r="M615" s="1404"/>
      <c r="N615" s="1404"/>
      <c r="O615" s="1404"/>
      <c r="P615" s="1404"/>
      <c r="Q615" s="1404"/>
      <c r="R615" s="1404"/>
      <c r="S615" s="1404"/>
      <c r="T615" s="1404"/>
      <c r="U615" s="1404"/>
      <c r="V615" s="1404"/>
      <c r="W615" s="1404"/>
      <c r="X615" s="1404"/>
      <c r="Y615" s="1404"/>
      <c r="Z615" s="1404"/>
    </row>
    <row r="616">
      <c r="A616" s="1404"/>
      <c r="B616" s="1404"/>
      <c r="C616" s="1404"/>
      <c r="D616" s="1404"/>
      <c r="E616" s="1404"/>
      <c r="F616" s="1404"/>
      <c r="G616" s="1404"/>
      <c r="H616" s="1404"/>
      <c r="I616" s="1404"/>
      <c r="J616" s="1404"/>
      <c r="K616" s="1404"/>
      <c r="L616" s="1404"/>
      <c r="M616" s="1404"/>
      <c r="N616" s="1404"/>
      <c r="O616" s="1404"/>
      <c r="P616" s="1404"/>
      <c r="Q616" s="1404"/>
      <c r="R616" s="1404"/>
      <c r="S616" s="1404"/>
      <c r="T616" s="1404"/>
      <c r="U616" s="1404"/>
      <c r="V616" s="1404"/>
      <c r="W616" s="1404"/>
      <c r="X616" s="1404"/>
      <c r="Y616" s="1404"/>
      <c r="Z616" s="1404"/>
    </row>
    <row r="617">
      <c r="A617" s="1404"/>
      <c r="B617" s="1404"/>
      <c r="C617" s="1404"/>
      <c r="D617" s="1404"/>
      <c r="E617" s="1404"/>
      <c r="F617" s="1404"/>
      <c r="G617" s="1404"/>
      <c r="H617" s="1404"/>
      <c r="I617" s="1404"/>
      <c r="J617" s="1404"/>
      <c r="K617" s="1404"/>
      <c r="L617" s="1404"/>
      <c r="M617" s="1404"/>
      <c r="N617" s="1404"/>
      <c r="O617" s="1404"/>
      <c r="P617" s="1404"/>
      <c r="Q617" s="1404"/>
      <c r="R617" s="1404"/>
      <c r="S617" s="1404"/>
      <c r="T617" s="1404"/>
      <c r="U617" s="1404"/>
      <c r="V617" s="1404"/>
      <c r="W617" s="1404"/>
      <c r="X617" s="1404"/>
      <c r="Y617" s="1404"/>
      <c r="Z617" s="1404"/>
    </row>
    <row r="618">
      <c r="A618" s="1404"/>
      <c r="B618" s="1404"/>
      <c r="C618" s="1404"/>
      <c r="D618" s="1404"/>
      <c r="E618" s="1404"/>
      <c r="F618" s="1404"/>
      <c r="G618" s="1404"/>
      <c r="H618" s="1404"/>
      <c r="I618" s="1404"/>
      <c r="J618" s="1404"/>
      <c r="K618" s="1404"/>
      <c r="L618" s="1404"/>
      <c r="M618" s="1404"/>
      <c r="N618" s="1404"/>
      <c r="O618" s="1404"/>
      <c r="P618" s="1404"/>
      <c r="Q618" s="1404"/>
      <c r="R618" s="1404"/>
      <c r="S618" s="1404"/>
      <c r="T618" s="1404"/>
      <c r="U618" s="1404"/>
      <c r="V618" s="1404"/>
      <c r="W618" s="1404"/>
      <c r="X618" s="1404"/>
      <c r="Y618" s="1404"/>
      <c r="Z618" s="1404"/>
    </row>
    <row r="619">
      <c r="A619" s="1404"/>
      <c r="B619" s="1404"/>
      <c r="C619" s="1404"/>
      <c r="D619" s="1404"/>
      <c r="E619" s="1404"/>
      <c r="F619" s="1404"/>
      <c r="G619" s="1404"/>
      <c r="H619" s="1404"/>
      <c r="I619" s="1404"/>
      <c r="J619" s="1404"/>
      <c r="K619" s="1404"/>
      <c r="L619" s="1404"/>
      <c r="M619" s="1404"/>
      <c r="N619" s="1404"/>
      <c r="O619" s="1404"/>
      <c r="P619" s="1404"/>
      <c r="Q619" s="1404"/>
      <c r="R619" s="1404"/>
      <c r="S619" s="1404"/>
      <c r="T619" s="1404"/>
      <c r="U619" s="1404"/>
      <c r="V619" s="1404"/>
      <c r="W619" s="1404"/>
      <c r="X619" s="1404"/>
      <c r="Y619" s="1404"/>
      <c r="Z619" s="1404"/>
    </row>
    <row r="620">
      <c r="A620" s="1404"/>
      <c r="B620" s="1404"/>
      <c r="C620" s="1404"/>
      <c r="D620" s="1404"/>
      <c r="E620" s="1404"/>
      <c r="F620" s="1404"/>
      <c r="G620" s="1404"/>
      <c r="H620" s="1404"/>
      <c r="I620" s="1404"/>
      <c r="J620" s="1404"/>
      <c r="K620" s="1404"/>
      <c r="L620" s="1404"/>
      <c r="M620" s="1404"/>
      <c r="N620" s="1404"/>
      <c r="O620" s="1404"/>
      <c r="P620" s="1404"/>
      <c r="Q620" s="1404"/>
      <c r="R620" s="1404"/>
      <c r="S620" s="1404"/>
      <c r="T620" s="1404"/>
      <c r="U620" s="1404"/>
      <c r="V620" s="1404"/>
      <c r="W620" s="1404"/>
      <c r="X620" s="1404"/>
      <c r="Y620" s="1404"/>
      <c r="Z620" s="1404"/>
    </row>
    <row r="621">
      <c r="A621" s="1404"/>
      <c r="B621" s="1404"/>
      <c r="C621" s="1404"/>
      <c r="D621" s="1404"/>
      <c r="E621" s="1404"/>
      <c r="F621" s="1404"/>
      <c r="G621" s="1404"/>
      <c r="H621" s="1404"/>
      <c r="I621" s="1404"/>
      <c r="J621" s="1404"/>
      <c r="K621" s="1404"/>
      <c r="L621" s="1404"/>
      <c r="M621" s="1404"/>
      <c r="N621" s="1404"/>
      <c r="O621" s="1404"/>
      <c r="P621" s="1404"/>
      <c r="Q621" s="1404"/>
      <c r="R621" s="1404"/>
      <c r="S621" s="1404"/>
      <c r="T621" s="1404"/>
      <c r="U621" s="1404"/>
      <c r="V621" s="1404"/>
      <c r="W621" s="1404"/>
      <c r="X621" s="1404"/>
      <c r="Y621" s="1404"/>
      <c r="Z621" s="1404"/>
    </row>
    <row r="622">
      <c r="A622" s="1404"/>
      <c r="B622" s="1404"/>
      <c r="C622" s="1404"/>
      <c r="D622" s="1404"/>
      <c r="E622" s="1404"/>
      <c r="F622" s="1404"/>
      <c r="G622" s="1404"/>
      <c r="H622" s="1404"/>
      <c r="I622" s="1404"/>
      <c r="J622" s="1404"/>
      <c r="K622" s="1404"/>
      <c r="L622" s="1404"/>
      <c r="M622" s="1404"/>
      <c r="N622" s="1404"/>
      <c r="O622" s="1404"/>
      <c r="P622" s="1404"/>
      <c r="Q622" s="1404"/>
      <c r="R622" s="1404"/>
      <c r="S622" s="1404"/>
      <c r="T622" s="1404"/>
      <c r="U622" s="1404"/>
      <c r="V622" s="1404"/>
      <c r="W622" s="1404"/>
      <c r="X622" s="1404"/>
      <c r="Y622" s="1404"/>
      <c r="Z622" s="1404"/>
    </row>
    <row r="623">
      <c r="A623" s="1404"/>
      <c r="B623" s="1404"/>
      <c r="C623" s="1404"/>
      <c r="D623" s="1404"/>
      <c r="E623" s="1404"/>
      <c r="F623" s="1404"/>
      <c r="G623" s="1404"/>
      <c r="H623" s="1404"/>
      <c r="I623" s="1404"/>
      <c r="J623" s="1404"/>
      <c r="K623" s="1404"/>
      <c r="L623" s="1404"/>
      <c r="M623" s="1404"/>
      <c r="N623" s="1404"/>
      <c r="O623" s="1404"/>
      <c r="P623" s="1404"/>
      <c r="Q623" s="1404"/>
      <c r="R623" s="1404"/>
      <c r="S623" s="1404"/>
      <c r="T623" s="1404"/>
      <c r="U623" s="1404"/>
      <c r="V623" s="1404"/>
      <c r="W623" s="1404"/>
      <c r="X623" s="1404"/>
      <c r="Y623" s="1404"/>
      <c r="Z623" s="1404"/>
    </row>
    <row r="624">
      <c r="A624" s="1404"/>
      <c r="B624" s="1404"/>
      <c r="C624" s="1404"/>
      <c r="D624" s="1404"/>
      <c r="E624" s="1404"/>
      <c r="F624" s="1404"/>
      <c r="G624" s="1404"/>
      <c r="H624" s="1404"/>
      <c r="I624" s="1404"/>
      <c r="J624" s="1404"/>
      <c r="K624" s="1404"/>
      <c r="L624" s="1404"/>
      <c r="M624" s="1404"/>
      <c r="N624" s="1404"/>
      <c r="O624" s="1404"/>
      <c r="P624" s="1404"/>
      <c r="Q624" s="1404"/>
      <c r="R624" s="1404"/>
      <c r="S624" s="1404"/>
      <c r="T624" s="1404"/>
      <c r="U624" s="1404"/>
      <c r="V624" s="1404"/>
      <c r="W624" s="1404"/>
      <c r="X624" s="1404"/>
      <c r="Y624" s="1404"/>
      <c r="Z624" s="1404"/>
    </row>
    <row r="625">
      <c r="A625" s="1404"/>
      <c r="B625" s="1404"/>
      <c r="C625" s="1404"/>
      <c r="D625" s="1404"/>
      <c r="E625" s="1404"/>
      <c r="F625" s="1404"/>
      <c r="G625" s="1404"/>
      <c r="H625" s="1404"/>
      <c r="I625" s="1404"/>
      <c r="J625" s="1404"/>
      <c r="K625" s="1404"/>
      <c r="L625" s="1404"/>
      <c r="M625" s="1404"/>
      <c r="N625" s="1404"/>
      <c r="O625" s="1404"/>
      <c r="P625" s="1404"/>
      <c r="Q625" s="1404"/>
      <c r="R625" s="1404"/>
      <c r="S625" s="1404"/>
      <c r="T625" s="1404"/>
      <c r="U625" s="1404"/>
      <c r="V625" s="1404"/>
      <c r="W625" s="1404"/>
      <c r="X625" s="1404"/>
      <c r="Y625" s="1404"/>
      <c r="Z625" s="1404"/>
    </row>
    <row r="626">
      <c r="A626" s="1404"/>
      <c r="B626" s="1404"/>
      <c r="C626" s="1404"/>
      <c r="D626" s="1404"/>
      <c r="E626" s="1404"/>
      <c r="F626" s="1404"/>
      <c r="G626" s="1404"/>
      <c r="H626" s="1404"/>
      <c r="I626" s="1404"/>
      <c r="J626" s="1404"/>
      <c r="K626" s="1404"/>
      <c r="L626" s="1404"/>
      <c r="M626" s="1404"/>
      <c r="N626" s="1404"/>
      <c r="O626" s="1404"/>
      <c r="P626" s="1404"/>
      <c r="Q626" s="1404"/>
      <c r="R626" s="1404"/>
      <c r="S626" s="1404"/>
      <c r="T626" s="1404"/>
      <c r="U626" s="1404"/>
      <c r="V626" s="1404"/>
      <c r="W626" s="1404"/>
      <c r="X626" s="1404"/>
      <c r="Y626" s="1404"/>
      <c r="Z626" s="1404"/>
    </row>
    <row r="627">
      <c r="A627" s="1404"/>
      <c r="B627" s="1404"/>
      <c r="C627" s="1404"/>
      <c r="D627" s="1404"/>
      <c r="E627" s="1404"/>
      <c r="F627" s="1404"/>
      <c r="G627" s="1404"/>
      <c r="H627" s="1404"/>
      <c r="I627" s="1404"/>
      <c r="J627" s="1404"/>
      <c r="K627" s="1404"/>
      <c r="L627" s="1404"/>
      <c r="M627" s="1404"/>
      <c r="N627" s="1404"/>
      <c r="O627" s="1404"/>
      <c r="P627" s="1404"/>
      <c r="Q627" s="1404"/>
      <c r="R627" s="1404"/>
      <c r="S627" s="1404"/>
      <c r="T627" s="1404"/>
      <c r="U627" s="1404"/>
      <c r="V627" s="1404"/>
      <c r="W627" s="1404"/>
      <c r="X627" s="1404"/>
      <c r="Y627" s="1404"/>
      <c r="Z627" s="1404"/>
    </row>
    <row r="628">
      <c r="A628" s="1404"/>
      <c r="B628" s="1404"/>
      <c r="C628" s="1404"/>
      <c r="D628" s="1404"/>
      <c r="E628" s="1404"/>
      <c r="F628" s="1404"/>
      <c r="G628" s="1404"/>
      <c r="H628" s="1404"/>
      <c r="I628" s="1404"/>
      <c r="J628" s="1404"/>
      <c r="K628" s="1404"/>
      <c r="L628" s="1404"/>
      <c r="M628" s="1404"/>
      <c r="N628" s="1404"/>
      <c r="O628" s="1404"/>
      <c r="P628" s="1404"/>
      <c r="Q628" s="1404"/>
      <c r="R628" s="1404"/>
      <c r="S628" s="1404"/>
      <c r="T628" s="1404"/>
      <c r="U628" s="1404"/>
      <c r="V628" s="1404"/>
      <c r="W628" s="1404"/>
      <c r="X628" s="1404"/>
      <c r="Y628" s="1404"/>
      <c r="Z628" s="1404"/>
    </row>
    <row r="629">
      <c r="A629" s="1404"/>
      <c r="B629" s="1404"/>
      <c r="C629" s="1404"/>
      <c r="D629" s="1404"/>
      <c r="E629" s="1404"/>
      <c r="F629" s="1404"/>
      <c r="G629" s="1404"/>
      <c r="H629" s="1404"/>
      <c r="I629" s="1404"/>
      <c r="J629" s="1404"/>
      <c r="K629" s="1404"/>
      <c r="L629" s="1404"/>
      <c r="M629" s="1404"/>
      <c r="N629" s="1404"/>
      <c r="O629" s="1404"/>
      <c r="P629" s="1404"/>
      <c r="Q629" s="1404"/>
      <c r="R629" s="1404"/>
      <c r="S629" s="1404"/>
      <c r="T629" s="1404"/>
      <c r="U629" s="1404"/>
      <c r="V629" s="1404"/>
      <c r="W629" s="1404"/>
      <c r="X629" s="1404"/>
      <c r="Y629" s="1404"/>
      <c r="Z629" s="1404"/>
    </row>
    <row r="630">
      <c r="A630" s="1404"/>
      <c r="B630" s="1404"/>
      <c r="C630" s="1404"/>
      <c r="D630" s="1404"/>
      <c r="E630" s="1404"/>
      <c r="F630" s="1404"/>
      <c r="G630" s="1404"/>
      <c r="H630" s="1404"/>
      <c r="I630" s="1404"/>
      <c r="J630" s="1404"/>
      <c r="K630" s="1404"/>
      <c r="L630" s="1404"/>
      <c r="M630" s="1404"/>
      <c r="N630" s="1404"/>
      <c r="O630" s="1404"/>
      <c r="P630" s="1404"/>
      <c r="Q630" s="1404"/>
      <c r="R630" s="1404"/>
      <c r="S630" s="1404"/>
      <c r="T630" s="1404"/>
      <c r="U630" s="1404"/>
      <c r="V630" s="1404"/>
      <c r="W630" s="1404"/>
      <c r="X630" s="1404"/>
      <c r="Y630" s="1404"/>
      <c r="Z630" s="1404"/>
    </row>
    <row r="631">
      <c r="A631" s="1404"/>
      <c r="B631" s="1404"/>
      <c r="C631" s="1404"/>
      <c r="D631" s="1404"/>
      <c r="E631" s="1404"/>
      <c r="F631" s="1404"/>
      <c r="G631" s="1404"/>
      <c r="H631" s="1404"/>
      <c r="I631" s="1404"/>
      <c r="J631" s="1404"/>
      <c r="K631" s="1404"/>
      <c r="L631" s="1404"/>
      <c r="M631" s="1404"/>
      <c r="N631" s="1404"/>
      <c r="O631" s="1404"/>
      <c r="P631" s="1404"/>
      <c r="Q631" s="1404"/>
      <c r="R631" s="1404"/>
      <c r="S631" s="1404"/>
      <c r="T631" s="1404"/>
      <c r="U631" s="1404"/>
      <c r="V631" s="1404"/>
      <c r="W631" s="1404"/>
      <c r="X631" s="1404"/>
      <c r="Y631" s="1404"/>
      <c r="Z631" s="1404"/>
    </row>
    <row r="632">
      <c r="A632" s="1404"/>
      <c r="B632" s="1404"/>
      <c r="C632" s="1404"/>
      <c r="D632" s="1404"/>
      <c r="E632" s="1404"/>
      <c r="F632" s="1404"/>
      <c r="G632" s="1404"/>
      <c r="H632" s="1404"/>
      <c r="I632" s="1404"/>
      <c r="J632" s="1404"/>
      <c r="K632" s="1404"/>
      <c r="L632" s="1404"/>
      <c r="M632" s="1404"/>
      <c r="N632" s="1404"/>
      <c r="O632" s="1404"/>
      <c r="P632" s="1404"/>
      <c r="Q632" s="1404"/>
      <c r="R632" s="1404"/>
      <c r="S632" s="1404"/>
      <c r="T632" s="1404"/>
      <c r="U632" s="1404"/>
      <c r="V632" s="1404"/>
      <c r="W632" s="1404"/>
      <c r="X632" s="1404"/>
      <c r="Y632" s="1404"/>
      <c r="Z632" s="1404"/>
    </row>
    <row r="633">
      <c r="A633" s="1404"/>
      <c r="B633" s="1404"/>
      <c r="C633" s="1404"/>
      <c r="D633" s="1404"/>
      <c r="E633" s="1404"/>
      <c r="F633" s="1404"/>
      <c r="G633" s="1404"/>
      <c r="H633" s="1404"/>
      <c r="I633" s="1404"/>
      <c r="J633" s="1404"/>
      <c r="K633" s="1404"/>
      <c r="L633" s="1404"/>
      <c r="M633" s="1404"/>
      <c r="N633" s="1404"/>
      <c r="O633" s="1404"/>
      <c r="P633" s="1404"/>
      <c r="Q633" s="1404"/>
      <c r="R633" s="1404"/>
      <c r="S633" s="1404"/>
      <c r="T633" s="1404"/>
      <c r="U633" s="1404"/>
      <c r="V633" s="1404"/>
      <c r="W633" s="1404"/>
      <c r="X633" s="1404"/>
      <c r="Y633" s="1404"/>
      <c r="Z633" s="1404"/>
    </row>
    <row r="634">
      <c r="A634" s="1404"/>
      <c r="B634" s="1404"/>
      <c r="C634" s="1404"/>
      <c r="D634" s="1404"/>
      <c r="E634" s="1404"/>
      <c r="F634" s="1404"/>
      <c r="G634" s="1404"/>
      <c r="H634" s="1404"/>
      <c r="I634" s="1404"/>
      <c r="J634" s="1404"/>
      <c r="K634" s="1404"/>
      <c r="L634" s="1404"/>
      <c r="M634" s="1404"/>
      <c r="N634" s="1404"/>
      <c r="O634" s="1404"/>
      <c r="P634" s="1404"/>
      <c r="Q634" s="1404"/>
      <c r="R634" s="1404"/>
      <c r="S634" s="1404"/>
      <c r="T634" s="1404"/>
      <c r="U634" s="1404"/>
      <c r="V634" s="1404"/>
      <c r="W634" s="1404"/>
      <c r="X634" s="1404"/>
      <c r="Y634" s="1404"/>
      <c r="Z634" s="1404"/>
    </row>
    <row r="635">
      <c r="A635" s="1404"/>
      <c r="B635" s="1404"/>
      <c r="C635" s="1404"/>
      <c r="D635" s="1404"/>
      <c r="E635" s="1404"/>
      <c r="F635" s="1404"/>
      <c r="G635" s="1404"/>
      <c r="H635" s="1404"/>
      <c r="I635" s="1404"/>
      <c r="J635" s="1404"/>
      <c r="K635" s="1404"/>
      <c r="L635" s="1404"/>
      <c r="M635" s="1404"/>
      <c r="N635" s="1404"/>
      <c r="O635" s="1404"/>
      <c r="P635" s="1404"/>
      <c r="Q635" s="1404"/>
      <c r="R635" s="1404"/>
      <c r="S635" s="1404"/>
      <c r="T635" s="1404"/>
      <c r="U635" s="1404"/>
      <c r="V635" s="1404"/>
      <c r="W635" s="1404"/>
      <c r="X635" s="1404"/>
      <c r="Y635" s="1404"/>
      <c r="Z635" s="1404"/>
    </row>
    <row r="636">
      <c r="A636" s="1404"/>
      <c r="B636" s="1404"/>
      <c r="C636" s="1404"/>
      <c r="D636" s="1404"/>
      <c r="E636" s="1404"/>
      <c r="F636" s="1404"/>
      <c r="G636" s="1404"/>
      <c r="H636" s="1404"/>
      <c r="I636" s="1404"/>
      <c r="J636" s="1404"/>
      <c r="K636" s="1404"/>
      <c r="L636" s="1404"/>
      <c r="M636" s="1404"/>
      <c r="N636" s="1404"/>
      <c r="O636" s="1404"/>
      <c r="P636" s="1404"/>
      <c r="Q636" s="1404"/>
      <c r="R636" s="1404"/>
      <c r="S636" s="1404"/>
      <c r="T636" s="1404"/>
      <c r="U636" s="1404"/>
      <c r="V636" s="1404"/>
      <c r="W636" s="1404"/>
      <c r="X636" s="1404"/>
      <c r="Y636" s="1404"/>
      <c r="Z636" s="1404"/>
    </row>
    <row r="637">
      <c r="A637" s="1404"/>
      <c r="B637" s="1404"/>
      <c r="C637" s="1404"/>
      <c r="D637" s="1404"/>
      <c r="E637" s="1404"/>
      <c r="F637" s="1404"/>
      <c r="G637" s="1404"/>
      <c r="H637" s="1404"/>
      <c r="I637" s="1404"/>
      <c r="J637" s="1404"/>
      <c r="K637" s="1404"/>
      <c r="L637" s="1404"/>
      <c r="M637" s="1404"/>
      <c r="N637" s="1404"/>
      <c r="O637" s="1404"/>
      <c r="P637" s="1404"/>
      <c r="Q637" s="1404"/>
      <c r="R637" s="1404"/>
      <c r="S637" s="1404"/>
      <c r="T637" s="1404"/>
      <c r="U637" s="1404"/>
      <c r="V637" s="1404"/>
      <c r="W637" s="1404"/>
      <c r="X637" s="1404"/>
      <c r="Y637" s="1404"/>
      <c r="Z637" s="1404"/>
    </row>
    <row r="638">
      <c r="A638" s="1404"/>
      <c r="B638" s="1404"/>
      <c r="C638" s="1404"/>
      <c r="D638" s="1404"/>
      <c r="E638" s="1404"/>
      <c r="F638" s="1404"/>
      <c r="G638" s="1404"/>
      <c r="H638" s="1404"/>
      <c r="I638" s="1404"/>
      <c r="J638" s="1404"/>
      <c r="K638" s="1404"/>
      <c r="L638" s="1404"/>
      <c r="M638" s="1404"/>
      <c r="N638" s="1404"/>
      <c r="O638" s="1404"/>
      <c r="P638" s="1404"/>
      <c r="Q638" s="1404"/>
      <c r="R638" s="1404"/>
      <c r="S638" s="1404"/>
      <c r="T638" s="1404"/>
      <c r="U638" s="1404"/>
      <c r="V638" s="1404"/>
      <c r="W638" s="1404"/>
      <c r="X638" s="1404"/>
      <c r="Y638" s="1404"/>
      <c r="Z638" s="1404"/>
    </row>
    <row r="639">
      <c r="A639" s="1404"/>
      <c r="B639" s="1404"/>
      <c r="C639" s="1404"/>
      <c r="D639" s="1404"/>
      <c r="E639" s="1404"/>
      <c r="F639" s="1404"/>
      <c r="G639" s="1404"/>
      <c r="H639" s="1404"/>
      <c r="I639" s="1404"/>
      <c r="J639" s="1404"/>
      <c r="K639" s="1404"/>
      <c r="L639" s="1404"/>
      <c r="M639" s="1404"/>
      <c r="N639" s="1404"/>
      <c r="O639" s="1404"/>
      <c r="P639" s="1404"/>
      <c r="Q639" s="1404"/>
      <c r="R639" s="1404"/>
      <c r="S639" s="1404"/>
      <c r="T639" s="1404"/>
      <c r="U639" s="1404"/>
      <c r="V639" s="1404"/>
      <c r="W639" s="1404"/>
      <c r="X639" s="1404"/>
      <c r="Y639" s="1404"/>
      <c r="Z639" s="1404"/>
    </row>
    <row r="640">
      <c r="A640" s="1404"/>
      <c r="B640" s="1404"/>
      <c r="C640" s="1404"/>
      <c r="D640" s="1404"/>
      <c r="E640" s="1404"/>
      <c r="F640" s="1404"/>
      <c r="G640" s="1404"/>
      <c r="H640" s="1404"/>
      <c r="I640" s="1404"/>
      <c r="J640" s="1404"/>
      <c r="K640" s="1404"/>
      <c r="L640" s="1404"/>
      <c r="M640" s="1404"/>
      <c r="N640" s="1404"/>
      <c r="O640" s="1404"/>
      <c r="P640" s="1404"/>
      <c r="Q640" s="1404"/>
      <c r="R640" s="1404"/>
      <c r="S640" s="1404"/>
      <c r="T640" s="1404"/>
      <c r="U640" s="1404"/>
      <c r="V640" s="1404"/>
      <c r="W640" s="1404"/>
      <c r="X640" s="1404"/>
      <c r="Y640" s="1404"/>
      <c r="Z640" s="1404"/>
    </row>
    <row r="641">
      <c r="A641" s="1404"/>
      <c r="B641" s="1404"/>
      <c r="C641" s="1404"/>
      <c r="D641" s="1404"/>
      <c r="E641" s="1404"/>
      <c r="F641" s="1404"/>
      <c r="G641" s="1404"/>
      <c r="H641" s="1404"/>
      <c r="I641" s="1404"/>
      <c r="J641" s="1404"/>
      <c r="K641" s="1404"/>
      <c r="L641" s="1404"/>
      <c r="M641" s="1404"/>
      <c r="N641" s="1404"/>
      <c r="O641" s="1404"/>
      <c r="P641" s="1404"/>
      <c r="Q641" s="1404"/>
      <c r="R641" s="1404"/>
      <c r="S641" s="1404"/>
      <c r="T641" s="1404"/>
      <c r="U641" s="1404"/>
      <c r="V641" s="1404"/>
      <c r="W641" s="1404"/>
      <c r="X641" s="1404"/>
      <c r="Y641" s="1404"/>
      <c r="Z641" s="1404"/>
    </row>
    <row r="642">
      <c r="A642" s="1404"/>
      <c r="B642" s="1404"/>
      <c r="C642" s="1404"/>
      <c r="D642" s="1404"/>
      <c r="E642" s="1404"/>
      <c r="F642" s="1404"/>
      <c r="G642" s="1404"/>
      <c r="H642" s="1404"/>
      <c r="I642" s="1404"/>
      <c r="J642" s="1404"/>
      <c r="K642" s="1404"/>
      <c r="L642" s="1404"/>
      <c r="M642" s="1404"/>
      <c r="N642" s="1404"/>
      <c r="O642" s="1404"/>
      <c r="P642" s="1404"/>
      <c r="Q642" s="1404"/>
      <c r="R642" s="1404"/>
      <c r="S642" s="1404"/>
      <c r="T642" s="1404"/>
      <c r="U642" s="1404"/>
      <c r="V642" s="1404"/>
      <c r="W642" s="1404"/>
      <c r="X642" s="1404"/>
      <c r="Y642" s="1404"/>
      <c r="Z642" s="1404"/>
    </row>
    <row r="643">
      <c r="A643" s="1404"/>
      <c r="B643" s="1404"/>
      <c r="C643" s="1404"/>
      <c r="D643" s="1404"/>
      <c r="E643" s="1404"/>
      <c r="F643" s="1404"/>
      <c r="G643" s="1404"/>
      <c r="H643" s="1404"/>
      <c r="I643" s="1404"/>
      <c r="J643" s="1404"/>
      <c r="K643" s="1404"/>
      <c r="L643" s="1404"/>
      <c r="M643" s="1404"/>
      <c r="N643" s="1404"/>
      <c r="O643" s="1404"/>
      <c r="P643" s="1404"/>
      <c r="Q643" s="1404"/>
      <c r="R643" s="1404"/>
      <c r="S643" s="1404"/>
      <c r="T643" s="1404"/>
      <c r="U643" s="1404"/>
      <c r="V643" s="1404"/>
      <c r="W643" s="1404"/>
      <c r="X643" s="1404"/>
      <c r="Y643" s="1404"/>
      <c r="Z643" s="1404"/>
    </row>
    <row r="644">
      <c r="A644" s="1404"/>
      <c r="B644" s="1404"/>
      <c r="C644" s="1404"/>
      <c r="D644" s="1404"/>
      <c r="E644" s="1404"/>
      <c r="F644" s="1404"/>
      <c r="G644" s="1404"/>
      <c r="H644" s="1404"/>
      <c r="I644" s="1404"/>
      <c r="J644" s="1404"/>
      <c r="K644" s="1404"/>
      <c r="L644" s="1404"/>
      <c r="M644" s="1404"/>
      <c r="N644" s="1404"/>
      <c r="O644" s="1404"/>
      <c r="P644" s="1404"/>
      <c r="Q644" s="1404"/>
      <c r="R644" s="1404"/>
      <c r="S644" s="1404"/>
      <c r="T644" s="1404"/>
      <c r="U644" s="1404"/>
      <c r="V644" s="1404"/>
      <c r="W644" s="1404"/>
      <c r="X644" s="1404"/>
      <c r="Y644" s="1404"/>
      <c r="Z644" s="1404"/>
    </row>
    <row r="645">
      <c r="A645" s="1404"/>
      <c r="B645" s="1404"/>
      <c r="C645" s="1404"/>
      <c r="D645" s="1404"/>
      <c r="E645" s="1404"/>
      <c r="F645" s="1404"/>
      <c r="G645" s="1404"/>
      <c r="H645" s="1404"/>
      <c r="I645" s="1404"/>
      <c r="J645" s="1404"/>
      <c r="K645" s="1404"/>
      <c r="L645" s="1404"/>
      <c r="M645" s="1404"/>
      <c r="N645" s="1404"/>
      <c r="O645" s="1404"/>
      <c r="P645" s="1404"/>
      <c r="Q645" s="1404"/>
      <c r="R645" s="1404"/>
      <c r="S645" s="1404"/>
      <c r="T645" s="1404"/>
      <c r="U645" s="1404"/>
      <c r="V645" s="1404"/>
      <c r="W645" s="1404"/>
      <c r="X645" s="1404"/>
      <c r="Y645" s="1404"/>
      <c r="Z645" s="1404"/>
    </row>
    <row r="646">
      <c r="A646" s="1404"/>
      <c r="B646" s="1404"/>
      <c r="C646" s="1404"/>
      <c r="D646" s="1404"/>
      <c r="E646" s="1404"/>
      <c r="F646" s="1404"/>
      <c r="G646" s="1404"/>
      <c r="H646" s="1404"/>
      <c r="I646" s="1404"/>
      <c r="J646" s="1404"/>
      <c r="K646" s="1404"/>
      <c r="L646" s="1404"/>
      <c r="M646" s="1404"/>
      <c r="N646" s="1404"/>
      <c r="O646" s="1404"/>
      <c r="P646" s="1404"/>
      <c r="Q646" s="1404"/>
      <c r="R646" s="1404"/>
      <c r="S646" s="1404"/>
      <c r="T646" s="1404"/>
      <c r="U646" s="1404"/>
      <c r="V646" s="1404"/>
      <c r="W646" s="1404"/>
      <c r="X646" s="1404"/>
      <c r="Y646" s="1404"/>
      <c r="Z646" s="1404"/>
    </row>
    <row r="647">
      <c r="A647" s="1404"/>
      <c r="B647" s="1404"/>
      <c r="C647" s="1404"/>
      <c r="D647" s="1404"/>
      <c r="E647" s="1404"/>
      <c r="F647" s="1404"/>
      <c r="G647" s="1404"/>
      <c r="H647" s="1404"/>
      <c r="I647" s="1404"/>
      <c r="J647" s="1404"/>
      <c r="K647" s="1404"/>
      <c r="L647" s="1404"/>
      <c r="M647" s="1404"/>
      <c r="N647" s="1404"/>
      <c r="O647" s="1404"/>
      <c r="P647" s="1404"/>
      <c r="Q647" s="1404"/>
      <c r="R647" s="1404"/>
      <c r="S647" s="1404"/>
      <c r="T647" s="1404"/>
      <c r="U647" s="1404"/>
      <c r="V647" s="1404"/>
      <c r="W647" s="1404"/>
      <c r="X647" s="1404"/>
      <c r="Y647" s="1404"/>
      <c r="Z647" s="1404"/>
    </row>
    <row r="648">
      <c r="A648" s="1404"/>
      <c r="B648" s="1404"/>
      <c r="C648" s="1404"/>
      <c r="D648" s="1404"/>
      <c r="E648" s="1404"/>
      <c r="F648" s="1404"/>
      <c r="G648" s="1404"/>
      <c r="H648" s="1404"/>
      <c r="I648" s="1404"/>
      <c r="J648" s="1404"/>
      <c r="K648" s="1404"/>
      <c r="L648" s="1404"/>
      <c r="M648" s="1404"/>
      <c r="N648" s="1404"/>
      <c r="O648" s="1404"/>
      <c r="P648" s="1404"/>
      <c r="Q648" s="1404"/>
      <c r="R648" s="1404"/>
      <c r="S648" s="1404"/>
      <c r="T648" s="1404"/>
      <c r="U648" s="1404"/>
      <c r="V648" s="1404"/>
      <c r="W648" s="1404"/>
      <c r="X648" s="1404"/>
      <c r="Y648" s="1404"/>
      <c r="Z648" s="1404"/>
    </row>
    <row r="649">
      <c r="A649" s="1404"/>
      <c r="B649" s="1404"/>
      <c r="C649" s="1404"/>
      <c r="D649" s="1404"/>
      <c r="E649" s="1404"/>
      <c r="F649" s="1404"/>
      <c r="G649" s="1404"/>
      <c r="H649" s="1404"/>
      <c r="I649" s="1404"/>
      <c r="J649" s="1404"/>
      <c r="K649" s="1404"/>
      <c r="L649" s="1404"/>
      <c r="M649" s="1404"/>
      <c r="N649" s="1404"/>
      <c r="O649" s="1404"/>
      <c r="P649" s="1404"/>
      <c r="Q649" s="1404"/>
      <c r="R649" s="1404"/>
      <c r="S649" s="1404"/>
      <c r="T649" s="1404"/>
      <c r="U649" s="1404"/>
      <c r="V649" s="1404"/>
      <c r="W649" s="1404"/>
      <c r="X649" s="1404"/>
      <c r="Y649" s="1404"/>
      <c r="Z649" s="1404"/>
    </row>
    <row r="650">
      <c r="A650" s="1404"/>
      <c r="B650" s="1404"/>
      <c r="C650" s="1404"/>
      <c r="D650" s="1404"/>
      <c r="E650" s="1404"/>
      <c r="F650" s="1404"/>
      <c r="G650" s="1404"/>
      <c r="H650" s="1404"/>
      <c r="I650" s="1404"/>
      <c r="J650" s="1404"/>
      <c r="K650" s="1404"/>
      <c r="L650" s="1404"/>
      <c r="M650" s="1404"/>
      <c r="N650" s="1404"/>
      <c r="O650" s="1404"/>
      <c r="P650" s="1404"/>
      <c r="Q650" s="1404"/>
      <c r="R650" s="1404"/>
      <c r="S650" s="1404"/>
      <c r="T650" s="1404"/>
      <c r="U650" s="1404"/>
      <c r="V650" s="1404"/>
      <c r="W650" s="1404"/>
      <c r="X650" s="1404"/>
      <c r="Y650" s="1404"/>
      <c r="Z650" s="1404"/>
    </row>
    <row r="651">
      <c r="A651" s="1404"/>
      <c r="B651" s="1404"/>
      <c r="C651" s="1404"/>
      <c r="D651" s="1404"/>
      <c r="E651" s="1404"/>
      <c r="F651" s="1404"/>
      <c r="G651" s="1404"/>
      <c r="H651" s="1404"/>
      <c r="I651" s="1404"/>
      <c r="J651" s="1404"/>
      <c r="K651" s="1404"/>
      <c r="L651" s="1404"/>
      <c r="M651" s="1404"/>
      <c r="N651" s="1404"/>
      <c r="O651" s="1404"/>
      <c r="P651" s="1404"/>
      <c r="Q651" s="1404"/>
      <c r="R651" s="1404"/>
      <c r="S651" s="1404"/>
      <c r="T651" s="1404"/>
      <c r="U651" s="1404"/>
      <c r="V651" s="1404"/>
      <c r="W651" s="1404"/>
      <c r="X651" s="1404"/>
      <c r="Y651" s="1404"/>
      <c r="Z651" s="1404"/>
    </row>
    <row r="652">
      <c r="A652" s="1404"/>
      <c r="B652" s="1404"/>
      <c r="C652" s="1404"/>
      <c r="D652" s="1404"/>
      <c r="E652" s="1404"/>
      <c r="F652" s="1404"/>
      <c r="G652" s="1404"/>
      <c r="H652" s="1404"/>
      <c r="I652" s="1404"/>
      <c r="J652" s="1404"/>
      <c r="K652" s="1404"/>
      <c r="L652" s="1404"/>
      <c r="M652" s="1404"/>
      <c r="N652" s="1404"/>
      <c r="O652" s="1404"/>
      <c r="P652" s="1404"/>
      <c r="Q652" s="1404"/>
      <c r="R652" s="1404"/>
      <c r="S652" s="1404"/>
      <c r="T652" s="1404"/>
      <c r="U652" s="1404"/>
      <c r="V652" s="1404"/>
      <c r="W652" s="1404"/>
      <c r="X652" s="1404"/>
      <c r="Y652" s="1404"/>
      <c r="Z652" s="1404"/>
    </row>
    <row r="653">
      <c r="A653" s="1404"/>
      <c r="B653" s="1404"/>
      <c r="C653" s="1404"/>
      <c r="D653" s="1404"/>
      <c r="E653" s="1404"/>
      <c r="F653" s="1404"/>
      <c r="G653" s="1404"/>
      <c r="H653" s="1404"/>
      <c r="I653" s="1404"/>
      <c r="J653" s="1404"/>
      <c r="K653" s="1404"/>
      <c r="L653" s="1404"/>
      <c r="M653" s="1404"/>
      <c r="N653" s="1404"/>
      <c r="O653" s="1404"/>
      <c r="P653" s="1404"/>
      <c r="Q653" s="1404"/>
      <c r="R653" s="1404"/>
      <c r="S653" s="1404"/>
      <c r="T653" s="1404"/>
      <c r="U653" s="1404"/>
      <c r="V653" s="1404"/>
      <c r="W653" s="1404"/>
      <c r="X653" s="1404"/>
      <c r="Y653" s="1404"/>
      <c r="Z653" s="1404"/>
    </row>
    <row r="654">
      <c r="A654" s="1404"/>
      <c r="B654" s="1404"/>
      <c r="C654" s="1404"/>
      <c r="D654" s="1404"/>
      <c r="E654" s="1404"/>
      <c r="F654" s="1404"/>
      <c r="G654" s="1404"/>
      <c r="H654" s="1404"/>
      <c r="I654" s="1404"/>
      <c r="J654" s="1404"/>
      <c r="K654" s="1404"/>
      <c r="L654" s="1404"/>
      <c r="M654" s="1404"/>
      <c r="N654" s="1404"/>
      <c r="O654" s="1404"/>
      <c r="P654" s="1404"/>
      <c r="Q654" s="1404"/>
      <c r="R654" s="1404"/>
      <c r="S654" s="1404"/>
      <c r="T654" s="1404"/>
      <c r="U654" s="1404"/>
      <c r="V654" s="1404"/>
      <c r="W654" s="1404"/>
      <c r="X654" s="1404"/>
      <c r="Y654" s="1404"/>
      <c r="Z654" s="1404"/>
    </row>
    <row r="655">
      <c r="A655" s="1404"/>
      <c r="B655" s="1404"/>
      <c r="C655" s="1404"/>
      <c r="D655" s="1404"/>
      <c r="E655" s="1404"/>
      <c r="F655" s="1404"/>
      <c r="G655" s="1404"/>
      <c r="H655" s="1404"/>
      <c r="I655" s="1404"/>
      <c r="J655" s="1404"/>
      <c r="K655" s="1404"/>
      <c r="L655" s="1404"/>
      <c r="M655" s="1404"/>
      <c r="N655" s="1404"/>
      <c r="O655" s="1404"/>
      <c r="P655" s="1404"/>
      <c r="Q655" s="1404"/>
      <c r="R655" s="1404"/>
      <c r="S655" s="1404"/>
      <c r="T655" s="1404"/>
      <c r="U655" s="1404"/>
      <c r="V655" s="1404"/>
      <c r="W655" s="1404"/>
      <c r="X655" s="1404"/>
      <c r="Y655" s="1404"/>
      <c r="Z655" s="1404"/>
    </row>
    <row r="656">
      <c r="A656" s="1404"/>
      <c r="B656" s="1404"/>
      <c r="C656" s="1404"/>
      <c r="D656" s="1404"/>
      <c r="E656" s="1404"/>
      <c r="F656" s="1404"/>
      <c r="G656" s="1404"/>
      <c r="H656" s="1404"/>
      <c r="I656" s="1404"/>
      <c r="J656" s="1404"/>
      <c r="K656" s="1404"/>
      <c r="L656" s="1404"/>
      <c r="M656" s="1404"/>
      <c r="N656" s="1404"/>
      <c r="O656" s="1404"/>
      <c r="P656" s="1404"/>
      <c r="Q656" s="1404"/>
      <c r="R656" s="1404"/>
      <c r="S656" s="1404"/>
      <c r="T656" s="1404"/>
      <c r="U656" s="1404"/>
      <c r="V656" s="1404"/>
      <c r="W656" s="1404"/>
      <c r="X656" s="1404"/>
      <c r="Y656" s="1404"/>
      <c r="Z656" s="1404"/>
    </row>
    <row r="657">
      <c r="A657" s="1404"/>
      <c r="B657" s="1404"/>
      <c r="C657" s="1404"/>
      <c r="D657" s="1404"/>
      <c r="E657" s="1404"/>
      <c r="F657" s="1404"/>
      <c r="G657" s="1404"/>
      <c r="H657" s="1404"/>
      <c r="I657" s="1404"/>
      <c r="J657" s="1404"/>
      <c r="K657" s="1404"/>
      <c r="L657" s="1404"/>
      <c r="M657" s="1404"/>
      <c r="N657" s="1404"/>
      <c r="O657" s="1404"/>
      <c r="P657" s="1404"/>
      <c r="Q657" s="1404"/>
      <c r="R657" s="1404"/>
      <c r="S657" s="1404"/>
      <c r="T657" s="1404"/>
      <c r="U657" s="1404"/>
      <c r="V657" s="1404"/>
      <c r="W657" s="1404"/>
      <c r="X657" s="1404"/>
      <c r="Y657" s="1404"/>
      <c r="Z657" s="1404"/>
    </row>
    <row r="658">
      <c r="A658" s="1404"/>
      <c r="B658" s="1404"/>
      <c r="C658" s="1404"/>
      <c r="D658" s="1404"/>
      <c r="E658" s="1404"/>
      <c r="F658" s="1404"/>
      <c r="G658" s="1404"/>
      <c r="H658" s="1404"/>
      <c r="I658" s="1404"/>
      <c r="J658" s="1404"/>
      <c r="K658" s="1404"/>
      <c r="L658" s="1404"/>
      <c r="M658" s="1404"/>
      <c r="N658" s="1404"/>
      <c r="O658" s="1404"/>
      <c r="P658" s="1404"/>
      <c r="Q658" s="1404"/>
      <c r="R658" s="1404"/>
      <c r="S658" s="1404"/>
      <c r="T658" s="1404"/>
      <c r="U658" s="1404"/>
      <c r="V658" s="1404"/>
      <c r="W658" s="1404"/>
      <c r="X658" s="1404"/>
      <c r="Y658" s="1404"/>
      <c r="Z658" s="1404"/>
    </row>
    <row r="659">
      <c r="A659" s="1404"/>
      <c r="B659" s="1404"/>
      <c r="C659" s="1404"/>
      <c r="D659" s="1404"/>
      <c r="E659" s="1404"/>
      <c r="F659" s="1404"/>
      <c r="G659" s="1404"/>
      <c r="H659" s="1404"/>
      <c r="I659" s="1404"/>
      <c r="J659" s="1404"/>
      <c r="K659" s="1404"/>
      <c r="L659" s="1404"/>
      <c r="M659" s="1404"/>
      <c r="N659" s="1404"/>
      <c r="O659" s="1404"/>
      <c r="P659" s="1404"/>
      <c r="Q659" s="1404"/>
      <c r="R659" s="1404"/>
      <c r="S659" s="1404"/>
      <c r="T659" s="1404"/>
      <c r="U659" s="1404"/>
      <c r="V659" s="1404"/>
      <c r="W659" s="1404"/>
      <c r="X659" s="1404"/>
      <c r="Y659" s="1404"/>
      <c r="Z659" s="1404"/>
    </row>
    <row r="660">
      <c r="A660" s="1404"/>
      <c r="B660" s="1404"/>
      <c r="C660" s="1404"/>
      <c r="D660" s="1404"/>
      <c r="E660" s="1404"/>
      <c r="F660" s="1404"/>
      <c r="G660" s="1404"/>
      <c r="H660" s="1404"/>
      <c r="I660" s="1404"/>
      <c r="J660" s="1404"/>
      <c r="K660" s="1404"/>
      <c r="L660" s="1404"/>
      <c r="M660" s="1404"/>
      <c r="N660" s="1404"/>
      <c r="O660" s="1404"/>
      <c r="P660" s="1404"/>
      <c r="Q660" s="1404"/>
      <c r="R660" s="1404"/>
      <c r="S660" s="1404"/>
      <c r="T660" s="1404"/>
      <c r="U660" s="1404"/>
      <c r="V660" s="1404"/>
      <c r="W660" s="1404"/>
      <c r="X660" s="1404"/>
      <c r="Y660" s="1404"/>
      <c r="Z660" s="1404"/>
    </row>
    <row r="661">
      <c r="A661" s="1404"/>
      <c r="B661" s="1404"/>
      <c r="C661" s="1404"/>
      <c r="D661" s="1404"/>
      <c r="E661" s="1404"/>
      <c r="F661" s="1404"/>
      <c r="G661" s="1404"/>
      <c r="H661" s="1404"/>
      <c r="I661" s="1404"/>
      <c r="J661" s="1404"/>
      <c r="K661" s="1404"/>
      <c r="L661" s="1404"/>
      <c r="M661" s="1404"/>
      <c r="N661" s="1404"/>
      <c r="O661" s="1404"/>
      <c r="P661" s="1404"/>
      <c r="Q661" s="1404"/>
      <c r="R661" s="1404"/>
      <c r="S661" s="1404"/>
      <c r="T661" s="1404"/>
      <c r="U661" s="1404"/>
      <c r="V661" s="1404"/>
      <c r="W661" s="1404"/>
      <c r="X661" s="1404"/>
      <c r="Y661" s="1404"/>
      <c r="Z661" s="1404"/>
    </row>
    <row r="662">
      <c r="A662" s="1404"/>
      <c r="B662" s="1404"/>
      <c r="C662" s="1404"/>
      <c r="D662" s="1404"/>
      <c r="E662" s="1404"/>
      <c r="F662" s="1404"/>
      <c r="G662" s="1404"/>
      <c r="H662" s="1404"/>
      <c r="I662" s="1404"/>
      <c r="J662" s="1404"/>
      <c r="K662" s="1404"/>
      <c r="L662" s="1404"/>
      <c r="M662" s="1404"/>
      <c r="N662" s="1404"/>
      <c r="O662" s="1404"/>
      <c r="P662" s="1404"/>
      <c r="Q662" s="1404"/>
      <c r="R662" s="1404"/>
      <c r="S662" s="1404"/>
      <c r="T662" s="1404"/>
      <c r="U662" s="1404"/>
      <c r="V662" s="1404"/>
      <c r="W662" s="1404"/>
      <c r="X662" s="1404"/>
      <c r="Y662" s="1404"/>
      <c r="Z662" s="1404"/>
    </row>
    <row r="663">
      <c r="A663" s="1404"/>
      <c r="B663" s="1404"/>
      <c r="C663" s="1404"/>
      <c r="D663" s="1404"/>
      <c r="E663" s="1404"/>
      <c r="F663" s="1404"/>
      <c r="G663" s="1404"/>
      <c r="H663" s="1404"/>
      <c r="I663" s="1404"/>
      <c r="J663" s="1404"/>
      <c r="K663" s="1404"/>
      <c r="L663" s="1404"/>
      <c r="M663" s="1404"/>
      <c r="N663" s="1404"/>
      <c r="O663" s="1404"/>
      <c r="P663" s="1404"/>
      <c r="Q663" s="1404"/>
      <c r="R663" s="1404"/>
      <c r="S663" s="1404"/>
      <c r="T663" s="1404"/>
      <c r="U663" s="1404"/>
      <c r="V663" s="1404"/>
      <c r="W663" s="1404"/>
      <c r="X663" s="1404"/>
      <c r="Y663" s="1404"/>
      <c r="Z663" s="1404"/>
    </row>
    <row r="664">
      <c r="A664" s="1404"/>
      <c r="B664" s="1404"/>
      <c r="C664" s="1404"/>
      <c r="D664" s="1404"/>
      <c r="E664" s="1404"/>
      <c r="F664" s="1404"/>
      <c r="G664" s="1404"/>
      <c r="H664" s="1404"/>
      <c r="I664" s="1404"/>
      <c r="J664" s="1404"/>
      <c r="K664" s="1404"/>
      <c r="L664" s="1404"/>
      <c r="M664" s="1404"/>
      <c r="N664" s="1404"/>
      <c r="O664" s="1404"/>
      <c r="P664" s="1404"/>
      <c r="Q664" s="1404"/>
      <c r="R664" s="1404"/>
      <c r="S664" s="1404"/>
      <c r="T664" s="1404"/>
      <c r="U664" s="1404"/>
      <c r="V664" s="1404"/>
      <c r="W664" s="1404"/>
      <c r="X664" s="1404"/>
      <c r="Y664" s="1404"/>
      <c r="Z664" s="1404"/>
    </row>
    <row r="665">
      <c r="A665" s="1404"/>
      <c r="B665" s="1404"/>
      <c r="C665" s="1404"/>
      <c r="D665" s="1404"/>
      <c r="E665" s="1404"/>
      <c r="F665" s="1404"/>
      <c r="G665" s="1404"/>
      <c r="H665" s="1404"/>
      <c r="I665" s="1404"/>
      <c r="J665" s="1404"/>
      <c r="K665" s="1404"/>
      <c r="L665" s="1404"/>
      <c r="M665" s="1404"/>
      <c r="N665" s="1404"/>
      <c r="O665" s="1404"/>
      <c r="P665" s="1404"/>
      <c r="Q665" s="1404"/>
      <c r="R665" s="1404"/>
      <c r="S665" s="1404"/>
      <c r="T665" s="1404"/>
      <c r="U665" s="1404"/>
      <c r="V665" s="1404"/>
      <c r="W665" s="1404"/>
      <c r="X665" s="1404"/>
      <c r="Y665" s="1404"/>
      <c r="Z665" s="1404"/>
    </row>
    <row r="666">
      <c r="A666" s="1404"/>
      <c r="B666" s="1404"/>
      <c r="C666" s="1404"/>
      <c r="D666" s="1404"/>
      <c r="E666" s="1404"/>
      <c r="F666" s="1404"/>
      <c r="G666" s="1404"/>
      <c r="H666" s="1404"/>
      <c r="I666" s="1404"/>
      <c r="J666" s="1404"/>
      <c r="K666" s="1404"/>
      <c r="L666" s="1404"/>
      <c r="M666" s="1404"/>
      <c r="N666" s="1404"/>
      <c r="O666" s="1404"/>
      <c r="P666" s="1404"/>
      <c r="Q666" s="1404"/>
      <c r="R666" s="1404"/>
      <c r="S666" s="1404"/>
      <c r="T666" s="1404"/>
      <c r="U666" s="1404"/>
      <c r="V666" s="1404"/>
      <c r="W666" s="1404"/>
      <c r="X666" s="1404"/>
      <c r="Y666" s="1404"/>
      <c r="Z666" s="1404"/>
    </row>
    <row r="667">
      <c r="A667" s="1404"/>
      <c r="B667" s="1404"/>
      <c r="C667" s="1404"/>
      <c r="D667" s="1404"/>
      <c r="E667" s="1404"/>
      <c r="F667" s="1404"/>
      <c r="G667" s="1404"/>
      <c r="H667" s="1404"/>
      <c r="I667" s="1404"/>
      <c r="J667" s="1404"/>
      <c r="K667" s="1404"/>
      <c r="L667" s="1404"/>
      <c r="M667" s="1404"/>
      <c r="N667" s="1404"/>
      <c r="O667" s="1404"/>
      <c r="P667" s="1404"/>
      <c r="Q667" s="1404"/>
      <c r="R667" s="1404"/>
      <c r="S667" s="1404"/>
      <c r="T667" s="1404"/>
      <c r="U667" s="1404"/>
      <c r="V667" s="1404"/>
      <c r="W667" s="1404"/>
      <c r="X667" s="1404"/>
      <c r="Y667" s="1404"/>
      <c r="Z667" s="1404"/>
    </row>
    <row r="668">
      <c r="A668" s="1404"/>
      <c r="B668" s="1404"/>
      <c r="C668" s="1404"/>
      <c r="D668" s="1404"/>
      <c r="E668" s="1404"/>
      <c r="F668" s="1404"/>
      <c r="G668" s="1404"/>
      <c r="H668" s="1404"/>
      <c r="I668" s="1404"/>
      <c r="J668" s="1404"/>
      <c r="K668" s="1404"/>
      <c r="L668" s="1404"/>
      <c r="M668" s="1404"/>
      <c r="N668" s="1404"/>
      <c r="O668" s="1404"/>
      <c r="P668" s="1404"/>
      <c r="Q668" s="1404"/>
      <c r="R668" s="1404"/>
      <c r="S668" s="1404"/>
      <c r="T668" s="1404"/>
      <c r="U668" s="1404"/>
      <c r="V668" s="1404"/>
      <c r="W668" s="1404"/>
      <c r="X668" s="1404"/>
      <c r="Y668" s="1404"/>
      <c r="Z668" s="1404"/>
    </row>
    <row r="669">
      <c r="A669" s="1404"/>
      <c r="B669" s="1404"/>
      <c r="C669" s="1404"/>
      <c r="D669" s="1404"/>
      <c r="E669" s="1404"/>
      <c r="F669" s="1404"/>
      <c r="G669" s="1404"/>
      <c r="H669" s="1404"/>
      <c r="I669" s="1404"/>
      <c r="J669" s="1404"/>
      <c r="K669" s="1404"/>
      <c r="L669" s="1404"/>
      <c r="M669" s="1404"/>
      <c r="N669" s="1404"/>
      <c r="O669" s="1404"/>
      <c r="P669" s="1404"/>
      <c r="Q669" s="1404"/>
      <c r="R669" s="1404"/>
      <c r="S669" s="1404"/>
      <c r="T669" s="1404"/>
      <c r="U669" s="1404"/>
      <c r="V669" s="1404"/>
      <c r="W669" s="1404"/>
      <c r="X669" s="1404"/>
      <c r="Y669" s="1404"/>
      <c r="Z669" s="1404"/>
    </row>
    <row r="670">
      <c r="A670" s="1404"/>
      <c r="B670" s="1404"/>
      <c r="C670" s="1404"/>
      <c r="D670" s="1404"/>
      <c r="E670" s="1404"/>
      <c r="F670" s="1404"/>
      <c r="G670" s="1404"/>
      <c r="H670" s="1404"/>
      <c r="I670" s="1404"/>
      <c r="J670" s="1404"/>
      <c r="K670" s="1404"/>
      <c r="L670" s="1404"/>
      <c r="M670" s="1404"/>
      <c r="N670" s="1404"/>
      <c r="O670" s="1404"/>
      <c r="P670" s="1404"/>
      <c r="Q670" s="1404"/>
      <c r="R670" s="1404"/>
      <c r="S670" s="1404"/>
      <c r="T670" s="1404"/>
      <c r="U670" s="1404"/>
      <c r="V670" s="1404"/>
      <c r="W670" s="1404"/>
      <c r="X670" s="1404"/>
      <c r="Y670" s="1404"/>
      <c r="Z670" s="1404"/>
    </row>
    <row r="671">
      <c r="A671" s="1404"/>
      <c r="B671" s="1404"/>
      <c r="C671" s="1404"/>
      <c r="D671" s="1404"/>
      <c r="E671" s="1404"/>
      <c r="F671" s="1404"/>
      <c r="G671" s="1404"/>
      <c r="H671" s="1404"/>
      <c r="I671" s="1404"/>
      <c r="J671" s="1404"/>
      <c r="K671" s="1404"/>
      <c r="L671" s="1404"/>
      <c r="M671" s="1404"/>
      <c r="N671" s="1404"/>
      <c r="O671" s="1404"/>
      <c r="P671" s="1404"/>
      <c r="Q671" s="1404"/>
      <c r="R671" s="1404"/>
      <c r="S671" s="1404"/>
      <c r="T671" s="1404"/>
      <c r="U671" s="1404"/>
      <c r="V671" s="1404"/>
      <c r="W671" s="1404"/>
      <c r="X671" s="1404"/>
      <c r="Y671" s="1404"/>
      <c r="Z671" s="1404"/>
    </row>
    <row r="672">
      <c r="A672" s="1404"/>
      <c r="B672" s="1404"/>
      <c r="C672" s="1404"/>
      <c r="D672" s="1404"/>
      <c r="E672" s="1404"/>
      <c r="F672" s="1404"/>
      <c r="G672" s="1404"/>
      <c r="H672" s="1404"/>
      <c r="I672" s="1404"/>
      <c r="J672" s="1404"/>
      <c r="K672" s="1404"/>
      <c r="L672" s="1404"/>
      <c r="M672" s="1404"/>
      <c r="N672" s="1404"/>
      <c r="O672" s="1404"/>
      <c r="P672" s="1404"/>
      <c r="Q672" s="1404"/>
      <c r="R672" s="1404"/>
      <c r="S672" s="1404"/>
      <c r="T672" s="1404"/>
      <c r="U672" s="1404"/>
      <c r="V672" s="1404"/>
      <c r="W672" s="1404"/>
      <c r="X672" s="1404"/>
      <c r="Y672" s="1404"/>
      <c r="Z672" s="1404"/>
    </row>
    <row r="673">
      <c r="A673" s="1404"/>
      <c r="B673" s="1404"/>
      <c r="C673" s="1404"/>
      <c r="D673" s="1404"/>
      <c r="E673" s="1404"/>
      <c r="F673" s="1404"/>
      <c r="G673" s="1404"/>
      <c r="H673" s="1404"/>
      <c r="I673" s="1404"/>
      <c r="J673" s="1404"/>
      <c r="K673" s="1404"/>
      <c r="L673" s="1404"/>
      <c r="M673" s="1404"/>
      <c r="N673" s="1404"/>
      <c r="O673" s="1404"/>
      <c r="P673" s="1404"/>
      <c r="Q673" s="1404"/>
      <c r="R673" s="1404"/>
      <c r="S673" s="1404"/>
      <c r="T673" s="1404"/>
      <c r="U673" s="1404"/>
      <c r="V673" s="1404"/>
      <c r="W673" s="1404"/>
      <c r="X673" s="1404"/>
      <c r="Y673" s="1404"/>
      <c r="Z673" s="1404"/>
    </row>
    <row r="674">
      <c r="A674" s="1404"/>
      <c r="B674" s="1404"/>
      <c r="C674" s="1404"/>
      <c r="D674" s="1404"/>
      <c r="E674" s="1404"/>
      <c r="F674" s="1404"/>
      <c r="G674" s="1404"/>
      <c r="H674" s="1404"/>
      <c r="I674" s="1404"/>
      <c r="J674" s="1404"/>
      <c r="K674" s="1404"/>
      <c r="L674" s="1404"/>
      <c r="M674" s="1404"/>
      <c r="N674" s="1404"/>
      <c r="O674" s="1404"/>
      <c r="P674" s="1404"/>
      <c r="Q674" s="1404"/>
      <c r="R674" s="1404"/>
      <c r="S674" s="1404"/>
      <c r="T674" s="1404"/>
      <c r="U674" s="1404"/>
      <c r="V674" s="1404"/>
      <c r="W674" s="1404"/>
      <c r="X674" s="1404"/>
      <c r="Y674" s="1404"/>
      <c r="Z674" s="1404"/>
    </row>
    <row r="675">
      <c r="A675" s="1404"/>
      <c r="B675" s="1404"/>
      <c r="C675" s="1404"/>
      <c r="D675" s="1404"/>
      <c r="E675" s="1404"/>
      <c r="F675" s="1404"/>
      <c r="G675" s="1404"/>
      <c r="H675" s="1404"/>
      <c r="I675" s="1404"/>
      <c r="J675" s="1404"/>
      <c r="K675" s="1404"/>
      <c r="L675" s="1404"/>
      <c r="M675" s="1404"/>
      <c r="N675" s="1404"/>
      <c r="O675" s="1404"/>
      <c r="P675" s="1404"/>
      <c r="Q675" s="1404"/>
      <c r="R675" s="1404"/>
      <c r="S675" s="1404"/>
      <c r="T675" s="1404"/>
      <c r="U675" s="1404"/>
      <c r="V675" s="1404"/>
      <c r="W675" s="1404"/>
      <c r="X675" s="1404"/>
      <c r="Y675" s="1404"/>
      <c r="Z675" s="1404"/>
    </row>
    <row r="676">
      <c r="A676" s="1404"/>
      <c r="B676" s="1404"/>
      <c r="C676" s="1404"/>
      <c r="D676" s="1404"/>
      <c r="E676" s="1404"/>
      <c r="F676" s="1404"/>
      <c r="G676" s="1404"/>
      <c r="H676" s="1404"/>
      <c r="I676" s="1404"/>
      <c r="J676" s="1404"/>
      <c r="K676" s="1404"/>
      <c r="L676" s="1404"/>
      <c r="M676" s="1404"/>
      <c r="N676" s="1404"/>
      <c r="O676" s="1404"/>
      <c r="P676" s="1404"/>
      <c r="Q676" s="1404"/>
      <c r="R676" s="1404"/>
      <c r="S676" s="1404"/>
      <c r="T676" s="1404"/>
      <c r="U676" s="1404"/>
      <c r="V676" s="1404"/>
      <c r="W676" s="1404"/>
      <c r="X676" s="1404"/>
      <c r="Y676" s="1404"/>
      <c r="Z676" s="1404"/>
    </row>
    <row r="677">
      <c r="A677" s="1404"/>
      <c r="B677" s="1404"/>
      <c r="C677" s="1404"/>
      <c r="D677" s="1404"/>
      <c r="E677" s="1404"/>
      <c r="F677" s="1404"/>
      <c r="G677" s="1404"/>
      <c r="H677" s="1404"/>
      <c r="I677" s="1404"/>
      <c r="J677" s="1404"/>
      <c r="K677" s="1404"/>
      <c r="L677" s="1404"/>
      <c r="M677" s="1404"/>
      <c r="N677" s="1404"/>
      <c r="O677" s="1404"/>
      <c r="P677" s="1404"/>
      <c r="Q677" s="1404"/>
      <c r="R677" s="1404"/>
      <c r="S677" s="1404"/>
      <c r="T677" s="1404"/>
      <c r="U677" s="1404"/>
      <c r="V677" s="1404"/>
      <c r="W677" s="1404"/>
      <c r="X677" s="1404"/>
      <c r="Y677" s="1404"/>
      <c r="Z677" s="1404"/>
    </row>
    <row r="678">
      <c r="A678" s="1404"/>
      <c r="B678" s="1404"/>
      <c r="C678" s="1404"/>
      <c r="D678" s="1404"/>
      <c r="E678" s="1404"/>
      <c r="F678" s="1404"/>
      <c r="G678" s="1404"/>
      <c r="H678" s="1404"/>
      <c r="I678" s="1404"/>
      <c r="J678" s="1404"/>
      <c r="K678" s="1404"/>
      <c r="L678" s="1404"/>
      <c r="M678" s="1404"/>
      <c r="N678" s="1404"/>
      <c r="O678" s="1404"/>
      <c r="P678" s="1404"/>
      <c r="Q678" s="1404"/>
      <c r="R678" s="1404"/>
      <c r="S678" s="1404"/>
      <c r="T678" s="1404"/>
      <c r="U678" s="1404"/>
      <c r="V678" s="1404"/>
      <c r="W678" s="1404"/>
      <c r="X678" s="1404"/>
      <c r="Y678" s="1404"/>
      <c r="Z678" s="1404"/>
    </row>
    <row r="679">
      <c r="A679" s="1404"/>
      <c r="B679" s="1404"/>
      <c r="C679" s="1404"/>
      <c r="D679" s="1404"/>
      <c r="E679" s="1404"/>
      <c r="F679" s="1404"/>
      <c r="G679" s="1404"/>
      <c r="H679" s="1404"/>
      <c r="I679" s="1404"/>
      <c r="J679" s="1404"/>
      <c r="K679" s="1404"/>
      <c r="L679" s="1404"/>
      <c r="M679" s="1404"/>
      <c r="N679" s="1404"/>
      <c r="O679" s="1404"/>
      <c r="P679" s="1404"/>
      <c r="Q679" s="1404"/>
      <c r="R679" s="1404"/>
      <c r="S679" s="1404"/>
      <c r="T679" s="1404"/>
      <c r="U679" s="1404"/>
      <c r="V679" s="1404"/>
      <c r="W679" s="1404"/>
      <c r="X679" s="1404"/>
      <c r="Y679" s="1404"/>
      <c r="Z679" s="1404"/>
    </row>
    <row r="680">
      <c r="A680" s="1404"/>
      <c r="B680" s="1404"/>
      <c r="C680" s="1404"/>
      <c r="D680" s="1404"/>
      <c r="E680" s="1404"/>
      <c r="F680" s="1404"/>
      <c r="G680" s="1404"/>
      <c r="H680" s="1404"/>
      <c r="I680" s="1404"/>
      <c r="J680" s="1404"/>
      <c r="K680" s="1404"/>
      <c r="L680" s="1404"/>
      <c r="M680" s="1404"/>
      <c r="N680" s="1404"/>
      <c r="O680" s="1404"/>
      <c r="P680" s="1404"/>
      <c r="Q680" s="1404"/>
      <c r="R680" s="1404"/>
      <c r="S680" s="1404"/>
      <c r="T680" s="1404"/>
      <c r="U680" s="1404"/>
      <c r="V680" s="1404"/>
      <c r="W680" s="1404"/>
      <c r="X680" s="1404"/>
      <c r="Y680" s="1404"/>
      <c r="Z680" s="1404"/>
    </row>
    <row r="681">
      <c r="A681" s="1404"/>
      <c r="B681" s="1404"/>
      <c r="C681" s="1404"/>
      <c r="D681" s="1404"/>
      <c r="E681" s="1404"/>
      <c r="F681" s="1404"/>
      <c r="G681" s="1404"/>
      <c r="H681" s="1404"/>
      <c r="I681" s="1404"/>
      <c r="J681" s="1404"/>
      <c r="K681" s="1404"/>
      <c r="L681" s="1404"/>
      <c r="M681" s="1404"/>
      <c r="N681" s="1404"/>
      <c r="O681" s="1404"/>
      <c r="P681" s="1404"/>
      <c r="Q681" s="1404"/>
      <c r="R681" s="1404"/>
      <c r="S681" s="1404"/>
      <c r="T681" s="1404"/>
      <c r="U681" s="1404"/>
      <c r="V681" s="1404"/>
      <c r="W681" s="1404"/>
      <c r="X681" s="1404"/>
      <c r="Y681" s="1404"/>
      <c r="Z681" s="1404"/>
    </row>
    <row r="682">
      <c r="A682" s="1404"/>
      <c r="B682" s="1404"/>
      <c r="C682" s="1404"/>
      <c r="D682" s="1404"/>
      <c r="E682" s="1404"/>
      <c r="F682" s="1404"/>
      <c r="G682" s="1404"/>
      <c r="H682" s="1404"/>
      <c r="I682" s="1404"/>
      <c r="J682" s="1404"/>
      <c r="K682" s="1404"/>
      <c r="L682" s="1404"/>
      <c r="M682" s="1404"/>
      <c r="N682" s="1404"/>
      <c r="O682" s="1404"/>
      <c r="P682" s="1404"/>
      <c r="Q682" s="1404"/>
      <c r="R682" s="1404"/>
      <c r="S682" s="1404"/>
      <c r="T682" s="1404"/>
      <c r="U682" s="1404"/>
      <c r="V682" s="1404"/>
      <c r="W682" s="1404"/>
      <c r="X682" s="1404"/>
      <c r="Y682" s="1404"/>
      <c r="Z682" s="1404"/>
    </row>
    <row r="683">
      <c r="A683" s="1404"/>
      <c r="B683" s="1404"/>
      <c r="C683" s="1404"/>
      <c r="D683" s="1404"/>
      <c r="E683" s="1404"/>
      <c r="F683" s="1404"/>
      <c r="G683" s="1404"/>
      <c r="H683" s="1404"/>
      <c r="I683" s="1404"/>
      <c r="J683" s="1404"/>
      <c r="K683" s="1404"/>
      <c r="L683" s="1404"/>
      <c r="M683" s="1404"/>
      <c r="N683" s="1404"/>
      <c r="O683" s="1404"/>
      <c r="P683" s="1404"/>
      <c r="Q683" s="1404"/>
      <c r="R683" s="1404"/>
      <c r="S683" s="1404"/>
      <c r="T683" s="1404"/>
      <c r="U683" s="1404"/>
      <c r="V683" s="1404"/>
      <c r="W683" s="1404"/>
      <c r="X683" s="1404"/>
      <c r="Y683" s="1404"/>
      <c r="Z683" s="1404"/>
    </row>
    <row r="684">
      <c r="A684" s="1404"/>
      <c r="B684" s="1404"/>
      <c r="C684" s="1404"/>
      <c r="D684" s="1404"/>
      <c r="E684" s="1404"/>
      <c r="F684" s="1404"/>
      <c r="G684" s="1404"/>
      <c r="H684" s="1404"/>
      <c r="I684" s="1404"/>
      <c r="J684" s="1404"/>
      <c r="K684" s="1404"/>
      <c r="L684" s="1404"/>
      <c r="M684" s="1404"/>
      <c r="N684" s="1404"/>
      <c r="O684" s="1404"/>
      <c r="P684" s="1404"/>
      <c r="Q684" s="1404"/>
      <c r="R684" s="1404"/>
      <c r="S684" s="1404"/>
      <c r="T684" s="1404"/>
      <c r="U684" s="1404"/>
      <c r="V684" s="1404"/>
      <c r="W684" s="1404"/>
      <c r="X684" s="1404"/>
      <c r="Y684" s="1404"/>
      <c r="Z684" s="1404"/>
    </row>
    <row r="685">
      <c r="A685" s="1404"/>
      <c r="B685" s="1404"/>
      <c r="C685" s="1404"/>
      <c r="D685" s="1404"/>
      <c r="E685" s="1404"/>
      <c r="F685" s="1404"/>
      <c r="G685" s="1404"/>
      <c r="H685" s="1404"/>
      <c r="I685" s="1404"/>
      <c r="J685" s="1404"/>
      <c r="K685" s="1404"/>
      <c r="L685" s="1404"/>
      <c r="M685" s="1404"/>
      <c r="N685" s="1404"/>
      <c r="O685" s="1404"/>
      <c r="P685" s="1404"/>
      <c r="Q685" s="1404"/>
      <c r="R685" s="1404"/>
      <c r="S685" s="1404"/>
      <c r="T685" s="1404"/>
      <c r="U685" s="1404"/>
      <c r="V685" s="1404"/>
      <c r="W685" s="1404"/>
      <c r="X685" s="1404"/>
      <c r="Y685" s="1404"/>
      <c r="Z685" s="1404"/>
    </row>
    <row r="686">
      <c r="A686" s="1404"/>
      <c r="B686" s="1404"/>
      <c r="C686" s="1404"/>
      <c r="D686" s="1404"/>
      <c r="E686" s="1404"/>
      <c r="F686" s="1404"/>
      <c r="G686" s="1404"/>
      <c r="H686" s="1404"/>
      <c r="I686" s="1404"/>
      <c r="J686" s="1404"/>
      <c r="K686" s="1404"/>
      <c r="L686" s="1404"/>
      <c r="M686" s="1404"/>
      <c r="N686" s="1404"/>
      <c r="O686" s="1404"/>
      <c r="P686" s="1404"/>
      <c r="Q686" s="1404"/>
      <c r="R686" s="1404"/>
      <c r="S686" s="1404"/>
      <c r="T686" s="1404"/>
      <c r="U686" s="1404"/>
      <c r="V686" s="1404"/>
      <c r="W686" s="1404"/>
      <c r="X686" s="1404"/>
      <c r="Y686" s="1404"/>
      <c r="Z686" s="1404"/>
    </row>
    <row r="687">
      <c r="A687" s="1404"/>
      <c r="B687" s="1404"/>
      <c r="C687" s="1404"/>
      <c r="D687" s="1404"/>
      <c r="E687" s="1404"/>
      <c r="F687" s="1404"/>
      <c r="G687" s="1404"/>
      <c r="H687" s="1404"/>
      <c r="I687" s="1404"/>
      <c r="J687" s="1404"/>
      <c r="K687" s="1404"/>
      <c r="L687" s="1404"/>
      <c r="M687" s="1404"/>
      <c r="N687" s="1404"/>
      <c r="O687" s="1404"/>
      <c r="P687" s="1404"/>
      <c r="Q687" s="1404"/>
      <c r="R687" s="1404"/>
      <c r="S687" s="1404"/>
      <c r="T687" s="1404"/>
      <c r="U687" s="1404"/>
      <c r="V687" s="1404"/>
      <c r="W687" s="1404"/>
      <c r="X687" s="1404"/>
      <c r="Y687" s="1404"/>
      <c r="Z687" s="1404"/>
    </row>
    <row r="688">
      <c r="A688" s="1404"/>
      <c r="B688" s="1404"/>
      <c r="C688" s="1404"/>
      <c r="D688" s="1404"/>
      <c r="E688" s="1404"/>
      <c r="F688" s="1404"/>
      <c r="G688" s="1404"/>
      <c r="H688" s="1404"/>
      <c r="I688" s="1404"/>
      <c r="J688" s="1404"/>
      <c r="K688" s="1404"/>
      <c r="L688" s="1404"/>
      <c r="M688" s="1404"/>
      <c r="N688" s="1404"/>
      <c r="O688" s="1404"/>
      <c r="P688" s="1404"/>
      <c r="Q688" s="1404"/>
      <c r="R688" s="1404"/>
      <c r="S688" s="1404"/>
      <c r="T688" s="1404"/>
      <c r="U688" s="1404"/>
      <c r="V688" s="1404"/>
      <c r="W688" s="1404"/>
      <c r="X688" s="1404"/>
      <c r="Y688" s="1404"/>
      <c r="Z688" s="1404"/>
    </row>
    <row r="689">
      <c r="A689" s="1404"/>
      <c r="B689" s="1404"/>
      <c r="C689" s="1404"/>
      <c r="D689" s="1404"/>
      <c r="E689" s="1404"/>
      <c r="F689" s="1404"/>
      <c r="G689" s="1404"/>
      <c r="H689" s="1404"/>
      <c r="I689" s="1404"/>
      <c r="J689" s="1404"/>
      <c r="K689" s="1404"/>
      <c r="L689" s="1404"/>
      <c r="M689" s="1404"/>
      <c r="N689" s="1404"/>
      <c r="O689" s="1404"/>
      <c r="P689" s="1404"/>
      <c r="Q689" s="1404"/>
      <c r="R689" s="1404"/>
      <c r="S689" s="1404"/>
      <c r="T689" s="1404"/>
      <c r="U689" s="1404"/>
      <c r="V689" s="1404"/>
      <c r="W689" s="1404"/>
      <c r="X689" s="1404"/>
      <c r="Y689" s="1404"/>
      <c r="Z689" s="1404"/>
    </row>
    <row r="690">
      <c r="A690" s="1404"/>
      <c r="B690" s="1404"/>
      <c r="C690" s="1404"/>
      <c r="D690" s="1404"/>
      <c r="E690" s="1404"/>
      <c r="F690" s="1404"/>
      <c r="G690" s="1404"/>
      <c r="H690" s="1404"/>
      <c r="I690" s="1404"/>
      <c r="J690" s="1404"/>
      <c r="K690" s="1404"/>
      <c r="L690" s="1404"/>
      <c r="M690" s="1404"/>
      <c r="N690" s="1404"/>
      <c r="O690" s="1404"/>
      <c r="P690" s="1404"/>
      <c r="Q690" s="1404"/>
      <c r="R690" s="1404"/>
      <c r="S690" s="1404"/>
      <c r="T690" s="1404"/>
      <c r="U690" s="1404"/>
      <c r="V690" s="1404"/>
      <c r="W690" s="1404"/>
      <c r="X690" s="1404"/>
      <c r="Y690" s="1404"/>
      <c r="Z690" s="1404"/>
    </row>
    <row r="691">
      <c r="A691" s="1404"/>
      <c r="B691" s="1404"/>
      <c r="C691" s="1404"/>
      <c r="D691" s="1404"/>
      <c r="E691" s="1404"/>
      <c r="F691" s="1404"/>
      <c r="G691" s="1404"/>
      <c r="H691" s="1404"/>
      <c r="I691" s="1404"/>
      <c r="J691" s="1404"/>
      <c r="K691" s="1404"/>
      <c r="L691" s="1404"/>
      <c r="M691" s="1404"/>
      <c r="N691" s="1404"/>
      <c r="O691" s="1404"/>
      <c r="P691" s="1404"/>
      <c r="Q691" s="1404"/>
      <c r="R691" s="1404"/>
      <c r="S691" s="1404"/>
      <c r="T691" s="1404"/>
      <c r="U691" s="1404"/>
      <c r="V691" s="1404"/>
      <c r="W691" s="1404"/>
      <c r="X691" s="1404"/>
      <c r="Y691" s="1404"/>
      <c r="Z691" s="1404"/>
    </row>
    <row r="692">
      <c r="A692" s="1404"/>
      <c r="B692" s="1404"/>
      <c r="C692" s="1404"/>
      <c r="D692" s="1404"/>
      <c r="E692" s="1404"/>
      <c r="F692" s="1404"/>
      <c r="G692" s="1404"/>
      <c r="H692" s="1404"/>
      <c r="I692" s="1404"/>
      <c r="J692" s="1404"/>
      <c r="K692" s="1404"/>
      <c r="L692" s="1404"/>
      <c r="M692" s="1404"/>
      <c r="N692" s="1404"/>
      <c r="O692" s="1404"/>
      <c r="P692" s="1404"/>
      <c r="Q692" s="1404"/>
      <c r="R692" s="1404"/>
      <c r="S692" s="1404"/>
      <c r="T692" s="1404"/>
      <c r="U692" s="1404"/>
      <c r="V692" s="1404"/>
      <c r="W692" s="1404"/>
      <c r="X692" s="1404"/>
      <c r="Y692" s="1404"/>
      <c r="Z692" s="1404"/>
    </row>
    <row r="693">
      <c r="A693" s="1404"/>
      <c r="B693" s="1404"/>
      <c r="C693" s="1404"/>
      <c r="D693" s="1404"/>
      <c r="E693" s="1404"/>
      <c r="F693" s="1404"/>
      <c r="G693" s="1404"/>
      <c r="H693" s="1404"/>
      <c r="I693" s="1404"/>
      <c r="J693" s="1404"/>
      <c r="K693" s="1404"/>
      <c r="L693" s="1404"/>
      <c r="M693" s="1404"/>
      <c r="N693" s="1404"/>
      <c r="O693" s="1404"/>
      <c r="P693" s="1404"/>
      <c r="Q693" s="1404"/>
      <c r="R693" s="1404"/>
      <c r="S693" s="1404"/>
      <c r="T693" s="1404"/>
      <c r="U693" s="1404"/>
      <c r="V693" s="1404"/>
      <c r="W693" s="1404"/>
      <c r="X693" s="1404"/>
      <c r="Y693" s="1404"/>
      <c r="Z693" s="1404"/>
    </row>
    <row r="694">
      <c r="A694" s="1404"/>
      <c r="B694" s="1404"/>
      <c r="C694" s="1404"/>
      <c r="D694" s="1404"/>
      <c r="E694" s="1404"/>
      <c r="F694" s="1404"/>
      <c r="G694" s="1404"/>
      <c r="H694" s="1404"/>
      <c r="I694" s="1404"/>
      <c r="J694" s="1404"/>
      <c r="K694" s="1404"/>
      <c r="L694" s="1404"/>
      <c r="M694" s="1404"/>
      <c r="N694" s="1404"/>
      <c r="O694" s="1404"/>
      <c r="P694" s="1404"/>
      <c r="Q694" s="1404"/>
      <c r="R694" s="1404"/>
      <c r="S694" s="1404"/>
      <c r="T694" s="1404"/>
      <c r="U694" s="1404"/>
      <c r="V694" s="1404"/>
      <c r="W694" s="1404"/>
      <c r="X694" s="1404"/>
      <c r="Y694" s="1404"/>
      <c r="Z694" s="1404"/>
    </row>
    <row r="695">
      <c r="A695" s="1404"/>
      <c r="B695" s="1404"/>
      <c r="C695" s="1404"/>
      <c r="D695" s="1404"/>
      <c r="E695" s="1404"/>
      <c r="F695" s="1404"/>
      <c r="G695" s="1404"/>
      <c r="H695" s="1404"/>
      <c r="I695" s="1404"/>
      <c r="J695" s="1404"/>
      <c r="K695" s="1404"/>
      <c r="L695" s="1404"/>
      <c r="M695" s="1404"/>
      <c r="N695" s="1404"/>
      <c r="O695" s="1404"/>
      <c r="P695" s="1404"/>
      <c r="Q695" s="1404"/>
      <c r="R695" s="1404"/>
      <c r="S695" s="1404"/>
      <c r="T695" s="1404"/>
      <c r="U695" s="1404"/>
      <c r="V695" s="1404"/>
      <c r="W695" s="1404"/>
      <c r="X695" s="1404"/>
      <c r="Y695" s="1404"/>
      <c r="Z695" s="1404"/>
    </row>
    <row r="696">
      <c r="A696" s="1404"/>
      <c r="B696" s="1404"/>
      <c r="C696" s="1404"/>
      <c r="D696" s="1404"/>
      <c r="E696" s="1404"/>
      <c r="F696" s="1404"/>
      <c r="G696" s="1404"/>
      <c r="H696" s="1404"/>
      <c r="I696" s="1404"/>
      <c r="J696" s="1404"/>
      <c r="K696" s="1404"/>
      <c r="L696" s="1404"/>
      <c r="M696" s="1404"/>
      <c r="N696" s="1404"/>
      <c r="O696" s="1404"/>
      <c r="P696" s="1404"/>
      <c r="Q696" s="1404"/>
      <c r="R696" s="1404"/>
      <c r="S696" s="1404"/>
      <c r="T696" s="1404"/>
      <c r="U696" s="1404"/>
      <c r="V696" s="1404"/>
      <c r="W696" s="1404"/>
      <c r="X696" s="1404"/>
      <c r="Y696" s="1404"/>
      <c r="Z696" s="1404"/>
    </row>
    <row r="697">
      <c r="A697" s="1404"/>
      <c r="B697" s="1404"/>
      <c r="C697" s="1404"/>
      <c r="D697" s="1404"/>
      <c r="E697" s="1404"/>
      <c r="F697" s="1404"/>
      <c r="G697" s="1404"/>
      <c r="H697" s="1404"/>
      <c r="I697" s="1404"/>
      <c r="J697" s="1404"/>
      <c r="K697" s="1404"/>
      <c r="L697" s="1404"/>
      <c r="M697" s="1404"/>
      <c r="N697" s="1404"/>
      <c r="O697" s="1404"/>
      <c r="P697" s="1404"/>
      <c r="Q697" s="1404"/>
      <c r="R697" s="1404"/>
      <c r="S697" s="1404"/>
      <c r="T697" s="1404"/>
      <c r="U697" s="1404"/>
      <c r="V697" s="1404"/>
      <c r="W697" s="1404"/>
      <c r="X697" s="1404"/>
      <c r="Y697" s="1404"/>
      <c r="Z697" s="1404"/>
    </row>
    <row r="698">
      <c r="A698" s="1404"/>
      <c r="B698" s="1404"/>
      <c r="C698" s="1404"/>
      <c r="D698" s="1404"/>
      <c r="E698" s="1404"/>
      <c r="F698" s="1404"/>
      <c r="G698" s="1404"/>
      <c r="H698" s="1404"/>
      <c r="I698" s="1404"/>
      <c r="J698" s="1404"/>
      <c r="K698" s="1404"/>
      <c r="L698" s="1404"/>
      <c r="M698" s="1404"/>
      <c r="N698" s="1404"/>
      <c r="O698" s="1404"/>
      <c r="P698" s="1404"/>
      <c r="Q698" s="1404"/>
      <c r="R698" s="1404"/>
      <c r="S698" s="1404"/>
      <c r="T698" s="1404"/>
      <c r="U698" s="1404"/>
      <c r="V698" s="1404"/>
      <c r="W698" s="1404"/>
      <c r="X698" s="1404"/>
      <c r="Y698" s="1404"/>
      <c r="Z698" s="1404"/>
    </row>
    <row r="699">
      <c r="A699" s="1404"/>
      <c r="B699" s="1404"/>
      <c r="C699" s="1404"/>
      <c r="D699" s="1404"/>
      <c r="E699" s="1404"/>
      <c r="F699" s="1404"/>
      <c r="G699" s="1404"/>
      <c r="H699" s="1404"/>
      <c r="I699" s="1404"/>
      <c r="J699" s="1404"/>
      <c r="K699" s="1404"/>
      <c r="L699" s="1404"/>
      <c r="M699" s="1404"/>
      <c r="N699" s="1404"/>
      <c r="O699" s="1404"/>
      <c r="P699" s="1404"/>
      <c r="Q699" s="1404"/>
      <c r="R699" s="1404"/>
      <c r="S699" s="1404"/>
      <c r="T699" s="1404"/>
      <c r="U699" s="1404"/>
      <c r="V699" s="1404"/>
      <c r="W699" s="1404"/>
      <c r="X699" s="1404"/>
      <c r="Y699" s="1404"/>
      <c r="Z699" s="1404"/>
    </row>
    <row r="700">
      <c r="A700" s="1404"/>
      <c r="B700" s="1404"/>
      <c r="C700" s="1404"/>
      <c r="D700" s="1404"/>
      <c r="E700" s="1404"/>
      <c r="F700" s="1404"/>
      <c r="G700" s="1404"/>
      <c r="H700" s="1404"/>
      <c r="I700" s="1404"/>
      <c r="J700" s="1404"/>
      <c r="K700" s="1404"/>
      <c r="L700" s="1404"/>
      <c r="M700" s="1404"/>
      <c r="N700" s="1404"/>
      <c r="O700" s="1404"/>
      <c r="P700" s="1404"/>
      <c r="Q700" s="1404"/>
      <c r="R700" s="1404"/>
      <c r="S700" s="1404"/>
      <c r="T700" s="1404"/>
      <c r="U700" s="1404"/>
      <c r="V700" s="1404"/>
      <c r="W700" s="1404"/>
      <c r="X700" s="1404"/>
      <c r="Y700" s="1404"/>
      <c r="Z700" s="1404"/>
    </row>
    <row r="701">
      <c r="A701" s="1404"/>
      <c r="B701" s="1404"/>
      <c r="C701" s="1404"/>
      <c r="D701" s="1404"/>
      <c r="E701" s="1404"/>
      <c r="F701" s="1404"/>
      <c r="G701" s="1404"/>
      <c r="H701" s="1404"/>
      <c r="I701" s="1404"/>
      <c r="J701" s="1404"/>
      <c r="K701" s="1404"/>
      <c r="L701" s="1404"/>
      <c r="M701" s="1404"/>
      <c r="N701" s="1404"/>
      <c r="O701" s="1404"/>
      <c r="P701" s="1404"/>
      <c r="Q701" s="1404"/>
      <c r="R701" s="1404"/>
      <c r="S701" s="1404"/>
      <c r="T701" s="1404"/>
      <c r="U701" s="1404"/>
      <c r="V701" s="1404"/>
      <c r="W701" s="1404"/>
      <c r="X701" s="1404"/>
      <c r="Y701" s="1404"/>
      <c r="Z701" s="1404"/>
    </row>
    <row r="702">
      <c r="A702" s="1404"/>
      <c r="B702" s="1404"/>
      <c r="C702" s="1404"/>
      <c r="D702" s="1404"/>
      <c r="E702" s="1404"/>
      <c r="F702" s="1404"/>
      <c r="G702" s="1404"/>
      <c r="H702" s="1404"/>
      <c r="I702" s="1404"/>
      <c r="J702" s="1404"/>
      <c r="K702" s="1404"/>
      <c r="L702" s="1404"/>
      <c r="M702" s="1404"/>
      <c r="N702" s="1404"/>
      <c r="O702" s="1404"/>
      <c r="P702" s="1404"/>
      <c r="Q702" s="1404"/>
      <c r="R702" s="1404"/>
      <c r="S702" s="1404"/>
      <c r="T702" s="1404"/>
      <c r="U702" s="1404"/>
      <c r="V702" s="1404"/>
      <c r="W702" s="1404"/>
      <c r="X702" s="1404"/>
      <c r="Y702" s="1404"/>
      <c r="Z702" s="1404"/>
    </row>
    <row r="703">
      <c r="A703" s="1404"/>
      <c r="B703" s="1404"/>
      <c r="C703" s="1404"/>
      <c r="D703" s="1404"/>
      <c r="E703" s="1404"/>
      <c r="F703" s="1404"/>
      <c r="G703" s="1404"/>
      <c r="H703" s="1404"/>
      <c r="I703" s="1404"/>
      <c r="J703" s="1404"/>
      <c r="K703" s="1404"/>
      <c r="L703" s="1404"/>
      <c r="M703" s="1404"/>
      <c r="N703" s="1404"/>
      <c r="O703" s="1404"/>
      <c r="P703" s="1404"/>
      <c r="Q703" s="1404"/>
      <c r="R703" s="1404"/>
      <c r="S703" s="1404"/>
      <c r="T703" s="1404"/>
      <c r="U703" s="1404"/>
      <c r="V703" s="1404"/>
      <c r="W703" s="1404"/>
      <c r="X703" s="1404"/>
      <c r="Y703" s="1404"/>
      <c r="Z703" s="1404"/>
    </row>
    <row r="704">
      <c r="A704" s="1404"/>
      <c r="B704" s="1404"/>
      <c r="C704" s="1404"/>
      <c r="D704" s="1404"/>
      <c r="E704" s="1404"/>
      <c r="F704" s="1404"/>
      <c r="G704" s="1404"/>
      <c r="H704" s="1404"/>
      <c r="I704" s="1404"/>
      <c r="J704" s="1404"/>
      <c r="K704" s="1404"/>
      <c r="L704" s="1404"/>
      <c r="M704" s="1404"/>
      <c r="N704" s="1404"/>
      <c r="O704" s="1404"/>
      <c r="P704" s="1404"/>
      <c r="Q704" s="1404"/>
      <c r="R704" s="1404"/>
      <c r="S704" s="1404"/>
      <c r="T704" s="1404"/>
      <c r="U704" s="1404"/>
      <c r="V704" s="1404"/>
      <c r="W704" s="1404"/>
      <c r="X704" s="1404"/>
      <c r="Y704" s="1404"/>
      <c r="Z704" s="1404"/>
    </row>
    <row r="705">
      <c r="A705" s="1404"/>
      <c r="B705" s="1404"/>
      <c r="C705" s="1404"/>
      <c r="D705" s="1404"/>
      <c r="E705" s="1404"/>
      <c r="F705" s="1404"/>
      <c r="G705" s="1404"/>
      <c r="H705" s="1404"/>
      <c r="I705" s="1404"/>
      <c r="J705" s="1404"/>
      <c r="K705" s="1404"/>
      <c r="L705" s="1404"/>
      <c r="M705" s="1404"/>
      <c r="N705" s="1404"/>
      <c r="O705" s="1404"/>
      <c r="P705" s="1404"/>
      <c r="Q705" s="1404"/>
      <c r="R705" s="1404"/>
      <c r="S705" s="1404"/>
      <c r="T705" s="1404"/>
      <c r="U705" s="1404"/>
      <c r="V705" s="1404"/>
      <c r="W705" s="1404"/>
      <c r="X705" s="1404"/>
      <c r="Y705" s="1404"/>
      <c r="Z705" s="1404"/>
    </row>
    <row r="706">
      <c r="A706" s="1404"/>
      <c r="B706" s="1404"/>
      <c r="C706" s="1404"/>
      <c r="D706" s="1404"/>
      <c r="E706" s="1404"/>
      <c r="F706" s="1404"/>
      <c r="G706" s="1404"/>
      <c r="H706" s="1404"/>
      <c r="I706" s="1404"/>
      <c r="J706" s="1404"/>
      <c r="K706" s="1404"/>
      <c r="L706" s="1404"/>
      <c r="M706" s="1404"/>
      <c r="N706" s="1404"/>
      <c r="O706" s="1404"/>
      <c r="P706" s="1404"/>
      <c r="Q706" s="1404"/>
      <c r="R706" s="1404"/>
      <c r="S706" s="1404"/>
      <c r="T706" s="1404"/>
      <c r="U706" s="1404"/>
      <c r="V706" s="1404"/>
      <c r="W706" s="1404"/>
      <c r="X706" s="1404"/>
      <c r="Y706" s="1404"/>
      <c r="Z706" s="1404"/>
    </row>
    <row r="707">
      <c r="A707" s="1404"/>
      <c r="B707" s="1404"/>
      <c r="C707" s="1404"/>
      <c r="D707" s="1404"/>
      <c r="E707" s="1404"/>
      <c r="F707" s="1404"/>
      <c r="G707" s="1404"/>
      <c r="H707" s="1404"/>
      <c r="I707" s="1404"/>
      <c r="J707" s="1404"/>
      <c r="K707" s="1404"/>
      <c r="L707" s="1404"/>
      <c r="M707" s="1404"/>
      <c r="N707" s="1404"/>
      <c r="O707" s="1404"/>
      <c r="P707" s="1404"/>
      <c r="Q707" s="1404"/>
      <c r="R707" s="1404"/>
      <c r="S707" s="1404"/>
      <c r="T707" s="1404"/>
      <c r="U707" s="1404"/>
      <c r="V707" s="1404"/>
      <c r="W707" s="1404"/>
      <c r="X707" s="1404"/>
      <c r="Y707" s="1404"/>
      <c r="Z707" s="1404"/>
    </row>
    <row r="708">
      <c r="A708" s="1404"/>
      <c r="B708" s="1404"/>
      <c r="C708" s="1404"/>
      <c r="D708" s="1404"/>
      <c r="E708" s="1404"/>
      <c r="F708" s="1404"/>
      <c r="G708" s="1404"/>
      <c r="H708" s="1404"/>
      <c r="I708" s="1404"/>
      <c r="J708" s="1404"/>
      <c r="K708" s="1404"/>
      <c r="L708" s="1404"/>
      <c r="M708" s="1404"/>
      <c r="N708" s="1404"/>
      <c r="O708" s="1404"/>
      <c r="P708" s="1404"/>
      <c r="Q708" s="1404"/>
      <c r="R708" s="1404"/>
      <c r="S708" s="1404"/>
      <c r="T708" s="1404"/>
      <c r="U708" s="1404"/>
      <c r="V708" s="1404"/>
      <c r="W708" s="1404"/>
      <c r="X708" s="1404"/>
      <c r="Y708" s="1404"/>
      <c r="Z708" s="1404"/>
    </row>
    <row r="709">
      <c r="A709" s="1404"/>
      <c r="B709" s="1404"/>
      <c r="C709" s="1404"/>
      <c r="D709" s="1404"/>
      <c r="E709" s="1404"/>
      <c r="F709" s="1404"/>
      <c r="G709" s="1404"/>
      <c r="H709" s="1404"/>
      <c r="I709" s="1404"/>
      <c r="J709" s="1404"/>
      <c r="K709" s="1404"/>
      <c r="L709" s="1404"/>
      <c r="M709" s="1404"/>
      <c r="N709" s="1404"/>
      <c r="O709" s="1404"/>
      <c r="P709" s="1404"/>
      <c r="Q709" s="1404"/>
      <c r="R709" s="1404"/>
      <c r="S709" s="1404"/>
      <c r="T709" s="1404"/>
      <c r="U709" s="1404"/>
      <c r="V709" s="1404"/>
      <c r="W709" s="1404"/>
      <c r="X709" s="1404"/>
      <c r="Y709" s="1404"/>
      <c r="Z709" s="1404"/>
    </row>
    <row r="710">
      <c r="A710" s="1404"/>
      <c r="B710" s="1404"/>
      <c r="C710" s="1404"/>
      <c r="D710" s="1404"/>
      <c r="E710" s="1404"/>
      <c r="F710" s="1404"/>
      <c r="G710" s="1404"/>
      <c r="H710" s="1404"/>
      <c r="I710" s="1404"/>
      <c r="J710" s="1404"/>
      <c r="K710" s="1404"/>
      <c r="L710" s="1404"/>
      <c r="M710" s="1404"/>
      <c r="N710" s="1404"/>
      <c r="O710" s="1404"/>
      <c r="P710" s="1404"/>
      <c r="Q710" s="1404"/>
      <c r="R710" s="1404"/>
      <c r="S710" s="1404"/>
      <c r="T710" s="1404"/>
      <c r="U710" s="1404"/>
      <c r="V710" s="1404"/>
      <c r="W710" s="1404"/>
      <c r="X710" s="1404"/>
      <c r="Y710" s="1404"/>
      <c r="Z710" s="1404"/>
    </row>
    <row r="711">
      <c r="A711" s="1404"/>
      <c r="B711" s="1404"/>
      <c r="C711" s="1404"/>
      <c r="D711" s="1404"/>
      <c r="E711" s="1404"/>
      <c r="F711" s="1404"/>
      <c r="G711" s="1404"/>
      <c r="H711" s="1404"/>
      <c r="I711" s="1404"/>
      <c r="J711" s="1404"/>
      <c r="K711" s="1404"/>
      <c r="L711" s="1404"/>
      <c r="M711" s="1404"/>
      <c r="N711" s="1404"/>
      <c r="O711" s="1404"/>
      <c r="P711" s="1404"/>
      <c r="Q711" s="1404"/>
      <c r="R711" s="1404"/>
      <c r="S711" s="1404"/>
      <c r="T711" s="1404"/>
      <c r="U711" s="1404"/>
      <c r="V711" s="1404"/>
      <c r="W711" s="1404"/>
      <c r="X711" s="1404"/>
      <c r="Y711" s="1404"/>
      <c r="Z711" s="1404"/>
    </row>
    <row r="712">
      <c r="A712" s="1404"/>
      <c r="B712" s="1404"/>
      <c r="C712" s="1404"/>
      <c r="D712" s="1404"/>
      <c r="E712" s="1404"/>
      <c r="F712" s="1404"/>
      <c r="G712" s="1404"/>
      <c r="H712" s="1404"/>
      <c r="I712" s="1404"/>
      <c r="J712" s="1404"/>
      <c r="K712" s="1404"/>
      <c r="L712" s="1404"/>
      <c r="M712" s="1404"/>
      <c r="N712" s="1404"/>
      <c r="O712" s="1404"/>
      <c r="P712" s="1404"/>
      <c r="Q712" s="1404"/>
      <c r="R712" s="1404"/>
      <c r="S712" s="1404"/>
      <c r="T712" s="1404"/>
      <c r="U712" s="1404"/>
      <c r="V712" s="1404"/>
      <c r="W712" s="1404"/>
      <c r="X712" s="1404"/>
      <c r="Y712" s="1404"/>
      <c r="Z712" s="1404"/>
    </row>
    <row r="713">
      <c r="A713" s="1404"/>
      <c r="B713" s="1404"/>
      <c r="C713" s="1404"/>
      <c r="D713" s="1404"/>
      <c r="E713" s="1404"/>
      <c r="F713" s="1404"/>
      <c r="G713" s="1404"/>
      <c r="H713" s="1404"/>
      <c r="I713" s="1404"/>
      <c r="J713" s="1404"/>
      <c r="K713" s="1404"/>
      <c r="L713" s="1404"/>
      <c r="M713" s="1404"/>
      <c r="N713" s="1404"/>
      <c r="O713" s="1404"/>
      <c r="P713" s="1404"/>
      <c r="Q713" s="1404"/>
      <c r="R713" s="1404"/>
      <c r="S713" s="1404"/>
      <c r="T713" s="1404"/>
      <c r="U713" s="1404"/>
      <c r="V713" s="1404"/>
      <c r="W713" s="1404"/>
      <c r="X713" s="1404"/>
      <c r="Y713" s="1404"/>
      <c r="Z713" s="1404"/>
    </row>
    <row r="714">
      <c r="A714" s="1404"/>
      <c r="B714" s="1404"/>
      <c r="C714" s="1404"/>
      <c r="D714" s="1404"/>
      <c r="E714" s="1404"/>
      <c r="F714" s="1404"/>
      <c r="G714" s="1404"/>
      <c r="H714" s="1404"/>
      <c r="I714" s="1404"/>
      <c r="J714" s="1404"/>
      <c r="K714" s="1404"/>
      <c r="L714" s="1404"/>
      <c r="M714" s="1404"/>
      <c r="N714" s="1404"/>
      <c r="O714" s="1404"/>
      <c r="P714" s="1404"/>
      <c r="Q714" s="1404"/>
      <c r="R714" s="1404"/>
      <c r="S714" s="1404"/>
      <c r="T714" s="1404"/>
      <c r="U714" s="1404"/>
      <c r="V714" s="1404"/>
      <c r="W714" s="1404"/>
      <c r="X714" s="1404"/>
      <c r="Y714" s="1404"/>
      <c r="Z714" s="1404"/>
    </row>
    <row r="715">
      <c r="A715" s="1404"/>
      <c r="B715" s="1404"/>
      <c r="C715" s="1404"/>
      <c r="D715" s="1404"/>
      <c r="E715" s="1404"/>
      <c r="F715" s="1404"/>
      <c r="G715" s="1404"/>
      <c r="H715" s="1404"/>
      <c r="I715" s="1404"/>
      <c r="J715" s="1404"/>
      <c r="K715" s="1404"/>
      <c r="L715" s="1404"/>
      <c r="M715" s="1404"/>
      <c r="N715" s="1404"/>
      <c r="O715" s="1404"/>
      <c r="P715" s="1404"/>
      <c r="Q715" s="1404"/>
      <c r="R715" s="1404"/>
      <c r="S715" s="1404"/>
      <c r="T715" s="1404"/>
      <c r="U715" s="1404"/>
      <c r="V715" s="1404"/>
      <c r="W715" s="1404"/>
      <c r="X715" s="1404"/>
      <c r="Y715" s="1404"/>
      <c r="Z715" s="1404"/>
    </row>
    <row r="716">
      <c r="A716" s="1404"/>
      <c r="B716" s="1404"/>
      <c r="C716" s="1404"/>
      <c r="D716" s="1404"/>
      <c r="E716" s="1404"/>
      <c r="F716" s="1404"/>
      <c r="G716" s="1404"/>
      <c r="H716" s="1404"/>
      <c r="I716" s="1404"/>
      <c r="J716" s="1404"/>
      <c r="K716" s="1404"/>
      <c r="L716" s="1404"/>
      <c r="M716" s="1404"/>
      <c r="N716" s="1404"/>
      <c r="O716" s="1404"/>
      <c r="P716" s="1404"/>
      <c r="Q716" s="1404"/>
      <c r="R716" s="1404"/>
      <c r="S716" s="1404"/>
      <c r="T716" s="1404"/>
      <c r="U716" s="1404"/>
      <c r="V716" s="1404"/>
      <c r="W716" s="1404"/>
      <c r="X716" s="1404"/>
      <c r="Y716" s="1404"/>
      <c r="Z716" s="1404"/>
    </row>
    <row r="717">
      <c r="A717" s="1404"/>
      <c r="B717" s="1404"/>
      <c r="C717" s="1404"/>
      <c r="D717" s="1404"/>
      <c r="E717" s="1404"/>
      <c r="F717" s="1404"/>
      <c r="G717" s="1404"/>
      <c r="H717" s="1404"/>
      <c r="I717" s="1404"/>
      <c r="J717" s="1404"/>
      <c r="K717" s="1404"/>
      <c r="L717" s="1404"/>
      <c r="M717" s="1404"/>
      <c r="N717" s="1404"/>
      <c r="O717" s="1404"/>
      <c r="P717" s="1404"/>
      <c r="Q717" s="1404"/>
      <c r="R717" s="1404"/>
      <c r="S717" s="1404"/>
      <c r="T717" s="1404"/>
      <c r="U717" s="1404"/>
      <c r="V717" s="1404"/>
      <c r="W717" s="1404"/>
      <c r="X717" s="1404"/>
      <c r="Y717" s="1404"/>
      <c r="Z717" s="1404"/>
    </row>
    <row r="718">
      <c r="A718" s="1404"/>
      <c r="B718" s="1404"/>
      <c r="C718" s="1404"/>
      <c r="D718" s="1404"/>
      <c r="E718" s="1404"/>
      <c r="F718" s="1404"/>
      <c r="G718" s="1404"/>
      <c r="H718" s="1404"/>
      <c r="I718" s="1404"/>
      <c r="J718" s="1404"/>
      <c r="K718" s="1404"/>
      <c r="L718" s="1404"/>
      <c r="M718" s="1404"/>
      <c r="N718" s="1404"/>
      <c r="O718" s="1404"/>
      <c r="P718" s="1404"/>
      <c r="Q718" s="1404"/>
      <c r="R718" s="1404"/>
      <c r="S718" s="1404"/>
      <c r="T718" s="1404"/>
      <c r="U718" s="1404"/>
      <c r="V718" s="1404"/>
      <c r="W718" s="1404"/>
      <c r="X718" s="1404"/>
      <c r="Y718" s="1404"/>
      <c r="Z718" s="1404"/>
    </row>
    <row r="719">
      <c r="A719" s="1404"/>
      <c r="B719" s="1404"/>
      <c r="C719" s="1404"/>
      <c r="D719" s="1404"/>
      <c r="E719" s="1404"/>
      <c r="F719" s="1404"/>
      <c r="G719" s="1404"/>
      <c r="H719" s="1404"/>
      <c r="I719" s="1404"/>
      <c r="J719" s="1404"/>
      <c r="K719" s="1404"/>
      <c r="L719" s="1404"/>
      <c r="M719" s="1404"/>
      <c r="N719" s="1404"/>
      <c r="O719" s="1404"/>
      <c r="P719" s="1404"/>
      <c r="Q719" s="1404"/>
      <c r="R719" s="1404"/>
      <c r="S719" s="1404"/>
      <c r="T719" s="1404"/>
      <c r="U719" s="1404"/>
      <c r="V719" s="1404"/>
      <c r="W719" s="1404"/>
      <c r="X719" s="1404"/>
      <c r="Y719" s="1404"/>
      <c r="Z719" s="1404"/>
    </row>
    <row r="720">
      <c r="A720" s="1404"/>
      <c r="B720" s="1404"/>
      <c r="C720" s="1404"/>
      <c r="D720" s="1404"/>
      <c r="E720" s="1404"/>
      <c r="F720" s="1404"/>
      <c r="G720" s="1404"/>
      <c r="H720" s="1404"/>
      <c r="I720" s="1404"/>
      <c r="J720" s="1404"/>
      <c r="K720" s="1404"/>
      <c r="L720" s="1404"/>
      <c r="M720" s="1404"/>
      <c r="N720" s="1404"/>
      <c r="O720" s="1404"/>
      <c r="P720" s="1404"/>
      <c r="Q720" s="1404"/>
      <c r="R720" s="1404"/>
      <c r="S720" s="1404"/>
      <c r="T720" s="1404"/>
      <c r="U720" s="1404"/>
      <c r="V720" s="1404"/>
      <c r="W720" s="1404"/>
      <c r="X720" s="1404"/>
      <c r="Y720" s="1404"/>
      <c r="Z720" s="1404"/>
    </row>
    <row r="721">
      <c r="A721" s="1404"/>
      <c r="B721" s="1404"/>
      <c r="C721" s="1404"/>
      <c r="D721" s="1404"/>
      <c r="E721" s="1404"/>
      <c r="F721" s="1404"/>
      <c r="G721" s="1404"/>
      <c r="H721" s="1404"/>
      <c r="I721" s="1404"/>
      <c r="J721" s="1404"/>
      <c r="K721" s="1404"/>
      <c r="L721" s="1404"/>
      <c r="M721" s="1404"/>
      <c r="N721" s="1404"/>
      <c r="O721" s="1404"/>
      <c r="P721" s="1404"/>
      <c r="Q721" s="1404"/>
      <c r="R721" s="1404"/>
      <c r="S721" s="1404"/>
      <c r="T721" s="1404"/>
      <c r="U721" s="1404"/>
      <c r="V721" s="1404"/>
      <c r="W721" s="1404"/>
      <c r="X721" s="1404"/>
      <c r="Y721" s="1404"/>
      <c r="Z721" s="1404"/>
    </row>
    <row r="722">
      <c r="A722" s="1404"/>
      <c r="B722" s="1404"/>
      <c r="C722" s="1404"/>
      <c r="D722" s="1404"/>
      <c r="E722" s="1404"/>
      <c r="F722" s="1404"/>
      <c r="G722" s="1404"/>
      <c r="H722" s="1404"/>
      <c r="I722" s="1404"/>
      <c r="J722" s="1404"/>
      <c r="K722" s="1404"/>
      <c r="L722" s="1404"/>
      <c r="M722" s="1404"/>
      <c r="N722" s="1404"/>
      <c r="O722" s="1404"/>
      <c r="P722" s="1404"/>
      <c r="Q722" s="1404"/>
      <c r="R722" s="1404"/>
      <c r="S722" s="1404"/>
      <c r="T722" s="1404"/>
      <c r="U722" s="1404"/>
      <c r="V722" s="1404"/>
      <c r="W722" s="1404"/>
      <c r="X722" s="1404"/>
      <c r="Y722" s="1404"/>
      <c r="Z722" s="1404"/>
    </row>
    <row r="723">
      <c r="A723" s="1404"/>
      <c r="B723" s="1404"/>
      <c r="C723" s="1404"/>
      <c r="D723" s="1404"/>
      <c r="E723" s="1404"/>
      <c r="F723" s="1404"/>
      <c r="G723" s="1404"/>
      <c r="H723" s="1404"/>
      <c r="I723" s="1404"/>
      <c r="J723" s="1404"/>
      <c r="K723" s="1404"/>
      <c r="L723" s="1404"/>
      <c r="M723" s="1404"/>
      <c r="N723" s="1404"/>
      <c r="O723" s="1404"/>
      <c r="P723" s="1404"/>
      <c r="Q723" s="1404"/>
      <c r="R723" s="1404"/>
      <c r="S723" s="1404"/>
      <c r="T723" s="1404"/>
      <c r="U723" s="1404"/>
      <c r="V723" s="1404"/>
      <c r="W723" s="1404"/>
      <c r="X723" s="1404"/>
      <c r="Y723" s="1404"/>
      <c r="Z723" s="1404"/>
    </row>
    <row r="724">
      <c r="A724" s="1404"/>
      <c r="B724" s="1404"/>
      <c r="C724" s="1404"/>
      <c r="D724" s="1404"/>
      <c r="E724" s="1404"/>
      <c r="F724" s="1404"/>
      <c r="G724" s="1404"/>
      <c r="H724" s="1404"/>
      <c r="I724" s="1404"/>
      <c r="J724" s="1404"/>
      <c r="K724" s="1404"/>
      <c r="L724" s="1404"/>
      <c r="M724" s="1404"/>
      <c r="N724" s="1404"/>
      <c r="O724" s="1404"/>
      <c r="P724" s="1404"/>
      <c r="Q724" s="1404"/>
      <c r="R724" s="1404"/>
      <c r="S724" s="1404"/>
      <c r="T724" s="1404"/>
      <c r="U724" s="1404"/>
      <c r="V724" s="1404"/>
      <c r="W724" s="1404"/>
      <c r="X724" s="1404"/>
      <c r="Y724" s="1404"/>
      <c r="Z724" s="1404"/>
    </row>
    <row r="725">
      <c r="A725" s="1404"/>
      <c r="B725" s="1404"/>
      <c r="C725" s="1404"/>
      <c r="D725" s="1404"/>
      <c r="E725" s="1404"/>
      <c r="F725" s="1404"/>
      <c r="G725" s="1404"/>
      <c r="H725" s="1404"/>
      <c r="I725" s="1404"/>
      <c r="J725" s="1404"/>
      <c r="K725" s="1404"/>
      <c r="L725" s="1404"/>
      <c r="M725" s="1404"/>
      <c r="N725" s="1404"/>
      <c r="O725" s="1404"/>
      <c r="P725" s="1404"/>
      <c r="Q725" s="1404"/>
      <c r="R725" s="1404"/>
      <c r="S725" s="1404"/>
      <c r="T725" s="1404"/>
      <c r="U725" s="1404"/>
      <c r="V725" s="1404"/>
      <c r="W725" s="1404"/>
      <c r="X725" s="1404"/>
      <c r="Y725" s="1404"/>
      <c r="Z725" s="1404"/>
    </row>
    <row r="726">
      <c r="A726" s="1404"/>
      <c r="B726" s="1404"/>
      <c r="C726" s="1404"/>
      <c r="D726" s="1404"/>
      <c r="E726" s="1404"/>
      <c r="F726" s="1404"/>
      <c r="G726" s="1404"/>
      <c r="H726" s="1404"/>
      <c r="I726" s="1404"/>
      <c r="J726" s="1404"/>
      <c r="K726" s="1404"/>
      <c r="L726" s="1404"/>
      <c r="M726" s="1404"/>
      <c r="N726" s="1404"/>
      <c r="O726" s="1404"/>
      <c r="P726" s="1404"/>
      <c r="Q726" s="1404"/>
      <c r="R726" s="1404"/>
      <c r="S726" s="1404"/>
      <c r="T726" s="1404"/>
      <c r="U726" s="1404"/>
      <c r="V726" s="1404"/>
      <c r="W726" s="1404"/>
      <c r="X726" s="1404"/>
      <c r="Y726" s="1404"/>
      <c r="Z726" s="1404"/>
    </row>
    <row r="727">
      <c r="A727" s="1404"/>
      <c r="B727" s="1404"/>
      <c r="C727" s="1404"/>
      <c r="D727" s="1404"/>
      <c r="E727" s="1404"/>
      <c r="F727" s="1404"/>
      <c r="G727" s="1404"/>
      <c r="H727" s="1404"/>
      <c r="I727" s="1404"/>
      <c r="J727" s="1404"/>
      <c r="K727" s="1404"/>
      <c r="L727" s="1404"/>
      <c r="M727" s="1404"/>
      <c r="N727" s="1404"/>
      <c r="O727" s="1404"/>
      <c r="P727" s="1404"/>
      <c r="Q727" s="1404"/>
      <c r="R727" s="1404"/>
      <c r="S727" s="1404"/>
      <c r="T727" s="1404"/>
      <c r="U727" s="1404"/>
      <c r="V727" s="1404"/>
      <c r="W727" s="1404"/>
      <c r="X727" s="1404"/>
      <c r="Y727" s="1404"/>
      <c r="Z727" s="1404"/>
    </row>
    <row r="728">
      <c r="A728" s="1404"/>
      <c r="B728" s="1404"/>
      <c r="C728" s="1404"/>
      <c r="D728" s="1404"/>
      <c r="E728" s="1404"/>
      <c r="F728" s="1404"/>
      <c r="G728" s="1404"/>
      <c r="H728" s="1404"/>
      <c r="I728" s="1404"/>
      <c r="J728" s="1404"/>
      <c r="K728" s="1404"/>
      <c r="L728" s="1404"/>
      <c r="M728" s="1404"/>
      <c r="N728" s="1404"/>
      <c r="O728" s="1404"/>
      <c r="P728" s="1404"/>
      <c r="Q728" s="1404"/>
      <c r="R728" s="1404"/>
      <c r="S728" s="1404"/>
      <c r="T728" s="1404"/>
      <c r="U728" s="1404"/>
      <c r="V728" s="1404"/>
      <c r="W728" s="1404"/>
      <c r="X728" s="1404"/>
      <c r="Y728" s="1404"/>
      <c r="Z728" s="1404"/>
    </row>
    <row r="729">
      <c r="A729" s="1404"/>
      <c r="B729" s="1404"/>
      <c r="C729" s="1404"/>
      <c r="D729" s="1404"/>
      <c r="E729" s="1404"/>
      <c r="F729" s="1404"/>
      <c r="G729" s="1404"/>
      <c r="H729" s="1404"/>
      <c r="I729" s="1404"/>
      <c r="J729" s="1404"/>
      <c r="K729" s="1404"/>
      <c r="L729" s="1404"/>
      <c r="M729" s="1404"/>
      <c r="N729" s="1404"/>
      <c r="O729" s="1404"/>
      <c r="P729" s="1404"/>
      <c r="Q729" s="1404"/>
      <c r="R729" s="1404"/>
      <c r="S729" s="1404"/>
      <c r="T729" s="1404"/>
      <c r="U729" s="1404"/>
      <c r="V729" s="1404"/>
      <c r="W729" s="1404"/>
      <c r="X729" s="1404"/>
      <c r="Y729" s="1404"/>
      <c r="Z729" s="1404"/>
    </row>
    <row r="730">
      <c r="A730" s="1404"/>
      <c r="B730" s="1404"/>
      <c r="C730" s="1404"/>
      <c r="D730" s="1404"/>
      <c r="E730" s="1404"/>
      <c r="F730" s="1404"/>
      <c r="G730" s="1404"/>
      <c r="H730" s="1404"/>
      <c r="I730" s="1404"/>
      <c r="J730" s="1404"/>
      <c r="K730" s="1404"/>
      <c r="L730" s="1404"/>
      <c r="M730" s="1404"/>
      <c r="N730" s="1404"/>
      <c r="O730" s="1404"/>
      <c r="P730" s="1404"/>
      <c r="Q730" s="1404"/>
      <c r="R730" s="1404"/>
      <c r="S730" s="1404"/>
      <c r="T730" s="1404"/>
      <c r="U730" s="1404"/>
      <c r="V730" s="1404"/>
      <c r="W730" s="1404"/>
      <c r="X730" s="1404"/>
      <c r="Y730" s="1404"/>
      <c r="Z730" s="1404"/>
    </row>
    <row r="731">
      <c r="A731" s="1404"/>
      <c r="B731" s="1404"/>
      <c r="C731" s="1404"/>
      <c r="D731" s="1404"/>
      <c r="E731" s="1404"/>
      <c r="F731" s="1404"/>
      <c r="G731" s="1404"/>
      <c r="H731" s="1404"/>
      <c r="I731" s="1404"/>
      <c r="J731" s="1404"/>
      <c r="K731" s="1404"/>
      <c r="L731" s="1404"/>
      <c r="M731" s="1404"/>
      <c r="N731" s="1404"/>
      <c r="O731" s="1404"/>
      <c r="P731" s="1404"/>
      <c r="Q731" s="1404"/>
      <c r="R731" s="1404"/>
      <c r="S731" s="1404"/>
      <c r="T731" s="1404"/>
      <c r="U731" s="1404"/>
      <c r="V731" s="1404"/>
      <c r="W731" s="1404"/>
      <c r="X731" s="1404"/>
      <c r="Y731" s="1404"/>
      <c r="Z731" s="1404"/>
    </row>
    <row r="732">
      <c r="A732" s="1404"/>
      <c r="B732" s="1404"/>
      <c r="C732" s="1404"/>
      <c r="D732" s="1404"/>
      <c r="E732" s="1404"/>
      <c r="F732" s="1404"/>
      <c r="G732" s="1404"/>
      <c r="H732" s="1404"/>
      <c r="I732" s="1404"/>
      <c r="J732" s="1404"/>
      <c r="K732" s="1404"/>
      <c r="L732" s="1404"/>
      <c r="M732" s="1404"/>
      <c r="N732" s="1404"/>
      <c r="O732" s="1404"/>
      <c r="P732" s="1404"/>
      <c r="Q732" s="1404"/>
      <c r="R732" s="1404"/>
      <c r="S732" s="1404"/>
      <c r="T732" s="1404"/>
      <c r="U732" s="1404"/>
      <c r="V732" s="1404"/>
      <c r="W732" s="1404"/>
      <c r="X732" s="1404"/>
      <c r="Y732" s="1404"/>
      <c r="Z732" s="1404"/>
    </row>
    <row r="733">
      <c r="A733" s="1404"/>
      <c r="B733" s="1404"/>
      <c r="C733" s="1404"/>
      <c r="D733" s="1404"/>
      <c r="E733" s="1404"/>
      <c r="F733" s="1404"/>
      <c r="G733" s="1404"/>
      <c r="H733" s="1404"/>
      <c r="I733" s="1404"/>
      <c r="J733" s="1404"/>
      <c r="K733" s="1404"/>
      <c r="L733" s="1404"/>
      <c r="M733" s="1404"/>
      <c r="N733" s="1404"/>
      <c r="O733" s="1404"/>
      <c r="P733" s="1404"/>
      <c r="Q733" s="1404"/>
      <c r="R733" s="1404"/>
      <c r="S733" s="1404"/>
      <c r="T733" s="1404"/>
      <c r="U733" s="1404"/>
      <c r="V733" s="1404"/>
      <c r="W733" s="1404"/>
      <c r="X733" s="1404"/>
      <c r="Y733" s="1404"/>
      <c r="Z733" s="1404"/>
    </row>
    <row r="734">
      <c r="A734" s="1404"/>
      <c r="B734" s="1404"/>
      <c r="C734" s="1404"/>
      <c r="D734" s="1404"/>
      <c r="E734" s="1404"/>
      <c r="F734" s="1404"/>
      <c r="G734" s="1404"/>
      <c r="H734" s="1404"/>
      <c r="I734" s="1404"/>
      <c r="J734" s="1404"/>
      <c r="K734" s="1404"/>
      <c r="L734" s="1404"/>
      <c r="M734" s="1404"/>
      <c r="N734" s="1404"/>
      <c r="O734" s="1404"/>
      <c r="P734" s="1404"/>
      <c r="Q734" s="1404"/>
      <c r="R734" s="1404"/>
      <c r="S734" s="1404"/>
      <c r="T734" s="1404"/>
      <c r="U734" s="1404"/>
      <c r="V734" s="1404"/>
      <c r="W734" s="1404"/>
      <c r="X734" s="1404"/>
      <c r="Y734" s="1404"/>
      <c r="Z734" s="1404"/>
    </row>
    <row r="735">
      <c r="A735" s="1404"/>
      <c r="B735" s="1404"/>
      <c r="C735" s="1404"/>
      <c r="D735" s="1404"/>
      <c r="E735" s="1404"/>
      <c r="F735" s="1404"/>
      <c r="G735" s="1404"/>
      <c r="H735" s="1404"/>
      <c r="I735" s="1404"/>
      <c r="J735" s="1404"/>
      <c r="K735" s="1404"/>
      <c r="L735" s="1404"/>
      <c r="M735" s="1404"/>
      <c r="N735" s="1404"/>
      <c r="O735" s="1404"/>
      <c r="P735" s="1404"/>
      <c r="Q735" s="1404"/>
      <c r="R735" s="1404"/>
      <c r="S735" s="1404"/>
      <c r="T735" s="1404"/>
      <c r="U735" s="1404"/>
      <c r="V735" s="1404"/>
      <c r="W735" s="1404"/>
      <c r="X735" s="1404"/>
      <c r="Y735" s="1404"/>
      <c r="Z735" s="1404"/>
    </row>
    <row r="736">
      <c r="A736" s="1404"/>
      <c r="B736" s="1404"/>
      <c r="C736" s="1404"/>
      <c r="D736" s="1404"/>
      <c r="E736" s="1404"/>
      <c r="F736" s="1404"/>
      <c r="G736" s="1404"/>
      <c r="H736" s="1404"/>
      <c r="I736" s="1404"/>
      <c r="J736" s="1404"/>
      <c r="K736" s="1404"/>
      <c r="L736" s="1404"/>
      <c r="M736" s="1404"/>
      <c r="N736" s="1404"/>
      <c r="O736" s="1404"/>
      <c r="P736" s="1404"/>
      <c r="Q736" s="1404"/>
      <c r="R736" s="1404"/>
      <c r="S736" s="1404"/>
      <c r="T736" s="1404"/>
      <c r="U736" s="1404"/>
      <c r="V736" s="1404"/>
      <c r="W736" s="1404"/>
      <c r="X736" s="1404"/>
      <c r="Y736" s="1404"/>
      <c r="Z736" s="1404"/>
    </row>
    <row r="737">
      <c r="A737" s="1404"/>
      <c r="B737" s="1404"/>
      <c r="C737" s="1404"/>
      <c r="D737" s="1404"/>
      <c r="E737" s="1404"/>
      <c r="F737" s="1404"/>
      <c r="G737" s="1404"/>
      <c r="H737" s="1404"/>
      <c r="I737" s="1404"/>
      <c r="J737" s="1404"/>
      <c r="K737" s="1404"/>
      <c r="L737" s="1404"/>
      <c r="M737" s="1404"/>
      <c r="N737" s="1404"/>
      <c r="O737" s="1404"/>
      <c r="P737" s="1404"/>
      <c r="Q737" s="1404"/>
      <c r="R737" s="1404"/>
      <c r="S737" s="1404"/>
      <c r="T737" s="1404"/>
      <c r="U737" s="1404"/>
      <c r="V737" s="1404"/>
      <c r="W737" s="1404"/>
      <c r="X737" s="1404"/>
      <c r="Y737" s="1404"/>
      <c r="Z737" s="1404"/>
    </row>
    <row r="738">
      <c r="A738" s="1404"/>
      <c r="B738" s="1404"/>
      <c r="C738" s="1404"/>
      <c r="D738" s="1404"/>
      <c r="E738" s="1404"/>
      <c r="F738" s="1404"/>
      <c r="G738" s="1404"/>
      <c r="H738" s="1404"/>
      <c r="I738" s="1404"/>
      <c r="J738" s="1404"/>
      <c r="K738" s="1404"/>
      <c r="L738" s="1404"/>
      <c r="M738" s="1404"/>
      <c r="N738" s="1404"/>
      <c r="O738" s="1404"/>
      <c r="P738" s="1404"/>
      <c r="Q738" s="1404"/>
      <c r="R738" s="1404"/>
      <c r="S738" s="1404"/>
      <c r="T738" s="1404"/>
      <c r="U738" s="1404"/>
      <c r="V738" s="1404"/>
      <c r="W738" s="1404"/>
      <c r="X738" s="1404"/>
      <c r="Y738" s="1404"/>
      <c r="Z738" s="1404"/>
    </row>
    <row r="739">
      <c r="A739" s="1404"/>
      <c r="B739" s="1404"/>
      <c r="C739" s="1404"/>
      <c r="D739" s="1404"/>
      <c r="E739" s="1404"/>
      <c r="F739" s="1404"/>
      <c r="G739" s="1404"/>
      <c r="H739" s="1404"/>
      <c r="I739" s="1404"/>
      <c r="J739" s="1404"/>
      <c r="K739" s="1404"/>
      <c r="L739" s="1404"/>
      <c r="M739" s="1404"/>
      <c r="N739" s="1404"/>
      <c r="O739" s="1404"/>
      <c r="P739" s="1404"/>
      <c r="Q739" s="1404"/>
      <c r="R739" s="1404"/>
      <c r="S739" s="1404"/>
      <c r="T739" s="1404"/>
      <c r="U739" s="1404"/>
      <c r="V739" s="1404"/>
      <c r="W739" s="1404"/>
      <c r="X739" s="1404"/>
      <c r="Y739" s="1404"/>
      <c r="Z739" s="1404"/>
    </row>
    <row r="740">
      <c r="A740" s="1404"/>
      <c r="B740" s="1404"/>
      <c r="C740" s="1404"/>
      <c r="D740" s="1404"/>
      <c r="E740" s="1404"/>
      <c r="F740" s="1404"/>
      <c r="G740" s="1404"/>
      <c r="H740" s="1404"/>
      <c r="I740" s="1404"/>
      <c r="J740" s="1404"/>
      <c r="K740" s="1404"/>
      <c r="L740" s="1404"/>
      <c r="M740" s="1404"/>
      <c r="N740" s="1404"/>
      <c r="O740" s="1404"/>
      <c r="P740" s="1404"/>
      <c r="Q740" s="1404"/>
      <c r="R740" s="1404"/>
      <c r="S740" s="1404"/>
      <c r="T740" s="1404"/>
      <c r="U740" s="1404"/>
      <c r="V740" s="1404"/>
      <c r="W740" s="1404"/>
      <c r="X740" s="1404"/>
      <c r="Y740" s="1404"/>
      <c r="Z740" s="1404"/>
    </row>
    <row r="741">
      <c r="A741" s="1404"/>
      <c r="B741" s="1404"/>
      <c r="C741" s="1404"/>
      <c r="D741" s="1404"/>
      <c r="E741" s="1404"/>
      <c r="F741" s="1404"/>
      <c r="G741" s="1404"/>
      <c r="H741" s="1404"/>
      <c r="I741" s="1404"/>
      <c r="J741" s="1404"/>
      <c r="K741" s="1404"/>
      <c r="L741" s="1404"/>
      <c r="M741" s="1404"/>
      <c r="N741" s="1404"/>
      <c r="O741" s="1404"/>
      <c r="P741" s="1404"/>
      <c r="Q741" s="1404"/>
      <c r="R741" s="1404"/>
      <c r="S741" s="1404"/>
      <c r="T741" s="1404"/>
      <c r="U741" s="1404"/>
      <c r="V741" s="1404"/>
      <c r="W741" s="1404"/>
      <c r="X741" s="1404"/>
      <c r="Y741" s="1404"/>
      <c r="Z741" s="1404"/>
    </row>
    <row r="742">
      <c r="A742" s="1404"/>
      <c r="B742" s="1404"/>
      <c r="C742" s="1404"/>
      <c r="D742" s="1404"/>
      <c r="E742" s="1404"/>
      <c r="F742" s="1404"/>
      <c r="G742" s="1404"/>
      <c r="H742" s="1404"/>
      <c r="I742" s="1404"/>
      <c r="J742" s="1404"/>
      <c r="K742" s="1404"/>
      <c r="L742" s="1404"/>
      <c r="M742" s="1404"/>
      <c r="N742" s="1404"/>
      <c r="O742" s="1404"/>
      <c r="P742" s="1404"/>
      <c r="Q742" s="1404"/>
      <c r="R742" s="1404"/>
      <c r="S742" s="1404"/>
      <c r="T742" s="1404"/>
      <c r="U742" s="1404"/>
      <c r="V742" s="1404"/>
      <c r="W742" s="1404"/>
      <c r="X742" s="1404"/>
      <c r="Y742" s="1404"/>
      <c r="Z742" s="1404"/>
    </row>
    <row r="743">
      <c r="A743" s="1404"/>
      <c r="B743" s="1404"/>
      <c r="C743" s="1404"/>
      <c r="D743" s="1404"/>
      <c r="E743" s="1404"/>
      <c r="F743" s="1404"/>
      <c r="G743" s="1404"/>
      <c r="H743" s="1404"/>
      <c r="I743" s="1404"/>
      <c r="J743" s="1404"/>
      <c r="K743" s="1404"/>
      <c r="L743" s="1404"/>
      <c r="M743" s="1404"/>
      <c r="N743" s="1404"/>
      <c r="O743" s="1404"/>
      <c r="P743" s="1404"/>
      <c r="Q743" s="1404"/>
      <c r="R743" s="1404"/>
      <c r="S743" s="1404"/>
      <c r="T743" s="1404"/>
      <c r="U743" s="1404"/>
      <c r="V743" s="1404"/>
      <c r="W743" s="1404"/>
      <c r="X743" s="1404"/>
      <c r="Y743" s="1404"/>
      <c r="Z743" s="1404"/>
    </row>
    <row r="744">
      <c r="A744" s="1404"/>
      <c r="B744" s="1404"/>
      <c r="C744" s="1404"/>
      <c r="D744" s="1404"/>
      <c r="E744" s="1404"/>
      <c r="F744" s="1404"/>
      <c r="G744" s="1404"/>
      <c r="H744" s="1404"/>
      <c r="I744" s="1404"/>
      <c r="J744" s="1404"/>
      <c r="K744" s="1404"/>
      <c r="L744" s="1404"/>
      <c r="M744" s="1404"/>
      <c r="N744" s="1404"/>
      <c r="O744" s="1404"/>
      <c r="P744" s="1404"/>
      <c r="Q744" s="1404"/>
      <c r="R744" s="1404"/>
      <c r="S744" s="1404"/>
      <c r="T744" s="1404"/>
      <c r="U744" s="1404"/>
      <c r="V744" s="1404"/>
      <c r="W744" s="1404"/>
      <c r="X744" s="1404"/>
      <c r="Y744" s="1404"/>
      <c r="Z744" s="1404"/>
    </row>
    <row r="745">
      <c r="A745" s="1404"/>
      <c r="B745" s="1404"/>
      <c r="C745" s="1404"/>
      <c r="D745" s="1404"/>
      <c r="E745" s="1404"/>
      <c r="F745" s="1404"/>
      <c r="G745" s="1404"/>
      <c r="H745" s="1404"/>
      <c r="I745" s="1404"/>
      <c r="J745" s="1404"/>
      <c r="K745" s="1404"/>
      <c r="L745" s="1404"/>
      <c r="M745" s="1404"/>
      <c r="N745" s="1404"/>
      <c r="O745" s="1404"/>
      <c r="P745" s="1404"/>
      <c r="Q745" s="1404"/>
      <c r="R745" s="1404"/>
      <c r="S745" s="1404"/>
      <c r="T745" s="1404"/>
      <c r="U745" s="1404"/>
      <c r="V745" s="1404"/>
      <c r="W745" s="1404"/>
      <c r="X745" s="1404"/>
      <c r="Y745" s="1404"/>
      <c r="Z745" s="1404"/>
    </row>
    <row r="746">
      <c r="A746" s="1404"/>
      <c r="B746" s="1404"/>
      <c r="C746" s="1404"/>
      <c r="D746" s="1404"/>
      <c r="E746" s="1404"/>
      <c r="F746" s="1404"/>
      <c r="G746" s="1404"/>
      <c r="H746" s="1404"/>
      <c r="I746" s="1404"/>
      <c r="J746" s="1404"/>
      <c r="K746" s="1404"/>
      <c r="L746" s="1404"/>
      <c r="M746" s="1404"/>
      <c r="N746" s="1404"/>
      <c r="O746" s="1404"/>
      <c r="P746" s="1404"/>
      <c r="Q746" s="1404"/>
      <c r="R746" s="1404"/>
      <c r="S746" s="1404"/>
      <c r="T746" s="1404"/>
      <c r="U746" s="1404"/>
      <c r="V746" s="1404"/>
      <c r="W746" s="1404"/>
      <c r="X746" s="1404"/>
      <c r="Y746" s="1404"/>
      <c r="Z746" s="1404"/>
    </row>
    <row r="747">
      <c r="A747" s="1404"/>
      <c r="B747" s="1404"/>
      <c r="C747" s="1404"/>
      <c r="D747" s="1404"/>
      <c r="E747" s="1404"/>
      <c r="F747" s="1404"/>
      <c r="G747" s="1404"/>
      <c r="H747" s="1404"/>
      <c r="I747" s="1404"/>
      <c r="J747" s="1404"/>
      <c r="K747" s="1404"/>
      <c r="L747" s="1404"/>
      <c r="M747" s="1404"/>
      <c r="N747" s="1404"/>
      <c r="O747" s="1404"/>
      <c r="P747" s="1404"/>
      <c r="Q747" s="1404"/>
      <c r="R747" s="1404"/>
      <c r="S747" s="1404"/>
      <c r="T747" s="1404"/>
      <c r="U747" s="1404"/>
      <c r="V747" s="1404"/>
      <c r="W747" s="1404"/>
      <c r="X747" s="1404"/>
      <c r="Y747" s="1404"/>
      <c r="Z747" s="1404"/>
    </row>
    <row r="748">
      <c r="A748" s="1404"/>
      <c r="B748" s="1404"/>
      <c r="C748" s="1404"/>
      <c r="D748" s="1404"/>
      <c r="E748" s="1404"/>
      <c r="F748" s="1404"/>
      <c r="G748" s="1404"/>
      <c r="H748" s="1404"/>
      <c r="I748" s="1404"/>
      <c r="J748" s="1404"/>
      <c r="K748" s="1404"/>
      <c r="L748" s="1404"/>
      <c r="M748" s="1404"/>
      <c r="N748" s="1404"/>
      <c r="O748" s="1404"/>
      <c r="P748" s="1404"/>
      <c r="Q748" s="1404"/>
      <c r="R748" s="1404"/>
      <c r="S748" s="1404"/>
      <c r="T748" s="1404"/>
      <c r="U748" s="1404"/>
      <c r="V748" s="1404"/>
      <c r="W748" s="1404"/>
      <c r="X748" s="1404"/>
      <c r="Y748" s="1404"/>
      <c r="Z748" s="1404"/>
    </row>
    <row r="749">
      <c r="A749" s="1404"/>
      <c r="B749" s="1404"/>
      <c r="C749" s="1404"/>
      <c r="D749" s="1404"/>
      <c r="E749" s="1404"/>
      <c r="F749" s="1404"/>
      <c r="G749" s="1404"/>
      <c r="H749" s="1404"/>
      <c r="I749" s="1404"/>
      <c r="J749" s="1404"/>
      <c r="K749" s="1404"/>
      <c r="L749" s="1404"/>
      <c r="M749" s="1404"/>
      <c r="N749" s="1404"/>
      <c r="O749" s="1404"/>
      <c r="P749" s="1404"/>
      <c r="Q749" s="1404"/>
      <c r="R749" s="1404"/>
      <c r="S749" s="1404"/>
      <c r="T749" s="1404"/>
      <c r="U749" s="1404"/>
      <c r="V749" s="1404"/>
      <c r="W749" s="1404"/>
      <c r="X749" s="1404"/>
      <c r="Y749" s="1404"/>
      <c r="Z749" s="1404"/>
    </row>
    <row r="750">
      <c r="A750" s="1404"/>
      <c r="B750" s="1404"/>
      <c r="C750" s="1404"/>
      <c r="D750" s="1404"/>
      <c r="E750" s="1404"/>
      <c r="F750" s="1404"/>
      <c r="G750" s="1404"/>
      <c r="H750" s="1404"/>
      <c r="I750" s="1404"/>
      <c r="J750" s="1404"/>
      <c r="K750" s="1404"/>
      <c r="L750" s="1404"/>
      <c r="M750" s="1404"/>
      <c r="N750" s="1404"/>
      <c r="O750" s="1404"/>
      <c r="P750" s="1404"/>
      <c r="Q750" s="1404"/>
      <c r="R750" s="1404"/>
      <c r="S750" s="1404"/>
      <c r="T750" s="1404"/>
      <c r="U750" s="1404"/>
      <c r="V750" s="1404"/>
      <c r="W750" s="1404"/>
      <c r="X750" s="1404"/>
      <c r="Y750" s="1404"/>
      <c r="Z750" s="1404"/>
    </row>
    <row r="751">
      <c r="A751" s="1404"/>
      <c r="B751" s="1404"/>
      <c r="C751" s="1404"/>
      <c r="D751" s="1404"/>
      <c r="E751" s="1404"/>
      <c r="F751" s="1404"/>
      <c r="G751" s="1404"/>
      <c r="H751" s="1404"/>
      <c r="I751" s="1404"/>
      <c r="J751" s="1404"/>
      <c r="K751" s="1404"/>
      <c r="L751" s="1404"/>
      <c r="M751" s="1404"/>
      <c r="N751" s="1404"/>
      <c r="O751" s="1404"/>
      <c r="P751" s="1404"/>
      <c r="Q751" s="1404"/>
      <c r="R751" s="1404"/>
      <c r="S751" s="1404"/>
      <c r="T751" s="1404"/>
      <c r="U751" s="1404"/>
      <c r="V751" s="1404"/>
      <c r="W751" s="1404"/>
      <c r="X751" s="1404"/>
      <c r="Y751" s="1404"/>
      <c r="Z751" s="1404"/>
    </row>
    <row r="752">
      <c r="A752" s="1404"/>
      <c r="B752" s="1404"/>
      <c r="C752" s="1404"/>
      <c r="D752" s="1404"/>
      <c r="E752" s="1404"/>
      <c r="F752" s="1404"/>
      <c r="G752" s="1404"/>
      <c r="H752" s="1404"/>
      <c r="I752" s="1404"/>
      <c r="J752" s="1404"/>
      <c r="K752" s="1404"/>
      <c r="L752" s="1404"/>
      <c r="M752" s="1404"/>
      <c r="N752" s="1404"/>
      <c r="O752" s="1404"/>
      <c r="P752" s="1404"/>
      <c r="Q752" s="1404"/>
      <c r="R752" s="1404"/>
      <c r="S752" s="1404"/>
      <c r="T752" s="1404"/>
      <c r="U752" s="1404"/>
      <c r="V752" s="1404"/>
      <c r="W752" s="1404"/>
      <c r="X752" s="1404"/>
      <c r="Y752" s="1404"/>
      <c r="Z752" s="1404"/>
    </row>
    <row r="753">
      <c r="A753" s="1404"/>
      <c r="B753" s="1404"/>
      <c r="C753" s="1404"/>
      <c r="D753" s="1404"/>
      <c r="E753" s="1404"/>
      <c r="F753" s="1404"/>
      <c r="G753" s="1404"/>
      <c r="H753" s="1404"/>
      <c r="I753" s="1404"/>
      <c r="J753" s="1404"/>
      <c r="K753" s="1404"/>
      <c r="L753" s="1404"/>
      <c r="M753" s="1404"/>
      <c r="N753" s="1404"/>
      <c r="O753" s="1404"/>
      <c r="P753" s="1404"/>
      <c r="Q753" s="1404"/>
      <c r="R753" s="1404"/>
      <c r="S753" s="1404"/>
      <c r="T753" s="1404"/>
      <c r="U753" s="1404"/>
      <c r="V753" s="1404"/>
      <c r="W753" s="1404"/>
      <c r="X753" s="1404"/>
      <c r="Y753" s="1404"/>
      <c r="Z753" s="1404"/>
    </row>
    <row r="754">
      <c r="A754" s="1404"/>
      <c r="B754" s="1404"/>
      <c r="C754" s="1404"/>
      <c r="D754" s="1404"/>
      <c r="E754" s="1404"/>
      <c r="F754" s="1404"/>
      <c r="G754" s="1404"/>
      <c r="H754" s="1404"/>
      <c r="I754" s="1404"/>
      <c r="J754" s="1404"/>
      <c r="K754" s="1404"/>
      <c r="L754" s="1404"/>
      <c r="M754" s="1404"/>
      <c r="N754" s="1404"/>
      <c r="O754" s="1404"/>
      <c r="P754" s="1404"/>
      <c r="Q754" s="1404"/>
      <c r="R754" s="1404"/>
      <c r="S754" s="1404"/>
      <c r="T754" s="1404"/>
      <c r="U754" s="1404"/>
      <c r="V754" s="1404"/>
      <c r="W754" s="1404"/>
      <c r="X754" s="1404"/>
      <c r="Y754" s="1404"/>
      <c r="Z754" s="1404"/>
    </row>
    <row r="755">
      <c r="A755" s="1404"/>
      <c r="B755" s="1404"/>
      <c r="C755" s="1404"/>
      <c r="D755" s="1404"/>
      <c r="E755" s="1404"/>
      <c r="F755" s="1404"/>
      <c r="G755" s="1404"/>
      <c r="H755" s="1404"/>
      <c r="I755" s="1404"/>
      <c r="J755" s="1404"/>
      <c r="K755" s="1404"/>
      <c r="L755" s="1404"/>
      <c r="M755" s="1404"/>
      <c r="N755" s="1404"/>
      <c r="O755" s="1404"/>
      <c r="P755" s="1404"/>
      <c r="Q755" s="1404"/>
      <c r="R755" s="1404"/>
      <c r="S755" s="1404"/>
      <c r="T755" s="1404"/>
      <c r="U755" s="1404"/>
      <c r="V755" s="1404"/>
      <c r="W755" s="1404"/>
      <c r="X755" s="1404"/>
      <c r="Y755" s="1404"/>
      <c r="Z755" s="1404"/>
    </row>
    <row r="756">
      <c r="A756" s="1404"/>
      <c r="B756" s="1404"/>
      <c r="C756" s="1404"/>
      <c r="D756" s="1404"/>
      <c r="E756" s="1404"/>
      <c r="F756" s="1404"/>
      <c r="G756" s="1404"/>
      <c r="H756" s="1404"/>
      <c r="I756" s="1404"/>
      <c r="J756" s="1404"/>
      <c r="K756" s="1404"/>
      <c r="L756" s="1404"/>
      <c r="M756" s="1404"/>
      <c r="N756" s="1404"/>
      <c r="O756" s="1404"/>
      <c r="P756" s="1404"/>
      <c r="Q756" s="1404"/>
      <c r="R756" s="1404"/>
      <c r="S756" s="1404"/>
      <c r="T756" s="1404"/>
      <c r="U756" s="1404"/>
      <c r="V756" s="1404"/>
      <c r="W756" s="1404"/>
      <c r="X756" s="1404"/>
      <c r="Y756" s="1404"/>
      <c r="Z756" s="1404"/>
    </row>
    <row r="757">
      <c r="A757" s="1404"/>
      <c r="B757" s="1404"/>
      <c r="C757" s="1404"/>
      <c r="D757" s="1404"/>
      <c r="E757" s="1404"/>
      <c r="F757" s="1404"/>
      <c r="G757" s="1404"/>
      <c r="H757" s="1404"/>
      <c r="I757" s="1404"/>
      <c r="J757" s="1404"/>
      <c r="K757" s="1404"/>
      <c r="L757" s="1404"/>
      <c r="M757" s="1404"/>
      <c r="N757" s="1404"/>
      <c r="O757" s="1404"/>
      <c r="P757" s="1404"/>
      <c r="Q757" s="1404"/>
      <c r="R757" s="1404"/>
      <c r="S757" s="1404"/>
      <c r="T757" s="1404"/>
      <c r="U757" s="1404"/>
      <c r="V757" s="1404"/>
      <c r="W757" s="1404"/>
      <c r="X757" s="1404"/>
      <c r="Y757" s="1404"/>
      <c r="Z757" s="1404"/>
    </row>
    <row r="758">
      <c r="A758" s="1404"/>
      <c r="B758" s="1404"/>
      <c r="C758" s="1404"/>
      <c r="D758" s="1404"/>
      <c r="E758" s="1404"/>
      <c r="F758" s="1404"/>
      <c r="G758" s="1404"/>
      <c r="H758" s="1404"/>
      <c r="I758" s="1404"/>
      <c r="J758" s="1404"/>
      <c r="K758" s="1404"/>
      <c r="L758" s="1404"/>
      <c r="M758" s="1404"/>
      <c r="N758" s="1404"/>
      <c r="O758" s="1404"/>
      <c r="P758" s="1404"/>
      <c r="Q758" s="1404"/>
      <c r="R758" s="1404"/>
      <c r="S758" s="1404"/>
      <c r="T758" s="1404"/>
      <c r="U758" s="1404"/>
      <c r="V758" s="1404"/>
      <c r="W758" s="1404"/>
      <c r="X758" s="1404"/>
      <c r="Y758" s="1404"/>
      <c r="Z758" s="1404"/>
    </row>
    <row r="759">
      <c r="A759" s="1404"/>
      <c r="B759" s="1404"/>
      <c r="C759" s="1404"/>
      <c r="D759" s="1404"/>
      <c r="E759" s="1404"/>
      <c r="F759" s="1404"/>
      <c r="G759" s="1404"/>
      <c r="H759" s="1404"/>
      <c r="I759" s="1404"/>
      <c r="J759" s="1404"/>
      <c r="K759" s="1404"/>
      <c r="L759" s="1404"/>
      <c r="M759" s="1404"/>
      <c r="N759" s="1404"/>
      <c r="O759" s="1404"/>
      <c r="P759" s="1404"/>
      <c r="Q759" s="1404"/>
      <c r="R759" s="1404"/>
      <c r="S759" s="1404"/>
      <c r="T759" s="1404"/>
      <c r="U759" s="1404"/>
      <c r="V759" s="1404"/>
      <c r="W759" s="1404"/>
      <c r="X759" s="1404"/>
      <c r="Y759" s="1404"/>
      <c r="Z759" s="1404"/>
    </row>
    <row r="760">
      <c r="A760" s="1404"/>
      <c r="B760" s="1404"/>
      <c r="C760" s="1404"/>
      <c r="D760" s="1404"/>
      <c r="E760" s="1404"/>
      <c r="F760" s="1404"/>
      <c r="G760" s="1404"/>
      <c r="H760" s="1404"/>
      <c r="I760" s="1404"/>
      <c r="J760" s="1404"/>
      <c r="K760" s="1404"/>
      <c r="L760" s="1404"/>
      <c r="M760" s="1404"/>
      <c r="N760" s="1404"/>
      <c r="O760" s="1404"/>
      <c r="P760" s="1404"/>
      <c r="Q760" s="1404"/>
      <c r="R760" s="1404"/>
      <c r="S760" s="1404"/>
      <c r="T760" s="1404"/>
      <c r="U760" s="1404"/>
      <c r="V760" s="1404"/>
      <c r="W760" s="1404"/>
      <c r="X760" s="1404"/>
      <c r="Y760" s="1404"/>
      <c r="Z760" s="1404"/>
    </row>
    <row r="761">
      <c r="A761" s="1404"/>
      <c r="B761" s="1404"/>
      <c r="C761" s="1404"/>
      <c r="D761" s="1404"/>
      <c r="E761" s="1404"/>
      <c r="F761" s="1404"/>
      <c r="G761" s="1404"/>
      <c r="H761" s="1404"/>
      <c r="I761" s="1404"/>
      <c r="J761" s="1404"/>
      <c r="K761" s="1404"/>
      <c r="L761" s="1404"/>
      <c r="M761" s="1404"/>
      <c r="N761" s="1404"/>
      <c r="O761" s="1404"/>
      <c r="P761" s="1404"/>
      <c r="Q761" s="1404"/>
      <c r="R761" s="1404"/>
      <c r="S761" s="1404"/>
      <c r="T761" s="1404"/>
      <c r="U761" s="1404"/>
      <c r="V761" s="1404"/>
      <c r="W761" s="1404"/>
      <c r="X761" s="1404"/>
      <c r="Y761" s="1404"/>
      <c r="Z761" s="1404"/>
    </row>
    <row r="762">
      <c r="A762" s="1404"/>
      <c r="B762" s="1404"/>
      <c r="C762" s="1404"/>
      <c r="D762" s="1404"/>
      <c r="E762" s="1404"/>
      <c r="F762" s="1404"/>
      <c r="G762" s="1404"/>
      <c r="H762" s="1404"/>
      <c r="I762" s="1404"/>
      <c r="J762" s="1404"/>
      <c r="K762" s="1404"/>
      <c r="L762" s="1404"/>
      <c r="M762" s="1404"/>
      <c r="N762" s="1404"/>
      <c r="O762" s="1404"/>
      <c r="P762" s="1404"/>
      <c r="Q762" s="1404"/>
      <c r="R762" s="1404"/>
      <c r="S762" s="1404"/>
      <c r="T762" s="1404"/>
      <c r="U762" s="1404"/>
      <c r="V762" s="1404"/>
      <c r="W762" s="1404"/>
      <c r="X762" s="1404"/>
      <c r="Y762" s="1404"/>
      <c r="Z762" s="1404"/>
    </row>
    <row r="763">
      <c r="A763" s="1404"/>
      <c r="B763" s="1404"/>
      <c r="C763" s="1404"/>
      <c r="D763" s="1404"/>
      <c r="E763" s="1404"/>
      <c r="F763" s="1404"/>
      <c r="G763" s="1404"/>
      <c r="H763" s="1404"/>
      <c r="I763" s="1404"/>
      <c r="J763" s="1404"/>
      <c r="K763" s="1404"/>
      <c r="L763" s="1404"/>
      <c r="M763" s="1404"/>
      <c r="N763" s="1404"/>
      <c r="O763" s="1404"/>
      <c r="P763" s="1404"/>
      <c r="Q763" s="1404"/>
      <c r="R763" s="1404"/>
      <c r="S763" s="1404"/>
      <c r="T763" s="1404"/>
      <c r="U763" s="1404"/>
      <c r="V763" s="1404"/>
      <c r="W763" s="1404"/>
      <c r="X763" s="1404"/>
      <c r="Y763" s="1404"/>
      <c r="Z763" s="1404"/>
    </row>
    <row r="764">
      <c r="A764" s="1404"/>
      <c r="B764" s="1404"/>
      <c r="C764" s="1404"/>
      <c r="D764" s="1404"/>
      <c r="E764" s="1404"/>
      <c r="F764" s="1404"/>
      <c r="G764" s="1404"/>
      <c r="H764" s="1404"/>
      <c r="I764" s="1404"/>
      <c r="J764" s="1404"/>
      <c r="K764" s="1404"/>
      <c r="L764" s="1404"/>
      <c r="M764" s="1404"/>
      <c r="N764" s="1404"/>
      <c r="O764" s="1404"/>
      <c r="P764" s="1404"/>
      <c r="Q764" s="1404"/>
      <c r="R764" s="1404"/>
      <c r="S764" s="1404"/>
      <c r="T764" s="1404"/>
      <c r="U764" s="1404"/>
      <c r="V764" s="1404"/>
      <c r="W764" s="1404"/>
      <c r="X764" s="1404"/>
      <c r="Y764" s="1404"/>
      <c r="Z764" s="1404"/>
    </row>
    <row r="765">
      <c r="A765" s="1404"/>
      <c r="B765" s="1404"/>
      <c r="C765" s="1404"/>
      <c r="D765" s="1404"/>
      <c r="E765" s="1404"/>
      <c r="F765" s="1404"/>
      <c r="G765" s="1404"/>
      <c r="H765" s="1404"/>
      <c r="I765" s="1404"/>
      <c r="J765" s="1404"/>
      <c r="K765" s="1404"/>
      <c r="L765" s="1404"/>
      <c r="M765" s="1404"/>
      <c r="N765" s="1404"/>
      <c r="O765" s="1404"/>
      <c r="P765" s="1404"/>
      <c r="Q765" s="1404"/>
      <c r="R765" s="1404"/>
      <c r="S765" s="1404"/>
      <c r="T765" s="1404"/>
      <c r="U765" s="1404"/>
      <c r="V765" s="1404"/>
      <c r="W765" s="1404"/>
      <c r="X765" s="1404"/>
      <c r="Y765" s="1404"/>
      <c r="Z765" s="1404"/>
    </row>
    <row r="766">
      <c r="A766" s="1404"/>
      <c r="B766" s="1404"/>
      <c r="C766" s="1404"/>
      <c r="D766" s="1404"/>
      <c r="E766" s="1404"/>
      <c r="F766" s="1404"/>
      <c r="G766" s="1404"/>
      <c r="H766" s="1404"/>
      <c r="I766" s="1404"/>
      <c r="J766" s="1404"/>
      <c r="K766" s="1404"/>
      <c r="L766" s="1404"/>
      <c r="M766" s="1404"/>
      <c r="N766" s="1404"/>
      <c r="O766" s="1404"/>
      <c r="P766" s="1404"/>
      <c r="Q766" s="1404"/>
      <c r="R766" s="1404"/>
      <c r="S766" s="1404"/>
      <c r="T766" s="1404"/>
      <c r="U766" s="1404"/>
      <c r="V766" s="1404"/>
      <c r="W766" s="1404"/>
      <c r="X766" s="1404"/>
      <c r="Y766" s="1404"/>
      <c r="Z766" s="1404"/>
    </row>
    <row r="767">
      <c r="A767" s="1404"/>
      <c r="B767" s="1404"/>
      <c r="C767" s="1404"/>
      <c r="D767" s="1404"/>
      <c r="E767" s="1404"/>
      <c r="F767" s="1404"/>
      <c r="G767" s="1404"/>
      <c r="H767" s="1404"/>
      <c r="I767" s="1404"/>
      <c r="J767" s="1404"/>
      <c r="K767" s="1404"/>
      <c r="L767" s="1404"/>
      <c r="M767" s="1404"/>
      <c r="N767" s="1404"/>
      <c r="O767" s="1404"/>
      <c r="P767" s="1404"/>
      <c r="Q767" s="1404"/>
      <c r="R767" s="1404"/>
      <c r="S767" s="1404"/>
      <c r="T767" s="1404"/>
      <c r="U767" s="1404"/>
      <c r="V767" s="1404"/>
      <c r="W767" s="1404"/>
      <c r="X767" s="1404"/>
      <c r="Y767" s="1404"/>
      <c r="Z767" s="1404"/>
    </row>
    <row r="768">
      <c r="A768" s="1404"/>
      <c r="B768" s="1404"/>
      <c r="C768" s="1404"/>
      <c r="D768" s="1404"/>
      <c r="E768" s="1404"/>
      <c r="F768" s="1404"/>
      <c r="G768" s="1404"/>
      <c r="H768" s="1404"/>
      <c r="I768" s="1404"/>
      <c r="J768" s="1404"/>
      <c r="K768" s="1404"/>
      <c r="L768" s="1404"/>
      <c r="M768" s="1404"/>
      <c r="N768" s="1404"/>
      <c r="O768" s="1404"/>
      <c r="P768" s="1404"/>
      <c r="Q768" s="1404"/>
      <c r="R768" s="1404"/>
      <c r="S768" s="1404"/>
      <c r="T768" s="1404"/>
      <c r="U768" s="1404"/>
      <c r="V768" s="1404"/>
      <c r="W768" s="1404"/>
      <c r="X768" s="1404"/>
      <c r="Y768" s="1404"/>
      <c r="Z768" s="1404"/>
    </row>
    <row r="769">
      <c r="A769" s="1404"/>
      <c r="B769" s="1404"/>
      <c r="C769" s="1404"/>
      <c r="D769" s="1404"/>
      <c r="E769" s="1404"/>
      <c r="F769" s="1404"/>
      <c r="G769" s="1404"/>
      <c r="H769" s="1404"/>
      <c r="I769" s="1404"/>
      <c r="J769" s="1404"/>
      <c r="K769" s="1404"/>
      <c r="L769" s="1404"/>
      <c r="M769" s="1404"/>
      <c r="N769" s="1404"/>
      <c r="O769" s="1404"/>
      <c r="P769" s="1404"/>
      <c r="Q769" s="1404"/>
      <c r="R769" s="1404"/>
      <c r="S769" s="1404"/>
      <c r="T769" s="1404"/>
      <c r="U769" s="1404"/>
      <c r="V769" s="1404"/>
      <c r="W769" s="1404"/>
      <c r="X769" s="1404"/>
      <c r="Y769" s="1404"/>
      <c r="Z769" s="1404"/>
    </row>
    <row r="770">
      <c r="A770" s="1404"/>
      <c r="B770" s="1404"/>
      <c r="C770" s="1404"/>
      <c r="D770" s="1404"/>
      <c r="E770" s="1404"/>
      <c r="F770" s="1404"/>
      <c r="G770" s="1404"/>
      <c r="H770" s="1404"/>
      <c r="I770" s="1404"/>
      <c r="J770" s="1404"/>
      <c r="K770" s="1404"/>
      <c r="L770" s="1404"/>
      <c r="M770" s="1404"/>
      <c r="N770" s="1404"/>
      <c r="O770" s="1404"/>
      <c r="P770" s="1404"/>
      <c r="Q770" s="1404"/>
      <c r="R770" s="1404"/>
      <c r="S770" s="1404"/>
      <c r="T770" s="1404"/>
      <c r="U770" s="1404"/>
      <c r="V770" s="1404"/>
      <c r="W770" s="1404"/>
      <c r="X770" s="1404"/>
      <c r="Y770" s="1404"/>
      <c r="Z770" s="1404"/>
    </row>
    <row r="771">
      <c r="A771" s="1404"/>
      <c r="B771" s="1404"/>
      <c r="C771" s="1404"/>
      <c r="D771" s="1404"/>
      <c r="E771" s="1404"/>
      <c r="F771" s="1404"/>
      <c r="G771" s="1404"/>
      <c r="H771" s="1404"/>
      <c r="I771" s="1404"/>
      <c r="J771" s="1404"/>
      <c r="K771" s="1404"/>
      <c r="L771" s="1404"/>
      <c r="M771" s="1404"/>
      <c r="N771" s="1404"/>
      <c r="O771" s="1404"/>
      <c r="P771" s="1404"/>
      <c r="Q771" s="1404"/>
      <c r="R771" s="1404"/>
      <c r="S771" s="1404"/>
      <c r="T771" s="1404"/>
      <c r="U771" s="1404"/>
      <c r="V771" s="1404"/>
      <c r="W771" s="1404"/>
      <c r="X771" s="1404"/>
      <c r="Y771" s="1404"/>
      <c r="Z771" s="1404"/>
    </row>
    <row r="772">
      <c r="A772" s="1404"/>
      <c r="B772" s="1404"/>
      <c r="C772" s="1404"/>
      <c r="D772" s="1404"/>
      <c r="E772" s="1404"/>
      <c r="F772" s="1404"/>
      <c r="G772" s="1404"/>
      <c r="H772" s="1404"/>
      <c r="I772" s="1404"/>
      <c r="J772" s="1404"/>
      <c r="K772" s="1404"/>
      <c r="L772" s="1404"/>
      <c r="M772" s="1404"/>
      <c r="N772" s="1404"/>
      <c r="O772" s="1404"/>
      <c r="P772" s="1404"/>
      <c r="Q772" s="1404"/>
      <c r="R772" s="1404"/>
      <c r="S772" s="1404"/>
      <c r="T772" s="1404"/>
      <c r="U772" s="1404"/>
      <c r="V772" s="1404"/>
      <c r="W772" s="1404"/>
      <c r="X772" s="1404"/>
      <c r="Y772" s="1404"/>
      <c r="Z772" s="1404"/>
    </row>
    <row r="773">
      <c r="A773" s="1404"/>
      <c r="B773" s="1404"/>
      <c r="C773" s="1404"/>
      <c r="D773" s="1404"/>
      <c r="E773" s="1404"/>
      <c r="F773" s="1404"/>
      <c r="G773" s="1404"/>
      <c r="H773" s="1404"/>
      <c r="I773" s="1404"/>
      <c r="J773" s="1404"/>
      <c r="K773" s="1404"/>
      <c r="L773" s="1404"/>
      <c r="M773" s="1404"/>
      <c r="N773" s="1404"/>
      <c r="O773" s="1404"/>
      <c r="P773" s="1404"/>
      <c r="Q773" s="1404"/>
      <c r="R773" s="1404"/>
      <c r="S773" s="1404"/>
      <c r="T773" s="1404"/>
      <c r="U773" s="1404"/>
      <c r="V773" s="1404"/>
      <c r="W773" s="1404"/>
      <c r="X773" s="1404"/>
      <c r="Y773" s="1404"/>
      <c r="Z773" s="1404"/>
    </row>
    <row r="774">
      <c r="A774" s="1404"/>
      <c r="B774" s="1404"/>
      <c r="C774" s="1404"/>
      <c r="D774" s="1404"/>
      <c r="E774" s="1404"/>
      <c r="F774" s="1404"/>
      <c r="G774" s="1404"/>
      <c r="H774" s="1404"/>
      <c r="I774" s="1404"/>
      <c r="J774" s="1404"/>
      <c r="K774" s="1404"/>
      <c r="L774" s="1404"/>
      <c r="M774" s="1404"/>
      <c r="N774" s="1404"/>
      <c r="O774" s="1404"/>
      <c r="P774" s="1404"/>
      <c r="Q774" s="1404"/>
      <c r="R774" s="1404"/>
      <c r="S774" s="1404"/>
      <c r="T774" s="1404"/>
      <c r="U774" s="1404"/>
      <c r="V774" s="1404"/>
      <c r="W774" s="1404"/>
      <c r="X774" s="1404"/>
      <c r="Y774" s="1404"/>
      <c r="Z774" s="1404"/>
    </row>
    <row r="775">
      <c r="A775" s="1404"/>
      <c r="B775" s="1404"/>
      <c r="C775" s="1404"/>
      <c r="D775" s="1404"/>
      <c r="E775" s="1404"/>
      <c r="F775" s="1404"/>
      <c r="G775" s="1404"/>
      <c r="H775" s="1404"/>
      <c r="I775" s="1404"/>
      <c r="J775" s="1404"/>
      <c r="K775" s="1404"/>
      <c r="L775" s="1404"/>
      <c r="M775" s="1404"/>
      <c r="N775" s="1404"/>
      <c r="O775" s="1404"/>
      <c r="P775" s="1404"/>
      <c r="Q775" s="1404"/>
      <c r="R775" s="1404"/>
      <c r="S775" s="1404"/>
      <c r="T775" s="1404"/>
      <c r="U775" s="1404"/>
      <c r="V775" s="1404"/>
      <c r="W775" s="1404"/>
      <c r="X775" s="1404"/>
      <c r="Y775" s="1404"/>
      <c r="Z775" s="1404"/>
    </row>
    <row r="776">
      <c r="A776" s="1404"/>
      <c r="B776" s="1404"/>
      <c r="C776" s="1404"/>
      <c r="D776" s="1404"/>
      <c r="E776" s="1404"/>
      <c r="F776" s="1404"/>
      <c r="G776" s="1404"/>
      <c r="H776" s="1404"/>
      <c r="I776" s="1404"/>
      <c r="J776" s="1404"/>
      <c r="K776" s="1404"/>
      <c r="L776" s="1404"/>
      <c r="M776" s="1404"/>
      <c r="N776" s="1404"/>
      <c r="O776" s="1404"/>
      <c r="P776" s="1404"/>
      <c r="Q776" s="1404"/>
      <c r="R776" s="1404"/>
      <c r="S776" s="1404"/>
      <c r="T776" s="1404"/>
      <c r="U776" s="1404"/>
      <c r="V776" s="1404"/>
      <c r="W776" s="1404"/>
      <c r="X776" s="1404"/>
      <c r="Y776" s="1404"/>
      <c r="Z776" s="1404"/>
    </row>
    <row r="777">
      <c r="A777" s="1404"/>
      <c r="B777" s="1404"/>
      <c r="C777" s="1404"/>
      <c r="D777" s="1404"/>
      <c r="E777" s="1404"/>
      <c r="F777" s="1404"/>
      <c r="G777" s="1404"/>
      <c r="H777" s="1404"/>
      <c r="I777" s="1404"/>
      <c r="J777" s="1404"/>
      <c r="K777" s="1404"/>
      <c r="L777" s="1404"/>
      <c r="M777" s="1404"/>
      <c r="N777" s="1404"/>
      <c r="O777" s="1404"/>
      <c r="P777" s="1404"/>
      <c r="Q777" s="1404"/>
      <c r="R777" s="1404"/>
      <c r="S777" s="1404"/>
      <c r="T777" s="1404"/>
      <c r="U777" s="1404"/>
      <c r="V777" s="1404"/>
      <c r="W777" s="1404"/>
      <c r="X777" s="1404"/>
      <c r="Y777" s="1404"/>
      <c r="Z777" s="1404"/>
    </row>
    <row r="778">
      <c r="A778" s="1404"/>
      <c r="B778" s="1404"/>
      <c r="C778" s="1404"/>
      <c r="D778" s="1404"/>
      <c r="E778" s="1404"/>
      <c r="F778" s="1404"/>
      <c r="G778" s="1404"/>
      <c r="H778" s="1404"/>
      <c r="I778" s="1404"/>
      <c r="J778" s="1404"/>
      <c r="K778" s="1404"/>
      <c r="L778" s="1404"/>
      <c r="M778" s="1404"/>
      <c r="N778" s="1404"/>
      <c r="O778" s="1404"/>
      <c r="P778" s="1404"/>
      <c r="Q778" s="1404"/>
      <c r="R778" s="1404"/>
      <c r="S778" s="1404"/>
      <c r="T778" s="1404"/>
      <c r="U778" s="1404"/>
      <c r="V778" s="1404"/>
      <c r="W778" s="1404"/>
      <c r="X778" s="1404"/>
      <c r="Y778" s="1404"/>
      <c r="Z778" s="1404"/>
    </row>
    <row r="779">
      <c r="A779" s="1404"/>
      <c r="B779" s="1404"/>
      <c r="C779" s="1404"/>
      <c r="D779" s="1404"/>
      <c r="E779" s="1404"/>
      <c r="F779" s="1404"/>
      <c r="G779" s="1404"/>
      <c r="H779" s="1404"/>
      <c r="I779" s="1404"/>
      <c r="J779" s="1404"/>
      <c r="K779" s="1404"/>
      <c r="L779" s="1404"/>
      <c r="M779" s="1404"/>
      <c r="N779" s="1404"/>
      <c r="O779" s="1404"/>
      <c r="P779" s="1404"/>
      <c r="Q779" s="1404"/>
      <c r="R779" s="1404"/>
      <c r="S779" s="1404"/>
      <c r="T779" s="1404"/>
      <c r="U779" s="1404"/>
      <c r="V779" s="1404"/>
      <c r="W779" s="1404"/>
      <c r="X779" s="1404"/>
      <c r="Y779" s="1404"/>
      <c r="Z779" s="1404"/>
    </row>
    <row r="780">
      <c r="A780" s="1404"/>
      <c r="B780" s="1404"/>
      <c r="C780" s="1404"/>
      <c r="D780" s="1404"/>
      <c r="E780" s="1404"/>
      <c r="F780" s="1404"/>
      <c r="G780" s="1404"/>
      <c r="H780" s="1404"/>
      <c r="I780" s="1404"/>
      <c r="J780" s="1404"/>
      <c r="K780" s="1404"/>
      <c r="L780" s="1404"/>
      <c r="M780" s="1404"/>
      <c r="N780" s="1404"/>
      <c r="O780" s="1404"/>
      <c r="P780" s="1404"/>
      <c r="Q780" s="1404"/>
      <c r="R780" s="1404"/>
      <c r="S780" s="1404"/>
      <c r="T780" s="1404"/>
      <c r="U780" s="1404"/>
      <c r="V780" s="1404"/>
      <c r="W780" s="1404"/>
      <c r="X780" s="1404"/>
      <c r="Y780" s="1404"/>
      <c r="Z780" s="1404"/>
    </row>
    <row r="781">
      <c r="A781" s="1404"/>
      <c r="B781" s="1404"/>
      <c r="C781" s="1404"/>
      <c r="D781" s="1404"/>
      <c r="E781" s="1404"/>
      <c r="F781" s="1404"/>
      <c r="G781" s="1404"/>
      <c r="H781" s="1404"/>
      <c r="I781" s="1404"/>
      <c r="J781" s="1404"/>
      <c r="K781" s="1404"/>
      <c r="L781" s="1404"/>
      <c r="M781" s="1404"/>
      <c r="N781" s="1404"/>
      <c r="O781" s="1404"/>
      <c r="P781" s="1404"/>
      <c r="Q781" s="1404"/>
      <c r="R781" s="1404"/>
      <c r="S781" s="1404"/>
      <c r="T781" s="1404"/>
      <c r="U781" s="1404"/>
      <c r="V781" s="1404"/>
      <c r="W781" s="1404"/>
      <c r="X781" s="1404"/>
      <c r="Y781" s="1404"/>
      <c r="Z781" s="1404"/>
    </row>
    <row r="782">
      <c r="A782" s="1404"/>
      <c r="B782" s="1404"/>
      <c r="C782" s="1404"/>
      <c r="D782" s="1404"/>
      <c r="E782" s="1404"/>
      <c r="F782" s="1404"/>
      <c r="G782" s="1404"/>
      <c r="H782" s="1404"/>
      <c r="I782" s="1404"/>
      <c r="J782" s="1404"/>
      <c r="K782" s="1404"/>
      <c r="L782" s="1404"/>
      <c r="M782" s="1404"/>
      <c r="N782" s="1404"/>
      <c r="O782" s="1404"/>
      <c r="P782" s="1404"/>
      <c r="Q782" s="1404"/>
      <c r="R782" s="1404"/>
      <c r="S782" s="1404"/>
      <c r="T782" s="1404"/>
      <c r="U782" s="1404"/>
      <c r="V782" s="1404"/>
      <c r="W782" s="1404"/>
      <c r="X782" s="1404"/>
      <c r="Y782" s="1404"/>
      <c r="Z782" s="1404"/>
    </row>
    <row r="783">
      <c r="A783" s="1404"/>
      <c r="B783" s="1404"/>
      <c r="C783" s="1404"/>
      <c r="D783" s="1404"/>
      <c r="E783" s="1404"/>
      <c r="F783" s="1404"/>
      <c r="G783" s="1404"/>
      <c r="H783" s="1404"/>
      <c r="I783" s="1404"/>
      <c r="J783" s="1404"/>
      <c r="K783" s="1404"/>
      <c r="L783" s="1404"/>
      <c r="M783" s="1404"/>
      <c r="N783" s="1404"/>
      <c r="O783" s="1404"/>
      <c r="P783" s="1404"/>
      <c r="Q783" s="1404"/>
      <c r="R783" s="1404"/>
      <c r="S783" s="1404"/>
      <c r="T783" s="1404"/>
      <c r="U783" s="1404"/>
      <c r="V783" s="1404"/>
      <c r="W783" s="1404"/>
      <c r="X783" s="1404"/>
      <c r="Y783" s="1404"/>
      <c r="Z783" s="1404"/>
    </row>
    <row r="784">
      <c r="A784" s="1404"/>
      <c r="B784" s="1404"/>
      <c r="C784" s="1404"/>
      <c r="D784" s="1404"/>
      <c r="E784" s="1404"/>
      <c r="F784" s="1404"/>
      <c r="G784" s="1404"/>
      <c r="H784" s="1404"/>
      <c r="I784" s="1404"/>
      <c r="J784" s="1404"/>
      <c r="K784" s="1404"/>
      <c r="L784" s="1404"/>
      <c r="M784" s="1404"/>
      <c r="N784" s="1404"/>
      <c r="O784" s="1404"/>
      <c r="P784" s="1404"/>
      <c r="Q784" s="1404"/>
      <c r="R784" s="1404"/>
      <c r="S784" s="1404"/>
      <c r="T784" s="1404"/>
      <c r="U784" s="1404"/>
      <c r="V784" s="1404"/>
      <c r="W784" s="1404"/>
      <c r="X784" s="1404"/>
      <c r="Y784" s="1404"/>
      <c r="Z784" s="1404"/>
    </row>
    <row r="785">
      <c r="A785" s="1404"/>
      <c r="B785" s="1404"/>
      <c r="C785" s="1404"/>
      <c r="D785" s="1404"/>
      <c r="E785" s="1404"/>
      <c r="F785" s="1404"/>
      <c r="G785" s="1404"/>
      <c r="H785" s="1404"/>
      <c r="I785" s="1404"/>
      <c r="J785" s="1404"/>
      <c r="K785" s="1404"/>
      <c r="L785" s="1404"/>
      <c r="M785" s="1404"/>
      <c r="N785" s="1404"/>
      <c r="O785" s="1404"/>
      <c r="P785" s="1404"/>
      <c r="Q785" s="1404"/>
      <c r="R785" s="1404"/>
      <c r="S785" s="1404"/>
      <c r="T785" s="1404"/>
      <c r="U785" s="1404"/>
      <c r="V785" s="1404"/>
      <c r="W785" s="1404"/>
      <c r="X785" s="1404"/>
      <c r="Y785" s="1404"/>
      <c r="Z785" s="1404"/>
    </row>
    <row r="786">
      <c r="A786" s="1404"/>
      <c r="B786" s="1404"/>
      <c r="C786" s="1404"/>
      <c r="D786" s="1404"/>
      <c r="E786" s="1404"/>
      <c r="F786" s="1404"/>
      <c r="G786" s="1404"/>
      <c r="H786" s="1404"/>
      <c r="I786" s="1404"/>
      <c r="J786" s="1404"/>
      <c r="K786" s="1404"/>
      <c r="L786" s="1404"/>
      <c r="M786" s="1404"/>
      <c r="N786" s="1404"/>
      <c r="O786" s="1404"/>
      <c r="P786" s="1404"/>
      <c r="Q786" s="1404"/>
      <c r="R786" s="1404"/>
      <c r="S786" s="1404"/>
      <c r="T786" s="1404"/>
      <c r="U786" s="1404"/>
      <c r="V786" s="1404"/>
      <c r="W786" s="1404"/>
      <c r="X786" s="1404"/>
      <c r="Y786" s="1404"/>
      <c r="Z786" s="1404"/>
    </row>
    <row r="787">
      <c r="A787" s="1404"/>
      <c r="B787" s="1404"/>
      <c r="C787" s="1404"/>
      <c r="D787" s="1404"/>
      <c r="E787" s="1404"/>
      <c r="F787" s="1404"/>
      <c r="G787" s="1404"/>
      <c r="H787" s="1404"/>
      <c r="I787" s="1404"/>
      <c r="J787" s="1404"/>
      <c r="K787" s="1404"/>
      <c r="L787" s="1404"/>
      <c r="M787" s="1404"/>
      <c r="N787" s="1404"/>
      <c r="O787" s="1404"/>
      <c r="P787" s="1404"/>
      <c r="Q787" s="1404"/>
      <c r="R787" s="1404"/>
      <c r="S787" s="1404"/>
      <c r="T787" s="1404"/>
      <c r="U787" s="1404"/>
      <c r="V787" s="1404"/>
      <c r="W787" s="1404"/>
      <c r="X787" s="1404"/>
      <c r="Y787" s="1404"/>
      <c r="Z787" s="1404"/>
    </row>
    <row r="788">
      <c r="A788" s="1404"/>
      <c r="B788" s="1404"/>
      <c r="C788" s="1404"/>
      <c r="D788" s="1404"/>
      <c r="E788" s="1404"/>
      <c r="F788" s="1404"/>
      <c r="G788" s="1404"/>
      <c r="H788" s="1404"/>
      <c r="I788" s="1404"/>
      <c r="J788" s="1404"/>
      <c r="K788" s="1404"/>
      <c r="L788" s="1404"/>
      <c r="M788" s="1404"/>
      <c r="N788" s="1404"/>
      <c r="O788" s="1404"/>
      <c r="P788" s="1404"/>
      <c r="Q788" s="1404"/>
      <c r="R788" s="1404"/>
      <c r="S788" s="1404"/>
      <c r="T788" s="1404"/>
      <c r="U788" s="1404"/>
      <c r="V788" s="1404"/>
      <c r="W788" s="1404"/>
      <c r="X788" s="1404"/>
      <c r="Y788" s="1404"/>
      <c r="Z788" s="1404"/>
    </row>
    <row r="789">
      <c r="A789" s="1404"/>
      <c r="B789" s="1404"/>
      <c r="C789" s="1404"/>
      <c r="D789" s="1404"/>
      <c r="E789" s="1404"/>
      <c r="F789" s="1404"/>
      <c r="G789" s="1404"/>
      <c r="H789" s="1404"/>
      <c r="I789" s="1404"/>
      <c r="J789" s="1404"/>
      <c r="K789" s="1404"/>
      <c r="L789" s="1404"/>
      <c r="M789" s="1404"/>
      <c r="N789" s="1404"/>
      <c r="O789" s="1404"/>
      <c r="P789" s="1404"/>
      <c r="Q789" s="1404"/>
      <c r="R789" s="1404"/>
      <c r="S789" s="1404"/>
      <c r="T789" s="1404"/>
      <c r="U789" s="1404"/>
      <c r="V789" s="1404"/>
      <c r="W789" s="1404"/>
      <c r="X789" s="1404"/>
      <c r="Y789" s="1404"/>
      <c r="Z789" s="1404"/>
    </row>
    <row r="790">
      <c r="A790" s="1404"/>
      <c r="B790" s="1404"/>
      <c r="C790" s="1404"/>
      <c r="D790" s="1404"/>
      <c r="E790" s="1404"/>
      <c r="F790" s="1404"/>
      <c r="G790" s="1404"/>
      <c r="H790" s="1404"/>
      <c r="I790" s="1404"/>
      <c r="J790" s="1404"/>
      <c r="K790" s="1404"/>
      <c r="L790" s="1404"/>
      <c r="M790" s="1404"/>
      <c r="N790" s="1404"/>
      <c r="O790" s="1404"/>
      <c r="P790" s="1404"/>
      <c r="Q790" s="1404"/>
      <c r="R790" s="1404"/>
      <c r="S790" s="1404"/>
      <c r="T790" s="1404"/>
      <c r="U790" s="1404"/>
      <c r="V790" s="1404"/>
      <c r="W790" s="1404"/>
      <c r="X790" s="1404"/>
      <c r="Y790" s="1404"/>
      <c r="Z790" s="1404"/>
    </row>
    <row r="791">
      <c r="A791" s="1404"/>
      <c r="B791" s="1404"/>
      <c r="C791" s="1404"/>
      <c r="D791" s="1404"/>
      <c r="E791" s="1404"/>
      <c r="F791" s="1404"/>
      <c r="G791" s="1404"/>
      <c r="H791" s="1404"/>
      <c r="I791" s="1404"/>
      <c r="J791" s="1404"/>
      <c r="K791" s="1404"/>
      <c r="L791" s="1404"/>
      <c r="M791" s="1404"/>
      <c r="N791" s="1404"/>
      <c r="O791" s="1404"/>
      <c r="P791" s="1404"/>
      <c r="Q791" s="1404"/>
      <c r="R791" s="1404"/>
      <c r="S791" s="1404"/>
      <c r="T791" s="1404"/>
      <c r="U791" s="1404"/>
      <c r="V791" s="1404"/>
      <c r="W791" s="1404"/>
      <c r="X791" s="1404"/>
      <c r="Y791" s="1404"/>
      <c r="Z791" s="1404"/>
    </row>
    <row r="792">
      <c r="A792" s="1404"/>
      <c r="B792" s="1404"/>
      <c r="C792" s="1404"/>
      <c r="D792" s="1404"/>
      <c r="E792" s="1404"/>
      <c r="F792" s="1404"/>
      <c r="G792" s="1404"/>
      <c r="H792" s="1404"/>
      <c r="I792" s="1404"/>
      <c r="J792" s="1404"/>
      <c r="K792" s="1404"/>
      <c r="L792" s="1404"/>
      <c r="M792" s="1404"/>
      <c r="N792" s="1404"/>
      <c r="O792" s="1404"/>
      <c r="P792" s="1404"/>
      <c r="Q792" s="1404"/>
      <c r="R792" s="1404"/>
      <c r="S792" s="1404"/>
      <c r="T792" s="1404"/>
      <c r="U792" s="1404"/>
      <c r="V792" s="1404"/>
      <c r="W792" s="1404"/>
      <c r="X792" s="1404"/>
      <c r="Y792" s="1404"/>
      <c r="Z792" s="1404"/>
    </row>
    <row r="793">
      <c r="A793" s="1404"/>
      <c r="B793" s="1404"/>
      <c r="C793" s="1404"/>
      <c r="D793" s="1404"/>
      <c r="E793" s="1404"/>
      <c r="F793" s="1404"/>
      <c r="G793" s="1404"/>
      <c r="H793" s="1404"/>
      <c r="I793" s="1404"/>
      <c r="J793" s="1404"/>
      <c r="K793" s="1404"/>
      <c r="L793" s="1404"/>
      <c r="M793" s="1404"/>
      <c r="N793" s="1404"/>
      <c r="O793" s="1404"/>
      <c r="P793" s="1404"/>
      <c r="Q793" s="1404"/>
      <c r="R793" s="1404"/>
      <c r="S793" s="1404"/>
      <c r="T793" s="1404"/>
      <c r="U793" s="1404"/>
      <c r="V793" s="1404"/>
      <c r="W793" s="1404"/>
      <c r="X793" s="1404"/>
      <c r="Y793" s="1404"/>
      <c r="Z793" s="1404"/>
    </row>
    <row r="794">
      <c r="A794" s="1404"/>
      <c r="B794" s="1404"/>
      <c r="C794" s="1404"/>
      <c r="D794" s="1404"/>
      <c r="E794" s="1404"/>
      <c r="F794" s="1404"/>
      <c r="G794" s="1404"/>
      <c r="H794" s="1404"/>
      <c r="I794" s="1404"/>
      <c r="J794" s="1404"/>
      <c r="K794" s="1404"/>
      <c r="L794" s="1404"/>
      <c r="M794" s="1404"/>
      <c r="N794" s="1404"/>
      <c r="O794" s="1404"/>
      <c r="P794" s="1404"/>
      <c r="Q794" s="1404"/>
      <c r="R794" s="1404"/>
      <c r="S794" s="1404"/>
      <c r="T794" s="1404"/>
      <c r="U794" s="1404"/>
      <c r="V794" s="1404"/>
      <c r="W794" s="1404"/>
      <c r="X794" s="1404"/>
      <c r="Y794" s="1404"/>
      <c r="Z794" s="1404"/>
    </row>
    <row r="795">
      <c r="A795" s="1404"/>
      <c r="B795" s="1404"/>
      <c r="C795" s="1404"/>
      <c r="D795" s="1404"/>
      <c r="E795" s="1404"/>
      <c r="F795" s="1404"/>
      <c r="G795" s="1404"/>
      <c r="H795" s="1404"/>
      <c r="I795" s="1404"/>
      <c r="J795" s="1404"/>
      <c r="K795" s="1404"/>
      <c r="L795" s="1404"/>
      <c r="M795" s="1404"/>
      <c r="N795" s="1404"/>
      <c r="O795" s="1404"/>
      <c r="P795" s="1404"/>
      <c r="Q795" s="1404"/>
      <c r="R795" s="1404"/>
      <c r="S795" s="1404"/>
      <c r="T795" s="1404"/>
      <c r="U795" s="1404"/>
      <c r="V795" s="1404"/>
      <c r="W795" s="1404"/>
      <c r="X795" s="1404"/>
      <c r="Y795" s="1404"/>
      <c r="Z795" s="1404"/>
    </row>
    <row r="796">
      <c r="A796" s="1404"/>
      <c r="B796" s="1404"/>
      <c r="C796" s="1404"/>
      <c r="D796" s="1404"/>
      <c r="E796" s="1404"/>
      <c r="F796" s="1404"/>
      <c r="G796" s="1404"/>
      <c r="H796" s="1404"/>
      <c r="I796" s="1404"/>
      <c r="J796" s="1404"/>
      <c r="K796" s="1404"/>
      <c r="L796" s="1404"/>
      <c r="M796" s="1404"/>
      <c r="N796" s="1404"/>
      <c r="O796" s="1404"/>
      <c r="P796" s="1404"/>
      <c r="Q796" s="1404"/>
      <c r="R796" s="1404"/>
      <c r="S796" s="1404"/>
      <c r="T796" s="1404"/>
      <c r="U796" s="1404"/>
      <c r="V796" s="1404"/>
      <c r="W796" s="1404"/>
      <c r="X796" s="1404"/>
      <c r="Y796" s="1404"/>
      <c r="Z796" s="1404"/>
    </row>
    <row r="797">
      <c r="A797" s="1404"/>
      <c r="B797" s="1404"/>
      <c r="C797" s="1404"/>
      <c r="D797" s="1404"/>
      <c r="E797" s="1404"/>
      <c r="F797" s="1404"/>
      <c r="G797" s="1404"/>
      <c r="H797" s="1404"/>
      <c r="I797" s="1404"/>
      <c r="J797" s="1404"/>
      <c r="K797" s="1404"/>
      <c r="L797" s="1404"/>
      <c r="M797" s="1404"/>
      <c r="N797" s="1404"/>
      <c r="O797" s="1404"/>
      <c r="P797" s="1404"/>
      <c r="Q797" s="1404"/>
      <c r="R797" s="1404"/>
      <c r="S797" s="1404"/>
      <c r="T797" s="1404"/>
      <c r="U797" s="1404"/>
      <c r="V797" s="1404"/>
      <c r="W797" s="1404"/>
      <c r="X797" s="1404"/>
      <c r="Y797" s="1404"/>
      <c r="Z797" s="1404"/>
    </row>
    <row r="798">
      <c r="A798" s="1404"/>
      <c r="B798" s="1404"/>
      <c r="C798" s="1404"/>
      <c r="D798" s="1404"/>
      <c r="E798" s="1404"/>
      <c r="F798" s="1404"/>
      <c r="G798" s="1404"/>
      <c r="H798" s="1404"/>
      <c r="I798" s="1404"/>
      <c r="J798" s="1404"/>
      <c r="K798" s="1404"/>
      <c r="L798" s="1404"/>
      <c r="M798" s="1404"/>
      <c r="N798" s="1404"/>
      <c r="O798" s="1404"/>
      <c r="P798" s="1404"/>
      <c r="Q798" s="1404"/>
      <c r="R798" s="1404"/>
      <c r="S798" s="1404"/>
      <c r="T798" s="1404"/>
      <c r="U798" s="1404"/>
      <c r="V798" s="1404"/>
      <c r="W798" s="1404"/>
      <c r="X798" s="1404"/>
      <c r="Y798" s="1404"/>
      <c r="Z798" s="1404"/>
    </row>
    <row r="799">
      <c r="A799" s="1404"/>
      <c r="B799" s="1404"/>
      <c r="C799" s="1404"/>
      <c r="D799" s="1404"/>
      <c r="E799" s="1404"/>
      <c r="F799" s="1404"/>
      <c r="G799" s="1404"/>
      <c r="H799" s="1404"/>
      <c r="I799" s="1404"/>
      <c r="J799" s="1404"/>
      <c r="K799" s="1404"/>
      <c r="L799" s="1404"/>
      <c r="M799" s="1404"/>
      <c r="N799" s="1404"/>
      <c r="O799" s="1404"/>
      <c r="P799" s="1404"/>
      <c r="Q799" s="1404"/>
      <c r="R799" s="1404"/>
      <c r="S799" s="1404"/>
      <c r="T799" s="1404"/>
      <c r="U799" s="1404"/>
      <c r="V799" s="1404"/>
      <c r="W799" s="1404"/>
      <c r="X799" s="1404"/>
      <c r="Y799" s="1404"/>
      <c r="Z799" s="1404"/>
    </row>
    <row r="800">
      <c r="A800" s="1404"/>
      <c r="B800" s="1404"/>
      <c r="C800" s="1404"/>
      <c r="D800" s="1404"/>
      <c r="E800" s="1404"/>
      <c r="F800" s="1404"/>
      <c r="G800" s="1404"/>
      <c r="H800" s="1404"/>
      <c r="I800" s="1404"/>
      <c r="J800" s="1404"/>
      <c r="K800" s="1404"/>
      <c r="L800" s="1404"/>
      <c r="M800" s="1404"/>
      <c r="N800" s="1404"/>
      <c r="O800" s="1404"/>
      <c r="P800" s="1404"/>
      <c r="Q800" s="1404"/>
      <c r="R800" s="1404"/>
      <c r="S800" s="1404"/>
      <c r="T800" s="1404"/>
      <c r="U800" s="1404"/>
      <c r="V800" s="1404"/>
      <c r="W800" s="1404"/>
      <c r="X800" s="1404"/>
      <c r="Y800" s="1404"/>
      <c r="Z800" s="1404"/>
    </row>
    <row r="801">
      <c r="A801" s="1404"/>
      <c r="B801" s="1404"/>
      <c r="C801" s="1404"/>
      <c r="D801" s="1404"/>
      <c r="E801" s="1404"/>
      <c r="F801" s="1404"/>
      <c r="G801" s="1404"/>
      <c r="H801" s="1404"/>
      <c r="I801" s="1404"/>
      <c r="J801" s="1404"/>
      <c r="K801" s="1404"/>
      <c r="L801" s="1404"/>
      <c r="M801" s="1404"/>
      <c r="N801" s="1404"/>
      <c r="O801" s="1404"/>
      <c r="P801" s="1404"/>
      <c r="Q801" s="1404"/>
      <c r="R801" s="1404"/>
      <c r="S801" s="1404"/>
      <c r="T801" s="1404"/>
      <c r="U801" s="1404"/>
      <c r="V801" s="1404"/>
      <c r="W801" s="1404"/>
      <c r="X801" s="1404"/>
      <c r="Y801" s="1404"/>
      <c r="Z801" s="1404"/>
    </row>
    <row r="802">
      <c r="A802" s="1404"/>
      <c r="B802" s="1404"/>
      <c r="C802" s="1404"/>
      <c r="D802" s="1404"/>
      <c r="E802" s="1404"/>
      <c r="F802" s="1404"/>
      <c r="G802" s="1404"/>
      <c r="H802" s="1404"/>
      <c r="I802" s="1404"/>
      <c r="J802" s="1404"/>
      <c r="K802" s="1404"/>
      <c r="L802" s="1404"/>
      <c r="M802" s="1404"/>
      <c r="N802" s="1404"/>
      <c r="O802" s="1404"/>
      <c r="P802" s="1404"/>
      <c r="Q802" s="1404"/>
      <c r="R802" s="1404"/>
      <c r="S802" s="1404"/>
      <c r="T802" s="1404"/>
      <c r="U802" s="1404"/>
      <c r="V802" s="1404"/>
      <c r="W802" s="1404"/>
      <c r="X802" s="1404"/>
      <c r="Y802" s="1404"/>
      <c r="Z802" s="1404"/>
    </row>
    <row r="803">
      <c r="A803" s="1404"/>
      <c r="B803" s="1404"/>
      <c r="C803" s="1404"/>
      <c r="D803" s="1404"/>
      <c r="E803" s="1404"/>
      <c r="F803" s="1404"/>
      <c r="G803" s="1404"/>
      <c r="H803" s="1404"/>
      <c r="I803" s="1404"/>
      <c r="J803" s="1404"/>
      <c r="K803" s="1404"/>
      <c r="L803" s="1404"/>
      <c r="M803" s="1404"/>
      <c r="N803" s="1404"/>
      <c r="O803" s="1404"/>
      <c r="P803" s="1404"/>
      <c r="Q803" s="1404"/>
      <c r="R803" s="1404"/>
      <c r="S803" s="1404"/>
      <c r="T803" s="1404"/>
      <c r="U803" s="1404"/>
      <c r="V803" s="1404"/>
      <c r="W803" s="1404"/>
      <c r="X803" s="1404"/>
      <c r="Y803" s="1404"/>
      <c r="Z803" s="1404"/>
    </row>
    <row r="804">
      <c r="A804" s="1404"/>
      <c r="B804" s="1404"/>
      <c r="C804" s="1404"/>
      <c r="D804" s="1404"/>
      <c r="E804" s="1404"/>
      <c r="F804" s="1404"/>
      <c r="G804" s="1404"/>
      <c r="H804" s="1404"/>
      <c r="I804" s="1404"/>
      <c r="J804" s="1404"/>
      <c r="K804" s="1404"/>
      <c r="L804" s="1404"/>
      <c r="M804" s="1404"/>
      <c r="N804" s="1404"/>
      <c r="O804" s="1404"/>
      <c r="P804" s="1404"/>
      <c r="Q804" s="1404"/>
      <c r="R804" s="1404"/>
      <c r="S804" s="1404"/>
      <c r="T804" s="1404"/>
      <c r="U804" s="1404"/>
      <c r="V804" s="1404"/>
      <c r="W804" s="1404"/>
      <c r="X804" s="1404"/>
      <c r="Y804" s="1404"/>
      <c r="Z804" s="1404"/>
    </row>
    <row r="805">
      <c r="A805" s="1404"/>
      <c r="B805" s="1404"/>
      <c r="C805" s="1404"/>
      <c r="D805" s="1404"/>
      <c r="E805" s="1404"/>
      <c r="F805" s="1404"/>
      <c r="G805" s="1404"/>
      <c r="H805" s="1404"/>
      <c r="I805" s="1404"/>
      <c r="J805" s="1404"/>
      <c r="K805" s="1404"/>
      <c r="L805" s="1404"/>
      <c r="M805" s="1404"/>
      <c r="N805" s="1404"/>
      <c r="O805" s="1404"/>
      <c r="P805" s="1404"/>
      <c r="Q805" s="1404"/>
      <c r="R805" s="1404"/>
      <c r="S805" s="1404"/>
      <c r="T805" s="1404"/>
      <c r="U805" s="1404"/>
      <c r="V805" s="1404"/>
      <c r="W805" s="1404"/>
      <c r="X805" s="1404"/>
      <c r="Y805" s="1404"/>
      <c r="Z805" s="1404"/>
    </row>
    <row r="806">
      <c r="A806" s="1404"/>
      <c r="B806" s="1404"/>
      <c r="C806" s="1404"/>
      <c r="D806" s="1404"/>
      <c r="E806" s="1404"/>
      <c r="F806" s="1404"/>
      <c r="G806" s="1404"/>
      <c r="H806" s="1404"/>
      <c r="I806" s="1404"/>
      <c r="J806" s="1404"/>
      <c r="K806" s="1404"/>
      <c r="L806" s="1404"/>
      <c r="M806" s="1404"/>
      <c r="N806" s="1404"/>
      <c r="O806" s="1404"/>
      <c r="P806" s="1404"/>
      <c r="Q806" s="1404"/>
      <c r="R806" s="1404"/>
      <c r="S806" s="1404"/>
      <c r="T806" s="1404"/>
      <c r="U806" s="1404"/>
      <c r="V806" s="1404"/>
      <c r="W806" s="1404"/>
      <c r="X806" s="1404"/>
      <c r="Y806" s="1404"/>
      <c r="Z806" s="1404"/>
    </row>
    <row r="807">
      <c r="A807" s="1404"/>
      <c r="B807" s="1404"/>
      <c r="C807" s="1404"/>
      <c r="D807" s="1404"/>
      <c r="E807" s="1404"/>
      <c r="F807" s="1404"/>
      <c r="G807" s="1404"/>
      <c r="H807" s="1404"/>
      <c r="I807" s="1404"/>
      <c r="J807" s="1404"/>
      <c r="K807" s="1404"/>
      <c r="L807" s="1404"/>
      <c r="M807" s="1404"/>
      <c r="N807" s="1404"/>
      <c r="O807" s="1404"/>
      <c r="P807" s="1404"/>
      <c r="Q807" s="1404"/>
      <c r="R807" s="1404"/>
      <c r="S807" s="1404"/>
      <c r="T807" s="1404"/>
      <c r="U807" s="1404"/>
      <c r="V807" s="1404"/>
      <c r="W807" s="1404"/>
      <c r="X807" s="1404"/>
      <c r="Y807" s="1404"/>
      <c r="Z807" s="1404"/>
    </row>
    <row r="808">
      <c r="A808" s="1404"/>
      <c r="B808" s="1404"/>
      <c r="C808" s="1404"/>
      <c r="D808" s="1404"/>
      <c r="E808" s="1404"/>
      <c r="F808" s="1404"/>
      <c r="G808" s="1404"/>
      <c r="H808" s="1404"/>
      <c r="I808" s="1404"/>
      <c r="J808" s="1404"/>
      <c r="K808" s="1404"/>
      <c r="L808" s="1404"/>
      <c r="M808" s="1404"/>
      <c r="N808" s="1404"/>
      <c r="O808" s="1404"/>
      <c r="P808" s="1404"/>
      <c r="Q808" s="1404"/>
      <c r="R808" s="1404"/>
      <c r="S808" s="1404"/>
      <c r="T808" s="1404"/>
      <c r="U808" s="1404"/>
      <c r="V808" s="1404"/>
      <c r="W808" s="1404"/>
      <c r="X808" s="1404"/>
      <c r="Y808" s="1404"/>
      <c r="Z808" s="1404"/>
    </row>
    <row r="809">
      <c r="A809" s="1404"/>
      <c r="B809" s="1404"/>
      <c r="C809" s="1404"/>
      <c r="D809" s="1404"/>
      <c r="E809" s="1404"/>
      <c r="F809" s="1404"/>
      <c r="G809" s="1404"/>
      <c r="H809" s="1404"/>
      <c r="I809" s="1404"/>
      <c r="J809" s="1404"/>
      <c r="K809" s="1404"/>
      <c r="L809" s="1404"/>
      <c r="M809" s="1404"/>
      <c r="N809" s="1404"/>
      <c r="O809" s="1404"/>
      <c r="P809" s="1404"/>
      <c r="Q809" s="1404"/>
      <c r="R809" s="1404"/>
      <c r="S809" s="1404"/>
      <c r="T809" s="1404"/>
      <c r="U809" s="1404"/>
      <c r="V809" s="1404"/>
      <c r="W809" s="1404"/>
      <c r="X809" s="1404"/>
      <c r="Y809" s="1404"/>
      <c r="Z809" s="1404"/>
    </row>
    <row r="810">
      <c r="A810" s="1404"/>
      <c r="B810" s="1404"/>
      <c r="C810" s="1404"/>
      <c r="D810" s="1404"/>
      <c r="E810" s="1404"/>
      <c r="F810" s="1404"/>
      <c r="G810" s="1404"/>
      <c r="H810" s="1404"/>
      <c r="I810" s="1404"/>
      <c r="J810" s="1404"/>
      <c r="K810" s="1404"/>
      <c r="L810" s="1404"/>
      <c r="M810" s="1404"/>
      <c r="N810" s="1404"/>
      <c r="O810" s="1404"/>
      <c r="P810" s="1404"/>
      <c r="Q810" s="1404"/>
      <c r="R810" s="1404"/>
      <c r="S810" s="1404"/>
      <c r="T810" s="1404"/>
      <c r="U810" s="1404"/>
      <c r="V810" s="1404"/>
      <c r="W810" s="1404"/>
      <c r="X810" s="1404"/>
      <c r="Y810" s="1404"/>
      <c r="Z810" s="1404"/>
    </row>
    <row r="811">
      <c r="A811" s="1404"/>
      <c r="B811" s="1404"/>
      <c r="C811" s="1404"/>
      <c r="D811" s="1404"/>
      <c r="E811" s="1404"/>
      <c r="F811" s="1404"/>
      <c r="G811" s="1404"/>
      <c r="H811" s="1404"/>
      <c r="I811" s="1404"/>
      <c r="J811" s="1404"/>
      <c r="K811" s="1404"/>
      <c r="L811" s="1404"/>
      <c r="M811" s="1404"/>
      <c r="N811" s="1404"/>
      <c r="O811" s="1404"/>
      <c r="P811" s="1404"/>
      <c r="Q811" s="1404"/>
      <c r="R811" s="1404"/>
      <c r="S811" s="1404"/>
      <c r="T811" s="1404"/>
      <c r="U811" s="1404"/>
      <c r="V811" s="1404"/>
      <c r="W811" s="1404"/>
      <c r="X811" s="1404"/>
      <c r="Y811" s="1404"/>
      <c r="Z811" s="1404"/>
    </row>
    <row r="812">
      <c r="A812" s="1404"/>
      <c r="B812" s="1404"/>
      <c r="C812" s="1404"/>
      <c r="D812" s="1404"/>
      <c r="E812" s="1404"/>
      <c r="F812" s="1404"/>
      <c r="G812" s="1404"/>
      <c r="H812" s="1404"/>
      <c r="I812" s="1404"/>
      <c r="J812" s="1404"/>
      <c r="K812" s="1404"/>
      <c r="L812" s="1404"/>
      <c r="M812" s="1404"/>
      <c r="N812" s="1404"/>
      <c r="O812" s="1404"/>
      <c r="P812" s="1404"/>
      <c r="Q812" s="1404"/>
      <c r="R812" s="1404"/>
      <c r="S812" s="1404"/>
      <c r="T812" s="1404"/>
      <c r="U812" s="1404"/>
      <c r="V812" s="1404"/>
      <c r="W812" s="1404"/>
      <c r="X812" s="1404"/>
      <c r="Y812" s="1404"/>
      <c r="Z812" s="1404"/>
    </row>
    <row r="813">
      <c r="A813" s="1404"/>
      <c r="B813" s="1404"/>
      <c r="C813" s="1404"/>
      <c r="D813" s="1404"/>
      <c r="E813" s="1404"/>
      <c r="F813" s="1404"/>
      <c r="G813" s="1404"/>
      <c r="H813" s="1404"/>
      <c r="I813" s="1404"/>
      <c r="J813" s="1404"/>
      <c r="K813" s="1404"/>
      <c r="L813" s="1404"/>
      <c r="M813" s="1404"/>
      <c r="N813" s="1404"/>
      <c r="O813" s="1404"/>
      <c r="P813" s="1404"/>
      <c r="Q813" s="1404"/>
      <c r="R813" s="1404"/>
      <c r="S813" s="1404"/>
      <c r="T813" s="1404"/>
      <c r="U813" s="1404"/>
      <c r="V813" s="1404"/>
      <c r="W813" s="1404"/>
      <c r="X813" s="1404"/>
      <c r="Y813" s="1404"/>
      <c r="Z813" s="1404"/>
    </row>
    <row r="814">
      <c r="A814" s="1404"/>
      <c r="B814" s="1404"/>
      <c r="C814" s="1404"/>
      <c r="D814" s="1404"/>
      <c r="E814" s="1404"/>
      <c r="F814" s="1404"/>
      <c r="G814" s="1404"/>
      <c r="H814" s="1404"/>
      <c r="I814" s="1404"/>
      <c r="J814" s="1404"/>
      <c r="K814" s="1404"/>
      <c r="L814" s="1404"/>
      <c r="M814" s="1404"/>
      <c r="N814" s="1404"/>
      <c r="O814" s="1404"/>
      <c r="P814" s="1404"/>
      <c r="Q814" s="1404"/>
      <c r="R814" s="1404"/>
      <c r="S814" s="1404"/>
      <c r="T814" s="1404"/>
      <c r="U814" s="1404"/>
      <c r="V814" s="1404"/>
      <c r="W814" s="1404"/>
      <c r="X814" s="1404"/>
      <c r="Y814" s="1404"/>
      <c r="Z814" s="1404"/>
    </row>
    <row r="815">
      <c r="A815" s="1404"/>
      <c r="B815" s="1404"/>
      <c r="C815" s="1404"/>
      <c r="D815" s="1404"/>
      <c r="E815" s="1404"/>
      <c r="F815" s="1404"/>
      <c r="G815" s="1404"/>
      <c r="H815" s="1404"/>
      <c r="I815" s="1404"/>
      <c r="J815" s="1404"/>
      <c r="K815" s="1404"/>
      <c r="L815" s="1404"/>
      <c r="M815" s="1404"/>
      <c r="N815" s="1404"/>
      <c r="O815" s="1404"/>
      <c r="P815" s="1404"/>
      <c r="Q815" s="1404"/>
      <c r="R815" s="1404"/>
      <c r="S815" s="1404"/>
      <c r="T815" s="1404"/>
      <c r="U815" s="1404"/>
      <c r="V815" s="1404"/>
      <c r="W815" s="1404"/>
      <c r="X815" s="1404"/>
      <c r="Y815" s="1404"/>
      <c r="Z815" s="1404"/>
    </row>
    <row r="816">
      <c r="A816" s="1404"/>
      <c r="B816" s="1404"/>
      <c r="C816" s="1404"/>
      <c r="D816" s="1404"/>
      <c r="E816" s="1404"/>
      <c r="F816" s="1404"/>
      <c r="G816" s="1404"/>
      <c r="H816" s="1404"/>
      <c r="I816" s="1404"/>
      <c r="J816" s="1404"/>
      <c r="K816" s="1404"/>
      <c r="L816" s="1404"/>
      <c r="M816" s="1404"/>
      <c r="N816" s="1404"/>
      <c r="O816" s="1404"/>
      <c r="P816" s="1404"/>
      <c r="Q816" s="1404"/>
      <c r="R816" s="1404"/>
      <c r="S816" s="1404"/>
      <c r="T816" s="1404"/>
      <c r="U816" s="1404"/>
      <c r="V816" s="1404"/>
      <c r="W816" s="1404"/>
      <c r="X816" s="1404"/>
      <c r="Y816" s="1404"/>
      <c r="Z816" s="1404"/>
    </row>
    <row r="817">
      <c r="A817" s="1404"/>
      <c r="B817" s="1404"/>
      <c r="C817" s="1404"/>
      <c r="D817" s="1404"/>
      <c r="E817" s="1404"/>
      <c r="F817" s="1404"/>
      <c r="G817" s="1404"/>
      <c r="H817" s="1404"/>
      <c r="I817" s="1404"/>
      <c r="J817" s="1404"/>
      <c r="K817" s="1404"/>
      <c r="L817" s="1404"/>
      <c r="M817" s="1404"/>
      <c r="N817" s="1404"/>
      <c r="O817" s="1404"/>
      <c r="P817" s="1404"/>
      <c r="Q817" s="1404"/>
      <c r="R817" s="1404"/>
      <c r="S817" s="1404"/>
      <c r="T817" s="1404"/>
      <c r="U817" s="1404"/>
      <c r="V817" s="1404"/>
      <c r="W817" s="1404"/>
      <c r="X817" s="1404"/>
      <c r="Y817" s="1404"/>
      <c r="Z817" s="1404"/>
    </row>
    <row r="818">
      <c r="A818" s="1404"/>
      <c r="B818" s="1404"/>
      <c r="C818" s="1404"/>
      <c r="D818" s="1404"/>
      <c r="E818" s="1404"/>
      <c r="F818" s="1404"/>
      <c r="G818" s="1404"/>
      <c r="H818" s="1404"/>
      <c r="I818" s="1404"/>
      <c r="J818" s="1404"/>
      <c r="K818" s="1404"/>
      <c r="L818" s="1404"/>
      <c r="M818" s="1404"/>
      <c r="N818" s="1404"/>
      <c r="O818" s="1404"/>
      <c r="P818" s="1404"/>
      <c r="Q818" s="1404"/>
      <c r="R818" s="1404"/>
      <c r="S818" s="1404"/>
      <c r="T818" s="1404"/>
      <c r="U818" s="1404"/>
      <c r="V818" s="1404"/>
      <c r="W818" s="1404"/>
      <c r="X818" s="1404"/>
      <c r="Y818" s="1404"/>
      <c r="Z818" s="1404"/>
    </row>
    <row r="819">
      <c r="A819" s="1404"/>
      <c r="B819" s="1404"/>
      <c r="C819" s="1404"/>
      <c r="D819" s="1404"/>
      <c r="E819" s="1404"/>
      <c r="F819" s="1404"/>
      <c r="G819" s="1404"/>
      <c r="H819" s="1404"/>
      <c r="I819" s="1404"/>
      <c r="J819" s="1404"/>
      <c r="K819" s="1404"/>
      <c r="L819" s="1404"/>
      <c r="M819" s="1404"/>
      <c r="N819" s="1404"/>
      <c r="O819" s="1404"/>
      <c r="P819" s="1404"/>
      <c r="Q819" s="1404"/>
      <c r="R819" s="1404"/>
      <c r="S819" s="1404"/>
      <c r="T819" s="1404"/>
      <c r="U819" s="1404"/>
      <c r="V819" s="1404"/>
      <c r="W819" s="1404"/>
      <c r="X819" s="1404"/>
      <c r="Y819" s="1404"/>
      <c r="Z819" s="1404"/>
    </row>
    <row r="820">
      <c r="A820" s="1404"/>
      <c r="B820" s="1404"/>
      <c r="C820" s="1404"/>
      <c r="D820" s="1404"/>
      <c r="E820" s="1404"/>
      <c r="F820" s="1404"/>
      <c r="G820" s="1404"/>
      <c r="H820" s="1404"/>
      <c r="I820" s="1404"/>
      <c r="J820" s="1404"/>
      <c r="K820" s="1404"/>
      <c r="L820" s="1404"/>
      <c r="M820" s="1404"/>
      <c r="N820" s="1404"/>
      <c r="O820" s="1404"/>
      <c r="P820" s="1404"/>
      <c r="Q820" s="1404"/>
      <c r="R820" s="1404"/>
      <c r="S820" s="1404"/>
      <c r="T820" s="1404"/>
      <c r="U820" s="1404"/>
      <c r="V820" s="1404"/>
      <c r="W820" s="1404"/>
      <c r="X820" s="1404"/>
      <c r="Y820" s="1404"/>
      <c r="Z820" s="1404"/>
    </row>
    <row r="821">
      <c r="A821" s="1404"/>
      <c r="B821" s="1404"/>
      <c r="C821" s="1404"/>
      <c r="D821" s="1404"/>
      <c r="E821" s="1404"/>
      <c r="F821" s="1404"/>
      <c r="G821" s="1404"/>
      <c r="H821" s="1404"/>
      <c r="I821" s="1404"/>
      <c r="J821" s="1404"/>
      <c r="K821" s="1404"/>
      <c r="L821" s="1404"/>
      <c r="M821" s="1404"/>
      <c r="N821" s="1404"/>
      <c r="O821" s="1404"/>
      <c r="P821" s="1404"/>
      <c r="Q821" s="1404"/>
      <c r="R821" s="1404"/>
      <c r="S821" s="1404"/>
      <c r="T821" s="1404"/>
      <c r="U821" s="1404"/>
      <c r="V821" s="1404"/>
      <c r="W821" s="1404"/>
      <c r="X821" s="1404"/>
      <c r="Y821" s="1404"/>
      <c r="Z821" s="1404"/>
    </row>
    <row r="822">
      <c r="A822" s="1404"/>
      <c r="B822" s="1404"/>
      <c r="C822" s="1404"/>
      <c r="D822" s="1404"/>
      <c r="E822" s="1404"/>
      <c r="F822" s="1404"/>
      <c r="G822" s="1404"/>
      <c r="H822" s="1404"/>
      <c r="I822" s="1404"/>
      <c r="J822" s="1404"/>
      <c r="K822" s="1404"/>
      <c r="L822" s="1404"/>
      <c r="M822" s="1404"/>
      <c r="N822" s="1404"/>
      <c r="O822" s="1404"/>
      <c r="P822" s="1404"/>
      <c r="Q822" s="1404"/>
      <c r="R822" s="1404"/>
      <c r="S822" s="1404"/>
      <c r="T822" s="1404"/>
      <c r="U822" s="1404"/>
      <c r="V822" s="1404"/>
      <c r="W822" s="1404"/>
      <c r="X822" s="1404"/>
      <c r="Y822" s="1404"/>
      <c r="Z822" s="1404"/>
    </row>
    <row r="823">
      <c r="A823" s="1404"/>
      <c r="B823" s="1404"/>
      <c r="C823" s="1404"/>
      <c r="D823" s="1404"/>
      <c r="E823" s="1404"/>
      <c r="F823" s="1404"/>
      <c r="G823" s="1404"/>
      <c r="H823" s="1404"/>
      <c r="I823" s="1404"/>
      <c r="J823" s="1404"/>
      <c r="K823" s="1404"/>
      <c r="L823" s="1404"/>
      <c r="M823" s="1404"/>
      <c r="N823" s="1404"/>
      <c r="O823" s="1404"/>
      <c r="P823" s="1404"/>
      <c r="Q823" s="1404"/>
      <c r="R823" s="1404"/>
      <c r="S823" s="1404"/>
      <c r="T823" s="1404"/>
      <c r="U823" s="1404"/>
      <c r="V823" s="1404"/>
      <c r="W823" s="1404"/>
      <c r="X823" s="1404"/>
      <c r="Y823" s="1404"/>
      <c r="Z823" s="1404"/>
    </row>
    <row r="824">
      <c r="A824" s="1404"/>
      <c r="B824" s="1404"/>
      <c r="C824" s="1404"/>
      <c r="D824" s="1404"/>
      <c r="E824" s="1404"/>
      <c r="F824" s="1404"/>
      <c r="G824" s="1404"/>
      <c r="H824" s="1404"/>
      <c r="I824" s="1404"/>
      <c r="J824" s="1404"/>
      <c r="K824" s="1404"/>
      <c r="L824" s="1404"/>
      <c r="M824" s="1404"/>
      <c r="N824" s="1404"/>
      <c r="O824" s="1404"/>
      <c r="P824" s="1404"/>
      <c r="Q824" s="1404"/>
      <c r="R824" s="1404"/>
      <c r="S824" s="1404"/>
      <c r="T824" s="1404"/>
      <c r="U824" s="1404"/>
      <c r="V824" s="1404"/>
      <c r="W824" s="1404"/>
      <c r="X824" s="1404"/>
      <c r="Y824" s="1404"/>
      <c r="Z824" s="1404"/>
    </row>
    <row r="825">
      <c r="A825" s="1404"/>
      <c r="B825" s="1404"/>
      <c r="C825" s="1404"/>
      <c r="D825" s="1404"/>
      <c r="E825" s="1404"/>
      <c r="F825" s="1404"/>
      <c r="G825" s="1404"/>
      <c r="H825" s="1404"/>
      <c r="I825" s="1404"/>
      <c r="J825" s="1404"/>
      <c r="K825" s="1404"/>
      <c r="L825" s="1404"/>
      <c r="M825" s="1404"/>
      <c r="N825" s="1404"/>
      <c r="O825" s="1404"/>
      <c r="P825" s="1404"/>
      <c r="Q825" s="1404"/>
      <c r="R825" s="1404"/>
      <c r="S825" s="1404"/>
      <c r="T825" s="1404"/>
      <c r="U825" s="1404"/>
      <c r="V825" s="1404"/>
      <c r="W825" s="1404"/>
      <c r="X825" s="1404"/>
      <c r="Y825" s="1404"/>
      <c r="Z825" s="1404"/>
    </row>
    <row r="826">
      <c r="A826" s="1404"/>
      <c r="B826" s="1404"/>
      <c r="C826" s="1404"/>
      <c r="D826" s="1404"/>
      <c r="E826" s="1404"/>
      <c r="F826" s="1404"/>
      <c r="G826" s="1404"/>
      <c r="H826" s="1404"/>
      <c r="I826" s="1404"/>
      <c r="J826" s="1404"/>
      <c r="K826" s="1404"/>
      <c r="L826" s="1404"/>
      <c r="M826" s="1404"/>
      <c r="N826" s="1404"/>
      <c r="O826" s="1404"/>
      <c r="P826" s="1404"/>
      <c r="Q826" s="1404"/>
      <c r="R826" s="1404"/>
      <c r="S826" s="1404"/>
      <c r="T826" s="1404"/>
      <c r="U826" s="1404"/>
      <c r="V826" s="1404"/>
      <c r="W826" s="1404"/>
      <c r="X826" s="1404"/>
      <c r="Y826" s="1404"/>
      <c r="Z826" s="1404"/>
    </row>
    <row r="827">
      <c r="A827" s="1404"/>
      <c r="B827" s="1404"/>
      <c r="C827" s="1404"/>
      <c r="D827" s="1404"/>
      <c r="E827" s="1404"/>
      <c r="F827" s="1404"/>
      <c r="G827" s="1404"/>
      <c r="H827" s="1404"/>
      <c r="I827" s="1404"/>
      <c r="J827" s="1404"/>
      <c r="K827" s="1404"/>
      <c r="L827" s="1404"/>
      <c r="M827" s="1404"/>
      <c r="N827" s="1404"/>
      <c r="O827" s="1404"/>
      <c r="P827" s="1404"/>
      <c r="Q827" s="1404"/>
      <c r="R827" s="1404"/>
      <c r="S827" s="1404"/>
      <c r="T827" s="1404"/>
      <c r="U827" s="1404"/>
      <c r="V827" s="1404"/>
      <c r="W827" s="1404"/>
      <c r="X827" s="1404"/>
      <c r="Y827" s="1404"/>
      <c r="Z827" s="1404"/>
    </row>
    <row r="828">
      <c r="A828" s="1404"/>
      <c r="B828" s="1404"/>
      <c r="C828" s="1404"/>
      <c r="D828" s="1404"/>
      <c r="E828" s="1404"/>
      <c r="F828" s="1404"/>
      <c r="G828" s="1404"/>
      <c r="H828" s="1404"/>
      <c r="I828" s="1404"/>
      <c r="J828" s="1404"/>
      <c r="K828" s="1404"/>
      <c r="L828" s="1404"/>
      <c r="M828" s="1404"/>
      <c r="N828" s="1404"/>
      <c r="O828" s="1404"/>
      <c r="P828" s="1404"/>
      <c r="Q828" s="1404"/>
      <c r="R828" s="1404"/>
      <c r="S828" s="1404"/>
      <c r="T828" s="1404"/>
      <c r="U828" s="1404"/>
      <c r="V828" s="1404"/>
      <c r="W828" s="1404"/>
      <c r="X828" s="1404"/>
      <c r="Y828" s="1404"/>
      <c r="Z828" s="1404"/>
    </row>
    <row r="829">
      <c r="A829" s="1404"/>
      <c r="B829" s="1404"/>
      <c r="C829" s="1404"/>
      <c r="D829" s="1404"/>
      <c r="E829" s="1404"/>
      <c r="F829" s="1404"/>
      <c r="G829" s="1404"/>
      <c r="H829" s="1404"/>
      <c r="I829" s="1404"/>
      <c r="J829" s="1404"/>
      <c r="K829" s="1404"/>
      <c r="L829" s="1404"/>
      <c r="M829" s="1404"/>
      <c r="N829" s="1404"/>
      <c r="O829" s="1404"/>
      <c r="P829" s="1404"/>
      <c r="Q829" s="1404"/>
      <c r="R829" s="1404"/>
      <c r="S829" s="1404"/>
      <c r="T829" s="1404"/>
      <c r="U829" s="1404"/>
      <c r="V829" s="1404"/>
      <c r="W829" s="1404"/>
      <c r="X829" s="1404"/>
      <c r="Y829" s="1404"/>
      <c r="Z829" s="1404"/>
    </row>
    <row r="830">
      <c r="A830" s="1404"/>
      <c r="B830" s="1404"/>
      <c r="C830" s="1404"/>
      <c r="D830" s="1404"/>
      <c r="E830" s="1404"/>
      <c r="F830" s="1404"/>
      <c r="G830" s="1404"/>
      <c r="H830" s="1404"/>
      <c r="I830" s="1404"/>
      <c r="J830" s="1404"/>
      <c r="K830" s="1404"/>
      <c r="L830" s="1404"/>
      <c r="M830" s="1404"/>
      <c r="N830" s="1404"/>
      <c r="O830" s="1404"/>
      <c r="P830" s="1404"/>
      <c r="Q830" s="1404"/>
      <c r="R830" s="1404"/>
      <c r="S830" s="1404"/>
      <c r="T830" s="1404"/>
      <c r="U830" s="1404"/>
      <c r="V830" s="1404"/>
      <c r="W830" s="1404"/>
      <c r="X830" s="1404"/>
      <c r="Y830" s="1404"/>
      <c r="Z830" s="1404"/>
    </row>
    <row r="831">
      <c r="A831" s="1404"/>
      <c r="B831" s="1404"/>
      <c r="C831" s="1404"/>
      <c r="D831" s="1404"/>
      <c r="E831" s="1404"/>
      <c r="F831" s="1404"/>
      <c r="G831" s="1404"/>
      <c r="H831" s="1404"/>
      <c r="I831" s="1404"/>
      <c r="J831" s="1404"/>
      <c r="K831" s="1404"/>
      <c r="L831" s="1404"/>
      <c r="M831" s="1404"/>
      <c r="N831" s="1404"/>
      <c r="O831" s="1404"/>
      <c r="P831" s="1404"/>
      <c r="Q831" s="1404"/>
      <c r="R831" s="1404"/>
      <c r="S831" s="1404"/>
      <c r="T831" s="1404"/>
      <c r="U831" s="1404"/>
      <c r="V831" s="1404"/>
      <c r="W831" s="1404"/>
      <c r="X831" s="1404"/>
      <c r="Y831" s="1404"/>
      <c r="Z831" s="1404"/>
    </row>
    <row r="832">
      <c r="A832" s="1404"/>
      <c r="B832" s="1404"/>
      <c r="C832" s="1404"/>
      <c r="D832" s="1404"/>
      <c r="E832" s="1404"/>
      <c r="F832" s="1404"/>
      <c r="G832" s="1404"/>
      <c r="H832" s="1404"/>
      <c r="I832" s="1404"/>
      <c r="J832" s="1404"/>
      <c r="K832" s="1404"/>
      <c r="L832" s="1404"/>
      <c r="M832" s="1404"/>
      <c r="N832" s="1404"/>
      <c r="O832" s="1404"/>
      <c r="P832" s="1404"/>
      <c r="Q832" s="1404"/>
      <c r="R832" s="1404"/>
      <c r="S832" s="1404"/>
      <c r="T832" s="1404"/>
      <c r="U832" s="1404"/>
      <c r="V832" s="1404"/>
      <c r="W832" s="1404"/>
      <c r="X832" s="1404"/>
      <c r="Y832" s="1404"/>
      <c r="Z832" s="1404"/>
    </row>
    <row r="833">
      <c r="A833" s="1404"/>
      <c r="B833" s="1404"/>
      <c r="C833" s="1404"/>
      <c r="D833" s="1404"/>
      <c r="E833" s="1404"/>
      <c r="F833" s="1404"/>
      <c r="G833" s="1404"/>
      <c r="H833" s="1404"/>
      <c r="I833" s="1404"/>
      <c r="J833" s="1404"/>
      <c r="K833" s="1404"/>
      <c r="L833" s="1404"/>
      <c r="M833" s="1404"/>
      <c r="N833" s="1404"/>
      <c r="O833" s="1404"/>
      <c r="P833" s="1404"/>
      <c r="Q833" s="1404"/>
      <c r="R833" s="1404"/>
      <c r="S833" s="1404"/>
      <c r="T833" s="1404"/>
      <c r="U833" s="1404"/>
      <c r="V833" s="1404"/>
      <c r="W833" s="1404"/>
      <c r="X833" s="1404"/>
      <c r="Y833" s="1404"/>
      <c r="Z833" s="1404"/>
    </row>
    <row r="834">
      <c r="A834" s="1404"/>
      <c r="B834" s="1404"/>
      <c r="C834" s="1404"/>
      <c r="D834" s="1404"/>
      <c r="E834" s="1404"/>
      <c r="F834" s="1404"/>
      <c r="G834" s="1404"/>
      <c r="H834" s="1404"/>
      <c r="I834" s="1404"/>
      <c r="J834" s="1404"/>
      <c r="K834" s="1404"/>
      <c r="L834" s="1404"/>
      <c r="M834" s="1404"/>
      <c r="N834" s="1404"/>
      <c r="O834" s="1404"/>
      <c r="P834" s="1404"/>
      <c r="Q834" s="1404"/>
      <c r="R834" s="1404"/>
      <c r="S834" s="1404"/>
      <c r="T834" s="1404"/>
      <c r="U834" s="1404"/>
      <c r="V834" s="1404"/>
      <c r="W834" s="1404"/>
      <c r="X834" s="1404"/>
      <c r="Y834" s="1404"/>
      <c r="Z834" s="1404"/>
    </row>
    <row r="835">
      <c r="A835" s="1404"/>
      <c r="B835" s="1404"/>
      <c r="C835" s="1404"/>
      <c r="D835" s="1404"/>
      <c r="E835" s="1404"/>
      <c r="F835" s="1404"/>
      <c r="G835" s="1404"/>
      <c r="H835" s="1404"/>
      <c r="I835" s="1404"/>
      <c r="J835" s="1404"/>
      <c r="K835" s="1404"/>
      <c r="L835" s="1404"/>
      <c r="M835" s="1404"/>
      <c r="N835" s="1404"/>
      <c r="O835" s="1404"/>
      <c r="P835" s="1404"/>
      <c r="Q835" s="1404"/>
      <c r="R835" s="1404"/>
      <c r="S835" s="1404"/>
      <c r="T835" s="1404"/>
      <c r="U835" s="1404"/>
      <c r="V835" s="1404"/>
      <c r="W835" s="1404"/>
      <c r="X835" s="1404"/>
      <c r="Y835" s="1404"/>
      <c r="Z835" s="1404"/>
    </row>
    <row r="836">
      <c r="A836" s="1404"/>
      <c r="B836" s="1404"/>
      <c r="C836" s="1404"/>
      <c r="D836" s="1404"/>
      <c r="E836" s="1404"/>
      <c r="F836" s="1404"/>
      <c r="G836" s="1404"/>
      <c r="H836" s="1404"/>
      <c r="I836" s="1404"/>
      <c r="J836" s="1404"/>
      <c r="K836" s="1404"/>
      <c r="L836" s="1404"/>
      <c r="M836" s="1404"/>
      <c r="N836" s="1404"/>
      <c r="O836" s="1404"/>
      <c r="P836" s="1404"/>
      <c r="Q836" s="1404"/>
      <c r="R836" s="1404"/>
      <c r="S836" s="1404"/>
      <c r="T836" s="1404"/>
      <c r="U836" s="1404"/>
      <c r="V836" s="1404"/>
      <c r="W836" s="1404"/>
      <c r="X836" s="1404"/>
      <c r="Y836" s="1404"/>
      <c r="Z836" s="1404"/>
    </row>
    <row r="837">
      <c r="A837" s="1404"/>
      <c r="B837" s="1404"/>
      <c r="C837" s="1404"/>
      <c r="D837" s="1404"/>
      <c r="E837" s="1404"/>
      <c r="F837" s="1404"/>
      <c r="G837" s="1404"/>
      <c r="H837" s="1404"/>
      <c r="I837" s="1404"/>
      <c r="J837" s="1404"/>
      <c r="K837" s="1404"/>
      <c r="L837" s="1404"/>
      <c r="M837" s="1404"/>
      <c r="N837" s="1404"/>
      <c r="O837" s="1404"/>
      <c r="P837" s="1404"/>
      <c r="Q837" s="1404"/>
      <c r="R837" s="1404"/>
      <c r="S837" s="1404"/>
      <c r="T837" s="1404"/>
      <c r="U837" s="1404"/>
      <c r="V837" s="1404"/>
      <c r="W837" s="1404"/>
      <c r="X837" s="1404"/>
      <c r="Y837" s="1404"/>
      <c r="Z837" s="1404"/>
    </row>
    <row r="838">
      <c r="A838" s="1404"/>
      <c r="B838" s="1404"/>
      <c r="C838" s="1404"/>
      <c r="D838" s="1404"/>
      <c r="E838" s="1404"/>
      <c r="F838" s="1404"/>
      <c r="G838" s="1404"/>
      <c r="H838" s="1404"/>
      <c r="I838" s="1404"/>
      <c r="J838" s="1404"/>
      <c r="K838" s="1404"/>
      <c r="L838" s="1404"/>
      <c r="M838" s="1404"/>
      <c r="N838" s="1404"/>
      <c r="O838" s="1404"/>
      <c r="P838" s="1404"/>
      <c r="Q838" s="1404"/>
      <c r="R838" s="1404"/>
      <c r="S838" s="1404"/>
      <c r="T838" s="1404"/>
      <c r="U838" s="1404"/>
      <c r="V838" s="1404"/>
      <c r="W838" s="1404"/>
      <c r="X838" s="1404"/>
      <c r="Y838" s="1404"/>
      <c r="Z838" s="1404"/>
    </row>
    <row r="839">
      <c r="A839" s="1404"/>
      <c r="B839" s="1404"/>
      <c r="C839" s="1404"/>
      <c r="D839" s="1404"/>
      <c r="E839" s="1404"/>
      <c r="F839" s="1404"/>
      <c r="G839" s="1404"/>
      <c r="H839" s="1404"/>
      <c r="I839" s="1404"/>
      <c r="J839" s="1404"/>
      <c r="K839" s="1404"/>
      <c r="L839" s="1404"/>
      <c r="M839" s="1404"/>
      <c r="N839" s="1404"/>
      <c r="O839" s="1404"/>
      <c r="P839" s="1404"/>
      <c r="Q839" s="1404"/>
      <c r="R839" s="1404"/>
      <c r="S839" s="1404"/>
      <c r="T839" s="1404"/>
      <c r="U839" s="1404"/>
      <c r="V839" s="1404"/>
      <c r="W839" s="1404"/>
      <c r="X839" s="1404"/>
      <c r="Y839" s="1404"/>
      <c r="Z839" s="1404"/>
    </row>
    <row r="840">
      <c r="A840" s="1404"/>
      <c r="B840" s="1404"/>
      <c r="C840" s="1404"/>
      <c r="D840" s="1404"/>
      <c r="E840" s="1404"/>
      <c r="F840" s="1404"/>
      <c r="G840" s="1404"/>
      <c r="H840" s="1404"/>
      <c r="I840" s="1404"/>
      <c r="J840" s="1404"/>
      <c r="K840" s="1404"/>
      <c r="L840" s="1404"/>
      <c r="M840" s="1404"/>
      <c r="N840" s="1404"/>
      <c r="O840" s="1404"/>
      <c r="P840" s="1404"/>
      <c r="Q840" s="1404"/>
      <c r="R840" s="1404"/>
      <c r="S840" s="1404"/>
      <c r="T840" s="1404"/>
      <c r="U840" s="1404"/>
      <c r="V840" s="1404"/>
      <c r="W840" s="1404"/>
      <c r="X840" s="1404"/>
      <c r="Y840" s="1404"/>
      <c r="Z840" s="1404"/>
    </row>
    <row r="841">
      <c r="A841" s="1404"/>
      <c r="B841" s="1404"/>
      <c r="C841" s="1404"/>
      <c r="D841" s="1404"/>
      <c r="E841" s="1404"/>
      <c r="F841" s="1404"/>
      <c r="G841" s="1404"/>
      <c r="H841" s="1404"/>
      <c r="I841" s="1404"/>
      <c r="J841" s="1404"/>
      <c r="K841" s="1404"/>
      <c r="L841" s="1404"/>
      <c r="M841" s="1404"/>
      <c r="N841" s="1404"/>
      <c r="O841" s="1404"/>
      <c r="P841" s="1404"/>
      <c r="Q841" s="1404"/>
      <c r="R841" s="1404"/>
      <c r="S841" s="1404"/>
      <c r="T841" s="1404"/>
      <c r="U841" s="1404"/>
      <c r="V841" s="1404"/>
      <c r="W841" s="1404"/>
      <c r="X841" s="1404"/>
      <c r="Y841" s="1404"/>
      <c r="Z841" s="1404"/>
    </row>
    <row r="842">
      <c r="A842" s="1404"/>
      <c r="B842" s="1404"/>
      <c r="C842" s="1404"/>
      <c r="D842" s="1404"/>
      <c r="E842" s="1404"/>
      <c r="F842" s="1404"/>
      <c r="G842" s="1404"/>
      <c r="H842" s="1404"/>
      <c r="I842" s="1404"/>
      <c r="J842" s="1404"/>
      <c r="K842" s="1404"/>
      <c r="L842" s="1404"/>
      <c r="M842" s="1404"/>
      <c r="N842" s="1404"/>
      <c r="O842" s="1404"/>
      <c r="P842" s="1404"/>
      <c r="Q842" s="1404"/>
      <c r="R842" s="1404"/>
      <c r="S842" s="1404"/>
      <c r="T842" s="1404"/>
      <c r="U842" s="1404"/>
      <c r="V842" s="1404"/>
      <c r="W842" s="1404"/>
      <c r="X842" s="1404"/>
      <c r="Y842" s="1404"/>
      <c r="Z842" s="1404"/>
    </row>
    <row r="843">
      <c r="A843" s="1404"/>
      <c r="B843" s="1404"/>
      <c r="C843" s="1404"/>
      <c r="D843" s="1404"/>
      <c r="E843" s="1404"/>
      <c r="F843" s="1404"/>
      <c r="G843" s="1404"/>
      <c r="H843" s="1404"/>
      <c r="I843" s="1404"/>
      <c r="J843" s="1404"/>
      <c r="K843" s="1404"/>
      <c r="L843" s="1404"/>
      <c r="M843" s="1404"/>
      <c r="N843" s="1404"/>
      <c r="O843" s="1404"/>
      <c r="P843" s="1404"/>
      <c r="Q843" s="1404"/>
      <c r="R843" s="1404"/>
      <c r="S843" s="1404"/>
      <c r="T843" s="1404"/>
      <c r="U843" s="1404"/>
      <c r="V843" s="1404"/>
      <c r="W843" s="1404"/>
      <c r="X843" s="1404"/>
      <c r="Y843" s="1404"/>
      <c r="Z843" s="1404"/>
    </row>
    <row r="844">
      <c r="A844" s="1404"/>
      <c r="B844" s="1404"/>
      <c r="C844" s="1404"/>
      <c r="D844" s="1404"/>
      <c r="E844" s="1404"/>
      <c r="F844" s="1404"/>
      <c r="G844" s="1404"/>
      <c r="H844" s="1404"/>
      <c r="I844" s="1404"/>
      <c r="J844" s="1404"/>
      <c r="K844" s="1404"/>
      <c r="L844" s="1404"/>
      <c r="M844" s="1404"/>
      <c r="N844" s="1404"/>
      <c r="O844" s="1404"/>
      <c r="P844" s="1404"/>
      <c r="Q844" s="1404"/>
      <c r="R844" s="1404"/>
      <c r="S844" s="1404"/>
      <c r="T844" s="1404"/>
      <c r="U844" s="1404"/>
      <c r="V844" s="1404"/>
      <c r="W844" s="1404"/>
      <c r="X844" s="1404"/>
      <c r="Y844" s="1404"/>
      <c r="Z844" s="1404"/>
    </row>
    <row r="845">
      <c r="A845" s="1404"/>
      <c r="B845" s="1404"/>
      <c r="C845" s="1404"/>
      <c r="D845" s="1404"/>
      <c r="E845" s="1404"/>
      <c r="F845" s="1404"/>
      <c r="G845" s="1404"/>
      <c r="H845" s="1404"/>
      <c r="I845" s="1404"/>
      <c r="J845" s="1404"/>
      <c r="K845" s="1404"/>
      <c r="L845" s="1404"/>
      <c r="M845" s="1404"/>
      <c r="N845" s="1404"/>
      <c r="O845" s="1404"/>
      <c r="P845" s="1404"/>
      <c r="Q845" s="1404"/>
      <c r="R845" s="1404"/>
      <c r="S845" s="1404"/>
      <c r="T845" s="1404"/>
      <c r="U845" s="1404"/>
      <c r="V845" s="1404"/>
      <c r="W845" s="1404"/>
      <c r="X845" s="1404"/>
      <c r="Y845" s="1404"/>
      <c r="Z845" s="1404"/>
    </row>
    <row r="846">
      <c r="A846" s="1404"/>
      <c r="B846" s="1404"/>
      <c r="C846" s="1404"/>
      <c r="D846" s="1404"/>
      <c r="E846" s="1404"/>
      <c r="F846" s="1404"/>
      <c r="G846" s="1404"/>
      <c r="H846" s="1404"/>
      <c r="I846" s="1404"/>
      <c r="J846" s="1404"/>
      <c r="K846" s="1404"/>
      <c r="L846" s="1404"/>
      <c r="M846" s="1404"/>
      <c r="N846" s="1404"/>
      <c r="O846" s="1404"/>
      <c r="P846" s="1404"/>
      <c r="Q846" s="1404"/>
      <c r="R846" s="1404"/>
      <c r="S846" s="1404"/>
      <c r="T846" s="1404"/>
      <c r="U846" s="1404"/>
      <c r="V846" s="1404"/>
      <c r="W846" s="1404"/>
      <c r="X846" s="1404"/>
      <c r="Y846" s="1404"/>
      <c r="Z846" s="1404"/>
    </row>
    <row r="847">
      <c r="A847" s="1404"/>
      <c r="B847" s="1404"/>
      <c r="C847" s="1404"/>
      <c r="D847" s="1404"/>
      <c r="E847" s="1404"/>
      <c r="F847" s="1404"/>
      <c r="G847" s="1404"/>
      <c r="H847" s="1404"/>
      <c r="I847" s="1404"/>
      <c r="J847" s="1404"/>
      <c r="K847" s="1404"/>
      <c r="L847" s="1404"/>
      <c r="M847" s="1404"/>
      <c r="N847" s="1404"/>
      <c r="O847" s="1404"/>
      <c r="P847" s="1404"/>
      <c r="Q847" s="1404"/>
      <c r="R847" s="1404"/>
      <c r="S847" s="1404"/>
      <c r="T847" s="1404"/>
      <c r="U847" s="1404"/>
      <c r="V847" s="1404"/>
      <c r="W847" s="1404"/>
      <c r="X847" s="1404"/>
      <c r="Y847" s="1404"/>
      <c r="Z847" s="1404"/>
    </row>
    <row r="848">
      <c r="A848" s="1404"/>
      <c r="B848" s="1404"/>
      <c r="C848" s="1404"/>
      <c r="D848" s="1404"/>
      <c r="E848" s="1404"/>
      <c r="F848" s="1404"/>
      <c r="G848" s="1404"/>
      <c r="H848" s="1404"/>
      <c r="I848" s="1404"/>
      <c r="J848" s="1404"/>
      <c r="K848" s="1404"/>
      <c r="L848" s="1404"/>
      <c r="M848" s="1404"/>
      <c r="N848" s="1404"/>
      <c r="O848" s="1404"/>
      <c r="P848" s="1404"/>
      <c r="Q848" s="1404"/>
      <c r="R848" s="1404"/>
      <c r="S848" s="1404"/>
      <c r="T848" s="1404"/>
      <c r="U848" s="1404"/>
      <c r="V848" s="1404"/>
      <c r="W848" s="1404"/>
      <c r="X848" s="1404"/>
      <c r="Y848" s="1404"/>
      <c r="Z848" s="1404"/>
    </row>
    <row r="849">
      <c r="A849" s="1404"/>
      <c r="B849" s="1404"/>
      <c r="C849" s="1404"/>
      <c r="D849" s="1404"/>
      <c r="E849" s="1404"/>
      <c r="F849" s="1404"/>
      <c r="G849" s="1404"/>
      <c r="H849" s="1404"/>
      <c r="I849" s="1404"/>
      <c r="J849" s="1404"/>
      <c r="K849" s="1404"/>
      <c r="L849" s="1404"/>
      <c r="M849" s="1404"/>
      <c r="N849" s="1404"/>
      <c r="O849" s="1404"/>
      <c r="P849" s="1404"/>
      <c r="Q849" s="1404"/>
      <c r="R849" s="1404"/>
      <c r="S849" s="1404"/>
      <c r="T849" s="1404"/>
      <c r="U849" s="1404"/>
      <c r="V849" s="1404"/>
      <c r="W849" s="1404"/>
      <c r="X849" s="1404"/>
      <c r="Y849" s="1404"/>
      <c r="Z849" s="1404"/>
    </row>
    <row r="850">
      <c r="A850" s="1404"/>
      <c r="B850" s="1404"/>
      <c r="C850" s="1404"/>
      <c r="D850" s="1404"/>
      <c r="E850" s="1404"/>
      <c r="F850" s="1404"/>
      <c r="G850" s="1404"/>
      <c r="H850" s="1404"/>
      <c r="I850" s="1404"/>
      <c r="J850" s="1404"/>
      <c r="K850" s="1404"/>
      <c r="L850" s="1404"/>
      <c r="M850" s="1404"/>
      <c r="N850" s="1404"/>
      <c r="O850" s="1404"/>
      <c r="P850" s="1404"/>
      <c r="Q850" s="1404"/>
      <c r="R850" s="1404"/>
      <c r="S850" s="1404"/>
      <c r="T850" s="1404"/>
      <c r="U850" s="1404"/>
      <c r="V850" s="1404"/>
      <c r="W850" s="1404"/>
      <c r="X850" s="1404"/>
      <c r="Y850" s="1404"/>
      <c r="Z850" s="1404"/>
    </row>
    <row r="851">
      <c r="A851" s="1404"/>
      <c r="B851" s="1404"/>
      <c r="C851" s="1404"/>
      <c r="D851" s="1404"/>
      <c r="E851" s="1404"/>
      <c r="F851" s="1404"/>
      <c r="G851" s="1404"/>
      <c r="H851" s="1404"/>
      <c r="I851" s="1404"/>
      <c r="J851" s="1404"/>
      <c r="K851" s="1404"/>
      <c r="L851" s="1404"/>
      <c r="M851" s="1404"/>
      <c r="N851" s="1404"/>
      <c r="O851" s="1404"/>
      <c r="P851" s="1404"/>
      <c r="Q851" s="1404"/>
      <c r="R851" s="1404"/>
      <c r="S851" s="1404"/>
      <c r="T851" s="1404"/>
      <c r="U851" s="1404"/>
      <c r="V851" s="1404"/>
      <c r="W851" s="1404"/>
      <c r="X851" s="1404"/>
      <c r="Y851" s="1404"/>
      <c r="Z851" s="1404"/>
    </row>
    <row r="852">
      <c r="A852" s="1404"/>
      <c r="B852" s="1404"/>
      <c r="C852" s="1404"/>
      <c r="D852" s="1404"/>
      <c r="E852" s="1404"/>
      <c r="F852" s="1404"/>
      <c r="G852" s="1404"/>
      <c r="H852" s="1404"/>
      <c r="I852" s="1404"/>
      <c r="J852" s="1404"/>
      <c r="K852" s="1404"/>
      <c r="L852" s="1404"/>
      <c r="M852" s="1404"/>
      <c r="N852" s="1404"/>
      <c r="O852" s="1404"/>
      <c r="P852" s="1404"/>
      <c r="Q852" s="1404"/>
      <c r="R852" s="1404"/>
      <c r="S852" s="1404"/>
      <c r="T852" s="1404"/>
      <c r="U852" s="1404"/>
      <c r="V852" s="1404"/>
      <c r="W852" s="1404"/>
      <c r="X852" s="1404"/>
      <c r="Y852" s="1404"/>
      <c r="Z852" s="1404"/>
    </row>
    <row r="853">
      <c r="A853" s="1404"/>
      <c r="B853" s="1404"/>
      <c r="C853" s="1404"/>
      <c r="D853" s="1404"/>
      <c r="E853" s="1404"/>
      <c r="F853" s="1404"/>
      <c r="G853" s="1404"/>
      <c r="H853" s="1404"/>
      <c r="I853" s="1404"/>
      <c r="J853" s="1404"/>
      <c r="K853" s="1404"/>
      <c r="L853" s="1404"/>
      <c r="M853" s="1404"/>
      <c r="N853" s="1404"/>
      <c r="O853" s="1404"/>
      <c r="P853" s="1404"/>
      <c r="Q853" s="1404"/>
      <c r="R853" s="1404"/>
      <c r="S853" s="1404"/>
      <c r="T853" s="1404"/>
      <c r="U853" s="1404"/>
      <c r="V853" s="1404"/>
      <c r="W853" s="1404"/>
      <c r="X853" s="1404"/>
      <c r="Y853" s="1404"/>
      <c r="Z853" s="1404"/>
    </row>
    <row r="854">
      <c r="A854" s="1404"/>
      <c r="B854" s="1404"/>
      <c r="C854" s="1404"/>
      <c r="D854" s="1404"/>
      <c r="E854" s="1404"/>
      <c r="F854" s="1404"/>
      <c r="G854" s="1404"/>
      <c r="H854" s="1404"/>
      <c r="I854" s="1404"/>
      <c r="J854" s="1404"/>
      <c r="K854" s="1404"/>
      <c r="L854" s="1404"/>
      <c r="M854" s="1404"/>
      <c r="N854" s="1404"/>
      <c r="O854" s="1404"/>
      <c r="P854" s="1404"/>
      <c r="Q854" s="1404"/>
      <c r="R854" s="1404"/>
      <c r="S854" s="1404"/>
      <c r="T854" s="1404"/>
      <c r="U854" s="1404"/>
      <c r="V854" s="1404"/>
      <c r="W854" s="1404"/>
      <c r="X854" s="1404"/>
      <c r="Y854" s="1404"/>
      <c r="Z854" s="1404"/>
    </row>
    <row r="855">
      <c r="A855" s="1404"/>
      <c r="B855" s="1404"/>
      <c r="C855" s="1404"/>
      <c r="D855" s="1404"/>
      <c r="E855" s="1404"/>
      <c r="F855" s="1404"/>
      <c r="G855" s="1404"/>
      <c r="H855" s="1404"/>
      <c r="I855" s="1404"/>
      <c r="J855" s="1404"/>
      <c r="K855" s="1404"/>
      <c r="L855" s="1404"/>
      <c r="M855" s="1404"/>
      <c r="N855" s="1404"/>
      <c r="O855" s="1404"/>
      <c r="P855" s="1404"/>
      <c r="Q855" s="1404"/>
      <c r="R855" s="1404"/>
      <c r="S855" s="1404"/>
      <c r="T855" s="1404"/>
      <c r="U855" s="1404"/>
      <c r="V855" s="1404"/>
      <c r="W855" s="1404"/>
      <c r="X855" s="1404"/>
      <c r="Y855" s="1404"/>
      <c r="Z855" s="1404"/>
    </row>
    <row r="856">
      <c r="A856" s="1404"/>
      <c r="B856" s="1404"/>
      <c r="C856" s="1404"/>
      <c r="D856" s="1404"/>
      <c r="E856" s="1404"/>
      <c r="F856" s="1404"/>
      <c r="G856" s="1404"/>
      <c r="H856" s="1404"/>
      <c r="I856" s="1404"/>
      <c r="J856" s="1404"/>
      <c r="K856" s="1404"/>
      <c r="L856" s="1404"/>
      <c r="M856" s="1404"/>
      <c r="N856" s="1404"/>
      <c r="O856" s="1404"/>
      <c r="P856" s="1404"/>
      <c r="Q856" s="1404"/>
      <c r="R856" s="1404"/>
      <c r="S856" s="1404"/>
      <c r="T856" s="1404"/>
      <c r="U856" s="1404"/>
      <c r="V856" s="1404"/>
      <c r="W856" s="1404"/>
      <c r="X856" s="1404"/>
      <c r="Y856" s="1404"/>
      <c r="Z856" s="1404"/>
    </row>
    <row r="857">
      <c r="A857" s="1404"/>
      <c r="B857" s="1404"/>
      <c r="C857" s="1404"/>
      <c r="D857" s="1404"/>
      <c r="E857" s="1404"/>
      <c r="F857" s="1404"/>
      <c r="G857" s="1404"/>
      <c r="H857" s="1404"/>
      <c r="I857" s="1404"/>
      <c r="J857" s="1404"/>
      <c r="K857" s="1404"/>
      <c r="L857" s="1404"/>
      <c r="M857" s="1404"/>
      <c r="N857" s="1404"/>
      <c r="O857" s="1404"/>
      <c r="P857" s="1404"/>
      <c r="Q857" s="1404"/>
      <c r="R857" s="1404"/>
      <c r="S857" s="1404"/>
      <c r="T857" s="1404"/>
      <c r="U857" s="1404"/>
      <c r="V857" s="1404"/>
      <c r="W857" s="1404"/>
      <c r="X857" s="1404"/>
      <c r="Y857" s="1404"/>
      <c r="Z857" s="1404"/>
    </row>
    <row r="858">
      <c r="A858" s="1404"/>
      <c r="B858" s="1404"/>
      <c r="C858" s="1404"/>
      <c r="D858" s="1404"/>
      <c r="E858" s="1404"/>
      <c r="F858" s="1404"/>
      <c r="G858" s="1404"/>
      <c r="H858" s="1404"/>
      <c r="I858" s="1404"/>
      <c r="J858" s="1404"/>
      <c r="K858" s="1404"/>
      <c r="L858" s="1404"/>
      <c r="M858" s="1404"/>
      <c r="N858" s="1404"/>
      <c r="O858" s="1404"/>
      <c r="P858" s="1404"/>
      <c r="Q858" s="1404"/>
      <c r="R858" s="1404"/>
      <c r="S858" s="1404"/>
      <c r="T858" s="1404"/>
      <c r="U858" s="1404"/>
      <c r="V858" s="1404"/>
      <c r="W858" s="1404"/>
      <c r="X858" s="1404"/>
      <c r="Y858" s="1404"/>
      <c r="Z858" s="1404"/>
    </row>
    <row r="859">
      <c r="A859" s="1404"/>
      <c r="B859" s="1404"/>
      <c r="C859" s="1404"/>
      <c r="D859" s="1404"/>
      <c r="E859" s="1404"/>
      <c r="F859" s="1404"/>
      <c r="G859" s="1404"/>
      <c r="H859" s="1404"/>
      <c r="I859" s="1404"/>
      <c r="J859" s="1404"/>
      <c r="K859" s="1404"/>
      <c r="L859" s="1404"/>
      <c r="M859" s="1404"/>
      <c r="N859" s="1404"/>
      <c r="O859" s="1404"/>
      <c r="P859" s="1404"/>
      <c r="Q859" s="1404"/>
      <c r="R859" s="1404"/>
      <c r="S859" s="1404"/>
      <c r="T859" s="1404"/>
      <c r="U859" s="1404"/>
      <c r="V859" s="1404"/>
      <c r="W859" s="1404"/>
      <c r="X859" s="1404"/>
      <c r="Y859" s="1404"/>
      <c r="Z859" s="1404"/>
    </row>
    <row r="860">
      <c r="A860" s="1404"/>
      <c r="B860" s="1404"/>
      <c r="C860" s="1404"/>
      <c r="D860" s="1404"/>
      <c r="E860" s="1404"/>
      <c r="F860" s="1404"/>
      <c r="G860" s="1404"/>
      <c r="H860" s="1404"/>
      <c r="I860" s="1404"/>
      <c r="J860" s="1404"/>
      <c r="K860" s="1404"/>
      <c r="L860" s="1404"/>
      <c r="M860" s="1404"/>
      <c r="N860" s="1404"/>
      <c r="O860" s="1404"/>
      <c r="P860" s="1404"/>
      <c r="Q860" s="1404"/>
      <c r="R860" s="1404"/>
      <c r="S860" s="1404"/>
      <c r="T860" s="1404"/>
      <c r="U860" s="1404"/>
      <c r="V860" s="1404"/>
      <c r="W860" s="1404"/>
      <c r="X860" s="1404"/>
      <c r="Y860" s="1404"/>
      <c r="Z860" s="1404"/>
    </row>
    <row r="861">
      <c r="A861" s="1404"/>
      <c r="B861" s="1404"/>
      <c r="C861" s="1404"/>
      <c r="D861" s="1404"/>
      <c r="E861" s="1404"/>
      <c r="F861" s="1404"/>
      <c r="G861" s="1404"/>
      <c r="H861" s="1404"/>
      <c r="I861" s="1404"/>
      <c r="J861" s="1404"/>
      <c r="K861" s="1404"/>
      <c r="L861" s="1404"/>
      <c r="M861" s="1404"/>
      <c r="N861" s="1404"/>
      <c r="O861" s="1404"/>
      <c r="P861" s="1404"/>
      <c r="Q861" s="1404"/>
      <c r="R861" s="1404"/>
      <c r="S861" s="1404"/>
      <c r="T861" s="1404"/>
      <c r="U861" s="1404"/>
      <c r="V861" s="1404"/>
      <c r="W861" s="1404"/>
      <c r="X861" s="1404"/>
      <c r="Y861" s="1404"/>
      <c r="Z861" s="1404"/>
    </row>
    <row r="862">
      <c r="A862" s="1404"/>
      <c r="B862" s="1404"/>
      <c r="C862" s="1404"/>
      <c r="D862" s="1404"/>
      <c r="E862" s="1404"/>
      <c r="F862" s="1404"/>
      <c r="G862" s="1404"/>
      <c r="H862" s="1404"/>
      <c r="I862" s="1404"/>
      <c r="J862" s="1404"/>
      <c r="K862" s="1404"/>
      <c r="L862" s="1404"/>
      <c r="M862" s="1404"/>
      <c r="N862" s="1404"/>
      <c r="O862" s="1404"/>
      <c r="P862" s="1404"/>
      <c r="Q862" s="1404"/>
      <c r="R862" s="1404"/>
      <c r="S862" s="1404"/>
      <c r="T862" s="1404"/>
      <c r="U862" s="1404"/>
      <c r="V862" s="1404"/>
      <c r="W862" s="1404"/>
      <c r="X862" s="1404"/>
      <c r="Y862" s="1404"/>
      <c r="Z862" s="1404"/>
    </row>
    <row r="863">
      <c r="A863" s="1404"/>
      <c r="B863" s="1404"/>
      <c r="C863" s="1404"/>
      <c r="D863" s="1404"/>
      <c r="E863" s="1404"/>
      <c r="F863" s="1404"/>
      <c r="G863" s="1404"/>
      <c r="H863" s="1404"/>
      <c r="I863" s="1404"/>
      <c r="J863" s="1404"/>
      <c r="K863" s="1404"/>
      <c r="L863" s="1404"/>
      <c r="M863" s="1404"/>
      <c r="N863" s="1404"/>
      <c r="O863" s="1404"/>
      <c r="P863" s="1404"/>
      <c r="Q863" s="1404"/>
      <c r="R863" s="1404"/>
      <c r="S863" s="1404"/>
      <c r="T863" s="1404"/>
      <c r="U863" s="1404"/>
      <c r="V863" s="1404"/>
      <c r="W863" s="1404"/>
      <c r="X863" s="1404"/>
      <c r="Y863" s="1404"/>
      <c r="Z863" s="1404"/>
    </row>
    <row r="864">
      <c r="A864" s="1404"/>
      <c r="B864" s="1404"/>
      <c r="C864" s="1404"/>
      <c r="D864" s="1404"/>
      <c r="E864" s="1404"/>
      <c r="F864" s="1404"/>
      <c r="G864" s="1404"/>
      <c r="H864" s="1404"/>
      <c r="I864" s="1404"/>
      <c r="J864" s="1404"/>
      <c r="K864" s="1404"/>
      <c r="L864" s="1404"/>
      <c r="M864" s="1404"/>
      <c r="N864" s="1404"/>
      <c r="O864" s="1404"/>
      <c r="P864" s="1404"/>
      <c r="Q864" s="1404"/>
      <c r="R864" s="1404"/>
      <c r="S864" s="1404"/>
      <c r="T864" s="1404"/>
      <c r="U864" s="1404"/>
      <c r="V864" s="1404"/>
      <c r="W864" s="1404"/>
      <c r="X864" s="1404"/>
      <c r="Y864" s="1404"/>
      <c r="Z864" s="1404"/>
    </row>
    <row r="865">
      <c r="A865" s="1404"/>
      <c r="B865" s="1404"/>
      <c r="C865" s="1404"/>
      <c r="D865" s="1404"/>
      <c r="E865" s="1404"/>
      <c r="F865" s="1404"/>
      <c r="G865" s="1404"/>
      <c r="H865" s="1404"/>
      <c r="I865" s="1404"/>
      <c r="J865" s="1404"/>
      <c r="K865" s="1404"/>
      <c r="L865" s="1404"/>
      <c r="M865" s="1404"/>
      <c r="N865" s="1404"/>
      <c r="O865" s="1404"/>
      <c r="P865" s="1404"/>
      <c r="Q865" s="1404"/>
      <c r="R865" s="1404"/>
      <c r="S865" s="1404"/>
      <c r="T865" s="1404"/>
      <c r="U865" s="1404"/>
      <c r="V865" s="1404"/>
      <c r="W865" s="1404"/>
      <c r="X865" s="1404"/>
      <c r="Y865" s="1404"/>
      <c r="Z865" s="1404"/>
    </row>
    <row r="866">
      <c r="A866" s="1404"/>
      <c r="B866" s="1404"/>
      <c r="C866" s="1404"/>
      <c r="D866" s="1404"/>
      <c r="E866" s="1404"/>
      <c r="F866" s="1404"/>
      <c r="G866" s="1404"/>
      <c r="H866" s="1404"/>
      <c r="I866" s="1404"/>
      <c r="J866" s="1404"/>
      <c r="K866" s="1404"/>
      <c r="L866" s="1404"/>
      <c r="M866" s="1404"/>
      <c r="N866" s="1404"/>
      <c r="O866" s="1404"/>
      <c r="P866" s="1404"/>
      <c r="Q866" s="1404"/>
      <c r="R866" s="1404"/>
      <c r="S866" s="1404"/>
      <c r="T866" s="1404"/>
      <c r="U866" s="1404"/>
      <c r="V866" s="1404"/>
      <c r="W866" s="1404"/>
      <c r="X866" s="1404"/>
      <c r="Y866" s="1404"/>
      <c r="Z866" s="1404"/>
    </row>
    <row r="867">
      <c r="A867" s="1404"/>
      <c r="B867" s="1404"/>
      <c r="C867" s="1404"/>
      <c r="D867" s="1404"/>
      <c r="E867" s="1404"/>
      <c r="F867" s="1404"/>
      <c r="G867" s="1404"/>
      <c r="H867" s="1404"/>
      <c r="I867" s="1404"/>
      <c r="J867" s="1404"/>
      <c r="K867" s="1404"/>
      <c r="L867" s="1404"/>
      <c r="M867" s="1404"/>
      <c r="N867" s="1404"/>
      <c r="O867" s="1404"/>
      <c r="P867" s="1404"/>
      <c r="Q867" s="1404"/>
      <c r="R867" s="1404"/>
      <c r="S867" s="1404"/>
      <c r="T867" s="1404"/>
      <c r="U867" s="1404"/>
      <c r="V867" s="1404"/>
      <c r="W867" s="1404"/>
      <c r="X867" s="1404"/>
      <c r="Y867" s="1404"/>
      <c r="Z867" s="1404"/>
    </row>
    <row r="868">
      <c r="A868" s="1404"/>
      <c r="B868" s="1404"/>
      <c r="C868" s="1404"/>
      <c r="D868" s="1404"/>
      <c r="E868" s="1404"/>
      <c r="F868" s="1404"/>
      <c r="G868" s="1404"/>
      <c r="H868" s="1404"/>
      <c r="I868" s="1404"/>
      <c r="J868" s="1404"/>
      <c r="K868" s="1404"/>
      <c r="L868" s="1404"/>
      <c r="M868" s="1404"/>
      <c r="N868" s="1404"/>
      <c r="O868" s="1404"/>
      <c r="P868" s="1404"/>
      <c r="Q868" s="1404"/>
      <c r="R868" s="1404"/>
      <c r="S868" s="1404"/>
      <c r="T868" s="1404"/>
      <c r="U868" s="1404"/>
      <c r="V868" s="1404"/>
      <c r="W868" s="1404"/>
      <c r="X868" s="1404"/>
      <c r="Y868" s="1404"/>
      <c r="Z868" s="1404"/>
    </row>
    <row r="869">
      <c r="A869" s="1404"/>
      <c r="B869" s="1404"/>
      <c r="C869" s="1404"/>
      <c r="D869" s="1404"/>
      <c r="E869" s="1404"/>
      <c r="F869" s="1404"/>
      <c r="G869" s="1404"/>
      <c r="H869" s="1404"/>
      <c r="I869" s="1404"/>
      <c r="J869" s="1404"/>
      <c r="K869" s="1404"/>
      <c r="L869" s="1404"/>
      <c r="M869" s="1404"/>
      <c r="N869" s="1404"/>
      <c r="O869" s="1404"/>
      <c r="P869" s="1404"/>
      <c r="Q869" s="1404"/>
      <c r="R869" s="1404"/>
      <c r="S869" s="1404"/>
      <c r="T869" s="1404"/>
      <c r="U869" s="1404"/>
      <c r="V869" s="1404"/>
      <c r="W869" s="1404"/>
      <c r="X869" s="1404"/>
      <c r="Y869" s="1404"/>
      <c r="Z869" s="1404"/>
    </row>
    <row r="870">
      <c r="A870" s="1404"/>
      <c r="B870" s="1404"/>
      <c r="C870" s="1404"/>
      <c r="D870" s="1404"/>
      <c r="E870" s="1404"/>
      <c r="F870" s="1404"/>
      <c r="G870" s="1404"/>
      <c r="H870" s="1404"/>
      <c r="I870" s="1404"/>
      <c r="J870" s="1404"/>
      <c r="K870" s="1404"/>
      <c r="L870" s="1404"/>
      <c r="M870" s="1404"/>
      <c r="N870" s="1404"/>
      <c r="O870" s="1404"/>
      <c r="P870" s="1404"/>
      <c r="Q870" s="1404"/>
      <c r="R870" s="1404"/>
      <c r="S870" s="1404"/>
      <c r="T870" s="1404"/>
      <c r="U870" s="1404"/>
      <c r="V870" s="1404"/>
      <c r="W870" s="1404"/>
      <c r="X870" s="1404"/>
      <c r="Y870" s="1404"/>
      <c r="Z870" s="1404"/>
    </row>
    <row r="871">
      <c r="A871" s="1404"/>
      <c r="B871" s="1404"/>
      <c r="C871" s="1404"/>
      <c r="D871" s="1404"/>
      <c r="E871" s="1404"/>
      <c r="F871" s="1404"/>
      <c r="G871" s="1404"/>
      <c r="H871" s="1404"/>
      <c r="I871" s="1404"/>
      <c r="J871" s="1404"/>
      <c r="K871" s="1404"/>
      <c r="L871" s="1404"/>
      <c r="M871" s="1404"/>
      <c r="N871" s="1404"/>
      <c r="O871" s="1404"/>
      <c r="P871" s="1404"/>
      <c r="Q871" s="1404"/>
      <c r="R871" s="1404"/>
      <c r="S871" s="1404"/>
      <c r="T871" s="1404"/>
      <c r="U871" s="1404"/>
      <c r="V871" s="1404"/>
      <c r="W871" s="1404"/>
      <c r="X871" s="1404"/>
      <c r="Y871" s="1404"/>
      <c r="Z871" s="1404"/>
    </row>
    <row r="872">
      <c r="A872" s="1404"/>
      <c r="B872" s="1404"/>
      <c r="C872" s="1404"/>
      <c r="D872" s="1404"/>
      <c r="E872" s="1404"/>
      <c r="F872" s="1404"/>
      <c r="G872" s="1404"/>
      <c r="H872" s="1404"/>
      <c r="I872" s="1404"/>
      <c r="J872" s="1404"/>
      <c r="K872" s="1404"/>
      <c r="L872" s="1404"/>
      <c r="M872" s="1404"/>
      <c r="N872" s="1404"/>
      <c r="O872" s="1404"/>
      <c r="P872" s="1404"/>
      <c r="Q872" s="1404"/>
      <c r="R872" s="1404"/>
      <c r="S872" s="1404"/>
      <c r="T872" s="1404"/>
      <c r="U872" s="1404"/>
      <c r="V872" s="1404"/>
      <c r="W872" s="1404"/>
      <c r="X872" s="1404"/>
      <c r="Y872" s="1404"/>
      <c r="Z872" s="1404"/>
    </row>
    <row r="873">
      <c r="A873" s="1404"/>
      <c r="B873" s="1404"/>
      <c r="C873" s="1404"/>
      <c r="D873" s="1404"/>
      <c r="E873" s="1404"/>
      <c r="F873" s="1404"/>
      <c r="G873" s="1404"/>
      <c r="H873" s="1404"/>
      <c r="I873" s="1404"/>
      <c r="J873" s="1404"/>
      <c r="K873" s="1404"/>
      <c r="L873" s="1404"/>
      <c r="M873" s="1404"/>
      <c r="N873" s="1404"/>
      <c r="O873" s="1404"/>
      <c r="P873" s="1404"/>
      <c r="Q873" s="1404"/>
      <c r="R873" s="1404"/>
      <c r="S873" s="1404"/>
      <c r="T873" s="1404"/>
      <c r="U873" s="1404"/>
      <c r="V873" s="1404"/>
      <c r="W873" s="1404"/>
      <c r="X873" s="1404"/>
      <c r="Y873" s="1404"/>
      <c r="Z873" s="1404"/>
    </row>
    <row r="874">
      <c r="A874" s="1404"/>
      <c r="B874" s="1404"/>
      <c r="C874" s="1404"/>
      <c r="D874" s="1404"/>
      <c r="E874" s="1404"/>
      <c r="F874" s="1404"/>
      <c r="G874" s="1404"/>
      <c r="H874" s="1404"/>
      <c r="I874" s="1404"/>
      <c r="J874" s="1404"/>
      <c r="K874" s="1404"/>
      <c r="L874" s="1404"/>
      <c r="M874" s="1404"/>
      <c r="N874" s="1404"/>
      <c r="O874" s="1404"/>
      <c r="P874" s="1404"/>
      <c r="Q874" s="1404"/>
      <c r="R874" s="1404"/>
      <c r="S874" s="1404"/>
      <c r="T874" s="1404"/>
      <c r="U874" s="1404"/>
      <c r="V874" s="1404"/>
      <c r="W874" s="1404"/>
      <c r="X874" s="1404"/>
      <c r="Y874" s="1404"/>
      <c r="Z874" s="1404"/>
    </row>
    <row r="875">
      <c r="A875" s="1404"/>
      <c r="B875" s="1404"/>
      <c r="C875" s="1404"/>
      <c r="D875" s="1404"/>
      <c r="E875" s="1404"/>
      <c r="F875" s="1404"/>
      <c r="G875" s="1404"/>
      <c r="H875" s="1404"/>
      <c r="I875" s="1404"/>
      <c r="J875" s="1404"/>
      <c r="K875" s="1404"/>
      <c r="L875" s="1404"/>
      <c r="M875" s="1404"/>
      <c r="N875" s="1404"/>
      <c r="O875" s="1404"/>
      <c r="P875" s="1404"/>
      <c r="Q875" s="1404"/>
      <c r="R875" s="1404"/>
      <c r="S875" s="1404"/>
      <c r="T875" s="1404"/>
      <c r="U875" s="1404"/>
      <c r="V875" s="1404"/>
      <c r="W875" s="1404"/>
      <c r="X875" s="1404"/>
      <c r="Y875" s="1404"/>
      <c r="Z875" s="1404"/>
    </row>
    <row r="876">
      <c r="A876" s="1404"/>
      <c r="B876" s="1404"/>
      <c r="C876" s="1404"/>
      <c r="D876" s="1404"/>
      <c r="E876" s="1404"/>
      <c r="F876" s="1404"/>
      <c r="G876" s="1404"/>
      <c r="H876" s="1404"/>
      <c r="I876" s="1404"/>
      <c r="J876" s="1404"/>
      <c r="K876" s="1404"/>
      <c r="L876" s="1404"/>
      <c r="M876" s="1404"/>
      <c r="N876" s="1404"/>
      <c r="O876" s="1404"/>
      <c r="P876" s="1404"/>
      <c r="Q876" s="1404"/>
      <c r="R876" s="1404"/>
      <c r="S876" s="1404"/>
      <c r="T876" s="1404"/>
      <c r="U876" s="1404"/>
      <c r="V876" s="1404"/>
      <c r="W876" s="1404"/>
      <c r="X876" s="1404"/>
      <c r="Y876" s="1404"/>
      <c r="Z876" s="1404"/>
    </row>
    <row r="877">
      <c r="A877" s="1404"/>
      <c r="B877" s="1404"/>
      <c r="C877" s="1404"/>
      <c r="D877" s="1404"/>
      <c r="E877" s="1404"/>
      <c r="F877" s="1404"/>
      <c r="G877" s="1404"/>
      <c r="H877" s="1404"/>
      <c r="I877" s="1404"/>
      <c r="J877" s="1404"/>
      <c r="K877" s="1404"/>
      <c r="L877" s="1404"/>
      <c r="M877" s="1404"/>
      <c r="N877" s="1404"/>
      <c r="O877" s="1404"/>
      <c r="P877" s="1404"/>
      <c r="Q877" s="1404"/>
      <c r="R877" s="1404"/>
      <c r="S877" s="1404"/>
      <c r="T877" s="1404"/>
      <c r="U877" s="1404"/>
      <c r="V877" s="1404"/>
      <c r="W877" s="1404"/>
      <c r="X877" s="1404"/>
      <c r="Y877" s="1404"/>
      <c r="Z877" s="1404"/>
    </row>
    <row r="878">
      <c r="A878" s="1404"/>
      <c r="B878" s="1404"/>
      <c r="C878" s="1404"/>
      <c r="D878" s="1404"/>
      <c r="E878" s="1404"/>
      <c r="F878" s="1404"/>
      <c r="G878" s="1404"/>
      <c r="H878" s="1404"/>
      <c r="I878" s="1404"/>
      <c r="J878" s="1404"/>
      <c r="K878" s="1404"/>
      <c r="L878" s="1404"/>
      <c r="M878" s="1404"/>
      <c r="N878" s="1404"/>
      <c r="O878" s="1404"/>
      <c r="P878" s="1404"/>
      <c r="Q878" s="1404"/>
      <c r="R878" s="1404"/>
      <c r="S878" s="1404"/>
      <c r="T878" s="1404"/>
      <c r="U878" s="1404"/>
      <c r="V878" s="1404"/>
      <c r="W878" s="1404"/>
      <c r="X878" s="1404"/>
      <c r="Y878" s="1404"/>
      <c r="Z878" s="1404"/>
    </row>
    <row r="879">
      <c r="A879" s="1404"/>
      <c r="B879" s="1404"/>
      <c r="C879" s="1404"/>
      <c r="D879" s="1404"/>
      <c r="E879" s="1404"/>
      <c r="F879" s="1404"/>
      <c r="G879" s="1404"/>
      <c r="H879" s="1404"/>
      <c r="I879" s="1404"/>
      <c r="J879" s="1404"/>
      <c r="K879" s="1404"/>
      <c r="L879" s="1404"/>
      <c r="M879" s="1404"/>
      <c r="N879" s="1404"/>
      <c r="O879" s="1404"/>
      <c r="P879" s="1404"/>
      <c r="Q879" s="1404"/>
      <c r="R879" s="1404"/>
      <c r="S879" s="1404"/>
      <c r="T879" s="1404"/>
      <c r="U879" s="1404"/>
      <c r="V879" s="1404"/>
      <c r="W879" s="1404"/>
      <c r="X879" s="1404"/>
      <c r="Y879" s="1404"/>
      <c r="Z879" s="1404"/>
    </row>
    <row r="880">
      <c r="A880" s="1404"/>
      <c r="B880" s="1404"/>
      <c r="C880" s="1404"/>
      <c r="D880" s="1404"/>
      <c r="E880" s="1404"/>
      <c r="F880" s="1404"/>
      <c r="G880" s="1404"/>
      <c r="H880" s="1404"/>
      <c r="I880" s="1404"/>
      <c r="J880" s="1404"/>
      <c r="K880" s="1404"/>
      <c r="L880" s="1404"/>
      <c r="M880" s="1404"/>
      <c r="N880" s="1404"/>
      <c r="O880" s="1404"/>
      <c r="P880" s="1404"/>
      <c r="Q880" s="1404"/>
      <c r="R880" s="1404"/>
      <c r="S880" s="1404"/>
      <c r="T880" s="1404"/>
      <c r="U880" s="1404"/>
      <c r="V880" s="1404"/>
      <c r="W880" s="1404"/>
      <c r="X880" s="1404"/>
      <c r="Y880" s="1404"/>
      <c r="Z880" s="1404"/>
    </row>
    <row r="881">
      <c r="A881" s="1404"/>
      <c r="B881" s="1404"/>
      <c r="C881" s="1404"/>
      <c r="D881" s="1404"/>
      <c r="E881" s="1404"/>
      <c r="F881" s="1404"/>
      <c r="G881" s="1404"/>
      <c r="H881" s="1404"/>
      <c r="I881" s="1404"/>
      <c r="J881" s="1404"/>
      <c r="K881" s="1404"/>
      <c r="L881" s="1404"/>
      <c r="M881" s="1404"/>
      <c r="N881" s="1404"/>
      <c r="O881" s="1404"/>
      <c r="P881" s="1404"/>
      <c r="Q881" s="1404"/>
      <c r="R881" s="1404"/>
      <c r="S881" s="1404"/>
      <c r="T881" s="1404"/>
      <c r="U881" s="1404"/>
      <c r="V881" s="1404"/>
      <c r="W881" s="1404"/>
      <c r="X881" s="1404"/>
      <c r="Y881" s="1404"/>
      <c r="Z881" s="1404"/>
    </row>
    <row r="882">
      <c r="A882" s="1404"/>
      <c r="B882" s="1404"/>
      <c r="C882" s="1404"/>
      <c r="D882" s="1404"/>
      <c r="E882" s="1404"/>
      <c r="F882" s="1404"/>
      <c r="G882" s="1404"/>
      <c r="H882" s="1404"/>
      <c r="I882" s="1404"/>
      <c r="J882" s="1404"/>
      <c r="K882" s="1404"/>
      <c r="L882" s="1404"/>
      <c r="M882" s="1404"/>
      <c r="N882" s="1404"/>
      <c r="O882" s="1404"/>
      <c r="P882" s="1404"/>
      <c r="Q882" s="1404"/>
      <c r="R882" s="1404"/>
      <c r="S882" s="1404"/>
      <c r="T882" s="1404"/>
      <c r="U882" s="1404"/>
      <c r="V882" s="1404"/>
      <c r="W882" s="1404"/>
      <c r="X882" s="1404"/>
      <c r="Y882" s="1404"/>
      <c r="Z882" s="1404"/>
    </row>
    <row r="883">
      <c r="A883" s="1404"/>
      <c r="B883" s="1404"/>
      <c r="C883" s="1404"/>
      <c r="D883" s="1404"/>
      <c r="E883" s="1404"/>
      <c r="F883" s="1404"/>
      <c r="G883" s="1404"/>
      <c r="H883" s="1404"/>
      <c r="I883" s="1404"/>
      <c r="J883" s="1404"/>
      <c r="K883" s="1404"/>
      <c r="L883" s="1404"/>
      <c r="M883" s="1404"/>
      <c r="N883" s="1404"/>
      <c r="O883" s="1404"/>
      <c r="P883" s="1404"/>
      <c r="Q883" s="1404"/>
      <c r="R883" s="1404"/>
      <c r="S883" s="1404"/>
      <c r="T883" s="1404"/>
      <c r="U883" s="1404"/>
      <c r="V883" s="1404"/>
      <c r="W883" s="1404"/>
      <c r="X883" s="1404"/>
      <c r="Y883" s="1404"/>
      <c r="Z883" s="1404"/>
    </row>
    <row r="884">
      <c r="A884" s="1404"/>
      <c r="B884" s="1404"/>
      <c r="C884" s="1404"/>
      <c r="D884" s="1404"/>
      <c r="E884" s="1404"/>
      <c r="F884" s="1404"/>
      <c r="G884" s="1404"/>
      <c r="H884" s="1404"/>
      <c r="I884" s="1404"/>
      <c r="J884" s="1404"/>
      <c r="K884" s="1404"/>
      <c r="L884" s="1404"/>
      <c r="M884" s="1404"/>
      <c r="N884" s="1404"/>
      <c r="O884" s="1404"/>
      <c r="P884" s="1404"/>
      <c r="Q884" s="1404"/>
      <c r="R884" s="1404"/>
      <c r="S884" s="1404"/>
      <c r="T884" s="1404"/>
      <c r="U884" s="1404"/>
      <c r="V884" s="1404"/>
      <c r="W884" s="1404"/>
      <c r="X884" s="1404"/>
      <c r="Y884" s="1404"/>
      <c r="Z884" s="1404"/>
    </row>
    <row r="885">
      <c r="A885" s="1404"/>
      <c r="B885" s="1404"/>
      <c r="C885" s="1404"/>
      <c r="D885" s="1404"/>
      <c r="E885" s="1404"/>
      <c r="F885" s="1404"/>
      <c r="G885" s="1404"/>
      <c r="H885" s="1404"/>
      <c r="I885" s="1404"/>
      <c r="J885" s="1404"/>
      <c r="K885" s="1404"/>
      <c r="L885" s="1404"/>
      <c r="M885" s="1404"/>
      <c r="N885" s="1404"/>
      <c r="O885" s="1404"/>
      <c r="P885" s="1404"/>
      <c r="Q885" s="1404"/>
      <c r="R885" s="1404"/>
      <c r="S885" s="1404"/>
      <c r="T885" s="1404"/>
      <c r="U885" s="1404"/>
      <c r="V885" s="1404"/>
      <c r="W885" s="1404"/>
      <c r="X885" s="1404"/>
      <c r="Y885" s="1404"/>
      <c r="Z885" s="1404"/>
    </row>
    <row r="886">
      <c r="A886" s="1404"/>
      <c r="B886" s="1404"/>
      <c r="C886" s="1404"/>
      <c r="D886" s="1404"/>
      <c r="E886" s="1404"/>
      <c r="F886" s="1404"/>
      <c r="G886" s="1404"/>
      <c r="H886" s="1404"/>
      <c r="I886" s="1404"/>
      <c r="J886" s="1404"/>
      <c r="K886" s="1404"/>
      <c r="L886" s="1404"/>
      <c r="M886" s="1404"/>
      <c r="N886" s="1404"/>
      <c r="O886" s="1404"/>
      <c r="P886" s="1404"/>
      <c r="Q886" s="1404"/>
      <c r="R886" s="1404"/>
      <c r="S886" s="1404"/>
      <c r="T886" s="1404"/>
      <c r="U886" s="1404"/>
      <c r="V886" s="1404"/>
      <c r="W886" s="1404"/>
      <c r="X886" s="1404"/>
      <c r="Y886" s="1404"/>
      <c r="Z886" s="1404"/>
    </row>
    <row r="887">
      <c r="A887" s="1404"/>
      <c r="B887" s="1404"/>
      <c r="C887" s="1404"/>
      <c r="D887" s="1404"/>
      <c r="E887" s="1404"/>
      <c r="F887" s="1404"/>
      <c r="G887" s="1404"/>
      <c r="H887" s="1404"/>
      <c r="I887" s="1404"/>
      <c r="J887" s="1404"/>
      <c r="K887" s="1404"/>
      <c r="L887" s="1404"/>
      <c r="M887" s="1404"/>
      <c r="N887" s="1404"/>
      <c r="O887" s="1404"/>
      <c r="P887" s="1404"/>
      <c r="Q887" s="1404"/>
      <c r="R887" s="1404"/>
      <c r="S887" s="1404"/>
      <c r="T887" s="1404"/>
      <c r="U887" s="1404"/>
      <c r="V887" s="1404"/>
      <c r="W887" s="1404"/>
      <c r="X887" s="1404"/>
      <c r="Y887" s="1404"/>
      <c r="Z887" s="1404"/>
    </row>
    <row r="888">
      <c r="A888" s="1404"/>
      <c r="B888" s="1404"/>
      <c r="C888" s="1404"/>
      <c r="D888" s="1404"/>
      <c r="E888" s="1404"/>
      <c r="F888" s="1404"/>
      <c r="G888" s="1404"/>
      <c r="H888" s="1404"/>
      <c r="I888" s="1404"/>
      <c r="J888" s="1404"/>
      <c r="K888" s="1404"/>
      <c r="L888" s="1404"/>
      <c r="M888" s="1404"/>
      <c r="N888" s="1404"/>
      <c r="O888" s="1404"/>
      <c r="P888" s="1404"/>
      <c r="Q888" s="1404"/>
      <c r="R888" s="1404"/>
      <c r="S888" s="1404"/>
      <c r="T888" s="1404"/>
      <c r="U888" s="1404"/>
      <c r="V888" s="1404"/>
      <c r="W888" s="1404"/>
      <c r="X888" s="1404"/>
      <c r="Y888" s="1404"/>
      <c r="Z888" s="1404"/>
    </row>
    <row r="889">
      <c r="A889" s="1404"/>
      <c r="B889" s="1404"/>
      <c r="C889" s="1404"/>
      <c r="D889" s="1404"/>
      <c r="E889" s="1404"/>
      <c r="F889" s="1404"/>
      <c r="G889" s="1404"/>
      <c r="H889" s="1404"/>
      <c r="I889" s="1404"/>
      <c r="J889" s="1404"/>
      <c r="K889" s="1404"/>
      <c r="L889" s="1404"/>
      <c r="M889" s="1404"/>
      <c r="N889" s="1404"/>
      <c r="O889" s="1404"/>
      <c r="P889" s="1404"/>
      <c r="Q889" s="1404"/>
      <c r="R889" s="1404"/>
      <c r="S889" s="1404"/>
      <c r="T889" s="1404"/>
      <c r="U889" s="1404"/>
      <c r="V889" s="1404"/>
      <c r="W889" s="1404"/>
      <c r="X889" s="1404"/>
      <c r="Y889" s="1404"/>
      <c r="Z889" s="1404"/>
    </row>
    <row r="890">
      <c r="A890" s="1404"/>
      <c r="B890" s="1404"/>
      <c r="C890" s="1404"/>
      <c r="D890" s="1404"/>
      <c r="E890" s="1404"/>
      <c r="F890" s="1404"/>
      <c r="G890" s="1404"/>
      <c r="H890" s="1404"/>
      <c r="I890" s="1404"/>
      <c r="J890" s="1404"/>
      <c r="K890" s="1404"/>
      <c r="L890" s="1404"/>
      <c r="M890" s="1404"/>
      <c r="N890" s="1404"/>
      <c r="O890" s="1404"/>
      <c r="P890" s="1404"/>
      <c r="Q890" s="1404"/>
      <c r="R890" s="1404"/>
      <c r="S890" s="1404"/>
      <c r="T890" s="1404"/>
      <c r="U890" s="1404"/>
      <c r="V890" s="1404"/>
      <c r="W890" s="1404"/>
      <c r="X890" s="1404"/>
      <c r="Y890" s="1404"/>
      <c r="Z890" s="1404"/>
    </row>
    <row r="891">
      <c r="A891" s="1404"/>
      <c r="B891" s="1404"/>
      <c r="C891" s="1404"/>
      <c r="D891" s="1404"/>
      <c r="E891" s="1404"/>
      <c r="F891" s="1404"/>
      <c r="G891" s="1404"/>
      <c r="H891" s="1404"/>
      <c r="I891" s="1404"/>
      <c r="J891" s="1404"/>
      <c r="K891" s="1404"/>
      <c r="L891" s="1404"/>
      <c r="M891" s="1404"/>
      <c r="N891" s="1404"/>
      <c r="O891" s="1404"/>
      <c r="P891" s="1404"/>
      <c r="Q891" s="1404"/>
      <c r="R891" s="1404"/>
      <c r="S891" s="1404"/>
      <c r="T891" s="1404"/>
      <c r="U891" s="1404"/>
      <c r="V891" s="1404"/>
      <c r="W891" s="1404"/>
      <c r="X891" s="1404"/>
      <c r="Y891" s="1404"/>
      <c r="Z891" s="1404"/>
    </row>
    <row r="892">
      <c r="A892" s="1404"/>
      <c r="B892" s="1404"/>
      <c r="C892" s="1404"/>
      <c r="D892" s="1404"/>
      <c r="E892" s="1404"/>
      <c r="F892" s="1404"/>
      <c r="G892" s="1404"/>
      <c r="H892" s="1404"/>
      <c r="I892" s="1404"/>
      <c r="J892" s="1404"/>
      <c r="K892" s="1404"/>
      <c r="L892" s="1404"/>
      <c r="M892" s="1404"/>
      <c r="N892" s="1404"/>
      <c r="O892" s="1404"/>
      <c r="P892" s="1404"/>
      <c r="Q892" s="1404"/>
      <c r="R892" s="1404"/>
      <c r="S892" s="1404"/>
      <c r="T892" s="1404"/>
      <c r="U892" s="1404"/>
      <c r="V892" s="1404"/>
      <c r="W892" s="1404"/>
      <c r="X892" s="1404"/>
      <c r="Y892" s="1404"/>
      <c r="Z892" s="1404"/>
    </row>
    <row r="893">
      <c r="A893" s="1404"/>
      <c r="B893" s="1404"/>
      <c r="C893" s="1404"/>
      <c r="D893" s="1404"/>
      <c r="E893" s="1404"/>
      <c r="F893" s="1404"/>
      <c r="G893" s="1404"/>
      <c r="H893" s="1404"/>
      <c r="I893" s="1404"/>
      <c r="J893" s="1404"/>
      <c r="K893" s="1404"/>
      <c r="L893" s="1404"/>
      <c r="M893" s="1404"/>
      <c r="N893" s="1404"/>
      <c r="O893" s="1404"/>
      <c r="P893" s="1404"/>
      <c r="Q893" s="1404"/>
      <c r="R893" s="1404"/>
      <c r="S893" s="1404"/>
      <c r="T893" s="1404"/>
      <c r="U893" s="1404"/>
      <c r="V893" s="1404"/>
      <c r="W893" s="1404"/>
      <c r="X893" s="1404"/>
      <c r="Y893" s="1404"/>
      <c r="Z893" s="1404"/>
    </row>
    <row r="894">
      <c r="A894" s="1404"/>
      <c r="B894" s="1404"/>
      <c r="C894" s="1404"/>
      <c r="D894" s="1404"/>
      <c r="E894" s="1404"/>
      <c r="F894" s="1404"/>
      <c r="G894" s="1404"/>
      <c r="H894" s="1404"/>
      <c r="I894" s="1404"/>
      <c r="J894" s="1404"/>
      <c r="K894" s="1404"/>
      <c r="L894" s="1404"/>
      <c r="M894" s="1404"/>
      <c r="N894" s="1404"/>
      <c r="O894" s="1404"/>
      <c r="P894" s="1404"/>
      <c r="Q894" s="1404"/>
      <c r="R894" s="1404"/>
      <c r="S894" s="1404"/>
      <c r="T894" s="1404"/>
      <c r="U894" s="1404"/>
      <c r="V894" s="1404"/>
      <c r="W894" s="1404"/>
      <c r="X894" s="1404"/>
      <c r="Y894" s="1404"/>
      <c r="Z894" s="1404"/>
    </row>
    <row r="895">
      <c r="A895" s="1404"/>
      <c r="B895" s="1404"/>
      <c r="C895" s="1404"/>
      <c r="D895" s="1404"/>
      <c r="E895" s="1404"/>
      <c r="F895" s="1404"/>
      <c r="G895" s="1404"/>
      <c r="H895" s="1404"/>
      <c r="I895" s="1404"/>
      <c r="J895" s="1404"/>
      <c r="K895" s="1404"/>
      <c r="L895" s="1404"/>
      <c r="M895" s="1404"/>
      <c r="N895" s="1404"/>
      <c r="O895" s="1404"/>
      <c r="P895" s="1404"/>
      <c r="Q895" s="1404"/>
      <c r="R895" s="1404"/>
      <c r="S895" s="1404"/>
      <c r="T895" s="1404"/>
      <c r="U895" s="1404"/>
      <c r="V895" s="1404"/>
      <c r="W895" s="1404"/>
      <c r="X895" s="1404"/>
      <c r="Y895" s="1404"/>
      <c r="Z895" s="1404"/>
    </row>
    <row r="896">
      <c r="A896" s="1404"/>
      <c r="B896" s="1404"/>
      <c r="C896" s="1404"/>
      <c r="D896" s="1404"/>
      <c r="E896" s="1404"/>
      <c r="F896" s="1404"/>
      <c r="G896" s="1404"/>
      <c r="H896" s="1404"/>
      <c r="I896" s="1404"/>
      <c r="J896" s="1404"/>
      <c r="K896" s="1404"/>
      <c r="L896" s="1404"/>
      <c r="M896" s="1404"/>
      <c r="N896" s="1404"/>
      <c r="O896" s="1404"/>
      <c r="P896" s="1404"/>
      <c r="Q896" s="1404"/>
      <c r="R896" s="1404"/>
      <c r="S896" s="1404"/>
      <c r="T896" s="1404"/>
      <c r="U896" s="1404"/>
      <c r="V896" s="1404"/>
      <c r="W896" s="1404"/>
      <c r="X896" s="1404"/>
      <c r="Y896" s="1404"/>
      <c r="Z896" s="1404"/>
    </row>
    <row r="897">
      <c r="A897" s="1404"/>
      <c r="B897" s="1404"/>
      <c r="C897" s="1404"/>
      <c r="D897" s="1404"/>
      <c r="E897" s="1404"/>
      <c r="F897" s="1404"/>
      <c r="G897" s="1404"/>
      <c r="H897" s="1404"/>
      <c r="I897" s="1404"/>
      <c r="J897" s="1404"/>
      <c r="K897" s="1404"/>
      <c r="L897" s="1404"/>
      <c r="M897" s="1404"/>
      <c r="N897" s="1404"/>
      <c r="O897" s="1404"/>
      <c r="P897" s="1404"/>
      <c r="Q897" s="1404"/>
      <c r="R897" s="1404"/>
      <c r="S897" s="1404"/>
      <c r="T897" s="1404"/>
      <c r="U897" s="1404"/>
      <c r="V897" s="1404"/>
      <c r="W897" s="1404"/>
      <c r="X897" s="1404"/>
      <c r="Y897" s="1404"/>
      <c r="Z897" s="1404"/>
    </row>
    <row r="898">
      <c r="A898" s="1404"/>
      <c r="B898" s="1404"/>
      <c r="C898" s="1404"/>
      <c r="D898" s="1404"/>
      <c r="E898" s="1404"/>
      <c r="F898" s="1404"/>
      <c r="G898" s="1404"/>
      <c r="H898" s="1404"/>
      <c r="I898" s="1404"/>
      <c r="J898" s="1404"/>
      <c r="K898" s="1404"/>
      <c r="L898" s="1404"/>
      <c r="M898" s="1404"/>
      <c r="N898" s="1404"/>
      <c r="O898" s="1404"/>
      <c r="P898" s="1404"/>
      <c r="Q898" s="1404"/>
      <c r="R898" s="1404"/>
      <c r="S898" s="1404"/>
      <c r="T898" s="1404"/>
      <c r="U898" s="1404"/>
      <c r="V898" s="1404"/>
      <c r="W898" s="1404"/>
      <c r="X898" s="1404"/>
      <c r="Y898" s="1404"/>
      <c r="Z898" s="1404"/>
    </row>
    <row r="899">
      <c r="A899" s="1404"/>
      <c r="B899" s="1404"/>
      <c r="C899" s="1404"/>
      <c r="D899" s="1404"/>
      <c r="E899" s="1404"/>
      <c r="F899" s="1404"/>
      <c r="G899" s="1404"/>
      <c r="H899" s="1404"/>
      <c r="I899" s="1404"/>
      <c r="J899" s="1404"/>
      <c r="K899" s="1404"/>
      <c r="L899" s="1404"/>
      <c r="M899" s="1404"/>
      <c r="N899" s="1404"/>
      <c r="O899" s="1404"/>
      <c r="P899" s="1404"/>
      <c r="Q899" s="1404"/>
      <c r="R899" s="1404"/>
      <c r="S899" s="1404"/>
      <c r="T899" s="1404"/>
      <c r="U899" s="1404"/>
      <c r="V899" s="1404"/>
      <c r="W899" s="1404"/>
      <c r="X899" s="1404"/>
      <c r="Y899" s="1404"/>
      <c r="Z899" s="1404"/>
    </row>
    <row r="900">
      <c r="A900" s="1404"/>
      <c r="B900" s="1404"/>
      <c r="C900" s="1404"/>
      <c r="D900" s="1404"/>
      <c r="E900" s="1404"/>
      <c r="F900" s="1404"/>
      <c r="G900" s="1404"/>
      <c r="H900" s="1404"/>
      <c r="I900" s="1404"/>
      <c r="J900" s="1404"/>
      <c r="K900" s="1404"/>
      <c r="L900" s="1404"/>
      <c r="M900" s="1404"/>
      <c r="N900" s="1404"/>
      <c r="O900" s="1404"/>
      <c r="P900" s="1404"/>
      <c r="Q900" s="1404"/>
      <c r="R900" s="1404"/>
      <c r="S900" s="1404"/>
      <c r="T900" s="1404"/>
      <c r="U900" s="1404"/>
      <c r="V900" s="1404"/>
      <c r="W900" s="1404"/>
      <c r="X900" s="1404"/>
      <c r="Y900" s="1404"/>
      <c r="Z900" s="1404"/>
    </row>
    <row r="901">
      <c r="A901" s="1404"/>
      <c r="B901" s="1404"/>
      <c r="C901" s="1404"/>
      <c r="D901" s="1404"/>
      <c r="E901" s="1404"/>
      <c r="F901" s="1404"/>
      <c r="G901" s="1404"/>
      <c r="H901" s="1404"/>
      <c r="I901" s="1404"/>
      <c r="J901" s="1404"/>
      <c r="K901" s="1404"/>
      <c r="L901" s="1404"/>
      <c r="M901" s="1404"/>
      <c r="N901" s="1404"/>
      <c r="O901" s="1404"/>
      <c r="P901" s="1404"/>
      <c r="Q901" s="1404"/>
      <c r="R901" s="1404"/>
      <c r="S901" s="1404"/>
      <c r="T901" s="1404"/>
      <c r="U901" s="1404"/>
      <c r="V901" s="1404"/>
      <c r="W901" s="1404"/>
      <c r="X901" s="1404"/>
      <c r="Y901" s="1404"/>
      <c r="Z901" s="1404"/>
    </row>
    <row r="902">
      <c r="A902" s="1404"/>
      <c r="B902" s="1404"/>
      <c r="C902" s="1404"/>
      <c r="D902" s="1404"/>
      <c r="E902" s="1404"/>
      <c r="F902" s="1404"/>
      <c r="G902" s="1404"/>
      <c r="H902" s="1404"/>
      <c r="I902" s="1404"/>
      <c r="J902" s="1404"/>
      <c r="K902" s="1404"/>
      <c r="L902" s="1404"/>
      <c r="M902" s="1404"/>
      <c r="N902" s="1404"/>
      <c r="O902" s="1404"/>
      <c r="P902" s="1404"/>
      <c r="Q902" s="1404"/>
      <c r="R902" s="1404"/>
      <c r="S902" s="1404"/>
      <c r="T902" s="1404"/>
      <c r="U902" s="1404"/>
      <c r="V902" s="1404"/>
      <c r="W902" s="1404"/>
      <c r="X902" s="1404"/>
      <c r="Y902" s="1404"/>
      <c r="Z902" s="1404"/>
    </row>
    <row r="903">
      <c r="A903" s="1404"/>
      <c r="B903" s="1404"/>
      <c r="C903" s="1404"/>
      <c r="D903" s="1404"/>
      <c r="E903" s="1404"/>
      <c r="F903" s="1404"/>
      <c r="G903" s="1404"/>
      <c r="H903" s="1404"/>
      <c r="I903" s="1404"/>
      <c r="J903" s="1404"/>
      <c r="K903" s="1404"/>
      <c r="L903" s="1404"/>
      <c r="M903" s="1404"/>
      <c r="N903" s="1404"/>
      <c r="O903" s="1404"/>
      <c r="P903" s="1404"/>
      <c r="Q903" s="1404"/>
      <c r="R903" s="1404"/>
      <c r="S903" s="1404"/>
      <c r="T903" s="1404"/>
      <c r="U903" s="1404"/>
      <c r="V903" s="1404"/>
      <c r="W903" s="1404"/>
      <c r="X903" s="1404"/>
      <c r="Y903" s="1404"/>
      <c r="Z903" s="1404"/>
    </row>
    <row r="904">
      <c r="A904" s="1404"/>
      <c r="B904" s="1404"/>
      <c r="C904" s="1404"/>
      <c r="D904" s="1404"/>
      <c r="E904" s="1404"/>
      <c r="F904" s="1404"/>
      <c r="G904" s="1404"/>
      <c r="H904" s="1404"/>
      <c r="I904" s="1404"/>
      <c r="J904" s="1404"/>
      <c r="K904" s="1404"/>
      <c r="L904" s="1404"/>
      <c r="M904" s="1404"/>
      <c r="N904" s="1404"/>
      <c r="O904" s="1404"/>
      <c r="P904" s="1404"/>
      <c r="Q904" s="1404"/>
      <c r="R904" s="1404"/>
      <c r="S904" s="1404"/>
      <c r="T904" s="1404"/>
      <c r="U904" s="1404"/>
      <c r="V904" s="1404"/>
      <c r="W904" s="1404"/>
      <c r="X904" s="1404"/>
      <c r="Y904" s="1404"/>
      <c r="Z904" s="1404"/>
    </row>
    <row r="905">
      <c r="A905" s="1404"/>
      <c r="B905" s="1404"/>
      <c r="C905" s="1404"/>
      <c r="D905" s="1404"/>
      <c r="E905" s="1404"/>
      <c r="F905" s="1404"/>
      <c r="G905" s="1404"/>
      <c r="H905" s="1404"/>
      <c r="I905" s="1404"/>
      <c r="J905" s="1404"/>
      <c r="K905" s="1404"/>
      <c r="L905" s="1404"/>
      <c r="M905" s="1404"/>
      <c r="N905" s="1404"/>
      <c r="O905" s="1404"/>
      <c r="P905" s="1404"/>
      <c r="Q905" s="1404"/>
      <c r="R905" s="1404"/>
      <c r="S905" s="1404"/>
      <c r="T905" s="1404"/>
      <c r="U905" s="1404"/>
      <c r="V905" s="1404"/>
      <c r="W905" s="1404"/>
      <c r="X905" s="1404"/>
      <c r="Y905" s="1404"/>
      <c r="Z905" s="1404"/>
    </row>
    <row r="906">
      <c r="A906" s="1404"/>
      <c r="B906" s="1404"/>
      <c r="C906" s="1404"/>
      <c r="D906" s="1404"/>
      <c r="E906" s="1404"/>
      <c r="F906" s="1404"/>
      <c r="G906" s="1404"/>
      <c r="H906" s="1404"/>
      <c r="I906" s="1404"/>
      <c r="J906" s="1404"/>
      <c r="K906" s="1404"/>
      <c r="L906" s="1404"/>
      <c r="M906" s="1404"/>
      <c r="N906" s="1404"/>
      <c r="O906" s="1404"/>
      <c r="P906" s="1404"/>
      <c r="Q906" s="1404"/>
      <c r="R906" s="1404"/>
      <c r="S906" s="1404"/>
      <c r="T906" s="1404"/>
      <c r="U906" s="1404"/>
      <c r="V906" s="1404"/>
      <c r="W906" s="1404"/>
      <c r="X906" s="1404"/>
      <c r="Y906" s="1404"/>
      <c r="Z906" s="1404"/>
    </row>
    <row r="907">
      <c r="A907" s="1404"/>
      <c r="B907" s="1404"/>
      <c r="C907" s="1404"/>
      <c r="D907" s="1404"/>
      <c r="E907" s="1404"/>
      <c r="F907" s="1404"/>
      <c r="G907" s="1404"/>
      <c r="H907" s="1404"/>
      <c r="I907" s="1404"/>
      <c r="J907" s="1404"/>
      <c r="K907" s="1404"/>
      <c r="L907" s="1404"/>
      <c r="M907" s="1404"/>
      <c r="N907" s="1404"/>
      <c r="O907" s="1404"/>
      <c r="P907" s="1404"/>
      <c r="Q907" s="1404"/>
      <c r="R907" s="1404"/>
      <c r="S907" s="1404"/>
      <c r="T907" s="1404"/>
      <c r="U907" s="1404"/>
      <c r="V907" s="1404"/>
      <c r="W907" s="1404"/>
      <c r="X907" s="1404"/>
      <c r="Y907" s="1404"/>
      <c r="Z907" s="1404"/>
    </row>
    <row r="908">
      <c r="A908" s="1404"/>
      <c r="B908" s="1404"/>
      <c r="C908" s="1404"/>
      <c r="D908" s="1404"/>
      <c r="E908" s="1404"/>
      <c r="F908" s="1404"/>
      <c r="G908" s="1404"/>
      <c r="H908" s="1404"/>
      <c r="I908" s="1404"/>
      <c r="J908" s="1404"/>
      <c r="K908" s="1404"/>
      <c r="L908" s="1404"/>
      <c r="M908" s="1404"/>
      <c r="N908" s="1404"/>
      <c r="O908" s="1404"/>
      <c r="P908" s="1404"/>
      <c r="Q908" s="1404"/>
      <c r="R908" s="1404"/>
      <c r="S908" s="1404"/>
      <c r="T908" s="1404"/>
      <c r="U908" s="1404"/>
      <c r="V908" s="1404"/>
      <c r="W908" s="1404"/>
      <c r="X908" s="1404"/>
      <c r="Y908" s="1404"/>
      <c r="Z908" s="1404"/>
    </row>
    <row r="909">
      <c r="A909" s="1404"/>
      <c r="B909" s="1404"/>
      <c r="C909" s="1404"/>
      <c r="D909" s="1404"/>
      <c r="E909" s="1404"/>
      <c r="F909" s="1404"/>
      <c r="G909" s="1404"/>
      <c r="H909" s="1404"/>
      <c r="I909" s="1404"/>
      <c r="J909" s="1404"/>
      <c r="K909" s="1404"/>
      <c r="L909" s="1404"/>
      <c r="M909" s="1404"/>
      <c r="N909" s="1404"/>
      <c r="O909" s="1404"/>
      <c r="P909" s="1404"/>
      <c r="Q909" s="1404"/>
      <c r="R909" s="1404"/>
      <c r="S909" s="1404"/>
      <c r="T909" s="1404"/>
      <c r="U909" s="1404"/>
      <c r="V909" s="1404"/>
      <c r="W909" s="1404"/>
      <c r="X909" s="1404"/>
      <c r="Y909" s="1404"/>
      <c r="Z909" s="1404"/>
    </row>
    <row r="910">
      <c r="A910" s="1404"/>
      <c r="B910" s="1404"/>
      <c r="C910" s="1404"/>
      <c r="D910" s="1404"/>
      <c r="E910" s="1404"/>
      <c r="F910" s="1404"/>
      <c r="G910" s="1404"/>
      <c r="H910" s="1404"/>
      <c r="I910" s="1404"/>
      <c r="J910" s="1404"/>
      <c r="K910" s="1404"/>
      <c r="L910" s="1404"/>
      <c r="M910" s="1404"/>
      <c r="N910" s="1404"/>
      <c r="O910" s="1404"/>
      <c r="P910" s="1404"/>
      <c r="Q910" s="1404"/>
      <c r="R910" s="1404"/>
      <c r="S910" s="1404"/>
      <c r="T910" s="1404"/>
      <c r="U910" s="1404"/>
      <c r="V910" s="1404"/>
      <c r="W910" s="1404"/>
      <c r="X910" s="1404"/>
      <c r="Y910" s="1404"/>
      <c r="Z910" s="1404"/>
    </row>
    <row r="911">
      <c r="A911" s="1404"/>
      <c r="B911" s="1404"/>
      <c r="C911" s="1404"/>
      <c r="D911" s="1404"/>
      <c r="E911" s="1404"/>
      <c r="F911" s="1404"/>
      <c r="G911" s="1404"/>
      <c r="H911" s="1404"/>
      <c r="I911" s="1404"/>
      <c r="J911" s="1404"/>
      <c r="K911" s="1404"/>
      <c r="L911" s="1404"/>
      <c r="M911" s="1404"/>
      <c r="N911" s="1404"/>
      <c r="O911" s="1404"/>
      <c r="P911" s="1404"/>
      <c r="Q911" s="1404"/>
      <c r="R911" s="1404"/>
      <c r="S911" s="1404"/>
      <c r="T911" s="1404"/>
      <c r="U911" s="1404"/>
      <c r="V911" s="1404"/>
      <c r="W911" s="1404"/>
      <c r="X911" s="1404"/>
      <c r="Y911" s="1404"/>
      <c r="Z911" s="1404"/>
    </row>
    <row r="912">
      <c r="A912" s="1404"/>
      <c r="B912" s="1404"/>
      <c r="C912" s="1404"/>
      <c r="D912" s="1404"/>
      <c r="E912" s="1404"/>
      <c r="F912" s="1404"/>
      <c r="G912" s="1404"/>
      <c r="H912" s="1404"/>
      <c r="I912" s="1404"/>
      <c r="J912" s="1404"/>
      <c r="K912" s="1404"/>
      <c r="L912" s="1404"/>
      <c r="M912" s="1404"/>
      <c r="N912" s="1404"/>
      <c r="O912" s="1404"/>
      <c r="P912" s="1404"/>
      <c r="Q912" s="1404"/>
      <c r="R912" s="1404"/>
      <c r="S912" s="1404"/>
      <c r="T912" s="1404"/>
      <c r="U912" s="1404"/>
      <c r="V912" s="1404"/>
      <c r="W912" s="1404"/>
      <c r="X912" s="1404"/>
      <c r="Y912" s="1404"/>
      <c r="Z912" s="1404"/>
    </row>
    <row r="913">
      <c r="A913" s="1404"/>
      <c r="B913" s="1404"/>
      <c r="C913" s="1404"/>
      <c r="D913" s="1404"/>
      <c r="E913" s="1404"/>
      <c r="F913" s="1404"/>
      <c r="G913" s="1404"/>
      <c r="H913" s="1404"/>
      <c r="I913" s="1404"/>
      <c r="J913" s="1404"/>
      <c r="K913" s="1404"/>
      <c r="L913" s="1404"/>
      <c r="M913" s="1404"/>
      <c r="N913" s="1404"/>
      <c r="O913" s="1404"/>
      <c r="P913" s="1404"/>
      <c r="Q913" s="1404"/>
      <c r="R913" s="1404"/>
      <c r="S913" s="1404"/>
      <c r="T913" s="1404"/>
      <c r="U913" s="1404"/>
      <c r="V913" s="1404"/>
      <c r="W913" s="1404"/>
      <c r="X913" s="1404"/>
      <c r="Y913" s="1404"/>
      <c r="Z913" s="1404"/>
    </row>
    <row r="914">
      <c r="A914" s="1404"/>
      <c r="B914" s="1404"/>
      <c r="C914" s="1404"/>
      <c r="D914" s="1404"/>
      <c r="E914" s="1404"/>
      <c r="F914" s="1404"/>
      <c r="G914" s="1404"/>
      <c r="H914" s="1404"/>
      <c r="I914" s="1404"/>
      <c r="J914" s="1404"/>
      <c r="K914" s="1404"/>
      <c r="L914" s="1404"/>
      <c r="M914" s="1404"/>
      <c r="N914" s="1404"/>
      <c r="O914" s="1404"/>
      <c r="P914" s="1404"/>
      <c r="Q914" s="1404"/>
      <c r="R914" s="1404"/>
      <c r="S914" s="1404"/>
      <c r="T914" s="1404"/>
      <c r="U914" s="1404"/>
      <c r="V914" s="1404"/>
      <c r="W914" s="1404"/>
      <c r="X914" s="1404"/>
      <c r="Y914" s="1404"/>
      <c r="Z914" s="1404"/>
    </row>
    <row r="915">
      <c r="A915" s="1404"/>
      <c r="B915" s="1404"/>
      <c r="C915" s="1404"/>
      <c r="D915" s="1404"/>
      <c r="E915" s="1404"/>
      <c r="F915" s="1404"/>
      <c r="G915" s="1404"/>
      <c r="H915" s="1404"/>
      <c r="I915" s="1404"/>
      <c r="J915" s="1404"/>
      <c r="K915" s="1404"/>
      <c r="L915" s="1404"/>
      <c r="M915" s="1404"/>
      <c r="N915" s="1404"/>
      <c r="O915" s="1404"/>
      <c r="P915" s="1404"/>
      <c r="Q915" s="1404"/>
      <c r="R915" s="1404"/>
      <c r="S915" s="1404"/>
      <c r="T915" s="1404"/>
      <c r="U915" s="1404"/>
      <c r="V915" s="1404"/>
      <c r="W915" s="1404"/>
      <c r="X915" s="1404"/>
      <c r="Y915" s="1404"/>
      <c r="Z915" s="1404"/>
    </row>
    <row r="916">
      <c r="A916" s="1404"/>
      <c r="B916" s="1404"/>
      <c r="C916" s="1404"/>
      <c r="D916" s="1404"/>
      <c r="E916" s="1404"/>
      <c r="F916" s="1404"/>
      <c r="G916" s="1404"/>
      <c r="H916" s="1404"/>
      <c r="I916" s="1404"/>
      <c r="J916" s="1404"/>
      <c r="K916" s="1404"/>
      <c r="L916" s="1404"/>
      <c r="M916" s="1404"/>
      <c r="N916" s="1404"/>
      <c r="O916" s="1404"/>
      <c r="P916" s="1404"/>
      <c r="Q916" s="1404"/>
      <c r="R916" s="1404"/>
      <c r="S916" s="1404"/>
      <c r="T916" s="1404"/>
      <c r="U916" s="1404"/>
      <c r="V916" s="1404"/>
      <c r="W916" s="1404"/>
      <c r="X916" s="1404"/>
      <c r="Y916" s="1404"/>
      <c r="Z916" s="1404"/>
    </row>
    <row r="917">
      <c r="A917" s="1404"/>
      <c r="B917" s="1404"/>
      <c r="C917" s="1404"/>
      <c r="D917" s="1404"/>
      <c r="E917" s="1404"/>
      <c r="F917" s="1404"/>
      <c r="G917" s="1404"/>
      <c r="H917" s="1404"/>
      <c r="I917" s="1404"/>
      <c r="J917" s="1404"/>
      <c r="K917" s="1404"/>
      <c r="L917" s="1404"/>
      <c r="M917" s="1404"/>
      <c r="N917" s="1404"/>
      <c r="O917" s="1404"/>
      <c r="P917" s="1404"/>
      <c r="Q917" s="1404"/>
      <c r="R917" s="1404"/>
      <c r="S917" s="1404"/>
      <c r="T917" s="1404"/>
      <c r="U917" s="1404"/>
      <c r="V917" s="1404"/>
      <c r="W917" s="1404"/>
      <c r="X917" s="1404"/>
      <c r="Y917" s="1404"/>
      <c r="Z917" s="1404"/>
    </row>
    <row r="918">
      <c r="A918" s="1404"/>
      <c r="B918" s="1404"/>
      <c r="C918" s="1404"/>
      <c r="D918" s="1404"/>
      <c r="E918" s="1404"/>
      <c r="F918" s="1404"/>
      <c r="G918" s="1404"/>
      <c r="H918" s="1404"/>
      <c r="I918" s="1404"/>
      <c r="J918" s="1404"/>
      <c r="K918" s="1404"/>
      <c r="L918" s="1404"/>
      <c r="M918" s="1404"/>
      <c r="N918" s="1404"/>
      <c r="O918" s="1404"/>
      <c r="P918" s="1404"/>
      <c r="Q918" s="1404"/>
      <c r="R918" s="1404"/>
      <c r="S918" s="1404"/>
      <c r="T918" s="1404"/>
      <c r="U918" s="1404"/>
      <c r="V918" s="1404"/>
      <c r="W918" s="1404"/>
      <c r="X918" s="1404"/>
      <c r="Y918" s="1404"/>
      <c r="Z918" s="1404"/>
    </row>
    <row r="919">
      <c r="A919" s="1404"/>
      <c r="B919" s="1404"/>
      <c r="C919" s="1404"/>
      <c r="D919" s="1404"/>
      <c r="E919" s="1404"/>
      <c r="F919" s="1404"/>
      <c r="G919" s="1404"/>
      <c r="H919" s="1404"/>
      <c r="I919" s="1404"/>
      <c r="J919" s="1404"/>
      <c r="K919" s="1404"/>
      <c r="L919" s="1404"/>
      <c r="M919" s="1404"/>
      <c r="N919" s="1404"/>
      <c r="O919" s="1404"/>
      <c r="P919" s="1404"/>
      <c r="Q919" s="1404"/>
      <c r="R919" s="1404"/>
      <c r="S919" s="1404"/>
      <c r="T919" s="1404"/>
      <c r="U919" s="1404"/>
      <c r="V919" s="1404"/>
      <c r="W919" s="1404"/>
      <c r="X919" s="1404"/>
      <c r="Y919" s="1404"/>
      <c r="Z919" s="1404"/>
    </row>
    <row r="920">
      <c r="A920" s="1404"/>
      <c r="B920" s="1404"/>
      <c r="C920" s="1404"/>
      <c r="D920" s="1404"/>
      <c r="E920" s="1404"/>
      <c r="F920" s="1404"/>
      <c r="G920" s="1404"/>
      <c r="H920" s="1404"/>
      <c r="I920" s="1404"/>
      <c r="J920" s="1404"/>
      <c r="K920" s="1404"/>
      <c r="L920" s="1404"/>
      <c r="M920" s="1404"/>
      <c r="N920" s="1404"/>
      <c r="O920" s="1404"/>
      <c r="P920" s="1404"/>
      <c r="Q920" s="1404"/>
      <c r="R920" s="1404"/>
      <c r="S920" s="1404"/>
      <c r="T920" s="1404"/>
      <c r="U920" s="1404"/>
      <c r="V920" s="1404"/>
      <c r="W920" s="1404"/>
      <c r="X920" s="1404"/>
      <c r="Y920" s="1404"/>
      <c r="Z920" s="1404"/>
    </row>
    <row r="921">
      <c r="A921" s="1404"/>
      <c r="B921" s="1404"/>
      <c r="C921" s="1404"/>
      <c r="D921" s="1404"/>
      <c r="E921" s="1404"/>
      <c r="F921" s="1404"/>
      <c r="G921" s="1404"/>
      <c r="H921" s="1404"/>
      <c r="I921" s="1404"/>
      <c r="J921" s="1404"/>
      <c r="K921" s="1404"/>
      <c r="L921" s="1404"/>
      <c r="M921" s="1404"/>
      <c r="N921" s="1404"/>
      <c r="O921" s="1404"/>
      <c r="P921" s="1404"/>
      <c r="Q921" s="1404"/>
      <c r="R921" s="1404"/>
      <c r="S921" s="1404"/>
      <c r="T921" s="1404"/>
      <c r="U921" s="1404"/>
      <c r="V921" s="1404"/>
      <c r="W921" s="1404"/>
      <c r="X921" s="1404"/>
      <c r="Y921" s="1404"/>
      <c r="Z921" s="1404"/>
    </row>
    <row r="922">
      <c r="A922" s="1404"/>
      <c r="B922" s="1404"/>
      <c r="C922" s="1404"/>
      <c r="D922" s="1404"/>
      <c r="E922" s="1404"/>
      <c r="F922" s="1404"/>
      <c r="G922" s="1404"/>
      <c r="H922" s="1404"/>
      <c r="I922" s="1404"/>
      <c r="J922" s="1404"/>
      <c r="K922" s="1404"/>
      <c r="L922" s="1404"/>
      <c r="M922" s="1404"/>
      <c r="N922" s="1404"/>
      <c r="O922" s="1404"/>
      <c r="P922" s="1404"/>
      <c r="Q922" s="1404"/>
      <c r="R922" s="1404"/>
      <c r="S922" s="1404"/>
      <c r="T922" s="1404"/>
      <c r="U922" s="1404"/>
      <c r="V922" s="1404"/>
      <c r="W922" s="1404"/>
      <c r="X922" s="1404"/>
      <c r="Y922" s="1404"/>
      <c r="Z922" s="1404"/>
    </row>
    <row r="923">
      <c r="A923" s="1404"/>
      <c r="B923" s="1404"/>
      <c r="C923" s="1404"/>
      <c r="D923" s="1404"/>
      <c r="E923" s="1404"/>
      <c r="F923" s="1404"/>
      <c r="G923" s="1404"/>
      <c r="H923" s="1404"/>
      <c r="I923" s="1404"/>
      <c r="J923" s="1404"/>
      <c r="K923" s="1404"/>
      <c r="L923" s="1404"/>
      <c r="M923" s="1404"/>
      <c r="N923" s="1404"/>
      <c r="O923" s="1404"/>
      <c r="P923" s="1404"/>
      <c r="Q923" s="1404"/>
      <c r="R923" s="1404"/>
      <c r="S923" s="1404"/>
      <c r="T923" s="1404"/>
      <c r="U923" s="1404"/>
      <c r="V923" s="1404"/>
      <c r="W923" s="1404"/>
      <c r="X923" s="1404"/>
      <c r="Y923" s="1404"/>
      <c r="Z923" s="1404"/>
    </row>
    <row r="924">
      <c r="A924" s="1404"/>
      <c r="B924" s="1404"/>
      <c r="C924" s="1404"/>
      <c r="D924" s="1404"/>
      <c r="E924" s="1404"/>
      <c r="F924" s="1404"/>
      <c r="G924" s="1404"/>
      <c r="H924" s="1404"/>
      <c r="I924" s="1404"/>
      <c r="J924" s="1404"/>
      <c r="K924" s="1404"/>
      <c r="L924" s="1404"/>
      <c r="M924" s="1404"/>
      <c r="N924" s="1404"/>
      <c r="O924" s="1404"/>
      <c r="P924" s="1404"/>
      <c r="Q924" s="1404"/>
      <c r="R924" s="1404"/>
      <c r="S924" s="1404"/>
      <c r="T924" s="1404"/>
      <c r="U924" s="1404"/>
      <c r="V924" s="1404"/>
      <c r="W924" s="1404"/>
      <c r="X924" s="1404"/>
      <c r="Y924" s="1404"/>
      <c r="Z924" s="1404"/>
    </row>
    <row r="925">
      <c r="A925" s="1404"/>
      <c r="B925" s="1404"/>
      <c r="C925" s="1404"/>
      <c r="D925" s="1404"/>
      <c r="E925" s="1404"/>
      <c r="F925" s="1404"/>
      <c r="G925" s="1404"/>
      <c r="H925" s="1404"/>
      <c r="I925" s="1404"/>
      <c r="J925" s="1404"/>
      <c r="K925" s="1404"/>
      <c r="L925" s="1404"/>
      <c r="M925" s="1404"/>
      <c r="N925" s="1404"/>
      <c r="O925" s="1404"/>
      <c r="P925" s="1404"/>
      <c r="Q925" s="1404"/>
      <c r="R925" s="1404"/>
      <c r="S925" s="1404"/>
      <c r="T925" s="1404"/>
      <c r="U925" s="1404"/>
      <c r="V925" s="1404"/>
      <c r="W925" s="1404"/>
      <c r="X925" s="1404"/>
      <c r="Y925" s="1404"/>
      <c r="Z925" s="1404"/>
    </row>
    <row r="926">
      <c r="A926" s="1404"/>
      <c r="B926" s="1404"/>
      <c r="C926" s="1404"/>
      <c r="D926" s="1404"/>
      <c r="E926" s="1404"/>
      <c r="F926" s="1404"/>
      <c r="G926" s="1404"/>
      <c r="H926" s="1404"/>
      <c r="I926" s="1404"/>
      <c r="J926" s="1404"/>
      <c r="K926" s="1404"/>
      <c r="L926" s="1404"/>
      <c r="M926" s="1404"/>
      <c r="N926" s="1404"/>
      <c r="O926" s="1404"/>
      <c r="P926" s="1404"/>
      <c r="Q926" s="1404"/>
      <c r="R926" s="1404"/>
      <c r="S926" s="1404"/>
      <c r="T926" s="1404"/>
      <c r="U926" s="1404"/>
      <c r="V926" s="1404"/>
      <c r="W926" s="1404"/>
      <c r="X926" s="1404"/>
      <c r="Y926" s="1404"/>
      <c r="Z926" s="1404"/>
    </row>
    <row r="927">
      <c r="A927" s="1404"/>
      <c r="B927" s="1404"/>
      <c r="C927" s="1404"/>
      <c r="D927" s="1404"/>
      <c r="E927" s="1404"/>
      <c r="F927" s="1404"/>
      <c r="G927" s="1404"/>
      <c r="H927" s="1404"/>
      <c r="I927" s="1404"/>
      <c r="J927" s="1404"/>
      <c r="K927" s="1404"/>
      <c r="L927" s="1404"/>
      <c r="M927" s="1404"/>
      <c r="N927" s="1404"/>
      <c r="O927" s="1404"/>
      <c r="P927" s="1404"/>
      <c r="Q927" s="1404"/>
      <c r="R927" s="1404"/>
      <c r="S927" s="1404"/>
      <c r="T927" s="1404"/>
      <c r="U927" s="1404"/>
      <c r="V927" s="1404"/>
      <c r="W927" s="1404"/>
      <c r="X927" s="1404"/>
      <c r="Y927" s="1404"/>
      <c r="Z927" s="1404"/>
    </row>
    <row r="928">
      <c r="A928" s="1404"/>
      <c r="B928" s="1404"/>
      <c r="C928" s="1404"/>
      <c r="D928" s="1404"/>
      <c r="E928" s="1404"/>
      <c r="F928" s="1404"/>
      <c r="G928" s="1404"/>
      <c r="H928" s="1404"/>
      <c r="I928" s="1404"/>
      <c r="J928" s="1404"/>
      <c r="K928" s="1404"/>
      <c r="L928" s="1404"/>
      <c r="M928" s="1404"/>
      <c r="N928" s="1404"/>
      <c r="O928" s="1404"/>
      <c r="P928" s="1404"/>
      <c r="Q928" s="1404"/>
      <c r="R928" s="1404"/>
      <c r="S928" s="1404"/>
      <c r="T928" s="1404"/>
      <c r="U928" s="1404"/>
      <c r="V928" s="1404"/>
      <c r="W928" s="1404"/>
      <c r="X928" s="1404"/>
      <c r="Y928" s="1404"/>
      <c r="Z928" s="1404"/>
    </row>
    <row r="929">
      <c r="A929" s="1404"/>
      <c r="B929" s="1404"/>
      <c r="C929" s="1404"/>
      <c r="D929" s="1404"/>
      <c r="E929" s="1404"/>
      <c r="F929" s="1404"/>
      <c r="G929" s="1404"/>
      <c r="H929" s="1404"/>
      <c r="I929" s="1404"/>
      <c r="J929" s="1404"/>
      <c r="K929" s="1404"/>
      <c r="L929" s="1404"/>
      <c r="M929" s="1404"/>
      <c r="N929" s="1404"/>
      <c r="O929" s="1404"/>
      <c r="P929" s="1404"/>
      <c r="Q929" s="1404"/>
      <c r="R929" s="1404"/>
      <c r="S929" s="1404"/>
      <c r="T929" s="1404"/>
      <c r="U929" s="1404"/>
      <c r="V929" s="1404"/>
      <c r="W929" s="1404"/>
      <c r="X929" s="1404"/>
      <c r="Y929" s="1404"/>
      <c r="Z929" s="1404"/>
    </row>
    <row r="930">
      <c r="A930" s="1404"/>
      <c r="B930" s="1404"/>
      <c r="C930" s="1404"/>
      <c r="D930" s="1404"/>
      <c r="E930" s="1404"/>
      <c r="F930" s="1404"/>
      <c r="G930" s="1404"/>
      <c r="H930" s="1404"/>
      <c r="I930" s="1404"/>
      <c r="J930" s="1404"/>
      <c r="K930" s="1404"/>
      <c r="L930" s="1404"/>
      <c r="M930" s="1404"/>
      <c r="N930" s="1404"/>
      <c r="O930" s="1404"/>
      <c r="P930" s="1404"/>
      <c r="Q930" s="1404"/>
      <c r="R930" s="1404"/>
      <c r="S930" s="1404"/>
      <c r="T930" s="1404"/>
      <c r="U930" s="1404"/>
      <c r="V930" s="1404"/>
      <c r="W930" s="1404"/>
      <c r="X930" s="1404"/>
      <c r="Y930" s="1404"/>
      <c r="Z930" s="1404"/>
    </row>
    <row r="931">
      <c r="A931" s="1404"/>
      <c r="B931" s="1404"/>
      <c r="C931" s="1404"/>
      <c r="D931" s="1404"/>
      <c r="E931" s="1404"/>
      <c r="F931" s="1404"/>
      <c r="G931" s="1404"/>
      <c r="H931" s="1404"/>
      <c r="I931" s="1404"/>
      <c r="J931" s="1404"/>
      <c r="K931" s="1404"/>
      <c r="L931" s="1404"/>
      <c r="M931" s="1404"/>
      <c r="N931" s="1404"/>
      <c r="O931" s="1404"/>
      <c r="P931" s="1404"/>
      <c r="Q931" s="1404"/>
      <c r="R931" s="1404"/>
      <c r="S931" s="1404"/>
      <c r="T931" s="1404"/>
      <c r="U931" s="1404"/>
      <c r="V931" s="1404"/>
      <c r="W931" s="1404"/>
      <c r="X931" s="1404"/>
      <c r="Y931" s="1404"/>
      <c r="Z931" s="1404"/>
    </row>
    <row r="932">
      <c r="A932" s="1404"/>
      <c r="B932" s="1404"/>
      <c r="C932" s="1404"/>
      <c r="D932" s="1404"/>
      <c r="E932" s="1404"/>
      <c r="F932" s="1404"/>
      <c r="G932" s="1404"/>
      <c r="H932" s="1404"/>
      <c r="I932" s="1404"/>
      <c r="J932" s="1404"/>
      <c r="K932" s="1404"/>
      <c r="L932" s="1404"/>
      <c r="M932" s="1404"/>
      <c r="N932" s="1404"/>
      <c r="O932" s="1404"/>
      <c r="P932" s="1404"/>
      <c r="Q932" s="1404"/>
      <c r="R932" s="1404"/>
      <c r="S932" s="1404"/>
      <c r="T932" s="1404"/>
      <c r="U932" s="1404"/>
      <c r="V932" s="1404"/>
      <c r="W932" s="1404"/>
      <c r="X932" s="1404"/>
      <c r="Y932" s="1404"/>
      <c r="Z932" s="1404"/>
    </row>
    <row r="933">
      <c r="A933" s="1404"/>
      <c r="B933" s="1404"/>
      <c r="C933" s="1404"/>
      <c r="D933" s="1404"/>
      <c r="E933" s="1404"/>
      <c r="F933" s="1404"/>
      <c r="G933" s="1404"/>
      <c r="H933" s="1404"/>
      <c r="I933" s="1404"/>
      <c r="J933" s="1404"/>
      <c r="K933" s="1404"/>
      <c r="L933" s="1404"/>
      <c r="M933" s="1404"/>
      <c r="N933" s="1404"/>
      <c r="O933" s="1404"/>
      <c r="P933" s="1404"/>
      <c r="Q933" s="1404"/>
      <c r="R933" s="1404"/>
      <c r="S933" s="1404"/>
      <c r="T933" s="1404"/>
      <c r="U933" s="1404"/>
      <c r="V933" s="1404"/>
      <c r="W933" s="1404"/>
      <c r="X933" s="1404"/>
      <c r="Y933" s="1404"/>
      <c r="Z933" s="1404"/>
    </row>
    <row r="934">
      <c r="A934" s="1404"/>
      <c r="B934" s="1404"/>
      <c r="C934" s="1404"/>
      <c r="D934" s="1404"/>
      <c r="E934" s="1404"/>
      <c r="F934" s="1404"/>
      <c r="G934" s="1404"/>
      <c r="H934" s="1404"/>
      <c r="I934" s="1404"/>
      <c r="J934" s="1404"/>
      <c r="K934" s="1404"/>
      <c r="L934" s="1404"/>
      <c r="M934" s="1404"/>
      <c r="N934" s="1404"/>
      <c r="O934" s="1404"/>
      <c r="P934" s="1404"/>
      <c r="Q934" s="1404"/>
      <c r="R934" s="1404"/>
      <c r="S934" s="1404"/>
      <c r="T934" s="1404"/>
      <c r="U934" s="1404"/>
      <c r="V934" s="1404"/>
      <c r="W934" s="1404"/>
      <c r="X934" s="1404"/>
      <c r="Y934" s="1404"/>
      <c r="Z934" s="1404"/>
    </row>
    <row r="935">
      <c r="A935" s="1404"/>
      <c r="B935" s="1404"/>
      <c r="C935" s="1404"/>
      <c r="D935" s="1404"/>
      <c r="E935" s="1404"/>
      <c r="F935" s="1404"/>
      <c r="G935" s="1404"/>
      <c r="H935" s="1404"/>
      <c r="I935" s="1404"/>
      <c r="J935" s="1404"/>
      <c r="K935" s="1404"/>
      <c r="L935" s="1404"/>
      <c r="M935" s="1404"/>
      <c r="N935" s="1404"/>
      <c r="O935" s="1404"/>
      <c r="P935" s="1404"/>
      <c r="Q935" s="1404"/>
      <c r="R935" s="1404"/>
      <c r="S935" s="1404"/>
      <c r="T935" s="1404"/>
      <c r="U935" s="1404"/>
      <c r="V935" s="1404"/>
      <c r="W935" s="1404"/>
      <c r="X935" s="1404"/>
      <c r="Y935" s="1404"/>
      <c r="Z935" s="1404"/>
    </row>
    <row r="936">
      <c r="A936" s="1404"/>
      <c r="B936" s="1404"/>
      <c r="C936" s="1404"/>
      <c r="D936" s="1404"/>
      <c r="E936" s="1404"/>
      <c r="F936" s="1404"/>
      <c r="G936" s="1404"/>
      <c r="H936" s="1404"/>
      <c r="I936" s="1404"/>
      <c r="J936" s="1404"/>
      <c r="K936" s="1404"/>
      <c r="L936" s="1404"/>
      <c r="M936" s="1404"/>
      <c r="N936" s="1404"/>
      <c r="O936" s="1404"/>
      <c r="P936" s="1404"/>
      <c r="Q936" s="1404"/>
      <c r="R936" s="1404"/>
      <c r="S936" s="1404"/>
      <c r="T936" s="1404"/>
      <c r="U936" s="1404"/>
      <c r="V936" s="1404"/>
      <c r="W936" s="1404"/>
      <c r="X936" s="1404"/>
      <c r="Y936" s="1404"/>
      <c r="Z936" s="1404"/>
    </row>
    <row r="937">
      <c r="A937" s="1404"/>
      <c r="B937" s="1404"/>
      <c r="C937" s="1404"/>
      <c r="D937" s="1404"/>
      <c r="E937" s="1404"/>
      <c r="F937" s="1404"/>
      <c r="G937" s="1404"/>
      <c r="H937" s="1404"/>
      <c r="I937" s="1404"/>
      <c r="J937" s="1404"/>
      <c r="K937" s="1404"/>
      <c r="L937" s="1404"/>
      <c r="M937" s="1404"/>
      <c r="N937" s="1404"/>
      <c r="O937" s="1404"/>
      <c r="P937" s="1404"/>
      <c r="Q937" s="1404"/>
      <c r="R937" s="1404"/>
      <c r="S937" s="1404"/>
      <c r="T937" s="1404"/>
      <c r="U937" s="1404"/>
      <c r="V937" s="1404"/>
      <c r="W937" s="1404"/>
      <c r="X937" s="1404"/>
      <c r="Y937" s="1404"/>
      <c r="Z937" s="1404"/>
    </row>
    <row r="938">
      <c r="A938" s="1404"/>
      <c r="B938" s="1404"/>
      <c r="C938" s="1404"/>
      <c r="D938" s="1404"/>
      <c r="E938" s="1404"/>
      <c r="F938" s="1404"/>
      <c r="G938" s="1404"/>
      <c r="H938" s="1404"/>
      <c r="I938" s="1404"/>
      <c r="J938" s="1404"/>
      <c r="K938" s="1404"/>
      <c r="L938" s="1404"/>
      <c r="M938" s="1404"/>
      <c r="N938" s="1404"/>
      <c r="O938" s="1404"/>
      <c r="P938" s="1404"/>
      <c r="Q938" s="1404"/>
      <c r="R938" s="1404"/>
      <c r="S938" s="1404"/>
      <c r="T938" s="1404"/>
      <c r="U938" s="1404"/>
      <c r="V938" s="1404"/>
      <c r="W938" s="1404"/>
      <c r="X938" s="1404"/>
      <c r="Y938" s="1404"/>
      <c r="Z938" s="1404"/>
    </row>
    <row r="939">
      <c r="A939" s="1404"/>
      <c r="B939" s="1404"/>
      <c r="C939" s="1404"/>
      <c r="D939" s="1404"/>
      <c r="E939" s="1404"/>
      <c r="F939" s="1404"/>
      <c r="G939" s="1404"/>
      <c r="H939" s="1404"/>
      <c r="I939" s="1404"/>
      <c r="J939" s="1404"/>
      <c r="K939" s="1404"/>
      <c r="L939" s="1404"/>
      <c r="M939" s="1404"/>
      <c r="N939" s="1404"/>
      <c r="O939" s="1404"/>
      <c r="P939" s="1404"/>
      <c r="Q939" s="1404"/>
      <c r="R939" s="1404"/>
      <c r="S939" s="1404"/>
      <c r="T939" s="1404"/>
      <c r="U939" s="1404"/>
      <c r="V939" s="1404"/>
      <c r="W939" s="1404"/>
      <c r="X939" s="1404"/>
      <c r="Y939" s="1404"/>
      <c r="Z939" s="1404"/>
    </row>
    <row r="940">
      <c r="A940" s="1404"/>
      <c r="B940" s="1404"/>
      <c r="C940" s="1404"/>
      <c r="D940" s="1404"/>
      <c r="E940" s="1404"/>
      <c r="F940" s="1404"/>
      <c r="G940" s="1404"/>
      <c r="H940" s="1404"/>
      <c r="I940" s="1404"/>
      <c r="J940" s="1404"/>
      <c r="K940" s="1404"/>
      <c r="L940" s="1404"/>
      <c r="M940" s="1404"/>
      <c r="N940" s="1404"/>
      <c r="O940" s="1404"/>
      <c r="P940" s="1404"/>
      <c r="Q940" s="1404"/>
      <c r="R940" s="1404"/>
      <c r="S940" s="1404"/>
      <c r="T940" s="1404"/>
      <c r="U940" s="1404"/>
      <c r="V940" s="1404"/>
      <c r="W940" s="1404"/>
      <c r="X940" s="1404"/>
      <c r="Y940" s="1404"/>
      <c r="Z940" s="1404"/>
    </row>
    <row r="941">
      <c r="A941" s="1404"/>
      <c r="B941" s="1404"/>
      <c r="C941" s="1404"/>
      <c r="D941" s="1404"/>
      <c r="E941" s="1404"/>
      <c r="F941" s="1404"/>
      <c r="G941" s="1404"/>
      <c r="H941" s="1404"/>
      <c r="I941" s="1404"/>
      <c r="J941" s="1404"/>
      <c r="K941" s="1404"/>
      <c r="L941" s="1404"/>
      <c r="M941" s="1404"/>
      <c r="N941" s="1404"/>
      <c r="O941" s="1404"/>
      <c r="P941" s="1404"/>
      <c r="Q941" s="1404"/>
      <c r="R941" s="1404"/>
      <c r="S941" s="1404"/>
      <c r="T941" s="1404"/>
      <c r="U941" s="1404"/>
      <c r="V941" s="1404"/>
      <c r="W941" s="1404"/>
      <c r="X941" s="1404"/>
      <c r="Y941" s="1404"/>
      <c r="Z941" s="1404"/>
    </row>
    <row r="942">
      <c r="A942" s="1404"/>
      <c r="B942" s="1404"/>
      <c r="C942" s="1404"/>
      <c r="D942" s="1404"/>
      <c r="E942" s="1404"/>
      <c r="F942" s="1404"/>
      <c r="G942" s="1404"/>
      <c r="H942" s="1404"/>
      <c r="I942" s="1404"/>
      <c r="J942" s="1404"/>
      <c r="K942" s="1404"/>
      <c r="L942" s="1404"/>
      <c r="M942" s="1404"/>
      <c r="N942" s="1404"/>
      <c r="O942" s="1404"/>
      <c r="P942" s="1404"/>
      <c r="Q942" s="1404"/>
      <c r="R942" s="1404"/>
      <c r="S942" s="1404"/>
      <c r="T942" s="1404"/>
      <c r="U942" s="1404"/>
      <c r="V942" s="1404"/>
      <c r="W942" s="1404"/>
      <c r="X942" s="1404"/>
      <c r="Y942" s="1404"/>
      <c r="Z942" s="1404"/>
    </row>
    <row r="943">
      <c r="A943" s="1404"/>
      <c r="B943" s="1404"/>
      <c r="C943" s="1404"/>
      <c r="D943" s="1404"/>
      <c r="E943" s="1404"/>
      <c r="F943" s="1404"/>
      <c r="G943" s="1404"/>
      <c r="H943" s="1404"/>
      <c r="I943" s="1404"/>
      <c r="J943" s="1404"/>
      <c r="K943" s="1404"/>
      <c r="L943" s="1404"/>
      <c r="M943" s="1404"/>
      <c r="N943" s="1404"/>
      <c r="O943" s="1404"/>
      <c r="P943" s="1404"/>
      <c r="Q943" s="1404"/>
      <c r="R943" s="1404"/>
      <c r="S943" s="1404"/>
      <c r="T943" s="1404"/>
      <c r="U943" s="1404"/>
      <c r="V943" s="1404"/>
      <c r="W943" s="1404"/>
      <c r="X943" s="1404"/>
      <c r="Y943" s="1404"/>
      <c r="Z943" s="1404"/>
    </row>
    <row r="944">
      <c r="A944" s="1404"/>
      <c r="B944" s="1404"/>
      <c r="C944" s="1404"/>
      <c r="D944" s="1404"/>
      <c r="E944" s="1404"/>
      <c r="F944" s="1404"/>
      <c r="G944" s="1404"/>
      <c r="H944" s="1404"/>
      <c r="I944" s="1404"/>
      <c r="J944" s="1404"/>
      <c r="K944" s="1404"/>
      <c r="L944" s="1404"/>
      <c r="M944" s="1404"/>
      <c r="N944" s="1404"/>
      <c r="O944" s="1404"/>
      <c r="P944" s="1404"/>
      <c r="Q944" s="1404"/>
      <c r="R944" s="1404"/>
      <c r="S944" s="1404"/>
      <c r="T944" s="1404"/>
      <c r="U944" s="1404"/>
      <c r="V944" s="1404"/>
      <c r="W944" s="1404"/>
      <c r="X944" s="1404"/>
      <c r="Y944" s="1404"/>
      <c r="Z944" s="1404"/>
    </row>
    <row r="945">
      <c r="A945" s="1404"/>
      <c r="B945" s="1404"/>
      <c r="C945" s="1404"/>
      <c r="D945" s="1404"/>
      <c r="E945" s="1404"/>
      <c r="F945" s="1404"/>
      <c r="G945" s="1404"/>
      <c r="H945" s="1404"/>
      <c r="I945" s="1404"/>
      <c r="J945" s="1404"/>
      <c r="K945" s="1404"/>
      <c r="L945" s="1404"/>
      <c r="M945" s="1404"/>
      <c r="N945" s="1404"/>
      <c r="O945" s="1404"/>
      <c r="P945" s="1404"/>
      <c r="Q945" s="1404"/>
      <c r="R945" s="1404"/>
      <c r="S945" s="1404"/>
      <c r="T945" s="1404"/>
      <c r="U945" s="1404"/>
      <c r="V945" s="1404"/>
      <c r="W945" s="1404"/>
      <c r="X945" s="1404"/>
      <c r="Y945" s="1404"/>
      <c r="Z945" s="1404"/>
    </row>
    <row r="946">
      <c r="A946" s="1404"/>
      <c r="B946" s="1404"/>
      <c r="C946" s="1404"/>
      <c r="D946" s="1404"/>
      <c r="E946" s="1404"/>
      <c r="F946" s="1404"/>
      <c r="G946" s="1404"/>
      <c r="H946" s="1404"/>
      <c r="I946" s="1404"/>
      <c r="J946" s="1404"/>
      <c r="K946" s="1404"/>
      <c r="L946" s="1404"/>
      <c r="M946" s="1404"/>
      <c r="N946" s="1404"/>
      <c r="O946" s="1404"/>
      <c r="P946" s="1404"/>
      <c r="Q946" s="1404"/>
      <c r="R946" s="1404"/>
      <c r="S946" s="1404"/>
      <c r="T946" s="1404"/>
      <c r="U946" s="1404"/>
      <c r="V946" s="1404"/>
      <c r="W946" s="1404"/>
      <c r="X946" s="1404"/>
      <c r="Y946" s="1404"/>
      <c r="Z946" s="1404"/>
    </row>
    <row r="947">
      <c r="A947" s="1404"/>
      <c r="B947" s="1404"/>
      <c r="C947" s="1404"/>
      <c r="D947" s="1404"/>
      <c r="E947" s="1404"/>
      <c r="F947" s="1404"/>
      <c r="G947" s="1404"/>
      <c r="H947" s="1404"/>
      <c r="I947" s="1404"/>
      <c r="J947" s="1404"/>
      <c r="K947" s="1404"/>
      <c r="L947" s="1404"/>
      <c r="M947" s="1404"/>
      <c r="N947" s="1404"/>
      <c r="O947" s="1404"/>
      <c r="P947" s="1404"/>
      <c r="Q947" s="1404"/>
      <c r="R947" s="1404"/>
      <c r="S947" s="1404"/>
      <c r="T947" s="1404"/>
      <c r="U947" s="1404"/>
      <c r="V947" s="1404"/>
      <c r="W947" s="1404"/>
      <c r="X947" s="1404"/>
      <c r="Y947" s="1404"/>
      <c r="Z947" s="1404"/>
    </row>
    <row r="948">
      <c r="A948" s="1404"/>
      <c r="B948" s="1404"/>
      <c r="C948" s="1404"/>
      <c r="D948" s="1404"/>
      <c r="E948" s="1404"/>
      <c r="F948" s="1404"/>
      <c r="G948" s="1404"/>
      <c r="H948" s="1404"/>
      <c r="I948" s="1404"/>
      <c r="J948" s="1404"/>
      <c r="K948" s="1404"/>
      <c r="L948" s="1404"/>
      <c r="M948" s="1404"/>
      <c r="N948" s="1404"/>
      <c r="O948" s="1404"/>
      <c r="P948" s="1404"/>
      <c r="Q948" s="1404"/>
      <c r="R948" s="1404"/>
      <c r="S948" s="1404"/>
      <c r="T948" s="1404"/>
      <c r="U948" s="1404"/>
      <c r="V948" s="1404"/>
      <c r="W948" s="1404"/>
      <c r="X948" s="1404"/>
      <c r="Y948" s="1404"/>
      <c r="Z948" s="1404"/>
    </row>
    <row r="949">
      <c r="A949" s="1404"/>
      <c r="B949" s="1404"/>
      <c r="C949" s="1404"/>
      <c r="D949" s="1404"/>
      <c r="E949" s="1404"/>
      <c r="F949" s="1404"/>
      <c r="G949" s="1404"/>
      <c r="H949" s="1404"/>
      <c r="I949" s="1404"/>
      <c r="J949" s="1404"/>
      <c r="K949" s="1404"/>
      <c r="L949" s="1404"/>
      <c r="M949" s="1404"/>
      <c r="N949" s="1404"/>
      <c r="O949" s="1404"/>
      <c r="P949" s="1404"/>
      <c r="Q949" s="1404"/>
      <c r="R949" s="1404"/>
      <c r="S949" s="1404"/>
      <c r="T949" s="1404"/>
      <c r="U949" s="1404"/>
      <c r="V949" s="1404"/>
      <c r="W949" s="1404"/>
      <c r="X949" s="1404"/>
      <c r="Y949" s="1404"/>
      <c r="Z949" s="1404"/>
    </row>
    <row r="950">
      <c r="A950" s="1404"/>
      <c r="B950" s="1404"/>
      <c r="C950" s="1404"/>
      <c r="D950" s="1404"/>
      <c r="E950" s="1404"/>
      <c r="F950" s="1404"/>
      <c r="G950" s="1404"/>
      <c r="H950" s="1404"/>
      <c r="I950" s="1404"/>
      <c r="J950" s="1404"/>
      <c r="K950" s="1404"/>
      <c r="L950" s="1404"/>
      <c r="M950" s="1404"/>
      <c r="N950" s="1404"/>
      <c r="O950" s="1404"/>
      <c r="P950" s="1404"/>
      <c r="Q950" s="1404"/>
      <c r="R950" s="1404"/>
      <c r="S950" s="1404"/>
      <c r="T950" s="1404"/>
      <c r="U950" s="1404"/>
      <c r="V950" s="1404"/>
      <c r="W950" s="1404"/>
      <c r="X950" s="1404"/>
      <c r="Y950" s="1404"/>
      <c r="Z950" s="1404"/>
    </row>
    <row r="951">
      <c r="A951" s="1404"/>
      <c r="B951" s="1404"/>
      <c r="C951" s="1404"/>
      <c r="D951" s="1404"/>
      <c r="E951" s="1404"/>
      <c r="F951" s="1404"/>
      <c r="G951" s="1404"/>
      <c r="H951" s="1404"/>
      <c r="I951" s="1404"/>
      <c r="J951" s="1404"/>
      <c r="K951" s="1404"/>
      <c r="L951" s="1404"/>
      <c r="M951" s="1404"/>
      <c r="N951" s="1404"/>
      <c r="O951" s="1404"/>
      <c r="P951" s="1404"/>
      <c r="Q951" s="1404"/>
      <c r="R951" s="1404"/>
      <c r="S951" s="1404"/>
      <c r="T951" s="1404"/>
      <c r="U951" s="1404"/>
      <c r="V951" s="1404"/>
      <c r="W951" s="1404"/>
      <c r="X951" s="1404"/>
      <c r="Y951" s="1404"/>
      <c r="Z951" s="1404"/>
    </row>
    <row r="952">
      <c r="A952" s="1404"/>
      <c r="B952" s="1404"/>
      <c r="C952" s="1404"/>
      <c r="D952" s="1404"/>
      <c r="E952" s="1404"/>
      <c r="F952" s="1404"/>
      <c r="G952" s="1404"/>
      <c r="H952" s="1404"/>
      <c r="I952" s="1404"/>
      <c r="J952" s="1404"/>
      <c r="K952" s="1404"/>
      <c r="L952" s="1404"/>
      <c r="M952" s="1404"/>
      <c r="N952" s="1404"/>
      <c r="O952" s="1404"/>
      <c r="P952" s="1404"/>
      <c r="Q952" s="1404"/>
      <c r="R952" s="1404"/>
      <c r="S952" s="1404"/>
      <c r="T952" s="1404"/>
      <c r="U952" s="1404"/>
      <c r="V952" s="1404"/>
      <c r="W952" s="1404"/>
      <c r="X952" s="1404"/>
      <c r="Y952" s="1404"/>
      <c r="Z952" s="1404"/>
    </row>
    <row r="953">
      <c r="A953" s="1404"/>
      <c r="B953" s="1404"/>
      <c r="C953" s="1404"/>
      <c r="D953" s="1404"/>
      <c r="E953" s="1404"/>
      <c r="F953" s="1404"/>
      <c r="G953" s="1404"/>
      <c r="H953" s="1404"/>
      <c r="I953" s="1404"/>
      <c r="J953" s="1404"/>
      <c r="K953" s="1404"/>
      <c r="L953" s="1404"/>
      <c r="M953" s="1404"/>
      <c r="N953" s="1404"/>
      <c r="O953" s="1404"/>
      <c r="P953" s="1404"/>
      <c r="Q953" s="1404"/>
      <c r="R953" s="1404"/>
      <c r="S953" s="1404"/>
      <c r="T953" s="1404"/>
      <c r="U953" s="1404"/>
      <c r="V953" s="1404"/>
      <c r="W953" s="1404"/>
      <c r="X953" s="1404"/>
      <c r="Y953" s="1404"/>
      <c r="Z953" s="1404"/>
    </row>
    <row r="954">
      <c r="A954" s="1404"/>
      <c r="B954" s="1404"/>
      <c r="C954" s="1404"/>
      <c r="D954" s="1404"/>
      <c r="E954" s="1404"/>
      <c r="F954" s="1404"/>
      <c r="G954" s="1404"/>
      <c r="H954" s="1404"/>
      <c r="I954" s="1404"/>
      <c r="J954" s="1404"/>
      <c r="K954" s="1404"/>
      <c r="L954" s="1404"/>
      <c r="M954" s="1404"/>
      <c r="N954" s="1404"/>
      <c r="O954" s="1404"/>
      <c r="P954" s="1404"/>
      <c r="Q954" s="1404"/>
      <c r="R954" s="1404"/>
      <c r="S954" s="1404"/>
      <c r="T954" s="1404"/>
      <c r="U954" s="1404"/>
      <c r="V954" s="1404"/>
      <c r="W954" s="1404"/>
      <c r="X954" s="1404"/>
      <c r="Y954" s="1404"/>
      <c r="Z954" s="1404"/>
    </row>
    <row r="955">
      <c r="A955" s="1404"/>
      <c r="B955" s="1404"/>
      <c r="C955" s="1404"/>
      <c r="D955" s="1404"/>
      <c r="E955" s="1404"/>
      <c r="F955" s="1404"/>
      <c r="G955" s="1404"/>
      <c r="H955" s="1404"/>
      <c r="I955" s="1404"/>
      <c r="J955" s="1404"/>
      <c r="K955" s="1404"/>
      <c r="L955" s="1404"/>
      <c r="M955" s="1404"/>
      <c r="N955" s="1404"/>
      <c r="O955" s="1404"/>
      <c r="P955" s="1404"/>
      <c r="Q955" s="1404"/>
      <c r="R955" s="1404"/>
      <c r="S955" s="1404"/>
      <c r="T955" s="1404"/>
      <c r="U955" s="1404"/>
      <c r="V955" s="1404"/>
      <c r="W955" s="1404"/>
      <c r="X955" s="1404"/>
      <c r="Y955" s="1404"/>
      <c r="Z955" s="1404"/>
    </row>
    <row r="956">
      <c r="A956" s="1404"/>
      <c r="B956" s="1404"/>
      <c r="C956" s="1404"/>
      <c r="D956" s="1404"/>
      <c r="E956" s="1404"/>
      <c r="F956" s="1404"/>
      <c r="G956" s="1404"/>
      <c r="H956" s="1404"/>
      <c r="I956" s="1404"/>
      <c r="J956" s="1404"/>
      <c r="K956" s="1404"/>
      <c r="L956" s="1404"/>
      <c r="M956" s="1404"/>
      <c r="N956" s="1404"/>
      <c r="O956" s="1404"/>
      <c r="P956" s="1404"/>
      <c r="Q956" s="1404"/>
      <c r="R956" s="1404"/>
      <c r="S956" s="1404"/>
      <c r="T956" s="1404"/>
      <c r="U956" s="1404"/>
      <c r="V956" s="1404"/>
      <c r="W956" s="1404"/>
      <c r="X956" s="1404"/>
      <c r="Y956" s="1404"/>
      <c r="Z956" s="1404"/>
    </row>
    <row r="957">
      <c r="A957" s="1404"/>
      <c r="B957" s="1404"/>
      <c r="C957" s="1404"/>
      <c r="D957" s="1404"/>
      <c r="E957" s="1404"/>
      <c r="F957" s="1404"/>
      <c r="G957" s="1404"/>
      <c r="H957" s="1404"/>
      <c r="I957" s="1404"/>
      <c r="J957" s="1404"/>
      <c r="K957" s="1404"/>
      <c r="L957" s="1404"/>
      <c r="M957" s="1404"/>
      <c r="N957" s="1404"/>
      <c r="O957" s="1404"/>
      <c r="P957" s="1404"/>
      <c r="Q957" s="1404"/>
      <c r="R957" s="1404"/>
      <c r="S957" s="1404"/>
      <c r="T957" s="1404"/>
      <c r="U957" s="1404"/>
      <c r="V957" s="1404"/>
      <c r="W957" s="1404"/>
      <c r="X957" s="1404"/>
      <c r="Y957" s="1404"/>
      <c r="Z957" s="1404"/>
    </row>
    <row r="958">
      <c r="A958" s="1404"/>
      <c r="B958" s="1404"/>
      <c r="C958" s="1404"/>
      <c r="D958" s="1404"/>
      <c r="E958" s="1404"/>
      <c r="F958" s="1404"/>
      <c r="G958" s="1404"/>
      <c r="H958" s="1404"/>
      <c r="I958" s="1404"/>
      <c r="J958" s="1404"/>
      <c r="K958" s="1404"/>
      <c r="L958" s="1404"/>
      <c r="M958" s="1404"/>
      <c r="N958" s="1404"/>
      <c r="O958" s="1404"/>
      <c r="P958" s="1404"/>
      <c r="Q958" s="1404"/>
      <c r="R958" s="1404"/>
      <c r="S958" s="1404"/>
      <c r="T958" s="1404"/>
      <c r="U958" s="1404"/>
      <c r="V958" s="1404"/>
      <c r="W958" s="1404"/>
      <c r="X958" s="1404"/>
      <c r="Y958" s="1404"/>
      <c r="Z958" s="1404"/>
    </row>
    <row r="959">
      <c r="A959" s="1404"/>
      <c r="B959" s="1404"/>
      <c r="C959" s="1404"/>
      <c r="D959" s="1404"/>
      <c r="E959" s="1404"/>
      <c r="F959" s="1404"/>
      <c r="G959" s="1404"/>
      <c r="H959" s="1404"/>
      <c r="I959" s="1404"/>
      <c r="J959" s="1404"/>
      <c r="K959" s="1404"/>
      <c r="L959" s="1404"/>
      <c r="M959" s="1404"/>
      <c r="N959" s="1404"/>
      <c r="O959" s="1404"/>
      <c r="P959" s="1404"/>
      <c r="Q959" s="1404"/>
      <c r="R959" s="1404"/>
      <c r="S959" s="1404"/>
      <c r="T959" s="1404"/>
      <c r="U959" s="1404"/>
      <c r="V959" s="1404"/>
      <c r="W959" s="1404"/>
      <c r="X959" s="1404"/>
      <c r="Y959" s="1404"/>
      <c r="Z959" s="1404"/>
    </row>
    <row r="960">
      <c r="A960" s="1404"/>
      <c r="B960" s="1404"/>
      <c r="C960" s="1404"/>
      <c r="D960" s="1404"/>
      <c r="E960" s="1404"/>
      <c r="F960" s="1404"/>
      <c r="G960" s="1404"/>
      <c r="H960" s="1404"/>
      <c r="I960" s="1404"/>
      <c r="J960" s="1404"/>
      <c r="K960" s="1404"/>
      <c r="L960" s="1404"/>
      <c r="M960" s="1404"/>
      <c r="N960" s="1404"/>
      <c r="O960" s="1404"/>
      <c r="P960" s="1404"/>
      <c r="Q960" s="1404"/>
      <c r="R960" s="1404"/>
      <c r="S960" s="1404"/>
      <c r="T960" s="1404"/>
      <c r="U960" s="1404"/>
      <c r="V960" s="1404"/>
      <c r="W960" s="1404"/>
      <c r="X960" s="1404"/>
      <c r="Y960" s="1404"/>
      <c r="Z960" s="1404"/>
    </row>
    <row r="961">
      <c r="A961" s="1404"/>
      <c r="B961" s="1404"/>
      <c r="C961" s="1404"/>
      <c r="D961" s="1404"/>
      <c r="E961" s="1404"/>
      <c r="F961" s="1404"/>
      <c r="G961" s="1404"/>
      <c r="H961" s="1404"/>
      <c r="I961" s="1404"/>
      <c r="J961" s="1404"/>
      <c r="K961" s="1404"/>
      <c r="L961" s="1404"/>
      <c r="M961" s="1404"/>
      <c r="N961" s="1404"/>
      <c r="O961" s="1404"/>
      <c r="P961" s="1404"/>
      <c r="Q961" s="1404"/>
      <c r="R961" s="1404"/>
      <c r="S961" s="1404"/>
      <c r="T961" s="1404"/>
      <c r="U961" s="1404"/>
      <c r="V961" s="1404"/>
      <c r="W961" s="1404"/>
      <c r="X961" s="1404"/>
      <c r="Y961" s="1404"/>
      <c r="Z961" s="1404"/>
    </row>
    <row r="962">
      <c r="A962" s="1404"/>
      <c r="B962" s="1404"/>
      <c r="C962" s="1404"/>
      <c r="D962" s="1404"/>
      <c r="E962" s="1404"/>
      <c r="F962" s="1404"/>
      <c r="G962" s="1404"/>
      <c r="H962" s="1404"/>
      <c r="I962" s="1404"/>
      <c r="J962" s="1404"/>
      <c r="K962" s="1404"/>
      <c r="L962" s="1404"/>
      <c r="M962" s="1404"/>
      <c r="N962" s="1404"/>
      <c r="O962" s="1404"/>
      <c r="P962" s="1404"/>
      <c r="Q962" s="1404"/>
      <c r="R962" s="1404"/>
      <c r="S962" s="1404"/>
      <c r="T962" s="1404"/>
      <c r="U962" s="1404"/>
      <c r="V962" s="1404"/>
      <c r="W962" s="1404"/>
      <c r="X962" s="1404"/>
      <c r="Y962" s="1404"/>
      <c r="Z962" s="1404"/>
    </row>
    <row r="963">
      <c r="A963" s="1404"/>
      <c r="B963" s="1404"/>
      <c r="C963" s="1404"/>
      <c r="D963" s="1404"/>
      <c r="E963" s="1404"/>
      <c r="F963" s="1404"/>
      <c r="G963" s="1404"/>
      <c r="H963" s="1404"/>
      <c r="I963" s="1404"/>
      <c r="J963" s="1404"/>
      <c r="K963" s="1404"/>
      <c r="L963" s="1404"/>
      <c r="M963" s="1404"/>
      <c r="N963" s="1404"/>
      <c r="O963" s="1404"/>
      <c r="P963" s="1404"/>
      <c r="Q963" s="1404"/>
      <c r="R963" s="1404"/>
      <c r="S963" s="1404"/>
      <c r="T963" s="1404"/>
      <c r="U963" s="1404"/>
      <c r="V963" s="1404"/>
      <c r="W963" s="1404"/>
      <c r="X963" s="1404"/>
      <c r="Y963" s="1404"/>
      <c r="Z963" s="1404"/>
    </row>
    <row r="964">
      <c r="A964" s="1404"/>
      <c r="B964" s="1404"/>
      <c r="C964" s="1404"/>
      <c r="D964" s="1404"/>
      <c r="E964" s="1404"/>
      <c r="F964" s="1404"/>
      <c r="G964" s="1404"/>
      <c r="H964" s="1404"/>
      <c r="I964" s="1404"/>
      <c r="J964" s="1404"/>
      <c r="K964" s="1404"/>
      <c r="L964" s="1404"/>
      <c r="M964" s="1404"/>
      <c r="N964" s="1404"/>
      <c r="O964" s="1404"/>
      <c r="P964" s="1404"/>
      <c r="Q964" s="1404"/>
      <c r="R964" s="1404"/>
      <c r="S964" s="1404"/>
      <c r="T964" s="1404"/>
      <c r="U964" s="1404"/>
      <c r="V964" s="1404"/>
      <c r="W964" s="1404"/>
      <c r="X964" s="1404"/>
      <c r="Y964" s="1404"/>
      <c r="Z964" s="1404"/>
    </row>
    <row r="965">
      <c r="A965" s="1404"/>
      <c r="B965" s="1404"/>
      <c r="C965" s="1404"/>
      <c r="D965" s="1404"/>
      <c r="E965" s="1404"/>
      <c r="F965" s="1404"/>
      <c r="G965" s="1404"/>
      <c r="H965" s="1404"/>
      <c r="I965" s="1404"/>
      <c r="J965" s="1404"/>
      <c r="K965" s="1404"/>
      <c r="L965" s="1404"/>
      <c r="M965" s="1404"/>
      <c r="N965" s="1404"/>
      <c r="O965" s="1404"/>
      <c r="P965" s="1404"/>
      <c r="Q965" s="1404"/>
      <c r="R965" s="1404"/>
      <c r="S965" s="1404"/>
      <c r="T965" s="1404"/>
      <c r="U965" s="1404"/>
      <c r="V965" s="1404"/>
      <c r="W965" s="1404"/>
      <c r="X965" s="1404"/>
      <c r="Y965" s="1404"/>
      <c r="Z965" s="1404"/>
    </row>
    <row r="966">
      <c r="A966" s="1404"/>
      <c r="B966" s="1404"/>
      <c r="C966" s="1404"/>
      <c r="D966" s="1404"/>
      <c r="E966" s="1404"/>
      <c r="F966" s="1404"/>
      <c r="G966" s="1404"/>
      <c r="H966" s="1404"/>
      <c r="I966" s="1404"/>
      <c r="J966" s="1404"/>
      <c r="K966" s="1404"/>
      <c r="L966" s="1404"/>
      <c r="M966" s="1404"/>
      <c r="N966" s="1404"/>
      <c r="O966" s="1404"/>
      <c r="P966" s="1404"/>
      <c r="Q966" s="1404"/>
      <c r="R966" s="1404"/>
      <c r="S966" s="1404"/>
      <c r="T966" s="1404"/>
      <c r="U966" s="1404"/>
      <c r="V966" s="1404"/>
      <c r="W966" s="1404"/>
      <c r="X966" s="1404"/>
      <c r="Y966" s="1404"/>
      <c r="Z966" s="1404"/>
    </row>
    <row r="967">
      <c r="A967" s="1404"/>
      <c r="B967" s="1404"/>
      <c r="C967" s="1404"/>
      <c r="D967" s="1404"/>
      <c r="E967" s="1404"/>
      <c r="F967" s="1404"/>
      <c r="G967" s="1404"/>
      <c r="H967" s="1404"/>
      <c r="I967" s="1404"/>
      <c r="J967" s="1404"/>
      <c r="K967" s="1404"/>
      <c r="L967" s="1404"/>
      <c r="M967" s="1404"/>
      <c r="N967" s="1404"/>
      <c r="O967" s="1404"/>
      <c r="P967" s="1404"/>
      <c r="Q967" s="1404"/>
      <c r="R967" s="1404"/>
      <c r="S967" s="1404"/>
      <c r="T967" s="1404"/>
      <c r="U967" s="1404"/>
      <c r="V967" s="1404"/>
      <c r="W967" s="1404"/>
      <c r="X967" s="1404"/>
      <c r="Y967" s="1404"/>
      <c r="Z967" s="1404"/>
    </row>
    <row r="968">
      <c r="A968" s="1404"/>
      <c r="B968" s="1404"/>
      <c r="C968" s="1404"/>
      <c r="D968" s="1404"/>
      <c r="E968" s="1404"/>
      <c r="F968" s="1404"/>
      <c r="G968" s="1404"/>
      <c r="H968" s="1404"/>
      <c r="I968" s="1404"/>
      <c r="J968" s="1404"/>
      <c r="K968" s="1404"/>
      <c r="L968" s="1404"/>
      <c r="M968" s="1404"/>
      <c r="N968" s="1404"/>
      <c r="O968" s="1404"/>
      <c r="P968" s="1404"/>
      <c r="Q968" s="1404"/>
      <c r="R968" s="1404"/>
      <c r="S968" s="1404"/>
      <c r="T968" s="1404"/>
      <c r="U968" s="1404"/>
      <c r="V968" s="1404"/>
      <c r="W968" s="1404"/>
      <c r="X968" s="1404"/>
      <c r="Y968" s="1404"/>
      <c r="Z968" s="1404"/>
    </row>
    <row r="969">
      <c r="A969" s="1404"/>
      <c r="B969" s="1404"/>
      <c r="C969" s="1404"/>
      <c r="D969" s="1404"/>
      <c r="E969" s="1404"/>
      <c r="F969" s="1404"/>
      <c r="G969" s="1404"/>
      <c r="H969" s="1404"/>
      <c r="I969" s="1404"/>
      <c r="J969" s="1404"/>
      <c r="K969" s="1404"/>
      <c r="L969" s="1404"/>
      <c r="M969" s="1404"/>
      <c r="N969" s="1404"/>
      <c r="O969" s="1404"/>
      <c r="P969" s="1404"/>
      <c r="Q969" s="1404"/>
      <c r="R969" s="1404"/>
      <c r="S969" s="1404"/>
      <c r="T969" s="1404"/>
      <c r="U969" s="1404"/>
      <c r="V969" s="1404"/>
      <c r="W969" s="1404"/>
      <c r="X969" s="1404"/>
      <c r="Y969" s="1404"/>
      <c r="Z969" s="1404"/>
    </row>
    <row r="970">
      <c r="A970" s="1404"/>
      <c r="B970" s="1404"/>
      <c r="C970" s="1404"/>
      <c r="D970" s="1404"/>
      <c r="E970" s="1404"/>
      <c r="F970" s="1404"/>
      <c r="G970" s="1404"/>
      <c r="H970" s="1404"/>
      <c r="I970" s="1404"/>
      <c r="J970" s="1404"/>
      <c r="K970" s="1404"/>
      <c r="L970" s="1404"/>
      <c r="M970" s="1404"/>
      <c r="N970" s="1404"/>
      <c r="O970" s="1404"/>
      <c r="P970" s="1404"/>
      <c r="Q970" s="1404"/>
      <c r="R970" s="1404"/>
      <c r="S970" s="1404"/>
      <c r="T970" s="1404"/>
      <c r="U970" s="1404"/>
      <c r="V970" s="1404"/>
      <c r="W970" s="1404"/>
      <c r="X970" s="1404"/>
      <c r="Y970" s="1404"/>
      <c r="Z970" s="1404"/>
    </row>
    <row r="971">
      <c r="A971" s="1404"/>
      <c r="B971" s="1404"/>
      <c r="C971" s="1404"/>
      <c r="D971" s="1404"/>
      <c r="E971" s="1404"/>
      <c r="F971" s="1404"/>
      <c r="G971" s="1404"/>
      <c r="H971" s="1404"/>
      <c r="I971" s="1404"/>
      <c r="J971" s="1404"/>
      <c r="K971" s="1404"/>
      <c r="L971" s="1404"/>
      <c r="M971" s="1404"/>
      <c r="N971" s="1404"/>
      <c r="O971" s="1404"/>
      <c r="P971" s="1404"/>
      <c r="Q971" s="1404"/>
      <c r="R971" s="1404"/>
      <c r="S971" s="1404"/>
      <c r="T971" s="1404"/>
      <c r="U971" s="1404"/>
      <c r="V971" s="1404"/>
      <c r="W971" s="1404"/>
      <c r="X971" s="1404"/>
      <c r="Y971" s="1404"/>
      <c r="Z971" s="1404"/>
    </row>
    <row r="972">
      <c r="A972" s="1404"/>
      <c r="B972" s="1404"/>
      <c r="C972" s="1404"/>
      <c r="D972" s="1404"/>
      <c r="E972" s="1404"/>
      <c r="F972" s="1404"/>
      <c r="G972" s="1404"/>
      <c r="H972" s="1404"/>
      <c r="I972" s="1404"/>
      <c r="J972" s="1404"/>
      <c r="K972" s="1404"/>
      <c r="L972" s="1404"/>
      <c r="M972" s="1404"/>
      <c r="N972" s="1404"/>
      <c r="O972" s="1404"/>
      <c r="P972" s="1404"/>
      <c r="Q972" s="1404"/>
      <c r="R972" s="1404"/>
      <c r="S972" s="1404"/>
      <c r="T972" s="1404"/>
      <c r="U972" s="1404"/>
      <c r="V972" s="1404"/>
      <c r="W972" s="1404"/>
      <c r="X972" s="1404"/>
      <c r="Y972" s="1404"/>
      <c r="Z972" s="1404"/>
    </row>
    <row r="973">
      <c r="A973" s="1404"/>
      <c r="B973" s="1404"/>
      <c r="C973" s="1404"/>
      <c r="D973" s="1404"/>
      <c r="E973" s="1404"/>
      <c r="F973" s="1404"/>
      <c r="G973" s="1404"/>
      <c r="H973" s="1404"/>
      <c r="I973" s="1404"/>
      <c r="J973" s="1404"/>
      <c r="K973" s="1404"/>
      <c r="L973" s="1404"/>
      <c r="M973" s="1404"/>
      <c r="N973" s="1404"/>
      <c r="O973" s="1404"/>
      <c r="P973" s="1404"/>
      <c r="Q973" s="1404"/>
      <c r="R973" s="1404"/>
      <c r="S973" s="1404"/>
      <c r="T973" s="1404"/>
      <c r="U973" s="1404"/>
      <c r="V973" s="1404"/>
      <c r="W973" s="1404"/>
      <c r="X973" s="1404"/>
      <c r="Y973" s="1404"/>
      <c r="Z973" s="1404"/>
    </row>
    <row r="974">
      <c r="A974" s="1404"/>
      <c r="B974" s="1404"/>
      <c r="C974" s="1404"/>
      <c r="D974" s="1404"/>
      <c r="E974" s="1404"/>
      <c r="F974" s="1404"/>
      <c r="G974" s="1404"/>
      <c r="H974" s="1404"/>
      <c r="I974" s="1404"/>
      <c r="J974" s="1404"/>
      <c r="K974" s="1404"/>
      <c r="L974" s="1404"/>
      <c r="M974" s="1404"/>
      <c r="N974" s="1404"/>
      <c r="O974" s="1404"/>
      <c r="P974" s="1404"/>
      <c r="Q974" s="1404"/>
      <c r="R974" s="1404"/>
      <c r="S974" s="1404"/>
      <c r="T974" s="1404"/>
      <c r="U974" s="1404"/>
      <c r="V974" s="1404"/>
      <c r="W974" s="1404"/>
      <c r="X974" s="1404"/>
      <c r="Y974" s="1404"/>
      <c r="Z974" s="1404"/>
    </row>
    <row r="975">
      <c r="A975" s="1404"/>
      <c r="B975" s="1404"/>
      <c r="C975" s="1404"/>
      <c r="D975" s="1404"/>
      <c r="E975" s="1404"/>
      <c r="F975" s="1404"/>
      <c r="G975" s="1404"/>
      <c r="H975" s="1404"/>
      <c r="I975" s="1404"/>
      <c r="J975" s="1404"/>
      <c r="K975" s="1404"/>
      <c r="L975" s="1404"/>
      <c r="M975" s="1404"/>
      <c r="N975" s="1404"/>
      <c r="O975" s="1404"/>
      <c r="P975" s="1404"/>
      <c r="Q975" s="1404"/>
      <c r="R975" s="1404"/>
      <c r="S975" s="1404"/>
      <c r="T975" s="1404"/>
      <c r="U975" s="1404"/>
      <c r="V975" s="1404"/>
      <c r="W975" s="1404"/>
      <c r="X975" s="1404"/>
      <c r="Y975" s="1404"/>
      <c r="Z975" s="1404"/>
    </row>
    <row r="976">
      <c r="A976" s="1404"/>
      <c r="B976" s="1404"/>
      <c r="C976" s="1404"/>
      <c r="D976" s="1404"/>
      <c r="E976" s="1404"/>
      <c r="F976" s="1404"/>
      <c r="G976" s="1404"/>
      <c r="H976" s="1404"/>
      <c r="I976" s="1404"/>
      <c r="J976" s="1404"/>
      <c r="K976" s="1404"/>
      <c r="L976" s="1404"/>
      <c r="M976" s="1404"/>
      <c r="N976" s="1404"/>
      <c r="O976" s="1404"/>
      <c r="P976" s="1404"/>
      <c r="Q976" s="1404"/>
      <c r="R976" s="1404"/>
      <c r="S976" s="1404"/>
      <c r="T976" s="1404"/>
      <c r="U976" s="1404"/>
      <c r="V976" s="1404"/>
      <c r="W976" s="1404"/>
      <c r="X976" s="1404"/>
      <c r="Y976" s="1404"/>
      <c r="Z976" s="1404"/>
    </row>
    <row r="977">
      <c r="A977" s="1404"/>
      <c r="B977" s="1404"/>
      <c r="C977" s="1404"/>
      <c r="D977" s="1404"/>
      <c r="E977" s="1404"/>
      <c r="F977" s="1404"/>
      <c r="G977" s="1404"/>
      <c r="H977" s="1404"/>
      <c r="I977" s="1404"/>
      <c r="J977" s="1404"/>
      <c r="K977" s="1404"/>
      <c r="L977" s="1404"/>
      <c r="M977" s="1404"/>
      <c r="N977" s="1404"/>
      <c r="O977" s="1404"/>
      <c r="P977" s="1404"/>
      <c r="Q977" s="1404"/>
      <c r="R977" s="1404"/>
      <c r="S977" s="1404"/>
      <c r="T977" s="1404"/>
      <c r="U977" s="1404"/>
      <c r="V977" s="1404"/>
      <c r="W977" s="1404"/>
      <c r="X977" s="1404"/>
      <c r="Y977" s="1404"/>
      <c r="Z977" s="1404"/>
    </row>
    <row r="978">
      <c r="A978" s="1404"/>
      <c r="B978" s="1404"/>
      <c r="C978" s="1404"/>
      <c r="D978" s="1404"/>
      <c r="E978" s="1404"/>
      <c r="F978" s="1404"/>
      <c r="G978" s="1404"/>
      <c r="H978" s="1404"/>
      <c r="I978" s="1404"/>
      <c r="J978" s="1404"/>
      <c r="K978" s="1404"/>
      <c r="L978" s="1404"/>
      <c r="M978" s="1404"/>
      <c r="N978" s="1404"/>
      <c r="O978" s="1404"/>
      <c r="P978" s="1404"/>
      <c r="Q978" s="1404"/>
      <c r="R978" s="1404"/>
      <c r="S978" s="1404"/>
      <c r="T978" s="1404"/>
      <c r="U978" s="1404"/>
      <c r="V978" s="1404"/>
      <c r="W978" s="1404"/>
      <c r="X978" s="1404"/>
      <c r="Y978" s="1404"/>
      <c r="Z978" s="1404"/>
    </row>
    <row r="979">
      <c r="A979" s="1404"/>
      <c r="B979" s="1404"/>
      <c r="C979" s="1404"/>
      <c r="D979" s="1404"/>
      <c r="E979" s="1404"/>
      <c r="F979" s="1404"/>
      <c r="G979" s="1404"/>
      <c r="H979" s="1404"/>
      <c r="I979" s="1404"/>
      <c r="J979" s="1404"/>
      <c r="K979" s="1404"/>
      <c r="L979" s="1404"/>
      <c r="M979" s="1404"/>
      <c r="N979" s="1404"/>
      <c r="O979" s="1404"/>
      <c r="P979" s="1404"/>
      <c r="Q979" s="1404"/>
      <c r="R979" s="1404"/>
      <c r="S979" s="1404"/>
      <c r="T979" s="1404"/>
      <c r="U979" s="1404"/>
      <c r="V979" s="1404"/>
      <c r="W979" s="1404"/>
      <c r="X979" s="1404"/>
      <c r="Y979" s="1404"/>
      <c r="Z979" s="1404"/>
    </row>
    <row r="980">
      <c r="A980" s="1404"/>
      <c r="B980" s="1404"/>
      <c r="C980" s="1404"/>
      <c r="D980" s="1404"/>
      <c r="E980" s="1404"/>
      <c r="F980" s="1404"/>
      <c r="G980" s="1404"/>
      <c r="H980" s="1404"/>
      <c r="I980" s="1404"/>
      <c r="J980" s="1404"/>
      <c r="K980" s="1404"/>
      <c r="L980" s="1404"/>
      <c r="M980" s="1404"/>
      <c r="N980" s="1404"/>
      <c r="O980" s="1404"/>
      <c r="P980" s="1404"/>
      <c r="Q980" s="1404"/>
      <c r="R980" s="1404"/>
      <c r="S980" s="1404"/>
      <c r="T980" s="1404"/>
      <c r="U980" s="1404"/>
      <c r="V980" s="1404"/>
      <c r="W980" s="1404"/>
      <c r="X980" s="1404"/>
      <c r="Y980" s="1404"/>
      <c r="Z980" s="1404"/>
    </row>
    <row r="981">
      <c r="A981" s="1404"/>
      <c r="B981" s="1404"/>
      <c r="C981" s="1404"/>
      <c r="D981" s="1404"/>
      <c r="E981" s="1404"/>
      <c r="F981" s="1404"/>
      <c r="G981" s="1404"/>
      <c r="H981" s="1404"/>
      <c r="I981" s="1404"/>
      <c r="J981" s="1404"/>
      <c r="K981" s="1404"/>
      <c r="L981" s="1404"/>
      <c r="M981" s="1404"/>
      <c r="N981" s="1404"/>
      <c r="O981" s="1404"/>
      <c r="P981" s="1404"/>
      <c r="Q981" s="1404"/>
      <c r="R981" s="1404"/>
      <c r="S981" s="1404"/>
      <c r="T981" s="1404"/>
      <c r="U981" s="1404"/>
      <c r="V981" s="1404"/>
      <c r="W981" s="1404"/>
      <c r="X981" s="1404"/>
      <c r="Y981" s="1404"/>
      <c r="Z981" s="1404"/>
    </row>
    <row r="982">
      <c r="A982" s="1404"/>
      <c r="B982" s="1404"/>
      <c r="C982" s="1404"/>
      <c r="D982" s="1404"/>
      <c r="E982" s="1404"/>
      <c r="F982" s="1404"/>
      <c r="G982" s="1404"/>
      <c r="H982" s="1404"/>
      <c r="I982" s="1404"/>
      <c r="J982" s="1404"/>
      <c r="K982" s="1404"/>
      <c r="L982" s="1404"/>
      <c r="M982" s="1404"/>
      <c r="N982" s="1404"/>
      <c r="O982" s="1404"/>
      <c r="P982" s="1404"/>
      <c r="Q982" s="1404"/>
      <c r="R982" s="1404"/>
      <c r="S982" s="1404"/>
      <c r="T982" s="1404"/>
      <c r="U982" s="1404"/>
      <c r="V982" s="1404"/>
      <c r="W982" s="1404"/>
      <c r="X982" s="1404"/>
      <c r="Y982" s="1404"/>
      <c r="Z982" s="1404"/>
    </row>
    <row r="983">
      <c r="A983" s="1404"/>
      <c r="B983" s="1404"/>
      <c r="C983" s="1404"/>
      <c r="D983" s="1404"/>
      <c r="E983" s="1404"/>
      <c r="F983" s="1404"/>
      <c r="G983" s="1404"/>
      <c r="H983" s="1404"/>
      <c r="I983" s="1404"/>
      <c r="J983" s="1404"/>
      <c r="K983" s="1404"/>
      <c r="L983" s="1404"/>
      <c r="M983" s="1404"/>
      <c r="N983" s="1404"/>
      <c r="O983" s="1404"/>
      <c r="P983" s="1404"/>
      <c r="Q983" s="1404"/>
      <c r="R983" s="1404"/>
      <c r="S983" s="1404"/>
      <c r="T983" s="1404"/>
      <c r="U983" s="1404"/>
      <c r="V983" s="1404"/>
      <c r="W983" s="1404"/>
      <c r="X983" s="1404"/>
      <c r="Y983" s="1404"/>
      <c r="Z983" s="1404"/>
    </row>
    <row r="984">
      <c r="A984" s="1404"/>
      <c r="B984" s="1404"/>
      <c r="C984" s="1404"/>
      <c r="D984" s="1404"/>
      <c r="E984" s="1404"/>
      <c r="F984" s="1404"/>
      <c r="G984" s="1404"/>
      <c r="H984" s="1404"/>
      <c r="I984" s="1404"/>
      <c r="J984" s="1404"/>
      <c r="K984" s="1404"/>
      <c r="L984" s="1404"/>
      <c r="M984" s="1404"/>
      <c r="N984" s="1404"/>
      <c r="O984" s="1404"/>
      <c r="P984" s="1404"/>
      <c r="Q984" s="1404"/>
      <c r="R984" s="1404"/>
      <c r="S984" s="1404"/>
      <c r="T984" s="1404"/>
      <c r="U984" s="1404"/>
      <c r="V984" s="1404"/>
      <c r="W984" s="1404"/>
      <c r="X984" s="1404"/>
      <c r="Y984" s="1404"/>
      <c r="Z984" s="1404"/>
    </row>
    <row r="985">
      <c r="A985" s="1404"/>
      <c r="B985" s="1404"/>
      <c r="C985" s="1404"/>
      <c r="D985" s="1404"/>
      <c r="E985" s="1404"/>
      <c r="F985" s="1404"/>
      <c r="G985" s="1404"/>
      <c r="H985" s="1404"/>
      <c r="I985" s="1404"/>
      <c r="J985" s="1404"/>
      <c r="K985" s="1404"/>
      <c r="L985" s="1404"/>
      <c r="M985" s="1404"/>
      <c r="N985" s="1404"/>
      <c r="O985" s="1404"/>
      <c r="P985" s="1404"/>
      <c r="Q985" s="1404"/>
      <c r="R985" s="1404"/>
      <c r="S985" s="1404"/>
      <c r="T985" s="1404"/>
      <c r="U985" s="1404"/>
      <c r="V985" s="1404"/>
      <c r="W985" s="1404"/>
      <c r="X985" s="1404"/>
      <c r="Y985" s="1404"/>
      <c r="Z985" s="1404"/>
    </row>
    <row r="986">
      <c r="A986" s="1404"/>
      <c r="B986" s="1404"/>
      <c r="C986" s="1404"/>
      <c r="D986" s="1404"/>
      <c r="E986" s="1404"/>
      <c r="F986" s="1404"/>
      <c r="G986" s="1404"/>
      <c r="H986" s="1404"/>
      <c r="I986" s="1404"/>
      <c r="J986" s="1404"/>
      <c r="K986" s="1404"/>
      <c r="L986" s="1404"/>
      <c r="M986" s="1404"/>
      <c r="N986" s="1404"/>
      <c r="O986" s="1404"/>
      <c r="P986" s="1404"/>
      <c r="Q986" s="1404"/>
      <c r="R986" s="1404"/>
      <c r="S986" s="1404"/>
      <c r="T986" s="1404"/>
      <c r="U986" s="1404"/>
      <c r="V986" s="1404"/>
      <c r="W986" s="1404"/>
      <c r="X986" s="1404"/>
      <c r="Y986" s="1404"/>
      <c r="Z986" s="1404"/>
    </row>
    <row r="987">
      <c r="A987" s="1404"/>
      <c r="B987" s="1404"/>
      <c r="C987" s="1404"/>
      <c r="D987" s="1404"/>
      <c r="E987" s="1404"/>
      <c r="F987" s="1404"/>
      <c r="G987" s="1404"/>
      <c r="H987" s="1404"/>
      <c r="I987" s="1404"/>
      <c r="J987" s="1404"/>
      <c r="K987" s="1404"/>
      <c r="L987" s="1404"/>
      <c r="M987" s="1404"/>
      <c r="N987" s="1404"/>
      <c r="O987" s="1404"/>
      <c r="P987" s="1404"/>
      <c r="Q987" s="1404"/>
      <c r="R987" s="1404"/>
      <c r="S987" s="1404"/>
      <c r="T987" s="1404"/>
      <c r="U987" s="1404"/>
      <c r="V987" s="1404"/>
      <c r="W987" s="1404"/>
      <c r="X987" s="1404"/>
      <c r="Y987" s="1404"/>
      <c r="Z987" s="1404"/>
    </row>
    <row r="988">
      <c r="A988" s="1404"/>
      <c r="B988" s="1404"/>
      <c r="C988" s="1404"/>
      <c r="D988" s="1404"/>
      <c r="E988" s="1404"/>
      <c r="F988" s="1404"/>
      <c r="G988" s="1404"/>
      <c r="H988" s="1404"/>
      <c r="I988" s="1404"/>
      <c r="J988" s="1404"/>
      <c r="K988" s="1404"/>
      <c r="L988" s="1404"/>
      <c r="M988" s="1404"/>
      <c r="N988" s="1404"/>
      <c r="O988" s="1404"/>
      <c r="P988" s="1404"/>
      <c r="Q988" s="1404"/>
      <c r="R988" s="1404"/>
      <c r="S988" s="1404"/>
      <c r="T988" s="1404"/>
      <c r="U988" s="1404"/>
      <c r="V988" s="1404"/>
      <c r="W988" s="1404"/>
      <c r="X988" s="1404"/>
      <c r="Y988" s="1404"/>
      <c r="Z988" s="1404"/>
    </row>
    <row r="989">
      <c r="A989" s="1404"/>
      <c r="B989" s="1404"/>
      <c r="C989" s="1404"/>
      <c r="D989" s="1404"/>
      <c r="E989" s="1404"/>
      <c r="F989" s="1404"/>
      <c r="G989" s="1404"/>
      <c r="H989" s="1404"/>
      <c r="I989" s="1404"/>
      <c r="J989" s="1404"/>
      <c r="K989" s="1404"/>
      <c r="L989" s="1404"/>
      <c r="M989" s="1404"/>
      <c r="N989" s="1404"/>
      <c r="O989" s="1404"/>
      <c r="P989" s="1404"/>
      <c r="Q989" s="1404"/>
      <c r="R989" s="1404"/>
      <c r="S989" s="1404"/>
      <c r="T989" s="1404"/>
      <c r="U989" s="1404"/>
      <c r="V989" s="1404"/>
      <c r="W989" s="1404"/>
      <c r="X989" s="1404"/>
      <c r="Y989" s="1404"/>
      <c r="Z989" s="1404"/>
    </row>
    <row r="990">
      <c r="A990" s="1404"/>
      <c r="B990" s="1404"/>
      <c r="C990" s="1404"/>
      <c r="D990" s="1404"/>
      <c r="E990" s="1404"/>
      <c r="F990" s="1404"/>
      <c r="G990" s="1404"/>
      <c r="H990" s="1404"/>
      <c r="I990" s="1404"/>
      <c r="J990" s="1404"/>
      <c r="K990" s="1404"/>
      <c r="L990" s="1404"/>
      <c r="M990" s="1404"/>
      <c r="N990" s="1404"/>
      <c r="O990" s="1404"/>
      <c r="P990" s="1404"/>
      <c r="Q990" s="1404"/>
      <c r="R990" s="1404"/>
      <c r="S990" s="1404"/>
      <c r="T990" s="1404"/>
      <c r="U990" s="1404"/>
      <c r="V990" s="1404"/>
      <c r="W990" s="1404"/>
      <c r="X990" s="1404"/>
      <c r="Y990" s="1404"/>
      <c r="Z990" s="1404"/>
    </row>
    <row r="991">
      <c r="A991" s="1404"/>
      <c r="B991" s="1404"/>
      <c r="C991" s="1404"/>
      <c r="D991" s="1404"/>
      <c r="E991" s="1404"/>
      <c r="F991" s="1404"/>
      <c r="G991" s="1404"/>
      <c r="H991" s="1404"/>
      <c r="I991" s="1404"/>
      <c r="J991" s="1404"/>
      <c r="K991" s="1404"/>
      <c r="L991" s="1404"/>
      <c r="M991" s="1404"/>
      <c r="N991" s="1404"/>
      <c r="O991" s="1404"/>
      <c r="P991" s="1404"/>
      <c r="Q991" s="1404"/>
      <c r="R991" s="1404"/>
      <c r="S991" s="1404"/>
      <c r="T991" s="1404"/>
      <c r="U991" s="1404"/>
      <c r="V991" s="1404"/>
      <c r="W991" s="1404"/>
      <c r="X991" s="1404"/>
      <c r="Y991" s="1404"/>
      <c r="Z991" s="1404"/>
    </row>
    <row r="992">
      <c r="A992" s="1404"/>
      <c r="B992" s="1404"/>
      <c r="C992" s="1404"/>
      <c r="D992" s="1404"/>
      <c r="E992" s="1404"/>
      <c r="F992" s="1404"/>
      <c r="G992" s="1404"/>
      <c r="H992" s="1404"/>
      <c r="I992" s="1404"/>
      <c r="J992" s="1404"/>
      <c r="K992" s="1404"/>
      <c r="L992" s="1404"/>
      <c r="M992" s="1404"/>
      <c r="N992" s="1404"/>
      <c r="O992" s="1404"/>
      <c r="P992" s="1404"/>
      <c r="Q992" s="1404"/>
      <c r="R992" s="1404"/>
      <c r="S992" s="1404"/>
      <c r="T992" s="1404"/>
      <c r="U992" s="1404"/>
      <c r="V992" s="1404"/>
      <c r="W992" s="1404"/>
      <c r="X992" s="1404"/>
      <c r="Y992" s="1404"/>
      <c r="Z992" s="1404"/>
    </row>
    <row r="993">
      <c r="A993" s="1404"/>
      <c r="B993" s="1404"/>
      <c r="C993" s="1404"/>
      <c r="D993" s="1404"/>
      <c r="E993" s="1404"/>
      <c r="F993" s="1404"/>
      <c r="G993" s="1404"/>
      <c r="H993" s="1404"/>
      <c r="I993" s="1404"/>
      <c r="J993" s="1404"/>
      <c r="K993" s="1404"/>
      <c r="L993" s="1404"/>
      <c r="M993" s="1404"/>
      <c r="N993" s="1404"/>
      <c r="O993" s="1404"/>
      <c r="P993" s="1404"/>
      <c r="Q993" s="1404"/>
      <c r="R993" s="1404"/>
      <c r="S993" s="1404"/>
      <c r="T993" s="1404"/>
      <c r="U993" s="1404"/>
      <c r="V993" s="1404"/>
      <c r="W993" s="1404"/>
      <c r="X993" s="1404"/>
      <c r="Y993" s="1404"/>
      <c r="Z993" s="1404"/>
    </row>
    <row r="994">
      <c r="A994" s="1404"/>
      <c r="B994" s="1404"/>
      <c r="C994" s="1404"/>
      <c r="D994" s="1404"/>
      <c r="E994" s="1404"/>
      <c r="F994" s="1404"/>
      <c r="G994" s="1404"/>
      <c r="H994" s="1404"/>
      <c r="I994" s="1404"/>
      <c r="J994" s="1404"/>
      <c r="K994" s="1404"/>
      <c r="L994" s="1404"/>
      <c r="M994" s="1404"/>
      <c r="N994" s="1404"/>
      <c r="O994" s="1404"/>
      <c r="P994" s="1404"/>
      <c r="Q994" s="1404"/>
      <c r="R994" s="1404"/>
      <c r="S994" s="1404"/>
      <c r="T994" s="1404"/>
      <c r="U994" s="1404"/>
      <c r="V994" s="1404"/>
      <c r="W994" s="1404"/>
      <c r="X994" s="1404"/>
      <c r="Y994" s="1404"/>
      <c r="Z994" s="1404"/>
    </row>
    <row r="995">
      <c r="A995" s="1404"/>
      <c r="B995" s="1404"/>
      <c r="C995" s="1404"/>
      <c r="D995" s="1404"/>
      <c r="E995" s="1404"/>
      <c r="F995" s="1404"/>
      <c r="G995" s="1404"/>
      <c r="H995" s="1404"/>
      <c r="I995" s="1404"/>
      <c r="J995" s="1404"/>
      <c r="K995" s="1404"/>
      <c r="L995" s="1404"/>
      <c r="M995" s="1404"/>
      <c r="N995" s="1404"/>
      <c r="O995" s="1404"/>
      <c r="P995" s="1404"/>
      <c r="Q995" s="1404"/>
      <c r="R995" s="1404"/>
      <c r="S995" s="1404"/>
      <c r="T995" s="1404"/>
      <c r="U995" s="1404"/>
      <c r="V995" s="1404"/>
      <c r="W995" s="1404"/>
      <c r="X995" s="1404"/>
      <c r="Y995" s="1404"/>
      <c r="Z995" s="1404"/>
    </row>
    <row r="996">
      <c r="A996" s="1404"/>
      <c r="B996" s="1404"/>
      <c r="C996" s="1404"/>
      <c r="D996" s="1404"/>
      <c r="E996" s="1404"/>
      <c r="F996" s="1404"/>
      <c r="G996" s="1404"/>
      <c r="H996" s="1404"/>
      <c r="I996" s="1404"/>
      <c r="J996" s="1404"/>
      <c r="K996" s="1404"/>
      <c r="L996" s="1404"/>
      <c r="M996" s="1404"/>
      <c r="N996" s="1404"/>
      <c r="O996" s="1404"/>
      <c r="P996" s="1404"/>
      <c r="Q996" s="1404"/>
      <c r="R996" s="1404"/>
      <c r="S996" s="1404"/>
      <c r="T996" s="1404"/>
      <c r="U996" s="1404"/>
      <c r="V996" s="1404"/>
      <c r="W996" s="1404"/>
      <c r="X996" s="1404"/>
      <c r="Y996" s="1404"/>
      <c r="Z996" s="1404"/>
    </row>
    <row r="997">
      <c r="A997" s="1404"/>
      <c r="B997" s="1404"/>
      <c r="C997" s="1404"/>
      <c r="D997" s="1404"/>
      <c r="E997" s="1404"/>
      <c r="F997" s="1404"/>
      <c r="G997" s="1404"/>
      <c r="H997" s="1404"/>
      <c r="I997" s="1404"/>
      <c r="J997" s="1404"/>
      <c r="K997" s="1404"/>
      <c r="L997" s="1404"/>
      <c r="M997" s="1404"/>
      <c r="N997" s="1404"/>
      <c r="O997" s="1404"/>
      <c r="P997" s="1404"/>
      <c r="Q997" s="1404"/>
      <c r="R997" s="1404"/>
      <c r="S997" s="1404"/>
      <c r="T997" s="1404"/>
      <c r="U997" s="1404"/>
      <c r="V997" s="1404"/>
      <c r="W997" s="1404"/>
      <c r="X997" s="1404"/>
      <c r="Y997" s="1404"/>
      <c r="Z997" s="1404"/>
    </row>
    <row r="998">
      <c r="A998" s="1404"/>
      <c r="B998" s="1404"/>
      <c r="C998" s="1404"/>
      <c r="D998" s="1404"/>
      <c r="E998" s="1404"/>
      <c r="F998" s="1404"/>
      <c r="G998" s="1404"/>
      <c r="H998" s="1404"/>
      <c r="I998" s="1404"/>
      <c r="J998" s="1404"/>
      <c r="K998" s="1404"/>
      <c r="L998" s="1404"/>
      <c r="M998" s="1404"/>
      <c r="N998" s="1404"/>
      <c r="O998" s="1404"/>
      <c r="P998" s="1404"/>
      <c r="Q998" s="1404"/>
      <c r="R998" s="1404"/>
      <c r="S998" s="1404"/>
      <c r="T998" s="1404"/>
      <c r="U998" s="1404"/>
      <c r="V998" s="1404"/>
      <c r="W998" s="1404"/>
      <c r="X998" s="1404"/>
      <c r="Y998" s="1404"/>
      <c r="Z998" s="1404"/>
    </row>
    <row r="999">
      <c r="A999" s="1404"/>
      <c r="B999" s="1404"/>
      <c r="C999" s="1404"/>
      <c r="D999" s="1404"/>
      <c r="E999" s="1404"/>
      <c r="F999" s="1404"/>
      <c r="G999" s="1404"/>
      <c r="H999" s="1404"/>
      <c r="I999" s="1404"/>
      <c r="J999" s="1404"/>
      <c r="K999" s="1404"/>
      <c r="L999" s="1404"/>
      <c r="M999" s="1404"/>
      <c r="N999" s="1404"/>
      <c r="O999" s="1404"/>
      <c r="P999" s="1404"/>
      <c r="Q999" s="1404"/>
      <c r="R999" s="1404"/>
      <c r="S999" s="1404"/>
      <c r="T999" s="1404"/>
      <c r="U999" s="1404"/>
      <c r="V999" s="1404"/>
      <c r="W999" s="1404"/>
      <c r="X999" s="1404"/>
      <c r="Y999" s="1404"/>
      <c r="Z999" s="1404"/>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fitToPage="1"/>
  </sheetPr>
  <sheetViews>
    <sheetView workbookViewId="0">
      <pane ySplit="18.0" topLeftCell="A19" activePane="bottomLeft" state="frozen"/>
      <selection activeCell="B20" sqref="B20" pane="bottomLeft"/>
    </sheetView>
  </sheetViews>
  <sheetFormatPr customHeight="1" defaultColWidth="14.43" defaultRowHeight="15.0" outlineLevelCol="2"/>
  <cols>
    <col customWidth="1" min="1" max="1" width="3.14"/>
    <col customWidth="1" min="2" max="2" width="21.71"/>
    <col customWidth="1" min="3" max="3" width="70.57"/>
    <col customWidth="1" min="4" max="4" width="18.14"/>
    <col customWidth="1" min="5" max="5" width="9.86"/>
    <col customWidth="1" min="6" max="6" width="9.57" outlineLevel="1"/>
    <col customWidth="1" min="7" max="7" width="15.43" outlineLevel="1"/>
    <col customWidth="1" min="8" max="8" width="8.29" outlineLevel="1"/>
    <col customWidth="1" min="9" max="9" width="20.57" outlineLevel="2"/>
    <col customWidth="1" min="10" max="10" width="15.71" outlineLevel="2"/>
    <col customWidth="1" min="11" max="11" width="14.71" outlineLevel="1"/>
    <col customWidth="1" min="12" max="12" width="11.71" outlineLevel="1"/>
    <col customWidth="1" min="13" max="13" width="12.29" outlineLevel="1"/>
    <col customWidth="1" min="14" max="14" width="14.71" outlineLevel="1"/>
    <col customWidth="1" min="15" max="15" width="10.0" outlineLevel="1"/>
    <col customWidth="1" min="16" max="16" width="11.43" outlineLevel="1"/>
    <col customWidth="1" min="17" max="17" width="18.0"/>
    <col customWidth="1" min="18" max="18" width="21.29" outlineLevel="1"/>
    <col customWidth="1" min="19" max="19" width="13.29" outlineLevel="1"/>
    <col customWidth="1" min="20" max="20" width="14.71" outlineLevel="1"/>
    <col customWidth="1" min="21" max="21" width="14.86" outlineLevel="1"/>
    <col customWidth="1" min="22" max="22" width="17.29" outlineLevel="1"/>
    <col customWidth="1" min="23" max="23" width="19.43" outlineLevel="1"/>
    <col customWidth="1" min="24" max="24" width="21.14" outlineLevel="1"/>
    <col customWidth="1" min="25" max="25" width="10.0" outlineLevel="1"/>
    <col customWidth="1" min="26" max="26" width="15.43" outlineLevel="1"/>
    <col customWidth="1" min="27" max="27" width="11.14" outlineLevel="1"/>
    <col customWidth="1" min="28" max="28" width="16.14" outlineLevel="1"/>
    <col customWidth="1" min="29" max="29" width="10.14" outlineLevel="1"/>
    <col customWidth="1" min="30" max="31" width="17.29" outlineLevel="1"/>
    <col customWidth="1" min="32" max="32" width="20.57" outlineLevel="1"/>
    <col customWidth="1" min="33" max="33" width="14.57" outlineLevel="1"/>
    <col customWidth="1" min="34" max="34" width="15.29" outlineLevel="1"/>
    <col customWidth="1" min="35" max="35" width="8.57" outlineLevel="1"/>
    <col customWidth="1" min="36" max="36" width="19.43"/>
    <col customWidth="1" min="37" max="38" width="21.14"/>
    <col customWidth="1" min="39" max="39" width="14.0"/>
    <col customWidth="1" min="40" max="40" width="14.29"/>
    <col customWidth="1" min="41" max="41" width="20.57"/>
    <col customWidth="1" min="42" max="42" width="11.57"/>
    <col customWidth="1" min="43" max="43" width="17.43"/>
    <col customWidth="1" min="44" max="44" width="20.0"/>
    <col customWidth="1" min="45" max="45" width="6.14"/>
    <col customWidth="1" min="46" max="46" width="13.43"/>
    <col customWidth="1" min="47" max="47" width="7.86"/>
    <col customWidth="1" min="48" max="48" width="5.86"/>
    <col customWidth="1" min="49" max="49" width="19.43"/>
    <col customWidth="1" min="50" max="50" width="21.14"/>
    <col customWidth="1" min="51" max="51" width="7.0"/>
    <col customWidth="1" min="52" max="52" width="10.14"/>
    <col customWidth="1" min="53" max="72" width="9.14"/>
  </cols>
  <sheetData>
    <row r="1" ht="12.75" customHeight="1">
      <c r="A1" s="1360"/>
      <c r="B1" s="584"/>
      <c r="C1" s="584"/>
      <c r="D1" s="584"/>
      <c r="E1" s="585"/>
      <c r="F1" s="586"/>
      <c r="G1" s="584"/>
      <c r="H1" s="584"/>
      <c r="I1" s="584"/>
      <c r="J1" s="584"/>
      <c r="K1" s="586"/>
      <c r="L1" s="588"/>
      <c r="M1" s="588"/>
      <c r="N1" s="589"/>
      <c r="O1" s="584"/>
      <c r="P1" s="586"/>
      <c r="Q1" s="590"/>
      <c r="R1" s="591" t="str">
        <f>IFERROR(
  IF(B1="", "", VLOOKUP(B1, Data!$B$2:$K$905, 9, FALSE)),
  ""
)</f>
        <v/>
      </c>
      <c r="S1" s="592"/>
      <c r="T1" s="593"/>
      <c r="U1" s="591" t="str">
        <f>IFERROR(
  IF(B1="", "", VLOOKUP(B1, Data!$B$2:$K$905, 10, FALSE)),
  ""
)
</f>
        <v/>
      </c>
      <c r="V1" s="594"/>
      <c r="W1" s="595"/>
      <c r="X1" s="584"/>
      <c r="Y1" s="595"/>
      <c r="Z1" s="595"/>
      <c r="AA1" s="595"/>
      <c r="AB1" s="354"/>
      <c r="AC1" s="584"/>
      <c r="AD1" s="595"/>
      <c r="AE1" s="595"/>
      <c r="AF1" s="443"/>
      <c r="AG1" s="354"/>
      <c r="AH1" s="595"/>
      <c r="AI1" s="595"/>
      <c r="AJ1" s="595"/>
      <c r="AK1" s="595"/>
      <c r="AL1" s="584"/>
      <c r="AM1" s="596"/>
      <c r="AN1" s="595"/>
      <c r="AO1" s="584"/>
      <c r="AP1" s="584"/>
      <c r="AQ1" s="584"/>
      <c r="AR1" s="584"/>
      <c r="AS1" s="584"/>
      <c r="AT1" s="584"/>
      <c r="AU1" s="584"/>
      <c r="AV1" s="584"/>
      <c r="AW1" s="584"/>
      <c r="AX1" s="584"/>
      <c r="AY1" s="584"/>
      <c r="AZ1" s="584"/>
      <c r="BA1" s="584"/>
      <c r="BB1" s="584"/>
      <c r="BC1" s="584"/>
      <c r="BD1" s="584"/>
      <c r="BE1" s="584"/>
      <c r="BF1" s="584"/>
      <c r="BG1" s="584"/>
      <c r="BH1" s="584"/>
      <c r="BI1" s="597"/>
      <c r="BJ1" s="597"/>
      <c r="BK1" s="597"/>
      <c r="BL1" s="597"/>
      <c r="BM1" s="597"/>
      <c r="BN1" s="597"/>
      <c r="BO1" s="597"/>
      <c r="BP1" s="597"/>
      <c r="BQ1" s="597"/>
      <c r="BR1" s="597"/>
      <c r="BS1" s="597"/>
      <c r="BT1" s="597"/>
    </row>
    <row r="2" ht="12.75" customHeight="1">
      <c r="A2" s="1360">
        <v>1.0</v>
      </c>
      <c r="B2" s="598"/>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584"/>
      <c r="AM2" s="596"/>
      <c r="AN2" s="595"/>
      <c r="AO2" s="584"/>
      <c r="AP2" s="584"/>
      <c r="AQ2" s="584"/>
      <c r="AR2" s="584"/>
      <c r="AS2" s="584"/>
      <c r="AT2" s="584"/>
      <c r="AU2" s="584"/>
      <c r="AV2" s="584"/>
      <c r="AW2" s="584"/>
      <c r="AX2" s="584"/>
      <c r="AY2" s="584"/>
      <c r="AZ2" s="584"/>
      <c r="BA2" s="584"/>
      <c r="BB2" s="584"/>
      <c r="BC2" s="584"/>
      <c r="BD2" s="584"/>
      <c r="BE2" s="584"/>
      <c r="BF2" s="584"/>
      <c r="BG2" s="584"/>
      <c r="BH2" s="584"/>
      <c r="BI2" s="597"/>
      <c r="BJ2" s="597"/>
      <c r="BK2" s="597"/>
      <c r="BL2" s="597"/>
      <c r="BM2" s="597"/>
      <c r="BN2" s="597"/>
      <c r="BO2" s="597"/>
      <c r="BP2" s="597"/>
      <c r="BQ2" s="597"/>
      <c r="BR2" s="597"/>
      <c r="BS2" s="597"/>
      <c r="BT2" s="597"/>
    </row>
    <row r="3" ht="12.75" customHeight="1">
      <c r="A3" s="1360">
        <v>1.0</v>
      </c>
      <c r="B3" s="11"/>
      <c r="AL3" s="584"/>
      <c r="AM3" s="596"/>
      <c r="AN3" s="595"/>
      <c r="AO3" s="584"/>
      <c r="AP3" s="584"/>
      <c r="AQ3" s="584"/>
      <c r="AR3" s="584"/>
      <c r="AS3" s="584"/>
      <c r="AT3" s="584"/>
      <c r="AU3" s="584"/>
      <c r="AV3" s="584"/>
      <c r="AW3" s="584"/>
      <c r="AX3" s="584"/>
      <c r="AY3" s="584"/>
      <c r="AZ3" s="584"/>
      <c r="BA3" s="584"/>
      <c r="BB3" s="584"/>
      <c r="BC3" s="584"/>
      <c r="BD3" s="584"/>
      <c r="BE3" s="584"/>
      <c r="BF3" s="584"/>
      <c r="BG3" s="584"/>
      <c r="BH3" s="584"/>
      <c r="BI3" s="597"/>
      <c r="BJ3" s="597"/>
      <c r="BK3" s="597"/>
      <c r="BL3" s="597"/>
      <c r="BM3" s="597"/>
      <c r="BN3" s="597"/>
      <c r="BO3" s="597"/>
      <c r="BP3" s="597"/>
      <c r="BQ3" s="597"/>
      <c r="BR3" s="597"/>
      <c r="BS3" s="597"/>
      <c r="BT3" s="597"/>
    </row>
    <row r="4" ht="12.75" customHeight="1">
      <c r="A4" s="1360">
        <v>1.0</v>
      </c>
      <c r="B4" s="11"/>
      <c r="AL4" s="584"/>
      <c r="AM4" s="596"/>
      <c r="AN4" s="595"/>
      <c r="AO4" s="584"/>
      <c r="AP4" s="584"/>
      <c r="AQ4" s="584"/>
      <c r="AR4" s="584"/>
      <c r="AS4" s="584"/>
      <c r="AT4" s="584"/>
      <c r="AU4" s="584"/>
      <c r="AV4" s="584"/>
      <c r="AW4" s="584"/>
      <c r="AX4" s="584"/>
      <c r="AY4" s="584"/>
      <c r="AZ4" s="584"/>
      <c r="BA4" s="584"/>
      <c r="BB4" s="584"/>
      <c r="BC4" s="584"/>
      <c r="BD4" s="584"/>
      <c r="BE4" s="584"/>
      <c r="BF4" s="584"/>
      <c r="BG4" s="584"/>
      <c r="BH4" s="584"/>
      <c r="BI4" s="597"/>
      <c r="BJ4" s="597"/>
      <c r="BK4" s="597"/>
      <c r="BL4" s="597"/>
      <c r="BM4" s="597"/>
      <c r="BN4" s="597"/>
      <c r="BO4" s="597"/>
      <c r="BP4" s="597"/>
      <c r="BQ4" s="597"/>
      <c r="BR4" s="597"/>
      <c r="BS4" s="597"/>
      <c r="BT4" s="597"/>
    </row>
    <row r="5" ht="12.75" customHeight="1">
      <c r="A5" s="1360">
        <v>1.0</v>
      </c>
      <c r="B5" s="11"/>
      <c r="AL5" s="584"/>
      <c r="AM5" s="596"/>
      <c r="AN5" s="595"/>
      <c r="AO5" s="584"/>
      <c r="AP5" s="584"/>
      <c r="AQ5" s="584"/>
      <c r="AR5" s="584"/>
      <c r="AS5" s="584"/>
      <c r="AT5" s="584"/>
      <c r="AU5" s="584"/>
      <c r="AV5" s="584"/>
      <c r="AW5" s="584"/>
      <c r="AX5" s="584"/>
      <c r="AY5" s="584"/>
      <c r="AZ5" s="584"/>
      <c r="BA5" s="584"/>
      <c r="BB5" s="584"/>
      <c r="BC5" s="584"/>
      <c r="BD5" s="584"/>
      <c r="BE5" s="584"/>
      <c r="BF5" s="584"/>
      <c r="BG5" s="584"/>
      <c r="BH5" s="584"/>
      <c r="BI5" s="597"/>
      <c r="BJ5" s="597"/>
      <c r="BK5" s="597"/>
      <c r="BL5" s="597"/>
      <c r="BM5" s="597"/>
      <c r="BN5" s="597"/>
      <c r="BO5" s="597"/>
      <c r="BP5" s="597"/>
      <c r="BQ5" s="597"/>
      <c r="BR5" s="597"/>
      <c r="BS5" s="597"/>
      <c r="BT5" s="597"/>
    </row>
    <row r="6" ht="12.75" customHeight="1">
      <c r="A6" s="1360">
        <v>1.0</v>
      </c>
      <c r="B6" s="11"/>
      <c r="AL6" s="584"/>
      <c r="AM6" s="596"/>
      <c r="AN6" s="595"/>
      <c r="AO6" s="584"/>
      <c r="AP6" s="584"/>
      <c r="AQ6" s="584"/>
      <c r="AR6" s="584"/>
      <c r="AS6" s="584"/>
      <c r="AT6" s="584"/>
      <c r="AU6" s="584"/>
      <c r="AV6" s="584"/>
      <c r="AW6" s="584"/>
      <c r="AX6" s="584"/>
      <c r="AY6" s="584"/>
      <c r="AZ6" s="584"/>
      <c r="BA6" s="584"/>
      <c r="BB6" s="584"/>
      <c r="BC6" s="584"/>
      <c r="BD6" s="584"/>
      <c r="BE6" s="584"/>
      <c r="BF6" s="584"/>
      <c r="BG6" s="584"/>
      <c r="BH6" s="584"/>
      <c r="BI6" s="597"/>
      <c r="BJ6" s="597"/>
      <c r="BK6" s="597"/>
      <c r="BL6" s="597"/>
      <c r="BM6" s="597"/>
      <c r="BN6" s="597"/>
      <c r="BO6" s="597"/>
      <c r="BP6" s="597"/>
      <c r="BQ6" s="597"/>
      <c r="BR6" s="597"/>
      <c r="BS6" s="597"/>
      <c r="BT6" s="597"/>
    </row>
    <row r="7" ht="12.75" customHeight="1">
      <c r="A7" s="1360">
        <v>1.0</v>
      </c>
      <c r="B7" s="11"/>
      <c r="AL7" s="584"/>
      <c r="AM7" s="596"/>
      <c r="AN7" s="595"/>
      <c r="AO7" s="584"/>
      <c r="AP7" s="584"/>
      <c r="AQ7" s="584"/>
      <c r="AR7" s="584"/>
      <c r="AS7" s="584"/>
      <c r="AT7" s="584"/>
      <c r="AU7" s="584"/>
      <c r="AV7" s="584"/>
      <c r="AW7" s="584"/>
      <c r="AX7" s="584"/>
      <c r="AY7" s="584"/>
      <c r="AZ7" s="584"/>
      <c r="BA7" s="584"/>
      <c r="BB7" s="584"/>
      <c r="BC7" s="584"/>
      <c r="BD7" s="584"/>
      <c r="BE7" s="584"/>
      <c r="BF7" s="584"/>
      <c r="BG7" s="584"/>
      <c r="BH7" s="584"/>
      <c r="BI7" s="597"/>
      <c r="BJ7" s="597"/>
      <c r="BK7" s="597"/>
      <c r="BL7" s="597"/>
      <c r="BM7" s="597"/>
      <c r="BN7" s="597"/>
      <c r="BO7" s="597"/>
      <c r="BP7" s="597"/>
      <c r="BQ7" s="597"/>
      <c r="BR7" s="597"/>
      <c r="BS7" s="597"/>
      <c r="BT7" s="597"/>
    </row>
    <row r="8" ht="12.75" customHeight="1">
      <c r="A8" s="1360">
        <v>1.0</v>
      </c>
      <c r="B8" s="12" t="s">
        <v>0</v>
      </c>
      <c r="C8" s="13" t="str">
        <f>IFERROR(__xludf.DUMMYFUNCTION("IF(
  'Acce Source'!D8="""",
  """",
  IFERROR(
    VLOOKUP(
      'Acce Source'!D8,
      IMPORTRANGE(
        ""1yRKiSiwTOx_Hj9DHPwpMhw9gK8bTY1IeLWGRh62hnCs"",
        ""Masterlist!E:L""
      ),
      2,
      FALSE
    )
  )
)
"),"Mangere Warehouse Extension")</f>
        <v>Mangere Warehouse Extension</v>
      </c>
      <c r="D8" s="13" t="s">
        <v>1180</v>
      </c>
      <c r="E8" s="585"/>
      <c r="F8" s="586"/>
      <c r="G8" s="584"/>
      <c r="H8" s="584"/>
      <c r="I8" s="584"/>
      <c r="J8" s="584"/>
      <c r="K8" s="14" t="s">
        <v>2</v>
      </c>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584"/>
      <c r="AM8" s="596"/>
      <c r="AN8" s="595"/>
      <c r="AO8" s="584"/>
      <c r="AP8" s="584"/>
      <c r="AQ8" s="584"/>
      <c r="AR8" s="584"/>
      <c r="AS8" s="584"/>
      <c r="AT8" s="584"/>
      <c r="AU8" s="584"/>
      <c r="AV8" s="584"/>
      <c r="AW8" s="584"/>
      <c r="AX8" s="584"/>
      <c r="AY8" s="584"/>
      <c r="AZ8" s="584"/>
      <c r="BA8" s="584"/>
      <c r="BB8" s="584"/>
      <c r="BC8" s="584"/>
      <c r="BD8" s="584"/>
      <c r="BE8" s="584"/>
      <c r="BF8" s="584"/>
      <c r="BG8" s="584"/>
      <c r="BH8" s="584"/>
      <c r="BI8" s="597"/>
      <c r="BJ8" s="597"/>
      <c r="BK8" s="597"/>
      <c r="BL8" s="597"/>
      <c r="BM8" s="597"/>
      <c r="BN8" s="597"/>
      <c r="BO8" s="597"/>
      <c r="BP8" s="597"/>
      <c r="BQ8" s="597"/>
      <c r="BR8" s="597"/>
      <c r="BS8" s="597"/>
      <c r="BT8" s="597"/>
    </row>
    <row r="9" ht="12.75" customHeight="1">
      <c r="A9" s="1360">
        <v>1.0</v>
      </c>
      <c r="B9" s="12" t="s">
        <v>3</v>
      </c>
      <c r="C9" s="1076" t="str">
        <f>IFERROR(__xludf.DUMMYFUNCTION("IF(
  'Acce Source'!D8="""",
  """",
  IFERROR(
    VLOOKUP(
      'Acce Source'!D8,
      IMPORTRANGE(
        ""1yRKiSiwTOx_Hj9DHPwpMhw9gK8bTY1IeLWGRh62hnCs"",
        ""Masterlist!E:L""
      ),
      3,
      FALSE
    )
  )
)
"),"10 Andrew Baxter Drive, Māngere, Auckland 2022, New Zealand")</f>
        <v>10 Andrew Baxter Drive, Māngere, Auckland 2022, New Zealand</v>
      </c>
      <c r="D9" s="584"/>
      <c r="E9" s="585"/>
      <c r="F9" s="586"/>
      <c r="G9" s="584"/>
      <c r="H9" s="584"/>
      <c r="I9" s="584"/>
      <c r="J9" s="584"/>
      <c r="K9" s="16"/>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584"/>
      <c r="AM9" s="596"/>
      <c r="AN9" s="595"/>
      <c r="AO9" s="584"/>
      <c r="AP9" s="584"/>
      <c r="AQ9" s="584"/>
      <c r="AR9" s="584"/>
      <c r="AS9" s="584"/>
      <c r="AT9" s="584"/>
      <c r="AU9" s="584"/>
      <c r="AV9" s="584"/>
      <c r="AW9" s="584"/>
      <c r="AX9" s="584"/>
      <c r="AY9" s="584"/>
      <c r="AZ9" s="584"/>
      <c r="BA9" s="584"/>
      <c r="BB9" s="584"/>
      <c r="BC9" s="584"/>
      <c r="BD9" s="584"/>
      <c r="BE9" s="584"/>
      <c r="BF9" s="584"/>
      <c r="BG9" s="584"/>
      <c r="BH9" s="584"/>
      <c r="BI9" s="597"/>
      <c r="BJ9" s="597"/>
      <c r="BK9" s="597"/>
      <c r="BL9" s="597"/>
      <c r="BM9" s="597"/>
      <c r="BN9" s="597"/>
      <c r="BO9" s="597"/>
      <c r="BP9" s="597"/>
      <c r="BQ9" s="597"/>
      <c r="BR9" s="597"/>
      <c r="BS9" s="597"/>
      <c r="BT9" s="597"/>
    </row>
    <row r="10" ht="12.75" customHeight="1">
      <c r="A10" s="1360"/>
      <c r="B10" s="584"/>
      <c r="C10" s="18" t="s">
        <v>4</v>
      </c>
      <c r="D10" s="19" t="s">
        <v>5</v>
      </c>
      <c r="E10" s="599"/>
      <c r="F10" s="600"/>
      <c r="G10" s="602"/>
      <c r="H10" s="602"/>
      <c r="I10" s="22">
        <v>1.0</v>
      </c>
      <c r="J10" s="584"/>
      <c r="K10" s="586"/>
      <c r="L10" s="588"/>
      <c r="M10" s="588"/>
      <c r="N10" s="589"/>
      <c r="O10" s="584"/>
      <c r="P10" s="586"/>
      <c r="Q10" s="584"/>
      <c r="R10" s="603"/>
      <c r="S10" s="354"/>
      <c r="T10" s="584"/>
      <c r="U10" s="595"/>
      <c r="V10" s="595"/>
      <c r="W10" s="595"/>
      <c r="X10" s="584"/>
      <c r="Y10" s="595"/>
      <c r="Z10" s="595"/>
      <c r="AA10" s="595"/>
      <c r="AB10" s="354"/>
      <c r="AC10" s="584"/>
      <c r="AD10" s="595"/>
      <c r="AE10" s="595"/>
      <c r="AF10" s="443"/>
      <c r="AG10" s="354"/>
      <c r="AH10" s="595"/>
      <c r="AI10" s="595"/>
      <c r="AJ10" s="595"/>
      <c r="AK10" s="595"/>
      <c r="AL10" s="584"/>
      <c r="AM10" s="604"/>
      <c r="AN10" s="605"/>
      <c r="AO10" s="606"/>
      <c r="AP10" s="606"/>
      <c r="AQ10" s="584"/>
      <c r="AR10" s="584"/>
      <c r="AS10" s="584"/>
      <c r="AT10" s="584"/>
      <c r="AU10" s="584"/>
      <c r="AV10" s="584"/>
      <c r="AW10" s="584"/>
      <c r="AX10" s="584"/>
      <c r="AY10" s="584"/>
      <c r="AZ10" s="584"/>
      <c r="BA10" s="584"/>
      <c r="BB10" s="584"/>
      <c r="BC10" s="584"/>
      <c r="BD10" s="584"/>
      <c r="BE10" s="584"/>
      <c r="BF10" s="584"/>
      <c r="BG10" s="584"/>
      <c r="BH10" s="584"/>
      <c r="BI10" s="597"/>
      <c r="BJ10" s="597"/>
      <c r="BK10" s="597"/>
      <c r="BL10" s="597"/>
      <c r="BM10" s="597"/>
      <c r="BN10" s="597"/>
      <c r="BO10" s="597"/>
      <c r="BP10" s="597"/>
      <c r="BQ10" s="597"/>
      <c r="BR10" s="597"/>
      <c r="BS10" s="597"/>
      <c r="BT10" s="597"/>
    </row>
    <row r="11" ht="12.75" customHeight="1">
      <c r="A11" s="1360">
        <v>1.0</v>
      </c>
      <c r="B11" s="23" t="s">
        <v>6</v>
      </c>
      <c r="C11" s="23" t="s">
        <v>7</v>
      </c>
      <c r="D11" s="24" t="s">
        <v>8</v>
      </c>
      <c r="E11" s="607" t="s">
        <v>9</v>
      </c>
      <c r="F11" s="24" t="s">
        <v>10</v>
      </c>
      <c r="G11" s="24" t="s">
        <v>11</v>
      </c>
      <c r="H11" s="24" t="s">
        <v>12</v>
      </c>
      <c r="I11" s="24" t="s">
        <v>13</v>
      </c>
      <c r="J11" s="26" t="s">
        <v>14</v>
      </c>
      <c r="K11" s="23" t="s">
        <v>15</v>
      </c>
      <c r="L11" s="27" t="s">
        <v>16</v>
      </c>
      <c r="M11" s="28" t="s">
        <v>17</v>
      </c>
      <c r="N11" s="29"/>
      <c r="O11" s="29"/>
      <c r="P11" s="30"/>
      <c r="Q11" s="23" t="s">
        <v>18</v>
      </c>
      <c r="R11" s="31" t="s">
        <v>19</v>
      </c>
      <c r="S11" s="29"/>
      <c r="T11" s="30"/>
      <c r="U11" s="608"/>
      <c r="V11" s="31" t="s">
        <v>20</v>
      </c>
      <c r="W11" s="30"/>
      <c r="X11" s="584"/>
      <c r="Y11" s="595"/>
      <c r="Z11" s="595"/>
      <c r="AA11" s="595"/>
      <c r="AB11" s="354"/>
      <c r="AC11" s="181"/>
      <c r="AD11" s="34" t="s">
        <v>21</v>
      </c>
      <c r="AE11" s="35" t="s">
        <v>22</v>
      </c>
      <c r="AF11" s="36" t="s">
        <v>23</v>
      </c>
      <c r="AG11" s="37" t="s">
        <v>24</v>
      </c>
      <c r="AH11" s="38" t="s">
        <v>25</v>
      </c>
      <c r="AI11" s="187"/>
      <c r="AJ11" s="40" t="s">
        <v>26</v>
      </c>
      <c r="AK11" s="40" t="s">
        <v>27</v>
      </c>
      <c r="AL11" s="590"/>
      <c r="AM11" s="595"/>
      <c r="AN11" s="595"/>
      <c r="AO11" s="595"/>
      <c r="AP11" s="595"/>
      <c r="AQ11" s="609"/>
      <c r="AR11" s="584"/>
      <c r="AS11" s="584"/>
      <c r="AT11" s="584"/>
      <c r="AU11" s="584"/>
      <c r="AV11" s="584"/>
      <c r="AW11" s="584"/>
      <c r="AX11" s="584"/>
      <c r="AY11" s="584"/>
      <c r="AZ11" s="584"/>
      <c r="BA11" s="584"/>
      <c r="BB11" s="584"/>
      <c r="BC11" s="584"/>
      <c r="BD11" s="584"/>
      <c r="BE11" s="584"/>
      <c r="BF11" s="584"/>
      <c r="BG11" s="584"/>
      <c r="BH11" s="584"/>
      <c r="BI11" s="597"/>
      <c r="BJ11" s="597"/>
      <c r="BK11" s="597"/>
      <c r="BL11" s="597"/>
      <c r="BM11" s="597"/>
      <c r="BN11" s="597"/>
      <c r="BO11" s="597"/>
      <c r="BP11" s="597"/>
      <c r="BQ11" s="597"/>
      <c r="BR11" s="597"/>
      <c r="BS11" s="597"/>
      <c r="BT11" s="597"/>
    </row>
    <row r="12" ht="28.5" customHeight="1">
      <c r="A12" s="1360">
        <v>1.0</v>
      </c>
      <c r="B12" s="42"/>
      <c r="C12" s="42"/>
      <c r="D12" s="43"/>
      <c r="E12" s="43"/>
      <c r="F12" s="43"/>
      <c r="G12" s="43"/>
      <c r="H12" s="43"/>
      <c r="I12" s="43"/>
      <c r="J12" s="44"/>
      <c r="K12" s="42"/>
      <c r="L12" s="45" t="s">
        <v>31</v>
      </c>
      <c r="M12" s="46" t="s">
        <v>18</v>
      </c>
      <c r="N12" s="47" t="s">
        <v>32</v>
      </c>
      <c r="O12" s="48">
        <v>0.0</v>
      </c>
      <c r="P12" s="49" t="s">
        <v>15</v>
      </c>
      <c r="Q12" s="42"/>
      <c r="R12" s="50" t="s">
        <v>26</v>
      </c>
      <c r="S12" s="51" t="s">
        <v>27</v>
      </c>
      <c r="T12" s="51" t="s">
        <v>33</v>
      </c>
      <c r="U12" s="50" t="s">
        <v>26</v>
      </c>
      <c r="V12" s="50" t="s">
        <v>27</v>
      </c>
      <c r="W12" s="51" t="s">
        <v>34</v>
      </c>
      <c r="X12" s="584"/>
      <c r="Y12" s="595"/>
      <c r="Z12" s="595"/>
      <c r="AA12" s="595"/>
      <c r="AB12" s="354"/>
      <c r="AC12" s="181"/>
      <c r="AD12" s="610"/>
      <c r="AE12" s="611"/>
      <c r="AF12" s="54">
        <f>SUM(AF13)</f>
        <v>0</v>
      </c>
      <c r="AG12" s="612"/>
      <c r="AH12" s="613"/>
      <c r="AI12" s="187"/>
      <c r="AJ12" s="57"/>
      <c r="AK12" s="57"/>
      <c r="AL12" s="590"/>
      <c r="AM12" s="595"/>
      <c r="AN12" s="595"/>
      <c r="AO12" s="595"/>
      <c r="AP12" s="595"/>
      <c r="AQ12" s="609"/>
      <c r="AR12" s="584"/>
      <c r="AS12" s="584"/>
      <c r="AT12" s="584"/>
      <c r="AU12" s="584"/>
      <c r="AV12" s="584"/>
      <c r="AW12" s="584"/>
      <c r="AX12" s="584"/>
      <c r="AY12" s="584"/>
      <c r="AZ12" s="584"/>
      <c r="BA12" s="584"/>
      <c r="BB12" s="584"/>
      <c r="BC12" s="584"/>
      <c r="BD12" s="584"/>
      <c r="BE12" s="584"/>
      <c r="BF12" s="584"/>
      <c r="BG12" s="584"/>
      <c r="BH12" s="584"/>
      <c r="BI12" s="597"/>
      <c r="BJ12" s="597"/>
      <c r="BK12" s="597"/>
      <c r="BL12" s="597"/>
      <c r="BM12" s="597"/>
      <c r="BN12" s="597"/>
      <c r="BO12" s="597"/>
      <c r="BP12" s="597"/>
      <c r="BQ12" s="597"/>
      <c r="BR12" s="597"/>
      <c r="BS12" s="597"/>
      <c r="BT12" s="597"/>
    </row>
    <row r="13" ht="12.75" customHeight="1">
      <c r="A13" s="1360">
        <v>1.0</v>
      </c>
      <c r="B13" s="614"/>
      <c r="C13" s="615"/>
      <c r="D13" s="615"/>
      <c r="E13" s="616"/>
      <c r="F13" s="617"/>
      <c r="G13" s="615"/>
      <c r="H13" s="615"/>
      <c r="I13" s="615"/>
      <c r="J13" s="615"/>
      <c r="K13" s="617"/>
      <c r="L13" s="619"/>
      <c r="M13" s="619"/>
      <c r="N13" s="620"/>
      <c r="O13" s="615"/>
      <c r="P13" s="617"/>
      <c r="Q13" s="621"/>
      <c r="R13" s="622"/>
      <c r="S13" s="439"/>
      <c r="T13" s="621"/>
      <c r="U13" s="623"/>
      <c r="V13" s="623"/>
      <c r="W13" s="624"/>
      <c r="X13" s="584"/>
      <c r="Y13" s="595"/>
      <c r="Z13" s="595"/>
      <c r="AA13" s="595"/>
      <c r="AB13" s="354"/>
      <c r="AC13" s="181"/>
      <c r="AD13" s="625"/>
      <c r="AE13" s="626"/>
      <c r="AF13" s="627"/>
      <c r="AG13" s="628"/>
      <c r="AH13" s="629"/>
      <c r="AI13" s="187"/>
      <c r="AJ13" s="630"/>
      <c r="AK13" s="630"/>
      <c r="AL13" s="584"/>
      <c r="AM13" s="595"/>
      <c r="AN13" s="595"/>
      <c r="AO13" s="595"/>
      <c r="AP13" s="595"/>
      <c r="AQ13" s="584"/>
      <c r="AR13" s="584"/>
      <c r="AS13" s="584"/>
      <c r="AT13" s="584"/>
      <c r="AU13" s="584"/>
      <c r="AV13" s="584"/>
      <c r="AW13" s="584"/>
      <c r="AX13" s="584"/>
      <c r="AY13" s="584"/>
      <c r="AZ13" s="584"/>
      <c r="BA13" s="584"/>
      <c r="BB13" s="584"/>
      <c r="BC13" s="584"/>
      <c r="BD13" s="584"/>
      <c r="BE13" s="584"/>
      <c r="BF13" s="584"/>
      <c r="BG13" s="584"/>
      <c r="BH13" s="584"/>
      <c r="BI13" s="597"/>
      <c r="BJ13" s="597"/>
      <c r="BK13" s="597"/>
      <c r="BL13" s="597"/>
      <c r="BM13" s="597"/>
      <c r="BN13" s="597"/>
      <c r="BO13" s="597"/>
      <c r="BP13" s="597"/>
      <c r="BQ13" s="597"/>
      <c r="BR13" s="597"/>
      <c r="BS13" s="597"/>
      <c r="BT13" s="597"/>
    </row>
    <row r="14" ht="12.75" customHeight="1">
      <c r="A14" s="1313">
        <v>1.0</v>
      </c>
      <c r="B14" s="632" t="s">
        <v>423</v>
      </c>
      <c r="C14" s="251" t="s">
        <v>1181</v>
      </c>
      <c r="D14" s="633"/>
      <c r="E14" s="634"/>
      <c r="F14" s="638"/>
      <c r="G14" s="633"/>
      <c r="H14" s="633"/>
      <c r="I14" s="637"/>
      <c r="J14" s="633"/>
      <c r="K14" s="638"/>
      <c r="L14" s="637"/>
      <c r="M14" s="637"/>
      <c r="N14" s="639"/>
      <c r="O14" s="633"/>
      <c r="P14" s="638"/>
      <c r="Q14" s="640"/>
      <c r="R14" s="136" t="str">
        <f>IFERROR(
  IF(B14="", "", VLOOKUP(B14, Data!$B$2:$K$905, 9, FALSE)),
  ""
)</f>
        <v/>
      </c>
      <c r="S14" s="641"/>
      <c r="T14" s="640"/>
      <c r="U14" s="136" t="str">
        <f>IFERROR(
  IF(B14="", "", VLOOKUP(B14, Data!$B$2:$K$905, 10, FALSE)),
  ""
)
</f>
        <v/>
      </c>
      <c r="V14" s="642"/>
      <c r="W14" s="643"/>
      <c r="X14" s="602"/>
      <c r="Y14" s="602"/>
      <c r="Z14" s="602"/>
      <c r="AA14" s="602"/>
      <c r="AB14" s="600"/>
      <c r="AC14" s="602"/>
      <c r="AD14" s="644"/>
      <c r="AE14" s="645"/>
      <c r="AF14" s="646"/>
      <c r="AG14" s="647"/>
      <c r="AH14" s="648"/>
      <c r="AI14" s="649"/>
      <c r="AJ14" s="650"/>
      <c r="AK14" s="650"/>
      <c r="AL14" s="595"/>
      <c r="AM14" s="595"/>
      <c r="AN14" s="595"/>
      <c r="AO14" s="595"/>
      <c r="AP14" s="595"/>
      <c r="AQ14" s="595"/>
      <c r="AR14" s="595"/>
      <c r="AS14" s="595"/>
      <c r="AT14" s="595"/>
      <c r="AU14" s="595"/>
      <c r="AV14" s="595"/>
      <c r="AW14" s="595"/>
      <c r="AX14" s="595"/>
      <c r="AY14" s="595"/>
      <c r="AZ14" s="595"/>
      <c r="BA14" s="595"/>
      <c r="BB14" s="595"/>
      <c r="BC14" s="595"/>
      <c r="BD14" s="595"/>
      <c r="BE14" s="595"/>
      <c r="BF14" s="595"/>
      <c r="BG14" s="595"/>
      <c r="BH14" s="595"/>
      <c r="BI14" s="651"/>
      <c r="BJ14" s="651"/>
      <c r="BK14" s="651"/>
      <c r="BL14" s="651"/>
      <c r="BM14" s="651"/>
      <c r="BN14" s="651"/>
      <c r="BO14" s="651"/>
      <c r="BP14" s="651"/>
      <c r="BQ14" s="651"/>
      <c r="BR14" s="651"/>
      <c r="BS14" s="651"/>
      <c r="BT14" s="651"/>
    </row>
    <row r="15">
      <c r="A15" s="1313">
        <v>1.0</v>
      </c>
      <c r="B15" s="652" t="s">
        <v>425</v>
      </c>
      <c r="C15" s="89" t="s">
        <v>36</v>
      </c>
      <c r="D15" s="653"/>
      <c r="E15" s="654"/>
      <c r="F15" s="657"/>
      <c r="G15" s="656"/>
      <c r="H15" s="656"/>
      <c r="I15" s="656"/>
      <c r="J15" s="656"/>
      <c r="K15" s="657"/>
      <c r="L15" s="658"/>
      <c r="M15" s="658"/>
      <c r="N15" s="659"/>
      <c r="O15" s="658"/>
      <c r="P15" s="656"/>
      <c r="Q15" s="658"/>
      <c r="R15" s="136" t="str">
        <f>IFERROR(
  IF(B15="", "", VLOOKUP(B15, Data!$B$2:$K$905, 9, FALSE)),
  ""
)</f>
        <v/>
      </c>
      <c r="S15" s="660"/>
      <c r="T15" s="661"/>
      <c r="U15" s="136" t="str">
        <f>IFERROR(
  IF(B15="", "", VLOOKUP(B15, Data!$B$2:$K$905, 10, FALSE)),
  ""
)
</f>
        <v/>
      </c>
      <c r="V15" s="662"/>
      <c r="W15" s="663"/>
      <c r="X15" s="664"/>
      <c r="Y15" s="665"/>
      <c r="Z15" s="665"/>
      <c r="AA15" s="665"/>
      <c r="AB15" s="666"/>
      <c r="AC15" s="667"/>
      <c r="AD15" s="668"/>
      <c r="AE15" s="669"/>
      <c r="AF15" s="670"/>
      <c r="AG15" s="671"/>
      <c r="AH15" s="672"/>
      <c r="AI15" s="665"/>
      <c r="AJ15" s="673"/>
      <c r="AK15" s="673"/>
      <c r="AL15" s="595"/>
      <c r="AM15" s="595"/>
      <c r="AN15" s="595"/>
      <c r="AO15" s="595"/>
      <c r="AP15" s="595"/>
      <c r="AQ15" s="595"/>
      <c r="AR15" s="595"/>
      <c r="AS15" s="595"/>
      <c r="AT15" s="595"/>
      <c r="AU15" s="595"/>
      <c r="AV15" s="595"/>
      <c r="AW15" s="595"/>
      <c r="AX15" s="595"/>
      <c r="AY15" s="595"/>
      <c r="AZ15" s="595"/>
      <c r="BA15" s="595"/>
      <c r="BB15" s="595"/>
      <c r="BC15" s="595"/>
      <c r="BD15" s="595"/>
      <c r="BE15" s="595"/>
      <c r="BF15" s="595"/>
      <c r="BG15" s="595"/>
      <c r="BH15" s="595"/>
      <c r="BI15" s="651"/>
      <c r="BJ15" s="651"/>
      <c r="BK15" s="651"/>
      <c r="BL15" s="651"/>
      <c r="BM15" s="651"/>
      <c r="BN15" s="651"/>
      <c r="BO15" s="651"/>
      <c r="BP15" s="651"/>
      <c r="BQ15" s="651"/>
      <c r="BR15" s="651"/>
      <c r="BS15" s="651"/>
      <c r="BT15" s="651"/>
    </row>
    <row r="16">
      <c r="A16" s="1313">
        <v>1.0</v>
      </c>
      <c r="B16" s="727"/>
      <c r="C16" s="103" t="s">
        <v>1182</v>
      </c>
      <c r="D16" s="675"/>
      <c r="E16" s="676"/>
      <c r="F16" s="728"/>
      <c r="G16" s="678"/>
      <c r="H16" s="678"/>
      <c r="I16" s="678"/>
      <c r="J16" s="678"/>
      <c r="K16" s="678"/>
      <c r="L16" s="106" t="str">
        <f>Q16</f>
        <v>#REF!</v>
      </c>
      <c r="M16" s="679"/>
      <c r="N16" s="680"/>
      <c r="O16" s="679"/>
      <c r="P16" s="678"/>
      <c r="Q16" s="106" t="str">
        <f>Q17</f>
        <v>#REF!</v>
      </c>
      <c r="R16" s="681" t="str">
        <f>IFERROR(
  IF(B16="", "", VLOOKUP(B16, Data!$B$2:$K$905, 9, FALSE)),
  ""
)</f>
        <v/>
      </c>
      <c r="S16" s="682">
        <f>IFERROR(T16/Q16, 0)</f>
        <v>0</v>
      </c>
      <c r="T16" s="109" t="str">
        <f>SUM(S17:S21)</f>
        <v>#REF!</v>
      </c>
      <c r="U16" s="681" t="str">
        <f>IFERROR(
  IF(B16="", "", VLOOKUP(B16, Data!$B$2:$K$905, 10, FALSE)),
  ""
)
</f>
        <v/>
      </c>
      <c r="V16" s="109" t="str">
        <f>iferror(W16/Q16,"")</f>
        <v/>
      </c>
      <c r="W16" s="110" t="str">
        <f>SUM(W17:W21)</f>
        <v>#REF!</v>
      </c>
      <c r="X16" s="111" t="str">
        <f>W16/$AC$235/$W$242/$X$232</f>
        <v>#REF!</v>
      </c>
      <c r="Y16" s="112" t="str">
        <f>(T16+W16)=(SUM(AB17:AB21))</f>
        <v>#REF!</v>
      </c>
      <c r="Z16" s="113" t="str">
        <f>(T16+W16)-(SUM(AB17:AB21))</f>
        <v>#REF!</v>
      </c>
      <c r="AA16" s="595"/>
      <c r="AB16" s="595"/>
      <c r="AC16" s="181"/>
      <c r="AD16" s="114" t="str">
        <f>W16+T16</f>
        <v>#REF!</v>
      </c>
      <c r="AE16" s="115" t="str">
        <f>AD16</f>
        <v>#REF!</v>
      </c>
      <c r="AF16" s="116" t="str">
        <f>AE16/$AE$210</f>
        <v>#REF!</v>
      </c>
      <c r="AG16" s="683" t="str">
        <f>AF16*$AG$217</f>
        <v>#REF!</v>
      </c>
      <c r="AH16" s="118" t="str">
        <f>AF16*$AG$220</f>
        <v>#REF!</v>
      </c>
      <c r="AI16" s="187"/>
      <c r="AJ16" s="119" t="str">
        <f>ROUND(AK16/L16,2)</f>
        <v>#REF!</v>
      </c>
      <c r="AK16" s="119" t="str">
        <f>ROUND(AH16+AG16+AD16,2)</f>
        <v>#REF!</v>
      </c>
      <c r="AL16" s="595"/>
      <c r="AM16" s="595"/>
      <c r="AN16" s="595"/>
      <c r="AO16" s="595"/>
      <c r="AP16" s="595"/>
      <c r="AQ16" s="595"/>
      <c r="AR16" s="595"/>
      <c r="AS16" s="595"/>
      <c r="AT16" s="595"/>
      <c r="AU16" s="595"/>
      <c r="AV16" s="595"/>
      <c r="AW16" s="595"/>
      <c r="AX16" s="595"/>
      <c r="AY16" s="595"/>
      <c r="AZ16" s="595"/>
      <c r="BA16" s="595"/>
      <c r="BB16" s="595"/>
      <c r="BC16" s="595"/>
      <c r="BD16" s="595"/>
      <c r="BE16" s="595"/>
      <c r="BF16" s="595"/>
      <c r="BG16" s="595"/>
      <c r="BH16" s="595"/>
      <c r="BI16" s="651"/>
      <c r="BJ16" s="651"/>
      <c r="BK16" s="651"/>
      <c r="BL16" s="651"/>
      <c r="BM16" s="651"/>
      <c r="BN16" s="651"/>
      <c r="BO16" s="651"/>
      <c r="BP16" s="651"/>
      <c r="BQ16" s="651"/>
      <c r="BR16" s="651"/>
      <c r="BS16" s="651"/>
      <c r="BT16" s="651"/>
    </row>
    <row r="17">
      <c r="A17" s="1313"/>
      <c r="B17" s="122" t="s">
        <v>1183</v>
      </c>
      <c r="C17" s="123" t="s">
        <v>1184</v>
      </c>
      <c r="D17" s="686" t="s">
        <v>40</v>
      </c>
      <c r="E17" s="687" t="str">
        <f>IFERROR(__xludf.DUMMYFUNCTION("IF($B$15:$B630="""","""",
  VLOOKUP(
    $B$15:$B630,
    QUERY(
      IMPORTRANGE(""1Ag27m9YF5mMfJh2E6NipJDFvPLlDI1p-s_1XEnzMHcc"",""Merge!F2:R""),
      ""select Col1, Col11"",
      0
    ),
    2,
    FALSE
  )
)
"),"#REF!")</f>
        <v>#REF!</v>
      </c>
      <c r="F17" s="126" t="str">
        <f>IFERROR(__xludf.DUMMYFUNCTION("IFERROR(REGEXEXTRACT(C17,""@\s*(\d+(?:\.\d+)?)\s*deg"")&amp;""°"","""")"),"3.5°")</f>
        <v>3.5°</v>
      </c>
      <c r="G17" s="700"/>
      <c r="H17" s="128" t="str">
        <f>IFERROR(__xludf.DUMMYFUNCTION("IFERROR(REGEXEXTRACT(C17, ""(\d*\.\d+)mm""), """")"),"0.55")</f>
        <v>0.55</v>
      </c>
      <c r="I17" s="701"/>
      <c r="J17" s="126" t="s">
        <v>14</v>
      </c>
      <c r="K17" s="126" t="str">
        <f>IFERROR(
  IF(B17="", "", VLOOKUP(B17, Data!$B$2:$K$905, 7, FALSE)),
  ""
)</f>
        <v/>
      </c>
      <c r="L17" s="131"/>
      <c r="M17" s="135" t="str">
        <f>L17*E17</f>
        <v>#REF!</v>
      </c>
      <c r="N17" s="151">
        <f>IFERROR(__xludf.DUMMYFUNCTION("IF(B17="""", """", IFERROR(1 / COS(RADIANS(REGEXEXTRACT(F17,""(\d+)""))), 1))"),1.001372345997921)</f>
        <v>1.001372346</v>
      </c>
      <c r="O17" s="169">
        <v>1.0</v>
      </c>
      <c r="P17" s="134">
        <v>1.0</v>
      </c>
      <c r="Q17" s="135" t="str">
        <f t="shared" ref="Q17:Q20" si="1">M17*N17*O17*P17</f>
        <v>#REF!</v>
      </c>
      <c r="R17" s="136" t="str">
        <f>IFERROR(
  IF(B17="", "", VLOOKUP(B17, Data!$B$2:$K$905, 9, FALSE)),
  ""
)</f>
        <v/>
      </c>
      <c r="S17" s="152" t="str">
        <f t="shared" ref="S17:S20" si="2">R17*Q17</f>
        <v>#REF!</v>
      </c>
      <c r="T17" s="690"/>
      <c r="U17" s="136" t="str">
        <f>IFERROR(
  IF(B17="", "", VLOOKUP(B17, Data!$B$2:$K$905, 10, FALSE)),
  ""
)
</f>
        <v/>
      </c>
      <c r="V17" s="691"/>
      <c r="W17" s="140" t="str">
        <f t="shared" ref="W17:W20" si="3">U17*Q17</f>
        <v>#REF!</v>
      </c>
      <c r="X17" s="692"/>
      <c r="Y17" s="693"/>
      <c r="Z17" s="694"/>
      <c r="AA17" s="695"/>
      <c r="AB17" s="354" t="str">
        <f t="shared" ref="AB17:AB21" si="4">W17+S17</f>
        <v>#REF!</v>
      </c>
      <c r="AC17" s="181"/>
      <c r="AD17" s="625"/>
      <c r="AE17" s="626"/>
      <c r="AF17" s="696"/>
      <c r="AG17" s="697"/>
      <c r="AH17" s="629"/>
      <c r="AI17" s="187"/>
      <c r="AJ17" s="630"/>
      <c r="AK17" s="630"/>
      <c r="AL17" s="595"/>
      <c r="AM17" s="595"/>
      <c r="AN17" s="595"/>
      <c r="AO17" s="595"/>
      <c r="AP17" s="595"/>
      <c r="AQ17" s="595"/>
      <c r="AR17" s="595"/>
      <c r="AS17" s="595"/>
      <c r="AT17" s="595"/>
      <c r="AU17" s="595"/>
      <c r="AV17" s="595"/>
      <c r="AW17" s="595"/>
      <c r="AX17" s="595"/>
      <c r="AY17" s="595"/>
      <c r="AZ17" s="595"/>
      <c r="BA17" s="595"/>
      <c r="BB17" s="595"/>
      <c r="BC17" s="595"/>
      <c r="BD17" s="595"/>
      <c r="BE17" s="595"/>
      <c r="BF17" s="595"/>
      <c r="BG17" s="595"/>
      <c r="BH17" s="595"/>
      <c r="BI17" s="651"/>
      <c r="BJ17" s="651"/>
      <c r="BK17" s="651"/>
      <c r="BL17" s="651"/>
      <c r="BM17" s="651"/>
      <c r="BN17" s="651"/>
      <c r="BO17" s="651"/>
      <c r="BP17" s="651"/>
      <c r="BQ17" s="651"/>
      <c r="BR17" s="651"/>
      <c r="BS17" s="651"/>
      <c r="BT17" s="651"/>
    </row>
    <row r="18">
      <c r="A18" s="1313"/>
      <c r="B18" s="122" t="s">
        <v>1185</v>
      </c>
      <c r="C18" s="123" t="str">
        <f>IFERROR(__xludf.DUMMYFUNCTION("IF($B$15:$B630="""","""",
  VLOOKUP(
    $B$15:$B630,
    QUERY(
      IMPORTRANGE(""1Ag27m9YF5mMfJh2E6NipJDFvPLlDI1p-s_1XEnzMHcc"",""Merge!F2:R""),
      ""select Col1, Col4"",
      0
    ),
    2,
    FALSE
  )
)
"),"#REF!")</f>
        <v>#REF!</v>
      </c>
      <c r="D18" s="686" t="s">
        <v>360</v>
      </c>
      <c r="E18" s="722"/>
      <c r="F18" s="126"/>
      <c r="G18" s="700"/>
      <c r="H18" s="700" t="str">
        <f>IFERROR(__xludf.DUMMYFUNCTION("IFERROR(REGEXEXTRACT(C18, ""(\d*\.\d+)mm""), """")"),"")</f>
        <v/>
      </c>
      <c r="I18" s="701"/>
      <c r="J18" s="126" t="s">
        <v>87</v>
      </c>
      <c r="K18" s="126" t="str">
        <f>IFERROR(
  IF(B18="", "", VLOOKUP(B18, Data!$B$2:$K$905, 7, FALSE)),
  ""
)</f>
        <v/>
      </c>
      <c r="L18" s="704"/>
      <c r="M18" s="150" t="str">
        <f>roundup(M17*6,0)+1</f>
        <v>#REF!</v>
      </c>
      <c r="N18" s="151">
        <f>N17</f>
        <v>1.001372346</v>
      </c>
      <c r="O18" s="169">
        <v>1.0</v>
      </c>
      <c r="P18" s="134">
        <v>1.0</v>
      </c>
      <c r="Q18" s="135" t="str">
        <f t="shared" si="1"/>
        <v>#REF!</v>
      </c>
      <c r="R18" s="136" t="str">
        <f>IFERROR(
  IF(B18="", "", VLOOKUP(B18, Data!$B$2:$K$905, 9, FALSE)),
  ""
)</f>
        <v/>
      </c>
      <c r="S18" s="152" t="str">
        <f t="shared" si="2"/>
        <v>#REF!</v>
      </c>
      <c r="T18" s="690"/>
      <c r="U18" s="136" t="str">
        <f>IFERROR(
  IF(B18="", "", VLOOKUP(B18, Data!$B$2:$K$905, 10, FALSE)),
  ""
)
</f>
        <v/>
      </c>
      <c r="V18" s="691"/>
      <c r="W18" s="140" t="str">
        <f t="shared" si="3"/>
        <v>#REF!</v>
      </c>
      <c r="X18" s="692"/>
      <c r="Y18" s="693"/>
      <c r="Z18" s="694"/>
      <c r="AA18" s="695"/>
      <c r="AB18" s="354" t="str">
        <f t="shared" si="4"/>
        <v>#REF!</v>
      </c>
      <c r="AC18" s="181"/>
      <c r="AD18" s="625"/>
      <c r="AE18" s="626"/>
      <c r="AF18" s="696"/>
      <c r="AG18" s="697"/>
      <c r="AH18" s="629"/>
      <c r="AI18" s="187"/>
      <c r="AJ18" s="630"/>
      <c r="AK18" s="630"/>
      <c r="AL18" s="595"/>
      <c r="AM18" s="595"/>
      <c r="AN18" s="595"/>
      <c r="AO18" s="595"/>
      <c r="AP18" s="595"/>
      <c r="AQ18" s="595"/>
      <c r="AR18" s="595"/>
      <c r="AS18" s="595"/>
      <c r="AT18" s="595"/>
      <c r="AU18" s="595"/>
      <c r="AV18" s="595"/>
      <c r="AW18" s="595"/>
      <c r="AX18" s="595"/>
      <c r="AY18" s="595"/>
      <c r="AZ18" s="595"/>
      <c r="BA18" s="595"/>
      <c r="BB18" s="595"/>
      <c r="BC18" s="595"/>
      <c r="BD18" s="595"/>
      <c r="BE18" s="595"/>
      <c r="BF18" s="595"/>
      <c r="BG18" s="595"/>
      <c r="BH18" s="595"/>
      <c r="BI18" s="651"/>
      <c r="BJ18" s="651"/>
      <c r="BK18" s="651"/>
      <c r="BL18" s="651"/>
      <c r="BM18" s="651"/>
      <c r="BN18" s="651"/>
      <c r="BO18" s="651"/>
      <c r="BP18" s="651"/>
      <c r="BQ18" s="651"/>
      <c r="BR18" s="651"/>
      <c r="BS18" s="651"/>
      <c r="BT18" s="651"/>
    </row>
    <row r="19">
      <c r="A19" s="1313"/>
      <c r="B19" s="122" t="s">
        <v>1186</v>
      </c>
      <c r="C19" s="123" t="str">
        <f>IFERROR(__xludf.DUMMYFUNCTION("IF($B$15:$B631="""","""",
  VLOOKUP(
    $B$15:$B631,
    QUERY(
      IMPORTRANGE(""1Ag27m9YF5mMfJh2E6NipJDFvPLlDI1p-s_1XEnzMHcc"",""Merge!F2:R""),
      ""select Col1, Col4"",
      0
    ),
    2,
    FALSE
  )
)
"),"#REF!")</f>
        <v>#REF!</v>
      </c>
      <c r="D19" s="686" t="s">
        <v>615</v>
      </c>
      <c r="E19" s="722"/>
      <c r="F19" s="126"/>
      <c r="G19" s="700"/>
      <c r="H19" s="700"/>
      <c r="I19" s="701"/>
      <c r="J19" s="126" t="s">
        <v>87</v>
      </c>
      <c r="K19" s="126" t="str">
        <f>IFERROR(
  IF(B19="", "", VLOOKUP(B19, Data!$B$2:$K$905, 7, FALSE)),
  ""
)</f>
        <v/>
      </c>
      <c r="L19" s="704"/>
      <c r="M19" s="150" t="str">
        <f t="shared" ref="M19:N19" si="5">M18</f>
        <v>#REF!</v>
      </c>
      <c r="N19" s="151">
        <f t="shared" si="5"/>
        <v>1.001372346</v>
      </c>
      <c r="O19" s="169">
        <v>1.0</v>
      </c>
      <c r="P19" s="156">
        <v>1.0</v>
      </c>
      <c r="Q19" s="135" t="str">
        <f t="shared" si="1"/>
        <v>#REF!</v>
      </c>
      <c r="R19" s="136" t="str">
        <f>IFERROR(
  IF(B19="", "", VLOOKUP(B19, Data!$B$2:$K$905, 9, FALSE)),
  ""
)</f>
        <v/>
      </c>
      <c r="S19" s="152" t="str">
        <f t="shared" si="2"/>
        <v>#REF!</v>
      </c>
      <c r="T19" s="690"/>
      <c r="U19" s="136" t="str">
        <f>IFERROR(
  IF(B19="", "", VLOOKUP(B19, Data!$B$2:$K$905, 10, FALSE)),
  ""
)
</f>
        <v/>
      </c>
      <c r="V19" s="691"/>
      <c r="W19" s="140" t="str">
        <f t="shared" si="3"/>
        <v>#REF!</v>
      </c>
      <c r="X19" s="692"/>
      <c r="Y19" s="693"/>
      <c r="Z19" s="694"/>
      <c r="AA19" s="695"/>
      <c r="AB19" s="354" t="str">
        <f t="shared" si="4"/>
        <v>#REF!</v>
      </c>
      <c r="AC19" s="181"/>
      <c r="AD19" s="625"/>
      <c r="AE19" s="626"/>
      <c r="AF19" s="696"/>
      <c r="AG19" s="697"/>
      <c r="AH19" s="629"/>
      <c r="AI19" s="187"/>
      <c r="AJ19" s="630"/>
      <c r="AK19" s="630"/>
      <c r="AL19" s="595"/>
      <c r="AM19" s="595"/>
      <c r="AN19" s="595"/>
      <c r="AO19" s="595"/>
      <c r="AP19" s="595"/>
      <c r="AQ19" s="595"/>
      <c r="AR19" s="595"/>
      <c r="AS19" s="595"/>
      <c r="AT19" s="595"/>
      <c r="AU19" s="595"/>
      <c r="AV19" s="595"/>
      <c r="AW19" s="595"/>
      <c r="AX19" s="595"/>
      <c r="AY19" s="595"/>
      <c r="AZ19" s="595"/>
      <c r="BA19" s="595"/>
      <c r="BB19" s="595"/>
      <c r="BC19" s="595"/>
      <c r="BD19" s="595"/>
      <c r="BE19" s="595"/>
      <c r="BF19" s="595"/>
      <c r="BG19" s="595"/>
      <c r="BH19" s="595"/>
      <c r="BI19" s="651"/>
      <c r="BJ19" s="651"/>
      <c r="BK19" s="651"/>
      <c r="BL19" s="651"/>
      <c r="BM19" s="651"/>
      <c r="BN19" s="651"/>
      <c r="BO19" s="651"/>
      <c r="BP19" s="651"/>
      <c r="BQ19" s="651"/>
      <c r="BR19" s="651"/>
      <c r="BS19" s="651"/>
      <c r="BT19" s="651"/>
    </row>
    <row r="20">
      <c r="A20" s="1313"/>
      <c r="B20" s="122" t="s">
        <v>1187</v>
      </c>
      <c r="C20" s="123" t="str">
        <f>IFERROR(__xludf.DUMMYFUNCTION("IF($B$15:$B632="""","""",
  VLOOKUP(
    $B$15:$B632,
    QUERY(
      IMPORTRANGE(""1Ag27m9YF5mMfJh2E6NipJDFvPLlDI1p-s_1XEnzMHcc"",""Merge!F2:R""),
      ""select Col1, Col4"",
      0
    ),
    2,
    FALSE
  )
)
"),"#REF!")</f>
        <v>#REF!</v>
      </c>
      <c r="D20" s="686" t="s">
        <v>615</v>
      </c>
      <c r="E20" s="722"/>
      <c r="F20" s="126"/>
      <c r="G20" s="700"/>
      <c r="H20" s="700"/>
      <c r="I20" s="701"/>
      <c r="J20" s="126" t="s">
        <v>87</v>
      </c>
      <c r="K20" s="126" t="str">
        <f>IFERROR(
  IF(B20="", "", VLOOKUP(B20, Data!$B$2:$K$905, 7, FALSE)),
  ""
)</f>
        <v/>
      </c>
      <c r="L20" s="704"/>
      <c r="M20" s="150" t="str">
        <f t="shared" ref="M20:N20" si="6">M19</f>
        <v>#REF!</v>
      </c>
      <c r="N20" s="151">
        <f t="shared" si="6"/>
        <v>1.001372346</v>
      </c>
      <c r="O20" s="169">
        <v>1.0</v>
      </c>
      <c r="P20" s="156">
        <v>1.0</v>
      </c>
      <c r="Q20" s="135" t="str">
        <f t="shared" si="1"/>
        <v>#REF!</v>
      </c>
      <c r="R20" s="136" t="str">
        <f>IFERROR(
  IF(B20="", "", VLOOKUP(B20, Data!$B$2:$K$905, 9, FALSE)),
  ""
)</f>
        <v/>
      </c>
      <c r="S20" s="152" t="str">
        <f t="shared" si="2"/>
        <v>#REF!</v>
      </c>
      <c r="T20" s="690"/>
      <c r="U20" s="136" t="str">
        <f>IFERROR(
  IF(B20="", "", VLOOKUP(B20, Data!$B$2:$K$905, 10, FALSE)),
  ""
)
</f>
        <v/>
      </c>
      <c r="V20" s="691"/>
      <c r="W20" s="140" t="str">
        <f t="shared" si="3"/>
        <v>#REF!</v>
      </c>
      <c r="X20" s="692"/>
      <c r="Y20" s="693"/>
      <c r="Z20" s="694"/>
      <c r="AA20" s="695"/>
      <c r="AB20" s="354" t="str">
        <f t="shared" si="4"/>
        <v>#REF!</v>
      </c>
      <c r="AC20" s="181"/>
      <c r="AD20" s="625"/>
      <c r="AE20" s="626"/>
      <c r="AF20" s="696"/>
      <c r="AG20" s="697"/>
      <c r="AH20" s="629"/>
      <c r="AI20" s="187"/>
      <c r="AJ20" s="630"/>
      <c r="AK20" s="630"/>
      <c r="AL20" s="595"/>
      <c r="AM20" s="595"/>
      <c r="AN20" s="595"/>
      <c r="AO20" s="595"/>
      <c r="AP20" s="595"/>
      <c r="AQ20" s="595"/>
      <c r="AR20" s="595"/>
      <c r="AS20" s="595"/>
      <c r="AT20" s="595"/>
      <c r="AU20" s="595"/>
      <c r="AV20" s="595"/>
      <c r="AW20" s="595"/>
      <c r="AX20" s="595"/>
      <c r="AY20" s="595"/>
      <c r="AZ20" s="595"/>
      <c r="BA20" s="595"/>
      <c r="BB20" s="595"/>
      <c r="BC20" s="595"/>
      <c r="BD20" s="595"/>
      <c r="BE20" s="595"/>
      <c r="BF20" s="595"/>
      <c r="BG20" s="595"/>
      <c r="BH20" s="595"/>
      <c r="BI20" s="651"/>
      <c r="BJ20" s="651"/>
      <c r="BK20" s="651"/>
      <c r="BL20" s="651"/>
      <c r="BM20" s="651"/>
      <c r="BN20" s="651"/>
      <c r="BO20" s="651"/>
      <c r="BP20" s="651"/>
      <c r="BQ20" s="651"/>
      <c r="BR20" s="651"/>
      <c r="BS20" s="651"/>
      <c r="BT20" s="651"/>
    </row>
    <row r="21">
      <c r="A21" s="1313"/>
      <c r="B21" s="122"/>
      <c r="C21" s="767"/>
      <c r="D21" s="686"/>
      <c r="E21" s="722"/>
      <c r="F21" s="126"/>
      <c r="G21" s="700"/>
      <c r="H21" s="700"/>
      <c r="I21" s="701"/>
      <c r="J21" s="126"/>
      <c r="K21" s="126"/>
      <c r="L21" s="704"/>
      <c r="M21" s="150"/>
      <c r="N21" s="151"/>
      <c r="O21" s="169"/>
      <c r="P21" s="134"/>
      <c r="Q21" s="135"/>
      <c r="R21" s="136" t="str">
        <f>IFERROR(
  IF(B21="", "", VLOOKUP(B21, Data!$B$2:$K$905, 9, FALSE)),
  ""
)</f>
        <v/>
      </c>
      <c r="S21" s="152"/>
      <c r="T21" s="690"/>
      <c r="U21" s="136" t="str">
        <f>IFERROR(
  IF(B21="", "", VLOOKUP(B21, Data!$B$2:$K$905, 10, FALSE)),
  ""
)
</f>
        <v/>
      </c>
      <c r="V21" s="691"/>
      <c r="W21" s="140"/>
      <c r="X21" s="692"/>
      <c r="Y21" s="693"/>
      <c r="Z21" s="694"/>
      <c r="AA21" s="695"/>
      <c r="AB21" s="354">
        <f t="shared" si="4"/>
        <v>0</v>
      </c>
      <c r="AC21" s="181"/>
      <c r="AD21" s="705"/>
      <c r="AE21" s="706"/>
      <c r="AF21" s="707"/>
      <c r="AG21" s="708"/>
      <c r="AH21" s="709"/>
      <c r="AI21" s="187"/>
      <c r="AJ21" s="710"/>
      <c r="AK21" s="710"/>
      <c r="AL21" s="595"/>
      <c r="AM21" s="595"/>
      <c r="AN21" s="595"/>
      <c r="AO21" s="595"/>
      <c r="AP21" s="595"/>
      <c r="AQ21" s="595"/>
      <c r="AR21" s="595"/>
      <c r="AS21" s="595"/>
      <c r="AT21" s="595"/>
      <c r="AU21" s="595"/>
      <c r="AV21" s="595"/>
      <c r="AW21" s="595"/>
      <c r="AX21" s="595"/>
      <c r="AY21" s="595"/>
      <c r="AZ21" s="595"/>
      <c r="BA21" s="595"/>
      <c r="BB21" s="595"/>
      <c r="BC21" s="595"/>
      <c r="BD21" s="595"/>
      <c r="BE21" s="595"/>
      <c r="BF21" s="595"/>
      <c r="BG21" s="595"/>
      <c r="BH21" s="595"/>
      <c r="BI21" s="651"/>
      <c r="BJ21" s="651"/>
      <c r="BK21" s="651"/>
      <c r="BL21" s="651"/>
      <c r="BM21" s="651"/>
      <c r="BN21" s="651"/>
      <c r="BO21" s="651"/>
      <c r="BP21" s="651"/>
      <c r="BQ21" s="651"/>
      <c r="BR21" s="651"/>
      <c r="BS21" s="651"/>
      <c r="BT21" s="651"/>
    </row>
    <row r="22">
      <c r="A22" s="1313">
        <v>1.0</v>
      </c>
      <c r="B22" s="747"/>
      <c r="C22" s="103" t="s">
        <v>1188</v>
      </c>
      <c r="D22" s="748"/>
      <c r="E22" s="749"/>
      <c r="F22" s="1405"/>
      <c r="G22" s="104"/>
      <c r="H22" s="104"/>
      <c r="I22" s="104"/>
      <c r="J22" s="104"/>
      <c r="K22" s="104"/>
      <c r="L22" s="106" t="str">
        <f>Q22</f>
        <v>#REF!</v>
      </c>
      <c r="M22" s="105"/>
      <c r="N22" s="107"/>
      <c r="O22" s="105"/>
      <c r="P22" s="104"/>
      <c r="Q22" s="106" t="str">
        <f>Q23</f>
        <v>#REF!</v>
      </c>
      <c r="R22" s="108" t="str">
        <f>IFERROR(
  IF(B22="", "", VLOOKUP(B22, Data!$B$2:$K$905, 9, FALSE)),
  ""
)</f>
        <v/>
      </c>
      <c r="S22" s="682">
        <f>IFERROR(T22/Q22, 0)</f>
        <v>0</v>
      </c>
      <c r="T22" s="109" t="str">
        <f>SUM(S23:S28)</f>
        <v>#REF!</v>
      </c>
      <c r="U22" s="108" t="str">
        <f>IFERROR(
  IF(B22="", "", VLOOKUP(B22, Data!$B$2:$K$905, 10, FALSE)),
  ""
)
</f>
        <v/>
      </c>
      <c r="V22" s="109" t="str">
        <f>iferror(W22/Q22,"")</f>
        <v/>
      </c>
      <c r="W22" s="110" t="str">
        <f>SUM(W23:W28)</f>
        <v>#REF!</v>
      </c>
      <c r="X22" s="111" t="str">
        <f>W22/$AC$229/$W$236/$X$226</f>
        <v>#REF!</v>
      </c>
      <c r="Y22" s="112" t="str">
        <f>(T22+W22)=(SUM(AB23:AB28))</f>
        <v>#REF!</v>
      </c>
      <c r="Z22" s="113" t="str">
        <f>(T22+W22)-(SUM(AB23:AB28))</f>
        <v>#REF!</v>
      </c>
      <c r="AA22" s="5"/>
      <c r="AB22" s="5"/>
      <c r="AC22" s="33"/>
      <c r="AD22" s="114" t="str">
        <f>W22+T22</f>
        <v>#REF!</v>
      </c>
      <c r="AE22" s="115" t="str">
        <f>AD22</f>
        <v>#REF!</v>
      </c>
      <c r="AF22" s="116" t="str">
        <f>AE22/#REF!</f>
        <v>#REF!</v>
      </c>
      <c r="AG22" s="683" t="str">
        <f>AF22*$AG$211</f>
        <v>#REF!</v>
      </c>
      <c r="AH22" s="118" t="str">
        <f>AF22*$AG$214</f>
        <v>#REF!</v>
      </c>
      <c r="AI22" s="39"/>
      <c r="AJ22" s="119" t="str">
        <f>ROUND(AK22/L22,2)</f>
        <v>#REF!</v>
      </c>
      <c r="AK22" s="119" t="str">
        <f>ROUND(AH22+AG22+AD22,2)</f>
        <v>#REF!</v>
      </c>
      <c r="AL22" s="5"/>
      <c r="AM22" s="5"/>
      <c r="AN22" s="5"/>
      <c r="AO22" s="5"/>
      <c r="AP22" s="5"/>
      <c r="AQ22" s="5"/>
      <c r="AR22" s="5"/>
      <c r="AS22" s="5"/>
      <c r="AT22" s="5"/>
      <c r="AU22" s="5"/>
      <c r="AV22" s="5"/>
      <c r="AW22" s="5"/>
      <c r="AX22" s="5"/>
      <c r="AY22" s="5"/>
      <c r="AZ22" s="5"/>
      <c r="BA22" s="5"/>
      <c r="BB22" s="5"/>
      <c r="BC22" s="5"/>
      <c r="BD22" s="5"/>
      <c r="BE22" s="5"/>
      <c r="BF22" s="5"/>
      <c r="BG22" s="5"/>
      <c r="BH22" s="5"/>
      <c r="BI22" s="260"/>
      <c r="BJ22" s="260"/>
      <c r="BK22" s="260"/>
      <c r="BL22" s="260"/>
      <c r="BM22" s="260"/>
      <c r="BN22" s="260"/>
      <c r="BO22" s="260"/>
      <c r="BP22" s="260"/>
      <c r="BQ22" s="260"/>
      <c r="BR22" s="260"/>
      <c r="BS22" s="260"/>
      <c r="BT22" s="260"/>
    </row>
    <row r="23">
      <c r="A23" s="1313"/>
      <c r="B23" s="122" t="s">
        <v>1189</v>
      </c>
      <c r="C23" s="123" t="s">
        <v>1190</v>
      </c>
      <c r="D23" s="148" t="s">
        <v>412</v>
      </c>
      <c r="E23" s="687" t="str">
        <f>IFERROR(__xludf.DUMMYFUNCTION("IF($B$15:$B636="""","""",
  VLOOKUP(
    $B$15:$B636,
    QUERY(
      IMPORTRANGE(""1Ag27m9YF5mMfJh2E6NipJDFvPLlDI1p-s_1XEnzMHcc"",""Merge!F2:R""),
      ""select Col1, Col11"",
      0
    ),
    2,
    FALSE
  )
)
"),"#REF!")</f>
        <v>#REF!</v>
      </c>
      <c r="F23" s="126" t="str">
        <f>IFERROR(__xludf.DUMMYFUNCTION("IFERROR(REGEXEXTRACT(C23,""@\s*(\d+(?:\.\d+)?)\s*deg"")&amp;""°"","""")"),"3.5°")</f>
        <v>3.5°</v>
      </c>
      <c r="G23" s="127"/>
      <c r="H23" s="128" t="str">
        <f>IFERROR(__xludf.DUMMYFUNCTION("IFERROR(REGEXEXTRACT(C23, ""(\d*\.\d+)mm""), """")"),"")</f>
        <v/>
      </c>
      <c r="I23" s="129"/>
      <c r="J23" s="126" t="s">
        <v>14</v>
      </c>
      <c r="K23" s="126" t="str">
        <f>IFERROR(
  IF(B23="", "", VLOOKUP(B23, Data!$B$2:$K$905, 7, FALSE)),
  ""
)</f>
        <v/>
      </c>
      <c r="L23" s="131"/>
      <c r="M23" s="135" t="str">
        <f>L23*E23</f>
        <v>#REF!</v>
      </c>
      <c r="N23" s="151">
        <f>IFERROR(__xludf.DUMMYFUNCTION("IF(B23="""", """", IFERROR(1 / COS(RADIANS(REGEXEXTRACT(F23,""(\d+)""))), 1))"),1.001372345997921)</f>
        <v>1.001372346</v>
      </c>
      <c r="O23" s="169">
        <v>1.0</v>
      </c>
      <c r="P23" s="134">
        <v>1.0</v>
      </c>
      <c r="Q23" s="135" t="str">
        <f t="shared" ref="Q23:Q27" si="7">M23*N23*O23*P23</f>
        <v>#REF!</v>
      </c>
      <c r="R23" s="136" t="str">
        <f>IFERROR(
  IF(B23="", "", VLOOKUP(B23, Data!$B$2:$K$905, 9, FALSE)),
  ""
)</f>
        <v/>
      </c>
      <c r="S23" s="152" t="str">
        <f t="shared" ref="S23:S27" si="8">R23*Q23</f>
        <v>#REF!</v>
      </c>
      <c r="T23" s="138"/>
      <c r="U23" s="136" t="str">
        <f>IFERROR(
  IF(B23="", "", VLOOKUP(B23, Data!$B$2:$K$905, 10, FALSE)),
  ""
)
</f>
        <v/>
      </c>
      <c r="V23" s="139"/>
      <c r="W23" s="140" t="str">
        <f t="shared" ref="W23:W27" si="9">U23*Q23</f>
        <v>#REF!</v>
      </c>
      <c r="X23" s="159"/>
      <c r="Y23" s="165"/>
      <c r="Z23" s="166"/>
      <c r="AA23" s="1406"/>
      <c r="AB23" s="354" t="str">
        <f t="shared" ref="AB23:AB25" si="10">W23+S23</f>
        <v>#REF!</v>
      </c>
      <c r="AC23" s="33"/>
      <c r="AD23" s="65"/>
      <c r="AE23" s="66"/>
      <c r="AF23" s="144"/>
      <c r="AG23" s="68"/>
      <c r="AH23" s="69"/>
      <c r="AI23" s="39"/>
      <c r="AJ23" s="70"/>
      <c r="AK23" s="70"/>
      <c r="AL23" s="5"/>
      <c r="AM23" s="5"/>
      <c r="AN23" s="5"/>
      <c r="AO23" s="5"/>
      <c r="AP23" s="5"/>
      <c r="AQ23" s="5"/>
      <c r="AR23" s="5"/>
      <c r="AS23" s="5"/>
      <c r="AT23" s="5"/>
      <c r="AU23" s="5"/>
      <c r="AV23" s="5"/>
      <c r="AW23" s="5"/>
      <c r="AX23" s="5"/>
      <c r="AY23" s="5"/>
      <c r="AZ23" s="5"/>
      <c r="BA23" s="5"/>
      <c r="BB23" s="5"/>
      <c r="BC23" s="5"/>
      <c r="BD23" s="5"/>
      <c r="BE23" s="5"/>
      <c r="BF23" s="5"/>
      <c r="BG23" s="5"/>
      <c r="BH23" s="5"/>
      <c r="BI23" s="260"/>
      <c r="BJ23" s="260"/>
      <c r="BK23" s="260"/>
      <c r="BL23" s="260"/>
      <c r="BM23" s="260"/>
      <c r="BN23" s="260"/>
      <c r="BO23" s="260"/>
      <c r="BP23" s="260"/>
      <c r="BQ23" s="260"/>
      <c r="BR23" s="260"/>
      <c r="BS23" s="260"/>
      <c r="BT23" s="260"/>
    </row>
    <row r="24">
      <c r="A24" s="1313"/>
      <c r="B24" s="122" t="s">
        <v>554</v>
      </c>
      <c r="C24" s="123" t="str">
        <f>IFERROR(__xludf.DUMMYFUNCTION("IF($B$15:$B636="""","""",
  VLOOKUP(
    $B$15:$B636,
    QUERY(
      IMPORTRANGE(""1Ag27m9YF5mMfJh2E6NipJDFvPLlDI1p-s_1XEnzMHcc"",""Merge!F2:R""),
      ""select Col1, Col4"",
      0
    ),
    2,
    FALSE
  )
)
"),"#REF!")</f>
        <v>#REF!</v>
      </c>
      <c r="D24" s="148" t="s">
        <v>413</v>
      </c>
      <c r="E24" s="752"/>
      <c r="F24" s="1407"/>
      <c r="G24" s="127"/>
      <c r="H24" s="127" t="str">
        <f>IFERROR(__xludf.DUMMYFUNCTION("IFERROR(REGEXEXTRACT(C24, ""(\d*\.\d+)mm""), """")"),"")</f>
        <v/>
      </c>
      <c r="I24" s="129"/>
      <c r="J24" s="126" t="s">
        <v>87</v>
      </c>
      <c r="K24" s="126" t="str">
        <f>IFERROR(
  IF(B24="", "", VLOOKUP(B24, Data!$B$2:$K$905, 7, FALSE)),
  ""
)</f>
        <v/>
      </c>
      <c r="L24" s="163"/>
      <c r="M24" s="150" t="str">
        <f>roundup(M23*6,0)+1</f>
        <v>#REF!</v>
      </c>
      <c r="N24" s="151">
        <f t="shared" ref="N24:N27" si="11">N23</f>
        <v>1.001372346</v>
      </c>
      <c r="O24" s="169">
        <v>1.0</v>
      </c>
      <c r="P24" s="134">
        <v>1.0</v>
      </c>
      <c r="Q24" s="135" t="str">
        <f t="shared" si="7"/>
        <v>#REF!</v>
      </c>
      <c r="R24" s="136" t="str">
        <f>IFERROR(
  IF(B24="", "", VLOOKUP(B24, Data!$B$2:$K$905, 9, FALSE)),
  ""
)</f>
        <v/>
      </c>
      <c r="S24" s="152" t="str">
        <f t="shared" si="8"/>
        <v>#REF!</v>
      </c>
      <c r="T24" s="138"/>
      <c r="U24" s="108" t="str">
        <f>IFERROR(
  IF(B24="", "", VLOOKUP(B24, Data!$B$2:$K$905, 10, FALSE)),
  ""
)
</f>
        <v/>
      </c>
      <c r="V24" s="139"/>
      <c r="W24" s="140" t="str">
        <f t="shared" si="9"/>
        <v>#REF!</v>
      </c>
      <c r="X24" s="159"/>
      <c r="Y24" s="165"/>
      <c r="Z24" s="166"/>
      <c r="AA24" s="1406"/>
      <c r="AB24" s="354" t="str">
        <f t="shared" si="10"/>
        <v>#REF!</v>
      </c>
      <c r="AC24" s="33"/>
      <c r="AD24" s="65"/>
      <c r="AE24" s="66"/>
      <c r="AF24" s="144"/>
      <c r="AG24" s="68"/>
      <c r="AH24" s="69"/>
      <c r="AI24" s="39"/>
      <c r="AJ24" s="70"/>
      <c r="AK24" s="70"/>
      <c r="AL24" s="5"/>
      <c r="AM24" s="5"/>
      <c r="AN24" s="5"/>
      <c r="AO24" s="5"/>
      <c r="AP24" s="5"/>
      <c r="AQ24" s="5"/>
      <c r="AR24" s="5"/>
      <c r="AS24" s="5"/>
      <c r="AT24" s="5"/>
      <c r="AU24" s="5"/>
      <c r="AV24" s="5"/>
      <c r="AW24" s="5"/>
      <c r="AX24" s="5"/>
      <c r="AY24" s="5"/>
      <c r="AZ24" s="5"/>
      <c r="BA24" s="5"/>
      <c r="BB24" s="5"/>
      <c r="BC24" s="5"/>
      <c r="BD24" s="5"/>
      <c r="BE24" s="5"/>
      <c r="BF24" s="5"/>
      <c r="BG24" s="5"/>
      <c r="BH24" s="5"/>
      <c r="BI24" s="260"/>
      <c r="BJ24" s="260"/>
      <c r="BK24" s="260"/>
      <c r="BL24" s="260"/>
      <c r="BM24" s="260"/>
      <c r="BN24" s="260"/>
      <c r="BO24" s="260"/>
      <c r="BP24" s="260"/>
      <c r="BQ24" s="260"/>
      <c r="BR24" s="260"/>
      <c r="BS24" s="260"/>
      <c r="BT24" s="260"/>
    </row>
    <row r="25">
      <c r="A25" s="1313"/>
      <c r="B25" s="122" t="s">
        <v>555</v>
      </c>
      <c r="C25" s="123" t="str">
        <f>IFERROR(__xludf.DUMMYFUNCTION("IF($B$15:$B637="""","""",
  VLOOKUP(
    $B$15:$B637,
    QUERY(
      IMPORTRANGE(""1Ag27m9YF5mMfJh2E6NipJDFvPLlDI1p-s_1XEnzMHcc"",""Merge!F2:R""),
      ""select Col1, Col4"",
      0
    ),
    2,
    FALSE
  )
)
"),"#REF!")</f>
        <v>#REF!</v>
      </c>
      <c r="D25" s="148" t="s">
        <v>414</v>
      </c>
      <c r="E25" s="752"/>
      <c r="F25" s="1407"/>
      <c r="G25" s="127"/>
      <c r="H25" s="127"/>
      <c r="I25" s="129"/>
      <c r="J25" s="126" t="s">
        <v>87</v>
      </c>
      <c r="K25" s="126" t="str">
        <f>IFERROR(
  IF(B25="", "", VLOOKUP(B25, Data!$B$2:$K$905, 7, FALSE)),
  ""
)</f>
        <v/>
      </c>
      <c r="L25" s="163"/>
      <c r="M25" s="730">
        <v>115.0</v>
      </c>
      <c r="N25" s="151">
        <f t="shared" si="11"/>
        <v>1.001372346</v>
      </c>
      <c r="O25" s="169">
        <v>1.0</v>
      </c>
      <c r="P25" s="134">
        <v>1.0</v>
      </c>
      <c r="Q25" s="135">
        <f t="shared" si="7"/>
        <v>115.1578198</v>
      </c>
      <c r="R25" s="136" t="str">
        <f>IFERROR(
  IF(B25="", "", VLOOKUP(B25, Data!$B$2:$K$905, 9, FALSE)),
  ""
)</f>
        <v/>
      </c>
      <c r="S25" s="152">
        <f t="shared" si="8"/>
        <v>0</v>
      </c>
      <c r="T25" s="138"/>
      <c r="U25" s="108" t="str">
        <f>IFERROR(
  IF(B25="", "", VLOOKUP(B25, Data!$B$2:$K$905, 10, FALSE)),
  ""
)
</f>
        <v/>
      </c>
      <c r="V25" s="139"/>
      <c r="W25" s="140">
        <f t="shared" si="9"/>
        <v>0</v>
      </c>
      <c r="X25" s="159"/>
      <c r="Y25" s="165"/>
      <c r="Z25" s="166"/>
      <c r="AA25" s="1406"/>
      <c r="AB25" s="354">
        <f t="shared" si="10"/>
        <v>0</v>
      </c>
      <c r="AC25" s="33"/>
      <c r="AD25" s="65"/>
      <c r="AE25" s="66"/>
      <c r="AF25" s="144"/>
      <c r="AG25" s="68"/>
      <c r="AH25" s="69"/>
      <c r="AI25" s="39"/>
      <c r="AJ25" s="70"/>
      <c r="AK25" s="70"/>
      <c r="AL25" s="5"/>
      <c r="AM25" s="5"/>
      <c r="AN25" s="5"/>
      <c r="AO25" s="5"/>
      <c r="AP25" s="5"/>
      <c r="AQ25" s="5"/>
      <c r="AR25" s="5"/>
      <c r="AS25" s="5"/>
      <c r="AT25" s="5"/>
      <c r="AU25" s="5"/>
      <c r="AV25" s="5"/>
      <c r="AW25" s="5"/>
      <c r="AX25" s="5"/>
      <c r="AY25" s="5"/>
      <c r="AZ25" s="5"/>
      <c r="BA25" s="5"/>
      <c r="BB25" s="5"/>
      <c r="BC25" s="5"/>
      <c r="BD25" s="5"/>
      <c r="BE25" s="5"/>
      <c r="BF25" s="5"/>
      <c r="BG25" s="5"/>
      <c r="BH25" s="5"/>
      <c r="BI25" s="260"/>
      <c r="BJ25" s="260"/>
      <c r="BK25" s="260"/>
      <c r="BL25" s="260"/>
      <c r="BM25" s="260"/>
      <c r="BN25" s="260"/>
      <c r="BO25" s="260"/>
      <c r="BP25" s="260"/>
      <c r="BQ25" s="260"/>
      <c r="BR25" s="260"/>
      <c r="BS25" s="260"/>
      <c r="BT25" s="260"/>
    </row>
    <row r="26">
      <c r="A26" s="1313"/>
      <c r="B26" s="122" t="s">
        <v>556</v>
      </c>
      <c r="C26" s="123" t="str">
        <f>IFERROR(__xludf.DUMMYFUNCTION("IF($B$15:$B638="""","""",
  VLOOKUP(
    $B$15:$B638,
    QUERY(
      IMPORTRANGE(""1Ag27m9YF5mMfJh2E6NipJDFvPLlDI1p-s_1XEnzMHcc"",""Merge!F2:R""),
      ""select Col1, Col4"",
      0
    ),
    2,
    FALSE
  )
)
"),"#REF!")</f>
        <v>#REF!</v>
      </c>
      <c r="D26" s="148" t="s">
        <v>416</v>
      </c>
      <c r="E26" s="752"/>
      <c r="F26" s="1407"/>
      <c r="G26" s="127"/>
      <c r="H26" s="127"/>
      <c r="I26" s="129"/>
      <c r="J26" s="126" t="s">
        <v>87</v>
      </c>
      <c r="K26" s="126" t="str">
        <f>IFERROR(
  IF(B26="", "", VLOOKUP(B26, Data!$B$2:$K$905, 7, FALSE)),
  ""
)</f>
        <v/>
      </c>
      <c r="L26" s="163"/>
      <c r="M26" s="150">
        <f>ROUNDUP(M25/0.6,0)+1</f>
        <v>193</v>
      </c>
      <c r="N26" s="151">
        <f t="shared" si="11"/>
        <v>1.001372346</v>
      </c>
      <c r="O26" s="169">
        <v>1.0</v>
      </c>
      <c r="P26" s="134">
        <v>1.0</v>
      </c>
      <c r="Q26" s="135">
        <f t="shared" si="7"/>
        <v>193.2648628</v>
      </c>
      <c r="R26" s="136" t="str">
        <f>IFERROR(
  IF(B26="", "", VLOOKUP(B26, Data!$B$2:$K$905, 9, FALSE)),
  ""
)</f>
        <v/>
      </c>
      <c r="S26" s="152">
        <f t="shared" si="8"/>
        <v>0</v>
      </c>
      <c r="T26" s="138"/>
      <c r="U26" s="108" t="str">
        <f>IFERROR(
  IF(B26="", "", VLOOKUP(B26, Data!$B$2:$K$905, 10, FALSE)),
  ""
)
</f>
        <v/>
      </c>
      <c r="V26" s="139"/>
      <c r="W26" s="140">
        <f t="shared" si="9"/>
        <v>0</v>
      </c>
      <c r="X26" s="159"/>
      <c r="Y26" s="165"/>
      <c r="Z26" s="166"/>
      <c r="AA26" s="1406"/>
      <c r="AB26" s="354"/>
      <c r="AC26" s="33"/>
      <c r="AD26" s="65"/>
      <c r="AE26" s="66"/>
      <c r="AF26" s="144"/>
      <c r="AG26" s="68"/>
      <c r="AH26" s="69"/>
      <c r="AI26" s="39"/>
      <c r="AJ26" s="70"/>
      <c r="AK26" s="70"/>
      <c r="AL26" s="5"/>
      <c r="AM26" s="5"/>
      <c r="AN26" s="5"/>
      <c r="AO26" s="5"/>
      <c r="AP26" s="5"/>
      <c r="AQ26" s="5"/>
      <c r="AR26" s="5"/>
      <c r="AS26" s="5"/>
      <c r="AT26" s="5"/>
      <c r="AU26" s="5"/>
      <c r="AV26" s="5"/>
      <c r="AW26" s="5"/>
      <c r="AX26" s="5"/>
      <c r="AY26" s="5"/>
      <c r="AZ26" s="5"/>
      <c r="BA26" s="5"/>
      <c r="BB26" s="5"/>
      <c r="BC26" s="5"/>
      <c r="BD26" s="5"/>
      <c r="BE26" s="5"/>
      <c r="BF26" s="5"/>
      <c r="BG26" s="5"/>
      <c r="BH26" s="5"/>
      <c r="BI26" s="260"/>
      <c r="BJ26" s="260"/>
      <c r="BK26" s="260"/>
      <c r="BL26" s="260"/>
      <c r="BM26" s="260"/>
      <c r="BN26" s="260"/>
      <c r="BO26" s="260"/>
      <c r="BP26" s="260"/>
      <c r="BQ26" s="260"/>
      <c r="BR26" s="260"/>
      <c r="BS26" s="260"/>
      <c r="BT26" s="260"/>
    </row>
    <row r="27">
      <c r="A27" s="1313"/>
      <c r="B27" s="122" t="s">
        <v>557</v>
      </c>
      <c r="C27" s="123" t="str">
        <f>IFERROR(__xludf.DUMMYFUNCTION("IF($B$15:$B639="""","""",
  VLOOKUP(
    $B$15:$B639,
    QUERY(
      IMPORTRANGE(""1Ag27m9YF5mMfJh2E6NipJDFvPLlDI1p-s_1XEnzMHcc"",""Merge!F2:R""),
      ""select Col1, Col4"",
      0
    ),
    2,
    FALSE
  )
)
"),"#REF!")</f>
        <v>#REF!</v>
      </c>
      <c r="D27" s="148" t="s">
        <v>415</v>
      </c>
      <c r="E27" s="752"/>
      <c r="F27" s="1407"/>
      <c r="G27" s="127"/>
      <c r="H27" s="127"/>
      <c r="I27" s="129"/>
      <c r="J27" s="126" t="s">
        <v>87</v>
      </c>
      <c r="K27" s="126" t="str">
        <f>IFERROR(
  IF(B27="", "", VLOOKUP(B27, Data!$B$2:$K$905, 7, FALSE)),
  ""
)</f>
        <v/>
      </c>
      <c r="L27" s="163"/>
      <c r="M27" s="730">
        <v>52.0</v>
      </c>
      <c r="N27" s="151">
        <f t="shared" si="11"/>
        <v>1.001372346</v>
      </c>
      <c r="O27" s="169">
        <v>1.0</v>
      </c>
      <c r="P27" s="134">
        <v>1.0</v>
      </c>
      <c r="Q27" s="135">
        <f t="shared" si="7"/>
        <v>52.07136199</v>
      </c>
      <c r="R27" s="136" t="str">
        <f>IFERROR(
  IF(B27="", "", VLOOKUP(B27, Data!$B$2:$K$905, 9, FALSE)),
  ""
)</f>
        <v/>
      </c>
      <c r="S27" s="152">
        <f t="shared" si="8"/>
        <v>0</v>
      </c>
      <c r="T27" s="138"/>
      <c r="U27" s="108" t="str">
        <f>IFERROR(
  IF(B27="", "", VLOOKUP(B27, Data!$B$2:$K$905, 10, FALSE)),
  ""
)
</f>
        <v/>
      </c>
      <c r="V27" s="139"/>
      <c r="W27" s="140">
        <f t="shared" si="9"/>
        <v>0</v>
      </c>
      <c r="X27" s="159"/>
      <c r="Y27" s="165"/>
      <c r="Z27" s="166"/>
      <c r="AA27" s="1406"/>
      <c r="AB27" s="354"/>
      <c r="AC27" s="33"/>
      <c r="AD27" s="65"/>
      <c r="AE27" s="66"/>
      <c r="AF27" s="144"/>
      <c r="AG27" s="68"/>
      <c r="AH27" s="69"/>
      <c r="AI27" s="39"/>
      <c r="AJ27" s="70"/>
      <c r="AK27" s="70"/>
      <c r="AL27" s="5"/>
      <c r="AM27" s="5"/>
      <c r="AN27" s="5"/>
      <c r="AO27" s="5"/>
      <c r="AP27" s="5"/>
      <c r="AQ27" s="5"/>
      <c r="AR27" s="5"/>
      <c r="AS27" s="5"/>
      <c r="AT27" s="5"/>
      <c r="AU27" s="5"/>
      <c r="AV27" s="5"/>
      <c r="AW27" s="5"/>
      <c r="AX27" s="5"/>
      <c r="AY27" s="5"/>
      <c r="AZ27" s="5"/>
      <c r="BA27" s="5"/>
      <c r="BB27" s="5"/>
      <c r="BC27" s="5"/>
      <c r="BD27" s="5"/>
      <c r="BE27" s="5"/>
      <c r="BF27" s="5"/>
      <c r="BG27" s="5"/>
      <c r="BH27" s="5"/>
      <c r="BI27" s="260"/>
      <c r="BJ27" s="260"/>
      <c r="BK27" s="260"/>
      <c r="BL27" s="260"/>
      <c r="BM27" s="260"/>
      <c r="BN27" s="260"/>
      <c r="BO27" s="260"/>
      <c r="BP27" s="260"/>
      <c r="BQ27" s="260"/>
      <c r="BR27" s="260"/>
      <c r="BS27" s="260"/>
      <c r="BT27" s="260"/>
    </row>
    <row r="28">
      <c r="A28" s="1313"/>
      <c r="B28" s="1408"/>
      <c r="C28" s="754"/>
      <c r="D28" s="754"/>
      <c r="E28" s="752"/>
      <c r="F28" s="1407"/>
      <c r="G28" s="127"/>
      <c r="H28" s="127"/>
      <c r="I28" s="129"/>
      <c r="J28" s="129"/>
      <c r="K28" s="129"/>
      <c r="L28" s="163"/>
      <c r="M28" s="163"/>
      <c r="N28" s="162"/>
      <c r="O28" s="161"/>
      <c r="P28" s="127"/>
      <c r="Q28" s="163"/>
      <c r="R28" s="108" t="str">
        <f>IFERROR(
  IF(B28="", "", VLOOKUP(B28, Data!$B$2:$K$905, 9, FALSE)),
  ""
)</f>
        <v/>
      </c>
      <c r="S28" s="139"/>
      <c r="T28" s="138"/>
      <c r="U28" s="108" t="str">
        <f>IFERROR(
  IF(B28="", "", VLOOKUP(B28, Data!$B$2:$K$905, 10, FALSE)),
  ""
)
</f>
        <v/>
      </c>
      <c r="V28" s="139"/>
      <c r="W28" s="164"/>
      <c r="X28" s="159"/>
      <c r="Y28" s="165"/>
      <c r="Z28" s="166"/>
      <c r="AA28" s="1406"/>
      <c r="AB28" s="354">
        <f>W28+S28</f>
        <v>0</v>
      </c>
      <c r="AC28" s="33"/>
      <c r="AD28" s="226"/>
      <c r="AE28" s="227"/>
      <c r="AF28" s="228"/>
      <c r="AG28" s="229"/>
      <c r="AH28" s="230"/>
      <c r="AI28" s="39"/>
      <c r="AJ28" s="231"/>
      <c r="AK28" s="231"/>
      <c r="AL28" s="5"/>
      <c r="AM28" s="5"/>
      <c r="AN28" s="5"/>
      <c r="AO28" s="5"/>
      <c r="AP28" s="5"/>
      <c r="AQ28" s="5"/>
      <c r="AR28" s="5"/>
      <c r="AS28" s="5"/>
      <c r="AT28" s="5"/>
      <c r="AU28" s="5"/>
      <c r="AV28" s="5"/>
      <c r="AW28" s="5"/>
      <c r="AX28" s="5"/>
      <c r="AY28" s="5"/>
      <c r="AZ28" s="5"/>
      <c r="BA28" s="5"/>
      <c r="BB28" s="5"/>
      <c r="BC28" s="5"/>
      <c r="BD28" s="5"/>
      <c r="BE28" s="5"/>
      <c r="BF28" s="5"/>
      <c r="BG28" s="5"/>
      <c r="BH28" s="5"/>
      <c r="BI28" s="260"/>
      <c r="BJ28" s="260"/>
      <c r="BK28" s="260"/>
      <c r="BL28" s="260"/>
      <c r="BM28" s="260"/>
      <c r="BN28" s="260"/>
      <c r="BO28" s="260"/>
      <c r="BP28" s="260"/>
      <c r="BQ28" s="260"/>
      <c r="BR28" s="260"/>
      <c r="BS28" s="260"/>
      <c r="BT28" s="260"/>
    </row>
    <row r="29">
      <c r="A29" s="1313">
        <v>1.0</v>
      </c>
      <c r="B29" s="747"/>
      <c r="C29" s="103" t="s">
        <v>1191</v>
      </c>
      <c r="D29" s="748"/>
      <c r="E29" s="749"/>
      <c r="F29" s="104"/>
      <c r="G29" s="1409"/>
      <c r="H29" s="104"/>
      <c r="I29" s="104"/>
      <c r="J29" s="104"/>
      <c r="K29" s="104"/>
      <c r="L29" s="106" t="str">
        <f>Q29</f>
        <v>#REF!</v>
      </c>
      <c r="M29" s="105"/>
      <c r="N29" s="107"/>
      <c r="O29" s="105"/>
      <c r="P29" s="104"/>
      <c r="Q29" s="106" t="str">
        <f>Q30</f>
        <v>#REF!</v>
      </c>
      <c r="R29" s="108" t="str">
        <f>IFERROR(
  IF(B29="", "", VLOOKUP(B29, Data!$B$2:$K$905, 9, FALSE)),
  ""
)</f>
        <v/>
      </c>
      <c r="S29" s="682">
        <f>IFERROR(T29/Q29, 0)</f>
        <v>0</v>
      </c>
      <c r="T29" s="109" t="str">
        <f>SUM(S30:S33)</f>
        <v>#REF!</v>
      </c>
      <c r="U29" s="108" t="str">
        <f>IFERROR(
  IF(B29="", "", VLOOKUP(B29, Data!$B$2:$K$905, 10, FALSE)),
  ""
)
</f>
        <v/>
      </c>
      <c r="V29" s="109" t="str">
        <f>iferror(W29/Q29,"")</f>
        <v/>
      </c>
      <c r="W29" s="110" t="str">
        <f>SUM(W30:W33)</f>
        <v>#REF!</v>
      </c>
      <c r="X29" s="111" t="str">
        <f>W29/$AC$206/$W$213/$X$203</f>
        <v>#REF!</v>
      </c>
      <c r="Y29" s="112" t="str">
        <f>(T29+W29)=(SUM(AB30:AB33))</f>
        <v>#REF!</v>
      </c>
      <c r="Z29" s="113" t="str">
        <f>(T29+W29)-(SUM(AB30:AB33))</f>
        <v>#REF!</v>
      </c>
      <c r="AA29" s="5"/>
      <c r="AB29" s="5"/>
      <c r="AC29" s="33"/>
      <c r="AD29" s="114" t="str">
        <f>W29+T29</f>
        <v>#REF!</v>
      </c>
      <c r="AE29" s="115" t="str">
        <f>AD29</f>
        <v>#REF!</v>
      </c>
      <c r="AF29" s="116" t="str">
        <f>AE29/#REF!</f>
        <v>#REF!</v>
      </c>
      <c r="AG29" s="683" t="str">
        <f>AF29*#REF!</f>
        <v>#REF!</v>
      </c>
      <c r="AH29" s="118" t="str">
        <f>AF29*#REF!</f>
        <v>#REF!</v>
      </c>
      <c r="AI29" s="39"/>
      <c r="AJ29" s="119" t="str">
        <f>ROUND(AK29/L29,2)</f>
        <v>#REF!</v>
      </c>
      <c r="AK29" s="119" t="str">
        <f>ROUND(AH29+AG29+AD29,2)</f>
        <v>#REF!</v>
      </c>
      <c r="AL29" s="5"/>
      <c r="AM29" s="5"/>
      <c r="AN29" s="5"/>
      <c r="AO29" s="5"/>
      <c r="AP29" s="5"/>
      <c r="AQ29" s="5"/>
      <c r="AR29" s="5"/>
      <c r="AS29" s="5"/>
      <c r="AT29" s="5"/>
      <c r="AU29" s="5"/>
      <c r="AV29" s="5"/>
      <c r="AW29" s="5"/>
      <c r="AX29" s="5"/>
      <c r="AY29" s="5"/>
      <c r="AZ29" s="5"/>
      <c r="BA29" s="5"/>
      <c r="BB29" s="5"/>
      <c r="BC29" s="5"/>
      <c r="BD29" s="5"/>
      <c r="BE29" s="5"/>
      <c r="BF29" s="5"/>
      <c r="BG29" s="5"/>
      <c r="BH29" s="5"/>
      <c r="BI29" s="260"/>
      <c r="BJ29" s="260"/>
      <c r="BK29" s="260"/>
      <c r="BL29" s="260"/>
      <c r="BM29" s="260"/>
      <c r="BN29" s="260"/>
      <c r="BO29" s="260"/>
      <c r="BP29" s="260"/>
      <c r="BQ29" s="260"/>
      <c r="BR29" s="260"/>
      <c r="BS29" s="260"/>
      <c r="BT29" s="260"/>
    </row>
    <row r="30">
      <c r="A30" s="1313"/>
      <c r="B30" s="717" t="s">
        <v>1192</v>
      </c>
      <c r="C30" s="698" t="s">
        <v>1193</v>
      </c>
      <c r="D30" s="686" t="s">
        <v>409</v>
      </c>
      <c r="E30" s="687" t="str">
        <f>IFERROR(__xludf.DUMMYFUNCTION("IF($B$15:$B614="""","""",
  VLOOKUP(
    $B$15:$B614,
    QUERY(
      IMPORTRANGE(""1Ag27m9YF5mMfJh2E6NipJDFvPLlDI1p-s_1XEnzMHcc"",""Merge!F2:R""),
      ""select Col1, Col11"",
      0
    ),
    2,
    FALSE
  )
)
"),"#REF!")</f>
        <v>#REF!</v>
      </c>
      <c r="F30" s="127" t="str">
        <f>IFERROR(__xludf.DUMMYFUNCTION("IFERROR(REGEXEXTRACT(C30,""@\s*(\d+(?:\.\d+)?)\s*deg"")&amp;""°"","""")"),"")</f>
        <v/>
      </c>
      <c r="G30" s="127"/>
      <c r="H30" s="127" t="str">
        <f>IFERROR(__xludf.DUMMYFUNCTION("IFERROR(REGEXEXTRACT(C30, ""(\d*\.\d+)mm""), """")"),"")</f>
        <v/>
      </c>
      <c r="I30" s="129"/>
      <c r="J30" s="126" t="s">
        <v>14</v>
      </c>
      <c r="K30" s="126" t="str">
        <f>IFERROR(
  IF(B30="", "", VLOOKUP(B30, Data!$B$2:$K$905, 7, FALSE)),
  ""
)</f>
        <v/>
      </c>
      <c r="L30" s="135"/>
      <c r="M30" s="135" t="str">
        <f>L30*E30</f>
        <v>#REF!</v>
      </c>
      <c r="N30" s="151">
        <f>IFERROR(__xludf.DUMMYFUNCTION("IF(B30="""", """", IFERROR(1 / COS(RADIANS(REGEXEXTRACT(F30,""(\d+)""))), 1))"),1.0)</f>
        <v>1</v>
      </c>
      <c r="O30" s="169">
        <v>1.0</v>
      </c>
      <c r="P30" s="134">
        <v>1.0</v>
      </c>
      <c r="Q30" s="135" t="str">
        <f t="shared" ref="Q30:Q32" si="12">M30*N30*O30*P30</f>
        <v>#REF!</v>
      </c>
      <c r="R30" s="108" t="str">
        <f>IFERROR(
  IF(B30="", "", VLOOKUP(B30, Data!$B$2:$K$905, 9, FALSE)),
  ""
)</f>
        <v/>
      </c>
      <c r="S30" s="152" t="str">
        <f t="shared" ref="S30:S32" si="13">R30*Q30</f>
        <v>#REF!</v>
      </c>
      <c r="T30" s="138"/>
      <c r="U30" s="108" t="str">
        <f>IFERROR(
  IF(B30="", "", VLOOKUP(B30, Data!$B$2:$K$905, 10, FALSE)),
  ""
)
</f>
        <v/>
      </c>
      <c r="V30" s="139"/>
      <c r="W30" s="140" t="str">
        <f t="shared" ref="W30:W32" si="14">U30*Q30</f>
        <v>#REF!</v>
      </c>
      <c r="X30" s="159"/>
      <c r="Y30" s="165"/>
      <c r="Z30" s="166"/>
      <c r="AA30" s="1406"/>
      <c r="AB30" s="354" t="str">
        <f t="shared" ref="AB30:AB33" si="15">W30+S30</f>
        <v>#REF!</v>
      </c>
      <c r="AC30" s="33"/>
      <c r="AD30" s="65"/>
      <c r="AE30" s="66"/>
      <c r="AF30" s="144"/>
      <c r="AG30" s="68"/>
      <c r="AH30" s="69"/>
      <c r="AI30" s="39"/>
      <c r="AJ30" s="70"/>
      <c r="AK30" s="70"/>
      <c r="AL30" s="5"/>
      <c r="AM30" s="5"/>
      <c r="AN30" s="5"/>
      <c r="AO30" s="5"/>
      <c r="AP30" s="5"/>
      <c r="AQ30" s="5"/>
      <c r="AR30" s="5"/>
      <c r="AS30" s="5"/>
      <c r="AT30" s="5"/>
      <c r="AU30" s="5"/>
      <c r="AV30" s="5"/>
      <c r="AW30" s="5"/>
      <c r="AX30" s="5"/>
      <c r="AY30" s="5"/>
      <c r="AZ30" s="5"/>
      <c r="BA30" s="5"/>
      <c r="BB30" s="5"/>
      <c r="BC30" s="5"/>
      <c r="BD30" s="5"/>
      <c r="BE30" s="5"/>
      <c r="BF30" s="5"/>
      <c r="BG30" s="5"/>
      <c r="BH30" s="5"/>
      <c r="BI30" s="260"/>
      <c r="BJ30" s="260"/>
      <c r="BK30" s="260"/>
      <c r="BL30" s="260"/>
      <c r="BM30" s="260"/>
      <c r="BN30" s="260"/>
      <c r="BO30" s="260"/>
      <c r="BP30" s="260"/>
      <c r="BQ30" s="260"/>
      <c r="BR30" s="260"/>
      <c r="BS30" s="260"/>
      <c r="BT30" s="260"/>
    </row>
    <row r="31">
      <c r="A31" s="1313"/>
      <c r="B31" s="717" t="s">
        <v>1194</v>
      </c>
      <c r="C31" s="698" t="s">
        <v>1195</v>
      </c>
      <c r="D31" s="686" t="s">
        <v>405</v>
      </c>
      <c r="E31" s="752"/>
      <c r="F31" s="127"/>
      <c r="G31" s="127"/>
      <c r="H31" s="127"/>
      <c r="I31" s="129"/>
      <c r="J31" s="126" t="s">
        <v>14</v>
      </c>
      <c r="K31" s="126" t="str">
        <f>IFERROR(
  IF(B31="", "", VLOOKUP(B31, Data!$B$2:$K$905, 7, FALSE)),
  ""
)</f>
        <v/>
      </c>
      <c r="L31" s="163"/>
      <c r="M31" s="135" t="str">
        <f>M30</f>
        <v>#REF!</v>
      </c>
      <c r="N31" s="151">
        <f>IFERROR(__xludf.DUMMYFUNCTION("IF(B31="""", """", IFERROR(1 / COS(RADIANS(REGEXEXTRACT(F31,""(\d+)""))), 1))"),1.0)</f>
        <v>1</v>
      </c>
      <c r="O31" s="169">
        <v>1.0</v>
      </c>
      <c r="P31" s="134">
        <v>1.0</v>
      </c>
      <c r="Q31" s="135" t="str">
        <f t="shared" si="12"/>
        <v>#REF!</v>
      </c>
      <c r="R31" s="136" t="str">
        <f>IFERROR(
  IF(B31="", "", VLOOKUP(B31, Data!$B$2:$K$905, 9, FALSE)),
  ""
)</f>
        <v/>
      </c>
      <c r="S31" s="152" t="str">
        <f t="shared" si="13"/>
        <v>#REF!</v>
      </c>
      <c r="T31" s="138"/>
      <c r="U31" s="136" t="str">
        <f>IFERROR(
  IF(B31="", "", VLOOKUP(B31, Data!$B$2:$K$905, 10, FALSE)),
  ""
)
</f>
        <v/>
      </c>
      <c r="V31" s="139"/>
      <c r="W31" s="140" t="str">
        <f t="shared" si="14"/>
        <v>#REF!</v>
      </c>
      <c r="X31" s="159"/>
      <c r="Y31" s="165"/>
      <c r="Z31" s="166"/>
      <c r="AA31" s="1406"/>
      <c r="AB31" s="354" t="str">
        <f t="shared" si="15"/>
        <v>#REF!</v>
      </c>
      <c r="AC31" s="33"/>
      <c r="AD31" s="65"/>
      <c r="AE31" s="66"/>
      <c r="AF31" s="144"/>
      <c r="AG31" s="68"/>
      <c r="AH31" s="69"/>
      <c r="AI31" s="39"/>
      <c r="AJ31" s="70"/>
      <c r="AK31" s="70"/>
      <c r="AL31" s="5"/>
      <c r="AM31" s="5"/>
      <c r="AN31" s="5"/>
      <c r="AO31" s="5"/>
      <c r="AP31" s="5"/>
      <c r="AQ31" s="5"/>
      <c r="AR31" s="5"/>
      <c r="AS31" s="5"/>
      <c r="AT31" s="5"/>
      <c r="AU31" s="5"/>
      <c r="AV31" s="5"/>
      <c r="AW31" s="5"/>
      <c r="AX31" s="5"/>
      <c r="AY31" s="5"/>
      <c r="AZ31" s="5"/>
      <c r="BA31" s="5"/>
      <c r="BB31" s="5"/>
      <c r="BC31" s="5"/>
      <c r="BD31" s="5"/>
      <c r="BE31" s="5"/>
      <c r="BF31" s="5"/>
      <c r="BG31" s="5"/>
      <c r="BH31" s="5"/>
      <c r="BI31" s="260"/>
      <c r="BJ31" s="260"/>
      <c r="BK31" s="260"/>
      <c r="BL31" s="260"/>
      <c r="BM31" s="260"/>
      <c r="BN31" s="260"/>
      <c r="BO31" s="260"/>
      <c r="BP31" s="260"/>
      <c r="BQ31" s="260"/>
      <c r="BR31" s="260"/>
      <c r="BS31" s="260"/>
      <c r="BT31" s="260"/>
    </row>
    <row r="32">
      <c r="A32" s="1313"/>
      <c r="B32" s="717" t="str">
        <f>IFERROR(__xludf.DUMMYFUNCTION("IFERROR(
  IF(C32="""","""",
    IF(OR(REGEXMATCH(D32,""(?i)-Flashing""), REGEXMATCH(D32,""(?i)-EavesGut""), REGEXMATCH(D32,""(?i)Valley"")),
        ""DR"" &amp;
        TEXT(
            ROUNDUP(
                MIN(
                    VALUE(MID(C32, FIND("&amp;"""("",C32)+1, FIND(""/"",C32)-FIND(""("",C32)-1)),
                    1200
                ) / 50, 0
            ) * 50, ""0""
        ) &amp;
        MID(C32, FIND(""/"",C32)+1, FIND("")"",C32)-FIND(""/"",C32)-1) &amp;
        TEXT(H32*100,""0"") &amp;
        I32,"&amp;"
    IF(AND(D32=""Roof Sheet"", REGEXMATCH(C32,""(?i)KS\d{4}[A-Z]{2}"")),
       REGEXEXTRACT(C32,""(?i)KS\d{4}[A-Z]{2}""),
    IF(AND(REGEXMATCH(D32,""(?i)-DP""), REGEXMATCH(C32,""(?i)Downpipe"")),
       ""dp"" &amp; REGEXEXTRACT(C32,""(\d+)"") &amp; ""mm"",
  "&amp;"  IF(AND(REGEXMATCH(D32,""(?i)Bracket""), REGEXMATCH(C32,""(?i)Bracket"")),
       ""Brkt"" &amp; REGEXEXTRACT(C32,""(\d+)"") &amp; ""mm"",
    IF(AND(REGEXMATCH(D32,""(?i)-OP""), REGEXMATCH(C32,""(?i)pops"")),
       ""op"" &amp; REGEXEXTRACT(C32,""(\d+)"") &amp; ""mm"""&amp;",
    IF(OR(D32=""R-FFTop"", D32=""R-FFBottom"", D32=""R-FFSide""),
        IF(REGEXMATCH(C32,""(?i)Profiled.*Top|Top.*Profiled""),""pfft"",
        IF(REGEXMATCH(C32,""(?i)Profiled.*Bottom|Bottom.*Profiled""),""pffb"",
        IF(REGEXMATCH(C32,""(?i)Squ"&amp;"are""),""sff"",""""))),
    IF(REGEXMATCH(D32,""(?i)-Rivets""),""Rvt"",
    IF(REGEXMATCH(D32,""(?i)Silicone""),""300ml"",
    IF(REGEXMATCH(D32,""(?i)R-Butyl""),""300ml"",
    IF(REGEXMATCH(D32,""(?i)Fix""),""GenFix"",
    IF(AND(REGEXMATCH(C32,""(?i)Tim"&amp;"ber""), REGEXMATCH(D32,""(?i)Timber"")),""tp"",
    IF(AND(REGEXMATCH(C32,""(?i)Vent G1275""), REGEXMATCH(D32,""(?i)Comb FIller"")),""CFV1275"",
    IF(REGEXMATCH(C32,""(?i)DPC""),""dpc"",
    IF(REGEXMATCH(C32,""(?i)Concealed Clips""),""ConClips"",
    I"&amp;"F(REGEXMATCH(D32,""(?i)-Takeoff ea""),""Takeoff ea"",
    IF(REGEXMATCH(D32,""(?i)-Takeoff LM""),""Takeoff LM"",
    IF(REGEXMATCH(D32,""(?i)-Takeoff m2""),""Takeoff m2"",
    IF(D32=""R-TU/TD"",""TU/TD"","""")))))))))))))))))
  )))"),"GenFix")</f>
        <v>GenFix</v>
      </c>
      <c r="C32" s="698" t="s">
        <v>102</v>
      </c>
      <c r="D32" s="686" t="s">
        <v>406</v>
      </c>
      <c r="E32" s="752"/>
      <c r="F32" s="127"/>
      <c r="G32" s="127"/>
      <c r="H32" s="127"/>
      <c r="I32" s="129"/>
      <c r="J32" s="126" t="s">
        <v>87</v>
      </c>
      <c r="K32" s="126" t="str">
        <f>IFERROR(
  IF(B32="", "", VLOOKUP(B32, Data!$B$2:$K$905, 7, FALSE)),
  ""
)</f>
        <v/>
      </c>
      <c r="L32" s="163"/>
      <c r="M32" s="135" t="str">
        <f>ROUNDUP(M31*5+1,0)</f>
        <v>#REF!</v>
      </c>
      <c r="N32" s="151">
        <f>IFERROR(__xludf.DUMMYFUNCTION("IF(B32="""", """", IFERROR(1 / COS(RADIANS(REGEXEXTRACT(F32,""(\d+)""))), 1))"),1.0)</f>
        <v>1</v>
      </c>
      <c r="O32" s="169">
        <v>1.0</v>
      </c>
      <c r="P32" s="134">
        <v>1.0</v>
      </c>
      <c r="Q32" s="135" t="str">
        <f t="shared" si="12"/>
        <v>#REF!</v>
      </c>
      <c r="R32" s="136" t="str">
        <f>IFERROR(
  IF(B32="", "", VLOOKUP(B32, Data!$B$2:$K$905, 9, FALSE)),
  ""
)</f>
        <v/>
      </c>
      <c r="S32" s="152" t="str">
        <f t="shared" si="13"/>
        <v>#REF!</v>
      </c>
      <c r="T32" s="138"/>
      <c r="U32" s="108" t="str">
        <f>IFERROR(
  IF(B32="", "", VLOOKUP(B32, Data!$B$2:$K$905, 10, FALSE)),
  ""
)
</f>
        <v/>
      </c>
      <c r="V32" s="139"/>
      <c r="W32" s="140" t="str">
        <f t="shared" si="14"/>
        <v>#REF!</v>
      </c>
      <c r="X32" s="159"/>
      <c r="Y32" s="165"/>
      <c r="Z32" s="166"/>
      <c r="AA32" s="1406"/>
      <c r="AB32" s="354" t="str">
        <f t="shared" si="15"/>
        <v>#REF!</v>
      </c>
      <c r="AC32" s="33"/>
      <c r="AD32" s="65"/>
      <c r="AE32" s="66"/>
      <c r="AF32" s="144"/>
      <c r="AG32" s="68"/>
      <c r="AH32" s="69"/>
      <c r="AI32" s="39"/>
      <c r="AJ32" s="70"/>
      <c r="AK32" s="70"/>
      <c r="AL32" s="5"/>
      <c r="AM32" s="5"/>
      <c r="AN32" s="5"/>
      <c r="AO32" s="5"/>
      <c r="AP32" s="5"/>
      <c r="AQ32" s="5"/>
      <c r="AR32" s="5"/>
      <c r="AS32" s="5"/>
      <c r="AT32" s="5"/>
      <c r="AU32" s="5"/>
      <c r="AV32" s="5"/>
      <c r="AW32" s="5"/>
      <c r="AX32" s="5"/>
      <c r="AY32" s="5"/>
      <c r="AZ32" s="5"/>
      <c r="BA32" s="5"/>
      <c r="BB32" s="5"/>
      <c r="BC32" s="5"/>
      <c r="BD32" s="5"/>
      <c r="BE32" s="5"/>
      <c r="BF32" s="5"/>
      <c r="BG32" s="5"/>
      <c r="BH32" s="5"/>
      <c r="BI32" s="260"/>
      <c r="BJ32" s="260"/>
      <c r="BK32" s="260"/>
      <c r="BL32" s="260"/>
      <c r="BM32" s="260"/>
      <c r="BN32" s="260"/>
      <c r="BO32" s="260"/>
      <c r="BP32" s="260"/>
      <c r="BQ32" s="260"/>
      <c r="BR32" s="260"/>
      <c r="BS32" s="260"/>
      <c r="BT32" s="260"/>
    </row>
    <row r="33">
      <c r="A33" s="1313"/>
      <c r="B33" s="1408"/>
      <c r="C33" s="754"/>
      <c r="D33" s="754"/>
      <c r="E33" s="752"/>
      <c r="F33" s="127" t="str">
        <f>IFERROR(__xludf.DUMMYFUNCTION("IFERROR(REGEXEXTRACT(C33,""@\s*(\d+(?:\.\d+)?)\s*deg"")&amp;""°"","""")"),"")</f>
        <v/>
      </c>
      <c r="G33" s="127"/>
      <c r="H33" s="127"/>
      <c r="I33" s="129"/>
      <c r="J33" s="129"/>
      <c r="K33" s="129"/>
      <c r="L33" s="163"/>
      <c r="M33" s="163"/>
      <c r="N33" s="162"/>
      <c r="O33" s="161"/>
      <c r="P33" s="127"/>
      <c r="Q33" s="163"/>
      <c r="R33" s="108" t="str">
        <f>IFERROR(
  IF(B33="", "", VLOOKUP(B33, Data!$B$2:$K$905, 9, FALSE)),
  ""
)</f>
        <v/>
      </c>
      <c r="S33" s="139"/>
      <c r="T33" s="138"/>
      <c r="U33" s="108"/>
      <c r="V33" s="139"/>
      <c r="W33" s="164"/>
      <c r="X33" s="159"/>
      <c r="Y33" s="165"/>
      <c r="Z33" s="166"/>
      <c r="AA33" s="1406"/>
      <c r="AB33" s="354">
        <f t="shared" si="15"/>
        <v>0</v>
      </c>
      <c r="AC33" s="33"/>
      <c r="AD33" s="65"/>
      <c r="AE33" s="66"/>
      <c r="AF33" s="144"/>
      <c r="AG33" s="68"/>
      <c r="AH33" s="69"/>
      <c r="AI33" s="39"/>
      <c r="AJ33" s="70"/>
      <c r="AK33" s="70"/>
      <c r="AL33" s="5"/>
      <c r="AM33" s="5"/>
      <c r="AN33" s="5"/>
      <c r="AO33" s="5"/>
      <c r="AP33" s="5"/>
      <c r="AQ33" s="5"/>
      <c r="AR33" s="5"/>
      <c r="AS33" s="5"/>
      <c r="AT33" s="5"/>
      <c r="AU33" s="5"/>
      <c r="AV33" s="5"/>
      <c r="AW33" s="5"/>
      <c r="AX33" s="5"/>
      <c r="AY33" s="5"/>
      <c r="AZ33" s="5"/>
      <c r="BA33" s="5"/>
      <c r="BB33" s="5"/>
      <c r="BC33" s="5"/>
      <c r="BD33" s="5"/>
      <c r="BE33" s="5"/>
      <c r="BF33" s="5"/>
      <c r="BG33" s="5"/>
      <c r="BH33" s="5"/>
      <c r="BI33" s="260"/>
      <c r="BJ33" s="260"/>
      <c r="BK33" s="260"/>
      <c r="BL33" s="260"/>
      <c r="BM33" s="260"/>
      <c r="BN33" s="260"/>
      <c r="BO33" s="260"/>
      <c r="BP33" s="260"/>
      <c r="BQ33" s="260"/>
      <c r="BR33" s="260"/>
      <c r="BS33" s="260"/>
      <c r="BT33" s="260"/>
    </row>
    <row r="34">
      <c r="A34" s="1313">
        <v>1.0</v>
      </c>
      <c r="B34" s="714" t="s">
        <v>425</v>
      </c>
      <c r="C34" s="89" t="s">
        <v>78</v>
      </c>
      <c r="D34" s="656"/>
      <c r="E34" s="654"/>
      <c r="F34" s="657"/>
      <c r="G34" s="656"/>
      <c r="H34" s="656"/>
      <c r="I34" s="656"/>
      <c r="J34" s="656"/>
      <c r="K34" s="656" t="s">
        <v>42</v>
      </c>
      <c r="L34" s="658"/>
      <c r="M34" s="658"/>
      <c r="N34" s="659"/>
      <c r="O34" s="658"/>
      <c r="P34" s="656"/>
      <c r="Q34" s="658"/>
      <c r="R34" s="136" t="str">
        <f>IFERROR(
  IF(B34="", "", VLOOKUP(B34, Data!$B$2:$K$905, 9, FALSE)),
  ""
)</f>
        <v/>
      </c>
      <c r="S34" s="662"/>
      <c r="T34" s="661"/>
      <c r="U34" s="136" t="str">
        <f>IFERROR(
  IF(B34="", "", VLOOKUP(B34, Data!$B$2:$K$905, 10, FALSE)),
  ""
)
</f>
        <v/>
      </c>
      <c r="V34" s="662"/>
      <c r="W34" s="663"/>
      <c r="X34" s="664"/>
      <c r="Y34" s="595"/>
      <c r="Z34" s="595"/>
      <c r="AA34" s="595"/>
      <c r="AB34" s="595"/>
      <c r="AC34" s="181"/>
      <c r="AD34" s="668"/>
      <c r="AE34" s="669"/>
      <c r="AF34" s="670"/>
      <c r="AG34" s="715"/>
      <c r="AH34" s="672"/>
      <c r="AI34" s="187"/>
      <c r="AJ34" s="673"/>
      <c r="AK34" s="673"/>
      <c r="AL34" s="595"/>
      <c r="AM34" s="595"/>
      <c r="AN34" s="595"/>
      <c r="AO34" s="595"/>
      <c r="AP34" s="595"/>
      <c r="AQ34" s="595"/>
      <c r="AR34" s="595"/>
      <c r="AS34" s="595"/>
      <c r="AT34" s="595"/>
      <c r="AU34" s="595"/>
      <c r="AV34" s="595"/>
      <c r="AW34" s="595"/>
      <c r="AX34" s="595"/>
      <c r="AY34" s="595"/>
      <c r="AZ34" s="595"/>
      <c r="BA34" s="595"/>
      <c r="BB34" s="595"/>
      <c r="BC34" s="595"/>
      <c r="BD34" s="595"/>
      <c r="BE34" s="595"/>
      <c r="BF34" s="595"/>
      <c r="BG34" s="595"/>
      <c r="BH34" s="595"/>
      <c r="BI34" s="651"/>
      <c r="BJ34" s="651"/>
      <c r="BK34" s="651"/>
      <c r="BL34" s="651"/>
      <c r="BM34" s="651"/>
      <c r="BN34" s="651"/>
      <c r="BO34" s="651"/>
      <c r="BP34" s="651"/>
      <c r="BQ34" s="651"/>
      <c r="BR34" s="651"/>
      <c r="BS34" s="651"/>
      <c r="BT34" s="651"/>
    </row>
    <row r="35">
      <c r="A35" s="1313">
        <v>1.0</v>
      </c>
      <c r="B35" s="674"/>
      <c r="C35" s="157" t="s">
        <v>79</v>
      </c>
      <c r="D35" s="678"/>
      <c r="E35" s="676"/>
      <c r="F35" s="728"/>
      <c r="G35" s="678"/>
      <c r="H35" s="678"/>
      <c r="I35" s="678"/>
      <c r="J35" s="678"/>
      <c r="K35" s="678" t="s">
        <v>42</v>
      </c>
      <c r="L35" s="106" t="str">
        <f>Q35</f>
        <v>#REF!</v>
      </c>
      <c r="M35" s="679"/>
      <c r="N35" s="680"/>
      <c r="O35" s="679"/>
      <c r="P35" s="678"/>
      <c r="Q35" s="106" t="str">
        <f>Q36</f>
        <v>#REF!</v>
      </c>
      <c r="R35" s="136" t="str">
        <f>IFERROR(
  IF(B35="", "", VLOOKUP(B35, Data!$B$2:$K$905, 9, FALSE)),
  ""
)</f>
        <v/>
      </c>
      <c r="S35" s="682">
        <f>IFERROR(T35/Q35, 0)</f>
        <v>0</v>
      </c>
      <c r="T35" s="109" t="str">
        <f>SUM(S36:S38)</f>
        <v>#REF!</v>
      </c>
      <c r="U35" s="136" t="str">
        <f>IFERROR(
  IF(B35="", "", VLOOKUP(B35, Data!$B$2:$K$905, 10, FALSE)),
  ""
)
</f>
        <v/>
      </c>
      <c r="V35" s="109" t="str">
        <f>iferror(W35/Q35,"")</f>
        <v/>
      </c>
      <c r="W35" s="110" t="str">
        <f>SUM(W36:W38)</f>
        <v>#REF!</v>
      </c>
      <c r="X35" s="111" t="str">
        <f>W35/$AC$235/$W$242/$X$232</f>
        <v>#REF!</v>
      </c>
      <c r="Y35" s="112" t="str">
        <f>(T35+W35)=(SUM(AB36:AB38))</f>
        <v>#REF!</v>
      </c>
      <c r="Z35" s="113" t="str">
        <f>(T35+W35)-(SUM(AB36:AB38))</f>
        <v>#REF!</v>
      </c>
      <c r="AA35" s="595"/>
      <c r="AB35" s="595"/>
      <c r="AC35" s="181"/>
      <c r="AD35" s="114" t="str">
        <f>W35+T35</f>
        <v>#REF!</v>
      </c>
      <c r="AE35" s="115" t="str">
        <f>AD35</f>
        <v>#REF!</v>
      </c>
      <c r="AF35" s="116" t="str">
        <f>AE35/$AE$210</f>
        <v>#REF!</v>
      </c>
      <c r="AG35" s="683" t="str">
        <f>AF35*$AG$217</f>
        <v>#REF!</v>
      </c>
      <c r="AH35" s="118" t="str">
        <f>AF35*$AG$220</f>
        <v>#REF!</v>
      </c>
      <c r="AI35" s="187"/>
      <c r="AJ35" s="119" t="str">
        <f>ROUND(AK35/L35,2)</f>
        <v>#REF!</v>
      </c>
      <c r="AK35" s="119" t="str">
        <f>ROUND(AH35+AG35+AD35,2)</f>
        <v>#REF!</v>
      </c>
      <c r="AL35" s="595"/>
      <c r="AM35" s="595"/>
      <c r="AN35" s="595"/>
      <c r="AO35" s="595"/>
      <c r="AP35" s="595"/>
      <c r="AQ35" s="595"/>
      <c r="AR35" s="595"/>
      <c r="AS35" s="595"/>
      <c r="AT35" s="595"/>
      <c r="AU35" s="595"/>
      <c r="AV35" s="595"/>
      <c r="AW35" s="595"/>
      <c r="AX35" s="595"/>
      <c r="AY35" s="595"/>
      <c r="AZ35" s="595"/>
      <c r="BA35" s="595"/>
      <c r="BB35" s="595"/>
      <c r="BC35" s="595"/>
      <c r="BD35" s="595"/>
      <c r="BE35" s="595"/>
      <c r="BF35" s="595"/>
      <c r="BG35" s="595"/>
      <c r="BH35" s="595"/>
      <c r="BI35" s="651"/>
      <c r="BJ35" s="651"/>
      <c r="BK35" s="651"/>
      <c r="BL35" s="651"/>
      <c r="BM35" s="651"/>
      <c r="BN35" s="651"/>
      <c r="BO35" s="651"/>
      <c r="BP35" s="651"/>
      <c r="BQ35" s="651"/>
      <c r="BR35" s="651"/>
      <c r="BS35" s="651"/>
      <c r="BT35" s="651"/>
    </row>
    <row r="36">
      <c r="A36" s="1313"/>
      <c r="B36" s="122" t="s">
        <v>1196</v>
      </c>
      <c r="C36" s="123" t="str">
        <f>IFERROR(__xludf.DUMMYFUNCTION("IF($B$15:$B643="""","""",
  VLOOKUP(
    $B$15:$B643,
    QUERY(
      IMPORTRANGE(""1Ag27m9YF5mMfJh2E6NipJDFvPLlDI1p-s_1XEnzMHcc"",""Merge!F2:R""),
      ""select Col1, Col4"",
      0
    ),
    2,
    FALSE
  )
)
"),"#REF!")</f>
        <v>#REF!</v>
      </c>
      <c r="D36" s="124" t="s">
        <v>82</v>
      </c>
      <c r="E36" s="687" t="str">
        <f>IFERROR(__xludf.DUMMYFUNCTION("IF($B$15:$B404="""","""",
  VLOOKUP(
    $B$15:$B404,
    QUERY(
      IMPORTRANGE(""1Ag27m9YF5mMfJh2E6NipJDFvPLlDI1p-s_1XEnzMHcc"",""Merge!F2:R""),
      ""select Col1, Col11"",
      0
    ),
    2,
    FALSE
  )
)
"),"#REF!")</f>
        <v>#REF!</v>
      </c>
      <c r="F36" s="1410" t="str">
        <f>F14</f>
        <v/>
      </c>
      <c r="G36" s="149" t="s">
        <v>83</v>
      </c>
      <c r="H36" s="700" t="str">
        <f>IFERROR(__xludf.DUMMYFUNCTION("IFERROR(REGEXEXTRACT(C36, ""(\d*\.\d+)mm""), """")"),"")</f>
        <v/>
      </c>
      <c r="I36" s="700"/>
      <c r="J36" s="126" t="s">
        <v>14</v>
      </c>
      <c r="K36" s="126" t="str">
        <f>IFERROR(
  IF(B36="", "", VLOOKUP(B36, Data!$B$2:$K$905, 7, FALSE)),
  ""
)</f>
        <v/>
      </c>
      <c r="L36" s="131" t="str">
        <f>Q17</f>
        <v>#REF!</v>
      </c>
      <c r="M36" s="150" t="str">
        <f>((L36)/(E36-0.15))*0.15+(L36)</f>
        <v>#REF!</v>
      </c>
      <c r="N36" s="151">
        <f>IFERROR(__xludf.DUMMYFUNCTION("IF(B36="""", """", IFERROR(1 / COS(RADIANS(REGEXEXTRACT(F36,""(\d+)""))), 1))"),1.0)</f>
        <v>1</v>
      </c>
      <c r="O36" s="169">
        <v>1.0</v>
      </c>
      <c r="P36" s="134">
        <v>1.0</v>
      </c>
      <c r="Q36" s="135" t="str">
        <f t="shared" ref="Q36:Q37" si="16">M36*N36*O36*P36</f>
        <v>#REF!</v>
      </c>
      <c r="R36" s="136" t="str">
        <f>IFERROR(
  IF(B36="", "", VLOOKUP(B36, Data!$B$2:$K$905, 9, FALSE)),
  ""
)</f>
        <v/>
      </c>
      <c r="S36" s="152" t="str">
        <f t="shared" ref="S36:S37" si="17">R36*Q36</f>
        <v>#REF!</v>
      </c>
      <c r="T36" s="690"/>
      <c r="U36" s="136" t="str">
        <f>IFERROR(
  IF(B36="", "", VLOOKUP(B36, Data!$B$2:$K$905, 10, FALSE)),
  ""
)
</f>
        <v/>
      </c>
      <c r="V36" s="691"/>
      <c r="W36" s="140" t="str">
        <f t="shared" ref="W36:W37" si="18">U36*Q36</f>
        <v>#REF!</v>
      </c>
      <c r="X36" s="692"/>
      <c r="Y36" s="595"/>
      <c r="Z36" s="595"/>
      <c r="AA36" s="595"/>
      <c r="AB36" s="354" t="str">
        <f t="shared" ref="AB36:AB37" si="19">W36+S36</f>
        <v>#REF!</v>
      </c>
      <c r="AC36" s="181"/>
      <c r="AD36" s="625"/>
      <c r="AE36" s="626"/>
      <c r="AF36" s="696"/>
      <c r="AG36" s="697"/>
      <c r="AH36" s="629"/>
      <c r="AI36" s="187"/>
      <c r="AJ36" s="630"/>
      <c r="AK36" s="630"/>
      <c r="AL36" s="595"/>
      <c r="AM36" s="595"/>
      <c r="AN36" s="595"/>
      <c r="AO36" s="595"/>
      <c r="AP36" s="595"/>
      <c r="AQ36" s="595"/>
      <c r="AR36" s="595"/>
      <c r="AS36" s="595"/>
      <c r="AT36" s="595"/>
      <c r="AU36" s="595"/>
      <c r="AV36" s="595"/>
      <c r="AW36" s="595"/>
      <c r="AX36" s="595"/>
      <c r="AY36" s="595"/>
      <c r="AZ36" s="595"/>
      <c r="BA36" s="595"/>
      <c r="BB36" s="595"/>
      <c r="BC36" s="595"/>
      <c r="BD36" s="595"/>
      <c r="BE36" s="595"/>
      <c r="BF36" s="595"/>
      <c r="BG36" s="595"/>
      <c r="BH36" s="595"/>
      <c r="BI36" s="651"/>
      <c r="BJ36" s="651"/>
      <c r="BK36" s="651"/>
      <c r="BL36" s="651"/>
      <c r="BM36" s="651"/>
      <c r="BN36" s="651"/>
      <c r="BO36" s="651"/>
      <c r="BP36" s="651"/>
      <c r="BQ36" s="651"/>
      <c r="BR36" s="651"/>
      <c r="BS36" s="651"/>
      <c r="BT36" s="651"/>
    </row>
    <row r="37">
      <c r="A37" s="1313"/>
      <c r="B37" s="719" t="s">
        <v>84</v>
      </c>
      <c r="C37" s="123" t="str">
        <f>IFERROR(__xludf.DUMMYFUNCTION("IF($B$15:$B644="""","""",
  VLOOKUP(
    $B$15:$B644,
    QUERY(
      IMPORTRANGE(""1Ag27m9YF5mMfJh2E6NipJDFvPLlDI1p-s_1XEnzMHcc"",""Merge!F2:R""),
      ""select Col1, Col4"",
      0
    ),
    2,
    FALSE
  )
)
"),"#REF!")</f>
        <v>#REF!</v>
      </c>
      <c r="D37" s="124" t="s">
        <v>86</v>
      </c>
      <c r="E37" s="720" t="str">
        <f>E36</f>
        <v>#REF!</v>
      </c>
      <c r="F37" s="168"/>
      <c r="G37" s="700"/>
      <c r="H37" s="128" t="str">
        <f>IFERROR(__xludf.DUMMYFUNCTION("IF($B$15:$B404="""","""",
  VLOOKUP(
    $B$15:$B404,
    QUERY(
      IMPORTRANGE(""1Ag27m9YF5mMfJh2E6NipJDFvPLlDI1p-s_1XEnzMHcc"",""Merge!F2:R""),
      ""select Col1, Col11"",
      0
    ),
    2,
    FALSE
  )
)
"),"#REF!")</f>
        <v>#REF!</v>
      </c>
      <c r="I37" s="700"/>
      <c r="J37" s="126" t="s">
        <v>87</v>
      </c>
      <c r="K37" s="126" t="str">
        <f>IFERROR(
  IF(B37="", "", VLOOKUP(B37, Data!$B$2:$K$905, 7, FALSE)),
  ""
)</f>
        <v/>
      </c>
      <c r="L37" s="712"/>
      <c r="M37" s="169" t="str">
        <f>M36/E37/H37</f>
        <v>#REF!</v>
      </c>
      <c r="N37" s="151">
        <f>N36</f>
        <v>1</v>
      </c>
      <c r="O37" s="169">
        <v>1.0</v>
      </c>
      <c r="P37" s="134">
        <v>1.0</v>
      </c>
      <c r="Q37" s="135" t="str">
        <f t="shared" si="16"/>
        <v>#REF!</v>
      </c>
      <c r="R37" s="136" t="str">
        <f>IFERROR(
  IF(B37="", "", VLOOKUP(B37, Data!$B$2:$K$905, 9, FALSE)),
  ""
)</f>
        <v/>
      </c>
      <c r="S37" s="152" t="str">
        <f t="shared" si="17"/>
        <v>#REF!</v>
      </c>
      <c r="T37" s="690"/>
      <c r="U37" s="136" t="str">
        <f>IFERROR(
  IF(B37="", "", VLOOKUP(B37, Data!$B$2:$K$905, 10, FALSE)),
  ""
)
</f>
        <v/>
      </c>
      <c r="V37" s="691"/>
      <c r="W37" s="140" t="str">
        <f t="shared" si="18"/>
        <v>#REF!</v>
      </c>
      <c r="X37" s="692"/>
      <c r="Y37" s="693"/>
      <c r="Z37" s="694"/>
      <c r="AA37" s="595"/>
      <c r="AB37" s="354" t="str">
        <f t="shared" si="19"/>
        <v>#REF!</v>
      </c>
      <c r="AC37" s="181"/>
      <c r="AD37" s="625"/>
      <c r="AE37" s="626"/>
      <c r="AF37" s="696"/>
      <c r="AG37" s="697"/>
      <c r="AH37" s="629"/>
      <c r="AI37" s="187"/>
      <c r="AJ37" s="630"/>
      <c r="AK37" s="630"/>
      <c r="AL37" s="595"/>
      <c r="AM37" s="595"/>
      <c r="AN37" s="595"/>
      <c r="AO37" s="595"/>
      <c r="AP37" s="595"/>
      <c r="AQ37" s="595"/>
      <c r="AR37" s="595"/>
      <c r="AS37" s="595"/>
      <c r="AT37" s="595"/>
      <c r="AU37" s="595"/>
      <c r="AV37" s="595"/>
      <c r="AW37" s="595"/>
      <c r="AX37" s="595"/>
      <c r="AY37" s="595"/>
      <c r="AZ37" s="595"/>
      <c r="BA37" s="595"/>
      <c r="BB37" s="595"/>
      <c r="BC37" s="595"/>
      <c r="BD37" s="595"/>
      <c r="BE37" s="595"/>
      <c r="BF37" s="595"/>
      <c r="BG37" s="595"/>
      <c r="BH37" s="595"/>
      <c r="BI37" s="651"/>
      <c r="BJ37" s="651"/>
      <c r="BK37" s="651"/>
      <c r="BL37" s="651"/>
      <c r="BM37" s="651"/>
      <c r="BN37" s="651"/>
      <c r="BO37" s="651"/>
      <c r="BP37" s="651"/>
      <c r="BQ37" s="651"/>
      <c r="BR37" s="651"/>
      <c r="BS37" s="651"/>
      <c r="BT37" s="651"/>
    </row>
    <row r="38">
      <c r="A38" s="1313"/>
      <c r="B38" s="717"/>
      <c r="C38" s="701"/>
      <c r="D38" s="701"/>
      <c r="E38" s="722"/>
      <c r="F38" s="126"/>
      <c r="G38" s="700"/>
      <c r="H38" s="700"/>
      <c r="I38" s="700"/>
      <c r="J38" s="701"/>
      <c r="K38" s="701" t="str">
        <f>IFERROR(
  IF(B38="", "", VLOOKUP(B38, Data!$B$2:$K$905, 7, FALSE)),
  ""
)</f>
        <v/>
      </c>
      <c r="L38" s="704"/>
      <c r="M38" s="704"/>
      <c r="N38" s="711" t="str">
        <f>IFERROR(__xludf.DUMMYFUNCTION("IF(B38="""", """", IFERROR(1 / COS(RADIANS(REGEXEXTRACT(F38,""(\d+)""))), 1))"),"")</f>
        <v/>
      </c>
      <c r="O38" s="712"/>
      <c r="P38" s="700"/>
      <c r="Q38" s="704"/>
      <c r="R38" s="136" t="str">
        <f>IFERROR(
  IF(B38="", "", VLOOKUP(B38, Data!$B$2:$K$905, 9, FALSE)),
  ""
)</f>
        <v/>
      </c>
      <c r="S38" s="691"/>
      <c r="T38" s="690"/>
      <c r="U38" s="136" t="str">
        <f>IFERROR(
  IF(B38="", "", VLOOKUP(B38, Data!$B$2:$K$905, 10, FALSE)),
  ""
)
</f>
        <v/>
      </c>
      <c r="V38" s="691"/>
      <c r="W38" s="713"/>
      <c r="X38" s="692"/>
      <c r="Y38" s="595"/>
      <c r="Z38" s="595"/>
      <c r="AA38" s="595"/>
      <c r="AB38" s="595"/>
      <c r="AC38" s="181"/>
      <c r="AD38" s="625"/>
      <c r="AE38" s="626"/>
      <c r="AF38" s="696"/>
      <c r="AG38" s="697"/>
      <c r="AH38" s="629"/>
      <c r="AI38" s="187"/>
      <c r="AJ38" s="630"/>
      <c r="AK38" s="630"/>
      <c r="AL38" s="595"/>
      <c r="AM38" s="595"/>
      <c r="AN38" s="595"/>
      <c r="AO38" s="595"/>
      <c r="AP38" s="595"/>
      <c r="AQ38" s="595"/>
      <c r="AR38" s="595"/>
      <c r="AS38" s="595"/>
      <c r="AT38" s="595"/>
      <c r="AU38" s="595"/>
      <c r="AV38" s="595"/>
      <c r="AW38" s="595"/>
      <c r="AX38" s="595"/>
      <c r="AY38" s="595"/>
      <c r="AZ38" s="595"/>
      <c r="BA38" s="595"/>
      <c r="BB38" s="595"/>
      <c r="BC38" s="595"/>
      <c r="BD38" s="595"/>
      <c r="BE38" s="595"/>
      <c r="BF38" s="595"/>
      <c r="BG38" s="595"/>
      <c r="BH38" s="595"/>
      <c r="BI38" s="651"/>
      <c r="BJ38" s="651"/>
      <c r="BK38" s="651"/>
      <c r="BL38" s="651"/>
      <c r="BM38" s="651"/>
      <c r="BN38" s="651"/>
      <c r="BO38" s="651"/>
      <c r="BP38" s="651"/>
      <c r="BQ38" s="651"/>
      <c r="BR38" s="651"/>
      <c r="BS38" s="651"/>
      <c r="BT38" s="651"/>
    </row>
    <row r="39">
      <c r="A39" s="1313">
        <v>1.0</v>
      </c>
      <c r="B39" s="1411"/>
      <c r="C39" s="89" t="s">
        <v>89</v>
      </c>
      <c r="D39" s="90"/>
      <c r="E39" s="91"/>
      <c r="F39" s="1412"/>
      <c r="G39" s="90"/>
      <c r="H39" s="90"/>
      <c r="I39" s="90"/>
      <c r="J39" s="90"/>
      <c r="K39" s="90" t="s">
        <v>42</v>
      </c>
      <c r="L39" s="91"/>
      <c r="M39" s="91"/>
      <c r="N39" s="92"/>
      <c r="O39" s="91"/>
      <c r="P39" s="90"/>
      <c r="Q39" s="91"/>
      <c r="R39" s="108" t="str">
        <f>IFERROR(
  IF(B39="", "", VLOOKUP(B39, Data!$B$2:$K$905, 9, FALSE)),
  ""
)</f>
        <v/>
      </c>
      <c r="S39" s="234"/>
      <c r="T39" s="235"/>
      <c r="U39" s="108" t="str">
        <f>IFERROR(
  IF(B39="", "", VLOOKUP(B39, Data!$B$2:$K$905, 10, FALSE)),
  ""
)
</f>
        <v/>
      </c>
      <c r="V39" s="234"/>
      <c r="W39" s="236"/>
      <c r="X39" s="1413"/>
      <c r="Y39" s="5"/>
      <c r="Z39" s="5"/>
      <c r="AA39" s="5"/>
      <c r="AB39" s="5"/>
      <c r="AC39" s="33"/>
      <c r="AD39" s="95"/>
      <c r="AE39" s="96"/>
      <c r="AF39" s="97"/>
      <c r="AG39" s="98"/>
      <c r="AH39" s="99"/>
      <c r="AI39" s="39"/>
      <c r="AJ39" s="101"/>
      <c r="AK39" s="101"/>
      <c r="AL39" s="5"/>
      <c r="AM39" s="5"/>
      <c r="AN39" s="5"/>
      <c r="AO39" s="5"/>
      <c r="AP39" s="5"/>
      <c r="AQ39" s="5"/>
      <c r="AR39" s="5"/>
      <c r="AS39" s="5"/>
      <c r="AT39" s="5"/>
      <c r="AU39" s="5"/>
      <c r="AV39" s="5"/>
      <c r="AW39" s="5"/>
      <c r="AX39" s="5"/>
      <c r="AY39" s="5"/>
      <c r="AZ39" s="5"/>
      <c r="BA39" s="5"/>
      <c r="BB39" s="5"/>
      <c r="BC39" s="5"/>
      <c r="BD39" s="5"/>
      <c r="BE39" s="5"/>
      <c r="BF39" s="5"/>
      <c r="BG39" s="5"/>
      <c r="BH39" s="5"/>
      <c r="BI39" s="260"/>
      <c r="BJ39" s="260"/>
      <c r="BK39" s="260"/>
      <c r="BL39" s="260"/>
      <c r="BM39" s="260"/>
      <c r="BN39" s="260"/>
      <c r="BO39" s="651"/>
      <c r="BP39" s="651"/>
      <c r="BQ39" s="651"/>
      <c r="BR39" s="651"/>
      <c r="BS39" s="651"/>
      <c r="BT39" s="651"/>
    </row>
    <row r="40">
      <c r="A40" s="1313">
        <v>1.0</v>
      </c>
      <c r="B40" s="747"/>
      <c r="C40" s="157" t="s">
        <v>90</v>
      </c>
      <c r="D40" s="104"/>
      <c r="E40" s="105"/>
      <c r="F40" s="1405"/>
      <c r="G40" s="104"/>
      <c r="H40" s="104"/>
      <c r="I40" s="104"/>
      <c r="J40" s="104"/>
      <c r="K40" s="104" t="s">
        <v>42</v>
      </c>
      <c r="L40" s="106" t="str">
        <f>Q40</f>
        <v>#REF!</v>
      </c>
      <c r="M40" s="105"/>
      <c r="N40" s="107"/>
      <c r="O40" s="105"/>
      <c r="P40" s="104"/>
      <c r="Q40" s="106" t="str">
        <f>Q41</f>
        <v>#REF!</v>
      </c>
      <c r="R40" s="108" t="str">
        <f>IFERROR(
  IF(B40="", "", VLOOKUP(B40, Data!$B$2:$K$905, 9, FALSE)),
  ""
)</f>
        <v/>
      </c>
      <c r="S40" s="1414" t="str">
        <f>iferror(T40/Q40,"")</f>
        <v/>
      </c>
      <c r="T40" s="109" t="str">
        <f>SUM(S41:S42)</f>
        <v>#REF!</v>
      </c>
      <c r="U40" s="108" t="str">
        <f>IFERROR(
  IF(B40="", "", VLOOKUP(B40, Data!$B$2:$K$905, 10, FALSE)),
  ""
)
</f>
        <v/>
      </c>
      <c r="V40" s="1414" t="str">
        <f>iferror(W40/Q40,"")</f>
        <v/>
      </c>
      <c r="W40" s="110" t="str">
        <f>SUM(W41:W42)</f>
        <v>#REF!</v>
      </c>
      <c r="X40" s="111" t="str">
        <f>W40/$AC$235/$W$242/$X$232</f>
        <v>#REF!</v>
      </c>
      <c r="Y40" s="112" t="str">
        <f>(T40+W40)=(SUM(AB41:AB42))</f>
        <v>#REF!</v>
      </c>
      <c r="Z40" s="113" t="str">
        <f>(T40+W40)-(SUM(AB41:AB42))</f>
        <v>#REF!</v>
      </c>
      <c r="AA40" s="595"/>
      <c r="AB40" s="595"/>
      <c r="AC40" s="33"/>
      <c r="AD40" s="114" t="str">
        <f>W40+T40</f>
        <v>#REF!</v>
      </c>
      <c r="AE40" s="115" t="str">
        <f>AD40</f>
        <v>#REF!</v>
      </c>
      <c r="AF40" s="116" t="str">
        <f>AE40/#REF!</f>
        <v>#REF!</v>
      </c>
      <c r="AG40" s="117" t="str">
        <f>AF40*#REF!</f>
        <v>#REF!</v>
      </c>
      <c r="AH40" s="118" t="str">
        <f>AF40*$AG$120</f>
        <v>#REF!</v>
      </c>
      <c r="AI40" s="39"/>
      <c r="AJ40" s="119" t="str">
        <f>ROUND(AK40/L40,2)</f>
        <v>#REF!</v>
      </c>
      <c r="AK40" s="119" t="str">
        <f>ROUND(AH40+AG40+AD40,2)</f>
        <v>#REF!</v>
      </c>
      <c r="AL40" s="5"/>
      <c r="AM40" s="5"/>
      <c r="AN40" s="5"/>
      <c r="AO40" s="5"/>
      <c r="AP40" s="5"/>
      <c r="AQ40" s="5"/>
      <c r="AR40" s="5"/>
      <c r="AS40" s="5"/>
      <c r="AT40" s="5"/>
      <c r="AU40" s="5"/>
      <c r="AV40" s="5"/>
      <c r="AW40" s="5"/>
      <c r="AX40" s="5"/>
      <c r="AY40" s="5"/>
      <c r="AZ40" s="5"/>
      <c r="BA40" s="5"/>
      <c r="BB40" s="5"/>
      <c r="BC40" s="5"/>
      <c r="BD40" s="5"/>
      <c r="BE40" s="5"/>
      <c r="BF40" s="5"/>
      <c r="BG40" s="5"/>
      <c r="BH40" s="5"/>
      <c r="BI40" s="260"/>
      <c r="BJ40" s="260"/>
      <c r="BK40" s="260"/>
      <c r="BL40" s="260"/>
      <c r="BM40" s="260"/>
      <c r="BN40" s="260"/>
      <c r="BO40" s="651"/>
      <c r="BP40" s="651"/>
      <c r="BQ40" s="651"/>
      <c r="BR40" s="651"/>
      <c r="BS40" s="651"/>
      <c r="BT40" s="651"/>
    </row>
    <row r="41">
      <c r="A41" s="1313"/>
      <c r="B41" s="717" t="s">
        <v>91</v>
      </c>
      <c r="C41" s="123" t="str">
        <f>IFERROR(__xludf.DUMMYFUNCTION("IF($B$15:$B648="""","""",
  VLOOKUP(
    $B$15:$B648,
    QUERY(
      IMPORTRANGE(""1Ag27m9YF5mMfJh2E6NipJDFvPLlDI1p-s_1XEnzMHcc"",""Merge!F2:R""),
      ""select Col1, Col4"",
      0
    ),
    2,
    FALSE
  )
)
"),"#REF!")</f>
        <v>#REF!</v>
      </c>
      <c r="D41" s="148" t="s">
        <v>92</v>
      </c>
      <c r="E41" s="1415"/>
      <c r="F41" s="135" t="str">
        <f>F37</f>
        <v/>
      </c>
      <c r="G41" s="127"/>
      <c r="H41" s="127" t="str">
        <f>IFERROR(__xludf.DUMMYFUNCTION("IFERROR(REGEXEXTRACT(C41, ""(\d*\.\d+)mm""), """")"),"")</f>
        <v/>
      </c>
      <c r="I41" s="127"/>
      <c r="J41" s="126" t="s">
        <v>87</v>
      </c>
      <c r="K41" s="128" t="s">
        <v>41</v>
      </c>
      <c r="L41" s="161"/>
      <c r="M41" s="169" t="str">
        <f>M36</f>
        <v>#REF!</v>
      </c>
      <c r="N41" s="151">
        <f>IFERROR(__xludf.DUMMYFUNCTION("IF(B41="""", """", IFERROR(1 / COS(RADIANS(REGEXEXTRACT(F41,""(\d+)""))), 1))"),1.0)</f>
        <v>1</v>
      </c>
      <c r="O41" s="169">
        <v>1.0</v>
      </c>
      <c r="P41" s="134">
        <v>1.0</v>
      </c>
      <c r="Q41" s="168" t="str">
        <f>M41*N41*O41*P41</f>
        <v>#REF!</v>
      </c>
      <c r="R41" s="136" t="str">
        <f>IFERROR(
  IF(B41="", "", VLOOKUP(B41, Data!$B$2:$K$905, 9, FALSE)),
  ""
)</f>
        <v/>
      </c>
      <c r="S41" s="137" t="str">
        <f>R41*Q41</f>
        <v>#REF!</v>
      </c>
      <c r="T41" s="138"/>
      <c r="U41" s="136" t="str">
        <f>IFERROR(
  IF(B41="", "", VLOOKUP(B41, Data!$B$2:$K$905, 10, FALSE)),
  ""
)
</f>
        <v/>
      </c>
      <c r="V41" s="139"/>
      <c r="W41" s="140" t="str">
        <f>U41*Q41</f>
        <v>#REF!</v>
      </c>
      <c r="X41" s="692"/>
      <c r="Y41" s="595"/>
      <c r="Z41" s="595"/>
      <c r="AA41" s="595"/>
      <c r="AB41" s="354" t="str">
        <f t="shared" ref="AB41:AB42" si="20">W41+S41</f>
        <v>#REF!</v>
      </c>
      <c r="AC41" s="33"/>
      <c r="AD41" s="65"/>
      <c r="AE41" s="66"/>
      <c r="AF41" s="144"/>
      <c r="AG41" s="68"/>
      <c r="AH41" s="69"/>
      <c r="AI41" s="39"/>
      <c r="AJ41" s="70"/>
      <c r="AK41" s="70"/>
      <c r="AL41" s="5"/>
      <c r="AM41" s="5"/>
      <c r="AN41" s="5"/>
      <c r="AO41" s="5"/>
      <c r="AP41" s="5"/>
      <c r="AQ41" s="5"/>
      <c r="AR41" s="5"/>
      <c r="AS41" s="5"/>
      <c r="AT41" s="5"/>
      <c r="AU41" s="5"/>
      <c r="AV41" s="5"/>
      <c r="AW41" s="5"/>
      <c r="AX41" s="5"/>
      <c r="AY41" s="5"/>
      <c r="AZ41" s="5"/>
      <c r="BA41" s="5"/>
      <c r="BB41" s="5"/>
      <c r="BC41" s="5"/>
      <c r="BD41" s="5"/>
      <c r="BE41" s="5"/>
      <c r="BF41" s="5"/>
      <c r="BG41" s="5"/>
      <c r="BH41" s="5"/>
      <c r="BI41" s="260"/>
      <c r="BJ41" s="260"/>
      <c r="BK41" s="260"/>
      <c r="BL41" s="260"/>
      <c r="BM41" s="260"/>
      <c r="BN41" s="260"/>
      <c r="BO41" s="651"/>
      <c r="BP41" s="651"/>
      <c r="BQ41" s="651"/>
      <c r="BR41" s="651"/>
      <c r="BS41" s="651"/>
      <c r="BT41" s="651"/>
    </row>
    <row r="42">
      <c r="A42" s="1313"/>
      <c r="B42" s="1408"/>
      <c r="C42" s="129"/>
      <c r="D42" s="129"/>
      <c r="E42" s="1415"/>
      <c r="F42" s="1407"/>
      <c r="G42" s="127"/>
      <c r="H42" s="127"/>
      <c r="I42" s="127"/>
      <c r="J42" s="129"/>
      <c r="K42" s="127" t="s">
        <v>42</v>
      </c>
      <c r="L42" s="161"/>
      <c r="M42" s="161" t="s">
        <v>42</v>
      </c>
      <c r="N42" s="162" t="str">
        <f>IFERROR(__xludf.DUMMYFUNCTION("IF(B42="""", """", IFERROR(1 / COS(RADIANS(REGEXEXTRACT(F42,""(\d+)""))), 1))"),"")</f>
        <v/>
      </c>
      <c r="O42" s="161"/>
      <c r="P42" s="127"/>
      <c r="Q42" s="163"/>
      <c r="R42" s="108" t="str">
        <f>IFERROR(
  IF(B42="", "", VLOOKUP(B42, Data!$B$2:$K$905, 9, FALSE)),
  ""
)</f>
        <v/>
      </c>
      <c r="S42" s="139"/>
      <c r="T42" s="138"/>
      <c r="U42" s="108" t="str">
        <f>IFERROR(
  IF(B42="", "", VLOOKUP(B42, Data!$B$2:$K$905, 10, FALSE)),
  ""
)
</f>
        <v/>
      </c>
      <c r="V42" s="139"/>
      <c r="W42" s="164"/>
      <c r="X42" s="692"/>
      <c r="Y42" s="693"/>
      <c r="Z42" s="694"/>
      <c r="AA42" s="595"/>
      <c r="AB42" s="354">
        <f t="shared" si="20"/>
        <v>0</v>
      </c>
      <c r="AC42" s="33"/>
      <c r="AD42" s="65"/>
      <c r="AE42" s="66"/>
      <c r="AF42" s="144"/>
      <c r="AG42" s="68"/>
      <c r="AH42" s="69"/>
      <c r="AI42" s="39"/>
      <c r="AJ42" s="70"/>
      <c r="AK42" s="70"/>
      <c r="AL42" s="5"/>
      <c r="AM42" s="5"/>
      <c r="AN42" s="5"/>
      <c r="AO42" s="5"/>
      <c r="AP42" s="5"/>
      <c r="AQ42" s="5"/>
      <c r="AR42" s="5"/>
      <c r="AS42" s="5"/>
      <c r="AT42" s="5"/>
      <c r="AU42" s="5"/>
      <c r="AV42" s="5"/>
      <c r="AW42" s="5"/>
      <c r="AX42" s="5"/>
      <c r="AY42" s="5"/>
      <c r="AZ42" s="5"/>
      <c r="BA42" s="5"/>
      <c r="BB42" s="5"/>
      <c r="BC42" s="5"/>
      <c r="BD42" s="5"/>
      <c r="BE42" s="5"/>
      <c r="BF42" s="5"/>
      <c r="BG42" s="5"/>
      <c r="BH42" s="5"/>
      <c r="BI42" s="260"/>
      <c r="BJ42" s="260"/>
      <c r="BK42" s="260"/>
      <c r="BL42" s="260"/>
      <c r="BM42" s="260"/>
      <c r="BN42" s="260"/>
      <c r="BO42" s="651"/>
      <c r="BP42" s="651"/>
      <c r="BQ42" s="651"/>
      <c r="BR42" s="651"/>
      <c r="BS42" s="651"/>
      <c r="BT42" s="651"/>
    </row>
    <row r="43">
      <c r="A43" s="1313">
        <v>1.0</v>
      </c>
      <c r="B43" s="652" t="s">
        <v>425</v>
      </c>
      <c r="C43" s="89" t="s">
        <v>93</v>
      </c>
      <c r="D43" s="172"/>
      <c r="E43" s="654"/>
      <c r="F43" s="657"/>
      <c r="G43" s="656"/>
      <c r="H43" s="656"/>
      <c r="I43" s="656"/>
      <c r="J43" s="656"/>
      <c r="K43" s="657" t="s">
        <v>42</v>
      </c>
      <c r="L43" s="658"/>
      <c r="M43" s="658" t="s">
        <v>42</v>
      </c>
      <c r="N43" s="659"/>
      <c r="O43" s="658"/>
      <c r="P43" s="656"/>
      <c r="Q43" s="658"/>
      <c r="R43" s="136" t="str">
        <f>IFERROR(
  IF(B43="", "", VLOOKUP(B43, Data!$B$2:$K$905, 9, FALSE)),
  ""
)</f>
        <v/>
      </c>
      <c r="S43" s="660"/>
      <c r="T43" s="661"/>
      <c r="U43" s="136" t="str">
        <f>IFERROR(
  IF(B43="", "", VLOOKUP(B43, Data!$B$2:$K$905, 10, FALSE)),
  ""
)
</f>
        <v/>
      </c>
      <c r="V43" s="662"/>
      <c r="W43" s="663"/>
      <c r="X43" s="692"/>
      <c r="Y43" s="595"/>
      <c r="Z43" s="595"/>
      <c r="AA43" s="595"/>
      <c r="AB43" s="354"/>
      <c r="AC43" s="181"/>
      <c r="AD43" s="625"/>
      <c r="AE43" s="626"/>
      <c r="AF43" s="696"/>
      <c r="AG43" s="628"/>
      <c r="AH43" s="629"/>
      <c r="AI43" s="187"/>
      <c r="AJ43" s="630"/>
      <c r="AK43" s="630"/>
      <c r="AL43" s="595"/>
      <c r="AM43" s="595"/>
      <c r="AN43" s="595"/>
      <c r="AO43" s="595"/>
      <c r="AP43" s="595"/>
      <c r="AQ43" s="595"/>
      <c r="AR43" s="595"/>
      <c r="AS43" s="595"/>
      <c r="AT43" s="595"/>
      <c r="AU43" s="595"/>
      <c r="AV43" s="595"/>
      <c r="AW43" s="595"/>
      <c r="AX43" s="595"/>
      <c r="AY43" s="595"/>
      <c r="AZ43" s="595"/>
      <c r="BA43" s="595"/>
      <c r="BB43" s="595"/>
      <c r="BC43" s="595"/>
      <c r="BD43" s="595"/>
      <c r="BE43" s="595"/>
      <c r="BF43" s="595"/>
      <c r="BG43" s="595"/>
      <c r="BH43" s="595"/>
      <c r="BI43" s="651"/>
      <c r="BJ43" s="651"/>
      <c r="BK43" s="651"/>
      <c r="BL43" s="651"/>
      <c r="BM43" s="651"/>
      <c r="BN43" s="651"/>
      <c r="BO43" s="651"/>
      <c r="BP43" s="651"/>
      <c r="BQ43" s="651"/>
      <c r="BR43" s="651"/>
      <c r="BS43" s="651"/>
      <c r="BT43" s="651"/>
    </row>
    <row r="44">
      <c r="A44" s="1313">
        <v>1.0</v>
      </c>
      <c r="B44" s="102"/>
      <c r="C44" s="769" t="s">
        <v>1197</v>
      </c>
      <c r="D44" s="104"/>
      <c r="E44" s="749"/>
      <c r="F44" s="104"/>
      <c r="G44" s="104"/>
      <c r="H44" s="104"/>
      <c r="I44" s="104"/>
      <c r="J44" s="104"/>
      <c r="K44" s="104" t="s">
        <v>42</v>
      </c>
      <c r="L44" s="106">
        <f>Q44</f>
        <v>0</v>
      </c>
      <c r="M44" s="105" t="s">
        <v>42</v>
      </c>
      <c r="N44" s="107"/>
      <c r="O44" s="105"/>
      <c r="P44" s="104"/>
      <c r="Q44" s="106">
        <f>Q45</f>
        <v>0</v>
      </c>
      <c r="R44" s="108" t="str">
        <f>IFERROR(
  IF(B44="", "", VLOOKUP(B44, Data!$B$2:$K$905, 9, FALSE)),
  ""
)</f>
        <v/>
      </c>
      <c r="S44" s="682">
        <f>IFERROR(T44/Q44, 0)</f>
        <v>0</v>
      </c>
      <c r="T44" s="109">
        <f>SUM(S45:S51)</f>
        <v>0</v>
      </c>
      <c r="U44" s="108" t="str">
        <f>IFERROR(
  IF(B44="", "", VLOOKUP(B44, Data!$B$2:$K$905, 10, FALSE)),
  ""
)
</f>
        <v/>
      </c>
      <c r="V44" s="109" t="str">
        <f>W44/Q44</f>
        <v>#DIV/0!</v>
      </c>
      <c r="W44" s="110">
        <f>SUM(W45:W51)</f>
        <v>0</v>
      </c>
      <c r="X44" s="111" t="str">
        <f>W44/$AC$1015/$W$1022/$X$1012</f>
        <v>#DIV/0!</v>
      </c>
      <c r="Y44" s="112" t="b">
        <f>(T44+W44)=(SUM(AB45:AB51))</f>
        <v>1</v>
      </c>
      <c r="Z44" s="222">
        <f>(T44+W44)-(SUM(AB45:AB51))</f>
        <v>0</v>
      </c>
      <c r="AA44" s="5"/>
      <c r="AB44" s="5"/>
      <c r="AC44" s="33"/>
      <c r="AD44" s="114">
        <f>W44+T44</f>
        <v>0</v>
      </c>
      <c r="AE44" s="115">
        <f>AD44</f>
        <v>0</v>
      </c>
      <c r="AF44" s="116" t="str">
        <f>AE44/$AE$990</f>
        <v>#DIV/0!</v>
      </c>
      <c r="AG44" s="683" t="str">
        <f>AF44*$AG$997</f>
        <v>#DIV/0!</v>
      </c>
      <c r="AH44" s="118" t="str">
        <f>AF44*$AG$1000</f>
        <v>#DIV/0!</v>
      </c>
      <c r="AI44" s="39"/>
      <c r="AJ44" s="119" t="str">
        <f>ROUND(AK44/L44,2)</f>
        <v>#DIV/0!</v>
      </c>
      <c r="AK44" s="119" t="str">
        <f>ROUND(AH44+AG44+AD44,2)</f>
        <v>#DIV/0!</v>
      </c>
      <c r="AL44" s="5"/>
      <c r="AM44" s="5"/>
      <c r="AN44" s="5"/>
      <c r="AO44" s="5"/>
      <c r="AP44" s="5"/>
      <c r="AQ44" s="5"/>
      <c r="AR44" s="5"/>
      <c r="AS44" s="5"/>
      <c r="AT44" s="5"/>
      <c r="AU44" s="5"/>
      <c r="AV44" s="5"/>
      <c r="AW44" s="5"/>
      <c r="AX44" s="5"/>
      <c r="AY44" s="5"/>
      <c r="AZ44" s="5"/>
      <c r="BA44" s="5"/>
      <c r="BB44" s="5"/>
      <c r="BC44" s="5"/>
      <c r="BD44" s="5"/>
      <c r="BE44" s="5"/>
      <c r="BF44" s="5"/>
      <c r="BG44" s="5"/>
      <c r="BH44" s="5"/>
      <c r="BI44" s="260"/>
      <c r="BJ44" s="260"/>
      <c r="BK44" s="260"/>
      <c r="BL44" s="260"/>
      <c r="BM44" s="260"/>
      <c r="BN44" s="260"/>
      <c r="BO44" s="260"/>
      <c r="BP44" s="260"/>
      <c r="BQ44" s="260"/>
      <c r="BR44" s="260"/>
      <c r="BS44" s="260"/>
      <c r="BT44" s="260"/>
    </row>
    <row r="45">
      <c r="A45" s="1313"/>
      <c r="B45" s="154" t="str">
        <f>IFERROR(__xludf.DUMMYFUNCTION("IFERROR(
  IF(C45="""","""",
    IF(OR(REGEXMATCH(D45,""(?i)-Flashing""), REGEXMATCH(D45,""(?i)-EavesGut""), REGEXMATCH(D45,""(?i)Valley"")),
        ""DR"" &amp;
        TEXT(
            ROUNDUP(
                MIN(
                    VALUE(MID(C45, FIND("&amp;"""("",C45)+1, FIND(""/"",C45)-FIND(""("",C45)-1)),
                    1200
                ) / 50, 0
            ) * 50, ""0""
        ) &amp;
        MID(C45, FIND(""/"",C45)+1, FIND("")"",C45)-FIND(""/"",C45)-1) &amp;
        TEXT(H45*100,""0"") &amp;
        I45,"&amp;"
    IF(AND(D45=""Roof Sheet"", REGEXMATCH(C45,""(?i)KS\d{4}[A-Z]{2}"")),
       REGEXEXTRACT(C45,""(?i)KS\d{4}[A-Z]{2}""),
    IF(AND(REGEXMATCH(D45,""(?i)-DP""), REGEXMATCH(C45,""(?i)Downpipe"")),
       ""dp"" &amp; REGEXEXTRACT(C45,""(\d+)"") &amp; ""mm"",
  "&amp;"  IF(AND(REGEXMATCH(D45,""(?i)Bracket""), REGEXMATCH(C45,""(?i)Bracket"")),
       ""Brkt"" &amp; REGEXEXTRACT(C45,""(\d+)"") &amp; ""mm"",
    IF(AND(REGEXMATCH(D45,""(?i)-OP""), REGEXMATCH(C45,""(?i)pops"")),
       ""op"" &amp; REGEXEXTRACT(C45,""(\d+)"") &amp; ""mm"""&amp;",
    IF(OR(D45=""R-FFTop"", D45=""R-FFBottom"", D45=""R-FFSide""),
        IF(REGEXMATCH(C45,""(?i)Profiled.*Top|Top.*Profiled""),""pfft"",
        IF(REGEXMATCH(C45,""(?i)Profiled.*Bottom|Bottom.*Profiled""),""pffb"",
        IF(REGEXMATCH(C45,""(?i)Squ"&amp;"are""),""sff"",""""))),
    IF(REGEXMATCH(D45,""(?i)-Rivets""),""Rvt"",
    IF(REGEXMATCH(D45,""(?i)Silicone""),""300ml"",
    IF(REGEXMATCH(D45,""(?i)R-Butyl""),""300ml"",
    IF(REGEXMATCH(D45,""(?i)Fix""),""GenFix"",
    IF(AND(REGEXMATCH(C45,""(?i)Tim"&amp;"ber""), REGEXMATCH(D45,""(?i)Timber"")),""tp"",
    IF(AND(REGEXMATCH(C45,""(?i)Vent G1275""), REGEXMATCH(D45,""(?i)Comb FIller"")),""CFV1275"",
    IF(REGEXMATCH(C45,""(?i)DPC""),""dpc"",
    IF(REGEXMATCH(C45,""(?i)Concealed Clips""),""ConClips"",
    I"&amp;"F(REGEXMATCH(D45,""(?i)-Takeoff ea""),""Takeoff ea"",
    IF(REGEXMATCH(D45,""(?i)-Takeoff LM""),""Takeoff LM"",
    IF(REGEXMATCH(D45,""(?i)-Takeoff m2""),""Takeoff m2"",
    IF(D45=""R-TU/TD"",""TU/TD"","""")))))))))))))))))
  )))"),"DR6506B55Mag")</f>
        <v>DR6506B55Mag</v>
      </c>
      <c r="C45" s="698" t="s">
        <v>1198</v>
      </c>
      <c r="D45" s="124" t="s">
        <v>96</v>
      </c>
      <c r="E45" s="687">
        <f>VALUE(MID(C45, FIND("(", C45)+1, FIND("/", C45)-FIND("(", C45)-1)) / 1000</f>
        <v>0.62</v>
      </c>
      <c r="F45" s="127" t="str">
        <f>F44</f>
        <v/>
      </c>
      <c r="G45" s="149"/>
      <c r="H45" s="128" t="str">
        <f>IFERROR(__xludf.DUMMYFUNCTION("IFERROR(REGEXEXTRACT(C45, ""(\d*\.\d+)mm""), """")"),"0.55")</f>
        <v>0.55</v>
      </c>
      <c r="I45" s="128" t="s">
        <v>97</v>
      </c>
      <c r="J45" s="126" t="s">
        <v>14</v>
      </c>
      <c r="K45" s="126" t="str">
        <f>IFERROR(
  IF(B45="", "", VLOOKUP(B45, Data!$B$2:$K$905, 7, FALSE)),
  ""
)</f>
        <v/>
      </c>
      <c r="L45" s="163"/>
      <c r="M45" s="150"/>
      <c r="N45" s="151">
        <f>IFERROR(__xludf.DUMMYFUNCTION("IF(B45="""", """", IFERROR(1 / COS(RADIANS(REGEXEXTRACT(F45,""(\d+)""))), 1))"),1.0)</f>
        <v>1</v>
      </c>
      <c r="O45" s="169">
        <v>1.0</v>
      </c>
      <c r="P45" s="134">
        <v>1.0</v>
      </c>
      <c r="Q45" s="168">
        <f t="shared" ref="Q45:Q50" si="22">M45*N45*O45*P45</f>
        <v>0</v>
      </c>
      <c r="R45" s="136" t="str">
        <f>IFERROR(
  IF(B45="", "", VLOOKUP(B45, Data!$B$2:$K$905, 9, FALSE)),
  ""
)</f>
        <v/>
      </c>
      <c r="S45" s="152">
        <f t="shared" ref="S45:S50" si="23">R45*Q45</f>
        <v>0</v>
      </c>
      <c r="T45" s="138"/>
      <c r="U45" s="136" t="str">
        <f>IFERROR(
  IF(B45="", "", VLOOKUP(B45, Data!$B$2:$K$905, 10, FALSE)),
  ""
)
</f>
        <v/>
      </c>
      <c r="V45" s="139"/>
      <c r="W45" s="140">
        <f t="shared" ref="W45:W50" si="24">U45*Q45</f>
        <v>0</v>
      </c>
      <c r="X45" s="159"/>
      <c r="Y45" s="165"/>
      <c r="Z45" s="1090"/>
      <c r="AA45" s="5"/>
      <c r="AB45" s="354">
        <f t="shared" ref="AB45:AB51" si="25">W45+S45</f>
        <v>0</v>
      </c>
      <c r="AC45" s="33"/>
      <c r="AD45" s="65"/>
      <c r="AE45" s="66"/>
      <c r="AF45" s="144"/>
      <c r="AG45" s="68"/>
      <c r="AH45" s="69"/>
      <c r="AI45" s="39"/>
      <c r="AJ45" s="70"/>
      <c r="AK45" s="70"/>
      <c r="AL45" s="5"/>
      <c r="AM45" s="5"/>
      <c r="AN45" s="5"/>
      <c r="AO45" s="5"/>
      <c r="AP45" s="5"/>
      <c r="AQ45" s="5"/>
      <c r="AR45" s="5"/>
      <c r="AS45" s="5"/>
      <c r="AT45" s="5"/>
      <c r="AU45" s="5"/>
      <c r="AV45" s="5"/>
      <c r="AW45" s="5"/>
      <c r="AX45" s="5"/>
      <c r="AY45" s="5"/>
      <c r="AZ45" s="5"/>
      <c r="BA45" s="5"/>
      <c r="BB45" s="5"/>
      <c r="BC45" s="5"/>
      <c r="BD45" s="5"/>
      <c r="BE45" s="5"/>
      <c r="BF45" s="5"/>
      <c r="BG45" s="5"/>
      <c r="BH45" s="5"/>
      <c r="BI45" s="260"/>
      <c r="BJ45" s="260"/>
      <c r="BK45" s="260"/>
      <c r="BL45" s="260"/>
      <c r="BM45" s="260"/>
      <c r="BN45" s="260"/>
      <c r="BO45" s="260"/>
      <c r="BP45" s="260"/>
      <c r="BQ45" s="260"/>
      <c r="BR45" s="260"/>
      <c r="BS45" s="260"/>
      <c r="BT45" s="260"/>
    </row>
    <row r="46">
      <c r="A46" s="1313"/>
      <c r="B46" s="154" t="str">
        <f>IFERROR(__xludf.DUMMYFUNCTION("IFERROR(
  IF(C46="""","""",
    IF(OR(REGEXMATCH(D46,""(?i)-Flashing""), REGEXMATCH(D46,""(?i)-EavesGut""), REGEXMATCH(D46,""(?i)Valley"")),
        ""DR"" &amp;
        TEXT(
            ROUNDUP(
                MIN(
                    VALUE(MID(C46, FIND("&amp;"""("",C46)+1, FIND(""/"",C46)-FIND(""("",C46)-1)),
                    1200
                ) / 50, 0
            ) * 50, ""0""
        ) &amp;
        MID(C46, FIND(""/"",C46)+1, FIND("")"",C46)-FIND(""/"",C46)-1) &amp;
        TEXT(H46*100,""0"") &amp;
        I46,"&amp;"
    IF(AND(D46=""Roof Sheet"", REGEXMATCH(C46,""(?i)KS\d{4}[A-Z]{2}"")),
       REGEXEXTRACT(C46,""(?i)KS\d{4}[A-Z]{2}""),
    IF(AND(REGEXMATCH(D46,""(?i)-DP""), REGEXMATCH(C46,""(?i)Downpipe"")),
       ""dp"" &amp; REGEXEXTRACT(C46,""(\d+)"") &amp; ""mm"",
  "&amp;"  IF(AND(REGEXMATCH(D46,""(?i)Bracket""), REGEXMATCH(C46,""(?i)Bracket"")),
       ""Brkt"" &amp; REGEXEXTRACT(C46,""(\d+)"") &amp; ""mm"",
    IF(AND(REGEXMATCH(D46,""(?i)-OP""), REGEXMATCH(C46,""(?i)pops"")),
       ""op"" &amp; REGEXEXTRACT(C46,""(\d+)"") &amp; ""mm"""&amp;",
    IF(OR(D46=""R-FFTop"", D46=""R-FFBottom"", D46=""R-FFSide""),
        IF(REGEXMATCH(C46,""(?i)Profiled.*Top|Top.*Profiled""),""pfft"",
        IF(REGEXMATCH(C46,""(?i)Profiled.*Bottom|Bottom.*Profiled""),""pffb"",
        IF(REGEXMATCH(C46,""(?i)Squ"&amp;"are""),""sff"",""""))),
    IF(REGEXMATCH(D46,""(?i)-Rivets""),""Rvt"",
    IF(REGEXMATCH(D46,""(?i)Silicone""),""300ml"",
    IF(REGEXMATCH(D46,""(?i)R-Butyl""),""300ml"",
    IF(REGEXMATCH(D46,""(?i)Fix""),""GenFix"",
    IF(AND(REGEXMATCH(C46,""(?i)Tim"&amp;"ber""), REGEXMATCH(D46,""(?i)Timber"")),""tp"",
    IF(AND(REGEXMATCH(C46,""(?i)Vent G1275""), REGEXMATCH(D46,""(?i)Comb FIller"")),""CFV1275"",
    IF(REGEXMATCH(C46,""(?i)DPC""),""dpc"",
    IF(REGEXMATCH(C46,""(?i)Concealed Clips""),""ConClips"",
    I"&amp;"F(REGEXMATCH(D46,""(?i)-Takeoff ea""),""Takeoff ea"",
    IF(REGEXMATCH(D46,""(?i)-Takeoff LM""),""Takeoff LM"",
    IF(REGEXMATCH(D46,""(?i)-Takeoff m2""),""Takeoff m2"",
    IF(D46=""R-TU/TD"",""TU/TD"","""")))))))))))))))))
  )))"),"300ml")</f>
        <v>300ml</v>
      </c>
      <c r="C46" s="734" t="s">
        <v>98</v>
      </c>
      <c r="D46" s="124" t="s">
        <v>99</v>
      </c>
      <c r="E46" s="687">
        <f t="shared" ref="E46:F46" si="21">E45</f>
        <v>0.62</v>
      </c>
      <c r="F46" s="127" t="str">
        <f t="shared" si="21"/>
        <v/>
      </c>
      <c r="G46" s="127"/>
      <c r="H46" s="127" t="str">
        <f>IFERROR(__xludf.DUMMYFUNCTION("IFERROR(REGEXEXTRACT(C46, ""(\d*\.\d+)mm""), """")"),"")</f>
        <v/>
      </c>
      <c r="I46" s="127"/>
      <c r="J46" s="126" t="s">
        <v>87</v>
      </c>
      <c r="K46" s="126" t="str">
        <f>IFERROR(
  IF(B46="", "", VLOOKUP(B46, Data!$B$2:$K$905, 7, FALSE)),
  ""
)</f>
        <v/>
      </c>
      <c r="L46" s="163"/>
      <c r="M46" s="150">
        <f>(ROUNDDOWN((M45/5.7)+2,0)*E46)/8</f>
        <v>0.155</v>
      </c>
      <c r="N46" s="151">
        <f>IFERROR(__xludf.DUMMYFUNCTION("IF(B46="""", """", IFERROR(1 / COS(RADIANS(REGEXEXTRACT(F46,""(\d+)""))), 1))"),1.0)</f>
        <v>1</v>
      </c>
      <c r="O46" s="169">
        <v>1.0</v>
      </c>
      <c r="P46" s="134">
        <v>1.0</v>
      </c>
      <c r="Q46" s="168">
        <f t="shared" si="22"/>
        <v>0.155</v>
      </c>
      <c r="R46" s="136" t="str">
        <f>IFERROR(
  IF(B46="", "", VLOOKUP(B46, Data!$B$2:$K$905, 9, FALSE)),
  ""
)</f>
        <v/>
      </c>
      <c r="S46" s="152">
        <f t="shared" si="23"/>
        <v>0</v>
      </c>
      <c r="T46" s="138"/>
      <c r="U46" s="108" t="str">
        <f>IFERROR(
  IF(B46="", "", VLOOKUP(B46, Data!$B$2:$K$905, 10, FALSE)),
  ""
)
</f>
        <v/>
      </c>
      <c r="V46" s="139"/>
      <c r="W46" s="140">
        <f t="shared" si="24"/>
        <v>0</v>
      </c>
      <c r="X46" s="159"/>
      <c r="Y46" s="5"/>
      <c r="Z46" s="5"/>
      <c r="AA46" s="5"/>
      <c r="AB46" s="354">
        <f t="shared" si="25"/>
        <v>0</v>
      </c>
      <c r="AC46" s="33"/>
      <c r="AD46" s="65"/>
      <c r="AE46" s="66"/>
      <c r="AF46" s="144"/>
      <c r="AG46" s="68"/>
      <c r="AH46" s="69"/>
      <c r="AI46" s="39"/>
      <c r="AJ46" s="70"/>
      <c r="AK46" s="70"/>
      <c r="AL46" s="5"/>
      <c r="AM46" s="5"/>
      <c r="AN46" s="5"/>
      <c r="AO46" s="5"/>
      <c r="AP46" s="5"/>
      <c r="AQ46" s="5"/>
      <c r="AR46" s="5"/>
      <c r="AS46" s="5"/>
      <c r="AT46" s="5"/>
      <c r="AU46" s="5"/>
      <c r="AV46" s="5"/>
      <c r="AW46" s="5"/>
      <c r="AX46" s="5"/>
      <c r="AY46" s="5"/>
      <c r="AZ46" s="5"/>
      <c r="BA46" s="5"/>
      <c r="BB46" s="5"/>
      <c r="BC46" s="5"/>
      <c r="BD46" s="5"/>
      <c r="BE46" s="5"/>
      <c r="BF46" s="5"/>
      <c r="BG46" s="5"/>
      <c r="BH46" s="5"/>
      <c r="BI46" s="260"/>
      <c r="BJ46" s="260"/>
      <c r="BK46" s="260"/>
      <c r="BL46" s="260"/>
      <c r="BM46" s="260"/>
      <c r="BN46" s="260"/>
      <c r="BO46" s="260"/>
      <c r="BP46" s="260"/>
      <c r="BQ46" s="260"/>
      <c r="BR46" s="260"/>
      <c r="BS46" s="260"/>
      <c r="BT46" s="260"/>
    </row>
    <row r="47">
      <c r="A47" s="1313"/>
      <c r="B47" s="154" t="str">
        <f>IFERROR(__xludf.DUMMYFUNCTION("IFERROR(
  IF(C47="""","""",
    IF(OR(REGEXMATCH(D47,""(?i)-Flashing""), REGEXMATCH(D47,""(?i)-EavesGut""), REGEXMATCH(D47,""(?i)Valley"")),
        ""DR"" &amp;
        TEXT(
            ROUNDUP(
                MIN(
                    VALUE(MID(C47, FIND("&amp;"""("",C47)+1, FIND(""/"",C47)-FIND(""("",C47)-1)),
                    1200
                ) / 50, 0
            ) * 50, ""0""
        ) &amp;
        MID(C47, FIND(""/"",C47)+1, FIND("")"",C47)-FIND(""/"",C47)-1) &amp;
        TEXT(H47*100,""0"") &amp;
        I47,"&amp;"
    IF(AND(D47=""Roof Sheet"", REGEXMATCH(C47,""(?i)KS\d{4}[A-Z]{2}"")),
       REGEXEXTRACT(C47,""(?i)KS\d{4}[A-Z]{2}""),
    IF(AND(REGEXMATCH(D47,""(?i)-DP""), REGEXMATCH(C47,""(?i)Downpipe"")),
       ""dp"" &amp; REGEXEXTRACT(C47,""(\d+)"") &amp; ""mm"",
  "&amp;"  IF(AND(REGEXMATCH(D47,""(?i)Bracket""), REGEXMATCH(C47,""(?i)Bracket"")),
       ""Brkt"" &amp; REGEXEXTRACT(C47,""(\d+)"") &amp; ""mm"",
    IF(AND(REGEXMATCH(D47,""(?i)-OP""), REGEXMATCH(C47,""(?i)pops"")),
       ""op"" &amp; REGEXEXTRACT(C47,""(\d+)"") &amp; ""mm"""&amp;",
    IF(OR(D47=""R-FFTop"", D47=""R-FFBottom"", D47=""R-FFSide""),
        IF(REGEXMATCH(C47,""(?i)Profiled.*Top|Top.*Profiled""),""pfft"",
        IF(REGEXMATCH(C47,""(?i)Profiled.*Bottom|Bottom.*Profiled""),""pffb"",
        IF(REGEXMATCH(C47,""(?i)Squ"&amp;"are""),""sff"",""""))),
    IF(REGEXMATCH(D47,""(?i)-Rivets""),""Rvt"",
    IF(REGEXMATCH(D47,""(?i)Silicone""),""300ml"",
    IF(REGEXMATCH(D47,""(?i)R-Butyl""),""300ml"",
    IF(REGEXMATCH(D47,""(?i)Fix""),""GenFix"",
    IF(AND(REGEXMATCH(C47,""(?i)Tim"&amp;"ber""), REGEXMATCH(D47,""(?i)Timber"")),""tp"",
    IF(AND(REGEXMATCH(C47,""(?i)Vent G1275""), REGEXMATCH(D47,""(?i)Comb FIller"")),""CFV1275"",
    IF(REGEXMATCH(C47,""(?i)DPC""),""dpc"",
    IF(REGEXMATCH(C47,""(?i)Concealed Clips""),""ConClips"",
    I"&amp;"F(REGEXMATCH(D47,""(?i)-Takeoff ea""),""Takeoff ea"",
    IF(REGEXMATCH(D47,""(?i)-Takeoff LM""),""Takeoff LM"",
    IF(REGEXMATCH(D47,""(?i)-Takeoff m2""),""Takeoff m2"",
    IF(D47=""R-TU/TD"",""TU/TD"","""")))))))))))))))))
  )))"),"Rvt")</f>
        <v>Rvt</v>
      </c>
      <c r="C47" s="734" t="s">
        <v>100</v>
      </c>
      <c r="D47" s="124" t="s">
        <v>101</v>
      </c>
      <c r="E47" s="687">
        <f>E45</f>
        <v>0.62</v>
      </c>
      <c r="F47" s="127" t="str">
        <f t="shared" ref="F47:F50" si="26">F46</f>
        <v/>
      </c>
      <c r="G47" s="127"/>
      <c r="H47" s="127" t="str">
        <f>IFERROR(__xludf.DUMMYFUNCTION("IFERROR(REGEXEXTRACT(C47, ""(\d*\.\d+)mm""), """")"),"")</f>
        <v/>
      </c>
      <c r="I47" s="127"/>
      <c r="J47" s="126" t="s">
        <v>87</v>
      </c>
      <c r="K47" s="126" t="str">
        <f>IFERROR(
  IF(B47="", "", VLOOKUP(B47, Data!$B$2:$K$905, 7, FALSE)),
  ""
)</f>
        <v/>
      </c>
      <c r="L47" s="163"/>
      <c r="M47" s="150">
        <f>ROUNDUP(((M45/5.7)+1)*(E47/0.05),0)</f>
        <v>13</v>
      </c>
      <c r="N47" s="151">
        <f>IFERROR(__xludf.DUMMYFUNCTION("IF(B47="""", """", IFERROR(1 / COS(RADIANS(REGEXEXTRACT(F47,""(\d+)""))), 1))"),1.0)</f>
        <v>1</v>
      </c>
      <c r="O47" s="169">
        <v>1.0</v>
      </c>
      <c r="P47" s="134">
        <v>1.0</v>
      </c>
      <c r="Q47" s="168">
        <f t="shared" si="22"/>
        <v>13</v>
      </c>
      <c r="R47" s="136" t="str">
        <f>IFERROR(
  IF(B47="", "", VLOOKUP(B47, Data!$B$2:$K$905, 9, FALSE)),
  ""
)</f>
        <v/>
      </c>
      <c r="S47" s="152">
        <f t="shared" si="23"/>
        <v>0</v>
      </c>
      <c r="T47" s="138"/>
      <c r="U47" s="108" t="str">
        <f>IFERROR(
  IF(B47="", "", VLOOKUP(B47, Data!$B$2:$K$905, 10, FALSE)),
  ""
)
</f>
        <v/>
      </c>
      <c r="V47" s="139"/>
      <c r="W47" s="140">
        <f t="shared" si="24"/>
        <v>0</v>
      </c>
      <c r="X47" s="159"/>
      <c r="Y47" s="5"/>
      <c r="Z47" s="5"/>
      <c r="AA47" s="5"/>
      <c r="AB47" s="354">
        <f t="shared" si="25"/>
        <v>0</v>
      </c>
      <c r="AC47" s="33"/>
      <c r="AD47" s="65"/>
      <c r="AE47" s="66"/>
      <c r="AF47" s="144"/>
      <c r="AG47" s="68"/>
      <c r="AH47" s="69"/>
      <c r="AI47" s="39"/>
      <c r="AJ47" s="70"/>
      <c r="AK47" s="70"/>
      <c r="AL47" s="5"/>
      <c r="AM47" s="5"/>
      <c r="AN47" s="5"/>
      <c r="AO47" s="5"/>
      <c r="AP47" s="5"/>
      <c r="AQ47" s="5"/>
      <c r="AR47" s="5"/>
      <c r="AS47" s="5"/>
      <c r="AT47" s="5"/>
      <c r="AU47" s="5"/>
      <c r="AV47" s="5"/>
      <c r="AW47" s="5"/>
      <c r="AX47" s="5"/>
      <c r="AY47" s="5"/>
      <c r="AZ47" s="5"/>
      <c r="BA47" s="5"/>
      <c r="BB47" s="5"/>
      <c r="BC47" s="5"/>
      <c r="BD47" s="5"/>
      <c r="BE47" s="5"/>
      <c r="BF47" s="5"/>
      <c r="BG47" s="5"/>
      <c r="BH47" s="5"/>
      <c r="BI47" s="260"/>
      <c r="BJ47" s="260"/>
      <c r="BK47" s="260"/>
      <c r="BL47" s="260"/>
      <c r="BM47" s="260"/>
      <c r="BN47" s="260"/>
      <c r="BO47" s="260"/>
      <c r="BP47" s="260"/>
      <c r="BQ47" s="260"/>
      <c r="BR47" s="260"/>
      <c r="BS47" s="260"/>
      <c r="BT47" s="260"/>
    </row>
    <row r="48">
      <c r="A48" s="1313"/>
      <c r="B48" s="154" t="str">
        <f>IFERROR(__xludf.DUMMYFUNCTION("IFERROR(
  IF(C48="""","""",
    IF(OR(REGEXMATCH(D48,""(?i)-Flashing""), REGEXMATCH(D48,""(?i)-EavesGut""), REGEXMATCH(D48,""(?i)Valley"")),
        ""DR"" &amp;
        TEXT(
            ROUNDUP(
                MIN(
                    VALUE(MID(C48, FIND("&amp;"""("",C48)+1, FIND(""/"",C48)-FIND(""("",C48)-1)),
                    1200
                ) / 50, 0
            ) * 50, ""0""
        ) &amp;
        MID(C48, FIND(""/"",C48)+1, FIND("")"",C48)-FIND(""/"",C48)-1) &amp;
        TEXT(H48*100,""0"") &amp;
        I48,"&amp;"
    IF(AND(D48=""Roof Sheet"", REGEXMATCH(C48,""(?i)KS\d{4}[A-Z]{2}"")),
       REGEXEXTRACT(C48,""(?i)KS\d{4}[A-Z]{2}""),
    IF(AND(REGEXMATCH(D48,""(?i)-DP""), REGEXMATCH(C48,""(?i)Downpipe"")),
       ""dp"" &amp; REGEXEXTRACT(C48,""(\d+)"") &amp; ""mm"",
  "&amp;"  IF(AND(REGEXMATCH(D48,""(?i)Bracket""), REGEXMATCH(C48,""(?i)Bracket"")),
       ""Brkt"" &amp; REGEXEXTRACT(C48,""(\d+)"") &amp; ""mm"",
    IF(AND(REGEXMATCH(D48,""(?i)-OP""), REGEXMATCH(C48,""(?i)pops"")),
       ""op"" &amp; REGEXEXTRACT(C48,""(\d+)"") &amp; ""mm"""&amp;",
    IF(OR(D48=""R-FFTop"", D48=""R-FFBottom"", D48=""R-FFSide""),
        IF(REGEXMATCH(C48,""(?i)Profiled.*Top|Top.*Profiled""),""pfft"",
        IF(REGEXMATCH(C48,""(?i)Profiled.*Bottom|Bottom.*Profiled""),""pffb"",
        IF(REGEXMATCH(C48,""(?i)Squ"&amp;"are""),""sff"",""""))),
    IF(REGEXMATCH(D48,""(?i)-Rivets""),""Rvt"",
    IF(REGEXMATCH(D48,""(?i)Silicone""),""300ml"",
    IF(REGEXMATCH(D48,""(?i)R-Butyl""),""300ml"",
    IF(REGEXMATCH(D48,""(?i)Fix""),""GenFix"",
    IF(AND(REGEXMATCH(C48,""(?i)Tim"&amp;"ber""), REGEXMATCH(D48,""(?i)Timber"")),""tp"",
    IF(AND(REGEXMATCH(C48,""(?i)Vent G1275""), REGEXMATCH(D48,""(?i)Comb FIller"")),""CFV1275"",
    IF(REGEXMATCH(C48,""(?i)DPC""),""dpc"",
    IF(REGEXMATCH(C48,""(?i)Concealed Clips""),""ConClips"",
    I"&amp;"F(REGEXMATCH(D48,""(?i)-Takeoff ea""),""Takeoff ea"",
    IF(REGEXMATCH(D48,""(?i)-Takeoff LM""),""Takeoff LM"",
    IF(REGEXMATCH(D48,""(?i)-Takeoff m2""),""Takeoff m2"",
    IF(D48=""R-TU/TD"",""TU/TD"","""")))))))))))))))))
  )))"),"GenFix")</f>
        <v>GenFix</v>
      </c>
      <c r="C48" s="698" t="s">
        <v>102</v>
      </c>
      <c r="D48" s="124" t="s">
        <v>103</v>
      </c>
      <c r="E48" s="752"/>
      <c r="F48" s="127" t="str">
        <f t="shared" si="26"/>
        <v/>
      </c>
      <c r="G48" s="129"/>
      <c r="H48" s="127"/>
      <c r="I48" s="127"/>
      <c r="J48" s="126" t="s">
        <v>87</v>
      </c>
      <c r="K48" s="126" t="str">
        <f>IFERROR(
  IF(B48="", "", VLOOKUP(B48, Data!$B$2:$K$905, 7, FALSE)),
  ""
)</f>
        <v/>
      </c>
      <c r="L48" s="161"/>
      <c r="M48" s="150">
        <f>ROUNDUP(M45/0.6,0)+1</f>
        <v>1</v>
      </c>
      <c r="N48" s="151">
        <f>IFERROR(__xludf.DUMMYFUNCTION("IF(B48="""", """", IFERROR(1 / COS(RADIANS(REGEXEXTRACT(F48,""(\d+)""))), 1))"),1.0)</f>
        <v>1</v>
      </c>
      <c r="O48" s="169">
        <v>1.0</v>
      </c>
      <c r="P48" s="134">
        <v>2.0</v>
      </c>
      <c r="Q48" s="168">
        <f t="shared" si="22"/>
        <v>2</v>
      </c>
      <c r="R48" s="136" t="str">
        <f>IFERROR(
  IF(B48="", "", VLOOKUP(B48, Data!$B$2:$K$905, 9, FALSE)),
  ""
)</f>
        <v/>
      </c>
      <c r="S48" s="152">
        <f t="shared" si="23"/>
        <v>0</v>
      </c>
      <c r="T48" s="138"/>
      <c r="U48" s="108" t="str">
        <f>IFERROR(
  IF(B48="", "", VLOOKUP(B48, Data!$B$2:$K$905, 10, FALSE)),
  ""
)
</f>
        <v/>
      </c>
      <c r="V48" s="139"/>
      <c r="W48" s="140">
        <f t="shared" si="24"/>
        <v>0</v>
      </c>
      <c r="X48" s="159"/>
      <c r="Y48" s="5"/>
      <c r="Z48" s="5"/>
      <c r="AA48" s="5"/>
      <c r="AB48" s="354">
        <f t="shared" si="25"/>
        <v>0</v>
      </c>
      <c r="AC48" s="33"/>
      <c r="AD48" s="65"/>
      <c r="AE48" s="66"/>
      <c r="AF48" s="144"/>
      <c r="AG48" s="68"/>
      <c r="AH48" s="69"/>
      <c r="AI48" s="39"/>
      <c r="AJ48" s="70"/>
      <c r="AK48" s="70"/>
      <c r="AL48" s="5"/>
      <c r="AM48" s="5"/>
      <c r="AN48" s="5"/>
      <c r="AO48" s="5"/>
      <c r="AP48" s="5"/>
      <c r="AQ48" s="5"/>
      <c r="AR48" s="5"/>
      <c r="AS48" s="5"/>
      <c r="AT48" s="5"/>
      <c r="AU48" s="5"/>
      <c r="AV48" s="5"/>
      <c r="AW48" s="5"/>
      <c r="AX48" s="5"/>
      <c r="AY48" s="5"/>
      <c r="AZ48" s="5"/>
      <c r="BA48" s="5"/>
      <c r="BB48" s="5"/>
      <c r="BC48" s="5"/>
      <c r="BD48" s="5"/>
      <c r="BE48" s="5"/>
      <c r="BF48" s="5"/>
      <c r="BG48" s="5"/>
      <c r="BH48" s="5"/>
      <c r="BI48" s="260"/>
      <c r="BJ48" s="260"/>
      <c r="BK48" s="260"/>
      <c r="BL48" s="260"/>
      <c r="BM48" s="260"/>
      <c r="BN48" s="260"/>
      <c r="BO48" s="260"/>
      <c r="BP48" s="260"/>
      <c r="BQ48" s="260"/>
      <c r="BR48" s="260"/>
      <c r="BS48" s="260"/>
      <c r="BT48" s="260"/>
    </row>
    <row r="49">
      <c r="A49" s="1313"/>
      <c r="B49" s="154" t="str">
        <f>IFERROR(__xludf.DUMMYFUNCTION("IFERROR(
  IF(C49="""","""",
    IF(OR(REGEXMATCH(D49,""(?i)-Flashing""), REGEXMATCH(D49,""(?i)-EavesGut""), REGEXMATCH(D49,""(?i)Valley"")),
        ""DR"" &amp;
        TEXT(
            ROUNDUP(
                MIN(
                    VALUE(MID(C49, FIND("&amp;"""("",C49)+1, FIND(""/"",C49)-FIND(""("",C49)-1)),
                    1200
                ) / 50, 0
            ) * 50, ""0""
        ) &amp;
        MID(C49, FIND(""/"",C49)+1, FIND("")"",C49)-FIND(""/"",C49)-1) &amp;
        TEXT(H49*100,""0"") &amp;
        I49,"&amp;"
    IF(AND(D49=""Roof Sheet"", REGEXMATCH(C49,""(?i)KS\d{4}[A-Z]{2}"")),
       REGEXEXTRACT(C49,""(?i)KS\d{4}[A-Z]{2}""),
    IF(AND(REGEXMATCH(D49,""(?i)-DP""), REGEXMATCH(C49,""(?i)Downpipe"")),
       ""dp"" &amp; REGEXEXTRACT(C49,""(\d+)"") &amp; ""mm"",
  "&amp;"  IF(AND(REGEXMATCH(D49,""(?i)Bracket""), REGEXMATCH(C49,""(?i)Bracket"")),
       ""Brkt"" &amp; REGEXEXTRACT(C49,""(\d+)"") &amp; ""mm"",
    IF(AND(REGEXMATCH(D49,""(?i)-OP""), REGEXMATCH(C49,""(?i)pops"")),
       ""op"" &amp; REGEXEXTRACT(C49,""(\d+)"") &amp; ""mm"""&amp;",
    IF(OR(D49=""R-FFTop"", D49=""R-FFBottom"", D49=""R-FFSide""),
        IF(REGEXMATCH(C49,""(?i)Profiled.*Top|Top.*Profiled""),""pfft"",
        IF(REGEXMATCH(C49,""(?i)Profiled.*Bottom|Bottom.*Profiled""),""pffb"",
        IF(REGEXMATCH(C49,""(?i)Squ"&amp;"are""),""sff"",""""))),
    IF(REGEXMATCH(D49,""(?i)-Rivets""),""Rvt"",
    IF(REGEXMATCH(D49,""(?i)Silicone""),""300ml"",
    IF(REGEXMATCH(D49,""(?i)R-Butyl""),""300ml"",
    IF(REGEXMATCH(D49,""(?i)Fix""),""GenFix"",
    IF(AND(REGEXMATCH(C49,""(?i)Tim"&amp;"ber""), REGEXMATCH(D49,""(?i)Timber"")),""tp"",
    IF(AND(REGEXMATCH(C49,""(?i)Vent G1275""), REGEXMATCH(D49,""(?i)Comb FIller"")),""CFV1275"",
    IF(REGEXMATCH(C49,""(?i)DPC""),""dpc"",
    IF(REGEXMATCH(C49,""(?i)Concealed Clips""),""ConClips"",
    I"&amp;"F(REGEXMATCH(D49,""(?i)-Takeoff ea""),""Takeoff ea"",
    IF(REGEXMATCH(D49,""(?i)-Takeoff LM""),""Takeoff LM"",
    IF(REGEXMATCH(D49,""(?i)-Takeoff m2""),""Takeoff m2"",
    IF(D49=""R-TU/TD"",""TU/TD"","""")))))))))))))))))
  )))"),"pfft")</f>
        <v>pfft</v>
      </c>
      <c r="C49" s="734" t="s">
        <v>104</v>
      </c>
      <c r="D49" s="124" t="s">
        <v>105</v>
      </c>
      <c r="E49" s="752"/>
      <c r="F49" s="127" t="str">
        <f t="shared" si="26"/>
        <v/>
      </c>
      <c r="G49" s="129"/>
      <c r="H49" s="127"/>
      <c r="I49" s="127"/>
      <c r="J49" s="126" t="s">
        <v>87</v>
      </c>
      <c r="K49" s="126" t="str">
        <f>IFERROR(
  IF(B49="", "", VLOOKUP(B49, Data!$B$2:$K$905, 7, FALSE)),
  ""
)</f>
        <v/>
      </c>
      <c r="L49" s="161"/>
      <c r="M49" s="150" t="str">
        <f>M45</f>
        <v/>
      </c>
      <c r="N49" s="151">
        <f>IFERROR(__xludf.DUMMYFUNCTION("IF(B49="""", """", IFERROR(1 / COS(RADIANS(REGEXEXTRACT(F49,""(\d+)""))), 1))"),1.0)</f>
        <v>1</v>
      </c>
      <c r="O49" s="169">
        <v>1.0</v>
      </c>
      <c r="P49" s="134">
        <v>2.0</v>
      </c>
      <c r="Q49" s="168">
        <f t="shared" si="22"/>
        <v>0</v>
      </c>
      <c r="R49" s="136" t="str">
        <f>IFERROR(
  IF(B49="", "", VLOOKUP(B49, Data!$B$2:$K$905, 9, FALSE)),
  ""
)</f>
        <v/>
      </c>
      <c r="S49" s="152">
        <f t="shared" si="23"/>
        <v>0</v>
      </c>
      <c r="T49" s="138"/>
      <c r="U49" s="136" t="str">
        <f>IFERROR(
  IF(B49="", "", VLOOKUP(B49, Data!$B$2:$K$905, 10, FALSE)),
  ""
)
</f>
        <v/>
      </c>
      <c r="V49" s="139"/>
      <c r="W49" s="140">
        <f t="shared" si="24"/>
        <v>0</v>
      </c>
      <c r="X49" s="159"/>
      <c r="Y49" s="5"/>
      <c r="Z49" s="5"/>
      <c r="AA49" s="5"/>
      <c r="AB49" s="354">
        <f t="shared" si="25"/>
        <v>0</v>
      </c>
      <c r="AC49" s="33"/>
      <c r="AD49" s="65"/>
      <c r="AE49" s="66"/>
      <c r="AF49" s="144"/>
      <c r="AG49" s="68"/>
      <c r="AH49" s="69"/>
      <c r="AI49" s="39"/>
      <c r="AJ49" s="70"/>
      <c r="AK49" s="70"/>
      <c r="AL49" s="5"/>
      <c r="AM49" s="5"/>
      <c r="AN49" s="5"/>
      <c r="AO49" s="5"/>
      <c r="AP49" s="5"/>
      <c r="AQ49" s="5"/>
      <c r="AR49" s="5"/>
      <c r="AS49" s="5"/>
      <c r="AT49" s="5"/>
      <c r="AU49" s="5"/>
      <c r="AV49" s="5"/>
      <c r="AW49" s="5"/>
      <c r="AX49" s="5"/>
      <c r="AY49" s="5"/>
      <c r="AZ49" s="5"/>
      <c r="BA49" s="5"/>
      <c r="BB49" s="5"/>
      <c r="BC49" s="5"/>
      <c r="BD49" s="5"/>
      <c r="BE49" s="5"/>
      <c r="BF49" s="5"/>
      <c r="BG49" s="5"/>
      <c r="BH49" s="5"/>
      <c r="BI49" s="260"/>
      <c r="BJ49" s="260"/>
      <c r="BK49" s="260"/>
      <c r="BL49" s="260"/>
      <c r="BM49" s="260"/>
      <c r="BN49" s="260"/>
      <c r="BO49" s="260"/>
      <c r="BP49" s="260"/>
      <c r="BQ49" s="260"/>
      <c r="BR49" s="260"/>
      <c r="BS49" s="260"/>
      <c r="BT49" s="260"/>
    </row>
    <row r="50">
      <c r="A50" s="1313"/>
      <c r="B50" s="154" t="str">
        <f>IFERROR(__xludf.DUMMYFUNCTION("IFERROR(
  IF(C50="""","""",
    IF(OR(REGEXMATCH(D50,""(?i)-Flashing""), REGEXMATCH(D50,""(?i)-EavesGut""), REGEXMATCH(D50,""(?i)Valley"")),
        ""DR"" &amp;
        TEXT(
            ROUNDUP(
                MIN(
                    VALUE(MID(C50, FIND("&amp;"""("",C50)+1, FIND(""/"",C50)-FIND(""("",C50)-1)),
                    1200
                ) / 50, 0
            ) * 50, ""0""
        ) &amp;
        MID(C50, FIND(""/"",C50)+1, FIND("")"",C50)-FIND(""/"",C50)-1) &amp;
        TEXT(H50*100,""0"") &amp;
        I50,"&amp;"
    IF(AND(D50=""Roof Sheet"", REGEXMATCH(C50,""(?i)KS\d{4}[A-Z]{2}"")),
       REGEXEXTRACT(C50,""(?i)KS\d{4}[A-Z]{2}""),
    IF(AND(REGEXMATCH(D50,""(?i)-DP""), REGEXMATCH(C50,""(?i)Downpipe"")),
       ""dp"" &amp; REGEXEXTRACT(C50,""(\d+)"") &amp; ""mm"",
  "&amp;"  IF(AND(REGEXMATCH(D50,""(?i)Bracket""), REGEXMATCH(C50,""(?i)Bracket"")),
       ""Brkt"" &amp; REGEXEXTRACT(C50,""(\d+)"") &amp; ""mm"",
    IF(AND(REGEXMATCH(D50,""(?i)-OP""), REGEXMATCH(C50,""(?i)pops"")),
       ""op"" &amp; REGEXEXTRACT(C50,""(\d+)"") &amp; ""mm"""&amp;",
    IF(OR(D50=""R-FFTop"", D50=""R-FFBottom"", D50=""R-FFSide""),
        IF(REGEXMATCH(C50,""(?i)Profiled.*Top|Top.*Profiled""),""pfft"",
        IF(REGEXMATCH(C50,""(?i)Profiled.*Bottom|Bottom.*Profiled""),""pffb"",
        IF(REGEXMATCH(C50,""(?i)Squ"&amp;"are""),""sff"",""""))),
    IF(REGEXMATCH(D50,""(?i)-Rivets""),""Rvt"",
    IF(REGEXMATCH(D50,""(?i)Silicone""),""300ml"",
    IF(REGEXMATCH(D50,""(?i)R-Butyl""),""300ml"",
    IF(REGEXMATCH(D50,""(?i)Fix""),""GenFix"",
    IF(AND(REGEXMATCH(C50,""(?i)Tim"&amp;"ber""), REGEXMATCH(D50,""(?i)Timber"")),""tp"",
    IF(AND(REGEXMATCH(C50,""(?i)Vent G1275""), REGEXMATCH(D50,""(?i)Comb FIller"")),""CFV1275"",
    IF(REGEXMATCH(C50,""(?i)DPC""),""dpc"",
    IF(REGEXMATCH(C50,""(?i)Concealed Clips""),""ConClips"",
    I"&amp;"F(REGEXMATCH(D50,""(?i)-Takeoff ea""),""Takeoff ea"",
    IF(REGEXMATCH(D50,""(?i)-Takeoff LM""),""Takeoff LM"",
    IF(REGEXMATCH(D50,""(?i)-Takeoff m2""),""Takeoff m2"",
    IF(D50=""R-TU/TD"",""TU/TD"","""")))))))))))))))))
  )))"),"TU/TD")</f>
        <v>TU/TD</v>
      </c>
      <c r="C50" s="698" t="s">
        <v>446</v>
      </c>
      <c r="D50" s="124" t="s">
        <v>107</v>
      </c>
      <c r="E50" s="752"/>
      <c r="F50" s="127" t="str">
        <f t="shared" si="26"/>
        <v/>
      </c>
      <c r="G50" s="129"/>
      <c r="H50" s="127"/>
      <c r="I50" s="127"/>
      <c r="J50" s="126" t="s">
        <v>87</v>
      </c>
      <c r="K50" s="126" t="str">
        <f>IFERROR(
  IF(B50="", "", VLOOKUP(B50, Data!$B$2:$K$905, 7, FALSE)),
  ""
)</f>
        <v/>
      </c>
      <c r="L50" s="163"/>
      <c r="M50" s="150" t="str">
        <f>M45</f>
        <v/>
      </c>
      <c r="N50" s="151">
        <f>IFERROR(__xludf.DUMMYFUNCTION("IF(B50="""", """", IFERROR(1 / COS(RADIANS(REGEXEXTRACT(F50,""(\d+)""))), 1))"),1.0)</f>
        <v>1</v>
      </c>
      <c r="O50" s="169">
        <v>1.0</v>
      </c>
      <c r="P50" s="134">
        <v>2.0</v>
      </c>
      <c r="Q50" s="168">
        <f t="shared" si="22"/>
        <v>0</v>
      </c>
      <c r="R50" s="108" t="str">
        <f>IFERROR(
  IF(B50="", "", VLOOKUP(B50, Data!$B$2:$K$905, 9, FALSE)),
  ""
)</f>
        <v/>
      </c>
      <c r="S50" s="152">
        <f t="shared" si="23"/>
        <v>0</v>
      </c>
      <c r="T50" s="138"/>
      <c r="U50" s="136" t="str">
        <f>IFERROR(
  IF(B50="", "", VLOOKUP(B50, Data!$B$2:$K$905, 10, FALSE)),
  ""
)
</f>
        <v/>
      </c>
      <c r="V50" s="139"/>
      <c r="W50" s="140">
        <f t="shared" si="24"/>
        <v>0</v>
      </c>
      <c r="X50" s="159"/>
      <c r="Y50" s="5"/>
      <c r="Z50" s="5"/>
      <c r="AA50" s="5"/>
      <c r="AB50" s="354">
        <f t="shared" si="25"/>
        <v>0</v>
      </c>
      <c r="AC50" s="33"/>
      <c r="AD50" s="65"/>
      <c r="AE50" s="66"/>
      <c r="AF50" s="144"/>
      <c r="AG50" s="68"/>
      <c r="AH50" s="69"/>
      <c r="AI50" s="39"/>
      <c r="AJ50" s="70"/>
      <c r="AK50" s="70"/>
      <c r="AL50" s="5"/>
      <c r="AM50" s="5"/>
      <c r="AN50" s="5"/>
      <c r="AO50" s="5"/>
      <c r="AP50" s="5"/>
      <c r="AQ50" s="5"/>
      <c r="AR50" s="5"/>
      <c r="AS50" s="5"/>
      <c r="AT50" s="5"/>
      <c r="AU50" s="5"/>
      <c r="AV50" s="5"/>
      <c r="AW50" s="5"/>
      <c r="AX50" s="5"/>
      <c r="AY50" s="5"/>
      <c r="AZ50" s="5"/>
      <c r="BA50" s="5"/>
      <c r="BB50" s="5"/>
      <c r="BC50" s="5"/>
      <c r="BD50" s="5"/>
      <c r="BE50" s="5"/>
      <c r="BF50" s="5"/>
      <c r="BG50" s="5"/>
      <c r="BH50" s="5"/>
      <c r="BI50" s="260"/>
      <c r="BJ50" s="260"/>
      <c r="BK50" s="260"/>
      <c r="BL50" s="260"/>
      <c r="BM50" s="260"/>
      <c r="BN50" s="260"/>
      <c r="BO50" s="260"/>
      <c r="BP50" s="260"/>
      <c r="BQ50" s="260"/>
      <c r="BR50" s="260"/>
      <c r="BS50" s="260"/>
      <c r="BT50" s="260"/>
    </row>
    <row r="51">
      <c r="A51" s="1313"/>
      <c r="B51" s="160"/>
      <c r="C51" s="757"/>
      <c r="D51" s="129"/>
      <c r="E51" s="752"/>
      <c r="F51" s="127"/>
      <c r="G51" s="129"/>
      <c r="H51" s="127"/>
      <c r="I51" s="127"/>
      <c r="J51" s="129"/>
      <c r="K51" s="129"/>
      <c r="L51" s="161"/>
      <c r="M51" s="163"/>
      <c r="N51" s="162"/>
      <c r="O51" s="161"/>
      <c r="P51" s="127"/>
      <c r="Q51" s="161"/>
      <c r="R51" s="108" t="str">
        <f>IFERROR(
  IF(B51="", "", VLOOKUP(B51, Data!$B$2:$K$905, 9, FALSE)),
  ""
)</f>
        <v/>
      </c>
      <c r="S51" s="139"/>
      <c r="T51" s="138"/>
      <c r="U51" s="108" t="str">
        <f>IFERROR(
  IF(B51="", "", VLOOKUP(B51, Data!$B$2:$K$905, 10, FALSE)),
  ""
)
</f>
        <v/>
      </c>
      <c r="V51" s="139"/>
      <c r="W51" s="164"/>
      <c r="X51" s="159"/>
      <c r="Y51" s="5"/>
      <c r="Z51" s="5"/>
      <c r="AA51" s="5"/>
      <c r="AB51" s="354">
        <f t="shared" si="25"/>
        <v>0</v>
      </c>
      <c r="AC51" s="33"/>
      <c r="AD51" s="65"/>
      <c r="AE51" s="66"/>
      <c r="AF51" s="144"/>
      <c r="AG51" s="68"/>
      <c r="AH51" s="69"/>
      <c r="AI51" s="39"/>
      <c r="AJ51" s="70"/>
      <c r="AK51" s="70"/>
      <c r="AL51" s="5"/>
      <c r="AM51" s="5"/>
      <c r="AN51" s="5"/>
      <c r="AO51" s="5"/>
      <c r="AP51" s="5"/>
      <c r="AQ51" s="5"/>
      <c r="AR51" s="5"/>
      <c r="AS51" s="5"/>
      <c r="AT51" s="5"/>
      <c r="AU51" s="5"/>
      <c r="AV51" s="5"/>
      <c r="AW51" s="5"/>
      <c r="AX51" s="5"/>
      <c r="AY51" s="5"/>
      <c r="AZ51" s="5"/>
      <c r="BA51" s="5"/>
      <c r="BB51" s="5"/>
      <c r="BC51" s="5"/>
      <c r="BD51" s="5"/>
      <c r="BE51" s="5"/>
      <c r="BF51" s="5"/>
      <c r="BG51" s="5"/>
      <c r="BH51" s="5"/>
      <c r="BI51" s="260"/>
      <c r="BJ51" s="260"/>
      <c r="BK51" s="260"/>
      <c r="BL51" s="260"/>
      <c r="BM51" s="260"/>
      <c r="BN51" s="260"/>
      <c r="BO51" s="260"/>
      <c r="BP51" s="260"/>
      <c r="BQ51" s="260"/>
      <c r="BR51" s="260"/>
      <c r="BS51" s="260"/>
      <c r="BT51" s="260"/>
    </row>
    <row r="52">
      <c r="A52" s="1313">
        <v>1.0</v>
      </c>
      <c r="B52" s="102"/>
      <c r="C52" s="769" t="s">
        <v>1199</v>
      </c>
      <c r="D52" s="104"/>
      <c r="E52" s="749"/>
      <c r="F52" s="104"/>
      <c r="G52" s="104"/>
      <c r="H52" s="104"/>
      <c r="I52" s="104"/>
      <c r="J52" s="104"/>
      <c r="K52" s="104" t="s">
        <v>42</v>
      </c>
      <c r="L52" s="106">
        <f>Q52</f>
        <v>0</v>
      </c>
      <c r="M52" s="105" t="s">
        <v>42</v>
      </c>
      <c r="N52" s="107"/>
      <c r="O52" s="105"/>
      <c r="P52" s="104"/>
      <c r="Q52" s="106">
        <f>Q53</f>
        <v>0</v>
      </c>
      <c r="R52" s="108" t="str">
        <f>IFERROR(
  IF(B52="", "", VLOOKUP(B52, Data!$B$2:$K$905, 9, FALSE)),
  ""
)</f>
        <v/>
      </c>
      <c r="S52" s="682">
        <f>IFERROR(T52/Q52, 0)</f>
        <v>0</v>
      </c>
      <c r="T52" s="109">
        <f>SUM(S53:S59)</f>
        <v>0</v>
      </c>
      <c r="U52" s="108" t="str">
        <f>IFERROR(
  IF(B52="", "", VLOOKUP(B52, Data!$B$2:$K$905, 10, FALSE)),
  ""
)
</f>
        <v/>
      </c>
      <c r="V52" s="109" t="str">
        <f>W52/Q52</f>
        <v>#DIV/0!</v>
      </c>
      <c r="W52" s="110">
        <f>SUM(W53:W59)</f>
        <v>0</v>
      </c>
      <c r="X52" s="111" t="str">
        <f>W52/$AC$1015/$W$1022/$X$1012</f>
        <v>#DIV/0!</v>
      </c>
      <c r="Y52" s="112" t="b">
        <f>(T52+W52)=(SUM(AB53:AB59))</f>
        <v>1</v>
      </c>
      <c r="Z52" s="222">
        <f>(T52+W52)-(SUM(AB53:AB59))</f>
        <v>0</v>
      </c>
      <c r="AA52" s="5"/>
      <c r="AB52" s="5"/>
      <c r="AC52" s="33"/>
      <c r="AD52" s="114">
        <f>W52+T52</f>
        <v>0</v>
      </c>
      <c r="AE52" s="115">
        <f>AD52</f>
        <v>0</v>
      </c>
      <c r="AF52" s="116" t="str">
        <f>AE52/$AE$990</f>
        <v>#DIV/0!</v>
      </c>
      <c r="AG52" s="683" t="str">
        <f>AF52*$AG$997</f>
        <v>#DIV/0!</v>
      </c>
      <c r="AH52" s="118" t="str">
        <f>AF52*$AG$1000</f>
        <v>#DIV/0!</v>
      </c>
      <c r="AI52" s="39"/>
      <c r="AJ52" s="119" t="str">
        <f>ROUND(AK52/L52,2)</f>
        <v>#DIV/0!</v>
      </c>
      <c r="AK52" s="119" t="str">
        <f>ROUND(AH52+AG52+AD52,2)</f>
        <v>#DIV/0!</v>
      </c>
      <c r="AL52" s="5"/>
      <c r="AM52" s="5"/>
      <c r="AN52" s="5"/>
      <c r="AO52" s="5"/>
      <c r="AP52" s="5"/>
      <c r="AQ52" s="5"/>
      <c r="AR52" s="5"/>
      <c r="AS52" s="5"/>
      <c r="AT52" s="5"/>
      <c r="AU52" s="5"/>
      <c r="AV52" s="5"/>
      <c r="AW52" s="5"/>
      <c r="AX52" s="5"/>
      <c r="AY52" s="5"/>
      <c r="AZ52" s="5"/>
      <c r="BA52" s="5"/>
      <c r="BB52" s="5"/>
      <c r="BC52" s="5"/>
      <c r="BD52" s="5"/>
      <c r="BE52" s="5"/>
      <c r="BF52" s="5"/>
      <c r="BG52" s="5"/>
      <c r="BH52" s="5"/>
      <c r="BI52" s="260"/>
      <c r="BJ52" s="260"/>
      <c r="BK52" s="260"/>
      <c r="BL52" s="260"/>
      <c r="BM52" s="260"/>
      <c r="BN52" s="260"/>
      <c r="BO52" s="260"/>
      <c r="BP52" s="260"/>
      <c r="BQ52" s="260"/>
      <c r="BR52" s="260"/>
      <c r="BS52" s="260"/>
      <c r="BT52" s="260"/>
    </row>
    <row r="53">
      <c r="A53" s="1313"/>
      <c r="B53" s="154" t="str">
        <f>IFERROR(__xludf.DUMMYFUNCTION("IFERROR(
  IF(C53="""","""",
    IF(OR(REGEXMATCH(D53,""(?i)-Flashing""), REGEXMATCH(D53,""(?i)-EavesGut""), REGEXMATCH(D53,""(?i)Valley"")),
        ""DR"" &amp;
        TEXT(
            ROUNDUP(
                MIN(
                    VALUE(MID(C53, FIND("&amp;"""("",C53)+1, FIND(""/"",C53)-FIND(""("",C53)-1)),
                    1200
                ) / 50, 0
            ) * 50, ""0""
        ) &amp;
        MID(C53, FIND(""/"",C53)+1, FIND("")"",C53)-FIND(""/"",C53)-1) &amp;
        TEXT(H53*100,""0"") &amp;
        I53,"&amp;"
    IF(AND(D53=""Roof Sheet"", REGEXMATCH(C53,""(?i)KS\d{4}[A-Z]{2}"")),
       REGEXEXTRACT(C53,""(?i)KS\d{4}[A-Z]{2}""),
    IF(AND(REGEXMATCH(D53,""(?i)-DP""), REGEXMATCH(C53,""(?i)Downpipe"")),
       ""dp"" &amp; REGEXEXTRACT(C53,""(\d+)"") &amp; ""mm"",
  "&amp;"  IF(AND(REGEXMATCH(D53,""(?i)Bracket""), REGEXMATCH(C53,""(?i)Bracket"")),
       ""Brkt"" &amp; REGEXEXTRACT(C53,""(\d+)"") &amp; ""mm"",
    IF(AND(REGEXMATCH(D53,""(?i)-OP""), REGEXMATCH(C53,""(?i)pops"")),
       ""op"" &amp; REGEXEXTRACT(C53,""(\d+)"") &amp; ""mm"""&amp;",
    IF(OR(D53=""R-FFTop"", D53=""R-FFBottom"", D53=""R-FFSide""),
        IF(REGEXMATCH(C53,""(?i)Profiled.*Top|Top.*Profiled""),""pfft"",
        IF(REGEXMATCH(C53,""(?i)Profiled.*Bottom|Bottom.*Profiled""),""pffb"",
        IF(REGEXMATCH(C53,""(?i)Squ"&amp;"are""),""sff"",""""))),
    IF(REGEXMATCH(D53,""(?i)-Rivets""),""Rvt"",
    IF(REGEXMATCH(D53,""(?i)Silicone""),""300ml"",
    IF(REGEXMATCH(D53,""(?i)R-Butyl""),""300ml"",
    IF(REGEXMATCH(D53,""(?i)Fix""),""GenFix"",
    IF(AND(REGEXMATCH(C53,""(?i)Tim"&amp;"ber""), REGEXMATCH(D53,""(?i)Timber"")),""tp"",
    IF(AND(REGEXMATCH(C53,""(?i)Vent G1275""), REGEXMATCH(D53,""(?i)Comb FIller"")),""CFV1275"",
    IF(REGEXMATCH(C53,""(?i)DPC""),""dpc"",
    IF(REGEXMATCH(C53,""(?i)Concealed Clips""),""ConClips"",
    I"&amp;"F(REGEXMATCH(D53,""(?i)-Takeoff ea""),""Takeoff ea"",
    IF(REGEXMATCH(D53,""(?i)-Takeoff LM""),""Takeoff LM"",
    IF(REGEXMATCH(D53,""(?i)-Takeoff m2""),""Takeoff m2"",
    IF(D53=""R-TU/TD"",""TU/TD"","""")))))))))))))))))
  )))"),"DR7503B55Mag")</f>
        <v>DR7503B55Mag</v>
      </c>
      <c r="C53" s="698" t="s">
        <v>1200</v>
      </c>
      <c r="D53" s="124" t="s">
        <v>96</v>
      </c>
      <c r="E53" s="687">
        <f>VALUE(MID(C53, FIND("(", C53)+1, FIND("/", C53)-FIND("(", C53)-1)) / 1000</f>
        <v>0.72</v>
      </c>
      <c r="F53" s="127" t="str">
        <f>F52</f>
        <v/>
      </c>
      <c r="G53" s="149"/>
      <c r="H53" s="128" t="str">
        <f>IFERROR(__xludf.DUMMYFUNCTION("IFERROR(REGEXEXTRACT(C53, ""(\d*\.\d+)mm""), """")"),"0.55")</f>
        <v>0.55</v>
      </c>
      <c r="I53" s="128" t="s">
        <v>97</v>
      </c>
      <c r="J53" s="126" t="s">
        <v>14</v>
      </c>
      <c r="K53" s="126" t="str">
        <f>IFERROR(
  IF(B53="", "", VLOOKUP(B53, Data!$B$2:$K$905, 7, FALSE)),
  ""
)</f>
        <v/>
      </c>
      <c r="L53" s="163"/>
      <c r="M53" s="150"/>
      <c r="N53" s="151">
        <f>IFERROR(__xludf.DUMMYFUNCTION("IF(B53="""", """", IFERROR(1 / COS(RADIANS(REGEXEXTRACT(F53,""(\d+)""))), 1))"),1.0)</f>
        <v>1</v>
      </c>
      <c r="O53" s="169">
        <v>1.0</v>
      </c>
      <c r="P53" s="134">
        <v>1.0</v>
      </c>
      <c r="Q53" s="168">
        <f t="shared" ref="Q53:Q58" si="28">M53*N53*O53*P53</f>
        <v>0</v>
      </c>
      <c r="R53" s="136" t="str">
        <f>IFERROR(
  IF(B53="", "", VLOOKUP(B53, Data!$B$2:$K$905, 9, FALSE)),
  ""
)</f>
        <v/>
      </c>
      <c r="S53" s="152">
        <f t="shared" ref="S53:S58" si="29">R53*Q53</f>
        <v>0</v>
      </c>
      <c r="T53" s="138"/>
      <c r="U53" s="136" t="str">
        <f>IFERROR(
  IF(B53="", "", VLOOKUP(B53, Data!$B$2:$K$905, 10, FALSE)),
  ""
)
</f>
        <v/>
      </c>
      <c r="V53" s="139"/>
      <c r="W53" s="140">
        <f t="shared" ref="W53:W58" si="30">U53*Q53</f>
        <v>0</v>
      </c>
      <c r="X53" s="159"/>
      <c r="Y53" s="165"/>
      <c r="Z53" s="1090"/>
      <c r="AA53" s="5"/>
      <c r="AB53" s="354">
        <f t="shared" ref="AB53:AB59" si="31">W53+S53</f>
        <v>0</v>
      </c>
      <c r="AC53" s="33"/>
      <c r="AD53" s="65"/>
      <c r="AE53" s="66"/>
      <c r="AF53" s="144"/>
      <c r="AG53" s="68"/>
      <c r="AH53" s="69"/>
      <c r="AI53" s="39"/>
      <c r="AJ53" s="70"/>
      <c r="AK53" s="70"/>
      <c r="AL53" s="5"/>
      <c r="AM53" s="5"/>
      <c r="AN53" s="5"/>
      <c r="AO53" s="5"/>
      <c r="AP53" s="5"/>
      <c r="AQ53" s="5"/>
      <c r="AR53" s="5"/>
      <c r="AS53" s="5"/>
      <c r="AT53" s="5"/>
      <c r="AU53" s="5"/>
      <c r="AV53" s="5"/>
      <c r="AW53" s="5"/>
      <c r="AX53" s="5"/>
      <c r="AY53" s="5"/>
      <c r="AZ53" s="5"/>
      <c r="BA53" s="5"/>
      <c r="BB53" s="5"/>
      <c r="BC53" s="5"/>
      <c r="BD53" s="5"/>
      <c r="BE53" s="5"/>
      <c r="BF53" s="5"/>
      <c r="BG53" s="5"/>
      <c r="BH53" s="5"/>
      <c r="BI53" s="260"/>
      <c r="BJ53" s="260"/>
      <c r="BK53" s="260"/>
      <c r="BL53" s="260"/>
      <c r="BM53" s="260"/>
      <c r="BN53" s="260"/>
      <c r="BO53" s="260"/>
      <c r="BP53" s="260"/>
      <c r="BQ53" s="260"/>
      <c r="BR53" s="260"/>
      <c r="BS53" s="260"/>
      <c r="BT53" s="260"/>
    </row>
    <row r="54">
      <c r="A54" s="1313"/>
      <c r="B54" s="154" t="str">
        <f>IFERROR(__xludf.DUMMYFUNCTION("IFERROR(
  IF(C54="""","""",
    IF(OR(REGEXMATCH(D54,""(?i)-Flashing""), REGEXMATCH(D54,""(?i)-EavesGut""), REGEXMATCH(D54,""(?i)Valley"")),
        ""DR"" &amp;
        TEXT(
            ROUNDUP(
                MIN(
                    VALUE(MID(C54, FIND("&amp;"""("",C54)+1, FIND(""/"",C54)-FIND(""("",C54)-1)),
                    1200
                ) / 50, 0
            ) * 50, ""0""
        ) &amp;
        MID(C54, FIND(""/"",C54)+1, FIND("")"",C54)-FIND(""/"",C54)-1) &amp;
        TEXT(H54*100,""0"") &amp;
        I54,"&amp;"
    IF(AND(D54=""Roof Sheet"", REGEXMATCH(C54,""(?i)KS\d{4}[A-Z]{2}"")),
       REGEXEXTRACT(C54,""(?i)KS\d{4}[A-Z]{2}""),
    IF(AND(REGEXMATCH(D54,""(?i)-DP""), REGEXMATCH(C54,""(?i)Downpipe"")),
       ""dp"" &amp; REGEXEXTRACT(C54,""(\d+)"") &amp; ""mm"",
  "&amp;"  IF(AND(REGEXMATCH(D54,""(?i)Bracket""), REGEXMATCH(C54,""(?i)Bracket"")),
       ""Brkt"" &amp; REGEXEXTRACT(C54,""(\d+)"") &amp; ""mm"",
    IF(AND(REGEXMATCH(D54,""(?i)-OP""), REGEXMATCH(C54,""(?i)pops"")),
       ""op"" &amp; REGEXEXTRACT(C54,""(\d+)"") &amp; ""mm"""&amp;",
    IF(OR(D54=""R-FFTop"", D54=""R-FFBottom"", D54=""R-FFSide""),
        IF(REGEXMATCH(C54,""(?i)Profiled.*Top|Top.*Profiled""),""pfft"",
        IF(REGEXMATCH(C54,""(?i)Profiled.*Bottom|Bottom.*Profiled""),""pffb"",
        IF(REGEXMATCH(C54,""(?i)Squ"&amp;"are""),""sff"",""""))),
    IF(REGEXMATCH(D54,""(?i)-Rivets""),""Rvt"",
    IF(REGEXMATCH(D54,""(?i)Silicone""),""300ml"",
    IF(REGEXMATCH(D54,""(?i)R-Butyl""),""300ml"",
    IF(REGEXMATCH(D54,""(?i)Fix""),""GenFix"",
    IF(AND(REGEXMATCH(C54,""(?i)Tim"&amp;"ber""), REGEXMATCH(D54,""(?i)Timber"")),""tp"",
    IF(AND(REGEXMATCH(C54,""(?i)Vent G1275""), REGEXMATCH(D54,""(?i)Comb FIller"")),""CFV1275"",
    IF(REGEXMATCH(C54,""(?i)DPC""),""dpc"",
    IF(REGEXMATCH(C54,""(?i)Concealed Clips""),""ConClips"",
    I"&amp;"F(REGEXMATCH(D54,""(?i)-Takeoff ea""),""Takeoff ea"",
    IF(REGEXMATCH(D54,""(?i)-Takeoff LM""),""Takeoff LM"",
    IF(REGEXMATCH(D54,""(?i)-Takeoff m2""),""Takeoff m2"",
    IF(D54=""R-TU/TD"",""TU/TD"","""")))))))))))))))))
  )))"),"300ml")</f>
        <v>300ml</v>
      </c>
      <c r="C54" s="734" t="s">
        <v>98</v>
      </c>
      <c r="D54" s="124" t="s">
        <v>99</v>
      </c>
      <c r="E54" s="687">
        <f t="shared" ref="E54:F54" si="27">E53</f>
        <v>0.72</v>
      </c>
      <c r="F54" s="127" t="str">
        <f t="shared" si="27"/>
        <v/>
      </c>
      <c r="G54" s="127"/>
      <c r="H54" s="127" t="str">
        <f>IFERROR(__xludf.DUMMYFUNCTION("IFERROR(REGEXEXTRACT(C54, ""(\d*\.\d+)mm""), """")"),"")</f>
        <v/>
      </c>
      <c r="I54" s="127"/>
      <c r="J54" s="126" t="s">
        <v>87</v>
      </c>
      <c r="K54" s="126" t="str">
        <f>IFERROR(
  IF(B54="", "", VLOOKUP(B54, Data!$B$2:$K$905, 7, FALSE)),
  ""
)</f>
        <v/>
      </c>
      <c r="L54" s="163"/>
      <c r="M54" s="150">
        <f>(ROUNDDOWN((M53/5.7)+2,0)*E54)/8</f>
        <v>0.18</v>
      </c>
      <c r="N54" s="151">
        <f>IFERROR(__xludf.DUMMYFUNCTION("IF(B54="""", """", IFERROR(1 / COS(RADIANS(REGEXEXTRACT(F54,""(\d+)""))), 1))"),1.0)</f>
        <v>1</v>
      </c>
      <c r="O54" s="169">
        <v>1.0</v>
      </c>
      <c r="P54" s="134">
        <v>1.0</v>
      </c>
      <c r="Q54" s="168">
        <f t="shared" si="28"/>
        <v>0.18</v>
      </c>
      <c r="R54" s="136" t="str">
        <f>IFERROR(
  IF(B54="", "", VLOOKUP(B54, Data!$B$2:$K$905, 9, FALSE)),
  ""
)</f>
        <v/>
      </c>
      <c r="S54" s="152">
        <f t="shared" si="29"/>
        <v>0</v>
      </c>
      <c r="T54" s="138"/>
      <c r="U54" s="108" t="str">
        <f>IFERROR(
  IF(B54="", "", VLOOKUP(B54, Data!$B$2:$K$905, 10, FALSE)),
  ""
)
</f>
        <v/>
      </c>
      <c r="V54" s="139"/>
      <c r="W54" s="140">
        <f t="shared" si="30"/>
        <v>0</v>
      </c>
      <c r="X54" s="159"/>
      <c r="Y54" s="5"/>
      <c r="Z54" s="5"/>
      <c r="AA54" s="5"/>
      <c r="AB54" s="354">
        <f t="shared" si="31"/>
        <v>0</v>
      </c>
      <c r="AC54" s="33"/>
      <c r="AD54" s="65"/>
      <c r="AE54" s="66"/>
      <c r="AF54" s="144"/>
      <c r="AG54" s="68"/>
      <c r="AH54" s="69"/>
      <c r="AI54" s="39"/>
      <c r="AJ54" s="70"/>
      <c r="AK54" s="70"/>
      <c r="AL54" s="5"/>
      <c r="AM54" s="5"/>
      <c r="AN54" s="5"/>
      <c r="AO54" s="5"/>
      <c r="AP54" s="5"/>
      <c r="AQ54" s="5"/>
      <c r="AR54" s="5"/>
      <c r="AS54" s="5"/>
      <c r="AT54" s="5"/>
      <c r="AU54" s="5"/>
      <c r="AV54" s="5"/>
      <c r="AW54" s="5"/>
      <c r="AX54" s="5"/>
      <c r="AY54" s="5"/>
      <c r="AZ54" s="5"/>
      <c r="BA54" s="5"/>
      <c r="BB54" s="5"/>
      <c r="BC54" s="5"/>
      <c r="BD54" s="5"/>
      <c r="BE54" s="5"/>
      <c r="BF54" s="5"/>
      <c r="BG54" s="5"/>
      <c r="BH54" s="5"/>
      <c r="BI54" s="260"/>
      <c r="BJ54" s="260"/>
      <c r="BK54" s="260"/>
      <c r="BL54" s="260"/>
      <c r="BM54" s="260"/>
      <c r="BN54" s="260"/>
      <c r="BO54" s="260"/>
      <c r="BP54" s="260"/>
      <c r="BQ54" s="260"/>
      <c r="BR54" s="260"/>
      <c r="BS54" s="260"/>
      <c r="BT54" s="260"/>
    </row>
    <row r="55">
      <c r="A55" s="1313"/>
      <c r="B55" s="154" t="str">
        <f>IFERROR(__xludf.DUMMYFUNCTION("IFERROR(
  IF(C55="""","""",
    IF(OR(REGEXMATCH(D55,""(?i)-Flashing""), REGEXMATCH(D55,""(?i)-EavesGut""), REGEXMATCH(D55,""(?i)Valley"")),
        ""DR"" &amp;
        TEXT(
            ROUNDUP(
                MIN(
                    VALUE(MID(C55, FIND("&amp;"""("",C55)+1, FIND(""/"",C55)-FIND(""("",C55)-1)),
                    1200
                ) / 50, 0
            ) * 50, ""0""
        ) &amp;
        MID(C55, FIND(""/"",C55)+1, FIND("")"",C55)-FIND(""/"",C55)-1) &amp;
        TEXT(H55*100,""0"") &amp;
        I55,"&amp;"
    IF(AND(D55=""Roof Sheet"", REGEXMATCH(C55,""(?i)KS\d{4}[A-Z]{2}"")),
       REGEXEXTRACT(C55,""(?i)KS\d{4}[A-Z]{2}""),
    IF(AND(REGEXMATCH(D55,""(?i)-DP""), REGEXMATCH(C55,""(?i)Downpipe"")),
       ""dp"" &amp; REGEXEXTRACT(C55,""(\d+)"") &amp; ""mm"",
  "&amp;"  IF(AND(REGEXMATCH(D55,""(?i)Bracket""), REGEXMATCH(C55,""(?i)Bracket"")),
       ""Brkt"" &amp; REGEXEXTRACT(C55,""(\d+)"") &amp; ""mm"",
    IF(AND(REGEXMATCH(D55,""(?i)-OP""), REGEXMATCH(C55,""(?i)pops"")),
       ""op"" &amp; REGEXEXTRACT(C55,""(\d+)"") &amp; ""mm"""&amp;",
    IF(OR(D55=""R-FFTop"", D55=""R-FFBottom"", D55=""R-FFSide""),
        IF(REGEXMATCH(C55,""(?i)Profiled.*Top|Top.*Profiled""),""pfft"",
        IF(REGEXMATCH(C55,""(?i)Profiled.*Bottom|Bottom.*Profiled""),""pffb"",
        IF(REGEXMATCH(C55,""(?i)Squ"&amp;"are""),""sff"",""""))),
    IF(REGEXMATCH(D55,""(?i)-Rivets""),""Rvt"",
    IF(REGEXMATCH(D55,""(?i)Silicone""),""300ml"",
    IF(REGEXMATCH(D55,""(?i)R-Butyl""),""300ml"",
    IF(REGEXMATCH(D55,""(?i)Fix""),""GenFix"",
    IF(AND(REGEXMATCH(C55,""(?i)Tim"&amp;"ber""), REGEXMATCH(D55,""(?i)Timber"")),""tp"",
    IF(AND(REGEXMATCH(C55,""(?i)Vent G1275""), REGEXMATCH(D55,""(?i)Comb FIller"")),""CFV1275"",
    IF(REGEXMATCH(C55,""(?i)DPC""),""dpc"",
    IF(REGEXMATCH(C55,""(?i)Concealed Clips""),""ConClips"",
    I"&amp;"F(REGEXMATCH(D55,""(?i)-Takeoff ea""),""Takeoff ea"",
    IF(REGEXMATCH(D55,""(?i)-Takeoff LM""),""Takeoff LM"",
    IF(REGEXMATCH(D55,""(?i)-Takeoff m2""),""Takeoff m2"",
    IF(D55=""R-TU/TD"",""TU/TD"","""")))))))))))))))))
  )))"),"Rvt")</f>
        <v>Rvt</v>
      </c>
      <c r="C55" s="734" t="s">
        <v>100</v>
      </c>
      <c r="D55" s="124" t="s">
        <v>101</v>
      </c>
      <c r="E55" s="687">
        <f>E53</f>
        <v>0.72</v>
      </c>
      <c r="F55" s="127" t="str">
        <f t="shared" ref="F55:F58" si="32">F54</f>
        <v/>
      </c>
      <c r="G55" s="127"/>
      <c r="H55" s="127" t="str">
        <f>IFERROR(__xludf.DUMMYFUNCTION("IFERROR(REGEXEXTRACT(C55, ""(\d*\.\d+)mm""), """")"),"")</f>
        <v/>
      </c>
      <c r="I55" s="127"/>
      <c r="J55" s="126" t="s">
        <v>87</v>
      </c>
      <c r="K55" s="126" t="str">
        <f>IFERROR(
  IF(B55="", "", VLOOKUP(B55, Data!$B$2:$K$905, 7, FALSE)),
  ""
)</f>
        <v/>
      </c>
      <c r="L55" s="163"/>
      <c r="M55" s="150">
        <f>ROUNDUP(((M53/5.7)+1)*(E55/0.05),0)</f>
        <v>15</v>
      </c>
      <c r="N55" s="151">
        <f>IFERROR(__xludf.DUMMYFUNCTION("IF(B55="""", """", IFERROR(1 / COS(RADIANS(REGEXEXTRACT(F55,""(\d+)""))), 1))"),1.0)</f>
        <v>1</v>
      </c>
      <c r="O55" s="169">
        <v>1.0</v>
      </c>
      <c r="P55" s="134">
        <v>1.0</v>
      </c>
      <c r="Q55" s="168">
        <f t="shared" si="28"/>
        <v>15</v>
      </c>
      <c r="R55" s="136" t="str">
        <f>IFERROR(
  IF(B55="", "", VLOOKUP(B55, Data!$B$2:$K$905, 9, FALSE)),
  ""
)</f>
        <v/>
      </c>
      <c r="S55" s="152">
        <f t="shared" si="29"/>
        <v>0</v>
      </c>
      <c r="T55" s="138"/>
      <c r="U55" s="108" t="str">
        <f>IFERROR(
  IF(B55="", "", VLOOKUP(B55, Data!$B$2:$K$905, 10, FALSE)),
  ""
)
</f>
        <v/>
      </c>
      <c r="V55" s="139"/>
      <c r="W55" s="140">
        <f t="shared" si="30"/>
        <v>0</v>
      </c>
      <c r="X55" s="159"/>
      <c r="Y55" s="5"/>
      <c r="Z55" s="5"/>
      <c r="AA55" s="5"/>
      <c r="AB55" s="354">
        <f t="shared" si="31"/>
        <v>0</v>
      </c>
      <c r="AC55" s="33"/>
      <c r="AD55" s="65"/>
      <c r="AE55" s="66"/>
      <c r="AF55" s="144"/>
      <c r="AG55" s="68"/>
      <c r="AH55" s="69"/>
      <c r="AI55" s="39"/>
      <c r="AJ55" s="70"/>
      <c r="AK55" s="70"/>
      <c r="AL55" s="5"/>
      <c r="AM55" s="5"/>
      <c r="AN55" s="5"/>
      <c r="AO55" s="5"/>
      <c r="AP55" s="5"/>
      <c r="AQ55" s="5"/>
      <c r="AR55" s="5"/>
      <c r="AS55" s="5"/>
      <c r="AT55" s="5"/>
      <c r="AU55" s="5"/>
      <c r="AV55" s="5"/>
      <c r="AW55" s="5"/>
      <c r="AX55" s="5"/>
      <c r="AY55" s="5"/>
      <c r="AZ55" s="5"/>
      <c r="BA55" s="5"/>
      <c r="BB55" s="5"/>
      <c r="BC55" s="5"/>
      <c r="BD55" s="5"/>
      <c r="BE55" s="5"/>
      <c r="BF55" s="5"/>
      <c r="BG55" s="5"/>
      <c r="BH55" s="5"/>
      <c r="BI55" s="260"/>
      <c r="BJ55" s="260"/>
      <c r="BK55" s="260"/>
      <c r="BL55" s="260"/>
      <c r="BM55" s="260"/>
      <c r="BN55" s="260"/>
      <c r="BO55" s="260"/>
      <c r="BP55" s="260"/>
      <c r="BQ55" s="260"/>
      <c r="BR55" s="260"/>
      <c r="BS55" s="260"/>
      <c r="BT55" s="260"/>
    </row>
    <row r="56">
      <c r="A56" s="1313"/>
      <c r="B56" s="154" t="str">
        <f>IFERROR(__xludf.DUMMYFUNCTION("IFERROR(
  IF(C56="""","""",
    IF(OR(REGEXMATCH(D56,""(?i)-Flashing""), REGEXMATCH(D56,""(?i)-EavesGut""), REGEXMATCH(D56,""(?i)Valley"")),
        ""DR"" &amp;
        TEXT(
            ROUNDUP(
                MIN(
                    VALUE(MID(C56, FIND("&amp;"""("",C56)+1, FIND(""/"",C56)-FIND(""("",C56)-1)),
                    1200
                ) / 50, 0
            ) * 50, ""0""
        ) &amp;
        MID(C56, FIND(""/"",C56)+1, FIND("")"",C56)-FIND(""/"",C56)-1) &amp;
        TEXT(H56*100,""0"") &amp;
        I56,"&amp;"
    IF(AND(D56=""Roof Sheet"", REGEXMATCH(C56,""(?i)KS\d{4}[A-Z]{2}"")),
       REGEXEXTRACT(C56,""(?i)KS\d{4}[A-Z]{2}""),
    IF(AND(REGEXMATCH(D56,""(?i)-DP""), REGEXMATCH(C56,""(?i)Downpipe"")),
       ""dp"" &amp; REGEXEXTRACT(C56,""(\d+)"") &amp; ""mm"",
  "&amp;"  IF(AND(REGEXMATCH(D56,""(?i)Bracket""), REGEXMATCH(C56,""(?i)Bracket"")),
       ""Brkt"" &amp; REGEXEXTRACT(C56,""(\d+)"") &amp; ""mm"",
    IF(AND(REGEXMATCH(D56,""(?i)-OP""), REGEXMATCH(C56,""(?i)pops"")),
       ""op"" &amp; REGEXEXTRACT(C56,""(\d+)"") &amp; ""mm"""&amp;",
    IF(OR(D56=""R-FFTop"", D56=""R-FFBottom"", D56=""R-FFSide""),
        IF(REGEXMATCH(C56,""(?i)Profiled.*Top|Top.*Profiled""),""pfft"",
        IF(REGEXMATCH(C56,""(?i)Profiled.*Bottom|Bottom.*Profiled""),""pffb"",
        IF(REGEXMATCH(C56,""(?i)Squ"&amp;"are""),""sff"",""""))),
    IF(REGEXMATCH(D56,""(?i)-Rivets""),""Rvt"",
    IF(REGEXMATCH(D56,""(?i)Silicone""),""300ml"",
    IF(REGEXMATCH(D56,""(?i)R-Butyl""),""300ml"",
    IF(REGEXMATCH(D56,""(?i)Fix""),""GenFix"",
    IF(AND(REGEXMATCH(C56,""(?i)Tim"&amp;"ber""), REGEXMATCH(D56,""(?i)Timber"")),""tp"",
    IF(AND(REGEXMATCH(C56,""(?i)Vent G1275""), REGEXMATCH(D56,""(?i)Comb FIller"")),""CFV1275"",
    IF(REGEXMATCH(C56,""(?i)DPC""),""dpc"",
    IF(REGEXMATCH(C56,""(?i)Concealed Clips""),""ConClips"",
    I"&amp;"F(REGEXMATCH(D56,""(?i)-Takeoff ea""),""Takeoff ea"",
    IF(REGEXMATCH(D56,""(?i)-Takeoff LM""),""Takeoff LM"",
    IF(REGEXMATCH(D56,""(?i)-Takeoff m2""),""Takeoff m2"",
    IF(D56=""R-TU/TD"",""TU/TD"","""")))))))))))))))))
  )))"),"GenFix")</f>
        <v>GenFix</v>
      </c>
      <c r="C56" s="698" t="s">
        <v>102</v>
      </c>
      <c r="D56" s="124" t="s">
        <v>103</v>
      </c>
      <c r="E56" s="752"/>
      <c r="F56" s="127" t="str">
        <f t="shared" si="32"/>
        <v/>
      </c>
      <c r="G56" s="129"/>
      <c r="H56" s="127"/>
      <c r="I56" s="127"/>
      <c r="J56" s="126" t="s">
        <v>87</v>
      </c>
      <c r="K56" s="126" t="str">
        <f>IFERROR(
  IF(B56="", "", VLOOKUP(B56, Data!$B$2:$K$905, 7, FALSE)),
  ""
)</f>
        <v/>
      </c>
      <c r="L56" s="161"/>
      <c r="M56" s="150">
        <f>ROUNDUP(M53/0.6,0)+1</f>
        <v>1</v>
      </c>
      <c r="N56" s="151">
        <f>IFERROR(__xludf.DUMMYFUNCTION("IF(B56="""", """", IFERROR(1 / COS(RADIANS(REGEXEXTRACT(F56,""(\d+)""))), 1))"),1.0)</f>
        <v>1</v>
      </c>
      <c r="O56" s="169">
        <v>1.0</v>
      </c>
      <c r="P56" s="134">
        <v>2.0</v>
      </c>
      <c r="Q56" s="168">
        <f t="shared" si="28"/>
        <v>2</v>
      </c>
      <c r="R56" s="136" t="str">
        <f>IFERROR(
  IF(B56="", "", VLOOKUP(B56, Data!$B$2:$K$905, 9, FALSE)),
  ""
)</f>
        <v/>
      </c>
      <c r="S56" s="152">
        <f t="shared" si="29"/>
        <v>0</v>
      </c>
      <c r="T56" s="138"/>
      <c r="U56" s="108" t="str">
        <f>IFERROR(
  IF(B56="", "", VLOOKUP(B56, Data!$B$2:$K$905, 10, FALSE)),
  ""
)
</f>
        <v/>
      </c>
      <c r="V56" s="139"/>
      <c r="W56" s="140">
        <f t="shared" si="30"/>
        <v>0</v>
      </c>
      <c r="X56" s="159"/>
      <c r="Y56" s="5"/>
      <c r="Z56" s="5"/>
      <c r="AA56" s="5"/>
      <c r="AB56" s="354">
        <f t="shared" si="31"/>
        <v>0</v>
      </c>
      <c r="AC56" s="33"/>
      <c r="AD56" s="65"/>
      <c r="AE56" s="66"/>
      <c r="AF56" s="144"/>
      <c r="AG56" s="68"/>
      <c r="AH56" s="69"/>
      <c r="AI56" s="39"/>
      <c r="AJ56" s="70"/>
      <c r="AK56" s="70"/>
      <c r="AL56" s="5"/>
      <c r="AM56" s="5"/>
      <c r="AN56" s="5"/>
      <c r="AO56" s="5"/>
      <c r="AP56" s="5"/>
      <c r="AQ56" s="5"/>
      <c r="AR56" s="5"/>
      <c r="AS56" s="5"/>
      <c r="AT56" s="5"/>
      <c r="AU56" s="5"/>
      <c r="AV56" s="5"/>
      <c r="AW56" s="5"/>
      <c r="AX56" s="5"/>
      <c r="AY56" s="5"/>
      <c r="AZ56" s="5"/>
      <c r="BA56" s="5"/>
      <c r="BB56" s="5"/>
      <c r="BC56" s="5"/>
      <c r="BD56" s="5"/>
      <c r="BE56" s="5"/>
      <c r="BF56" s="5"/>
      <c r="BG56" s="5"/>
      <c r="BH56" s="5"/>
      <c r="BI56" s="260"/>
      <c r="BJ56" s="260"/>
      <c r="BK56" s="260"/>
      <c r="BL56" s="260"/>
      <c r="BM56" s="260"/>
      <c r="BN56" s="260"/>
      <c r="BO56" s="260"/>
      <c r="BP56" s="260"/>
      <c r="BQ56" s="260"/>
      <c r="BR56" s="260"/>
      <c r="BS56" s="260"/>
      <c r="BT56" s="260"/>
    </row>
    <row r="57">
      <c r="A57" s="1313"/>
      <c r="B57" s="154" t="str">
        <f>IFERROR(__xludf.DUMMYFUNCTION("IFERROR(
  IF(C57="""","""",
    IF(OR(REGEXMATCH(D57,""(?i)-Flashing""), REGEXMATCH(D57,""(?i)-EavesGut""), REGEXMATCH(D57,""(?i)Valley"")),
        ""DR"" &amp;
        TEXT(
            ROUNDUP(
                MIN(
                    VALUE(MID(C57, FIND("&amp;"""("",C57)+1, FIND(""/"",C57)-FIND(""("",C57)-1)),
                    1200
                ) / 50, 0
            ) * 50, ""0""
        ) &amp;
        MID(C57, FIND(""/"",C57)+1, FIND("")"",C57)-FIND(""/"",C57)-1) &amp;
        TEXT(H57*100,""0"") &amp;
        I57,"&amp;"
    IF(AND(D57=""Roof Sheet"", REGEXMATCH(C57,""(?i)KS\d{4}[A-Z]{2}"")),
       REGEXEXTRACT(C57,""(?i)KS\d{4}[A-Z]{2}""),
    IF(AND(REGEXMATCH(D57,""(?i)-DP""), REGEXMATCH(C57,""(?i)Downpipe"")),
       ""dp"" &amp; REGEXEXTRACT(C57,""(\d+)"") &amp; ""mm"",
  "&amp;"  IF(AND(REGEXMATCH(D57,""(?i)Bracket""), REGEXMATCH(C57,""(?i)Bracket"")),
       ""Brkt"" &amp; REGEXEXTRACT(C57,""(\d+)"") &amp; ""mm"",
    IF(AND(REGEXMATCH(D57,""(?i)-OP""), REGEXMATCH(C57,""(?i)pops"")),
       ""op"" &amp; REGEXEXTRACT(C57,""(\d+)"") &amp; ""mm"""&amp;",
    IF(OR(D57=""R-FFTop"", D57=""R-FFBottom"", D57=""R-FFSide""),
        IF(REGEXMATCH(C57,""(?i)Profiled.*Top|Top.*Profiled""),""pfft"",
        IF(REGEXMATCH(C57,""(?i)Profiled.*Bottom|Bottom.*Profiled""),""pffb"",
        IF(REGEXMATCH(C57,""(?i)Squ"&amp;"are""),""sff"",""""))),
    IF(REGEXMATCH(D57,""(?i)-Rivets""),""Rvt"",
    IF(REGEXMATCH(D57,""(?i)Silicone""),""300ml"",
    IF(REGEXMATCH(D57,""(?i)R-Butyl""),""300ml"",
    IF(REGEXMATCH(D57,""(?i)Fix""),""GenFix"",
    IF(AND(REGEXMATCH(C57,""(?i)Tim"&amp;"ber""), REGEXMATCH(D57,""(?i)Timber"")),""tp"",
    IF(AND(REGEXMATCH(C57,""(?i)Vent G1275""), REGEXMATCH(D57,""(?i)Comb FIller"")),""CFV1275"",
    IF(REGEXMATCH(C57,""(?i)DPC""),""dpc"",
    IF(REGEXMATCH(C57,""(?i)Concealed Clips""),""ConClips"",
    I"&amp;"F(REGEXMATCH(D57,""(?i)-Takeoff ea""),""Takeoff ea"",
    IF(REGEXMATCH(D57,""(?i)-Takeoff LM""),""Takeoff LM"",
    IF(REGEXMATCH(D57,""(?i)-Takeoff m2""),""Takeoff m2"",
    IF(D57=""R-TU/TD"",""TU/TD"","""")))))))))))))))))
  )))"),"pfft")</f>
        <v>pfft</v>
      </c>
      <c r="C57" s="734" t="s">
        <v>104</v>
      </c>
      <c r="D57" s="124" t="s">
        <v>105</v>
      </c>
      <c r="E57" s="752"/>
      <c r="F57" s="127" t="str">
        <f t="shared" si="32"/>
        <v/>
      </c>
      <c r="G57" s="129"/>
      <c r="H57" s="127"/>
      <c r="I57" s="127"/>
      <c r="J57" s="126" t="s">
        <v>87</v>
      </c>
      <c r="K57" s="126" t="str">
        <f>IFERROR(
  IF(B57="", "", VLOOKUP(B57, Data!$B$2:$K$905, 7, FALSE)),
  ""
)</f>
        <v/>
      </c>
      <c r="L57" s="161"/>
      <c r="M57" s="150" t="str">
        <f>M53</f>
        <v/>
      </c>
      <c r="N57" s="151">
        <f>IFERROR(__xludf.DUMMYFUNCTION("IF(B57="""", """", IFERROR(1 / COS(RADIANS(REGEXEXTRACT(F57,""(\d+)""))), 1))"),1.0)</f>
        <v>1</v>
      </c>
      <c r="O57" s="169">
        <v>1.0</v>
      </c>
      <c r="P57" s="134">
        <v>1.0</v>
      </c>
      <c r="Q57" s="168">
        <f t="shared" si="28"/>
        <v>0</v>
      </c>
      <c r="R57" s="136" t="str">
        <f>IFERROR(
  IF(B57="", "", VLOOKUP(B57, Data!$B$2:$K$905, 9, FALSE)),
  ""
)</f>
        <v/>
      </c>
      <c r="S57" s="152">
        <f t="shared" si="29"/>
        <v>0</v>
      </c>
      <c r="T57" s="138"/>
      <c r="U57" s="136" t="str">
        <f>IFERROR(
  IF(B57="", "", VLOOKUP(B57, Data!$B$2:$K$905, 10, FALSE)),
  ""
)
</f>
        <v/>
      </c>
      <c r="V57" s="139"/>
      <c r="W57" s="140">
        <f t="shared" si="30"/>
        <v>0</v>
      </c>
      <c r="X57" s="159"/>
      <c r="Y57" s="5"/>
      <c r="Z57" s="5"/>
      <c r="AA57" s="5"/>
      <c r="AB57" s="354">
        <f t="shared" si="31"/>
        <v>0</v>
      </c>
      <c r="AC57" s="33"/>
      <c r="AD57" s="65"/>
      <c r="AE57" s="66"/>
      <c r="AF57" s="144"/>
      <c r="AG57" s="68"/>
      <c r="AH57" s="69"/>
      <c r="AI57" s="39"/>
      <c r="AJ57" s="70"/>
      <c r="AK57" s="70"/>
      <c r="AL57" s="5"/>
      <c r="AM57" s="5"/>
      <c r="AN57" s="5"/>
      <c r="AO57" s="5"/>
      <c r="AP57" s="5"/>
      <c r="AQ57" s="5"/>
      <c r="AR57" s="5"/>
      <c r="AS57" s="5"/>
      <c r="AT57" s="5"/>
      <c r="AU57" s="5"/>
      <c r="AV57" s="5"/>
      <c r="AW57" s="5"/>
      <c r="AX57" s="5"/>
      <c r="AY57" s="5"/>
      <c r="AZ57" s="5"/>
      <c r="BA57" s="5"/>
      <c r="BB57" s="5"/>
      <c r="BC57" s="5"/>
      <c r="BD57" s="5"/>
      <c r="BE57" s="5"/>
      <c r="BF57" s="5"/>
      <c r="BG57" s="5"/>
      <c r="BH57" s="5"/>
      <c r="BI57" s="260"/>
      <c r="BJ57" s="260"/>
      <c r="BK57" s="260"/>
      <c r="BL57" s="260"/>
      <c r="BM57" s="260"/>
      <c r="BN57" s="260"/>
      <c r="BO57" s="260"/>
      <c r="BP57" s="260"/>
      <c r="BQ57" s="260"/>
      <c r="BR57" s="260"/>
      <c r="BS57" s="260"/>
      <c r="BT57" s="260"/>
    </row>
    <row r="58">
      <c r="A58" s="1313"/>
      <c r="B58" s="154" t="str">
        <f>IFERROR(__xludf.DUMMYFUNCTION("IFERROR(
  IF(C58="""","""",
    IF(OR(REGEXMATCH(D58,""(?i)-Flashing""), REGEXMATCH(D58,""(?i)-EavesGut""), REGEXMATCH(D58,""(?i)Valley"")),
        ""DR"" &amp;
        TEXT(
            ROUNDUP(
                MIN(
                    VALUE(MID(C58, FIND("&amp;"""("",C58)+1, FIND(""/"",C58)-FIND(""("",C58)-1)),
                    1200
                ) / 50, 0
            ) * 50, ""0""
        ) &amp;
        MID(C58, FIND(""/"",C58)+1, FIND("")"",C58)-FIND(""/"",C58)-1) &amp;
        TEXT(H58*100,""0"") &amp;
        I58,"&amp;"
    IF(AND(D58=""Roof Sheet"", REGEXMATCH(C58,""(?i)KS\d{4}[A-Z]{2}"")),
       REGEXEXTRACT(C58,""(?i)KS\d{4}[A-Z]{2}""),
    IF(AND(REGEXMATCH(D58,""(?i)-DP""), REGEXMATCH(C58,""(?i)Downpipe"")),
       ""dp"" &amp; REGEXEXTRACT(C58,""(\d+)"") &amp; ""mm"",
  "&amp;"  IF(AND(REGEXMATCH(D58,""(?i)Bracket""), REGEXMATCH(C58,""(?i)Bracket"")),
       ""Brkt"" &amp; REGEXEXTRACT(C58,""(\d+)"") &amp; ""mm"",
    IF(AND(REGEXMATCH(D58,""(?i)-OP""), REGEXMATCH(C58,""(?i)pops"")),
       ""op"" &amp; REGEXEXTRACT(C58,""(\d+)"") &amp; ""mm"""&amp;",
    IF(OR(D58=""R-FFTop"", D58=""R-FFBottom"", D58=""R-FFSide""),
        IF(REGEXMATCH(C58,""(?i)Profiled.*Top|Top.*Profiled""),""pfft"",
        IF(REGEXMATCH(C58,""(?i)Profiled.*Bottom|Bottom.*Profiled""),""pffb"",
        IF(REGEXMATCH(C58,""(?i)Squ"&amp;"are""),""sff"",""""))),
    IF(REGEXMATCH(D58,""(?i)-Rivets""),""Rvt"",
    IF(REGEXMATCH(D58,""(?i)Silicone""),""300ml"",
    IF(REGEXMATCH(D58,""(?i)R-Butyl""),""300ml"",
    IF(REGEXMATCH(D58,""(?i)Fix""),""GenFix"",
    IF(AND(REGEXMATCH(C58,""(?i)Tim"&amp;"ber""), REGEXMATCH(D58,""(?i)Timber"")),""tp"",
    IF(AND(REGEXMATCH(C58,""(?i)Vent G1275""), REGEXMATCH(D58,""(?i)Comb FIller"")),""CFV1275"",
    IF(REGEXMATCH(C58,""(?i)DPC""),""dpc"",
    IF(REGEXMATCH(C58,""(?i)Concealed Clips""),""ConClips"",
    I"&amp;"F(REGEXMATCH(D58,""(?i)-Takeoff ea""),""Takeoff ea"",
    IF(REGEXMATCH(D58,""(?i)-Takeoff LM""),""Takeoff LM"",
    IF(REGEXMATCH(D58,""(?i)-Takeoff m2""),""Takeoff m2"",
    IF(D58=""R-TU/TD"",""TU/TD"","""")))))))))))))))))
  )))"),"TU/TD")</f>
        <v>TU/TD</v>
      </c>
      <c r="C58" s="698" t="s">
        <v>446</v>
      </c>
      <c r="D58" s="124" t="s">
        <v>107</v>
      </c>
      <c r="E58" s="752"/>
      <c r="F58" s="127" t="str">
        <f t="shared" si="32"/>
        <v/>
      </c>
      <c r="G58" s="129"/>
      <c r="H58" s="127"/>
      <c r="I58" s="127"/>
      <c r="J58" s="126" t="s">
        <v>87</v>
      </c>
      <c r="K58" s="126" t="str">
        <f>IFERROR(
  IF(B58="", "", VLOOKUP(B58, Data!$B$2:$K$905, 7, FALSE)),
  ""
)</f>
        <v/>
      </c>
      <c r="L58" s="163"/>
      <c r="M58" s="150" t="str">
        <f>M53</f>
        <v/>
      </c>
      <c r="N58" s="151">
        <f>IFERROR(__xludf.DUMMYFUNCTION("IF(B58="""", """", IFERROR(1 / COS(RADIANS(REGEXEXTRACT(F58,""(\d+)""))), 1))"),1.0)</f>
        <v>1</v>
      </c>
      <c r="O58" s="169">
        <v>1.0</v>
      </c>
      <c r="P58" s="134">
        <v>1.0</v>
      </c>
      <c r="Q58" s="168">
        <f t="shared" si="28"/>
        <v>0</v>
      </c>
      <c r="R58" s="108" t="str">
        <f>IFERROR(
  IF(B58="", "", VLOOKUP(B58, Data!$B$2:$K$905, 9, FALSE)),
  ""
)</f>
        <v/>
      </c>
      <c r="S58" s="152">
        <f t="shared" si="29"/>
        <v>0</v>
      </c>
      <c r="T58" s="138"/>
      <c r="U58" s="136" t="str">
        <f>IFERROR(
  IF(B58="", "", VLOOKUP(B58, Data!$B$2:$K$905, 10, FALSE)),
  ""
)
</f>
        <v/>
      </c>
      <c r="V58" s="139"/>
      <c r="W58" s="140">
        <f t="shared" si="30"/>
        <v>0</v>
      </c>
      <c r="X58" s="159"/>
      <c r="Y58" s="5"/>
      <c r="Z58" s="5"/>
      <c r="AA58" s="5"/>
      <c r="AB58" s="354">
        <f t="shared" si="31"/>
        <v>0</v>
      </c>
      <c r="AC58" s="33"/>
      <c r="AD58" s="65"/>
      <c r="AE58" s="66"/>
      <c r="AF58" s="144"/>
      <c r="AG58" s="68"/>
      <c r="AH58" s="69"/>
      <c r="AI58" s="39"/>
      <c r="AJ58" s="70"/>
      <c r="AK58" s="70"/>
      <c r="AL58" s="5"/>
      <c r="AM58" s="5"/>
      <c r="AN58" s="5"/>
      <c r="AO58" s="5"/>
      <c r="AP58" s="5"/>
      <c r="AQ58" s="5"/>
      <c r="AR58" s="5"/>
      <c r="AS58" s="5"/>
      <c r="AT58" s="5"/>
      <c r="AU58" s="5"/>
      <c r="AV58" s="5"/>
      <c r="AW58" s="5"/>
      <c r="AX58" s="5"/>
      <c r="AY58" s="5"/>
      <c r="AZ58" s="5"/>
      <c r="BA58" s="5"/>
      <c r="BB58" s="5"/>
      <c r="BC58" s="5"/>
      <c r="BD58" s="5"/>
      <c r="BE58" s="5"/>
      <c r="BF58" s="5"/>
      <c r="BG58" s="5"/>
      <c r="BH58" s="5"/>
      <c r="BI58" s="260"/>
      <c r="BJ58" s="260"/>
      <c r="BK58" s="260"/>
      <c r="BL58" s="260"/>
      <c r="BM58" s="260"/>
      <c r="BN58" s="260"/>
      <c r="BO58" s="260"/>
      <c r="BP58" s="260"/>
      <c r="BQ58" s="260"/>
      <c r="BR58" s="260"/>
      <c r="BS58" s="260"/>
      <c r="BT58" s="260"/>
    </row>
    <row r="59">
      <c r="A59" s="1313"/>
      <c r="B59" s="160"/>
      <c r="C59" s="757"/>
      <c r="D59" s="129"/>
      <c r="E59" s="752"/>
      <c r="F59" s="127"/>
      <c r="G59" s="129"/>
      <c r="H59" s="127"/>
      <c r="I59" s="127"/>
      <c r="J59" s="129"/>
      <c r="K59" s="129"/>
      <c r="L59" s="161"/>
      <c r="M59" s="163"/>
      <c r="N59" s="162"/>
      <c r="O59" s="161"/>
      <c r="P59" s="127"/>
      <c r="Q59" s="161"/>
      <c r="R59" s="108" t="str">
        <f>IFERROR(
  IF(B59="", "", VLOOKUP(B59, Data!$B$2:$K$905, 9, FALSE)),
  ""
)</f>
        <v/>
      </c>
      <c r="S59" s="139"/>
      <c r="T59" s="138"/>
      <c r="U59" s="108" t="str">
        <f>IFERROR(
  IF(B59="", "", VLOOKUP(B59, Data!$B$2:$K$905, 10, FALSE)),
  ""
)
</f>
        <v/>
      </c>
      <c r="V59" s="139"/>
      <c r="W59" s="164"/>
      <c r="X59" s="159"/>
      <c r="Y59" s="5"/>
      <c r="Z59" s="5"/>
      <c r="AA59" s="5"/>
      <c r="AB59" s="354">
        <f t="shared" si="31"/>
        <v>0</v>
      </c>
      <c r="AC59" s="33"/>
      <c r="AD59" s="65"/>
      <c r="AE59" s="66"/>
      <c r="AF59" s="144"/>
      <c r="AG59" s="68"/>
      <c r="AH59" s="69"/>
      <c r="AI59" s="39"/>
      <c r="AJ59" s="70"/>
      <c r="AK59" s="70"/>
      <c r="AL59" s="5"/>
      <c r="AM59" s="5"/>
      <c r="AN59" s="5"/>
      <c r="AO59" s="5"/>
      <c r="AP59" s="5"/>
      <c r="AQ59" s="5"/>
      <c r="AR59" s="5"/>
      <c r="AS59" s="5"/>
      <c r="AT59" s="5"/>
      <c r="AU59" s="5"/>
      <c r="AV59" s="5"/>
      <c r="AW59" s="5"/>
      <c r="AX59" s="5"/>
      <c r="AY59" s="5"/>
      <c r="AZ59" s="5"/>
      <c r="BA59" s="5"/>
      <c r="BB59" s="5"/>
      <c r="BC59" s="5"/>
      <c r="BD59" s="5"/>
      <c r="BE59" s="5"/>
      <c r="BF59" s="5"/>
      <c r="BG59" s="5"/>
      <c r="BH59" s="5"/>
      <c r="BI59" s="260"/>
      <c r="BJ59" s="260"/>
      <c r="BK59" s="260"/>
      <c r="BL59" s="260"/>
      <c r="BM59" s="260"/>
      <c r="BN59" s="260"/>
      <c r="BO59" s="260"/>
      <c r="BP59" s="260"/>
      <c r="BQ59" s="260"/>
      <c r="BR59" s="260"/>
      <c r="BS59" s="260"/>
      <c r="BT59" s="260"/>
    </row>
    <row r="60">
      <c r="A60" s="1313">
        <v>1.0</v>
      </c>
      <c r="B60" s="102"/>
      <c r="C60" s="103" t="s">
        <v>1201</v>
      </c>
      <c r="D60" s="104"/>
      <c r="E60" s="749"/>
      <c r="F60" s="104"/>
      <c r="G60" s="104"/>
      <c r="H60" s="104"/>
      <c r="I60" s="104"/>
      <c r="J60" s="104"/>
      <c r="K60" s="104" t="s">
        <v>42</v>
      </c>
      <c r="L60" s="106">
        <f>Q60</f>
        <v>0</v>
      </c>
      <c r="M60" s="105" t="s">
        <v>42</v>
      </c>
      <c r="N60" s="107"/>
      <c r="O60" s="105"/>
      <c r="P60" s="104"/>
      <c r="Q60" s="106">
        <f>Q61</f>
        <v>0</v>
      </c>
      <c r="R60" s="108" t="str">
        <f>IFERROR(
  IF(B60="", "", VLOOKUP(B60, Data!$B$2:$K$905, 9, FALSE)),
  ""
)</f>
        <v/>
      </c>
      <c r="S60" s="682">
        <f>IFERROR(T60/Q60, 0)</f>
        <v>0</v>
      </c>
      <c r="T60" s="109">
        <f>SUM(S61:S87)</f>
        <v>0</v>
      </c>
      <c r="U60" s="108" t="str">
        <f>IFERROR(
  IF(B60="", "", VLOOKUP(B60, Data!$B$2:$K$905, 10, FALSE)),
  ""
)
</f>
        <v/>
      </c>
      <c r="V60" s="109" t="str">
        <f>W60/Q60</f>
        <v>#DIV/0!</v>
      </c>
      <c r="W60" s="110">
        <f>SUM(W61:W87)</f>
        <v>0</v>
      </c>
      <c r="X60" s="111" t="str">
        <f>W60/$AC$1015/$W$1022/$X$1012</f>
        <v>#DIV/0!</v>
      </c>
      <c r="Y60" s="112" t="b">
        <f>(T60+W60)=(SUM(AB61:AB87))</f>
        <v>1</v>
      </c>
      <c r="Z60" s="113">
        <f>(T60+W60)-(SUM(AB61:AB87))</f>
        <v>0</v>
      </c>
      <c r="AA60" s="5"/>
      <c r="AB60" s="5"/>
      <c r="AC60" s="33"/>
      <c r="AD60" s="114">
        <f>W60+T60</f>
        <v>0</v>
      </c>
      <c r="AE60" s="115">
        <f>AD60</f>
        <v>0</v>
      </c>
      <c r="AF60" s="116" t="str">
        <f>AE60/$AE$990</f>
        <v>#DIV/0!</v>
      </c>
      <c r="AG60" s="683" t="str">
        <f>AF60*$AG$997</f>
        <v>#DIV/0!</v>
      </c>
      <c r="AH60" s="118" t="str">
        <f>AF60*$AG$1000</f>
        <v>#DIV/0!</v>
      </c>
      <c r="AI60" s="39"/>
      <c r="AJ60" s="119" t="str">
        <f>ROUND(AK60/L60,2)</f>
        <v>#DIV/0!</v>
      </c>
      <c r="AK60" s="119" t="str">
        <f>ROUND(AH60+AG60+AD60,2)</f>
        <v>#DIV/0!</v>
      </c>
      <c r="AL60" s="5"/>
      <c r="AM60" s="5"/>
      <c r="AN60" s="5"/>
      <c r="AO60" s="5"/>
      <c r="AP60" s="5"/>
      <c r="AQ60" s="5"/>
      <c r="AR60" s="5"/>
      <c r="AS60" s="5"/>
      <c r="AT60" s="5"/>
      <c r="AU60" s="5"/>
      <c r="AV60" s="5"/>
      <c r="AW60" s="5"/>
      <c r="AX60" s="5"/>
      <c r="AY60" s="5"/>
      <c r="AZ60" s="5"/>
      <c r="BA60" s="5"/>
      <c r="BB60" s="5"/>
      <c r="BC60" s="5"/>
      <c r="BD60" s="5"/>
      <c r="BE60" s="5"/>
      <c r="BF60" s="5"/>
      <c r="BG60" s="5"/>
      <c r="BH60" s="5"/>
      <c r="BI60" s="260"/>
      <c r="BJ60" s="260"/>
      <c r="BK60" s="260"/>
      <c r="BL60" s="260"/>
      <c r="BM60" s="260"/>
      <c r="BN60" s="260"/>
      <c r="BO60" s="260"/>
      <c r="BP60" s="260"/>
      <c r="BQ60" s="260"/>
      <c r="BR60" s="260"/>
      <c r="BS60" s="260"/>
      <c r="BT60" s="260"/>
    </row>
    <row r="61">
      <c r="A61" s="1313"/>
      <c r="B61" s="154" t="str">
        <f>IFERROR(__xludf.DUMMYFUNCTION("IFERROR(
  IF(C61="""","""",
    IF(OR(REGEXMATCH(D61,""(?i)-Flashing""), REGEXMATCH(D61,""(?i)-EavesGut""), REGEXMATCH(D61,""(?i)Valley"")),
        ""DR"" &amp;
        TEXT(
            ROUNDUP(
                MIN(
                    VALUE(MID(C61, FIND("&amp;"""("",C61)+1, FIND(""/"",C61)-FIND(""("",C61)-1)),
                    1200
                ) / 50, 0
            ) * 50, ""0""
        ) &amp;
        MID(C61, FIND(""/"",C61)+1, FIND("")"",C61)-FIND(""/"",C61)-1) &amp;
        TEXT(H61*100,""0"") &amp;
        I61,"&amp;"
    IF(AND(D61=""Roof Sheet"", REGEXMATCH(C61,""(?i)KS\d{4}[A-Z]{2}"")),
       REGEXEXTRACT(C61,""(?i)KS\d{4}[A-Z]{2}""),
    IF(AND(REGEXMATCH(D61,""(?i)-DP""), REGEXMATCH(C61,""(?i)Downpipe"")),
       ""dp"" &amp; REGEXEXTRACT(C61,""(\d+)"") &amp; ""mm"",
  "&amp;"  IF(AND(REGEXMATCH(D61,""(?i)Bracket""), REGEXMATCH(C61,""(?i)Bracket"")),
       ""Brkt"" &amp; REGEXEXTRACT(C61,""(\d+)"") &amp; ""mm"",
    IF(AND(REGEXMATCH(D61,""(?i)-OP""), REGEXMATCH(C61,""(?i)pops"")),
       ""op"" &amp; REGEXEXTRACT(C61,""(\d+)"") &amp; ""mm"""&amp;",
    IF(OR(D61=""R-FFTop"", D61=""R-FFBottom"", D61=""R-FFSide""),
        IF(REGEXMATCH(C61,""(?i)Profiled.*Top|Top.*Profiled""),""pfft"",
        IF(REGEXMATCH(C61,""(?i)Profiled.*Bottom|Bottom.*Profiled""),""pffb"",
        IF(REGEXMATCH(C61,""(?i)Squ"&amp;"are""),""sff"",""""))),
    IF(REGEXMATCH(D61,""(?i)-Rivets""),""Rvt"",
    IF(REGEXMATCH(D61,""(?i)Silicone""),""300ml"",
    IF(REGEXMATCH(D61,""(?i)R-Butyl""),""300ml"",
    IF(REGEXMATCH(D61,""(?i)Fix""),""GenFix"",
    IF(AND(REGEXMATCH(C61,""(?i)Tim"&amp;"ber""), REGEXMATCH(D61,""(?i)Timber"")),""tp"",
    IF(AND(REGEXMATCH(C61,""(?i)Vent G1275""), REGEXMATCH(D61,""(?i)Comb FIller"")),""CFV1275"",
    IF(REGEXMATCH(C61,""(?i)DPC""),""dpc"",
    IF(REGEXMATCH(C61,""(?i)Concealed Clips""),""ConClips"",
    I"&amp;"F(REGEXMATCH(D61,""(?i)-Takeoff ea""),""Takeoff ea"",
    IF(REGEXMATCH(D61,""(?i)-Takeoff LM""),""Takeoff LM"",
    IF(REGEXMATCH(D61,""(?i)-Takeoff m2""),""Takeoff m2"",
    IF(D61=""R-TU/TD"",""TU/TD"","""")))))))))))))))))
  )))"),"DR7503B55Mag")</f>
        <v>DR7503B55Mag</v>
      </c>
      <c r="C61" s="698" t="s">
        <v>1202</v>
      </c>
      <c r="D61" s="124" t="s">
        <v>96</v>
      </c>
      <c r="E61" s="687">
        <f>VALUE(MID(C61, FIND("(", C61)+1, FIND("/", C61)-FIND("(", C61)-1)) / 1000</f>
        <v>0.72</v>
      </c>
      <c r="F61" s="126" t="str">
        <f>IFERROR(__xludf.DUMMYFUNCTION("IFERROR(REGEXEXTRACT(C61,""@\s*(\d+(?:\.\d+)?)\s*deg"")&amp;""°"","""")"),"3.5°")</f>
        <v>3.5°</v>
      </c>
      <c r="G61" s="149"/>
      <c r="H61" s="128" t="str">
        <f>IFERROR(__xludf.DUMMYFUNCTION("IFERROR(REGEXEXTRACT(C61, ""(\d*\.\d+)mm""), """")"),"0.55")</f>
        <v>0.55</v>
      </c>
      <c r="I61" s="128" t="s">
        <v>97</v>
      </c>
      <c r="J61" s="126" t="s">
        <v>14</v>
      </c>
      <c r="K61" s="126" t="str">
        <f>IFERROR(
  IF(B61="", "", VLOOKUP(B61, Data!$B$2:$K$905, 7, FALSE)),
  ""
)</f>
        <v/>
      </c>
      <c r="L61" s="163"/>
      <c r="M61" s="150"/>
      <c r="N61" s="151">
        <f>IFERROR(__xludf.DUMMYFUNCTION("IF(B61="""", """", IFERROR(1 / COS(RADIANS(REGEXEXTRACT(F61,""(\d+)""))), 1))"),1.001372345997921)</f>
        <v>1.001372346</v>
      </c>
      <c r="O61" s="169">
        <v>1.0</v>
      </c>
      <c r="P61" s="134">
        <v>1.0</v>
      </c>
      <c r="Q61" s="168">
        <f t="shared" ref="Q61:Q65" si="34">M61*N61*O61*P61</f>
        <v>0</v>
      </c>
      <c r="R61" s="136" t="str">
        <f>IFERROR(
  IF(B61="", "", VLOOKUP(B61, Data!$B$2:$K$905, 9, FALSE)),
  ""
)</f>
        <v/>
      </c>
      <c r="S61" s="152">
        <f t="shared" ref="S61:S65" si="35">R61*Q61</f>
        <v>0</v>
      </c>
      <c r="T61" s="138"/>
      <c r="U61" s="136" t="str">
        <f>IFERROR(
  IF(B61="", "", VLOOKUP(B61, Data!$B$2:$K$905, 10, FALSE)),
  ""
)
</f>
        <v/>
      </c>
      <c r="V61" s="139"/>
      <c r="W61" s="140">
        <f t="shared" ref="W61:W65" si="36">U61*Q61</f>
        <v>0</v>
      </c>
      <c r="X61" s="159"/>
      <c r="Y61" s="165"/>
      <c r="Z61" s="1090"/>
      <c r="AA61" s="5"/>
      <c r="AB61" s="354">
        <f t="shared" ref="AB61:AB65" si="37">W61+S61</f>
        <v>0</v>
      </c>
      <c r="AC61" s="33"/>
      <c r="AD61" s="65"/>
      <c r="AE61" s="66"/>
      <c r="AF61" s="144"/>
      <c r="AG61" s="68"/>
      <c r="AH61" s="69"/>
      <c r="AI61" s="39"/>
      <c r="AJ61" s="70"/>
      <c r="AK61" s="70"/>
      <c r="AL61" s="5"/>
      <c r="AM61" s="5"/>
      <c r="AN61" s="5"/>
      <c r="AO61" s="5"/>
      <c r="AP61" s="5"/>
      <c r="AQ61" s="5"/>
      <c r="AR61" s="5"/>
      <c r="AS61" s="5"/>
      <c r="AT61" s="5"/>
      <c r="AU61" s="5"/>
      <c r="AV61" s="5"/>
      <c r="AW61" s="5"/>
      <c r="AX61" s="5"/>
      <c r="AY61" s="5"/>
      <c r="AZ61" s="5"/>
      <c r="BA61" s="5"/>
      <c r="BB61" s="5"/>
      <c r="BC61" s="5"/>
      <c r="BD61" s="5"/>
      <c r="BE61" s="5"/>
      <c r="BF61" s="5"/>
      <c r="BG61" s="5"/>
      <c r="BH61" s="5"/>
      <c r="BI61" s="260"/>
      <c r="BJ61" s="260"/>
      <c r="BK61" s="260"/>
      <c r="BL61" s="260"/>
      <c r="BM61" s="260"/>
      <c r="BN61" s="260"/>
      <c r="BO61" s="260"/>
      <c r="BP61" s="260"/>
      <c r="BQ61" s="260"/>
      <c r="BR61" s="260"/>
      <c r="BS61" s="260"/>
      <c r="BT61" s="260"/>
    </row>
    <row r="62">
      <c r="A62" s="1313"/>
      <c r="B62" s="154" t="str">
        <f>IFERROR(__xludf.DUMMYFUNCTION("IFERROR(
  IF(C62="""","""",
    IF(OR(REGEXMATCH(D62,""(?i)-Flashing""), REGEXMATCH(D62,""(?i)-EavesGut""), REGEXMATCH(D62,""(?i)Valley"")),
        ""DR"" &amp;
        TEXT(
            ROUNDUP(
                MIN(
                    VALUE(MID(C62, FIND("&amp;"""("",C62)+1, FIND(""/"",C62)-FIND(""("",C62)-1)),
                    1200
                ) / 50, 0
            ) * 50, ""0""
        ) &amp;
        MID(C62, FIND(""/"",C62)+1, FIND("")"",C62)-FIND(""/"",C62)-1) &amp;
        TEXT(H62*100,""0"") &amp;
        I62,"&amp;"
    IF(AND(D62=""Roof Sheet"", REGEXMATCH(C62,""(?i)KS\d{4}[A-Z]{2}"")),
       REGEXEXTRACT(C62,""(?i)KS\d{4}[A-Z]{2}""),
    IF(AND(REGEXMATCH(D62,""(?i)-DP""), REGEXMATCH(C62,""(?i)Downpipe"")),
       ""dp"" &amp; REGEXEXTRACT(C62,""(\d+)"") &amp; ""mm"",
  "&amp;"  IF(AND(REGEXMATCH(D62,""(?i)Bracket""), REGEXMATCH(C62,""(?i)Bracket"")),
       ""Brkt"" &amp; REGEXEXTRACT(C62,""(\d+)"") &amp; ""mm"",
    IF(AND(REGEXMATCH(D62,""(?i)-OP""), REGEXMATCH(C62,""(?i)pops"")),
       ""op"" &amp; REGEXEXTRACT(C62,""(\d+)"") &amp; ""mm"""&amp;",
    IF(OR(D62=""R-FFTop"", D62=""R-FFBottom"", D62=""R-FFSide""),
        IF(REGEXMATCH(C62,""(?i)Profiled.*Top|Top.*Profiled""),""pfft"",
        IF(REGEXMATCH(C62,""(?i)Profiled.*Bottom|Bottom.*Profiled""),""pffb"",
        IF(REGEXMATCH(C62,""(?i)Squ"&amp;"are""),""sff"",""""))),
    IF(REGEXMATCH(D62,""(?i)-Rivets""),""Rvt"",
    IF(REGEXMATCH(D62,""(?i)Silicone""),""300ml"",
    IF(REGEXMATCH(D62,""(?i)R-Butyl""),""300ml"",
    IF(REGEXMATCH(D62,""(?i)Fix""),""GenFix"",
    IF(AND(REGEXMATCH(C62,""(?i)Tim"&amp;"ber""), REGEXMATCH(D62,""(?i)Timber"")),""tp"",
    IF(AND(REGEXMATCH(C62,""(?i)Vent G1275""), REGEXMATCH(D62,""(?i)Comb FIller"")),""CFV1275"",
    IF(REGEXMATCH(C62,""(?i)DPC""),""dpc"",
    IF(REGEXMATCH(C62,""(?i)Concealed Clips""),""ConClips"",
    I"&amp;"F(REGEXMATCH(D62,""(?i)-Takeoff ea""),""Takeoff ea"",
    IF(REGEXMATCH(D62,""(?i)-Takeoff LM""),""Takeoff LM"",
    IF(REGEXMATCH(D62,""(?i)-Takeoff m2""),""Takeoff m2"",
    IF(D62=""R-TU/TD"",""TU/TD"","""")))))))))))))))))
  )))"),"300ml")</f>
        <v>300ml</v>
      </c>
      <c r="C62" s="734" t="s">
        <v>98</v>
      </c>
      <c r="D62" s="124" t="s">
        <v>99</v>
      </c>
      <c r="E62" s="687">
        <f t="shared" ref="E62:F62" si="33">E61</f>
        <v>0.72</v>
      </c>
      <c r="F62" s="128" t="str">
        <f t="shared" si="33"/>
        <v>3.5°</v>
      </c>
      <c r="G62" s="127"/>
      <c r="H62" s="127" t="str">
        <f>IFERROR(__xludf.DUMMYFUNCTION("IFERROR(REGEXEXTRACT(C62, ""(\d*\.\d+)mm""), """")"),"")</f>
        <v/>
      </c>
      <c r="I62" s="127"/>
      <c r="J62" s="126" t="s">
        <v>87</v>
      </c>
      <c r="K62" s="126" t="str">
        <f>IFERROR(
  IF(B62="", "", VLOOKUP(B62, Data!$B$2:$K$905, 7, FALSE)),
  ""
)</f>
        <v/>
      </c>
      <c r="L62" s="163"/>
      <c r="M62" s="150">
        <f>(ROUNDDOWN((M61/5.7)+2,0)*E62)/8</f>
        <v>0.18</v>
      </c>
      <c r="N62" s="151">
        <f>IFERROR(__xludf.DUMMYFUNCTION("IF(B62="""", """", IFERROR(1 / COS(RADIANS(REGEXEXTRACT(F62,""(\d+)""))), 1))"),1.001372345997921)</f>
        <v>1.001372346</v>
      </c>
      <c r="O62" s="169">
        <v>1.0</v>
      </c>
      <c r="P62" s="134">
        <v>1.0</v>
      </c>
      <c r="Q62" s="168">
        <f t="shared" si="34"/>
        <v>0.1802470223</v>
      </c>
      <c r="R62" s="136" t="str">
        <f>IFERROR(
  IF(B62="", "", VLOOKUP(B62, Data!$B$2:$K$905, 9, FALSE)),
  ""
)</f>
        <v/>
      </c>
      <c r="S62" s="152">
        <f t="shared" si="35"/>
        <v>0</v>
      </c>
      <c r="T62" s="138"/>
      <c r="U62" s="108" t="str">
        <f>IFERROR(
  IF(B62="", "", VLOOKUP(B62, Data!$B$2:$K$905, 10, FALSE)),
  ""
)
</f>
        <v/>
      </c>
      <c r="V62" s="139"/>
      <c r="W62" s="140">
        <f t="shared" si="36"/>
        <v>0</v>
      </c>
      <c r="X62" s="159"/>
      <c r="Y62" s="5"/>
      <c r="Z62" s="5"/>
      <c r="AA62" s="5"/>
      <c r="AB62" s="354">
        <f t="shared" si="37"/>
        <v>0</v>
      </c>
      <c r="AC62" s="33"/>
      <c r="AD62" s="65"/>
      <c r="AE62" s="66"/>
      <c r="AF62" s="144"/>
      <c r="AG62" s="68"/>
      <c r="AH62" s="69"/>
      <c r="AI62" s="39"/>
      <c r="AJ62" s="70"/>
      <c r="AK62" s="70"/>
      <c r="AL62" s="5"/>
      <c r="AM62" s="5"/>
      <c r="AN62" s="5"/>
      <c r="AO62" s="5"/>
      <c r="AP62" s="5"/>
      <c r="AQ62" s="5"/>
      <c r="AR62" s="5"/>
      <c r="AS62" s="5"/>
      <c r="AT62" s="5"/>
      <c r="AU62" s="5"/>
      <c r="AV62" s="5"/>
      <c r="AW62" s="5"/>
      <c r="AX62" s="5"/>
      <c r="AY62" s="5"/>
      <c r="AZ62" s="5"/>
      <c r="BA62" s="5"/>
      <c r="BB62" s="5"/>
      <c r="BC62" s="5"/>
      <c r="BD62" s="5"/>
      <c r="BE62" s="5"/>
      <c r="BF62" s="5"/>
      <c r="BG62" s="5"/>
      <c r="BH62" s="5"/>
      <c r="BI62" s="260"/>
      <c r="BJ62" s="260"/>
      <c r="BK62" s="260"/>
      <c r="BL62" s="260"/>
      <c r="BM62" s="260"/>
      <c r="BN62" s="260"/>
      <c r="BO62" s="260"/>
      <c r="BP62" s="260"/>
      <c r="BQ62" s="260"/>
      <c r="BR62" s="260"/>
      <c r="BS62" s="260"/>
      <c r="BT62" s="260"/>
    </row>
    <row r="63">
      <c r="A63" s="1313"/>
      <c r="B63" s="154" t="str">
        <f>IFERROR(__xludf.DUMMYFUNCTION("IFERROR(
  IF(C63="""","""",
    IF(OR(REGEXMATCH(D63,""(?i)-Flashing""), REGEXMATCH(D63,""(?i)-EavesGut""), REGEXMATCH(D63,""(?i)Valley"")),
        ""DR"" &amp;
        TEXT(
            ROUNDUP(
                MIN(
                    VALUE(MID(C63, FIND("&amp;"""("",C63)+1, FIND(""/"",C63)-FIND(""("",C63)-1)),
                    1200
                ) / 50, 0
            ) * 50, ""0""
        ) &amp;
        MID(C63, FIND(""/"",C63)+1, FIND("")"",C63)-FIND(""/"",C63)-1) &amp;
        TEXT(H63*100,""0"") &amp;
        I63,"&amp;"
    IF(AND(D63=""Roof Sheet"", REGEXMATCH(C63,""(?i)KS\d{4}[A-Z]{2}"")),
       REGEXEXTRACT(C63,""(?i)KS\d{4}[A-Z]{2}""),
    IF(AND(REGEXMATCH(D63,""(?i)-DP""), REGEXMATCH(C63,""(?i)Downpipe"")),
       ""dp"" &amp; REGEXEXTRACT(C63,""(\d+)"") &amp; ""mm"",
  "&amp;"  IF(AND(REGEXMATCH(D63,""(?i)Bracket""), REGEXMATCH(C63,""(?i)Bracket"")),
       ""Brkt"" &amp; REGEXEXTRACT(C63,""(\d+)"") &amp; ""mm"",
    IF(AND(REGEXMATCH(D63,""(?i)-OP""), REGEXMATCH(C63,""(?i)pops"")),
       ""op"" &amp; REGEXEXTRACT(C63,""(\d+)"") &amp; ""mm"""&amp;",
    IF(OR(D63=""R-FFTop"", D63=""R-FFBottom"", D63=""R-FFSide""),
        IF(REGEXMATCH(C63,""(?i)Profiled.*Top|Top.*Profiled""),""pfft"",
        IF(REGEXMATCH(C63,""(?i)Profiled.*Bottom|Bottom.*Profiled""),""pffb"",
        IF(REGEXMATCH(C63,""(?i)Squ"&amp;"are""),""sff"",""""))),
    IF(REGEXMATCH(D63,""(?i)-Rivets""),""Rvt"",
    IF(REGEXMATCH(D63,""(?i)Silicone""),""300ml"",
    IF(REGEXMATCH(D63,""(?i)R-Butyl""),""300ml"",
    IF(REGEXMATCH(D63,""(?i)Fix""),""GenFix"",
    IF(AND(REGEXMATCH(C63,""(?i)Tim"&amp;"ber""), REGEXMATCH(D63,""(?i)Timber"")),""tp"",
    IF(AND(REGEXMATCH(C63,""(?i)Vent G1275""), REGEXMATCH(D63,""(?i)Comb FIller"")),""CFV1275"",
    IF(REGEXMATCH(C63,""(?i)DPC""),""dpc"",
    IF(REGEXMATCH(C63,""(?i)Concealed Clips""),""ConClips"",
    I"&amp;"F(REGEXMATCH(D63,""(?i)-Takeoff ea""),""Takeoff ea"",
    IF(REGEXMATCH(D63,""(?i)-Takeoff LM""),""Takeoff LM"",
    IF(REGEXMATCH(D63,""(?i)-Takeoff m2""),""Takeoff m2"",
    IF(D63=""R-TU/TD"",""TU/TD"","""")))))))))))))))))
  )))"),"Rvt")</f>
        <v>Rvt</v>
      </c>
      <c r="C63" s="734" t="s">
        <v>100</v>
      </c>
      <c r="D63" s="124" t="s">
        <v>101</v>
      </c>
      <c r="E63" s="687">
        <f>E61</f>
        <v>0.72</v>
      </c>
      <c r="F63" s="128" t="str">
        <f t="shared" ref="F63:F65" si="38">F62</f>
        <v>3.5°</v>
      </c>
      <c r="G63" s="127"/>
      <c r="H63" s="127" t="str">
        <f>IFERROR(__xludf.DUMMYFUNCTION("IFERROR(REGEXEXTRACT(C63, ""(\d*\.\d+)mm""), """")"),"")</f>
        <v/>
      </c>
      <c r="I63" s="127"/>
      <c r="J63" s="126" t="s">
        <v>87</v>
      </c>
      <c r="K63" s="126" t="str">
        <f>IFERROR(
  IF(B63="", "", VLOOKUP(B63, Data!$B$2:$K$905, 7, FALSE)),
  ""
)</f>
        <v/>
      </c>
      <c r="L63" s="163"/>
      <c r="M63" s="150">
        <f>ROUNDUP(((M61/5.7)+1)*(E63/0.05),0)</f>
        <v>15</v>
      </c>
      <c r="N63" s="151">
        <f>IFERROR(__xludf.DUMMYFUNCTION("IF(B63="""", """", IFERROR(1 / COS(RADIANS(REGEXEXTRACT(F63,""(\d+)""))), 1))"),1.001372345997921)</f>
        <v>1.001372346</v>
      </c>
      <c r="O63" s="169">
        <v>1.0</v>
      </c>
      <c r="P63" s="134">
        <v>1.0</v>
      </c>
      <c r="Q63" s="168">
        <f t="shared" si="34"/>
        <v>15.02058519</v>
      </c>
      <c r="R63" s="136" t="str">
        <f>IFERROR(
  IF(B63="", "", VLOOKUP(B63, Data!$B$2:$K$905, 9, FALSE)),
  ""
)</f>
        <v/>
      </c>
      <c r="S63" s="152">
        <f t="shared" si="35"/>
        <v>0</v>
      </c>
      <c r="T63" s="138"/>
      <c r="U63" s="108" t="str">
        <f>IFERROR(
  IF(B63="", "", VLOOKUP(B63, Data!$B$2:$K$905, 10, FALSE)),
  ""
)
</f>
        <v/>
      </c>
      <c r="V63" s="139"/>
      <c r="W63" s="140">
        <f t="shared" si="36"/>
        <v>0</v>
      </c>
      <c r="X63" s="159"/>
      <c r="Y63" s="5"/>
      <c r="Z63" s="5"/>
      <c r="AA63" s="5"/>
      <c r="AB63" s="354">
        <f t="shared" si="37"/>
        <v>0</v>
      </c>
      <c r="AC63" s="33"/>
      <c r="AD63" s="65"/>
      <c r="AE63" s="66"/>
      <c r="AF63" s="144"/>
      <c r="AG63" s="68"/>
      <c r="AH63" s="69"/>
      <c r="AI63" s="39"/>
      <c r="AJ63" s="70"/>
      <c r="AK63" s="70"/>
      <c r="AL63" s="5"/>
      <c r="AM63" s="5"/>
      <c r="AN63" s="5"/>
      <c r="AO63" s="5"/>
      <c r="AP63" s="5"/>
      <c r="AQ63" s="5"/>
      <c r="AR63" s="5"/>
      <c r="AS63" s="5"/>
      <c r="AT63" s="5"/>
      <c r="AU63" s="5"/>
      <c r="AV63" s="5"/>
      <c r="AW63" s="5"/>
      <c r="AX63" s="5"/>
      <c r="AY63" s="5"/>
      <c r="AZ63" s="5"/>
      <c r="BA63" s="5"/>
      <c r="BB63" s="5"/>
      <c r="BC63" s="5"/>
      <c r="BD63" s="5"/>
      <c r="BE63" s="5"/>
      <c r="BF63" s="5"/>
      <c r="BG63" s="5"/>
      <c r="BH63" s="5"/>
      <c r="BI63" s="260"/>
      <c r="BJ63" s="260"/>
      <c r="BK63" s="260"/>
      <c r="BL63" s="260"/>
      <c r="BM63" s="260"/>
      <c r="BN63" s="260"/>
      <c r="BO63" s="260"/>
      <c r="BP63" s="260"/>
      <c r="BQ63" s="260"/>
      <c r="BR63" s="260"/>
      <c r="BS63" s="260"/>
      <c r="BT63" s="260"/>
    </row>
    <row r="64">
      <c r="A64" s="1313"/>
      <c r="B64" s="154" t="str">
        <f>IFERROR(__xludf.DUMMYFUNCTION("IFERROR(
  IF(C64="""","""",
    IF(OR(REGEXMATCH(D64,""(?i)-Flashing""), REGEXMATCH(D64,""(?i)-EavesGut""), REGEXMATCH(D64,""(?i)Valley"")),
        ""DR"" &amp;
        TEXT(
            ROUNDUP(
                MIN(
                    VALUE(MID(C64, FIND("&amp;"""("",C64)+1, FIND(""/"",C64)-FIND(""("",C64)-1)),
                    1200
                ) / 50, 0
            ) * 50, ""0""
        ) &amp;
        MID(C64, FIND(""/"",C64)+1, FIND("")"",C64)-FIND(""/"",C64)-1) &amp;
        TEXT(H64*100,""0"") &amp;
        I64,"&amp;"
    IF(AND(D64=""Roof Sheet"", REGEXMATCH(C64,""(?i)KS\d{4}[A-Z]{2}"")),
       REGEXEXTRACT(C64,""(?i)KS\d{4}[A-Z]{2}""),
    IF(AND(REGEXMATCH(D64,""(?i)-DP""), REGEXMATCH(C64,""(?i)Downpipe"")),
       ""dp"" &amp; REGEXEXTRACT(C64,""(\d+)"") &amp; ""mm"",
  "&amp;"  IF(AND(REGEXMATCH(D64,""(?i)Bracket""), REGEXMATCH(C64,""(?i)Bracket"")),
       ""Brkt"" &amp; REGEXEXTRACT(C64,""(\d+)"") &amp; ""mm"",
    IF(AND(REGEXMATCH(D64,""(?i)-OP""), REGEXMATCH(C64,""(?i)pops"")),
       ""op"" &amp; REGEXEXTRACT(C64,""(\d+)"") &amp; ""mm"""&amp;",
    IF(OR(D64=""R-FFTop"", D64=""R-FFBottom"", D64=""R-FFSide""),
        IF(REGEXMATCH(C64,""(?i)Profiled.*Top|Top.*Profiled""),""pfft"",
        IF(REGEXMATCH(C64,""(?i)Profiled.*Bottom|Bottom.*Profiled""),""pffb"",
        IF(REGEXMATCH(C64,""(?i)Squ"&amp;"are""),""sff"",""""))),
    IF(REGEXMATCH(D64,""(?i)-Rivets""),""Rvt"",
    IF(REGEXMATCH(D64,""(?i)Silicone""),""300ml"",
    IF(REGEXMATCH(D64,""(?i)R-Butyl""),""300ml"",
    IF(REGEXMATCH(D64,""(?i)Fix""),""GenFix"",
    IF(AND(REGEXMATCH(C64,""(?i)Tim"&amp;"ber""), REGEXMATCH(D64,""(?i)Timber"")),""tp"",
    IF(AND(REGEXMATCH(C64,""(?i)Vent G1275""), REGEXMATCH(D64,""(?i)Comb FIller"")),""CFV1275"",
    IF(REGEXMATCH(C64,""(?i)DPC""),""dpc"",
    IF(REGEXMATCH(C64,""(?i)Concealed Clips""),""ConClips"",
    I"&amp;"F(REGEXMATCH(D64,""(?i)-Takeoff ea""),""Takeoff ea"",
    IF(REGEXMATCH(D64,""(?i)-Takeoff LM""),""Takeoff LM"",
    IF(REGEXMATCH(D64,""(?i)-Takeoff m2""),""Takeoff m2"",
    IF(D64=""R-TU/TD"",""TU/TD"","""")))))))))))))))))
  )))"),"GenFix")</f>
        <v>GenFix</v>
      </c>
      <c r="C64" s="698" t="s">
        <v>102</v>
      </c>
      <c r="D64" s="124" t="s">
        <v>103</v>
      </c>
      <c r="E64" s="752"/>
      <c r="F64" s="128" t="str">
        <f t="shared" si="38"/>
        <v>3.5°</v>
      </c>
      <c r="G64" s="129"/>
      <c r="H64" s="127"/>
      <c r="I64" s="127"/>
      <c r="J64" s="126" t="s">
        <v>87</v>
      </c>
      <c r="K64" s="126" t="str">
        <f>IFERROR(
  IF(B64="", "", VLOOKUP(B64, Data!$B$2:$K$905, 7, FALSE)),
  ""
)</f>
        <v/>
      </c>
      <c r="L64" s="161"/>
      <c r="M64" s="150">
        <f>ROUNDUP(M61/0.6,0)+1</f>
        <v>1</v>
      </c>
      <c r="N64" s="151">
        <f>IFERROR(__xludf.DUMMYFUNCTION("IF(B64="""", """", IFERROR(1 / COS(RADIANS(REGEXEXTRACT(F64,""(\d+)""))), 1))"),1.001372345997921)</f>
        <v>1.001372346</v>
      </c>
      <c r="O64" s="169">
        <v>1.0</v>
      </c>
      <c r="P64" s="134">
        <v>2.0</v>
      </c>
      <c r="Q64" s="168">
        <f t="shared" si="34"/>
        <v>2.002744692</v>
      </c>
      <c r="R64" s="136" t="str">
        <f>IFERROR(
  IF(B64="", "", VLOOKUP(B64, Data!$B$2:$K$905, 9, FALSE)),
  ""
)</f>
        <v/>
      </c>
      <c r="S64" s="152">
        <f t="shared" si="35"/>
        <v>0</v>
      </c>
      <c r="T64" s="138"/>
      <c r="U64" s="108" t="str">
        <f>IFERROR(
  IF(B64="", "", VLOOKUP(B64, Data!$B$2:$K$905, 10, FALSE)),
  ""
)
</f>
        <v/>
      </c>
      <c r="V64" s="139"/>
      <c r="W64" s="140">
        <f t="shared" si="36"/>
        <v>0</v>
      </c>
      <c r="X64" s="159"/>
      <c r="Y64" s="5"/>
      <c r="Z64" s="5"/>
      <c r="AA64" s="5"/>
      <c r="AB64" s="354">
        <f t="shared" si="37"/>
        <v>0</v>
      </c>
      <c r="AC64" s="33"/>
      <c r="AD64" s="65"/>
      <c r="AE64" s="66"/>
      <c r="AF64" s="144"/>
      <c r="AG64" s="68"/>
      <c r="AH64" s="69"/>
      <c r="AI64" s="39"/>
      <c r="AJ64" s="70"/>
      <c r="AK64" s="70"/>
      <c r="AL64" s="5"/>
      <c r="AM64" s="5"/>
      <c r="AN64" s="5"/>
      <c r="AO64" s="5"/>
      <c r="AP64" s="5"/>
      <c r="AQ64" s="5"/>
      <c r="AR64" s="5"/>
      <c r="AS64" s="5"/>
      <c r="AT64" s="5"/>
      <c r="AU64" s="5"/>
      <c r="AV64" s="5"/>
      <c r="AW64" s="5"/>
      <c r="AX64" s="5"/>
      <c r="AY64" s="5"/>
      <c r="AZ64" s="5"/>
      <c r="BA64" s="5"/>
      <c r="BB64" s="5"/>
      <c r="BC64" s="5"/>
      <c r="BD64" s="5"/>
      <c r="BE64" s="5"/>
      <c r="BF64" s="5"/>
      <c r="BG64" s="5"/>
      <c r="BH64" s="5"/>
      <c r="BI64" s="260"/>
      <c r="BJ64" s="260"/>
      <c r="BK64" s="260"/>
      <c r="BL64" s="260"/>
      <c r="BM64" s="260"/>
      <c r="BN64" s="260"/>
      <c r="BO64" s="260"/>
      <c r="BP64" s="260"/>
      <c r="BQ64" s="260"/>
      <c r="BR64" s="260"/>
      <c r="BS64" s="260"/>
      <c r="BT64" s="260"/>
    </row>
    <row r="65">
      <c r="A65" s="1313"/>
      <c r="B65" s="154" t="str">
        <f>IFERROR(__xludf.DUMMYFUNCTION("IFERROR(
  IF(C65="""","""",
    IF(OR(REGEXMATCH(D65,""(?i)-Flashing""), REGEXMATCH(D65,""(?i)-EavesGut""), REGEXMATCH(D65,""(?i)Valley"")),
        ""DR"" &amp;
        TEXT(
            ROUNDUP(
                MIN(
                    VALUE(MID(C65, FIND("&amp;"""("",C65)+1, FIND(""/"",C65)-FIND(""("",C65)-1)),
                    1200
                ) / 50, 0
            ) * 50, ""0""
        ) &amp;
        MID(C65, FIND(""/"",C65)+1, FIND("")"",C65)-FIND(""/"",C65)-1) &amp;
        TEXT(H65*100,""0"") &amp;
        I65,"&amp;"
    IF(AND(D65=""Roof Sheet"", REGEXMATCH(C65,""(?i)KS\d{4}[A-Z]{2}"")),
       REGEXEXTRACT(C65,""(?i)KS\d{4}[A-Z]{2}""),
    IF(AND(REGEXMATCH(D65,""(?i)-DP""), REGEXMATCH(C65,""(?i)Downpipe"")),
       ""dp"" &amp; REGEXEXTRACT(C65,""(\d+)"") &amp; ""mm"",
  "&amp;"  IF(AND(REGEXMATCH(D65,""(?i)Bracket""), REGEXMATCH(C65,""(?i)Bracket"")),
       ""Brkt"" &amp; REGEXEXTRACT(C65,""(\d+)"") &amp; ""mm"",
    IF(AND(REGEXMATCH(D65,""(?i)-OP""), REGEXMATCH(C65,""(?i)pops"")),
       ""op"" &amp; REGEXEXTRACT(C65,""(\d+)"") &amp; ""mm"""&amp;",
    IF(OR(D65=""R-FFTop"", D65=""R-FFBottom"", D65=""R-FFSide""),
        IF(REGEXMATCH(C65,""(?i)Profiled.*Top|Top.*Profiled""),""pfft"",
        IF(REGEXMATCH(C65,""(?i)Profiled.*Bottom|Bottom.*Profiled""),""pffb"",
        IF(REGEXMATCH(C65,""(?i)Squ"&amp;"are""),""sff"",""""))),
    IF(REGEXMATCH(D65,""(?i)-Rivets""),""Rvt"",
    IF(REGEXMATCH(D65,""(?i)Silicone""),""300ml"",
    IF(REGEXMATCH(D65,""(?i)R-Butyl""),""300ml"",
    IF(REGEXMATCH(D65,""(?i)Fix""),""GenFix"",
    IF(AND(REGEXMATCH(C65,""(?i)Tim"&amp;"ber""), REGEXMATCH(D65,""(?i)Timber"")),""tp"",
    IF(AND(REGEXMATCH(C65,""(?i)Vent G1275""), REGEXMATCH(D65,""(?i)Comb FIller"")),""CFV1275"",
    IF(REGEXMATCH(C65,""(?i)DPC""),""dpc"",
    IF(REGEXMATCH(C65,""(?i)Concealed Clips""),""ConClips"",
    I"&amp;"F(REGEXMATCH(D65,""(?i)-Takeoff ea""),""Takeoff ea"",
    IF(REGEXMATCH(D65,""(?i)-Takeoff LM""),""Takeoff LM"",
    IF(REGEXMATCH(D65,""(?i)-Takeoff m2""),""Takeoff m2"",
    IF(D65=""R-TU/TD"",""TU/TD"","""")))))))))))))))))
  )))"),"sff")</f>
        <v>sff</v>
      </c>
      <c r="C65" s="734" t="s">
        <v>454</v>
      </c>
      <c r="D65" s="124" t="s">
        <v>105</v>
      </c>
      <c r="E65" s="752"/>
      <c r="F65" s="128" t="str">
        <f t="shared" si="38"/>
        <v>3.5°</v>
      </c>
      <c r="G65" s="129"/>
      <c r="H65" s="127"/>
      <c r="I65" s="127"/>
      <c r="J65" s="126" t="s">
        <v>87</v>
      </c>
      <c r="K65" s="126" t="str">
        <f>IFERROR(
  IF(B65="", "", VLOOKUP(B65, Data!$B$2:$K$905, 7, FALSE)),
  ""
)</f>
        <v/>
      </c>
      <c r="L65" s="161"/>
      <c r="M65" s="150" t="str">
        <f>M61</f>
        <v/>
      </c>
      <c r="N65" s="151">
        <f>IFERROR(__xludf.DUMMYFUNCTION("IF(B65="""", """", IFERROR(1 / COS(RADIANS(REGEXEXTRACT(F65,""(\d+)""))), 1))"),1.001372345997921)</f>
        <v>1.001372346</v>
      </c>
      <c r="O65" s="169">
        <v>1.0</v>
      </c>
      <c r="P65" s="134">
        <v>1.0</v>
      </c>
      <c r="Q65" s="168">
        <f t="shared" si="34"/>
        <v>0</v>
      </c>
      <c r="R65" s="136" t="str">
        <f>IFERROR(
  IF(B65="", "", VLOOKUP(B65, Data!$B$2:$K$905, 9, FALSE)),
  ""
)</f>
        <v/>
      </c>
      <c r="S65" s="152">
        <f t="shared" si="35"/>
        <v>0</v>
      </c>
      <c r="T65" s="138"/>
      <c r="U65" s="136" t="str">
        <f>IFERROR(
  IF(B65="", "", VLOOKUP(B65, Data!$B$2:$K$905, 10, FALSE)),
  ""
)
</f>
        <v/>
      </c>
      <c r="V65" s="139"/>
      <c r="W65" s="140">
        <f t="shared" si="36"/>
        <v>0</v>
      </c>
      <c r="X65" s="159"/>
      <c r="Y65" s="5"/>
      <c r="Z65" s="5"/>
      <c r="AA65" s="5"/>
      <c r="AB65" s="354">
        <f t="shared" si="37"/>
        <v>0</v>
      </c>
      <c r="AC65" s="33"/>
      <c r="AD65" s="65"/>
      <c r="AE65" s="66"/>
      <c r="AF65" s="144"/>
      <c r="AG65" s="68"/>
      <c r="AH65" s="69"/>
      <c r="AI65" s="39"/>
      <c r="AJ65" s="70"/>
      <c r="AK65" s="70"/>
      <c r="AL65" s="5"/>
      <c r="AM65" s="5"/>
      <c r="AN65" s="5"/>
      <c r="AO65" s="5"/>
      <c r="AP65" s="5"/>
      <c r="AQ65" s="5"/>
      <c r="AR65" s="5"/>
      <c r="AS65" s="5"/>
      <c r="AT65" s="5"/>
      <c r="AU65" s="5"/>
      <c r="AV65" s="5"/>
      <c r="AW65" s="5"/>
      <c r="AX65" s="5"/>
      <c r="AY65" s="5"/>
      <c r="AZ65" s="5"/>
      <c r="BA65" s="5"/>
      <c r="BB65" s="5"/>
      <c r="BC65" s="5"/>
      <c r="BD65" s="5"/>
      <c r="BE65" s="5"/>
      <c r="BF65" s="5"/>
      <c r="BG65" s="5"/>
      <c r="BH65" s="5"/>
      <c r="BI65" s="260"/>
      <c r="BJ65" s="260"/>
      <c r="BK65" s="260"/>
      <c r="BL65" s="260"/>
      <c r="BM65" s="260"/>
      <c r="BN65" s="260"/>
      <c r="BO65" s="260"/>
      <c r="BP65" s="260"/>
      <c r="BQ65" s="260"/>
      <c r="BR65" s="260"/>
      <c r="BS65" s="260"/>
      <c r="BT65" s="260"/>
    </row>
    <row r="66">
      <c r="A66" s="1313"/>
      <c r="B66" s="160"/>
      <c r="C66" s="757"/>
      <c r="D66" s="129"/>
      <c r="E66" s="752"/>
      <c r="F66" s="127"/>
      <c r="G66" s="129"/>
      <c r="H66" s="127"/>
      <c r="I66" s="127"/>
      <c r="J66" s="129"/>
      <c r="K66" s="129"/>
      <c r="L66" s="161"/>
      <c r="M66" s="163"/>
      <c r="N66" s="162"/>
      <c r="O66" s="161"/>
      <c r="P66" s="127"/>
      <c r="Q66" s="161"/>
      <c r="R66" s="108"/>
      <c r="S66" s="139"/>
      <c r="T66" s="138"/>
      <c r="U66" s="108"/>
      <c r="V66" s="139"/>
      <c r="W66" s="164"/>
      <c r="X66" s="159"/>
      <c r="Y66" s="5"/>
      <c r="Z66" s="5"/>
      <c r="AA66" s="5"/>
      <c r="AB66" s="5"/>
      <c r="AC66" s="33"/>
      <c r="AD66" s="65"/>
      <c r="AE66" s="66"/>
      <c r="AF66" s="144"/>
      <c r="AG66" s="68"/>
      <c r="AH66" s="69"/>
      <c r="AI66" s="39"/>
      <c r="AJ66" s="70"/>
      <c r="AK66" s="70"/>
      <c r="AL66" s="5"/>
      <c r="AM66" s="5"/>
      <c r="AN66" s="5"/>
      <c r="AO66" s="5"/>
      <c r="AP66" s="5"/>
      <c r="AQ66" s="5"/>
      <c r="AR66" s="5"/>
      <c r="AS66" s="5"/>
      <c r="AT66" s="5"/>
      <c r="AU66" s="5"/>
      <c r="AV66" s="5"/>
      <c r="AW66" s="5"/>
      <c r="AX66" s="5"/>
      <c r="AY66" s="5"/>
      <c r="AZ66" s="5"/>
      <c r="BA66" s="5"/>
      <c r="BB66" s="5"/>
      <c r="BC66" s="5"/>
      <c r="BD66" s="5"/>
      <c r="BE66" s="5"/>
      <c r="BF66" s="5"/>
      <c r="BG66" s="5"/>
      <c r="BH66" s="5"/>
      <c r="BI66" s="260"/>
      <c r="BJ66" s="260"/>
      <c r="BK66" s="260"/>
      <c r="BL66" s="260"/>
      <c r="BM66" s="260"/>
      <c r="BN66" s="260"/>
      <c r="BO66" s="260"/>
      <c r="BP66" s="260"/>
      <c r="BQ66" s="260"/>
      <c r="BR66" s="260"/>
      <c r="BS66" s="260"/>
      <c r="BT66" s="260"/>
    </row>
    <row r="67">
      <c r="A67" s="1313">
        <v>1.0</v>
      </c>
      <c r="B67" s="727"/>
      <c r="C67" s="103" t="s">
        <v>1203</v>
      </c>
      <c r="D67" s="678"/>
      <c r="E67" s="676"/>
      <c r="F67" s="728"/>
      <c r="G67" s="678"/>
      <c r="H67" s="678"/>
      <c r="I67" s="678"/>
      <c r="J67" s="678"/>
      <c r="K67" s="678" t="s">
        <v>42</v>
      </c>
      <c r="L67" s="106">
        <f>Q67</f>
        <v>0</v>
      </c>
      <c r="M67" s="679" t="s">
        <v>42</v>
      </c>
      <c r="N67" s="680"/>
      <c r="O67" s="679"/>
      <c r="P67" s="678"/>
      <c r="Q67" s="106">
        <f>Q68</f>
        <v>0</v>
      </c>
      <c r="R67" s="136" t="str">
        <f>IFERROR(
  IF(B67="", "", VLOOKUP(B67, Data!$B$2:$K$905, 9, FALSE)),
  ""
)</f>
        <v/>
      </c>
      <c r="S67" s="682">
        <f>IFERROR(T67/Q67, 0)</f>
        <v>0</v>
      </c>
      <c r="T67" s="109">
        <f>SUM(S68:S75)</f>
        <v>0</v>
      </c>
      <c r="U67" s="136" t="str">
        <f>IFERROR(
  IF(B67="", "", VLOOKUP(B67, Data!$B$2:$K$905, 10, FALSE)),
  ""
)
</f>
        <v/>
      </c>
      <c r="V67" s="109" t="str">
        <f>W67/Q67</f>
        <v>#DIV/0!</v>
      </c>
      <c r="W67" s="110">
        <f>SUM(W68:W75)</f>
        <v>0</v>
      </c>
      <c r="X67" s="111" t="str">
        <f>W67/$AC$235/$W$242/$X$232</f>
        <v>#REF!</v>
      </c>
      <c r="Y67" s="112" t="b">
        <f>(T67+W67)=(SUM(AB68:AB75))</f>
        <v>1</v>
      </c>
      <c r="Z67" s="222">
        <f>(T67+W67)-(SUM(AB68:AB75))</f>
        <v>0</v>
      </c>
      <c r="AA67" s="595"/>
      <c r="AB67" s="595"/>
      <c r="AC67" s="181"/>
      <c r="AD67" s="114">
        <f>W67+T67</f>
        <v>0</v>
      </c>
      <c r="AE67" s="115">
        <f>AD67</f>
        <v>0</v>
      </c>
      <c r="AF67" s="116" t="str">
        <f>AE67/$AE$210</f>
        <v>#REF!</v>
      </c>
      <c r="AG67" s="683" t="str">
        <f>AF67*$AG$217</f>
        <v>#REF!</v>
      </c>
      <c r="AH67" s="118" t="str">
        <f>AF67*$AG$220</f>
        <v>#REF!</v>
      </c>
      <c r="AI67" s="187"/>
      <c r="AJ67" s="119" t="str">
        <f>ROUND(AK67/L67,2)</f>
        <v>#REF!</v>
      </c>
      <c r="AK67" s="119" t="str">
        <f>ROUND(AH67+AG67+AD67,2)</f>
        <v>#REF!</v>
      </c>
      <c r="AL67" s="595"/>
      <c r="AM67" s="595"/>
      <c r="AN67" s="595"/>
      <c r="AO67" s="595"/>
      <c r="AP67" s="595"/>
      <c r="AQ67" s="595"/>
      <c r="AR67" s="595"/>
      <c r="AS67" s="595"/>
      <c r="AT67" s="595"/>
      <c r="AU67" s="595"/>
      <c r="AV67" s="595"/>
      <c r="AW67" s="595"/>
      <c r="AX67" s="595"/>
      <c r="AY67" s="595"/>
      <c r="AZ67" s="595"/>
      <c r="BA67" s="595"/>
      <c r="BB67" s="595"/>
      <c r="BC67" s="595"/>
      <c r="BD67" s="595"/>
      <c r="BE67" s="595"/>
      <c r="BF67" s="595"/>
      <c r="BG67" s="595"/>
      <c r="BH67" s="595"/>
      <c r="BI67" s="651"/>
      <c r="BJ67" s="651"/>
      <c r="BK67" s="651"/>
      <c r="BL67" s="651"/>
      <c r="BM67" s="651"/>
      <c r="BN67" s="651"/>
      <c r="BO67" s="651"/>
      <c r="BP67" s="651"/>
      <c r="BQ67" s="651"/>
      <c r="BR67" s="651"/>
      <c r="BS67" s="651"/>
      <c r="BT67" s="651"/>
    </row>
    <row r="68">
      <c r="A68" s="1313"/>
      <c r="B68" s="154" t="str">
        <f>IFERROR(__xludf.DUMMYFUNCTION("IFERROR(
  IF(C68="""","""",
    IF(OR(REGEXMATCH(D68,""(?i)-Flashing""), REGEXMATCH(D68,""(?i)-EavesGut""), REGEXMATCH(D68,""(?i)Valley"")),
        ""DR"" &amp;
        TEXT(
            ROUNDUP(
                MIN(
                    VALUE(MID(C68, FIND("&amp;"""("",C68)+1, FIND(""/"",C68)-FIND(""("",C68)-1)),
                    1200
                ) / 50, 0
            ) * 50, ""0""
        ) &amp;
        MID(C68, FIND(""/"",C68)+1, FIND("")"",C68)-FIND(""/"",C68)-1) &amp;
        TEXT(H68*100,""0"") &amp;
        I68,"&amp;"
    IF(AND(D68=""Roof Sheet"", REGEXMATCH(C68,""(?i)KS\d{4}[A-Z]{2}"")),
       REGEXEXTRACT(C68,""(?i)KS\d{4}[A-Z]{2}""),
    IF(AND(REGEXMATCH(D68,""(?i)-DP""), REGEXMATCH(C68,""(?i)Downpipe"")),
       ""dp"" &amp; REGEXEXTRACT(C68,""(\d+)"") &amp; ""mm"",
  "&amp;"  IF(AND(REGEXMATCH(D68,""(?i)Bracket""), REGEXMATCH(C68,""(?i)Bracket"")),
       ""Brkt"" &amp; REGEXEXTRACT(C68,""(\d+)"") &amp; ""mm"",
    IF(AND(REGEXMATCH(D68,""(?i)-OP""), REGEXMATCH(C68,""(?i)pops"")),
       ""op"" &amp; REGEXEXTRACT(C68,""(\d+)"") &amp; ""mm"""&amp;",
    IF(OR(D68=""R-FFTop"", D68=""R-FFBottom"", D68=""R-FFSide""),
        IF(REGEXMATCH(C68,""(?i)Profiled.*Top|Top.*Profiled""),""pfft"",
        IF(REGEXMATCH(C68,""(?i)Profiled.*Bottom|Bottom.*Profiled""),""pffb"",
        IF(REGEXMATCH(C68,""(?i)Squ"&amp;"are""),""sff"",""""))),
    IF(REGEXMATCH(D68,""(?i)-Rivets""),""Rvt"",
    IF(REGEXMATCH(D68,""(?i)Silicone""),""300ml"",
    IF(REGEXMATCH(D68,""(?i)R-Butyl""),""300ml"",
    IF(REGEXMATCH(D68,""(?i)Fix""),""GenFix"",
    IF(AND(REGEXMATCH(C68,""(?i)Tim"&amp;"ber""), REGEXMATCH(D68,""(?i)Timber"")),""tp"",
    IF(AND(REGEXMATCH(C68,""(?i)Vent G1275""), REGEXMATCH(D68,""(?i)Comb FIller"")),""CFV1275"",
    IF(REGEXMATCH(C68,""(?i)DPC""),""dpc"",
    IF(REGEXMATCH(C68,""(?i)Concealed Clips""),""ConClips"",
    I"&amp;"F(REGEXMATCH(D68,""(?i)-Takeoff ea""),""Takeoff ea"",
    IF(REGEXMATCH(D68,""(?i)-Takeoff LM""),""Takeoff LM"",
    IF(REGEXMATCH(D68,""(?i)-Takeoff m2""),""Takeoff m2"",
    IF(D68=""R-TU/TD"",""TU/TD"","""")))))))))))))))))
  )))"),"DR4002B55Mag")</f>
        <v>DR4002B55Mag</v>
      </c>
      <c r="C68" s="123" t="s">
        <v>1204</v>
      </c>
      <c r="D68" s="124" t="s">
        <v>96</v>
      </c>
      <c r="E68" s="687">
        <f>VALUE(MID(C68, FIND("(", C68)+1, FIND("/", C68)-FIND("(", C68)-1)) / 1000</f>
        <v>0.36</v>
      </c>
      <c r="F68" s="126" t="str">
        <f>IFERROR(__xludf.DUMMYFUNCTION("IFERROR(REGEXEXTRACT(C68,""@\s*(\d+(?:\.\d+)?)\s*deg"")&amp;""°"","""")"),"")</f>
        <v/>
      </c>
      <c r="G68" s="700"/>
      <c r="H68" s="128" t="str">
        <f>IFERROR(__xludf.DUMMYFUNCTION("IFERROR(REGEXEXTRACT(C68, ""(\d*\.\d+)mm""), """")"),"0.55")</f>
        <v>0.55</v>
      </c>
      <c r="I68" s="128" t="s">
        <v>97</v>
      </c>
      <c r="J68" s="126" t="s">
        <v>14</v>
      </c>
      <c r="K68" s="126" t="str">
        <f>IFERROR(
  IF(B68="", "", VLOOKUP(B68, Data!$B$2:$K$905, 7, FALSE)),
  ""
)</f>
        <v/>
      </c>
      <c r="L68" s="704"/>
      <c r="M68" s="730"/>
      <c r="N68" s="151">
        <f>IFERROR(__xludf.DUMMYFUNCTION("IF(B68="""", """", IFERROR(1 / COS(RADIANS(REGEXEXTRACT(F68,""(\d+)""))), 1))"),1.0)</f>
        <v>1</v>
      </c>
      <c r="O68" s="169">
        <v>1.0</v>
      </c>
      <c r="P68" s="134">
        <v>1.0</v>
      </c>
      <c r="Q68" s="168">
        <f t="shared" ref="Q68:Q74" si="40">M68*N68*O68*P68</f>
        <v>0</v>
      </c>
      <c r="R68" s="136" t="str">
        <f>IFERROR(
  IF(B68="", "", VLOOKUP(B68, Data!$B$2:$K$905, 9, FALSE)),
  ""
)</f>
        <v/>
      </c>
      <c r="S68" s="152">
        <f t="shared" ref="S68:S74" si="41">R68*Q68</f>
        <v>0</v>
      </c>
      <c r="T68" s="690"/>
      <c r="U68" s="136" t="str">
        <f>IFERROR(
  IF(B68="", "", VLOOKUP(B68, Data!$B$2:$K$905, 10, FALSE)),
  ""
)
</f>
        <v/>
      </c>
      <c r="V68" s="691"/>
      <c r="W68" s="140">
        <f t="shared" ref="W68:W74" si="42">U68*Q68</f>
        <v>0</v>
      </c>
      <c r="X68" s="692"/>
      <c r="Y68" s="693"/>
      <c r="Z68" s="731"/>
      <c r="AA68" s="595"/>
      <c r="AB68" s="354">
        <f t="shared" ref="AB68:AB73" si="43">W68+S68</f>
        <v>0</v>
      </c>
      <c r="AC68" s="181"/>
      <c r="AD68" s="625"/>
      <c r="AE68" s="626"/>
      <c r="AF68" s="696"/>
      <c r="AG68" s="697"/>
      <c r="AH68" s="629"/>
      <c r="AI68" s="187"/>
      <c r="AJ68" s="630"/>
      <c r="AK68" s="630"/>
      <c r="AL68" s="595"/>
      <c r="AM68" s="595"/>
      <c r="AN68" s="595"/>
      <c r="AO68" s="595"/>
      <c r="AP68" s="595"/>
      <c r="AQ68" s="595"/>
      <c r="AR68" s="595"/>
      <c r="AS68" s="595"/>
      <c r="AT68" s="595"/>
      <c r="AU68" s="595"/>
      <c r="AV68" s="595"/>
      <c r="AW68" s="595"/>
      <c r="AX68" s="595"/>
      <c r="AY68" s="595"/>
      <c r="AZ68" s="595"/>
      <c r="BA68" s="595"/>
      <c r="BB68" s="595"/>
      <c r="BC68" s="595"/>
      <c r="BD68" s="595"/>
      <c r="BE68" s="595"/>
      <c r="BF68" s="595"/>
      <c r="BG68" s="595"/>
      <c r="BH68" s="595"/>
      <c r="BI68" s="651"/>
      <c r="BJ68" s="651"/>
      <c r="BK68" s="651"/>
      <c r="BL68" s="651"/>
      <c r="BM68" s="651"/>
      <c r="BN68" s="651"/>
      <c r="BO68" s="651"/>
      <c r="BP68" s="651"/>
      <c r="BQ68" s="651"/>
      <c r="BR68" s="651"/>
      <c r="BS68" s="651"/>
      <c r="BT68" s="651"/>
    </row>
    <row r="69">
      <c r="A69" s="1313"/>
      <c r="B69" s="154" t="str">
        <f>IFERROR(__xludf.DUMMYFUNCTION("IFERROR(
  IF(C69="""","""",
    IF(OR(REGEXMATCH(D69,""(?i)-Flashing""), REGEXMATCH(D69,""(?i)-EavesGut""), REGEXMATCH(D69,""(?i)Valley"")),
        ""DR"" &amp;
        TEXT(
            ROUNDUP(
                MIN(
                    VALUE(MID(C69, FIND("&amp;"""("",C69)+1, FIND(""/"",C69)-FIND(""("",C69)-1)),
                    1200
                ) / 50, 0
            ) * 50, ""0""
        ) &amp;
        MID(C69, FIND(""/"",C69)+1, FIND("")"",C69)-FIND(""/"",C69)-1) &amp;
        TEXT(H69*100,""0"") &amp;
        I69,"&amp;"
    IF(AND(D69=""Roof Sheet"", REGEXMATCH(C69,""(?i)KS\d{4}[A-Z]{2}"")),
       REGEXEXTRACT(C69,""(?i)KS\d{4}[A-Z]{2}""),
    IF(AND(REGEXMATCH(D69,""(?i)-DP""), REGEXMATCH(C69,""(?i)Downpipe"")),
       ""dp"" &amp; REGEXEXTRACT(C69,""(\d+)"") &amp; ""mm"",
  "&amp;"  IF(AND(REGEXMATCH(D69,""(?i)Bracket""), REGEXMATCH(C69,""(?i)Bracket"")),
       ""Brkt"" &amp; REGEXEXTRACT(C69,""(\d+)"") &amp; ""mm"",
    IF(AND(REGEXMATCH(D69,""(?i)-OP""), REGEXMATCH(C69,""(?i)pops"")),
       ""op"" &amp; REGEXEXTRACT(C69,""(\d+)"") &amp; ""mm"""&amp;",
    IF(OR(D69=""R-FFTop"", D69=""R-FFBottom"", D69=""R-FFSide""),
        IF(REGEXMATCH(C69,""(?i)Profiled.*Top|Top.*Profiled""),""pfft"",
        IF(REGEXMATCH(C69,""(?i)Profiled.*Bottom|Bottom.*Profiled""),""pffb"",
        IF(REGEXMATCH(C69,""(?i)Squ"&amp;"are""),""sff"",""""))),
    IF(REGEXMATCH(D69,""(?i)-Rivets""),""Rvt"",
    IF(REGEXMATCH(D69,""(?i)Silicone""),""300ml"",
    IF(REGEXMATCH(D69,""(?i)R-Butyl""),""300ml"",
    IF(REGEXMATCH(D69,""(?i)Fix""),""GenFix"",
    IF(AND(REGEXMATCH(C69,""(?i)Tim"&amp;"ber""), REGEXMATCH(D69,""(?i)Timber"")),""tp"",
    IF(AND(REGEXMATCH(C69,""(?i)Vent G1275""), REGEXMATCH(D69,""(?i)Comb FIller"")),""CFV1275"",
    IF(REGEXMATCH(C69,""(?i)DPC""),""dpc"",
    IF(REGEXMATCH(C69,""(?i)Concealed Clips""),""ConClips"",
    I"&amp;"F(REGEXMATCH(D69,""(?i)-Takeoff ea""),""Takeoff ea"",
    IF(REGEXMATCH(D69,""(?i)-Takeoff LM""),""Takeoff LM"",
    IF(REGEXMATCH(D69,""(?i)-Takeoff m2""),""Takeoff m2"",
    IF(D69=""R-TU/TD"",""TU/TD"","""")))))))))))))))))
  )))"),"300ml")</f>
        <v>300ml</v>
      </c>
      <c r="C69" s="734" t="s">
        <v>98</v>
      </c>
      <c r="D69" s="124" t="s">
        <v>99</v>
      </c>
      <c r="E69" s="687">
        <f t="shared" ref="E69:F69" si="39">E68</f>
        <v>0.36</v>
      </c>
      <c r="F69" s="128" t="str">
        <f t="shared" si="39"/>
        <v/>
      </c>
      <c r="G69" s="700"/>
      <c r="H69" s="700" t="str">
        <f>IFERROR(__xludf.DUMMYFUNCTION("IFERROR(REGEXEXTRACT(C69, ""(\d*\.\d+)mm""), """")"),"")</f>
        <v/>
      </c>
      <c r="I69" s="700"/>
      <c r="J69" s="126" t="s">
        <v>87</v>
      </c>
      <c r="K69" s="126" t="str">
        <f>IFERROR(
  IF(B69="", "", VLOOKUP(B69, Data!$B$2:$K$905, 7, FALSE)),
  ""
)</f>
        <v/>
      </c>
      <c r="L69" s="704"/>
      <c r="M69" s="150">
        <f>(ROUNDDOWN((M68/5.7)+2,0)*E69)/8</f>
        <v>0.09</v>
      </c>
      <c r="N69" s="151">
        <f>IFERROR(__xludf.DUMMYFUNCTION("IF(B69="""", """", IFERROR(1 / COS(RADIANS(REGEXEXTRACT(F69,""(\d+)""))), 1))"),1.0)</f>
        <v>1</v>
      </c>
      <c r="O69" s="169">
        <v>1.0</v>
      </c>
      <c r="P69" s="134">
        <v>1.0</v>
      </c>
      <c r="Q69" s="168">
        <f t="shared" si="40"/>
        <v>0.09</v>
      </c>
      <c r="R69" s="136" t="str">
        <f>IFERROR(
  IF(B69="", "", VLOOKUP(B69, Data!$B$2:$K$905, 9, FALSE)),
  ""
)</f>
        <v/>
      </c>
      <c r="S69" s="152">
        <f t="shared" si="41"/>
        <v>0</v>
      </c>
      <c r="T69" s="690"/>
      <c r="U69" s="136" t="str">
        <f>IFERROR(
  IF(B69="", "", VLOOKUP(B69, Data!$B$2:$K$905, 10, FALSE)),
  ""
)
</f>
        <v/>
      </c>
      <c r="V69" s="691"/>
      <c r="W69" s="140">
        <f t="shared" si="42"/>
        <v>0</v>
      </c>
      <c r="X69" s="692"/>
      <c r="Y69" s="595"/>
      <c r="Z69" s="595"/>
      <c r="AA69" s="595"/>
      <c r="AB69" s="354">
        <f t="shared" si="43"/>
        <v>0</v>
      </c>
      <c r="AC69" s="181"/>
      <c r="AD69" s="625"/>
      <c r="AE69" s="626"/>
      <c r="AF69" s="696"/>
      <c r="AG69" s="697"/>
      <c r="AH69" s="629"/>
      <c r="AI69" s="187"/>
      <c r="AJ69" s="630"/>
      <c r="AK69" s="630"/>
      <c r="AL69" s="595"/>
      <c r="AM69" s="595"/>
      <c r="AN69" s="595"/>
      <c r="AO69" s="595"/>
      <c r="AP69" s="595"/>
      <c r="AQ69" s="595"/>
      <c r="AR69" s="595"/>
      <c r="AS69" s="595"/>
      <c r="AT69" s="595"/>
      <c r="AU69" s="595"/>
      <c r="AV69" s="595"/>
      <c r="AW69" s="595"/>
      <c r="AX69" s="595"/>
      <c r="AY69" s="595"/>
      <c r="AZ69" s="595"/>
      <c r="BA69" s="595"/>
      <c r="BB69" s="595"/>
      <c r="BC69" s="595"/>
      <c r="BD69" s="595"/>
      <c r="BE69" s="595"/>
      <c r="BF69" s="595"/>
      <c r="BG69" s="595"/>
      <c r="BH69" s="595"/>
      <c r="BI69" s="651"/>
      <c r="BJ69" s="651"/>
      <c r="BK69" s="651"/>
      <c r="BL69" s="651"/>
      <c r="BM69" s="651"/>
      <c r="BN69" s="651"/>
      <c r="BO69" s="651"/>
      <c r="BP69" s="651"/>
      <c r="BQ69" s="651"/>
      <c r="BR69" s="651"/>
      <c r="BS69" s="651"/>
      <c r="BT69" s="651"/>
    </row>
    <row r="70">
      <c r="A70" s="1313"/>
      <c r="B70" s="154" t="str">
        <f>IFERROR(__xludf.DUMMYFUNCTION("IFERROR(
  IF(C70="""","""",
    IF(OR(REGEXMATCH(D70,""(?i)-Flashing""), REGEXMATCH(D70,""(?i)-EavesGut""), REGEXMATCH(D70,""(?i)Valley"")),
        ""DR"" &amp;
        TEXT(
            ROUNDUP(
                MIN(
                    VALUE(MID(C70, FIND("&amp;"""("",C70)+1, FIND(""/"",C70)-FIND(""("",C70)-1)),
                    1200
                ) / 50, 0
            ) * 50, ""0""
        ) &amp;
        MID(C70, FIND(""/"",C70)+1, FIND("")"",C70)-FIND(""/"",C70)-1) &amp;
        TEXT(H70*100,""0"") &amp;
        I70,"&amp;"
    IF(AND(D70=""Roof Sheet"", REGEXMATCH(C70,""(?i)KS\d{4}[A-Z]{2}"")),
       REGEXEXTRACT(C70,""(?i)KS\d{4}[A-Z]{2}""),
    IF(AND(REGEXMATCH(D70,""(?i)-DP""), REGEXMATCH(C70,""(?i)Downpipe"")),
       ""dp"" &amp; REGEXEXTRACT(C70,""(\d+)"") &amp; ""mm"",
  "&amp;"  IF(AND(REGEXMATCH(D70,""(?i)Bracket""), REGEXMATCH(C70,""(?i)Bracket"")),
       ""Brkt"" &amp; REGEXEXTRACT(C70,""(\d+)"") &amp; ""mm"",
    IF(AND(REGEXMATCH(D70,""(?i)-OP""), REGEXMATCH(C70,""(?i)pops"")),
       ""op"" &amp; REGEXEXTRACT(C70,""(\d+)"") &amp; ""mm"""&amp;",
    IF(OR(D70=""R-FFTop"", D70=""R-FFBottom"", D70=""R-FFSide""),
        IF(REGEXMATCH(C70,""(?i)Profiled.*Top|Top.*Profiled""),""pfft"",
        IF(REGEXMATCH(C70,""(?i)Profiled.*Bottom|Bottom.*Profiled""),""pffb"",
        IF(REGEXMATCH(C70,""(?i)Squ"&amp;"are""),""sff"",""""))),
    IF(REGEXMATCH(D70,""(?i)-Rivets""),""Rvt"",
    IF(REGEXMATCH(D70,""(?i)Silicone""),""300ml"",
    IF(REGEXMATCH(D70,""(?i)R-Butyl""),""300ml"",
    IF(REGEXMATCH(D70,""(?i)Fix""),""GenFix"",
    IF(AND(REGEXMATCH(C70,""(?i)Tim"&amp;"ber""), REGEXMATCH(D70,""(?i)Timber"")),""tp"",
    IF(AND(REGEXMATCH(C70,""(?i)Vent G1275""), REGEXMATCH(D70,""(?i)Comb FIller"")),""CFV1275"",
    IF(REGEXMATCH(C70,""(?i)DPC""),""dpc"",
    IF(REGEXMATCH(C70,""(?i)Concealed Clips""),""ConClips"",
    I"&amp;"F(REGEXMATCH(D70,""(?i)-Takeoff ea""),""Takeoff ea"",
    IF(REGEXMATCH(D70,""(?i)-Takeoff LM""),""Takeoff LM"",
    IF(REGEXMATCH(D70,""(?i)-Takeoff m2""),""Takeoff m2"",
    IF(D70=""R-TU/TD"",""TU/TD"","""")))))))))))))))))
  )))"),"Rvt")</f>
        <v>Rvt</v>
      </c>
      <c r="C70" s="734" t="s">
        <v>100</v>
      </c>
      <c r="D70" s="124" t="s">
        <v>101</v>
      </c>
      <c r="E70" s="687">
        <f>E68</f>
        <v>0.36</v>
      </c>
      <c r="F70" s="128" t="str">
        <f t="shared" ref="F70:F73" si="44">F69</f>
        <v/>
      </c>
      <c r="G70" s="700"/>
      <c r="H70" s="700" t="str">
        <f>IFERROR(__xludf.DUMMYFUNCTION("IFERROR(REGEXEXTRACT(C70, ""(\d*\.\d+)mm""), """")"),"")</f>
        <v/>
      </c>
      <c r="I70" s="700"/>
      <c r="J70" s="126" t="s">
        <v>87</v>
      </c>
      <c r="K70" s="126" t="str">
        <f>IFERROR(
  IF(B70="", "", VLOOKUP(B70, Data!$B$2:$K$905, 7, FALSE)),
  ""
)</f>
        <v/>
      </c>
      <c r="L70" s="704"/>
      <c r="M70" s="150">
        <f>ROUNDUP(((M68/5.7)+1)*(E70/0.05),0)</f>
        <v>8</v>
      </c>
      <c r="N70" s="151">
        <f>IFERROR(__xludf.DUMMYFUNCTION("IF(B70="""", """", IFERROR(1 / COS(RADIANS(REGEXEXTRACT(F70,""(\d+)""))), 1))"),1.0)</f>
        <v>1</v>
      </c>
      <c r="O70" s="169">
        <v>1.0</v>
      </c>
      <c r="P70" s="134">
        <v>1.0</v>
      </c>
      <c r="Q70" s="168">
        <f t="shared" si="40"/>
        <v>8</v>
      </c>
      <c r="R70" s="136" t="str">
        <f>IFERROR(
  IF(B70="", "", VLOOKUP(B70, Data!$B$2:$K$905, 9, FALSE)),
  ""
)</f>
        <v/>
      </c>
      <c r="S70" s="152">
        <f t="shared" si="41"/>
        <v>0</v>
      </c>
      <c r="T70" s="690"/>
      <c r="U70" s="136" t="str">
        <f>IFERROR(
  IF(B70="", "", VLOOKUP(B70, Data!$B$2:$K$905, 10, FALSE)),
  ""
)
</f>
        <v/>
      </c>
      <c r="V70" s="691"/>
      <c r="W70" s="140">
        <f t="shared" si="42"/>
        <v>0</v>
      </c>
      <c r="X70" s="692"/>
      <c r="Y70" s="595"/>
      <c r="Z70" s="595"/>
      <c r="AA70" s="595"/>
      <c r="AB70" s="354">
        <f t="shared" si="43"/>
        <v>0</v>
      </c>
      <c r="AC70" s="181"/>
      <c r="AD70" s="625"/>
      <c r="AE70" s="626"/>
      <c r="AF70" s="696"/>
      <c r="AG70" s="697"/>
      <c r="AH70" s="629"/>
      <c r="AI70" s="187"/>
      <c r="AJ70" s="630"/>
      <c r="AK70" s="630"/>
      <c r="AL70" s="595"/>
      <c r="AM70" s="595"/>
      <c r="AN70" s="595"/>
      <c r="AO70" s="595"/>
      <c r="AP70" s="595"/>
      <c r="AQ70" s="595"/>
      <c r="AR70" s="595"/>
      <c r="AS70" s="595"/>
      <c r="AT70" s="595"/>
      <c r="AU70" s="595"/>
      <c r="AV70" s="595"/>
      <c r="AW70" s="595"/>
      <c r="AX70" s="595"/>
      <c r="AY70" s="595"/>
      <c r="AZ70" s="595"/>
      <c r="BA70" s="595"/>
      <c r="BB70" s="595"/>
      <c r="BC70" s="595"/>
      <c r="BD70" s="595"/>
      <c r="BE70" s="595"/>
      <c r="BF70" s="595"/>
      <c r="BG70" s="595"/>
      <c r="BH70" s="595"/>
      <c r="BI70" s="651"/>
      <c r="BJ70" s="651"/>
      <c r="BK70" s="651"/>
      <c r="BL70" s="651"/>
      <c r="BM70" s="651"/>
      <c r="BN70" s="651"/>
      <c r="BO70" s="651"/>
      <c r="BP70" s="651"/>
      <c r="BQ70" s="651"/>
      <c r="BR70" s="651"/>
      <c r="BS70" s="651"/>
      <c r="BT70" s="651"/>
    </row>
    <row r="71">
      <c r="A71" s="1313"/>
      <c r="B71" s="154" t="str">
        <f>IFERROR(__xludf.DUMMYFUNCTION("IFERROR(
  IF(C71="""","""",
    IF(OR(REGEXMATCH(D71,""(?i)-Flashing""), REGEXMATCH(D71,""(?i)-EavesGut""), REGEXMATCH(D71,""(?i)Valley"")),
        ""DR"" &amp;
        TEXT(
            ROUNDUP(
                MIN(
                    VALUE(MID(C71, FIND("&amp;"""("",C71)+1, FIND(""/"",C71)-FIND(""("",C71)-1)),
                    1200
                ) / 50, 0
            ) * 50, ""0""
        ) &amp;
        MID(C71, FIND(""/"",C71)+1, FIND("")"",C71)-FIND(""/"",C71)-1) &amp;
        TEXT(H71*100,""0"") &amp;
        I71,"&amp;"
    IF(AND(D71=""Roof Sheet"", REGEXMATCH(C71,""(?i)KS\d{4}[A-Z]{2}"")),
       REGEXEXTRACT(C71,""(?i)KS\d{4}[A-Z]{2}""),
    IF(AND(REGEXMATCH(D71,""(?i)-DP""), REGEXMATCH(C71,""(?i)Downpipe"")),
       ""dp"" &amp; REGEXEXTRACT(C71,""(\d+)"") &amp; ""mm"",
  "&amp;"  IF(AND(REGEXMATCH(D71,""(?i)Bracket""), REGEXMATCH(C71,""(?i)Bracket"")),
       ""Brkt"" &amp; REGEXEXTRACT(C71,""(\d+)"") &amp; ""mm"",
    IF(AND(REGEXMATCH(D71,""(?i)-OP""), REGEXMATCH(C71,""(?i)pops"")),
       ""op"" &amp; REGEXEXTRACT(C71,""(\d+)"") &amp; ""mm"""&amp;",
    IF(OR(D71=""R-FFTop"", D71=""R-FFBottom"", D71=""R-FFSide""),
        IF(REGEXMATCH(C71,""(?i)Profiled.*Top|Top.*Profiled""),""pfft"",
        IF(REGEXMATCH(C71,""(?i)Profiled.*Bottom|Bottom.*Profiled""),""pffb"",
        IF(REGEXMATCH(C71,""(?i)Squ"&amp;"are""),""sff"",""""))),
    IF(REGEXMATCH(D71,""(?i)-Rivets""),""Rvt"",
    IF(REGEXMATCH(D71,""(?i)Silicone""),""300ml"",
    IF(REGEXMATCH(D71,""(?i)R-Butyl""),""300ml"",
    IF(REGEXMATCH(D71,""(?i)Fix""),""GenFix"",
    IF(AND(REGEXMATCH(C71,""(?i)Tim"&amp;"ber""), REGEXMATCH(D71,""(?i)Timber"")),""tp"",
    IF(AND(REGEXMATCH(C71,""(?i)Vent G1275""), REGEXMATCH(D71,""(?i)Comb FIller"")),""CFV1275"",
    IF(REGEXMATCH(C71,""(?i)DPC""),""dpc"",
    IF(REGEXMATCH(C71,""(?i)Concealed Clips""),""ConClips"",
    I"&amp;"F(REGEXMATCH(D71,""(?i)-Takeoff ea""),""Takeoff ea"",
    IF(REGEXMATCH(D71,""(?i)-Takeoff LM""),""Takeoff LM"",
    IF(REGEXMATCH(D71,""(?i)-Takeoff m2""),""Takeoff m2"",
    IF(D71=""R-TU/TD"",""TU/TD"","""")))))))))))))))))
  )))"),"GenFix")</f>
        <v>GenFix</v>
      </c>
      <c r="C71" s="698" t="s">
        <v>102</v>
      </c>
      <c r="D71" s="124" t="s">
        <v>103</v>
      </c>
      <c r="E71" s="722"/>
      <c r="F71" s="128" t="str">
        <f t="shared" si="44"/>
        <v/>
      </c>
      <c r="G71" s="701"/>
      <c r="H71" s="700"/>
      <c r="I71" s="700"/>
      <c r="J71" s="126" t="s">
        <v>87</v>
      </c>
      <c r="K71" s="126" t="str">
        <f>IFERROR(
  IF(B71="", "", VLOOKUP(B71, Data!$B$2:$K$905, 7, FALSE)),
  ""
)</f>
        <v/>
      </c>
      <c r="L71" s="712"/>
      <c r="M71" s="150">
        <f>ROUNDUP(M68/0.6,0)+1</f>
        <v>1</v>
      </c>
      <c r="N71" s="151">
        <f>IFERROR(__xludf.DUMMYFUNCTION("IF(B71="""", """", IFERROR(1 / COS(RADIANS(REGEXEXTRACT(F71,""(\d+)""))), 1))"),1.0)</f>
        <v>1</v>
      </c>
      <c r="O71" s="169">
        <v>1.0</v>
      </c>
      <c r="P71" s="156">
        <v>1.0</v>
      </c>
      <c r="Q71" s="168">
        <f t="shared" si="40"/>
        <v>1</v>
      </c>
      <c r="R71" s="136" t="str">
        <f>IFERROR(
  IF(B71="", "", VLOOKUP(B71, Data!$B$2:$K$905, 9, FALSE)),
  ""
)</f>
        <v/>
      </c>
      <c r="S71" s="152">
        <f t="shared" si="41"/>
        <v>0</v>
      </c>
      <c r="T71" s="690"/>
      <c r="U71" s="136" t="str">
        <f>IFERROR(
  IF(B71="", "", VLOOKUP(B71, Data!$B$2:$K$905, 10, FALSE)),
  ""
)
</f>
        <v/>
      </c>
      <c r="V71" s="691"/>
      <c r="W71" s="140">
        <f t="shared" si="42"/>
        <v>0</v>
      </c>
      <c r="X71" s="692"/>
      <c r="Y71" s="595"/>
      <c r="Z71" s="595"/>
      <c r="AA71" s="595"/>
      <c r="AB71" s="354">
        <f t="shared" si="43"/>
        <v>0</v>
      </c>
      <c r="AC71" s="181"/>
      <c r="AD71" s="625"/>
      <c r="AE71" s="626"/>
      <c r="AF71" s="696"/>
      <c r="AG71" s="697"/>
      <c r="AH71" s="629"/>
      <c r="AI71" s="187"/>
      <c r="AJ71" s="630"/>
      <c r="AK71" s="630"/>
      <c r="AL71" s="595"/>
      <c r="AM71" s="595"/>
      <c r="AN71" s="595"/>
      <c r="AO71" s="595"/>
      <c r="AP71" s="595"/>
      <c r="AQ71" s="595"/>
      <c r="AR71" s="595"/>
      <c r="AS71" s="595"/>
      <c r="AT71" s="595"/>
      <c r="AU71" s="595"/>
      <c r="AV71" s="595"/>
      <c r="AW71" s="595"/>
      <c r="AX71" s="595"/>
      <c r="AY71" s="595"/>
      <c r="AZ71" s="595"/>
      <c r="BA71" s="595"/>
      <c r="BB71" s="595"/>
      <c r="BC71" s="595"/>
      <c r="BD71" s="595"/>
      <c r="BE71" s="595"/>
      <c r="BF71" s="595"/>
      <c r="BG71" s="595"/>
      <c r="BH71" s="595"/>
      <c r="BI71" s="651"/>
      <c r="BJ71" s="651"/>
      <c r="BK71" s="651"/>
      <c r="BL71" s="651"/>
      <c r="BM71" s="651"/>
      <c r="BN71" s="651"/>
      <c r="BO71" s="651"/>
      <c r="BP71" s="651"/>
      <c r="BQ71" s="651"/>
      <c r="BR71" s="651"/>
      <c r="BS71" s="651"/>
      <c r="BT71" s="651"/>
    </row>
    <row r="72">
      <c r="A72" s="1313"/>
      <c r="B72" s="154" t="str">
        <f>IFERROR(__xludf.DUMMYFUNCTION("IFERROR(
  IF(C72="""","""",
    IF(OR(REGEXMATCH(D72,""(?i)-Flashing""), REGEXMATCH(D72,""(?i)-EavesGut""), REGEXMATCH(D72,""(?i)Valley"")),
        ""DR"" &amp;
        TEXT(
            ROUNDUP(
                MIN(
                    VALUE(MID(C72, FIND("&amp;"""("",C72)+1, FIND(""/"",C72)-FIND(""("",C72)-1)),
                    1200
                ) / 50, 0
            ) * 50, ""0""
        ) &amp;
        MID(C72, FIND(""/"",C72)+1, FIND("")"",C72)-FIND(""/"",C72)-1) &amp;
        TEXT(H72*100,""0"") &amp;
        I72,"&amp;"
    IF(AND(D72=""Roof Sheet"", REGEXMATCH(C72,""(?i)KS\d{4}[A-Z]{2}"")),
       REGEXEXTRACT(C72,""(?i)KS\d{4}[A-Z]{2}""),
    IF(AND(REGEXMATCH(D72,""(?i)-DP""), REGEXMATCH(C72,""(?i)Downpipe"")),
       ""dp"" &amp; REGEXEXTRACT(C72,""(\d+)"") &amp; ""mm"",
  "&amp;"  IF(AND(REGEXMATCH(D72,""(?i)Bracket""), REGEXMATCH(C72,""(?i)Bracket"")),
       ""Brkt"" &amp; REGEXEXTRACT(C72,""(\d+)"") &amp; ""mm"",
    IF(AND(REGEXMATCH(D72,""(?i)-OP""), REGEXMATCH(C72,""(?i)pops"")),
       ""op"" &amp; REGEXEXTRACT(C72,""(\d+)"") &amp; ""mm"""&amp;",
    IF(OR(D72=""R-FFTop"", D72=""R-FFBottom"", D72=""R-FFSide""),
        IF(REGEXMATCH(C72,""(?i)Profiled.*Top|Top.*Profiled""),""pfft"",
        IF(REGEXMATCH(C72,""(?i)Profiled.*Bottom|Bottom.*Profiled""),""pffb"",
        IF(REGEXMATCH(C72,""(?i)Squ"&amp;"are""),""sff"",""""))),
    IF(REGEXMATCH(D72,""(?i)-Rivets""),""Rvt"",
    IF(REGEXMATCH(D72,""(?i)Silicone""),""300ml"",
    IF(REGEXMATCH(D72,""(?i)R-Butyl""),""300ml"",
    IF(REGEXMATCH(D72,""(?i)Fix""),""GenFix"",
    IF(AND(REGEXMATCH(C72,""(?i)Tim"&amp;"ber""), REGEXMATCH(D72,""(?i)Timber"")),""tp"",
    IF(AND(REGEXMATCH(C72,""(?i)Vent G1275""), REGEXMATCH(D72,""(?i)Comb FIller"")),""CFV1275"",
    IF(REGEXMATCH(C72,""(?i)DPC""),""dpc"",
    IF(REGEXMATCH(C72,""(?i)Concealed Clips""),""ConClips"",
    I"&amp;"F(REGEXMATCH(D72,""(?i)-Takeoff ea""),""Takeoff ea"",
    IF(REGEXMATCH(D72,""(?i)-Takeoff LM""),""Takeoff LM"",
    IF(REGEXMATCH(D72,""(?i)-Takeoff m2""),""Takeoff m2"",
    IF(D72=""R-TU/TD"",""TU/TD"","""")))))))))))))))))
  )))"),"pfft")</f>
        <v>pfft</v>
      </c>
      <c r="C72" s="734" t="s">
        <v>104</v>
      </c>
      <c r="D72" s="124" t="s">
        <v>105</v>
      </c>
      <c r="E72" s="722"/>
      <c r="F72" s="128" t="str">
        <f t="shared" si="44"/>
        <v/>
      </c>
      <c r="G72" s="701"/>
      <c r="H72" s="700"/>
      <c r="I72" s="700"/>
      <c r="J72" s="126" t="s">
        <v>87</v>
      </c>
      <c r="K72" s="126" t="str">
        <f>IFERROR(
  IF(B72="", "", VLOOKUP(B72, Data!$B$2:$K$905, 7, FALSE)),
  ""
)</f>
        <v/>
      </c>
      <c r="L72" s="712"/>
      <c r="M72" s="150" t="str">
        <f>M68</f>
        <v/>
      </c>
      <c r="N72" s="151">
        <f>IFERROR(__xludf.DUMMYFUNCTION("IF(B72="""", """", IFERROR(1 / COS(RADIANS(REGEXEXTRACT(F72,""(\d+)""))), 1))"),1.0)</f>
        <v>1</v>
      </c>
      <c r="O72" s="169">
        <v>1.0</v>
      </c>
      <c r="P72" s="156">
        <v>1.0</v>
      </c>
      <c r="Q72" s="168">
        <f t="shared" si="40"/>
        <v>0</v>
      </c>
      <c r="R72" s="136" t="str">
        <f>IFERROR(
  IF(B72="", "", VLOOKUP(B72, Data!$B$2:$K$905, 9, FALSE)),
  ""
)</f>
        <v/>
      </c>
      <c r="S72" s="152">
        <f t="shared" si="41"/>
        <v>0</v>
      </c>
      <c r="T72" s="690"/>
      <c r="U72" s="136" t="str">
        <f>IFERROR(
  IF(B72="", "", VLOOKUP(B72, Data!$B$2:$K$905, 10, FALSE)),
  ""
)
</f>
        <v/>
      </c>
      <c r="V72" s="691"/>
      <c r="W72" s="140">
        <f t="shared" si="42"/>
        <v>0</v>
      </c>
      <c r="X72" s="692"/>
      <c r="Y72" s="595"/>
      <c r="Z72" s="595"/>
      <c r="AA72" s="595"/>
      <c r="AB72" s="354">
        <f t="shared" si="43"/>
        <v>0</v>
      </c>
      <c r="AC72" s="181"/>
      <c r="AD72" s="625"/>
      <c r="AE72" s="626"/>
      <c r="AF72" s="696"/>
      <c r="AG72" s="697"/>
      <c r="AH72" s="629"/>
      <c r="AI72" s="187"/>
      <c r="AJ72" s="630"/>
      <c r="AK72" s="630"/>
      <c r="AL72" s="595"/>
      <c r="AM72" s="595"/>
      <c r="AN72" s="595"/>
      <c r="AO72" s="595"/>
      <c r="AP72" s="595"/>
      <c r="AQ72" s="595"/>
      <c r="AR72" s="595"/>
      <c r="AS72" s="595"/>
      <c r="AT72" s="595"/>
      <c r="AU72" s="595"/>
      <c r="AV72" s="595"/>
      <c r="AW72" s="595"/>
      <c r="AX72" s="595"/>
      <c r="AY72" s="595"/>
      <c r="AZ72" s="595"/>
      <c r="BA72" s="595"/>
      <c r="BB72" s="595"/>
      <c r="BC72" s="595"/>
      <c r="BD72" s="595"/>
      <c r="BE72" s="595"/>
      <c r="BF72" s="595"/>
      <c r="BG72" s="595"/>
      <c r="BH72" s="595"/>
      <c r="BI72" s="651"/>
      <c r="BJ72" s="651"/>
      <c r="BK72" s="651"/>
      <c r="BL72" s="651"/>
      <c r="BM72" s="651"/>
      <c r="BN72" s="651"/>
      <c r="BO72" s="651"/>
      <c r="BP72" s="651"/>
      <c r="BQ72" s="651"/>
      <c r="BR72" s="651"/>
      <c r="BS72" s="651"/>
      <c r="BT72" s="651"/>
    </row>
    <row r="73">
      <c r="A73" s="1313"/>
      <c r="B73" s="154" t="str">
        <f>IFERROR(__xludf.DUMMYFUNCTION("IFERROR(
  IF(C73="""","""",
    IF(OR(REGEXMATCH(D73,""(?i)-Flashing""), REGEXMATCH(D73,""(?i)-EavesGut""), REGEXMATCH(D73,""(?i)Valley"")),
        ""DR"" &amp;
        TEXT(
            ROUNDUP(
                MIN(
                    VALUE(MID(C73, FIND("&amp;"""("",C73)+1, FIND(""/"",C73)-FIND(""("",C73)-1)),
                    1200
                ) / 50, 0
            ) * 50, ""0""
        ) &amp;
        MID(C73, FIND(""/"",C73)+1, FIND("")"",C73)-FIND(""/"",C73)-1) &amp;
        TEXT(H73*100,""0"") &amp;
        I73,"&amp;"
    IF(AND(D73=""Roof Sheet"", REGEXMATCH(C73,""(?i)KS\d{4}[A-Z]{2}"")),
       REGEXEXTRACT(C73,""(?i)KS\d{4}[A-Z]{2}""),
    IF(AND(REGEXMATCH(D73,""(?i)-DP""), REGEXMATCH(C73,""(?i)Downpipe"")),
       ""dp"" &amp; REGEXEXTRACT(C73,""(\d+)"") &amp; ""mm"",
  "&amp;"  IF(AND(REGEXMATCH(D73,""(?i)Bracket""), REGEXMATCH(C73,""(?i)Bracket"")),
       ""Brkt"" &amp; REGEXEXTRACT(C73,""(\d+)"") &amp; ""mm"",
    IF(AND(REGEXMATCH(D73,""(?i)-OP""), REGEXMATCH(C73,""(?i)pops"")),
       ""op"" &amp; REGEXEXTRACT(C73,""(\d+)"") &amp; ""mm"""&amp;",
    IF(OR(D73=""R-FFTop"", D73=""R-FFBottom"", D73=""R-FFSide""),
        IF(REGEXMATCH(C73,""(?i)Profiled.*Top|Top.*Profiled""),""pfft"",
        IF(REGEXMATCH(C73,""(?i)Profiled.*Bottom|Bottom.*Profiled""),""pffb"",
        IF(REGEXMATCH(C73,""(?i)Squ"&amp;"are""),""sff"",""""))),
    IF(REGEXMATCH(D73,""(?i)-Rivets""),""Rvt"",
    IF(REGEXMATCH(D73,""(?i)Silicone""),""300ml"",
    IF(REGEXMATCH(D73,""(?i)R-Butyl""),""300ml"",
    IF(REGEXMATCH(D73,""(?i)Fix""),""GenFix"",
    IF(AND(REGEXMATCH(C73,""(?i)Tim"&amp;"ber""), REGEXMATCH(D73,""(?i)Timber"")),""tp"",
    IF(AND(REGEXMATCH(C73,""(?i)Vent G1275""), REGEXMATCH(D73,""(?i)Comb FIller"")),""CFV1275"",
    IF(REGEXMATCH(C73,""(?i)DPC""),""dpc"",
    IF(REGEXMATCH(C73,""(?i)Concealed Clips""),""ConClips"",
    I"&amp;"F(REGEXMATCH(D73,""(?i)-Takeoff ea""),""Takeoff ea"",
    IF(REGEXMATCH(D73,""(?i)-Takeoff LM""),""Takeoff LM"",
    IF(REGEXMATCH(D73,""(?i)-Takeoff m2""),""Takeoff m2"",
    IF(D73=""R-TU/TD"",""TU/TD"","""")))))))))))))))))
  )))"),"TU/TD")</f>
        <v>TU/TD</v>
      </c>
      <c r="C73" s="698" t="s">
        <v>446</v>
      </c>
      <c r="D73" s="124" t="s">
        <v>107</v>
      </c>
      <c r="E73" s="722"/>
      <c r="F73" s="128" t="str">
        <f t="shared" si="44"/>
        <v/>
      </c>
      <c r="G73" s="701"/>
      <c r="H73" s="700"/>
      <c r="I73" s="700"/>
      <c r="J73" s="126" t="s">
        <v>87</v>
      </c>
      <c r="K73" s="126" t="str">
        <f>IFERROR(
  IF(B73="", "", VLOOKUP(B73, Data!$B$2:$K$905, 7, FALSE)),
  ""
)</f>
        <v/>
      </c>
      <c r="L73" s="704"/>
      <c r="M73" s="150" t="str">
        <f>M68</f>
        <v/>
      </c>
      <c r="N73" s="151">
        <f>IFERROR(__xludf.DUMMYFUNCTION("IF(B73="""", """", IFERROR(1 / COS(RADIANS(REGEXEXTRACT(F73,""(\d+)""))), 1))"),1.0)</f>
        <v>1</v>
      </c>
      <c r="O73" s="169">
        <v>1.0</v>
      </c>
      <c r="P73" s="156">
        <v>1.0</v>
      </c>
      <c r="Q73" s="168">
        <f t="shared" si="40"/>
        <v>0</v>
      </c>
      <c r="R73" s="136" t="str">
        <f>IFERROR(
  IF(B73="", "", VLOOKUP(B73, Data!$B$2:$K$905, 9, FALSE)),
  ""
)</f>
        <v/>
      </c>
      <c r="S73" s="152">
        <f t="shared" si="41"/>
        <v>0</v>
      </c>
      <c r="T73" s="690"/>
      <c r="U73" s="136" t="str">
        <f>IFERROR(
  IF(B73="", "", VLOOKUP(B73, Data!$B$2:$K$905, 10, FALSE)),
  ""
)
</f>
        <v/>
      </c>
      <c r="V73" s="691"/>
      <c r="W73" s="140">
        <f t="shared" si="42"/>
        <v>0</v>
      </c>
      <c r="X73" s="692"/>
      <c r="Y73" s="595"/>
      <c r="Z73" s="595"/>
      <c r="AA73" s="595"/>
      <c r="AB73" s="354">
        <f t="shared" si="43"/>
        <v>0</v>
      </c>
      <c r="AC73" s="181"/>
      <c r="AD73" s="625"/>
      <c r="AE73" s="626"/>
      <c r="AF73" s="696"/>
      <c r="AG73" s="697"/>
      <c r="AH73" s="629"/>
      <c r="AI73" s="187"/>
      <c r="AJ73" s="630"/>
      <c r="AK73" s="630"/>
      <c r="AL73" s="595"/>
      <c r="AM73" s="595"/>
      <c r="AN73" s="595"/>
      <c r="AO73" s="595"/>
      <c r="AP73" s="595"/>
      <c r="AQ73" s="595"/>
      <c r="AR73" s="595"/>
      <c r="AS73" s="595"/>
      <c r="AT73" s="595"/>
      <c r="AU73" s="595"/>
      <c r="AV73" s="595"/>
      <c r="AW73" s="595"/>
      <c r="AX73" s="595"/>
      <c r="AY73" s="595"/>
      <c r="AZ73" s="595"/>
      <c r="BA73" s="595"/>
      <c r="BB73" s="595"/>
      <c r="BC73" s="595"/>
      <c r="BD73" s="595"/>
      <c r="BE73" s="595"/>
      <c r="BF73" s="595"/>
      <c r="BG73" s="595"/>
      <c r="BH73" s="595"/>
      <c r="BI73" s="651"/>
      <c r="BJ73" s="651"/>
      <c r="BK73" s="651"/>
      <c r="BL73" s="651"/>
      <c r="BM73" s="651"/>
      <c r="BN73" s="651"/>
      <c r="BO73" s="651"/>
      <c r="BP73" s="651"/>
      <c r="BQ73" s="651"/>
      <c r="BR73" s="651"/>
      <c r="BS73" s="651"/>
      <c r="BT73" s="651"/>
    </row>
    <row r="74">
      <c r="A74" s="1313"/>
      <c r="B74" s="122" t="s">
        <v>641</v>
      </c>
      <c r="C74" s="123" t="s">
        <v>641</v>
      </c>
      <c r="D74" s="148" t="s">
        <v>611</v>
      </c>
      <c r="E74" s="722"/>
      <c r="F74" s="128"/>
      <c r="G74" s="701"/>
      <c r="H74" s="700"/>
      <c r="I74" s="700"/>
      <c r="J74" s="126" t="s">
        <v>87</v>
      </c>
      <c r="K74" s="126" t="str">
        <f>IFERROR(
  IF(B74="", "", VLOOKUP(B74, Data!$B$2:$K$905, 7, FALSE)),
  ""
)</f>
        <v/>
      </c>
      <c r="L74" s="704"/>
      <c r="M74" s="150" t="str">
        <f>M68</f>
        <v/>
      </c>
      <c r="N74" s="151">
        <f>IFERROR(__xludf.DUMMYFUNCTION("IF(B74="""", """", IFERROR(1 / COS(RADIANS(REGEXEXTRACT(F74,""(\d+)""))), 1))"),1.0)</f>
        <v>1</v>
      </c>
      <c r="O74" s="169">
        <v>1.0</v>
      </c>
      <c r="P74" s="156">
        <v>1.0</v>
      </c>
      <c r="Q74" s="168">
        <f t="shared" si="40"/>
        <v>0</v>
      </c>
      <c r="R74" s="136" t="str">
        <f>IFERROR(
  IF(B74="", "", VLOOKUP(B74, Data!$B$2:$K$905, 9, FALSE)),
  ""
)</f>
        <v/>
      </c>
      <c r="S74" s="152">
        <f t="shared" si="41"/>
        <v>0</v>
      </c>
      <c r="T74" s="690"/>
      <c r="U74" s="136" t="str">
        <f>IFERROR(
  IF(B74="", "", VLOOKUP(B74, Data!$B$2:$K$905, 10, FALSE)),
  ""
)
</f>
        <v/>
      </c>
      <c r="V74" s="691"/>
      <c r="W74" s="140">
        <f t="shared" si="42"/>
        <v>0</v>
      </c>
      <c r="X74" s="692"/>
      <c r="Y74" s="595"/>
      <c r="Z74" s="595"/>
      <c r="AA74" s="595"/>
      <c r="AB74" s="354"/>
      <c r="AC74" s="181"/>
      <c r="AD74" s="625"/>
      <c r="AE74" s="626"/>
      <c r="AF74" s="696"/>
      <c r="AG74" s="697"/>
      <c r="AH74" s="629"/>
      <c r="AI74" s="187"/>
      <c r="AJ74" s="630"/>
      <c r="AK74" s="630"/>
      <c r="AL74" s="595"/>
      <c r="AM74" s="595"/>
      <c r="AN74" s="595"/>
      <c r="AO74" s="595"/>
      <c r="AP74" s="595"/>
      <c r="AQ74" s="595"/>
      <c r="AR74" s="595"/>
      <c r="AS74" s="595"/>
      <c r="AT74" s="595"/>
      <c r="AU74" s="595"/>
      <c r="AV74" s="595"/>
      <c r="AW74" s="595"/>
      <c r="AX74" s="595"/>
      <c r="AY74" s="595"/>
      <c r="AZ74" s="595"/>
      <c r="BA74" s="595"/>
      <c r="BB74" s="595"/>
      <c r="BC74" s="595"/>
      <c r="BD74" s="595"/>
      <c r="BE74" s="595"/>
      <c r="BF74" s="595"/>
      <c r="BG74" s="595"/>
      <c r="BH74" s="595"/>
      <c r="BI74" s="651"/>
      <c r="BJ74" s="651"/>
      <c r="BK74" s="651"/>
      <c r="BL74" s="651"/>
      <c r="BM74" s="651"/>
      <c r="BN74" s="651"/>
      <c r="BO74" s="651"/>
      <c r="BP74" s="651"/>
      <c r="BQ74" s="651"/>
      <c r="BR74" s="651"/>
      <c r="BS74" s="651"/>
      <c r="BT74" s="651"/>
    </row>
    <row r="75">
      <c r="A75" s="1313"/>
      <c r="B75" s="154"/>
      <c r="C75" s="758"/>
      <c r="D75" s="701"/>
      <c r="E75" s="722"/>
      <c r="F75" s="128"/>
      <c r="G75" s="701"/>
      <c r="H75" s="700"/>
      <c r="I75" s="700"/>
      <c r="J75" s="701"/>
      <c r="K75" s="701"/>
      <c r="L75" s="712"/>
      <c r="M75" s="704"/>
      <c r="N75" s="711"/>
      <c r="O75" s="712"/>
      <c r="P75" s="700"/>
      <c r="Q75" s="712"/>
      <c r="R75" s="136" t="str">
        <f>IFERROR(
  IF(B75="", "", VLOOKUP(B75, Data!$B$2:$K$905, 9, FALSE)),
  ""
)</f>
        <v/>
      </c>
      <c r="S75" s="691"/>
      <c r="T75" s="690"/>
      <c r="U75" s="136" t="str">
        <f>IFERROR(
  IF(B75="", "", VLOOKUP(B75, Data!$B$2:$K$905, 10, FALSE)),
  ""
)
</f>
        <v/>
      </c>
      <c r="V75" s="691"/>
      <c r="W75" s="713"/>
      <c r="X75" s="692"/>
      <c r="Y75" s="595"/>
      <c r="Z75" s="595"/>
      <c r="AA75" s="595"/>
      <c r="AB75" s="354">
        <f>W75+S75</f>
        <v>0</v>
      </c>
      <c r="AC75" s="181"/>
      <c r="AD75" s="625"/>
      <c r="AE75" s="626"/>
      <c r="AF75" s="696"/>
      <c r="AG75" s="697"/>
      <c r="AH75" s="629"/>
      <c r="AI75" s="187"/>
      <c r="AJ75" s="630"/>
      <c r="AK75" s="630"/>
      <c r="AL75" s="595"/>
      <c r="AM75" s="595"/>
      <c r="AN75" s="595"/>
      <c r="AO75" s="595"/>
      <c r="AP75" s="595"/>
      <c r="AQ75" s="595"/>
      <c r="AR75" s="595"/>
      <c r="AS75" s="595"/>
      <c r="AT75" s="595"/>
      <c r="AU75" s="595"/>
      <c r="AV75" s="595"/>
      <c r="AW75" s="595"/>
      <c r="AX75" s="595"/>
      <c r="AY75" s="595"/>
      <c r="AZ75" s="595"/>
      <c r="BA75" s="595"/>
      <c r="BB75" s="595"/>
      <c r="BC75" s="595"/>
      <c r="BD75" s="595"/>
      <c r="BE75" s="595"/>
      <c r="BF75" s="595"/>
      <c r="BG75" s="595"/>
      <c r="BH75" s="595"/>
      <c r="BI75" s="651"/>
      <c r="BJ75" s="651"/>
      <c r="BK75" s="651"/>
      <c r="BL75" s="651"/>
      <c r="BM75" s="651"/>
      <c r="BN75" s="651"/>
      <c r="BO75" s="651"/>
      <c r="BP75" s="651"/>
      <c r="BQ75" s="651"/>
      <c r="BR75" s="651"/>
      <c r="BS75" s="651"/>
      <c r="BT75" s="651"/>
    </row>
    <row r="76">
      <c r="A76" s="1313">
        <v>1.0</v>
      </c>
      <c r="B76" s="102"/>
      <c r="C76" s="103" t="s">
        <v>1205</v>
      </c>
      <c r="D76" s="104"/>
      <c r="E76" s="749"/>
      <c r="F76" s="104"/>
      <c r="G76" s="104"/>
      <c r="H76" s="104"/>
      <c r="I76" s="104"/>
      <c r="J76" s="104"/>
      <c r="K76" s="104" t="s">
        <v>42</v>
      </c>
      <c r="L76" s="106">
        <f>Q76</f>
        <v>0</v>
      </c>
      <c r="M76" s="105" t="s">
        <v>42</v>
      </c>
      <c r="N76" s="107"/>
      <c r="O76" s="105"/>
      <c r="P76" s="104"/>
      <c r="Q76" s="106">
        <f>Q77</f>
        <v>0</v>
      </c>
      <c r="R76" s="108" t="str">
        <f>IFERROR(
  IF(B76="", "", VLOOKUP(B76, Data!$B$2:$K$905, 9, FALSE)),
  ""
)</f>
        <v/>
      </c>
      <c r="S76" s="682">
        <f>IFERROR(T76/Q76, 0)</f>
        <v>0</v>
      </c>
      <c r="T76" s="109">
        <f>SUM(S77:S87)</f>
        <v>0</v>
      </c>
      <c r="U76" s="108" t="str">
        <f>IFERROR(
  IF(B76="", "", VLOOKUP(B76, Data!$B$2:$K$905, 10, FALSE)),
  ""
)
</f>
        <v/>
      </c>
      <c r="V76" s="109" t="str">
        <f>W76/Q76</f>
        <v>#DIV/0!</v>
      </c>
      <c r="W76" s="110">
        <f>SUM(W77:W87)</f>
        <v>0</v>
      </c>
      <c r="X76" s="111" t="str">
        <f>W76/$AC$1008/$W$1015/$X$1005</f>
        <v>#DIV/0!</v>
      </c>
      <c r="Y76" s="112" t="b">
        <f>(T76+W76)=(SUM(AB77:AB87))</f>
        <v>1</v>
      </c>
      <c r="Z76" s="113">
        <f>(T76+W76)-(SUM(AB77:AB87))</f>
        <v>0</v>
      </c>
      <c r="AA76" s="5"/>
      <c r="AB76" s="5"/>
      <c r="AC76" s="33"/>
      <c r="AD76" s="114">
        <f>W76+T76</f>
        <v>0</v>
      </c>
      <c r="AE76" s="115">
        <f>AD76</f>
        <v>0</v>
      </c>
      <c r="AF76" s="116" t="str">
        <f>AE76/$AE$983</f>
        <v>#DIV/0!</v>
      </c>
      <c r="AG76" s="683" t="str">
        <f>AF76*$AG$990</f>
        <v>#DIV/0!</v>
      </c>
      <c r="AH76" s="118" t="str">
        <f>AF76*$AG$993</f>
        <v>#DIV/0!</v>
      </c>
      <c r="AI76" s="39"/>
      <c r="AJ76" s="119" t="str">
        <f>ROUND(AK76/L76,2)</f>
        <v>#DIV/0!</v>
      </c>
      <c r="AK76" s="119" t="str">
        <f>ROUND(AH76+AG76+AD76,2)</f>
        <v>#DIV/0!</v>
      </c>
      <c r="AL76" s="5"/>
      <c r="AM76" s="5"/>
      <c r="AN76" s="5"/>
      <c r="AO76" s="5"/>
      <c r="AP76" s="5"/>
      <c r="AQ76" s="5"/>
      <c r="AR76" s="5"/>
      <c r="AS76" s="5"/>
      <c r="AT76" s="5"/>
      <c r="AU76" s="5"/>
      <c r="AV76" s="5"/>
      <c r="AW76" s="5"/>
      <c r="AX76" s="5"/>
      <c r="AY76" s="5"/>
      <c r="AZ76" s="5"/>
      <c r="BA76" s="5"/>
      <c r="BB76" s="5"/>
      <c r="BC76" s="5"/>
      <c r="BD76" s="5"/>
      <c r="BE76" s="5"/>
      <c r="BF76" s="5"/>
      <c r="BG76" s="5"/>
      <c r="BH76" s="5"/>
      <c r="BI76" s="260"/>
      <c r="BJ76" s="260"/>
      <c r="BK76" s="260"/>
      <c r="BL76" s="260"/>
      <c r="BM76" s="260"/>
      <c r="BN76" s="260"/>
      <c r="BO76" s="260"/>
      <c r="BP76" s="260"/>
      <c r="BQ76" s="260"/>
      <c r="BR76" s="260"/>
      <c r="BS76" s="260"/>
      <c r="BT76" s="260"/>
    </row>
    <row r="77">
      <c r="A77" s="1313"/>
      <c r="B77" s="154" t="str">
        <f>IFERROR(__xludf.DUMMYFUNCTION("IFERROR(
  IF(C77="""","""",
    IF(OR(REGEXMATCH(D77,""(?i)-Flashing""), REGEXMATCH(D77,""(?i)-EavesGut""), REGEXMATCH(D77,""(?i)Valley"")),
        ""DR"" &amp;
        TEXT(
            ROUNDUP(
                MIN(
                    VALUE(MID(C77, FIND("&amp;"""("",C77)+1, FIND(""/"",C77)-FIND(""("",C77)-1)),
                    1200
                ) / 50, 0
            ) * 50, ""0""
        ) &amp;
        MID(C77, FIND(""/"",C77)+1, FIND("")"",C77)-FIND(""/"",C77)-1) &amp;
        TEXT(H77*100,""0"") &amp;
        I77,"&amp;"
    IF(AND(D77=""Roof Sheet"", REGEXMATCH(C77,""(?i)KS\d{4}[A-Z]{2}"")),
       REGEXEXTRACT(C77,""(?i)KS\d{4}[A-Z]{2}""),
    IF(AND(REGEXMATCH(D77,""(?i)-DP""), REGEXMATCH(C77,""(?i)Downpipe"")),
       ""dp"" &amp; REGEXEXTRACT(C77,""(\d+)"") &amp; ""mm"",
  "&amp;"  IF(AND(REGEXMATCH(D77,""(?i)Bracket""), REGEXMATCH(C77,""(?i)Bracket"")),
       ""Brkt"" &amp; REGEXEXTRACT(C77,""(\d+)"") &amp; ""mm"",
    IF(AND(REGEXMATCH(D77,""(?i)-OP""), REGEXMATCH(C77,""(?i)pops"")),
       ""op"" &amp; REGEXEXTRACT(C77,""(\d+)"") &amp; ""mm"""&amp;",
    IF(OR(D77=""R-FFTop"", D77=""R-FFBottom"", D77=""R-FFSide""),
        IF(REGEXMATCH(C77,""(?i)Profiled.*Top|Top.*Profiled""),""pfft"",
        IF(REGEXMATCH(C77,""(?i)Profiled.*Bottom|Bottom.*Profiled""),""pffb"",
        IF(REGEXMATCH(C77,""(?i)Squ"&amp;"are""),""sff"",""""))),
    IF(REGEXMATCH(D77,""(?i)-Rivets""),""Rvt"",
    IF(REGEXMATCH(D77,""(?i)Silicone""),""300ml"",
    IF(REGEXMATCH(D77,""(?i)R-Butyl""),""300ml"",
    IF(REGEXMATCH(D77,""(?i)Fix""),""GenFix"",
    IF(AND(REGEXMATCH(C77,""(?i)Tim"&amp;"ber""), REGEXMATCH(D77,""(?i)Timber"")),""tp"",
    IF(AND(REGEXMATCH(C77,""(?i)Vent G1275""), REGEXMATCH(D77,""(?i)Comb FIller"")),""CFV1275"",
    IF(REGEXMATCH(C77,""(?i)DPC""),""dpc"",
    IF(REGEXMATCH(C77,""(?i)Concealed Clips""),""ConClips"",
    I"&amp;"F(REGEXMATCH(D77,""(?i)-Takeoff ea""),""Takeoff ea"",
    IF(REGEXMATCH(D77,""(?i)-Takeoff LM""),""Takeoff LM"",
    IF(REGEXMATCH(D77,""(?i)-Takeoff m2""),""Takeoff m2"",
    IF(D77=""R-TU/TD"",""TU/TD"","""")))))))))))))))))
  )))"),"DR7503B55Mag")</f>
        <v>DR7503B55Mag</v>
      </c>
      <c r="C77" s="123" t="s">
        <v>1206</v>
      </c>
      <c r="D77" s="124" t="s">
        <v>96</v>
      </c>
      <c r="E77" s="687">
        <f>VALUE(MID(C77, FIND("(", C77)+1, FIND("/", C77)-FIND("(", C77)-1)) / 1000</f>
        <v>0.72</v>
      </c>
      <c r="F77" s="126" t="str">
        <f>IFERROR(__xludf.DUMMYFUNCTION("IFERROR(REGEXEXTRACT(C77,""@\s*(\d+(?:\.\d+)?)\s*deg"")&amp;""°"","""")"),"3.5°")</f>
        <v>3.5°</v>
      </c>
      <c r="G77" s="149"/>
      <c r="H77" s="128" t="str">
        <f>IFERROR(__xludf.DUMMYFUNCTION("IFERROR(REGEXEXTRACT(C77, ""(\d*\.\d+)mm""), """")"),"0.55")</f>
        <v>0.55</v>
      </c>
      <c r="I77" s="128" t="s">
        <v>97</v>
      </c>
      <c r="J77" s="126" t="s">
        <v>14</v>
      </c>
      <c r="K77" s="129" t="str">
        <f>IFERROR(
  IF(B77="", "", VLOOKUP(B77, Data!$B$2:$K$905, 7, FALSE)),
  ""
)</f>
        <v/>
      </c>
      <c r="L77" s="163"/>
      <c r="M77" s="150"/>
      <c r="N77" s="151">
        <f>IFERROR(__xludf.DUMMYFUNCTION("IF(B77="""", """", IFERROR(1 / COS(RADIANS(REGEXEXTRACT(F77,""(\d+)""))), 1))"),1.001372345997921)</f>
        <v>1.001372346</v>
      </c>
      <c r="O77" s="169">
        <v>1.0</v>
      </c>
      <c r="P77" s="134">
        <v>1.0</v>
      </c>
      <c r="Q77" s="168">
        <f t="shared" ref="Q77:Q81" si="46">M77*N77*O77*P77</f>
        <v>0</v>
      </c>
      <c r="R77" s="108" t="str">
        <f>IFERROR(
  IF(B77="", "", VLOOKUP(B77, Data!$B$2:$K$905, 9, FALSE)),
  ""
)</f>
        <v/>
      </c>
      <c r="S77" s="152">
        <f t="shared" ref="S77:S81" si="47">R77*Q77</f>
        <v>0</v>
      </c>
      <c r="T77" s="138"/>
      <c r="U77" s="108" t="str">
        <f>IFERROR(
  IF(B77="", "", VLOOKUP(B77, Data!$B$2:$K$905, 10, FALSE)),
  ""
)
</f>
        <v/>
      </c>
      <c r="V77" s="139"/>
      <c r="W77" s="140">
        <f t="shared" ref="W77:W81" si="48">U77*Q77</f>
        <v>0</v>
      </c>
      <c r="X77" s="159"/>
      <c r="Y77" s="165"/>
      <c r="Z77" s="1090"/>
      <c r="AA77" s="5"/>
      <c r="AB77" s="354">
        <f t="shared" ref="AB77:AB81" si="49">W77+S77</f>
        <v>0</v>
      </c>
      <c r="AC77" s="33"/>
      <c r="AD77" s="65"/>
      <c r="AE77" s="66"/>
      <c r="AF77" s="144"/>
      <c r="AG77" s="68"/>
      <c r="AH77" s="69"/>
      <c r="AI77" s="39"/>
      <c r="AJ77" s="70"/>
      <c r="AK77" s="70"/>
      <c r="AL77" s="5"/>
      <c r="AM77" s="5"/>
      <c r="AN77" s="5"/>
      <c r="AO77" s="5"/>
      <c r="AP77" s="5"/>
      <c r="AQ77" s="5"/>
      <c r="AR77" s="5"/>
      <c r="AS77" s="5"/>
      <c r="AT77" s="5"/>
      <c r="AU77" s="5"/>
      <c r="AV77" s="5"/>
      <c r="AW77" s="5"/>
      <c r="AX77" s="5"/>
      <c r="AY77" s="5"/>
      <c r="AZ77" s="5"/>
      <c r="BA77" s="5"/>
      <c r="BB77" s="5"/>
      <c r="BC77" s="5"/>
      <c r="BD77" s="5"/>
      <c r="BE77" s="5"/>
      <c r="BF77" s="5"/>
      <c r="BG77" s="5"/>
      <c r="BH77" s="5"/>
      <c r="BI77" s="260"/>
      <c r="BJ77" s="260"/>
      <c r="BK77" s="260"/>
      <c r="BL77" s="260"/>
      <c r="BM77" s="260"/>
      <c r="BN77" s="260"/>
      <c r="BO77" s="260"/>
      <c r="BP77" s="260"/>
      <c r="BQ77" s="260"/>
      <c r="BR77" s="260"/>
      <c r="BS77" s="260"/>
      <c r="BT77" s="260"/>
    </row>
    <row r="78">
      <c r="A78" s="1313"/>
      <c r="B78" s="154" t="str">
        <f>IFERROR(__xludf.DUMMYFUNCTION("IFERROR(
  IF(C78="""","""",
    IF(OR(REGEXMATCH(D78,""(?i)-Flashing""), REGEXMATCH(D78,""(?i)-EavesGut""), REGEXMATCH(D78,""(?i)Valley"")),
        ""DR"" &amp;
        TEXT(
            ROUNDUP(
                MIN(
                    VALUE(MID(C78, FIND("&amp;"""("",C78)+1, FIND(""/"",C78)-FIND(""("",C78)-1)),
                    1200
                ) / 50, 0
            ) * 50, ""0""
        ) &amp;
        MID(C78, FIND(""/"",C78)+1, FIND("")"",C78)-FIND(""/"",C78)-1) &amp;
        TEXT(H78*100,""0"") &amp;
        I78,"&amp;"
    IF(AND(D78=""Roof Sheet"", REGEXMATCH(C78,""(?i)KS\d{4}[A-Z]{2}"")),
       REGEXEXTRACT(C78,""(?i)KS\d{4}[A-Z]{2}""),
    IF(AND(REGEXMATCH(D78,""(?i)-DP""), REGEXMATCH(C78,""(?i)Downpipe"")),
       ""dp"" &amp; REGEXEXTRACT(C78,""(\d+)"") &amp; ""mm"",
  "&amp;"  IF(AND(REGEXMATCH(D78,""(?i)Bracket""), REGEXMATCH(C78,""(?i)Bracket"")),
       ""Brkt"" &amp; REGEXEXTRACT(C78,""(\d+)"") &amp; ""mm"",
    IF(AND(REGEXMATCH(D78,""(?i)-OP""), REGEXMATCH(C78,""(?i)pops"")),
       ""op"" &amp; REGEXEXTRACT(C78,""(\d+)"") &amp; ""mm"""&amp;",
    IF(OR(D78=""R-FFTop"", D78=""R-FFBottom"", D78=""R-FFSide""),
        IF(REGEXMATCH(C78,""(?i)Profiled.*Top|Top.*Profiled""),""pfft"",
        IF(REGEXMATCH(C78,""(?i)Profiled.*Bottom|Bottom.*Profiled""),""pffb"",
        IF(REGEXMATCH(C78,""(?i)Squ"&amp;"are""),""sff"",""""))),
    IF(REGEXMATCH(D78,""(?i)-Rivets""),""Rvt"",
    IF(REGEXMATCH(D78,""(?i)Silicone""),""300ml"",
    IF(REGEXMATCH(D78,""(?i)R-Butyl""),""300ml"",
    IF(REGEXMATCH(D78,""(?i)Fix""),""GenFix"",
    IF(AND(REGEXMATCH(C78,""(?i)Tim"&amp;"ber""), REGEXMATCH(D78,""(?i)Timber"")),""tp"",
    IF(AND(REGEXMATCH(C78,""(?i)Vent G1275""), REGEXMATCH(D78,""(?i)Comb FIller"")),""CFV1275"",
    IF(REGEXMATCH(C78,""(?i)DPC""),""dpc"",
    IF(REGEXMATCH(C78,""(?i)Concealed Clips""),""ConClips"",
    I"&amp;"F(REGEXMATCH(D78,""(?i)-Takeoff ea""),""Takeoff ea"",
    IF(REGEXMATCH(D78,""(?i)-Takeoff LM""),""Takeoff LM"",
    IF(REGEXMATCH(D78,""(?i)-Takeoff m2""),""Takeoff m2"",
    IF(D78=""R-TU/TD"",""TU/TD"","""")))))))))))))))))
  )))"),"300ml")</f>
        <v>300ml</v>
      </c>
      <c r="C78" s="734" t="s">
        <v>98</v>
      </c>
      <c r="D78" s="124" t="s">
        <v>99</v>
      </c>
      <c r="E78" s="687">
        <f t="shared" ref="E78:F78" si="45">E77</f>
        <v>0.72</v>
      </c>
      <c r="F78" s="128" t="str">
        <f t="shared" si="45"/>
        <v>3.5°</v>
      </c>
      <c r="G78" s="127"/>
      <c r="H78" s="127" t="str">
        <f>IFERROR(__xludf.DUMMYFUNCTION("IFERROR(REGEXEXTRACT(C78, ""(\d*\.\d+)mm""), """")"),"")</f>
        <v/>
      </c>
      <c r="I78" s="127"/>
      <c r="J78" s="126" t="s">
        <v>87</v>
      </c>
      <c r="K78" s="126" t="str">
        <f>IFERROR(
  IF(B78="", "", VLOOKUP(B78, Data!$B$2:$K$905, 7, FALSE)),
  ""
)</f>
        <v/>
      </c>
      <c r="L78" s="163"/>
      <c r="M78" s="150">
        <f>(ROUNDDOWN((M77/5.7)+2,0)*E78)/8</f>
        <v>0.18</v>
      </c>
      <c r="N78" s="151">
        <f>IFERROR(__xludf.DUMMYFUNCTION("IF(B78="""", """", IFERROR(1 / COS(RADIANS(REGEXEXTRACT(F78,""(\d+)""))), 1))"),1.001372345997921)</f>
        <v>1.001372346</v>
      </c>
      <c r="O78" s="169">
        <v>1.0</v>
      </c>
      <c r="P78" s="134">
        <v>1.0</v>
      </c>
      <c r="Q78" s="168">
        <f t="shared" si="46"/>
        <v>0.1802470223</v>
      </c>
      <c r="R78" s="136" t="str">
        <f>IFERROR(
  IF(B78="", "", VLOOKUP(B78, Data!$B$2:$K$905, 9, FALSE)),
  ""
)</f>
        <v/>
      </c>
      <c r="S78" s="152">
        <f t="shared" si="47"/>
        <v>0</v>
      </c>
      <c r="T78" s="138"/>
      <c r="U78" s="108" t="str">
        <f>IFERROR(
  IF(B78="", "", VLOOKUP(B78, Data!$B$2:$K$905, 10, FALSE)),
  ""
)
</f>
        <v/>
      </c>
      <c r="V78" s="139"/>
      <c r="W78" s="140">
        <f t="shared" si="48"/>
        <v>0</v>
      </c>
      <c r="X78" s="159"/>
      <c r="Y78" s="5"/>
      <c r="Z78" s="5"/>
      <c r="AA78" s="5"/>
      <c r="AB78" s="354">
        <f t="shared" si="49"/>
        <v>0</v>
      </c>
      <c r="AC78" s="33"/>
      <c r="AD78" s="65"/>
      <c r="AE78" s="66"/>
      <c r="AF78" s="144"/>
      <c r="AG78" s="68"/>
      <c r="AH78" s="69"/>
      <c r="AI78" s="39"/>
      <c r="AJ78" s="70"/>
      <c r="AK78" s="70"/>
      <c r="AL78" s="5"/>
      <c r="AM78" s="5"/>
      <c r="AN78" s="5"/>
      <c r="AO78" s="5"/>
      <c r="AP78" s="5"/>
      <c r="AQ78" s="5"/>
      <c r="AR78" s="5"/>
      <c r="AS78" s="5"/>
      <c r="AT78" s="5"/>
      <c r="AU78" s="5"/>
      <c r="AV78" s="5"/>
      <c r="AW78" s="5"/>
      <c r="AX78" s="5"/>
      <c r="AY78" s="5"/>
      <c r="AZ78" s="5"/>
      <c r="BA78" s="5"/>
      <c r="BB78" s="5"/>
      <c r="BC78" s="5"/>
      <c r="BD78" s="5"/>
      <c r="BE78" s="5"/>
      <c r="BF78" s="5"/>
      <c r="BG78" s="5"/>
      <c r="BH78" s="5"/>
      <c r="BI78" s="260"/>
      <c r="BJ78" s="260"/>
      <c r="BK78" s="260"/>
      <c r="BL78" s="260"/>
      <c r="BM78" s="260"/>
      <c r="BN78" s="260"/>
      <c r="BO78" s="260"/>
      <c r="BP78" s="260"/>
      <c r="BQ78" s="260"/>
      <c r="BR78" s="260"/>
      <c r="BS78" s="260"/>
      <c r="BT78" s="260"/>
    </row>
    <row r="79">
      <c r="A79" s="1313"/>
      <c r="B79" s="154" t="str">
        <f>IFERROR(__xludf.DUMMYFUNCTION("IFERROR(
  IF(C79="""","""",
    IF(OR(REGEXMATCH(D79,""(?i)-Flashing""), REGEXMATCH(D79,""(?i)-EavesGut""), REGEXMATCH(D79,""(?i)Valley"")),
        ""DR"" &amp;
        TEXT(
            ROUNDUP(
                MIN(
                    VALUE(MID(C79, FIND("&amp;"""("",C79)+1, FIND(""/"",C79)-FIND(""("",C79)-1)),
                    1200
                ) / 50, 0
            ) * 50, ""0""
        ) &amp;
        MID(C79, FIND(""/"",C79)+1, FIND("")"",C79)-FIND(""/"",C79)-1) &amp;
        TEXT(H79*100,""0"") &amp;
        I79,"&amp;"
    IF(AND(D79=""Roof Sheet"", REGEXMATCH(C79,""(?i)KS\d{4}[A-Z]{2}"")),
       REGEXEXTRACT(C79,""(?i)KS\d{4}[A-Z]{2}""),
    IF(AND(REGEXMATCH(D79,""(?i)-DP""), REGEXMATCH(C79,""(?i)Downpipe"")),
       ""dp"" &amp; REGEXEXTRACT(C79,""(\d+)"") &amp; ""mm"",
  "&amp;"  IF(AND(REGEXMATCH(D79,""(?i)Bracket""), REGEXMATCH(C79,""(?i)Bracket"")),
       ""Brkt"" &amp; REGEXEXTRACT(C79,""(\d+)"") &amp; ""mm"",
    IF(AND(REGEXMATCH(D79,""(?i)-OP""), REGEXMATCH(C79,""(?i)pops"")),
       ""op"" &amp; REGEXEXTRACT(C79,""(\d+)"") &amp; ""mm"""&amp;",
    IF(OR(D79=""R-FFTop"", D79=""R-FFBottom"", D79=""R-FFSide""),
        IF(REGEXMATCH(C79,""(?i)Profiled.*Top|Top.*Profiled""),""pfft"",
        IF(REGEXMATCH(C79,""(?i)Profiled.*Bottom|Bottom.*Profiled""),""pffb"",
        IF(REGEXMATCH(C79,""(?i)Squ"&amp;"are""),""sff"",""""))),
    IF(REGEXMATCH(D79,""(?i)-Rivets""),""Rvt"",
    IF(REGEXMATCH(D79,""(?i)Silicone""),""300ml"",
    IF(REGEXMATCH(D79,""(?i)R-Butyl""),""300ml"",
    IF(REGEXMATCH(D79,""(?i)Fix""),""GenFix"",
    IF(AND(REGEXMATCH(C79,""(?i)Tim"&amp;"ber""), REGEXMATCH(D79,""(?i)Timber"")),""tp"",
    IF(AND(REGEXMATCH(C79,""(?i)Vent G1275""), REGEXMATCH(D79,""(?i)Comb FIller"")),""CFV1275"",
    IF(REGEXMATCH(C79,""(?i)DPC""),""dpc"",
    IF(REGEXMATCH(C79,""(?i)Concealed Clips""),""ConClips"",
    I"&amp;"F(REGEXMATCH(D79,""(?i)-Takeoff ea""),""Takeoff ea"",
    IF(REGEXMATCH(D79,""(?i)-Takeoff LM""),""Takeoff LM"",
    IF(REGEXMATCH(D79,""(?i)-Takeoff m2""),""Takeoff m2"",
    IF(D79=""R-TU/TD"",""TU/TD"","""")))))))))))))))))
  )))"),"Rvt")</f>
        <v>Rvt</v>
      </c>
      <c r="C79" s="734" t="s">
        <v>100</v>
      </c>
      <c r="D79" s="124" t="s">
        <v>101</v>
      </c>
      <c r="E79" s="687">
        <f>E77</f>
        <v>0.72</v>
      </c>
      <c r="F79" s="128" t="str">
        <f t="shared" ref="F79:F81" si="50">F78</f>
        <v>3.5°</v>
      </c>
      <c r="G79" s="127"/>
      <c r="H79" s="127" t="str">
        <f>IFERROR(__xludf.DUMMYFUNCTION("IFERROR(REGEXEXTRACT(C79, ""(\d*\.\d+)mm""), """")"),"")</f>
        <v/>
      </c>
      <c r="I79" s="127"/>
      <c r="J79" s="126" t="s">
        <v>87</v>
      </c>
      <c r="K79" s="126" t="str">
        <f>IFERROR(
  IF(B79="", "", VLOOKUP(B79, Data!$B$2:$K$905, 7, FALSE)),
  ""
)</f>
        <v/>
      </c>
      <c r="L79" s="163"/>
      <c r="M79" s="150">
        <f>ROUNDUP(((M77/5.7)+1)*(E79/0.05),0)</f>
        <v>15</v>
      </c>
      <c r="N79" s="151">
        <f>IFERROR(__xludf.DUMMYFUNCTION("IF(B79="""", """", IFERROR(1 / COS(RADIANS(REGEXEXTRACT(F79,""(\d+)""))), 1))"),1.001372345997921)</f>
        <v>1.001372346</v>
      </c>
      <c r="O79" s="169">
        <v>1.0</v>
      </c>
      <c r="P79" s="134">
        <v>1.0</v>
      </c>
      <c r="Q79" s="168">
        <f t="shared" si="46"/>
        <v>15.02058519</v>
      </c>
      <c r="R79" s="108" t="str">
        <f>IFERROR(
  IF(B79="", "", VLOOKUP(B79, Data!$B$2:$K$905, 9, FALSE)),
  ""
)</f>
        <v/>
      </c>
      <c r="S79" s="152">
        <f t="shared" si="47"/>
        <v>0</v>
      </c>
      <c r="T79" s="138"/>
      <c r="U79" s="1416" t="str">
        <f>IFERROR(
  IF(B79="", "", VLOOKUP(B79, Data!$B$2:$K$905, 10, FALSE)),
  ""
)
</f>
        <v/>
      </c>
      <c r="V79" s="139"/>
      <c r="W79" s="140">
        <f t="shared" si="48"/>
        <v>0</v>
      </c>
      <c r="X79" s="159"/>
      <c r="Y79" s="5"/>
      <c r="Z79" s="5"/>
      <c r="AA79" s="5"/>
      <c r="AB79" s="354">
        <f t="shared" si="49"/>
        <v>0</v>
      </c>
      <c r="AC79" s="33"/>
      <c r="AD79" s="65"/>
      <c r="AE79" s="66"/>
      <c r="AF79" s="144"/>
      <c r="AG79" s="68"/>
      <c r="AH79" s="69"/>
      <c r="AI79" s="39"/>
      <c r="AJ79" s="70"/>
      <c r="AK79" s="70"/>
      <c r="AL79" s="5"/>
      <c r="AM79" s="5"/>
      <c r="AN79" s="5"/>
      <c r="AO79" s="5"/>
      <c r="AP79" s="5"/>
      <c r="AQ79" s="5"/>
      <c r="AR79" s="5"/>
      <c r="AS79" s="5"/>
      <c r="AT79" s="5"/>
      <c r="AU79" s="5"/>
      <c r="AV79" s="5"/>
      <c r="AW79" s="5"/>
      <c r="AX79" s="5"/>
      <c r="AY79" s="5"/>
      <c r="AZ79" s="5"/>
      <c r="BA79" s="5"/>
      <c r="BB79" s="5"/>
      <c r="BC79" s="5"/>
      <c r="BD79" s="5"/>
      <c r="BE79" s="5"/>
      <c r="BF79" s="5"/>
      <c r="BG79" s="5"/>
      <c r="BH79" s="5"/>
      <c r="BI79" s="260"/>
      <c r="BJ79" s="260"/>
      <c r="BK79" s="260"/>
      <c r="BL79" s="260"/>
      <c r="BM79" s="260"/>
      <c r="BN79" s="260"/>
      <c r="BO79" s="260"/>
      <c r="BP79" s="260"/>
      <c r="BQ79" s="260"/>
      <c r="BR79" s="260"/>
      <c r="BS79" s="260"/>
      <c r="BT79" s="260"/>
    </row>
    <row r="80">
      <c r="A80" s="1313"/>
      <c r="B80" s="154" t="str">
        <f>IFERROR(__xludf.DUMMYFUNCTION("IFERROR(
  IF(C80="""","""",
    IF(OR(REGEXMATCH(D80,""(?i)-Flashing""), REGEXMATCH(D80,""(?i)-EavesGut""), REGEXMATCH(D80,""(?i)Valley"")),
        ""DR"" &amp;
        TEXT(
            ROUNDUP(
                MIN(
                    VALUE(MID(C80, FIND("&amp;"""("",C80)+1, FIND(""/"",C80)-FIND(""("",C80)-1)),
                    1200
                ) / 50, 0
            ) * 50, ""0""
        ) &amp;
        MID(C80, FIND(""/"",C80)+1, FIND("")"",C80)-FIND(""/"",C80)-1) &amp;
        TEXT(H80*100,""0"") &amp;
        I80,"&amp;"
    IF(AND(D80=""Roof Sheet"", REGEXMATCH(C80,""(?i)KS\d{4}[A-Z]{2}"")),
       REGEXEXTRACT(C80,""(?i)KS\d{4}[A-Z]{2}""),
    IF(AND(REGEXMATCH(D80,""(?i)-DP""), REGEXMATCH(C80,""(?i)Downpipe"")),
       ""dp"" &amp; REGEXEXTRACT(C80,""(\d+)"") &amp; ""mm"",
  "&amp;"  IF(AND(REGEXMATCH(D80,""(?i)Bracket""), REGEXMATCH(C80,""(?i)Bracket"")),
       ""Brkt"" &amp; REGEXEXTRACT(C80,""(\d+)"") &amp; ""mm"",
    IF(AND(REGEXMATCH(D80,""(?i)-OP""), REGEXMATCH(C80,""(?i)pops"")),
       ""op"" &amp; REGEXEXTRACT(C80,""(\d+)"") &amp; ""mm"""&amp;",
    IF(OR(D80=""R-FFTop"", D80=""R-FFBottom"", D80=""R-FFSide""),
        IF(REGEXMATCH(C80,""(?i)Profiled.*Top|Top.*Profiled""),""pfft"",
        IF(REGEXMATCH(C80,""(?i)Profiled.*Bottom|Bottom.*Profiled""),""pffb"",
        IF(REGEXMATCH(C80,""(?i)Squ"&amp;"are""),""sff"",""""))),
    IF(REGEXMATCH(D80,""(?i)-Rivets""),""Rvt"",
    IF(REGEXMATCH(D80,""(?i)Silicone""),""300ml"",
    IF(REGEXMATCH(D80,""(?i)R-Butyl""),""300ml"",
    IF(REGEXMATCH(D80,""(?i)Fix""),""GenFix"",
    IF(AND(REGEXMATCH(C80,""(?i)Tim"&amp;"ber""), REGEXMATCH(D80,""(?i)Timber"")),""tp"",
    IF(AND(REGEXMATCH(C80,""(?i)Vent G1275""), REGEXMATCH(D80,""(?i)Comb FIller"")),""CFV1275"",
    IF(REGEXMATCH(C80,""(?i)DPC""),""dpc"",
    IF(REGEXMATCH(C80,""(?i)Concealed Clips""),""ConClips"",
    I"&amp;"F(REGEXMATCH(D80,""(?i)-Takeoff ea""),""Takeoff ea"",
    IF(REGEXMATCH(D80,""(?i)-Takeoff LM""),""Takeoff LM"",
    IF(REGEXMATCH(D80,""(?i)-Takeoff m2""),""Takeoff m2"",
    IF(D80=""R-TU/TD"",""TU/TD"","""")))))))))))))))))
  )))"),"GenFix")</f>
        <v>GenFix</v>
      </c>
      <c r="C80" s="698" t="s">
        <v>102</v>
      </c>
      <c r="D80" s="124" t="s">
        <v>103</v>
      </c>
      <c r="E80" s="752"/>
      <c r="F80" s="128" t="str">
        <f t="shared" si="50"/>
        <v>3.5°</v>
      </c>
      <c r="G80" s="129"/>
      <c r="H80" s="127"/>
      <c r="I80" s="127"/>
      <c r="J80" s="126" t="s">
        <v>87</v>
      </c>
      <c r="K80" s="126" t="str">
        <f>IFERROR(
  IF(B80="", "", VLOOKUP(B80, Data!$B$2:$K$905, 7, FALSE)),
  ""
)</f>
        <v/>
      </c>
      <c r="L80" s="161"/>
      <c r="M80" s="150">
        <f>ROUNDUP(M77/0.6,0)+1</f>
        <v>1</v>
      </c>
      <c r="N80" s="151">
        <f>IFERROR(__xludf.DUMMYFUNCTION("IF(B80="""", """", IFERROR(1 / COS(RADIANS(REGEXEXTRACT(F80,""(\d+)""))), 1))"),1.001372345997921)</f>
        <v>1.001372346</v>
      </c>
      <c r="O80" s="169">
        <v>1.0</v>
      </c>
      <c r="P80" s="134">
        <v>2.0</v>
      </c>
      <c r="Q80" s="168">
        <f t="shared" si="46"/>
        <v>2.002744692</v>
      </c>
      <c r="R80" s="136" t="str">
        <f>IFERROR(
  IF(B80="", "", VLOOKUP(B80, Data!$B$2:$K$905, 9, FALSE)),
  ""
)</f>
        <v/>
      </c>
      <c r="S80" s="152">
        <f t="shared" si="47"/>
        <v>0</v>
      </c>
      <c r="T80" s="138"/>
      <c r="U80" s="1416" t="str">
        <f>IFERROR(
  IF(B80="", "", VLOOKUP(B80, Data!$B$2:$K$905, 10, FALSE)),
  ""
)
</f>
        <v/>
      </c>
      <c r="V80" s="139"/>
      <c r="W80" s="140">
        <f t="shared" si="48"/>
        <v>0</v>
      </c>
      <c r="X80" s="159"/>
      <c r="Y80" s="5"/>
      <c r="Z80" s="5"/>
      <c r="AA80" s="5"/>
      <c r="AB80" s="354">
        <f t="shared" si="49"/>
        <v>0</v>
      </c>
      <c r="AC80" s="33"/>
      <c r="AD80" s="65"/>
      <c r="AE80" s="66"/>
      <c r="AF80" s="144"/>
      <c r="AG80" s="68"/>
      <c r="AH80" s="69"/>
      <c r="AI80" s="39"/>
      <c r="AJ80" s="70"/>
      <c r="AK80" s="70"/>
      <c r="AL80" s="5"/>
      <c r="AM80" s="5"/>
      <c r="AN80" s="5"/>
      <c r="AO80" s="5"/>
      <c r="AP80" s="5"/>
      <c r="AQ80" s="5"/>
      <c r="AR80" s="5"/>
      <c r="AS80" s="5"/>
      <c r="AT80" s="5"/>
      <c r="AU80" s="5"/>
      <c r="AV80" s="5"/>
      <c r="AW80" s="5"/>
      <c r="AX80" s="5"/>
      <c r="AY80" s="5"/>
      <c r="AZ80" s="5"/>
      <c r="BA80" s="5"/>
      <c r="BB80" s="5"/>
      <c r="BC80" s="5"/>
      <c r="BD80" s="5"/>
      <c r="BE80" s="5"/>
      <c r="BF80" s="5"/>
      <c r="BG80" s="5"/>
      <c r="BH80" s="5"/>
      <c r="BI80" s="260"/>
      <c r="BJ80" s="260"/>
      <c r="BK80" s="260"/>
      <c r="BL80" s="260"/>
      <c r="BM80" s="260"/>
      <c r="BN80" s="260"/>
      <c r="BO80" s="260"/>
      <c r="BP80" s="260"/>
      <c r="BQ80" s="260"/>
      <c r="BR80" s="260"/>
      <c r="BS80" s="260"/>
      <c r="BT80" s="260"/>
    </row>
    <row r="81">
      <c r="A81" s="1313"/>
      <c r="B81" s="154" t="str">
        <f>IFERROR(__xludf.DUMMYFUNCTION("IFERROR(
  IF(C81="""","""",
    IF(OR(REGEXMATCH(D81,""(?i)-Flashing""), REGEXMATCH(D81,""(?i)-EavesGut""), REGEXMATCH(D81,""(?i)Valley"")),
        ""DR"" &amp;
        TEXT(
            ROUNDUP(
                MIN(
                    VALUE(MID(C81, FIND("&amp;"""("",C81)+1, FIND(""/"",C81)-FIND(""("",C81)-1)),
                    1200
                ) / 50, 0
            ) * 50, ""0""
        ) &amp;
        MID(C81, FIND(""/"",C81)+1, FIND("")"",C81)-FIND(""/"",C81)-1) &amp;
        TEXT(H81*100,""0"") &amp;
        I81,"&amp;"
    IF(AND(D81=""Roof Sheet"", REGEXMATCH(C81,""(?i)KS\d{4}[A-Z]{2}"")),
       REGEXEXTRACT(C81,""(?i)KS\d{4}[A-Z]{2}""),
    IF(AND(REGEXMATCH(D81,""(?i)-DP""), REGEXMATCH(C81,""(?i)Downpipe"")),
       ""dp"" &amp; REGEXEXTRACT(C81,""(\d+)"") &amp; ""mm"",
  "&amp;"  IF(AND(REGEXMATCH(D81,""(?i)Bracket""), REGEXMATCH(C81,""(?i)Bracket"")),
       ""Brkt"" &amp; REGEXEXTRACT(C81,""(\d+)"") &amp; ""mm"",
    IF(AND(REGEXMATCH(D81,""(?i)-OP""), REGEXMATCH(C81,""(?i)pops"")),
       ""op"" &amp; REGEXEXTRACT(C81,""(\d+)"") &amp; ""mm"""&amp;",
    IF(OR(D81=""R-FFTop"", D81=""R-FFBottom"", D81=""R-FFSide""),
        IF(REGEXMATCH(C81,""(?i)Profiled.*Top|Top.*Profiled""),""pfft"",
        IF(REGEXMATCH(C81,""(?i)Profiled.*Bottom|Bottom.*Profiled""),""pffb"",
        IF(REGEXMATCH(C81,""(?i)Squ"&amp;"are""),""sff"",""""))),
    IF(REGEXMATCH(D81,""(?i)-Rivets""),""Rvt"",
    IF(REGEXMATCH(D81,""(?i)Silicone""),""300ml"",
    IF(REGEXMATCH(D81,""(?i)R-Butyl""),""300ml"",
    IF(REGEXMATCH(D81,""(?i)Fix""),""GenFix"",
    IF(AND(REGEXMATCH(C81,""(?i)Tim"&amp;"ber""), REGEXMATCH(D81,""(?i)Timber"")),""tp"",
    IF(AND(REGEXMATCH(C81,""(?i)Vent G1275""), REGEXMATCH(D81,""(?i)Comb FIller"")),""CFV1275"",
    IF(REGEXMATCH(C81,""(?i)DPC""),""dpc"",
    IF(REGEXMATCH(C81,""(?i)Concealed Clips""),""ConClips"",
    I"&amp;"F(REGEXMATCH(D81,""(?i)-Takeoff ea""),""Takeoff ea"",
    IF(REGEXMATCH(D81,""(?i)-Takeoff LM""),""Takeoff LM"",
    IF(REGEXMATCH(D81,""(?i)-Takeoff m2""),""Takeoff m2"",
    IF(D81=""R-TU/TD"",""TU/TD"","""")))))))))))))))))
  )))"),"sff")</f>
        <v>sff</v>
      </c>
      <c r="C81" s="734" t="s">
        <v>454</v>
      </c>
      <c r="D81" s="124" t="s">
        <v>105</v>
      </c>
      <c r="E81" s="752"/>
      <c r="F81" s="128" t="str">
        <f t="shared" si="50"/>
        <v>3.5°</v>
      </c>
      <c r="G81" s="129"/>
      <c r="H81" s="127"/>
      <c r="I81" s="127"/>
      <c r="J81" s="126" t="s">
        <v>87</v>
      </c>
      <c r="K81" s="126" t="str">
        <f>IFERROR(
  IF(B81="", "", VLOOKUP(B81, Data!$B$2:$K$905, 7, FALSE)),
  ""
)</f>
        <v/>
      </c>
      <c r="L81" s="161"/>
      <c r="M81" s="150" t="str">
        <f>M77</f>
        <v/>
      </c>
      <c r="N81" s="151">
        <f>IFERROR(__xludf.DUMMYFUNCTION("IF(B81="""", """", IFERROR(1 / COS(RADIANS(REGEXEXTRACT(F81,""(\d+)""))), 1))"),1.001372345997921)</f>
        <v>1.001372346</v>
      </c>
      <c r="O81" s="169">
        <v>1.0</v>
      </c>
      <c r="P81" s="134">
        <v>1.0</v>
      </c>
      <c r="Q81" s="168">
        <f t="shared" si="46"/>
        <v>0</v>
      </c>
      <c r="R81" s="136" t="str">
        <f>IFERROR(
  IF(B81="", "", VLOOKUP(B81, Data!$B$2:$K$905, 9, FALSE)),
  ""
)</f>
        <v/>
      </c>
      <c r="S81" s="152">
        <f t="shared" si="47"/>
        <v>0</v>
      </c>
      <c r="T81" s="138"/>
      <c r="U81" s="136" t="str">
        <f>IFERROR(
  IF(B81="", "", VLOOKUP(B81, Data!$B$2:$K$905, 10, FALSE)),
  ""
)
</f>
        <v/>
      </c>
      <c r="V81" s="139"/>
      <c r="W81" s="140">
        <f t="shared" si="48"/>
        <v>0</v>
      </c>
      <c r="X81" s="159"/>
      <c r="Y81" s="5"/>
      <c r="Z81" s="5"/>
      <c r="AA81" s="5"/>
      <c r="AB81" s="354">
        <f t="shared" si="49"/>
        <v>0</v>
      </c>
      <c r="AC81" s="33"/>
      <c r="AD81" s="65"/>
      <c r="AE81" s="66"/>
      <c r="AF81" s="144"/>
      <c r="AG81" s="68"/>
      <c r="AH81" s="69"/>
      <c r="AI81" s="39"/>
      <c r="AJ81" s="70"/>
      <c r="AK81" s="70"/>
      <c r="AL81" s="5"/>
      <c r="AM81" s="5"/>
      <c r="AN81" s="5"/>
      <c r="AO81" s="5"/>
      <c r="AP81" s="5"/>
      <c r="AQ81" s="5"/>
      <c r="AR81" s="5"/>
      <c r="AS81" s="5"/>
      <c r="AT81" s="5"/>
      <c r="AU81" s="5"/>
      <c r="AV81" s="5"/>
      <c r="AW81" s="5"/>
      <c r="AX81" s="5"/>
      <c r="AY81" s="5"/>
      <c r="AZ81" s="5"/>
      <c r="BA81" s="5"/>
      <c r="BB81" s="5"/>
      <c r="BC81" s="5"/>
      <c r="BD81" s="5"/>
      <c r="BE81" s="5"/>
      <c r="BF81" s="5"/>
      <c r="BG81" s="5"/>
      <c r="BH81" s="5"/>
      <c r="BI81" s="260"/>
      <c r="BJ81" s="260"/>
      <c r="BK81" s="260"/>
      <c r="BL81" s="260"/>
      <c r="BM81" s="260"/>
      <c r="BN81" s="260"/>
      <c r="BO81" s="260"/>
      <c r="BP81" s="260"/>
      <c r="BQ81" s="260"/>
      <c r="BR81" s="260"/>
      <c r="BS81" s="260"/>
      <c r="BT81" s="260"/>
    </row>
    <row r="82">
      <c r="A82" s="1313"/>
      <c r="B82" s="160"/>
      <c r="C82" s="757"/>
      <c r="D82" s="129"/>
      <c r="E82" s="752"/>
      <c r="F82" s="127"/>
      <c r="G82" s="129"/>
      <c r="H82" s="127"/>
      <c r="I82" s="127"/>
      <c r="J82" s="129"/>
      <c r="K82" s="129"/>
      <c r="L82" s="161"/>
      <c r="M82" s="163"/>
      <c r="N82" s="162"/>
      <c r="O82" s="161"/>
      <c r="P82" s="127"/>
      <c r="Q82" s="161"/>
      <c r="R82" s="108"/>
      <c r="S82" s="139"/>
      <c r="T82" s="138"/>
      <c r="U82" s="108"/>
      <c r="V82" s="139"/>
      <c r="W82" s="164"/>
      <c r="X82" s="159"/>
      <c r="Y82" s="5"/>
      <c r="Z82" s="5"/>
      <c r="AA82" s="5"/>
      <c r="AB82" s="5"/>
      <c r="AC82" s="33"/>
      <c r="AD82" s="65"/>
      <c r="AE82" s="66"/>
      <c r="AF82" s="144"/>
      <c r="AG82" s="68"/>
      <c r="AH82" s="69"/>
      <c r="AI82" s="39"/>
      <c r="AJ82" s="70"/>
      <c r="AK82" s="70"/>
      <c r="AL82" s="5"/>
      <c r="AM82" s="5"/>
      <c r="AN82" s="5"/>
      <c r="AO82" s="5"/>
      <c r="AP82" s="5"/>
      <c r="AQ82" s="5"/>
      <c r="AR82" s="5"/>
      <c r="AS82" s="5"/>
      <c r="AT82" s="5"/>
      <c r="AU82" s="5"/>
      <c r="AV82" s="5"/>
      <c r="AW82" s="5"/>
      <c r="AX82" s="5"/>
      <c r="AY82" s="5"/>
      <c r="AZ82" s="5"/>
      <c r="BA82" s="5"/>
      <c r="BB82" s="5"/>
      <c r="BC82" s="5"/>
      <c r="BD82" s="5"/>
      <c r="BE82" s="5"/>
      <c r="BF82" s="5"/>
      <c r="BG82" s="5"/>
      <c r="BH82" s="5"/>
      <c r="BI82" s="260"/>
      <c r="BJ82" s="260"/>
      <c r="BK82" s="260"/>
      <c r="BL82" s="260"/>
      <c r="BM82" s="260"/>
      <c r="BN82" s="260"/>
      <c r="BO82" s="260"/>
      <c r="BP82" s="260"/>
      <c r="BQ82" s="260"/>
      <c r="BR82" s="260"/>
      <c r="BS82" s="260"/>
      <c r="BT82" s="260"/>
    </row>
    <row r="83">
      <c r="A83" s="1313">
        <v>1.0</v>
      </c>
      <c r="B83" s="102"/>
      <c r="C83" s="103" t="s">
        <v>1207</v>
      </c>
      <c r="D83" s="104"/>
      <c r="E83" s="749"/>
      <c r="F83" s="1405"/>
      <c r="G83" s="104"/>
      <c r="H83" s="104"/>
      <c r="I83" s="104"/>
      <c r="J83" s="104"/>
      <c r="K83" s="104" t="s">
        <v>42</v>
      </c>
      <c r="L83" s="106">
        <f>Q83</f>
        <v>0</v>
      </c>
      <c r="M83" s="105" t="s">
        <v>42</v>
      </c>
      <c r="N83" s="107"/>
      <c r="O83" s="105"/>
      <c r="P83" s="104"/>
      <c r="Q83" s="106">
        <f>Q84</f>
        <v>0</v>
      </c>
      <c r="R83" s="108" t="str">
        <f>IFERROR(
  IF(B83="", "", VLOOKUP(B83, Data!$B$2:$K$905, 9, FALSE)),
  ""
)</f>
        <v/>
      </c>
      <c r="S83" s="682">
        <f>IFERROR(T83/Q83, 0)</f>
        <v>0</v>
      </c>
      <c r="T83" s="109">
        <f>SUM(S84:S93)</f>
        <v>0</v>
      </c>
      <c r="U83" s="108" t="str">
        <f>IFERROR(
  IF(B83="", "", VLOOKUP(B83, Data!$B$2:$K$905, 10, FALSE)),
  ""
)
</f>
        <v/>
      </c>
      <c r="V83" s="109" t="str">
        <f>W83/Q83</f>
        <v>#DIV/0!</v>
      </c>
      <c r="W83" s="110">
        <f>SUM(W84:W93)</f>
        <v>0</v>
      </c>
      <c r="X83" s="111" t="str">
        <f>W83/$AC$235/$W$242/$X$232</f>
        <v>#REF!</v>
      </c>
      <c r="Y83" s="112" t="b">
        <f>(T83+W83)=(SUM(AB84:AB93))</f>
        <v>1</v>
      </c>
      <c r="Z83" s="222">
        <f>(T83+W83)-(SUM(AB84:AB93))</f>
        <v>0</v>
      </c>
      <c r="AA83" s="5"/>
      <c r="AB83" s="5"/>
      <c r="AC83" s="33"/>
      <c r="AD83" s="114">
        <f>W83+T83</f>
        <v>0</v>
      </c>
      <c r="AE83" s="115">
        <f>AD83</f>
        <v>0</v>
      </c>
      <c r="AF83" s="116" t="str">
        <f>AE83/#REF!</f>
        <v>#REF!</v>
      </c>
      <c r="AG83" s="683" t="str">
        <f>AF83*$AG$208</f>
        <v>#REF!</v>
      </c>
      <c r="AH83" s="118" t="str">
        <f>AF83*$AG$211</f>
        <v>#REF!</v>
      </c>
      <c r="AI83" s="39"/>
      <c r="AJ83" s="119" t="str">
        <f>ROUND(AK83/L83,2)</f>
        <v>#REF!</v>
      </c>
      <c r="AK83" s="119" t="str">
        <f>ROUND(AH83+AG83+AD83,2)</f>
        <v>#REF!</v>
      </c>
      <c r="AL83" s="5"/>
      <c r="AM83" s="5"/>
      <c r="AN83" s="5"/>
      <c r="AO83" s="5"/>
      <c r="AP83" s="5"/>
      <c r="AQ83" s="5"/>
      <c r="AR83" s="5"/>
      <c r="AS83" s="5"/>
      <c r="AT83" s="5"/>
      <c r="AU83" s="5"/>
      <c r="AV83" s="5"/>
      <c r="AW83" s="5"/>
      <c r="AX83" s="5"/>
      <c r="AY83" s="5"/>
      <c r="AZ83" s="5"/>
      <c r="BA83" s="5"/>
      <c r="BB83" s="5"/>
      <c r="BC83" s="5"/>
      <c r="BD83" s="5"/>
      <c r="BE83" s="5"/>
      <c r="BF83" s="5"/>
      <c r="BG83" s="5"/>
      <c r="BH83" s="5"/>
      <c r="BI83" s="260"/>
      <c r="BJ83" s="260"/>
      <c r="BK83" s="260"/>
      <c r="BL83" s="260"/>
      <c r="BM83" s="260"/>
      <c r="BN83" s="260"/>
      <c r="BO83" s="260"/>
      <c r="BP83" s="260"/>
      <c r="BQ83" s="260"/>
      <c r="BR83" s="260"/>
      <c r="BS83" s="260"/>
      <c r="BT83" s="260"/>
    </row>
    <row r="84">
      <c r="A84" s="1313"/>
      <c r="B84" s="154" t="str">
        <f>IFERROR(__xludf.DUMMYFUNCTION("IFERROR(
  IF(C84="""","""",
    IF(OR(REGEXMATCH(D84,""(?i)-Flashing""), REGEXMATCH(D84,""(?i)-EavesGut""), REGEXMATCH(D84,""(?i)Valley"")),
        ""DR"" &amp;
        TEXT(
            ROUNDUP(
                MIN(
                    VALUE(MID(C84, FIND("&amp;"""("",C84)+1, FIND(""/"",C84)-FIND(""("",C84)-1)),
                    1200
                ) / 50, 0
            ) * 50, ""0""
        ) &amp;
        MID(C84, FIND(""/"",C84)+1, FIND("")"",C84)-FIND(""/"",C84)-1) &amp;
        TEXT(H84*100,""0"") &amp;
        I84,"&amp;"
    IF(AND(D84=""Roof Sheet"", REGEXMATCH(C84,""(?i)KS\d{4}[A-Z]{2}"")),
       REGEXEXTRACT(C84,""(?i)KS\d{4}[A-Z]{2}""),
    IF(AND(REGEXMATCH(D84,""(?i)-DP""), REGEXMATCH(C84,""(?i)Downpipe"")),
       ""dp"" &amp; REGEXEXTRACT(C84,""(\d+)"") &amp; ""mm"",
  "&amp;"  IF(AND(REGEXMATCH(D84,""(?i)Bracket""), REGEXMATCH(C84,""(?i)Bracket"")),
       ""Brkt"" &amp; REGEXEXTRACT(C84,""(\d+)"") &amp; ""mm"",
    IF(AND(REGEXMATCH(D84,""(?i)-OP""), REGEXMATCH(C84,""(?i)pops"")),
       ""op"" &amp; REGEXEXTRACT(C84,""(\d+)"") &amp; ""mm"""&amp;",
    IF(OR(D84=""R-FFTop"", D84=""R-FFBottom"", D84=""R-FFSide""),
        IF(REGEXMATCH(C84,""(?i)Profiled.*Top|Top.*Profiled""),""pfft"",
        IF(REGEXMATCH(C84,""(?i)Profiled.*Bottom|Bottom.*Profiled""),""pffb"",
        IF(REGEXMATCH(C84,""(?i)Squ"&amp;"are""),""sff"",""""))),
    IF(REGEXMATCH(D84,""(?i)-Rivets""),""Rvt"",
    IF(REGEXMATCH(D84,""(?i)Silicone""),""300ml"",
    IF(REGEXMATCH(D84,""(?i)R-Butyl""),""300ml"",
    IF(REGEXMATCH(D84,""(?i)Fix""),""GenFix"",
    IF(AND(REGEXMATCH(C84,""(?i)Tim"&amp;"ber""), REGEXMATCH(D84,""(?i)Timber"")),""tp"",
    IF(AND(REGEXMATCH(C84,""(?i)Vent G1275""), REGEXMATCH(D84,""(?i)Comb FIller"")),""CFV1275"",
    IF(REGEXMATCH(C84,""(?i)DPC""),""dpc"",
    IF(REGEXMATCH(C84,""(?i)Concealed Clips""),""ConClips"",
    I"&amp;"F(REGEXMATCH(D84,""(?i)-Takeoff ea""),""Takeoff ea"",
    IF(REGEXMATCH(D84,""(?i)-Takeoff LM""),""Takeoff LM"",
    IF(REGEXMATCH(D84,""(?i)-Takeoff m2""),""Takeoff m2"",
    IF(D84=""R-TU/TD"",""TU/TD"","""")))))))))))))))))
  )))"),"DR4006B55Mag")</f>
        <v>DR4006B55Mag</v>
      </c>
      <c r="C84" s="123" t="s">
        <v>1208</v>
      </c>
      <c r="D84" s="124" t="s">
        <v>96</v>
      </c>
      <c r="E84" s="687">
        <f>VALUE(MID(C84, FIND("(", C84)+1, FIND("/", C84)-FIND("(", C84)-1)) / 1000</f>
        <v>0.37</v>
      </c>
      <c r="F84" s="1407" t="str">
        <f>IFERROR(__xludf.DUMMYFUNCTION("IFERROR(REGEXEXTRACT(C84,""@\s*(\d+(?:\.\d+)?)\s*deg"")&amp;""°"","""")"),"")</f>
        <v/>
      </c>
      <c r="G84" s="127"/>
      <c r="H84" s="128" t="str">
        <f>IFERROR(__xludf.DUMMYFUNCTION("IFERROR(REGEXEXTRACT(C84, ""(\d*\.\d+)mm""), """")"),"0.55")</f>
        <v>0.55</v>
      </c>
      <c r="I84" s="128" t="s">
        <v>97</v>
      </c>
      <c r="J84" s="126" t="s">
        <v>14</v>
      </c>
      <c r="K84" s="126" t="str">
        <f>IFERROR(
  IF(B84="", "", VLOOKUP(B84, Data!$B$2:$K$905, 7, FALSE)),
  ""
)</f>
        <v/>
      </c>
      <c r="L84" s="163"/>
      <c r="M84" s="730"/>
      <c r="N84" s="151">
        <f>IFERROR(__xludf.DUMMYFUNCTION("IF(B84="""", """", IFERROR(1 / COS(RADIANS(REGEXEXTRACT(F84,""(\d+)""))), 1))"),1.0)</f>
        <v>1</v>
      </c>
      <c r="O84" s="169">
        <v>1.0</v>
      </c>
      <c r="P84" s="134">
        <v>1.0</v>
      </c>
      <c r="Q84" s="168">
        <f t="shared" ref="Q84:Q87" si="52">M84*N84*O84*P84</f>
        <v>0</v>
      </c>
      <c r="R84" s="136" t="str">
        <f>IFERROR(
  IF(B84="", "", VLOOKUP(B84, Data!$B$2:$K$905, 9, FALSE)),
  ""
)</f>
        <v/>
      </c>
      <c r="S84" s="152">
        <f t="shared" ref="S84:S87" si="53">R84*Q84</f>
        <v>0</v>
      </c>
      <c r="T84" s="138"/>
      <c r="U84" s="136" t="str">
        <f>IFERROR(
  IF(B84="", "", VLOOKUP(B84, Data!$B$2:$K$905, 10, FALSE)),
  ""
)
</f>
        <v/>
      </c>
      <c r="V84" s="139"/>
      <c r="W84" s="140">
        <f t="shared" ref="W84:W87" si="54">U84*Q84</f>
        <v>0</v>
      </c>
      <c r="X84" s="159"/>
      <c r="Y84" s="165"/>
      <c r="Z84" s="1090"/>
      <c r="AA84" s="5"/>
      <c r="AB84" s="354">
        <f t="shared" ref="AB84:AB87" si="55">W84+S84</f>
        <v>0</v>
      </c>
      <c r="AC84" s="33"/>
      <c r="AD84" s="65"/>
      <c r="AE84" s="66"/>
      <c r="AF84" s="144"/>
      <c r="AG84" s="68"/>
      <c r="AH84" s="69"/>
      <c r="AI84" s="39"/>
      <c r="AJ84" s="70"/>
      <c r="AK84" s="70"/>
      <c r="AL84" s="5"/>
      <c r="AM84" s="5"/>
      <c r="AN84" s="5"/>
      <c r="AO84" s="5"/>
      <c r="AP84" s="5"/>
      <c r="AQ84" s="5"/>
      <c r="AR84" s="5"/>
      <c r="AS84" s="5"/>
      <c r="AT84" s="5"/>
      <c r="AU84" s="5"/>
      <c r="AV84" s="5"/>
      <c r="AW84" s="5"/>
      <c r="AX84" s="5"/>
      <c r="AY84" s="5"/>
      <c r="AZ84" s="5"/>
      <c r="BA84" s="5"/>
      <c r="BB84" s="5"/>
      <c r="BC84" s="5"/>
      <c r="BD84" s="5"/>
      <c r="BE84" s="5"/>
      <c r="BF84" s="5"/>
      <c r="BG84" s="5"/>
      <c r="BH84" s="5"/>
      <c r="BI84" s="260"/>
      <c r="BJ84" s="260"/>
      <c r="BK84" s="260"/>
      <c r="BL84" s="260"/>
      <c r="BM84" s="260"/>
      <c r="BN84" s="260"/>
      <c r="BO84" s="260"/>
      <c r="BP84" s="260"/>
      <c r="BQ84" s="260"/>
      <c r="BR84" s="260"/>
      <c r="BS84" s="260"/>
      <c r="BT84" s="260"/>
    </row>
    <row r="85">
      <c r="A85" s="1313"/>
      <c r="B85" s="154" t="str">
        <f>IFERROR(__xludf.DUMMYFUNCTION("IFERROR(
  IF(C85="""","""",
    IF(OR(REGEXMATCH(D85,""(?i)-Flashing""), REGEXMATCH(D85,""(?i)-EavesGut""), REGEXMATCH(D85,""(?i)Valley"")),
        ""DR"" &amp;
        TEXT(
            ROUNDUP(
                MIN(
                    VALUE(MID(C85, FIND("&amp;"""("",C85)+1, FIND(""/"",C85)-FIND(""("",C85)-1)),
                    1200
                ) / 50, 0
            ) * 50, ""0""
        ) &amp;
        MID(C85, FIND(""/"",C85)+1, FIND("")"",C85)-FIND(""/"",C85)-1) &amp;
        TEXT(H85*100,""0"") &amp;
        I85,"&amp;"
    IF(AND(D85=""Roof Sheet"", REGEXMATCH(C85,""(?i)KS\d{4}[A-Z]{2}"")),
       REGEXEXTRACT(C85,""(?i)KS\d{4}[A-Z]{2}""),
    IF(AND(REGEXMATCH(D85,""(?i)-DP""), REGEXMATCH(C85,""(?i)Downpipe"")),
       ""dp"" &amp; REGEXEXTRACT(C85,""(\d+)"") &amp; ""mm"",
  "&amp;"  IF(AND(REGEXMATCH(D85,""(?i)Bracket""), REGEXMATCH(C85,""(?i)Bracket"")),
       ""Brkt"" &amp; REGEXEXTRACT(C85,""(\d+)"") &amp; ""mm"",
    IF(AND(REGEXMATCH(D85,""(?i)-OP""), REGEXMATCH(C85,""(?i)pops"")),
       ""op"" &amp; REGEXEXTRACT(C85,""(\d+)"") &amp; ""mm"""&amp;",
    IF(OR(D85=""R-FFTop"", D85=""R-FFBottom"", D85=""R-FFSide""),
        IF(REGEXMATCH(C85,""(?i)Profiled.*Top|Top.*Profiled""),""pfft"",
        IF(REGEXMATCH(C85,""(?i)Profiled.*Bottom|Bottom.*Profiled""),""pffb"",
        IF(REGEXMATCH(C85,""(?i)Squ"&amp;"are""),""sff"",""""))),
    IF(REGEXMATCH(D85,""(?i)-Rivets""),""Rvt"",
    IF(REGEXMATCH(D85,""(?i)Silicone""),""300ml"",
    IF(REGEXMATCH(D85,""(?i)R-Butyl""),""300ml"",
    IF(REGEXMATCH(D85,""(?i)Fix""),""GenFix"",
    IF(AND(REGEXMATCH(C85,""(?i)Tim"&amp;"ber""), REGEXMATCH(D85,""(?i)Timber"")),""tp"",
    IF(AND(REGEXMATCH(C85,""(?i)Vent G1275""), REGEXMATCH(D85,""(?i)Comb FIller"")),""CFV1275"",
    IF(REGEXMATCH(C85,""(?i)DPC""),""dpc"",
    IF(REGEXMATCH(C85,""(?i)Concealed Clips""),""ConClips"",
    I"&amp;"F(REGEXMATCH(D85,""(?i)-Takeoff ea""),""Takeoff ea"",
    IF(REGEXMATCH(D85,""(?i)-Takeoff LM""),""Takeoff LM"",
    IF(REGEXMATCH(D85,""(?i)-Takeoff m2""),""Takeoff m2"",
    IF(D85=""R-TU/TD"",""TU/TD"","""")))))))))))))))))
  )))"),"300ml")</f>
        <v>300ml</v>
      </c>
      <c r="C85" s="734" t="s">
        <v>98</v>
      </c>
      <c r="D85" s="124" t="s">
        <v>99</v>
      </c>
      <c r="E85" s="687">
        <f t="shared" ref="E85:F85" si="51">E84</f>
        <v>0.37</v>
      </c>
      <c r="F85" s="1417" t="str">
        <f t="shared" si="51"/>
        <v/>
      </c>
      <c r="G85" s="127"/>
      <c r="H85" s="127" t="str">
        <f>IFERROR(__xludf.DUMMYFUNCTION("IFERROR(REGEXEXTRACT(C85, ""(\d*\.\d+)mm""), """")"),"")</f>
        <v/>
      </c>
      <c r="I85" s="127"/>
      <c r="J85" s="126" t="s">
        <v>87</v>
      </c>
      <c r="K85" s="126" t="str">
        <f>IFERROR(
  IF(B85="", "", VLOOKUP(B85, Data!$B$2:$K$905, 7, FALSE)),
  ""
)</f>
        <v/>
      </c>
      <c r="L85" s="163"/>
      <c r="M85" s="150">
        <f>(ROUNDDOWN((M84/5.7)+2,0)*E85)/8</f>
        <v>0.0925</v>
      </c>
      <c r="N85" s="151">
        <f>IFERROR(__xludf.DUMMYFUNCTION("IF(B85="""", """", IFERROR(1 / COS(RADIANS(REGEXEXTRACT(F85,""(\d+)""))), 1))"),1.0)</f>
        <v>1</v>
      </c>
      <c r="O85" s="169">
        <v>1.0</v>
      </c>
      <c r="P85" s="134">
        <v>1.0</v>
      </c>
      <c r="Q85" s="168">
        <f t="shared" si="52"/>
        <v>0.0925</v>
      </c>
      <c r="R85" s="136" t="str">
        <f>IFERROR(
  IF(B85="", "", VLOOKUP(B85, Data!$B$2:$K$905, 9, FALSE)),
  ""
)</f>
        <v/>
      </c>
      <c r="S85" s="152">
        <f t="shared" si="53"/>
        <v>0</v>
      </c>
      <c r="T85" s="138"/>
      <c r="U85" s="108" t="str">
        <f>IFERROR(
  IF(B85="", "", VLOOKUP(B85, Data!$B$2:$K$905, 10, FALSE)),
  ""
)
</f>
        <v/>
      </c>
      <c r="V85" s="139"/>
      <c r="W85" s="140">
        <f t="shared" si="54"/>
        <v>0</v>
      </c>
      <c r="X85" s="159"/>
      <c r="Y85" s="5"/>
      <c r="Z85" s="5"/>
      <c r="AA85" s="5"/>
      <c r="AB85" s="354">
        <f t="shared" si="55"/>
        <v>0</v>
      </c>
      <c r="AC85" s="33"/>
      <c r="AD85" s="65"/>
      <c r="AE85" s="66"/>
      <c r="AF85" s="144"/>
      <c r="AG85" s="68"/>
      <c r="AH85" s="69"/>
      <c r="AI85" s="39"/>
      <c r="AJ85" s="70"/>
      <c r="AK85" s="70"/>
      <c r="AL85" s="5"/>
      <c r="AM85" s="5"/>
      <c r="AN85" s="5"/>
      <c r="AO85" s="5"/>
      <c r="AP85" s="5"/>
      <c r="AQ85" s="5"/>
      <c r="AR85" s="5"/>
      <c r="AS85" s="5"/>
      <c r="AT85" s="5"/>
      <c r="AU85" s="5"/>
      <c r="AV85" s="5"/>
      <c r="AW85" s="5"/>
      <c r="AX85" s="5"/>
      <c r="AY85" s="5"/>
      <c r="AZ85" s="5"/>
      <c r="BA85" s="5"/>
      <c r="BB85" s="5"/>
      <c r="BC85" s="5"/>
      <c r="BD85" s="5"/>
      <c r="BE85" s="5"/>
      <c r="BF85" s="5"/>
      <c r="BG85" s="5"/>
      <c r="BH85" s="5"/>
      <c r="BI85" s="260"/>
      <c r="BJ85" s="260"/>
      <c r="BK85" s="260"/>
      <c r="BL85" s="260"/>
      <c r="BM85" s="260"/>
      <c r="BN85" s="260"/>
      <c r="BO85" s="260"/>
      <c r="BP85" s="260"/>
      <c r="BQ85" s="260"/>
      <c r="BR85" s="260"/>
      <c r="BS85" s="260"/>
      <c r="BT85" s="260"/>
    </row>
    <row r="86">
      <c r="A86" s="1313"/>
      <c r="B86" s="154" t="str">
        <f>IFERROR(__xludf.DUMMYFUNCTION("IFERROR(
  IF(C86="""","""",
    IF(OR(REGEXMATCH(D86,""(?i)-Flashing""), REGEXMATCH(D86,""(?i)-EavesGut""), REGEXMATCH(D86,""(?i)Valley"")),
        ""DR"" &amp;
        TEXT(
            ROUNDUP(
                MIN(
                    VALUE(MID(C86, FIND("&amp;"""("",C86)+1, FIND(""/"",C86)-FIND(""("",C86)-1)),
                    1200
                ) / 50, 0
            ) * 50, ""0""
        ) &amp;
        MID(C86, FIND(""/"",C86)+1, FIND("")"",C86)-FIND(""/"",C86)-1) &amp;
        TEXT(H86*100,""0"") &amp;
        I86,"&amp;"
    IF(AND(D86=""Roof Sheet"", REGEXMATCH(C86,""(?i)KS\d{4}[A-Z]{2}"")),
       REGEXEXTRACT(C86,""(?i)KS\d{4}[A-Z]{2}""),
    IF(AND(REGEXMATCH(D86,""(?i)-DP""), REGEXMATCH(C86,""(?i)Downpipe"")),
       ""dp"" &amp; REGEXEXTRACT(C86,""(\d+)"") &amp; ""mm"",
  "&amp;"  IF(AND(REGEXMATCH(D86,""(?i)Bracket""), REGEXMATCH(C86,""(?i)Bracket"")),
       ""Brkt"" &amp; REGEXEXTRACT(C86,""(\d+)"") &amp; ""mm"",
    IF(AND(REGEXMATCH(D86,""(?i)-OP""), REGEXMATCH(C86,""(?i)pops"")),
       ""op"" &amp; REGEXEXTRACT(C86,""(\d+)"") &amp; ""mm"""&amp;",
    IF(OR(D86=""R-FFTop"", D86=""R-FFBottom"", D86=""R-FFSide""),
        IF(REGEXMATCH(C86,""(?i)Profiled.*Top|Top.*Profiled""),""pfft"",
        IF(REGEXMATCH(C86,""(?i)Profiled.*Bottom|Bottom.*Profiled""),""pffb"",
        IF(REGEXMATCH(C86,""(?i)Squ"&amp;"are""),""sff"",""""))),
    IF(REGEXMATCH(D86,""(?i)-Rivets""),""Rvt"",
    IF(REGEXMATCH(D86,""(?i)Silicone""),""300ml"",
    IF(REGEXMATCH(D86,""(?i)R-Butyl""),""300ml"",
    IF(REGEXMATCH(D86,""(?i)Fix""),""GenFix"",
    IF(AND(REGEXMATCH(C86,""(?i)Tim"&amp;"ber""), REGEXMATCH(D86,""(?i)Timber"")),""tp"",
    IF(AND(REGEXMATCH(C86,""(?i)Vent G1275""), REGEXMATCH(D86,""(?i)Comb FIller"")),""CFV1275"",
    IF(REGEXMATCH(C86,""(?i)DPC""),""dpc"",
    IF(REGEXMATCH(C86,""(?i)Concealed Clips""),""ConClips"",
    I"&amp;"F(REGEXMATCH(D86,""(?i)-Takeoff ea""),""Takeoff ea"",
    IF(REGEXMATCH(D86,""(?i)-Takeoff LM""),""Takeoff LM"",
    IF(REGEXMATCH(D86,""(?i)-Takeoff m2""),""Takeoff m2"",
    IF(D86=""R-TU/TD"",""TU/TD"","""")))))))))))))))))
  )))"),"Rvt")</f>
        <v>Rvt</v>
      </c>
      <c r="C86" s="734" t="s">
        <v>100</v>
      </c>
      <c r="D86" s="124" t="s">
        <v>101</v>
      </c>
      <c r="E86" s="687">
        <f>E84</f>
        <v>0.37</v>
      </c>
      <c r="F86" s="1417" t="str">
        <f t="shared" ref="F86:F87" si="56">F85</f>
        <v/>
      </c>
      <c r="G86" s="127"/>
      <c r="H86" s="127" t="str">
        <f>IFERROR(__xludf.DUMMYFUNCTION("IFERROR(REGEXEXTRACT(C86, ""(\d*\.\d+)mm""), """")"),"")</f>
        <v/>
      </c>
      <c r="I86" s="127"/>
      <c r="J86" s="126" t="s">
        <v>87</v>
      </c>
      <c r="K86" s="126" t="str">
        <f>IFERROR(
  IF(B86="", "", VLOOKUP(B86, Data!$B$2:$K$905, 7, FALSE)),
  ""
)</f>
        <v/>
      </c>
      <c r="L86" s="163"/>
      <c r="M86" s="150">
        <f>ROUNDUP(((M84/5.7)+1)*(E86/0.05),0)</f>
        <v>8</v>
      </c>
      <c r="N86" s="151">
        <f>IFERROR(__xludf.DUMMYFUNCTION("IF(B86="""", """", IFERROR(1 / COS(RADIANS(REGEXEXTRACT(F86,""(\d+)""))), 1))"),1.0)</f>
        <v>1</v>
      </c>
      <c r="O86" s="169">
        <v>1.0</v>
      </c>
      <c r="P86" s="134">
        <v>1.0</v>
      </c>
      <c r="Q86" s="168">
        <f t="shared" si="52"/>
        <v>8</v>
      </c>
      <c r="R86" s="108" t="str">
        <f>IFERROR(
  IF(B86="", "", VLOOKUP(B86, Data!$B$2:$K$905, 9, FALSE)),
  ""
)</f>
        <v/>
      </c>
      <c r="S86" s="152">
        <f t="shared" si="53"/>
        <v>0</v>
      </c>
      <c r="T86" s="138"/>
      <c r="U86" s="136" t="str">
        <f>IFERROR(
  IF(B86="", "", VLOOKUP(B86, Data!$B$2:$K$905, 10, FALSE)),
  ""
)
</f>
        <v/>
      </c>
      <c r="V86" s="139"/>
      <c r="W86" s="140">
        <f t="shared" si="54"/>
        <v>0</v>
      </c>
      <c r="X86" s="159"/>
      <c r="Y86" s="5"/>
      <c r="Z86" s="5"/>
      <c r="AA86" s="5"/>
      <c r="AB86" s="354">
        <f t="shared" si="55"/>
        <v>0</v>
      </c>
      <c r="AC86" s="33"/>
      <c r="AD86" s="65"/>
      <c r="AE86" s="66"/>
      <c r="AF86" s="144"/>
      <c r="AG86" s="68"/>
      <c r="AH86" s="69"/>
      <c r="AI86" s="39"/>
      <c r="AJ86" s="70"/>
      <c r="AK86" s="70"/>
      <c r="AL86" s="5"/>
      <c r="AM86" s="5"/>
      <c r="AN86" s="5"/>
      <c r="AO86" s="5"/>
      <c r="AP86" s="5"/>
      <c r="AQ86" s="5"/>
      <c r="AR86" s="5"/>
      <c r="AS86" s="5"/>
      <c r="AT86" s="5"/>
      <c r="AU86" s="5"/>
      <c r="AV86" s="5"/>
      <c r="AW86" s="5"/>
      <c r="AX86" s="5"/>
      <c r="AY86" s="5"/>
      <c r="AZ86" s="5"/>
      <c r="BA86" s="5"/>
      <c r="BB86" s="5"/>
      <c r="BC86" s="5"/>
      <c r="BD86" s="5"/>
      <c r="BE86" s="5"/>
      <c r="BF86" s="5"/>
      <c r="BG86" s="5"/>
      <c r="BH86" s="5"/>
      <c r="BI86" s="260"/>
      <c r="BJ86" s="260"/>
      <c r="BK86" s="260"/>
      <c r="BL86" s="260"/>
      <c r="BM86" s="260"/>
      <c r="BN86" s="260"/>
      <c r="BO86" s="260"/>
      <c r="BP86" s="260"/>
      <c r="BQ86" s="260"/>
      <c r="BR86" s="260"/>
      <c r="BS86" s="260"/>
      <c r="BT86" s="260"/>
    </row>
    <row r="87">
      <c r="A87" s="1313"/>
      <c r="B87" s="154" t="str">
        <f>IFERROR(__xludf.DUMMYFUNCTION("IFERROR(
  IF(C87="""","""",
    IF(OR(REGEXMATCH(D87,""(?i)-Flashing""), REGEXMATCH(D87,""(?i)-EavesGut""), REGEXMATCH(D87,""(?i)Valley"")),
        ""DR"" &amp;
        TEXT(
            ROUNDUP(
                MIN(
                    VALUE(MID(C87, FIND("&amp;"""("",C87)+1, FIND(""/"",C87)-FIND(""("",C87)-1)),
                    1200
                ) / 50, 0
            ) * 50, ""0""
        ) &amp;
        MID(C87, FIND(""/"",C87)+1, FIND("")"",C87)-FIND(""/"",C87)-1) &amp;
        TEXT(H87*100,""0"") &amp;
        I87,"&amp;"
    IF(AND(D87=""Roof Sheet"", REGEXMATCH(C87,""(?i)KS\d{4}[A-Z]{2}"")),
       REGEXEXTRACT(C87,""(?i)KS\d{4}[A-Z]{2}""),
    IF(AND(REGEXMATCH(D87,""(?i)-DP""), REGEXMATCH(C87,""(?i)Downpipe"")),
       ""dp"" &amp; REGEXEXTRACT(C87,""(\d+)"") &amp; ""mm"",
  "&amp;"  IF(AND(REGEXMATCH(D87,""(?i)Bracket""), REGEXMATCH(C87,""(?i)Bracket"")),
       ""Brkt"" &amp; REGEXEXTRACT(C87,""(\d+)"") &amp; ""mm"",
    IF(AND(REGEXMATCH(D87,""(?i)-OP""), REGEXMATCH(C87,""(?i)pops"")),
       ""op"" &amp; REGEXEXTRACT(C87,""(\d+)"") &amp; ""mm"""&amp;",
    IF(OR(D87=""R-FFTop"", D87=""R-FFBottom"", D87=""R-FFSide""),
        IF(REGEXMATCH(C87,""(?i)Profiled.*Top|Top.*Profiled""),""pfft"",
        IF(REGEXMATCH(C87,""(?i)Profiled.*Bottom|Bottom.*Profiled""),""pffb"",
        IF(REGEXMATCH(C87,""(?i)Squ"&amp;"are""),""sff"",""""))),
    IF(REGEXMATCH(D87,""(?i)-Rivets""),""Rvt"",
    IF(REGEXMATCH(D87,""(?i)Silicone""),""300ml"",
    IF(REGEXMATCH(D87,""(?i)R-Butyl""),""300ml"",
    IF(REGEXMATCH(D87,""(?i)Fix""),""GenFix"",
    IF(AND(REGEXMATCH(C87,""(?i)Tim"&amp;"ber""), REGEXMATCH(D87,""(?i)Timber"")),""tp"",
    IF(AND(REGEXMATCH(C87,""(?i)Vent G1275""), REGEXMATCH(D87,""(?i)Comb FIller"")),""CFV1275"",
    IF(REGEXMATCH(C87,""(?i)DPC""),""dpc"",
    IF(REGEXMATCH(C87,""(?i)Concealed Clips""),""ConClips"",
    I"&amp;"F(REGEXMATCH(D87,""(?i)-Takeoff ea""),""Takeoff ea"",
    IF(REGEXMATCH(D87,""(?i)-Takeoff LM""),""Takeoff LM"",
    IF(REGEXMATCH(D87,""(?i)-Takeoff m2""),""Takeoff m2"",
    IF(D87=""R-TU/TD"",""TU/TD"","""")))))))))))))))))
  )))"),"GenFix")</f>
        <v>GenFix</v>
      </c>
      <c r="C87" s="698" t="s">
        <v>102</v>
      </c>
      <c r="D87" s="124" t="s">
        <v>103</v>
      </c>
      <c r="E87" s="752"/>
      <c r="F87" s="1417" t="str">
        <f t="shared" si="56"/>
        <v/>
      </c>
      <c r="G87" s="129"/>
      <c r="H87" s="127"/>
      <c r="I87" s="127"/>
      <c r="J87" s="126" t="s">
        <v>87</v>
      </c>
      <c r="K87" s="126" t="str">
        <f>IFERROR(
  IF(B87="", "", VLOOKUP(B87, Data!$B$2:$K$905, 7, FALSE)),
  ""
)</f>
        <v/>
      </c>
      <c r="L87" s="161"/>
      <c r="M87" s="150">
        <f>ROUNDUP(M84/0.6,0)+1</f>
        <v>1</v>
      </c>
      <c r="N87" s="151">
        <f>IFERROR(__xludf.DUMMYFUNCTION("IF(B87="""", """", IFERROR(1 / COS(RADIANS(REGEXEXTRACT(F87,""(\d+)""))), 1))"),1.0)</f>
        <v>1</v>
      </c>
      <c r="O87" s="169">
        <v>1.0</v>
      </c>
      <c r="P87" s="134">
        <v>2.0</v>
      </c>
      <c r="Q87" s="168">
        <f t="shared" si="52"/>
        <v>2</v>
      </c>
      <c r="R87" s="136" t="str">
        <f>IFERROR(
  IF(B87="", "", VLOOKUP(B87, Data!$B$2:$K$905, 9, FALSE)),
  ""
)</f>
        <v/>
      </c>
      <c r="S87" s="152">
        <f t="shared" si="53"/>
        <v>0</v>
      </c>
      <c r="T87" s="138"/>
      <c r="U87" s="136" t="str">
        <f>IFERROR(
  IF(B87="", "", VLOOKUP(B87, Data!$B$2:$K$905, 10, FALSE)),
  ""
)
</f>
        <v/>
      </c>
      <c r="V87" s="139"/>
      <c r="W87" s="140">
        <f t="shared" si="54"/>
        <v>0</v>
      </c>
      <c r="X87" s="159"/>
      <c r="Y87" s="5"/>
      <c r="Z87" s="5"/>
      <c r="AA87" s="5"/>
      <c r="AB87" s="354">
        <f t="shared" si="55"/>
        <v>0</v>
      </c>
      <c r="AC87" s="33"/>
      <c r="AD87" s="65"/>
      <c r="AE87" s="66"/>
      <c r="AF87" s="144"/>
      <c r="AG87" s="68"/>
      <c r="AH87" s="69"/>
      <c r="AI87" s="39"/>
      <c r="AJ87" s="70"/>
      <c r="AK87" s="70"/>
      <c r="AL87" s="5"/>
      <c r="AM87" s="5"/>
      <c r="AN87" s="5"/>
      <c r="AO87" s="5"/>
      <c r="AP87" s="5"/>
      <c r="AQ87" s="5"/>
      <c r="AR87" s="5"/>
      <c r="AS87" s="5"/>
      <c r="AT87" s="5"/>
      <c r="AU87" s="5"/>
      <c r="AV87" s="5"/>
      <c r="AW87" s="5"/>
      <c r="AX87" s="5"/>
      <c r="AY87" s="5"/>
      <c r="AZ87" s="5"/>
      <c r="BA87" s="5"/>
      <c r="BB87" s="5"/>
      <c r="BC87" s="5"/>
      <c r="BD87" s="5"/>
      <c r="BE87" s="5"/>
      <c r="BF87" s="5"/>
      <c r="BG87" s="5"/>
      <c r="BH87" s="5"/>
      <c r="BI87" s="260"/>
      <c r="BJ87" s="260"/>
      <c r="BK87" s="260"/>
      <c r="BL87" s="260"/>
      <c r="BM87" s="260"/>
      <c r="BN87" s="260"/>
      <c r="BO87" s="260"/>
      <c r="BP87" s="260"/>
      <c r="BQ87" s="260"/>
      <c r="BR87" s="260"/>
      <c r="BS87" s="260"/>
      <c r="BT87" s="260"/>
    </row>
    <row r="88">
      <c r="A88" s="1313"/>
      <c r="B88" s="154"/>
      <c r="C88" s="734"/>
      <c r="D88" s="124"/>
      <c r="E88" s="752"/>
      <c r="F88" s="1417"/>
      <c r="G88" s="129"/>
      <c r="H88" s="127"/>
      <c r="I88" s="127"/>
      <c r="J88" s="126"/>
      <c r="K88" s="126"/>
      <c r="L88" s="161"/>
      <c r="M88" s="150"/>
      <c r="N88" s="151"/>
      <c r="O88" s="169"/>
      <c r="P88" s="134"/>
      <c r="Q88" s="168"/>
      <c r="R88" s="136"/>
      <c r="S88" s="152"/>
      <c r="T88" s="138"/>
      <c r="U88" s="136"/>
      <c r="V88" s="139"/>
      <c r="W88" s="140"/>
      <c r="X88" s="159"/>
      <c r="Y88" s="5"/>
      <c r="Z88" s="5"/>
      <c r="AA88" s="5"/>
      <c r="AB88" s="354"/>
      <c r="AC88" s="33"/>
      <c r="AD88" s="65"/>
      <c r="AE88" s="66"/>
      <c r="AF88" s="144"/>
      <c r="AG88" s="68"/>
      <c r="AH88" s="69"/>
      <c r="AI88" s="39"/>
      <c r="AJ88" s="70"/>
      <c r="AK88" s="70"/>
      <c r="AL88" s="5"/>
      <c r="AM88" s="5"/>
      <c r="AN88" s="5"/>
      <c r="AO88" s="5"/>
      <c r="AP88" s="5"/>
      <c r="AQ88" s="5"/>
      <c r="AR88" s="5"/>
      <c r="AS88" s="5"/>
      <c r="AT88" s="5"/>
      <c r="AU88" s="5"/>
      <c r="AV88" s="5"/>
      <c r="AW88" s="5"/>
      <c r="AX88" s="5"/>
      <c r="AY88" s="5"/>
      <c r="AZ88" s="5"/>
      <c r="BA88" s="5"/>
      <c r="BB88" s="5"/>
      <c r="BC88" s="5"/>
      <c r="BD88" s="5"/>
      <c r="BE88" s="5"/>
      <c r="BF88" s="5"/>
      <c r="BG88" s="5"/>
      <c r="BH88" s="5"/>
      <c r="BI88" s="260"/>
      <c r="BJ88" s="260"/>
      <c r="BK88" s="260"/>
      <c r="BL88" s="260"/>
      <c r="BM88" s="260"/>
      <c r="BN88" s="260"/>
      <c r="BO88" s="260"/>
      <c r="BP88" s="260"/>
      <c r="BQ88" s="260"/>
      <c r="BR88" s="260"/>
      <c r="BS88" s="260"/>
      <c r="BT88" s="260"/>
    </row>
    <row r="89">
      <c r="A89" s="1313"/>
      <c r="B89" s="154" t="str">
        <f>IFERROR(__xludf.DUMMYFUNCTION("IFERROR(
  IF(C89="""","""",
    IF(OR(REGEXMATCH(D89,""(?i)-Flashing""), REGEXMATCH(D89,""(?i)-EavesGut""), REGEXMATCH(D89,""(?i)Valley"")),
        ""DR"" &amp;
        TEXT(
            ROUNDUP(
                MIN(
                    VALUE(MID(C89, FIND("&amp;"""("",C89)+1, FIND(""/"",C89)-FIND(""("",C89)-1)),
                    1200
                ) / 50, 0
            ) * 50, ""0""
        ) &amp;
        MID(C89, FIND(""/"",C89)+1, FIND("")"",C89)-FIND(""/"",C89)-1) &amp;
        TEXT(H89*100,""0"") &amp;
        I89,"&amp;"
    IF(AND(D89=""Roof Sheet"", REGEXMATCH(C89,""(?i)KS\d{4}[A-Z]{2}"")),
       REGEXEXTRACT(C89,""(?i)KS\d{4}[A-Z]{2}""),
    IF(AND(REGEXMATCH(D89,""(?i)-DP""), REGEXMATCH(C89,""(?i)Downpipe"")),
       ""dp"" &amp; REGEXEXTRACT(C89,""(\d+)"") &amp; ""mm"",
  "&amp;"  IF(AND(REGEXMATCH(D89,""(?i)Bracket""), REGEXMATCH(C89,""(?i)Bracket"")),
       ""Brkt"" &amp; REGEXEXTRACT(C89,""(\d+)"") &amp; ""mm"",
    IF(AND(REGEXMATCH(D89,""(?i)-OP""), REGEXMATCH(C89,""(?i)pops"")),
       ""op"" &amp; REGEXEXTRACT(C89,""(\d+)"") &amp; ""mm"""&amp;",
    IF(OR(D89=""R-FFTop"", D89=""R-FFBottom"", D89=""R-FFSide""),
        IF(REGEXMATCH(C89,""(?i)Profiled.*Top|Top.*Profiled""),""pfft"",
        IF(REGEXMATCH(C89,""(?i)Profiled.*Bottom|Bottom.*Profiled""),""pffb"",
        IF(REGEXMATCH(C89,""(?i)Squ"&amp;"are""),""sff"",""""))),
    IF(REGEXMATCH(D89,""(?i)-Rivets""),""Rvt"",
    IF(REGEXMATCH(D89,""(?i)Silicone""),""300ml"",
    IF(REGEXMATCH(D89,""(?i)R-Butyl""),""300ml"",
    IF(REGEXMATCH(D89,""(?i)Fix""),""GenFix"",
    IF(AND(REGEXMATCH(C89,""(?i)Tim"&amp;"ber""), REGEXMATCH(D89,""(?i)Timber"")),""tp"",
    IF(AND(REGEXMATCH(C89,""(?i)Vent G1275""), REGEXMATCH(D89,""(?i)Comb FIller"")),""CFV1275"",
    IF(REGEXMATCH(C89,""(?i)DPC""),""dpc"",
    IF(REGEXMATCH(C89,""(?i)Concealed Clips""),""ConClips"",
    I"&amp;"F(REGEXMATCH(D89,""(?i)-Takeoff ea""),""Takeoff ea"",
    IF(REGEXMATCH(D89,""(?i)-Takeoff LM""),""Takeoff LM"",
    IF(REGEXMATCH(D89,""(?i)-Takeoff m2""),""Takeoff m2"",
    IF(D89=""R-TU/TD"",""TU/TD"","""")))))))))))))))))
  )))"),"tp")</f>
        <v>tp</v>
      </c>
      <c r="C89" s="223" t="s">
        <v>1209</v>
      </c>
      <c r="D89" s="148" t="s">
        <v>404</v>
      </c>
      <c r="E89" s="752"/>
      <c r="F89" s="1417" t="str">
        <f>F87</f>
        <v/>
      </c>
      <c r="G89" s="129"/>
      <c r="H89" s="127"/>
      <c r="I89" s="127"/>
      <c r="J89" s="126" t="s">
        <v>14</v>
      </c>
      <c r="K89" s="126" t="str">
        <f>IFERROR(
  IF(B89="", "", VLOOKUP(B89, Data!$B$2:$K$905, 7, FALSE)),
  ""
)</f>
        <v/>
      </c>
      <c r="L89" s="161"/>
      <c r="M89" s="150" t="str">
        <f>M84</f>
        <v/>
      </c>
      <c r="N89" s="151">
        <f>IFERROR(__xludf.DUMMYFUNCTION("IF(B89="""", """", IFERROR(1 / COS(RADIANS(REGEXEXTRACT(F89,""(\d+)""))), 1))"),1.0)</f>
        <v>1</v>
      </c>
      <c r="O89" s="169">
        <v>1.0</v>
      </c>
      <c r="P89" s="156">
        <v>1.0</v>
      </c>
      <c r="Q89" s="168">
        <f t="shared" ref="Q89:Q90" si="57">M89*N89*O89*P89</f>
        <v>0</v>
      </c>
      <c r="R89" s="136" t="str">
        <f>IFERROR(
  IF(B89="", "", VLOOKUP(B89, Data!$B$2:$K$905, 9, FALSE)),
  ""
)</f>
        <v/>
      </c>
      <c r="S89" s="152">
        <f t="shared" ref="S89:S90" si="58">R89*Q89</f>
        <v>0</v>
      </c>
      <c r="T89" s="138"/>
      <c r="U89" s="136" t="str">
        <f>IFERROR(
  IF(B89="", "", VLOOKUP(B89, Data!$B$2:$K$905, 10, FALSE)),
  ""
)
</f>
        <v/>
      </c>
      <c r="V89" s="139"/>
      <c r="W89" s="140">
        <f t="shared" ref="W89:W90" si="59">U89*Q89</f>
        <v>0</v>
      </c>
      <c r="X89" s="159"/>
      <c r="Y89" s="5"/>
      <c r="Z89" s="5"/>
      <c r="AA89" s="5"/>
      <c r="AB89" s="354">
        <f t="shared" ref="AB89:AB90" si="60">W89+S89</f>
        <v>0</v>
      </c>
      <c r="AC89" s="33"/>
      <c r="AD89" s="65"/>
      <c r="AE89" s="66"/>
      <c r="AF89" s="144"/>
      <c r="AG89" s="68"/>
      <c r="AH89" s="69"/>
      <c r="AI89" s="39"/>
      <c r="AJ89" s="70"/>
      <c r="AK89" s="70"/>
      <c r="AL89" s="5"/>
      <c r="AM89" s="5"/>
      <c r="AN89" s="5"/>
      <c r="AO89" s="5"/>
      <c r="AP89" s="5"/>
      <c r="AQ89" s="5"/>
      <c r="AR89" s="5"/>
      <c r="AS89" s="5"/>
      <c r="AT89" s="5"/>
      <c r="AU89" s="5"/>
      <c r="AV89" s="5"/>
      <c r="AW89" s="5"/>
      <c r="AX89" s="5"/>
      <c r="AY89" s="5"/>
      <c r="AZ89" s="5"/>
      <c r="BA89" s="5"/>
      <c r="BB89" s="5"/>
      <c r="BC89" s="5"/>
      <c r="BD89" s="5"/>
      <c r="BE89" s="5"/>
      <c r="BF89" s="5"/>
      <c r="BG89" s="5"/>
      <c r="BH89" s="5"/>
      <c r="BI89" s="260"/>
      <c r="BJ89" s="260"/>
      <c r="BK89" s="260"/>
      <c r="BL89" s="260"/>
      <c r="BM89" s="260"/>
      <c r="BN89" s="260"/>
      <c r="BO89" s="260"/>
      <c r="BP89" s="260"/>
      <c r="BQ89" s="260"/>
      <c r="BR89" s="260"/>
      <c r="BS89" s="260"/>
      <c r="BT89" s="260"/>
    </row>
    <row r="90">
      <c r="A90" s="1313"/>
      <c r="B90" s="154" t="str">
        <f>IFERROR(__xludf.DUMMYFUNCTION("IFERROR(
  IF(C90="""","""",
    IF(OR(REGEXMATCH(D90,""(?i)-Flashing""), REGEXMATCH(D90,""(?i)-EavesGut""), REGEXMATCH(D90,""(?i)Valley"")),
        ""DR"" &amp;
        TEXT(
            ROUNDUP(
                MIN(
                    VALUE(MID(C90, FIND("&amp;"""("",C90)+1, FIND(""/"",C90)-FIND(""("",C90)-1)),
                    1200
                ) / 50, 0
            ) * 50, ""0""
        ) &amp;
        MID(C90, FIND(""/"",C90)+1, FIND("")"",C90)-FIND(""/"",C90)-1) &amp;
        TEXT(H90*100,""0"") &amp;
        I90,"&amp;"
    IF(AND(D90=""Roof Sheet"", REGEXMATCH(C90,""(?i)KS\d{4}[A-Z]{2}"")),
       REGEXEXTRACT(C90,""(?i)KS\d{4}[A-Z]{2}""),
    IF(AND(REGEXMATCH(D90,""(?i)-DP""), REGEXMATCH(C90,""(?i)Downpipe"")),
       ""dp"" &amp; REGEXEXTRACT(C90,""(\d+)"") &amp; ""mm"",
  "&amp;"  IF(AND(REGEXMATCH(D90,""(?i)Bracket""), REGEXMATCH(C90,""(?i)Bracket"")),
       ""Brkt"" &amp; REGEXEXTRACT(C90,""(\d+)"") &amp; ""mm"",
    IF(AND(REGEXMATCH(D90,""(?i)-OP""), REGEXMATCH(C90,""(?i)pops"")),
       ""op"" &amp; REGEXEXTRACT(C90,""(\d+)"") &amp; ""mm"""&amp;",
    IF(OR(D90=""R-FFTop"", D90=""R-FFBottom"", D90=""R-FFSide""),
        IF(REGEXMATCH(C90,""(?i)Profiled.*Top|Top.*Profiled""),""pfft"",
        IF(REGEXMATCH(C90,""(?i)Profiled.*Bottom|Bottom.*Profiled""),""pffb"",
        IF(REGEXMATCH(C90,""(?i)Squ"&amp;"are""),""sff"",""""))),
    IF(REGEXMATCH(D90,""(?i)-Rivets""),""Rvt"",
    IF(REGEXMATCH(D90,""(?i)Silicone""),""300ml"",
    IF(REGEXMATCH(D90,""(?i)R-Butyl""),""300ml"",
    IF(REGEXMATCH(D90,""(?i)Fix""),""GenFix"",
    IF(AND(REGEXMATCH(C90,""(?i)Tim"&amp;"ber""), REGEXMATCH(D90,""(?i)Timber"")),""tp"",
    IF(AND(REGEXMATCH(C90,""(?i)Vent G1275""), REGEXMATCH(D90,""(?i)Comb FIller"")),""CFV1275"",
    IF(REGEXMATCH(C90,""(?i)DPC""),""dpc"",
    IF(REGEXMATCH(C90,""(?i)Concealed Clips""),""ConClips"",
    I"&amp;"F(REGEXMATCH(D90,""(?i)-Takeoff ea""),""Takeoff ea"",
    IF(REGEXMATCH(D90,""(?i)-Takeoff LM""),""Takeoff LM"",
    IF(REGEXMATCH(D90,""(?i)-Takeoff m2""),""Takeoff m2"",
    IF(D90=""R-TU/TD"",""TU/TD"","""")))))))))))))))))
  )))"),"GenFix")</f>
        <v>GenFix</v>
      </c>
      <c r="C90" s="698" t="s">
        <v>102</v>
      </c>
      <c r="D90" s="148" t="s">
        <v>406</v>
      </c>
      <c r="E90" s="752"/>
      <c r="F90" s="1417" t="str">
        <f>F89</f>
        <v/>
      </c>
      <c r="G90" s="129"/>
      <c r="H90" s="127"/>
      <c r="I90" s="127"/>
      <c r="J90" s="126" t="s">
        <v>87</v>
      </c>
      <c r="K90" s="126" t="str">
        <f>IFERROR(
  IF(B90="", "", VLOOKUP(B90, Data!$B$2:$K$905, 7, FALSE)),
  ""
)</f>
        <v/>
      </c>
      <c r="L90" s="161"/>
      <c r="M90" s="150">
        <f>ROUNDUP(M89/0.6,0)+1</f>
        <v>1</v>
      </c>
      <c r="N90" s="151">
        <f>IFERROR(__xludf.DUMMYFUNCTION("IF(B90="""", """", IFERROR(1 / COS(RADIANS(REGEXEXTRACT(F90,""(\d+)""))), 1))"),1.0)</f>
        <v>1</v>
      </c>
      <c r="O90" s="169">
        <v>1.0</v>
      </c>
      <c r="P90" s="156">
        <v>1.0</v>
      </c>
      <c r="Q90" s="168">
        <f t="shared" si="57"/>
        <v>1</v>
      </c>
      <c r="R90" s="136" t="str">
        <f>IFERROR(
  IF(B90="", "", VLOOKUP(B90, Data!$B$2:$K$905, 9, FALSE)),
  ""
)</f>
        <v/>
      </c>
      <c r="S90" s="152">
        <f t="shared" si="58"/>
        <v>0</v>
      </c>
      <c r="T90" s="138"/>
      <c r="U90" s="136" t="str">
        <f>IFERROR(
  IF(B90="", "", VLOOKUP(B90, Data!$B$2:$K$905, 10, FALSE)),
  ""
)
</f>
        <v/>
      </c>
      <c r="V90" s="139"/>
      <c r="W90" s="140">
        <f t="shared" si="59"/>
        <v>0</v>
      </c>
      <c r="X90" s="159"/>
      <c r="Y90" s="5"/>
      <c r="Z90" s="5"/>
      <c r="AA90" s="5"/>
      <c r="AB90" s="354">
        <f t="shared" si="60"/>
        <v>0</v>
      </c>
      <c r="AC90" s="33"/>
      <c r="AD90" s="65"/>
      <c r="AE90" s="66"/>
      <c r="AF90" s="144"/>
      <c r="AG90" s="68"/>
      <c r="AH90" s="69"/>
      <c r="AI90" s="39"/>
      <c r="AJ90" s="70"/>
      <c r="AK90" s="70"/>
      <c r="AL90" s="5"/>
      <c r="AM90" s="5"/>
      <c r="AN90" s="5"/>
      <c r="AO90" s="5"/>
      <c r="AP90" s="5"/>
      <c r="AQ90" s="5"/>
      <c r="AR90" s="5"/>
      <c r="AS90" s="5"/>
      <c r="AT90" s="5"/>
      <c r="AU90" s="5"/>
      <c r="AV90" s="5"/>
      <c r="AW90" s="5"/>
      <c r="AX90" s="5"/>
      <c r="AY90" s="5"/>
      <c r="AZ90" s="5"/>
      <c r="BA90" s="5"/>
      <c r="BB90" s="5"/>
      <c r="BC90" s="5"/>
      <c r="BD90" s="5"/>
      <c r="BE90" s="5"/>
      <c r="BF90" s="5"/>
      <c r="BG90" s="5"/>
      <c r="BH90" s="5"/>
      <c r="BI90" s="260"/>
      <c r="BJ90" s="260"/>
      <c r="BK90" s="260"/>
      <c r="BL90" s="260"/>
      <c r="BM90" s="260"/>
      <c r="BN90" s="260"/>
      <c r="BO90" s="260"/>
      <c r="BP90" s="260"/>
      <c r="BQ90" s="260"/>
      <c r="BR90" s="260"/>
      <c r="BS90" s="260"/>
      <c r="BT90" s="260"/>
    </row>
    <row r="91">
      <c r="A91" s="1313"/>
      <c r="B91" s="122"/>
      <c r="C91" s="123"/>
      <c r="D91" s="148"/>
      <c r="E91" s="752"/>
      <c r="F91" s="1417"/>
      <c r="G91" s="129"/>
      <c r="H91" s="127"/>
      <c r="I91" s="127"/>
      <c r="J91" s="126"/>
      <c r="K91" s="126"/>
      <c r="L91" s="163"/>
      <c r="M91" s="150"/>
      <c r="N91" s="151"/>
      <c r="O91" s="169"/>
      <c r="P91" s="134"/>
      <c r="Q91" s="168"/>
      <c r="R91" s="136"/>
      <c r="S91" s="152"/>
      <c r="T91" s="138"/>
      <c r="U91" s="108"/>
      <c r="V91" s="139"/>
      <c r="W91" s="140"/>
      <c r="X91" s="159"/>
      <c r="Y91" s="5"/>
      <c r="Z91" s="5"/>
      <c r="AA91" s="5"/>
      <c r="AB91" s="354"/>
      <c r="AC91" s="33"/>
      <c r="AD91" s="65"/>
      <c r="AE91" s="66"/>
      <c r="AF91" s="144"/>
      <c r="AG91" s="68"/>
      <c r="AH91" s="69"/>
      <c r="AI91" s="39"/>
      <c r="AJ91" s="70"/>
      <c r="AK91" s="70"/>
      <c r="AL91" s="5"/>
      <c r="AM91" s="5"/>
      <c r="AN91" s="5"/>
      <c r="AO91" s="5"/>
      <c r="AP91" s="5"/>
      <c r="AQ91" s="5"/>
      <c r="AR91" s="5"/>
      <c r="AS91" s="5"/>
      <c r="AT91" s="5"/>
      <c r="AU91" s="5"/>
      <c r="AV91" s="5"/>
      <c r="AW91" s="5"/>
      <c r="AX91" s="5"/>
      <c r="AY91" s="5"/>
      <c r="AZ91" s="5"/>
      <c r="BA91" s="5"/>
      <c r="BB91" s="5"/>
      <c r="BC91" s="5"/>
      <c r="BD91" s="5"/>
      <c r="BE91" s="5"/>
      <c r="BF91" s="5"/>
      <c r="BG91" s="5"/>
      <c r="BH91" s="5"/>
      <c r="BI91" s="260"/>
      <c r="BJ91" s="260"/>
      <c r="BK91" s="260"/>
      <c r="BL91" s="260"/>
      <c r="BM91" s="260"/>
      <c r="BN91" s="260"/>
      <c r="BO91" s="260"/>
      <c r="BP91" s="260"/>
      <c r="BQ91" s="260"/>
      <c r="BR91" s="260"/>
      <c r="BS91" s="260"/>
      <c r="BT91" s="260"/>
    </row>
    <row r="92">
      <c r="A92" s="1313"/>
      <c r="B92" s="122" t="s">
        <v>1210</v>
      </c>
      <c r="C92" s="123" t="s">
        <v>1211</v>
      </c>
      <c r="D92" s="148" t="s">
        <v>332</v>
      </c>
      <c r="E92" s="752"/>
      <c r="F92" s="1417"/>
      <c r="G92" s="129"/>
      <c r="H92" s="127"/>
      <c r="I92" s="127"/>
      <c r="J92" s="126" t="s">
        <v>87</v>
      </c>
      <c r="K92" s="126" t="str">
        <f>IFERROR(
  IF(B92="", "", VLOOKUP(B92, Data!$B$2:$K$905, 7, FALSE)),
  ""
)</f>
        <v/>
      </c>
      <c r="L92" s="163"/>
      <c r="M92" s="150" t="str">
        <f>M84</f>
        <v/>
      </c>
      <c r="N92" s="151">
        <f>IFERROR(__xludf.DUMMYFUNCTION("IF(B92="""", """", IFERROR(1 / COS(RADIANS(REGEXEXTRACT(F92,""(\d+)""))), 1))"),1.0)</f>
        <v>1</v>
      </c>
      <c r="O92" s="169">
        <v>1.0</v>
      </c>
      <c r="P92" s="156">
        <v>1.0</v>
      </c>
      <c r="Q92" s="168">
        <f>M92*N92*O92*P92</f>
        <v>0</v>
      </c>
      <c r="R92" s="136" t="str">
        <f>IFERROR(
  IF(B92="", "", VLOOKUP(B92, Data!$B$2:$K$905, 9, FALSE)),
  ""
)</f>
        <v/>
      </c>
      <c r="S92" s="152">
        <f>R92*Q92</f>
        <v>0</v>
      </c>
      <c r="T92" s="138"/>
      <c r="U92" s="108" t="str">
        <f>IFERROR(
  IF(B92="", "", VLOOKUP(B92, Data!$B$2:$K$905, 10, FALSE)),
  ""
)
</f>
        <v/>
      </c>
      <c r="V92" s="139"/>
      <c r="W92" s="140">
        <f>U92*Q92</f>
        <v>0</v>
      </c>
      <c r="X92" s="159"/>
      <c r="Y92" s="5"/>
      <c r="Z92" s="5"/>
      <c r="AA92" s="5"/>
      <c r="AB92" s="354">
        <f t="shared" ref="AB92:AB93" si="61">W92+S92</f>
        <v>0</v>
      </c>
      <c r="AC92" s="33"/>
      <c r="AD92" s="65"/>
      <c r="AE92" s="66"/>
      <c r="AF92" s="144"/>
      <c r="AG92" s="68"/>
      <c r="AH92" s="69"/>
      <c r="AI92" s="39"/>
      <c r="AJ92" s="70"/>
      <c r="AK92" s="70"/>
      <c r="AL92" s="5"/>
      <c r="AM92" s="5"/>
      <c r="AN92" s="5"/>
      <c r="AO92" s="5"/>
      <c r="AP92" s="5"/>
      <c r="AQ92" s="5"/>
      <c r="AR92" s="5"/>
      <c r="AS92" s="5"/>
      <c r="AT92" s="5"/>
      <c r="AU92" s="5"/>
      <c r="AV92" s="5"/>
      <c r="AW92" s="5"/>
      <c r="AX92" s="5"/>
      <c r="AY92" s="5"/>
      <c r="AZ92" s="5"/>
      <c r="BA92" s="5"/>
      <c r="BB92" s="5"/>
      <c r="BC92" s="5"/>
      <c r="BD92" s="5"/>
      <c r="BE92" s="5"/>
      <c r="BF92" s="5"/>
      <c r="BG92" s="5"/>
      <c r="BH92" s="5"/>
      <c r="BI92" s="260"/>
      <c r="BJ92" s="260"/>
      <c r="BK92" s="260"/>
      <c r="BL92" s="260"/>
      <c r="BM92" s="260"/>
      <c r="BN92" s="260"/>
      <c r="BO92" s="260"/>
      <c r="BP92" s="260"/>
      <c r="BQ92" s="260"/>
      <c r="BR92" s="260"/>
      <c r="BS92" s="260"/>
      <c r="BT92" s="260"/>
    </row>
    <row r="93">
      <c r="A93" s="1313"/>
      <c r="B93" s="160"/>
      <c r="C93" s="757"/>
      <c r="D93" s="129"/>
      <c r="E93" s="752"/>
      <c r="F93" s="1417"/>
      <c r="G93" s="129"/>
      <c r="H93" s="127"/>
      <c r="I93" s="127"/>
      <c r="J93" s="129"/>
      <c r="K93" s="129"/>
      <c r="L93" s="161"/>
      <c r="M93" s="163"/>
      <c r="N93" s="162"/>
      <c r="O93" s="161"/>
      <c r="P93" s="127"/>
      <c r="Q93" s="161"/>
      <c r="R93" s="108" t="str">
        <f>IFERROR(
  IF(B93="", "", VLOOKUP(B93, Data!$B$2:$K$905, 9, FALSE)),
  ""
)</f>
        <v/>
      </c>
      <c r="S93" s="139"/>
      <c r="T93" s="138"/>
      <c r="U93" s="108" t="str">
        <f>IFERROR(
  IF(B93="", "", VLOOKUP(B93, Data!$B$2:$K$905, 10, FALSE)),
  ""
)
</f>
        <v/>
      </c>
      <c r="V93" s="139"/>
      <c r="W93" s="164"/>
      <c r="X93" s="159"/>
      <c r="Y93" s="5"/>
      <c r="Z93" s="5"/>
      <c r="AA93" s="5"/>
      <c r="AB93" s="354">
        <f t="shared" si="61"/>
        <v>0</v>
      </c>
      <c r="AC93" s="33"/>
      <c r="AD93" s="65"/>
      <c r="AE93" s="66"/>
      <c r="AF93" s="144"/>
      <c r="AG93" s="68"/>
      <c r="AH93" s="69"/>
      <c r="AI93" s="39"/>
      <c r="AJ93" s="70"/>
      <c r="AK93" s="70"/>
      <c r="AL93" s="5"/>
      <c r="AM93" s="5"/>
      <c r="AN93" s="5"/>
      <c r="AO93" s="5"/>
      <c r="AP93" s="5"/>
      <c r="AQ93" s="5"/>
      <c r="AR93" s="5"/>
      <c r="AS93" s="5"/>
      <c r="AT93" s="5"/>
      <c r="AU93" s="5"/>
      <c r="AV93" s="5"/>
      <c r="AW93" s="5"/>
      <c r="AX93" s="5"/>
      <c r="AY93" s="5"/>
      <c r="AZ93" s="5"/>
      <c r="BA93" s="5"/>
      <c r="BB93" s="5"/>
      <c r="BC93" s="5"/>
      <c r="BD93" s="5"/>
      <c r="BE93" s="5"/>
      <c r="BF93" s="5"/>
      <c r="BG93" s="5"/>
      <c r="BH93" s="5"/>
      <c r="BI93" s="260"/>
      <c r="BJ93" s="260"/>
      <c r="BK93" s="260"/>
      <c r="BL93" s="260"/>
      <c r="BM93" s="260"/>
      <c r="BN93" s="260"/>
      <c r="BO93" s="260"/>
      <c r="BP93" s="260"/>
      <c r="BQ93" s="260"/>
      <c r="BR93" s="260"/>
      <c r="BS93" s="260"/>
      <c r="BT93" s="260"/>
    </row>
    <row r="94">
      <c r="A94" s="1313">
        <v>1.0</v>
      </c>
      <c r="B94" s="102"/>
      <c r="C94" s="103" t="s">
        <v>1212</v>
      </c>
      <c r="D94" s="104"/>
      <c r="E94" s="749"/>
      <c r="F94" s="1405"/>
      <c r="G94" s="104"/>
      <c r="H94" s="104"/>
      <c r="I94" s="104"/>
      <c r="J94" s="104"/>
      <c r="K94" s="104" t="s">
        <v>42</v>
      </c>
      <c r="L94" s="106">
        <f>Q94</f>
        <v>0</v>
      </c>
      <c r="M94" s="105" t="s">
        <v>42</v>
      </c>
      <c r="N94" s="107"/>
      <c r="O94" s="105"/>
      <c r="P94" s="104"/>
      <c r="Q94" s="106">
        <f>Q95</f>
        <v>0</v>
      </c>
      <c r="R94" s="108" t="str">
        <f>IFERROR(
  IF(B94="", "", VLOOKUP(B94, Data!$B$2:$K$905, 9, FALSE)),
  ""
)</f>
        <v/>
      </c>
      <c r="S94" s="682">
        <f>IFERROR(T94/Q94, 0)</f>
        <v>0</v>
      </c>
      <c r="T94" s="109">
        <f>SUM(S95:S99)</f>
        <v>0</v>
      </c>
      <c r="U94" s="108" t="str">
        <f>IFERROR(
  IF(B94="", "", VLOOKUP(B94, Data!$B$2:$K$905, 10, FALSE)),
  ""
)
</f>
        <v/>
      </c>
      <c r="V94" s="109" t="str">
        <f>W94/Q94</f>
        <v>#DIV/0!</v>
      </c>
      <c r="W94" s="110">
        <f>SUM(W95:W99)</f>
        <v>0</v>
      </c>
      <c r="X94" s="111" t="str">
        <f>W94/$AC$235/$W$242/$X$232</f>
        <v>#REF!</v>
      </c>
      <c r="Y94" s="112" t="b">
        <f>(T94+W94)=(SUM(AB95:AB99))</f>
        <v>1</v>
      </c>
      <c r="Z94" s="222">
        <f>(T94+W94)-(SUM(AB95:AB99))</f>
        <v>0</v>
      </c>
      <c r="AA94" s="5"/>
      <c r="AB94" s="5"/>
      <c r="AC94" s="33"/>
      <c r="AD94" s="114">
        <f>W94+T94</f>
        <v>0</v>
      </c>
      <c r="AE94" s="115">
        <f>AD94</f>
        <v>0</v>
      </c>
      <c r="AF94" s="116" t="str">
        <f>AE94/#REF!</f>
        <v>#REF!</v>
      </c>
      <c r="AG94" s="683" t="str">
        <f>AF94*$AG$208</f>
        <v>#REF!</v>
      </c>
      <c r="AH94" s="118" t="str">
        <f>AF94*$AG$211</f>
        <v>#REF!</v>
      </c>
      <c r="AI94" s="39"/>
      <c r="AJ94" s="119" t="str">
        <f>ROUND(AK94/L94,2)</f>
        <v>#REF!</v>
      </c>
      <c r="AK94" s="119" t="str">
        <f>ROUND(AH94+AG94+AD94,2)</f>
        <v>#REF!</v>
      </c>
      <c r="AL94" s="5"/>
      <c r="AM94" s="5"/>
      <c r="AN94" s="5"/>
      <c r="AO94" s="5"/>
      <c r="AP94" s="5"/>
      <c r="AQ94" s="5"/>
      <c r="AR94" s="5"/>
      <c r="AS94" s="5"/>
      <c r="AT94" s="5"/>
      <c r="AU94" s="5"/>
      <c r="AV94" s="5"/>
      <c r="AW94" s="5"/>
      <c r="AX94" s="5"/>
      <c r="AY94" s="5"/>
      <c r="AZ94" s="5"/>
      <c r="BA94" s="5"/>
      <c r="BB94" s="5"/>
      <c r="BC94" s="5"/>
      <c r="BD94" s="5"/>
      <c r="BE94" s="5"/>
      <c r="BF94" s="5"/>
      <c r="BG94" s="5"/>
      <c r="BH94" s="5"/>
      <c r="BI94" s="260"/>
      <c r="BJ94" s="260"/>
      <c r="BK94" s="260"/>
      <c r="BL94" s="260"/>
      <c r="BM94" s="260"/>
      <c r="BN94" s="260"/>
      <c r="BO94" s="260"/>
      <c r="BP94" s="260"/>
      <c r="BQ94" s="260"/>
      <c r="BR94" s="260"/>
      <c r="BS94" s="260"/>
      <c r="BT94" s="260"/>
    </row>
    <row r="95">
      <c r="A95" s="1313"/>
      <c r="B95" s="154" t="str">
        <f>IFERROR(__xludf.DUMMYFUNCTION("IFERROR(
  IF(C95="""","""",
    IF(OR(REGEXMATCH(D95,""(?i)-Flashing""), REGEXMATCH(D95,""(?i)-EavesGut""), REGEXMATCH(D95,""(?i)Valley"")),
        ""DR"" &amp;
        TEXT(
            ROUNDUP(
                MIN(
                    VALUE(MID(C95, FIND("&amp;"""("",C95)+1, FIND(""/"",C95)-FIND(""("",C95)-1)),
                    1200
                ) / 50, 0
            ) * 50, ""0""
        ) &amp;
        MID(C95, FIND(""/"",C95)+1, FIND("")"",C95)-FIND(""/"",C95)-1) &amp;
        TEXT(H95*100,""0"") &amp;
        I95,"&amp;"
    IF(AND(D95=""Roof Sheet"", REGEXMATCH(C95,""(?i)KS\d{4}[A-Z]{2}"")),
       REGEXEXTRACT(C95,""(?i)KS\d{4}[A-Z]{2}""),
    IF(AND(REGEXMATCH(D95,""(?i)-DP""), REGEXMATCH(C95,""(?i)Downpipe"")),
       ""dp"" &amp; REGEXEXTRACT(C95,""(\d+)"") &amp; ""mm"",
  "&amp;"  IF(AND(REGEXMATCH(D95,""(?i)Bracket""), REGEXMATCH(C95,""(?i)Bracket"")),
       ""Brkt"" &amp; REGEXEXTRACT(C95,""(\d+)"") &amp; ""mm"",
    IF(AND(REGEXMATCH(D95,""(?i)-OP""), REGEXMATCH(C95,""(?i)pops"")),
       ""op"" &amp; REGEXEXTRACT(C95,""(\d+)"") &amp; ""mm"""&amp;",
    IF(OR(D95=""R-FFTop"", D95=""R-FFBottom"", D95=""R-FFSide""),
        IF(REGEXMATCH(C95,""(?i)Profiled.*Top|Top.*Profiled""),""pfft"",
        IF(REGEXMATCH(C95,""(?i)Profiled.*Bottom|Bottom.*Profiled""),""pffb"",
        IF(REGEXMATCH(C95,""(?i)Squ"&amp;"are""),""sff"",""""))),
    IF(REGEXMATCH(D95,""(?i)-Rivets""),""Rvt"",
    IF(REGEXMATCH(D95,""(?i)Silicone""),""300ml"",
    IF(REGEXMATCH(D95,""(?i)R-Butyl""),""300ml"",
    IF(REGEXMATCH(D95,""(?i)Fix""),""GenFix"",
    IF(AND(REGEXMATCH(C95,""(?i)Tim"&amp;"ber""), REGEXMATCH(D95,""(?i)Timber"")),""tp"",
    IF(AND(REGEXMATCH(C95,""(?i)Vent G1275""), REGEXMATCH(D95,""(?i)Comb FIller"")),""CFV1275"",
    IF(REGEXMATCH(C95,""(?i)DPC""),""dpc"",
    IF(REGEXMATCH(C95,""(?i)Concealed Clips""),""ConClips"",
    I"&amp;"F(REGEXMATCH(D95,""(?i)-Takeoff ea""),""Takeoff ea"",
    IF(REGEXMATCH(D95,""(?i)-Takeoff LM""),""Takeoff LM"",
    IF(REGEXMATCH(D95,""(?i)-Takeoff m2""),""Takeoff m2"",
    IF(D95=""R-TU/TD"",""TU/TD"","""")))))))))))))))))
  )))"),"DR4503B55Mag")</f>
        <v>DR4503B55Mag</v>
      </c>
      <c r="C95" s="123" t="s">
        <v>1213</v>
      </c>
      <c r="D95" s="124" t="s">
        <v>96</v>
      </c>
      <c r="E95" s="687">
        <f>VALUE(MID(C95, FIND("(", C95)+1, FIND("/", C95)-FIND("(", C95)-1)) / 1000</f>
        <v>0.45</v>
      </c>
      <c r="F95" s="1407" t="str">
        <f>IFERROR(__xludf.DUMMYFUNCTION("IFERROR(REGEXEXTRACT(C95,""@\s*(\d+(?:\.\d+)?)\s*deg"")&amp;""°"","""")"),"")</f>
        <v/>
      </c>
      <c r="G95" s="127"/>
      <c r="H95" s="128" t="str">
        <f>IFERROR(__xludf.DUMMYFUNCTION("IFERROR(REGEXEXTRACT(C95, ""(\d*\.\d+)mm""), """")"),"0.55")</f>
        <v>0.55</v>
      </c>
      <c r="I95" s="128" t="s">
        <v>97</v>
      </c>
      <c r="J95" s="126" t="s">
        <v>14</v>
      </c>
      <c r="K95" s="126" t="str">
        <f>IFERROR(
  IF(B95="", "", VLOOKUP(B95, Data!$B$2:$K$905, 7, FALSE)),
  ""
)</f>
        <v/>
      </c>
      <c r="L95" s="163"/>
      <c r="M95" s="730"/>
      <c r="N95" s="151">
        <f>IFERROR(__xludf.DUMMYFUNCTION("IF(B95="""", """", IFERROR(1 / COS(RADIANS(REGEXEXTRACT(F95,""(\d+)""))), 1))"),1.0)</f>
        <v>1</v>
      </c>
      <c r="O95" s="169">
        <v>1.0</v>
      </c>
      <c r="P95" s="134">
        <v>1.0</v>
      </c>
      <c r="Q95" s="168">
        <f t="shared" ref="Q95:Q98" si="63">M95*N95*O95*P95</f>
        <v>0</v>
      </c>
      <c r="R95" s="136" t="str">
        <f>IFERROR(
  IF(B95="", "", VLOOKUP(B95, Data!$B$2:$K$905, 9, FALSE)),
  ""
)</f>
        <v/>
      </c>
      <c r="S95" s="152">
        <f t="shared" ref="S95:S98" si="64">R95*Q95</f>
        <v>0</v>
      </c>
      <c r="T95" s="138"/>
      <c r="U95" s="136" t="str">
        <f>IFERROR(
  IF(B95="", "", VLOOKUP(B95, Data!$B$2:$K$905, 10, FALSE)),
  ""
)
</f>
        <v/>
      </c>
      <c r="V95" s="139"/>
      <c r="W95" s="140">
        <f t="shared" ref="W95:W98" si="65">U95*Q95</f>
        <v>0</v>
      </c>
      <c r="X95" s="159"/>
      <c r="Y95" s="165"/>
      <c r="Z95" s="1090"/>
      <c r="AA95" s="5"/>
      <c r="AB95" s="354">
        <f t="shared" ref="AB95:AB99" si="66">W95+S95</f>
        <v>0</v>
      </c>
      <c r="AC95" s="33"/>
      <c r="AD95" s="65"/>
      <c r="AE95" s="66"/>
      <c r="AF95" s="144"/>
      <c r="AG95" s="68"/>
      <c r="AH95" s="69"/>
      <c r="AI95" s="39"/>
      <c r="AJ95" s="70"/>
      <c r="AK95" s="70"/>
      <c r="AL95" s="5"/>
      <c r="AM95" s="5"/>
      <c r="AN95" s="5"/>
      <c r="AO95" s="5"/>
      <c r="AP95" s="5"/>
      <c r="AQ95" s="5"/>
      <c r="AR95" s="5"/>
      <c r="AS95" s="5"/>
      <c r="AT95" s="5"/>
      <c r="AU95" s="5"/>
      <c r="AV95" s="5"/>
      <c r="AW95" s="5"/>
      <c r="AX95" s="5"/>
      <c r="AY95" s="5"/>
      <c r="AZ95" s="5"/>
      <c r="BA95" s="5"/>
      <c r="BB95" s="5"/>
      <c r="BC95" s="5"/>
      <c r="BD95" s="5"/>
      <c r="BE95" s="5"/>
      <c r="BF95" s="5"/>
      <c r="BG95" s="5"/>
      <c r="BH95" s="5"/>
      <c r="BI95" s="260"/>
      <c r="BJ95" s="260"/>
      <c r="BK95" s="260"/>
      <c r="BL95" s="260"/>
      <c r="BM95" s="260"/>
      <c r="BN95" s="260"/>
      <c r="BO95" s="260"/>
      <c r="BP95" s="260"/>
      <c r="BQ95" s="260"/>
      <c r="BR95" s="260"/>
      <c r="BS95" s="260"/>
      <c r="BT95" s="260"/>
    </row>
    <row r="96">
      <c r="A96" s="1313"/>
      <c r="B96" s="154" t="str">
        <f>IFERROR(__xludf.DUMMYFUNCTION("IFERROR(
  IF(C96="""","""",
    IF(OR(REGEXMATCH(D96,""(?i)-Flashing""), REGEXMATCH(D96,""(?i)-EavesGut""), REGEXMATCH(D96,""(?i)Valley"")),
        ""DR"" &amp;
        TEXT(
            ROUNDUP(
                MIN(
                    VALUE(MID(C96, FIND("&amp;"""("",C96)+1, FIND(""/"",C96)-FIND(""("",C96)-1)),
                    1200
                ) / 50, 0
            ) * 50, ""0""
        ) &amp;
        MID(C96, FIND(""/"",C96)+1, FIND("")"",C96)-FIND(""/"",C96)-1) &amp;
        TEXT(H96*100,""0"") &amp;
        I96,"&amp;"
    IF(AND(D96=""Roof Sheet"", REGEXMATCH(C96,""(?i)KS\d{4}[A-Z]{2}"")),
       REGEXEXTRACT(C96,""(?i)KS\d{4}[A-Z]{2}""),
    IF(AND(REGEXMATCH(D96,""(?i)-DP""), REGEXMATCH(C96,""(?i)Downpipe"")),
       ""dp"" &amp; REGEXEXTRACT(C96,""(\d+)"") &amp; ""mm"",
  "&amp;"  IF(AND(REGEXMATCH(D96,""(?i)Bracket""), REGEXMATCH(C96,""(?i)Bracket"")),
       ""Brkt"" &amp; REGEXEXTRACT(C96,""(\d+)"") &amp; ""mm"",
    IF(AND(REGEXMATCH(D96,""(?i)-OP""), REGEXMATCH(C96,""(?i)pops"")),
       ""op"" &amp; REGEXEXTRACT(C96,""(\d+)"") &amp; ""mm"""&amp;",
    IF(OR(D96=""R-FFTop"", D96=""R-FFBottom"", D96=""R-FFSide""),
        IF(REGEXMATCH(C96,""(?i)Profiled.*Top|Top.*Profiled""),""pfft"",
        IF(REGEXMATCH(C96,""(?i)Profiled.*Bottom|Bottom.*Profiled""),""pffb"",
        IF(REGEXMATCH(C96,""(?i)Squ"&amp;"are""),""sff"",""""))),
    IF(REGEXMATCH(D96,""(?i)-Rivets""),""Rvt"",
    IF(REGEXMATCH(D96,""(?i)Silicone""),""300ml"",
    IF(REGEXMATCH(D96,""(?i)R-Butyl""),""300ml"",
    IF(REGEXMATCH(D96,""(?i)Fix""),""GenFix"",
    IF(AND(REGEXMATCH(C96,""(?i)Tim"&amp;"ber""), REGEXMATCH(D96,""(?i)Timber"")),""tp"",
    IF(AND(REGEXMATCH(C96,""(?i)Vent G1275""), REGEXMATCH(D96,""(?i)Comb FIller"")),""CFV1275"",
    IF(REGEXMATCH(C96,""(?i)DPC""),""dpc"",
    IF(REGEXMATCH(C96,""(?i)Concealed Clips""),""ConClips"",
    I"&amp;"F(REGEXMATCH(D96,""(?i)-Takeoff ea""),""Takeoff ea"",
    IF(REGEXMATCH(D96,""(?i)-Takeoff LM""),""Takeoff LM"",
    IF(REGEXMATCH(D96,""(?i)-Takeoff m2""),""Takeoff m2"",
    IF(D96=""R-TU/TD"",""TU/TD"","""")))))))))))))))))
  )))"),"300ml")</f>
        <v>300ml</v>
      </c>
      <c r="C96" s="734" t="s">
        <v>98</v>
      </c>
      <c r="D96" s="124" t="s">
        <v>99</v>
      </c>
      <c r="E96" s="687">
        <f t="shared" ref="E96:F96" si="62">E95</f>
        <v>0.45</v>
      </c>
      <c r="F96" s="1417" t="str">
        <f t="shared" si="62"/>
        <v/>
      </c>
      <c r="G96" s="127"/>
      <c r="H96" s="127" t="str">
        <f>IFERROR(__xludf.DUMMYFUNCTION("IFERROR(REGEXEXTRACT(C96, ""(\d*\.\d+)mm""), """")"),"")</f>
        <v/>
      </c>
      <c r="I96" s="127"/>
      <c r="J96" s="126" t="s">
        <v>87</v>
      </c>
      <c r="K96" s="126" t="str">
        <f>IFERROR(
  IF(B96="", "", VLOOKUP(B96, Data!$B$2:$K$905, 7, FALSE)),
  ""
)</f>
        <v/>
      </c>
      <c r="L96" s="163"/>
      <c r="M96" s="150">
        <f>(ROUNDDOWN((M95/5.7)+2,0)*E96)/8</f>
        <v>0.1125</v>
      </c>
      <c r="N96" s="151">
        <f>IFERROR(__xludf.DUMMYFUNCTION("IF(B96="""", """", IFERROR(1 / COS(RADIANS(REGEXEXTRACT(F96,""(\d+)""))), 1))"),1.0)</f>
        <v>1</v>
      </c>
      <c r="O96" s="169">
        <v>1.0</v>
      </c>
      <c r="P96" s="134">
        <v>1.0</v>
      </c>
      <c r="Q96" s="168">
        <f t="shared" si="63"/>
        <v>0.1125</v>
      </c>
      <c r="R96" s="136" t="str">
        <f>IFERROR(
  IF(B96="", "", VLOOKUP(B96, Data!$B$2:$K$905, 9, FALSE)),
  ""
)</f>
        <v/>
      </c>
      <c r="S96" s="152">
        <f t="shared" si="64"/>
        <v>0</v>
      </c>
      <c r="T96" s="138"/>
      <c r="U96" s="108" t="str">
        <f>IFERROR(
  IF(B96="", "", VLOOKUP(B96, Data!$B$2:$K$905, 10, FALSE)),
  ""
)
</f>
        <v/>
      </c>
      <c r="V96" s="139"/>
      <c r="W96" s="140">
        <f t="shared" si="65"/>
        <v>0</v>
      </c>
      <c r="X96" s="159"/>
      <c r="Y96" s="5"/>
      <c r="Z96" s="5"/>
      <c r="AA96" s="5"/>
      <c r="AB96" s="354">
        <f t="shared" si="66"/>
        <v>0</v>
      </c>
      <c r="AC96" s="33"/>
      <c r="AD96" s="65"/>
      <c r="AE96" s="66"/>
      <c r="AF96" s="144"/>
      <c r="AG96" s="68"/>
      <c r="AH96" s="69"/>
      <c r="AI96" s="39"/>
      <c r="AJ96" s="70"/>
      <c r="AK96" s="70"/>
      <c r="AL96" s="5"/>
      <c r="AM96" s="5"/>
      <c r="AN96" s="5"/>
      <c r="AO96" s="5"/>
      <c r="AP96" s="5"/>
      <c r="AQ96" s="5"/>
      <c r="AR96" s="5"/>
      <c r="AS96" s="5"/>
      <c r="AT96" s="5"/>
      <c r="AU96" s="5"/>
      <c r="AV96" s="5"/>
      <c r="AW96" s="5"/>
      <c r="AX96" s="5"/>
      <c r="AY96" s="5"/>
      <c r="AZ96" s="5"/>
      <c r="BA96" s="5"/>
      <c r="BB96" s="5"/>
      <c r="BC96" s="5"/>
      <c r="BD96" s="5"/>
      <c r="BE96" s="5"/>
      <c r="BF96" s="5"/>
      <c r="BG96" s="5"/>
      <c r="BH96" s="5"/>
      <c r="BI96" s="260"/>
      <c r="BJ96" s="260"/>
      <c r="BK96" s="260"/>
      <c r="BL96" s="260"/>
      <c r="BM96" s="260"/>
      <c r="BN96" s="260"/>
      <c r="BO96" s="260"/>
      <c r="BP96" s="260"/>
      <c r="BQ96" s="260"/>
      <c r="BR96" s="260"/>
      <c r="BS96" s="260"/>
      <c r="BT96" s="260"/>
    </row>
    <row r="97">
      <c r="A97" s="1313"/>
      <c r="B97" s="154" t="str">
        <f>IFERROR(__xludf.DUMMYFUNCTION("IFERROR(
  IF(C97="""","""",
    IF(OR(REGEXMATCH(D97,""(?i)-Flashing""), REGEXMATCH(D97,""(?i)-EavesGut""), REGEXMATCH(D97,""(?i)Valley"")),
        ""DR"" &amp;
        TEXT(
            ROUNDUP(
                MIN(
                    VALUE(MID(C97, FIND("&amp;"""("",C97)+1, FIND(""/"",C97)-FIND(""("",C97)-1)),
                    1200
                ) / 50, 0
            ) * 50, ""0""
        ) &amp;
        MID(C97, FIND(""/"",C97)+1, FIND("")"",C97)-FIND(""/"",C97)-1) &amp;
        TEXT(H97*100,""0"") &amp;
        I97,"&amp;"
    IF(AND(D97=""Roof Sheet"", REGEXMATCH(C97,""(?i)KS\d{4}[A-Z]{2}"")),
       REGEXEXTRACT(C97,""(?i)KS\d{4}[A-Z]{2}""),
    IF(AND(REGEXMATCH(D97,""(?i)-DP""), REGEXMATCH(C97,""(?i)Downpipe"")),
       ""dp"" &amp; REGEXEXTRACT(C97,""(\d+)"") &amp; ""mm"",
  "&amp;"  IF(AND(REGEXMATCH(D97,""(?i)Bracket""), REGEXMATCH(C97,""(?i)Bracket"")),
       ""Brkt"" &amp; REGEXEXTRACT(C97,""(\d+)"") &amp; ""mm"",
    IF(AND(REGEXMATCH(D97,""(?i)-OP""), REGEXMATCH(C97,""(?i)pops"")),
       ""op"" &amp; REGEXEXTRACT(C97,""(\d+)"") &amp; ""mm"""&amp;",
    IF(OR(D97=""R-FFTop"", D97=""R-FFBottom"", D97=""R-FFSide""),
        IF(REGEXMATCH(C97,""(?i)Profiled.*Top|Top.*Profiled""),""pfft"",
        IF(REGEXMATCH(C97,""(?i)Profiled.*Bottom|Bottom.*Profiled""),""pffb"",
        IF(REGEXMATCH(C97,""(?i)Squ"&amp;"are""),""sff"",""""))),
    IF(REGEXMATCH(D97,""(?i)-Rivets""),""Rvt"",
    IF(REGEXMATCH(D97,""(?i)Silicone""),""300ml"",
    IF(REGEXMATCH(D97,""(?i)R-Butyl""),""300ml"",
    IF(REGEXMATCH(D97,""(?i)Fix""),""GenFix"",
    IF(AND(REGEXMATCH(C97,""(?i)Tim"&amp;"ber""), REGEXMATCH(D97,""(?i)Timber"")),""tp"",
    IF(AND(REGEXMATCH(C97,""(?i)Vent G1275""), REGEXMATCH(D97,""(?i)Comb FIller"")),""CFV1275"",
    IF(REGEXMATCH(C97,""(?i)DPC""),""dpc"",
    IF(REGEXMATCH(C97,""(?i)Concealed Clips""),""ConClips"",
    I"&amp;"F(REGEXMATCH(D97,""(?i)-Takeoff ea""),""Takeoff ea"",
    IF(REGEXMATCH(D97,""(?i)-Takeoff LM""),""Takeoff LM"",
    IF(REGEXMATCH(D97,""(?i)-Takeoff m2""),""Takeoff m2"",
    IF(D97=""R-TU/TD"",""TU/TD"","""")))))))))))))))))
  )))"),"Rvt")</f>
        <v>Rvt</v>
      </c>
      <c r="C97" s="734" t="s">
        <v>100</v>
      </c>
      <c r="D97" s="124" t="s">
        <v>101</v>
      </c>
      <c r="E97" s="687">
        <f>E95</f>
        <v>0.45</v>
      </c>
      <c r="F97" s="1417" t="str">
        <f t="shared" ref="F97:F98" si="67">F96</f>
        <v/>
      </c>
      <c r="G97" s="127"/>
      <c r="H97" s="127" t="str">
        <f>IFERROR(__xludf.DUMMYFUNCTION("IFERROR(REGEXEXTRACT(C97, ""(\d*\.\d+)mm""), """")"),"")</f>
        <v/>
      </c>
      <c r="I97" s="127"/>
      <c r="J97" s="126" t="s">
        <v>87</v>
      </c>
      <c r="K97" s="126" t="str">
        <f>IFERROR(
  IF(B97="", "", VLOOKUP(B97, Data!$B$2:$K$905, 7, FALSE)),
  ""
)</f>
        <v/>
      </c>
      <c r="L97" s="163"/>
      <c r="M97" s="150">
        <f>ROUNDUP(((M95/5.7)+1)*(E97/0.05),0)</f>
        <v>9</v>
      </c>
      <c r="N97" s="151">
        <f>IFERROR(__xludf.DUMMYFUNCTION("IF(B97="""", """", IFERROR(1 / COS(RADIANS(REGEXEXTRACT(F97,""(\d+)""))), 1))"),1.0)</f>
        <v>1</v>
      </c>
      <c r="O97" s="169">
        <v>1.0</v>
      </c>
      <c r="P97" s="134">
        <v>1.0</v>
      </c>
      <c r="Q97" s="168">
        <f t="shared" si="63"/>
        <v>9</v>
      </c>
      <c r="R97" s="108" t="str">
        <f>IFERROR(
  IF(B97="", "", VLOOKUP(B97, Data!$B$2:$K$905, 9, FALSE)),
  ""
)</f>
        <v/>
      </c>
      <c r="S97" s="152">
        <f t="shared" si="64"/>
        <v>0</v>
      </c>
      <c r="T97" s="138"/>
      <c r="U97" s="136" t="str">
        <f>IFERROR(
  IF(B97="", "", VLOOKUP(B97, Data!$B$2:$K$905, 10, FALSE)),
  ""
)
</f>
        <v/>
      </c>
      <c r="V97" s="139"/>
      <c r="W97" s="140">
        <f t="shared" si="65"/>
        <v>0</v>
      </c>
      <c r="X97" s="159"/>
      <c r="Y97" s="5"/>
      <c r="Z97" s="5"/>
      <c r="AA97" s="5"/>
      <c r="AB97" s="354">
        <f t="shared" si="66"/>
        <v>0</v>
      </c>
      <c r="AC97" s="33"/>
      <c r="AD97" s="65"/>
      <c r="AE97" s="66"/>
      <c r="AF97" s="144"/>
      <c r="AG97" s="68"/>
      <c r="AH97" s="69"/>
      <c r="AI97" s="39"/>
      <c r="AJ97" s="70"/>
      <c r="AK97" s="70"/>
      <c r="AL97" s="5"/>
      <c r="AM97" s="5"/>
      <c r="AN97" s="5"/>
      <c r="AO97" s="5"/>
      <c r="AP97" s="5"/>
      <c r="AQ97" s="5"/>
      <c r="AR97" s="5"/>
      <c r="AS97" s="5"/>
      <c r="AT97" s="5"/>
      <c r="AU97" s="5"/>
      <c r="AV97" s="5"/>
      <c r="AW97" s="5"/>
      <c r="AX97" s="5"/>
      <c r="AY97" s="5"/>
      <c r="AZ97" s="5"/>
      <c r="BA97" s="5"/>
      <c r="BB97" s="5"/>
      <c r="BC97" s="5"/>
      <c r="BD97" s="5"/>
      <c r="BE97" s="5"/>
      <c r="BF97" s="5"/>
      <c r="BG97" s="5"/>
      <c r="BH97" s="5"/>
      <c r="BI97" s="260"/>
      <c r="BJ97" s="260"/>
      <c r="BK97" s="260"/>
      <c r="BL97" s="260"/>
      <c r="BM97" s="260"/>
      <c r="BN97" s="260"/>
      <c r="BO97" s="260"/>
      <c r="BP97" s="260"/>
      <c r="BQ97" s="260"/>
      <c r="BR97" s="260"/>
      <c r="BS97" s="260"/>
      <c r="BT97" s="260"/>
    </row>
    <row r="98">
      <c r="A98" s="1313"/>
      <c r="B98" s="154" t="str">
        <f>IFERROR(__xludf.DUMMYFUNCTION("IFERROR(
  IF(C98="""","""",
    IF(OR(REGEXMATCH(D98,""(?i)-Flashing""), REGEXMATCH(D98,""(?i)-EavesGut""), REGEXMATCH(D98,""(?i)Valley"")),
        ""DR"" &amp;
        TEXT(
            ROUNDUP(
                MIN(
                    VALUE(MID(C98, FIND("&amp;"""("",C98)+1, FIND(""/"",C98)-FIND(""("",C98)-1)),
                    1200
                ) / 50, 0
            ) * 50, ""0""
        ) &amp;
        MID(C98, FIND(""/"",C98)+1, FIND("")"",C98)-FIND(""/"",C98)-1) &amp;
        TEXT(H98*100,""0"") &amp;
        I98,"&amp;"
    IF(AND(D98=""Roof Sheet"", REGEXMATCH(C98,""(?i)KS\d{4}[A-Z]{2}"")),
       REGEXEXTRACT(C98,""(?i)KS\d{4}[A-Z]{2}""),
    IF(AND(REGEXMATCH(D98,""(?i)-DP""), REGEXMATCH(C98,""(?i)Downpipe"")),
       ""dp"" &amp; REGEXEXTRACT(C98,""(\d+)"") &amp; ""mm"",
  "&amp;"  IF(AND(REGEXMATCH(D98,""(?i)Bracket""), REGEXMATCH(C98,""(?i)Bracket"")),
       ""Brkt"" &amp; REGEXEXTRACT(C98,""(\d+)"") &amp; ""mm"",
    IF(AND(REGEXMATCH(D98,""(?i)-OP""), REGEXMATCH(C98,""(?i)pops"")),
       ""op"" &amp; REGEXEXTRACT(C98,""(\d+)"") &amp; ""mm"""&amp;",
    IF(OR(D98=""R-FFTop"", D98=""R-FFBottom"", D98=""R-FFSide""),
        IF(REGEXMATCH(C98,""(?i)Profiled.*Top|Top.*Profiled""),""pfft"",
        IF(REGEXMATCH(C98,""(?i)Profiled.*Bottom|Bottom.*Profiled""),""pffb"",
        IF(REGEXMATCH(C98,""(?i)Squ"&amp;"are""),""sff"",""""))),
    IF(REGEXMATCH(D98,""(?i)-Rivets""),""Rvt"",
    IF(REGEXMATCH(D98,""(?i)Silicone""),""300ml"",
    IF(REGEXMATCH(D98,""(?i)R-Butyl""),""300ml"",
    IF(REGEXMATCH(D98,""(?i)Fix""),""GenFix"",
    IF(AND(REGEXMATCH(C98,""(?i)Tim"&amp;"ber""), REGEXMATCH(D98,""(?i)Timber"")),""tp"",
    IF(AND(REGEXMATCH(C98,""(?i)Vent G1275""), REGEXMATCH(D98,""(?i)Comb FIller"")),""CFV1275"",
    IF(REGEXMATCH(C98,""(?i)DPC""),""dpc"",
    IF(REGEXMATCH(C98,""(?i)Concealed Clips""),""ConClips"",
    I"&amp;"F(REGEXMATCH(D98,""(?i)-Takeoff ea""),""Takeoff ea"",
    IF(REGEXMATCH(D98,""(?i)-Takeoff LM""),""Takeoff LM"",
    IF(REGEXMATCH(D98,""(?i)-Takeoff m2""),""Takeoff m2"",
    IF(D98=""R-TU/TD"",""TU/TD"","""")))))))))))))))))
  )))"),"GenFix")</f>
        <v>GenFix</v>
      </c>
      <c r="C98" s="698" t="s">
        <v>102</v>
      </c>
      <c r="D98" s="124" t="s">
        <v>103</v>
      </c>
      <c r="E98" s="752"/>
      <c r="F98" s="1417" t="str">
        <f t="shared" si="67"/>
        <v/>
      </c>
      <c r="G98" s="129"/>
      <c r="H98" s="127"/>
      <c r="I98" s="127"/>
      <c r="J98" s="126" t="s">
        <v>87</v>
      </c>
      <c r="K98" s="126" t="str">
        <f>IFERROR(
  IF(B98="", "", VLOOKUP(B98, Data!$B$2:$K$905, 7, FALSE)),
  ""
)</f>
        <v/>
      </c>
      <c r="L98" s="161"/>
      <c r="M98" s="150">
        <f>ROUNDUP(M95/0.6,0)+1</f>
        <v>1</v>
      </c>
      <c r="N98" s="151">
        <f>IFERROR(__xludf.DUMMYFUNCTION("IF(B98="""", """", IFERROR(1 / COS(RADIANS(REGEXEXTRACT(F98,""(\d+)""))), 1))"),1.0)</f>
        <v>1</v>
      </c>
      <c r="O98" s="169">
        <v>1.0</v>
      </c>
      <c r="P98" s="134">
        <v>2.0</v>
      </c>
      <c r="Q98" s="168">
        <f t="shared" si="63"/>
        <v>2</v>
      </c>
      <c r="R98" s="136" t="str">
        <f>IFERROR(
  IF(B98="", "", VLOOKUP(B98, Data!$B$2:$K$905, 9, FALSE)),
  ""
)</f>
        <v/>
      </c>
      <c r="S98" s="152">
        <f t="shared" si="64"/>
        <v>0</v>
      </c>
      <c r="T98" s="138"/>
      <c r="U98" s="136" t="str">
        <f>IFERROR(
  IF(B98="", "", VLOOKUP(B98, Data!$B$2:$K$905, 10, FALSE)),
  ""
)
</f>
        <v/>
      </c>
      <c r="V98" s="139"/>
      <c r="W98" s="140">
        <f t="shared" si="65"/>
        <v>0</v>
      </c>
      <c r="X98" s="159"/>
      <c r="Y98" s="5"/>
      <c r="Z98" s="5"/>
      <c r="AA98" s="5"/>
      <c r="AB98" s="354">
        <f t="shared" si="66"/>
        <v>0</v>
      </c>
      <c r="AC98" s="33"/>
      <c r="AD98" s="65"/>
      <c r="AE98" s="66"/>
      <c r="AF98" s="144"/>
      <c r="AG98" s="68"/>
      <c r="AH98" s="69"/>
      <c r="AI98" s="39"/>
      <c r="AJ98" s="70"/>
      <c r="AK98" s="70"/>
      <c r="AL98" s="5"/>
      <c r="AM98" s="5"/>
      <c r="AN98" s="5"/>
      <c r="AO98" s="5"/>
      <c r="AP98" s="5"/>
      <c r="AQ98" s="5"/>
      <c r="AR98" s="5"/>
      <c r="AS98" s="5"/>
      <c r="AT98" s="5"/>
      <c r="AU98" s="5"/>
      <c r="AV98" s="5"/>
      <c r="AW98" s="5"/>
      <c r="AX98" s="5"/>
      <c r="AY98" s="5"/>
      <c r="AZ98" s="5"/>
      <c r="BA98" s="5"/>
      <c r="BB98" s="5"/>
      <c r="BC98" s="5"/>
      <c r="BD98" s="5"/>
      <c r="BE98" s="5"/>
      <c r="BF98" s="5"/>
      <c r="BG98" s="5"/>
      <c r="BH98" s="5"/>
      <c r="BI98" s="260"/>
      <c r="BJ98" s="260"/>
      <c r="BK98" s="260"/>
      <c r="BL98" s="260"/>
      <c r="BM98" s="260"/>
      <c r="BN98" s="260"/>
      <c r="BO98" s="260"/>
      <c r="BP98" s="260"/>
      <c r="BQ98" s="260"/>
      <c r="BR98" s="260"/>
      <c r="BS98" s="260"/>
      <c r="BT98" s="260"/>
    </row>
    <row r="99">
      <c r="A99" s="1313"/>
      <c r="B99" s="160"/>
      <c r="C99" s="757"/>
      <c r="D99" s="129"/>
      <c r="E99" s="752"/>
      <c r="F99" s="1417"/>
      <c r="G99" s="129"/>
      <c r="H99" s="127"/>
      <c r="I99" s="127"/>
      <c r="J99" s="129"/>
      <c r="K99" s="129"/>
      <c r="L99" s="161"/>
      <c r="M99" s="163"/>
      <c r="N99" s="162"/>
      <c r="O99" s="161"/>
      <c r="P99" s="127"/>
      <c r="Q99" s="161"/>
      <c r="R99" s="108" t="str">
        <f>IFERROR(
  IF(B99="", "", VLOOKUP(B99, Data!$B$2:$K$905, 9, FALSE)),
  ""
)</f>
        <v/>
      </c>
      <c r="S99" s="139"/>
      <c r="T99" s="138"/>
      <c r="U99" s="108" t="str">
        <f>IFERROR(
  IF(B99="", "", VLOOKUP(B99, Data!$B$2:$K$905, 10, FALSE)),
  ""
)
</f>
        <v/>
      </c>
      <c r="V99" s="139"/>
      <c r="W99" s="164"/>
      <c r="X99" s="159"/>
      <c r="Y99" s="5"/>
      <c r="Z99" s="5"/>
      <c r="AA99" s="5"/>
      <c r="AB99" s="354">
        <f t="shared" si="66"/>
        <v>0</v>
      </c>
      <c r="AC99" s="33"/>
      <c r="AD99" s="65"/>
      <c r="AE99" s="66"/>
      <c r="AF99" s="144"/>
      <c r="AG99" s="68"/>
      <c r="AH99" s="69"/>
      <c r="AI99" s="39"/>
      <c r="AJ99" s="70"/>
      <c r="AK99" s="70"/>
      <c r="AL99" s="5"/>
      <c r="AM99" s="5"/>
      <c r="AN99" s="5"/>
      <c r="AO99" s="5"/>
      <c r="AP99" s="5"/>
      <c r="AQ99" s="5"/>
      <c r="AR99" s="5"/>
      <c r="AS99" s="5"/>
      <c r="AT99" s="5"/>
      <c r="AU99" s="5"/>
      <c r="AV99" s="5"/>
      <c r="AW99" s="5"/>
      <c r="AX99" s="5"/>
      <c r="AY99" s="5"/>
      <c r="AZ99" s="5"/>
      <c r="BA99" s="5"/>
      <c r="BB99" s="5"/>
      <c r="BC99" s="5"/>
      <c r="BD99" s="5"/>
      <c r="BE99" s="5"/>
      <c r="BF99" s="5"/>
      <c r="BG99" s="5"/>
      <c r="BH99" s="5"/>
      <c r="BI99" s="260"/>
      <c r="BJ99" s="260"/>
      <c r="BK99" s="260"/>
      <c r="BL99" s="260"/>
      <c r="BM99" s="260"/>
      <c r="BN99" s="260"/>
      <c r="BO99" s="260"/>
      <c r="BP99" s="260"/>
      <c r="BQ99" s="260"/>
      <c r="BR99" s="260"/>
      <c r="BS99" s="260"/>
      <c r="BT99" s="260"/>
    </row>
    <row r="100">
      <c r="A100" s="1313">
        <v>1.0</v>
      </c>
      <c r="B100" s="727"/>
      <c r="C100" s="103" t="s">
        <v>1214</v>
      </c>
      <c r="D100" s="678"/>
      <c r="E100" s="676"/>
      <c r="F100" s="728"/>
      <c r="G100" s="678"/>
      <c r="H100" s="678"/>
      <c r="I100" s="678"/>
      <c r="J100" s="678"/>
      <c r="K100" s="678" t="s">
        <v>42</v>
      </c>
      <c r="L100" s="106">
        <f>Q100</f>
        <v>0</v>
      </c>
      <c r="M100" s="679" t="s">
        <v>42</v>
      </c>
      <c r="N100" s="680"/>
      <c r="O100" s="679"/>
      <c r="P100" s="678"/>
      <c r="Q100" s="106">
        <f>Q101</f>
        <v>0</v>
      </c>
      <c r="R100" s="136" t="str">
        <f>IFERROR(
  IF(B100="", "", VLOOKUP(B100, Data!$B$2:$K$905, 9, FALSE)),
  ""
)</f>
        <v/>
      </c>
      <c r="S100" s="682">
        <f>IFERROR(T100/Q100, 0)</f>
        <v>0</v>
      </c>
      <c r="T100" s="109">
        <f>SUM(S101:S109)</f>
        <v>0</v>
      </c>
      <c r="U100" s="136" t="str">
        <f>IFERROR(
  IF(B100="", "", VLOOKUP(B100, Data!$B$2:$K$905, 10, FALSE)),
  ""
)
</f>
        <v/>
      </c>
      <c r="V100" s="109" t="str">
        <f>W100/Q100</f>
        <v>#DIV/0!</v>
      </c>
      <c r="W100" s="110">
        <f>SUM(W101:W109)</f>
        <v>0</v>
      </c>
      <c r="X100" s="111" t="str">
        <f>W100/$AC$235/$W$242/$X$232</f>
        <v>#REF!</v>
      </c>
      <c r="Y100" s="112" t="b">
        <f>(T100+W100)=(SUM(AB101:AB109))</f>
        <v>1</v>
      </c>
      <c r="Z100" s="113">
        <f>(T100+W100)-(SUM(AB101:AB109))</f>
        <v>0</v>
      </c>
      <c r="AA100" s="595"/>
      <c r="AB100" s="595"/>
      <c r="AC100" s="181"/>
      <c r="AD100" s="114">
        <f>W100+T100</f>
        <v>0</v>
      </c>
      <c r="AE100" s="115">
        <f>AD100</f>
        <v>0</v>
      </c>
      <c r="AF100" s="116" t="str">
        <f>AE100/$AE$210</f>
        <v>#REF!</v>
      </c>
      <c r="AG100" s="683" t="str">
        <f>AF100*$AG$217</f>
        <v>#REF!</v>
      </c>
      <c r="AH100" s="118" t="str">
        <f>AF100*$AG$220</f>
        <v>#REF!</v>
      </c>
      <c r="AI100" s="187"/>
      <c r="AJ100" s="119" t="str">
        <f>ROUND(AK100/L100,2)</f>
        <v>#REF!</v>
      </c>
      <c r="AK100" s="119" t="str">
        <f>ROUND(AH100+AG100+AD100,2)</f>
        <v>#REF!</v>
      </c>
      <c r="AL100" s="595"/>
      <c r="AM100" s="595"/>
      <c r="AN100" s="595"/>
      <c r="AO100" s="595"/>
      <c r="AP100" s="595"/>
      <c r="AQ100" s="595"/>
      <c r="AR100" s="595"/>
      <c r="AS100" s="595"/>
      <c r="AT100" s="595"/>
      <c r="AU100" s="595"/>
      <c r="AV100" s="595"/>
      <c r="AW100" s="595"/>
      <c r="AX100" s="595"/>
      <c r="AY100" s="595"/>
      <c r="AZ100" s="595"/>
      <c r="BA100" s="595"/>
      <c r="BB100" s="595"/>
      <c r="BC100" s="595"/>
      <c r="BD100" s="595"/>
      <c r="BE100" s="595"/>
      <c r="BF100" s="595"/>
      <c r="BG100" s="595"/>
      <c r="BH100" s="595"/>
      <c r="BI100" s="651"/>
      <c r="BJ100" s="651"/>
      <c r="BK100" s="651"/>
      <c r="BL100" s="651"/>
      <c r="BM100" s="651"/>
      <c r="BN100" s="651"/>
      <c r="BO100" s="651"/>
      <c r="BP100" s="651"/>
      <c r="BQ100" s="651"/>
      <c r="BR100" s="651"/>
      <c r="BS100" s="651"/>
      <c r="BT100" s="651"/>
    </row>
    <row r="101">
      <c r="A101" s="1313"/>
      <c r="B101" s="154" t="str">
        <f>IFERROR(__xludf.DUMMYFUNCTION("IFERROR(
  IF(C101="""","""",
    IF(OR(REGEXMATCH(D101,""(?i)-Flashing""), REGEXMATCH(D101,""(?i)-EavesGut""), REGEXMATCH(D101,""(?i)Valley"")),
        ""DR"" &amp;
        TEXT(
            ROUNDUP(
                MIN(
                    VALUE(MID(C101, "&amp;"FIND(""("",C101)+1, FIND(""/"",C101)-FIND(""("",C101)-1)),
                    1200
                ) / 50, 0
            ) * 50, ""0""
        ) &amp;
        MID(C101, FIND(""/"",C101)+1, FIND("")"",C101)-FIND(""/"",C101)-1) &amp;
        TEXT(H101*100,""0"") &amp;"&amp;"
        I101,
    IF(AND(D101=""Roof Sheet"", REGEXMATCH(C101,""(?i)KS\d{4}[A-Z]{2}"")),
       REGEXEXTRACT(C101,""(?i)KS\d{4}[A-Z]{2}""),
    IF(AND(REGEXMATCH(D101,""(?i)-DP""), REGEXMATCH(C101,""(?i)Downpipe"")),
       ""dp"" &amp; REGEXEXTRACT(C101,""("&amp;"\d+)"") &amp; ""mm"",
    IF(AND(REGEXMATCH(D101,""(?i)Bracket""), REGEXMATCH(C101,""(?i)Bracket"")),
       ""Brkt"" &amp; REGEXEXTRACT(C101,""(\d+)"") &amp; ""mm"",
    IF(AND(REGEXMATCH(D101,""(?i)-OP""), REGEXMATCH(C101,""(?i)pops"")),
       ""op"" &amp; REGEXEXTRAC"&amp;"T(C101,""(\d+)"") &amp; ""mm"",
    IF(OR(D101=""R-FFTop"", D101=""R-FFBottom"", D101=""R-FFSide""),
        IF(REGEXMATCH(C101,""(?i)Profiled.*Top|Top.*Profiled""),""pfft"",
        IF(REGEXMATCH(C101,""(?i)Profiled.*Bottom|Bottom.*Profiled""),""pffb"",
    "&amp;"    IF(REGEXMATCH(C101,""(?i)Square""),""sff"",""""))),
    IF(REGEXMATCH(D101,""(?i)-Rivets""),""Rvt"",
    IF(REGEXMATCH(D101,""(?i)Silicone""),""300ml"",
    IF(REGEXMATCH(D101,""(?i)R-Butyl""),""300ml"",
    IF(REGEXMATCH(D101,""(?i)Fix""),""GenFix"","&amp;"
    IF(AND(REGEXMATCH(C101,""(?i)Timber""), REGEXMATCH(D101,""(?i)Timber"")),""tp"",
    IF(AND(REGEXMATCH(C101,""(?i)Vent G1275""), REGEXMATCH(D101,""(?i)Comb FIller"")),""CFV1275"",
    IF(REGEXMATCH(C101,""(?i)DPC""),""dpc"",
    IF(REGEXMATCH(C101,"""&amp;"(?i)Concealed Clips""),""ConClips"",
    IF(REGEXMATCH(D101,""(?i)-Takeoff ea""),""Takeoff ea"",
    IF(REGEXMATCH(D101,""(?i)-Takeoff LM""),""Takeoff LM"",
    IF(REGEXMATCH(D101,""(?i)-Takeoff m2""),""Takeoff m2"",
    IF(D101=""R-TU/TD"",""TU/TD"","""""&amp;")))))))))))))))))
  )))"),"DR5503B55Mag")</f>
        <v>DR5503B55Mag</v>
      </c>
      <c r="C101" s="123" t="s">
        <v>1215</v>
      </c>
      <c r="D101" s="124" t="s">
        <v>96</v>
      </c>
      <c r="E101" s="687">
        <f>VALUE(MID(C101, FIND("(", C101)+1, FIND("/", C101)-FIND("(", C101)-1)) / 1000</f>
        <v>0.51</v>
      </c>
      <c r="F101" s="126" t="str">
        <f>IFERROR(__xludf.DUMMYFUNCTION("IFERROR(REGEXEXTRACT(C101,""@\s*(\d+(?:\.\d+)?)\s*deg"")&amp;""°"","""")"),"3.5°")</f>
        <v>3.5°</v>
      </c>
      <c r="G101" s="700"/>
      <c r="H101" s="128" t="str">
        <f>IFERROR(__xludf.DUMMYFUNCTION("IFERROR(REGEXEXTRACT(C101, ""(\d*\.\d+)mm""), """")"),"0.55")</f>
        <v>0.55</v>
      </c>
      <c r="I101" s="128" t="s">
        <v>97</v>
      </c>
      <c r="J101" s="126" t="s">
        <v>14</v>
      </c>
      <c r="K101" s="126" t="str">
        <f>IFERROR(
  IF(B101="", "", VLOOKUP(B101, Data!$B$2:$K$905, 7, FALSE)),
  ""
)</f>
        <v/>
      </c>
      <c r="L101" s="704"/>
      <c r="M101" s="730"/>
      <c r="N101" s="151">
        <f>IFERROR(__xludf.DUMMYFUNCTION("IF(B101="""", """", IFERROR(1 / COS(RADIANS(REGEXEXTRACT(F101,""(\d+)""))), 1))"),1.001372345997921)</f>
        <v>1.001372346</v>
      </c>
      <c r="O101" s="169">
        <v>1.0</v>
      </c>
      <c r="P101" s="134">
        <v>1.0</v>
      </c>
      <c r="Q101" s="168">
        <f t="shared" ref="Q101:Q105" si="69">M101*N101*O101*P101</f>
        <v>0</v>
      </c>
      <c r="R101" s="136" t="str">
        <f>IFERROR(
  IF(B101="", "", VLOOKUP(B101, Data!$B$2:$K$905, 9, FALSE)),
  ""
)</f>
        <v/>
      </c>
      <c r="S101" s="152">
        <f t="shared" ref="S101:S105" si="70">R101*Q101</f>
        <v>0</v>
      </c>
      <c r="T101" s="690"/>
      <c r="U101" s="136" t="str">
        <f>IFERROR(
  IF(B101="", "", VLOOKUP(B101, Data!$B$2:$K$905, 10, FALSE)),
  ""
)
</f>
        <v/>
      </c>
      <c r="V101" s="691"/>
      <c r="W101" s="140">
        <f t="shared" ref="W101:W105" si="71">U101*Q101</f>
        <v>0</v>
      </c>
      <c r="X101" s="692"/>
      <c r="Y101" s="693"/>
      <c r="Z101" s="731"/>
      <c r="AA101" s="595"/>
      <c r="AB101" s="354">
        <f t="shared" ref="AB101:AB105" si="72">W101+S101</f>
        <v>0</v>
      </c>
      <c r="AC101" s="181"/>
      <c r="AD101" s="625"/>
      <c r="AE101" s="626"/>
      <c r="AF101" s="696"/>
      <c r="AG101" s="697"/>
      <c r="AH101" s="629"/>
      <c r="AI101" s="187"/>
      <c r="AJ101" s="630"/>
      <c r="AK101" s="630"/>
      <c r="AL101" s="595"/>
      <c r="AM101" s="595"/>
      <c r="AN101" s="595"/>
      <c r="AO101" s="595"/>
      <c r="AP101" s="595"/>
      <c r="AQ101" s="595"/>
      <c r="AR101" s="595"/>
      <c r="AS101" s="595"/>
      <c r="AT101" s="595"/>
      <c r="AU101" s="595"/>
      <c r="AV101" s="595"/>
      <c r="AW101" s="595"/>
      <c r="AX101" s="595"/>
      <c r="AY101" s="595"/>
      <c r="AZ101" s="595"/>
      <c r="BA101" s="595"/>
      <c r="BB101" s="595"/>
      <c r="BC101" s="595"/>
      <c r="BD101" s="595"/>
      <c r="BE101" s="595"/>
      <c r="BF101" s="595"/>
      <c r="BG101" s="595"/>
      <c r="BH101" s="595"/>
      <c r="BI101" s="651"/>
      <c r="BJ101" s="651"/>
      <c r="BK101" s="651"/>
      <c r="BL101" s="651"/>
      <c r="BM101" s="651"/>
      <c r="BN101" s="651"/>
      <c r="BO101" s="651"/>
      <c r="BP101" s="651"/>
      <c r="BQ101" s="651"/>
      <c r="BR101" s="651"/>
      <c r="BS101" s="651"/>
      <c r="BT101" s="651"/>
    </row>
    <row r="102">
      <c r="A102" s="1313"/>
      <c r="B102" s="154" t="str">
        <f>IFERROR(__xludf.DUMMYFUNCTION("IFERROR(
  IF(C102="""","""",
    IF(OR(REGEXMATCH(D102,""(?i)-Flashing""), REGEXMATCH(D102,""(?i)-EavesGut""), REGEXMATCH(D102,""(?i)Valley"")),
        ""DR"" &amp;
        TEXT(
            ROUNDUP(
                MIN(
                    VALUE(MID(C102, "&amp;"FIND(""("",C102)+1, FIND(""/"",C102)-FIND(""("",C102)-1)),
                    1200
                ) / 50, 0
            ) * 50, ""0""
        ) &amp;
        MID(C102, FIND(""/"",C102)+1, FIND("")"",C102)-FIND(""/"",C102)-1) &amp;
        TEXT(H102*100,""0"") &amp;"&amp;"
        I102,
    IF(AND(D102=""Roof Sheet"", REGEXMATCH(C102,""(?i)KS\d{4}[A-Z]{2}"")),
       REGEXEXTRACT(C102,""(?i)KS\d{4}[A-Z]{2}""),
    IF(AND(REGEXMATCH(D102,""(?i)-DP""), REGEXMATCH(C102,""(?i)Downpipe"")),
       ""dp"" &amp; REGEXEXTRACT(C102,""("&amp;"\d+)"") &amp; ""mm"",
    IF(AND(REGEXMATCH(D102,""(?i)Bracket""), REGEXMATCH(C102,""(?i)Bracket"")),
       ""Brkt"" &amp; REGEXEXTRACT(C102,""(\d+)"") &amp; ""mm"",
    IF(AND(REGEXMATCH(D102,""(?i)-OP""), REGEXMATCH(C102,""(?i)pops"")),
       ""op"" &amp; REGEXEXTRAC"&amp;"T(C102,""(\d+)"") &amp; ""mm"",
    IF(OR(D102=""R-FFTop"", D102=""R-FFBottom"", D102=""R-FFSide""),
        IF(REGEXMATCH(C102,""(?i)Profiled.*Top|Top.*Profiled""),""pfft"",
        IF(REGEXMATCH(C102,""(?i)Profiled.*Bottom|Bottom.*Profiled""),""pffb"",
    "&amp;"    IF(REGEXMATCH(C102,""(?i)Square""),""sff"",""""))),
    IF(REGEXMATCH(D102,""(?i)-Rivets""),""Rvt"",
    IF(REGEXMATCH(D102,""(?i)Silicone""),""300ml"",
    IF(REGEXMATCH(D102,""(?i)R-Butyl""),""300ml"",
    IF(REGEXMATCH(D102,""(?i)Fix""),""GenFix"","&amp;"
    IF(AND(REGEXMATCH(C102,""(?i)Timber""), REGEXMATCH(D102,""(?i)Timber"")),""tp"",
    IF(AND(REGEXMATCH(C102,""(?i)Vent G1275""), REGEXMATCH(D102,""(?i)Comb FIller"")),""CFV1275"",
    IF(REGEXMATCH(C102,""(?i)DPC""),""dpc"",
    IF(REGEXMATCH(C102,"""&amp;"(?i)Concealed Clips""),""ConClips"",
    IF(REGEXMATCH(D102,""(?i)-Takeoff ea""),""Takeoff ea"",
    IF(REGEXMATCH(D102,""(?i)-Takeoff LM""),""Takeoff LM"",
    IF(REGEXMATCH(D102,""(?i)-Takeoff m2""),""Takeoff m2"",
    IF(D102=""R-TU/TD"",""TU/TD"","""""&amp;")))))))))))))))))
  )))"),"300ml")</f>
        <v>300ml</v>
      </c>
      <c r="C102" s="734" t="s">
        <v>98</v>
      </c>
      <c r="D102" s="124" t="s">
        <v>99</v>
      </c>
      <c r="E102" s="687">
        <f t="shared" ref="E102:F102" si="68">E101</f>
        <v>0.51</v>
      </c>
      <c r="F102" s="128" t="str">
        <f t="shared" si="68"/>
        <v>3.5°</v>
      </c>
      <c r="G102" s="700"/>
      <c r="H102" s="700" t="str">
        <f>IFERROR(__xludf.DUMMYFUNCTION("IFERROR(REGEXEXTRACT(C102, ""(\d*\.\d+)mm""), """")"),"")</f>
        <v/>
      </c>
      <c r="I102" s="700"/>
      <c r="J102" s="126" t="s">
        <v>87</v>
      </c>
      <c r="K102" s="126" t="str">
        <f>IFERROR(
  IF(B102="", "", VLOOKUP(B102, Data!$B$2:$K$905, 7, FALSE)),
  ""
)</f>
        <v/>
      </c>
      <c r="L102" s="704"/>
      <c r="M102" s="150">
        <f>(ROUNDDOWN((M101/5.7)+2,0)*E102)/8</f>
        <v>0.1275</v>
      </c>
      <c r="N102" s="151">
        <f>IFERROR(__xludf.DUMMYFUNCTION("IF(B102="""", """", IFERROR(1 / COS(RADIANS(REGEXEXTRACT(F102,""(\d+)""))), 1))"),1.001372345997921)</f>
        <v>1.001372346</v>
      </c>
      <c r="O102" s="169">
        <v>1.0</v>
      </c>
      <c r="P102" s="134">
        <v>1.0</v>
      </c>
      <c r="Q102" s="168">
        <f t="shared" si="69"/>
        <v>0.1276749741</v>
      </c>
      <c r="R102" s="136" t="str">
        <f>IFERROR(
  IF(B102="", "", VLOOKUP(B102, Data!$B$2:$K$905, 9, FALSE)),
  ""
)</f>
        <v/>
      </c>
      <c r="S102" s="152">
        <f t="shared" si="70"/>
        <v>0</v>
      </c>
      <c r="T102" s="690"/>
      <c r="U102" s="136" t="str">
        <f>IFERROR(
  IF(B102="", "", VLOOKUP(B102, Data!$B$2:$K$905, 10, FALSE)),
  ""
)
</f>
        <v/>
      </c>
      <c r="V102" s="691"/>
      <c r="W102" s="140">
        <f t="shared" si="71"/>
        <v>0</v>
      </c>
      <c r="X102" s="692"/>
      <c r="Y102" s="595"/>
      <c r="Z102" s="595"/>
      <c r="AA102" s="595"/>
      <c r="AB102" s="354">
        <f t="shared" si="72"/>
        <v>0</v>
      </c>
      <c r="AC102" s="181"/>
      <c r="AD102" s="625"/>
      <c r="AE102" s="626"/>
      <c r="AF102" s="696"/>
      <c r="AG102" s="697"/>
      <c r="AH102" s="629"/>
      <c r="AI102" s="187"/>
      <c r="AJ102" s="630"/>
      <c r="AK102" s="630"/>
      <c r="AL102" s="595"/>
      <c r="AM102" s="595"/>
      <c r="AN102" s="595"/>
      <c r="AO102" s="595"/>
      <c r="AP102" s="595"/>
      <c r="AQ102" s="595"/>
      <c r="AR102" s="595"/>
      <c r="AS102" s="595"/>
      <c r="AT102" s="595"/>
      <c r="AU102" s="595"/>
      <c r="AV102" s="595"/>
      <c r="AW102" s="595"/>
      <c r="AX102" s="595"/>
      <c r="AY102" s="595"/>
      <c r="AZ102" s="595"/>
      <c r="BA102" s="595"/>
      <c r="BB102" s="595"/>
      <c r="BC102" s="595"/>
      <c r="BD102" s="595"/>
      <c r="BE102" s="595"/>
      <c r="BF102" s="595"/>
      <c r="BG102" s="595"/>
      <c r="BH102" s="595"/>
      <c r="BI102" s="651"/>
      <c r="BJ102" s="651"/>
      <c r="BK102" s="651"/>
      <c r="BL102" s="651"/>
      <c r="BM102" s="651"/>
      <c r="BN102" s="651"/>
      <c r="BO102" s="651"/>
      <c r="BP102" s="651"/>
      <c r="BQ102" s="651"/>
      <c r="BR102" s="651"/>
      <c r="BS102" s="651"/>
      <c r="BT102" s="651"/>
    </row>
    <row r="103">
      <c r="A103" s="1313"/>
      <c r="B103" s="154" t="str">
        <f>IFERROR(__xludf.DUMMYFUNCTION("IFERROR(
  IF(C103="""","""",
    IF(OR(REGEXMATCH(D103,""(?i)-Flashing""), REGEXMATCH(D103,""(?i)-EavesGut""), REGEXMATCH(D103,""(?i)Valley"")),
        ""DR"" &amp;
        TEXT(
            ROUNDUP(
                MIN(
                    VALUE(MID(C103, "&amp;"FIND(""("",C103)+1, FIND(""/"",C103)-FIND(""("",C103)-1)),
                    1200
                ) / 50, 0
            ) * 50, ""0""
        ) &amp;
        MID(C103, FIND(""/"",C103)+1, FIND("")"",C103)-FIND(""/"",C103)-1) &amp;
        TEXT(H103*100,""0"") &amp;"&amp;"
        I103,
    IF(AND(D103=""Roof Sheet"", REGEXMATCH(C103,""(?i)KS\d{4}[A-Z]{2}"")),
       REGEXEXTRACT(C103,""(?i)KS\d{4}[A-Z]{2}""),
    IF(AND(REGEXMATCH(D103,""(?i)-DP""), REGEXMATCH(C103,""(?i)Downpipe"")),
       ""dp"" &amp; REGEXEXTRACT(C103,""("&amp;"\d+)"") &amp; ""mm"",
    IF(AND(REGEXMATCH(D103,""(?i)Bracket""), REGEXMATCH(C103,""(?i)Bracket"")),
       ""Brkt"" &amp; REGEXEXTRACT(C103,""(\d+)"") &amp; ""mm"",
    IF(AND(REGEXMATCH(D103,""(?i)-OP""), REGEXMATCH(C103,""(?i)pops"")),
       ""op"" &amp; REGEXEXTRAC"&amp;"T(C103,""(\d+)"") &amp; ""mm"",
    IF(OR(D103=""R-FFTop"", D103=""R-FFBottom"", D103=""R-FFSide""),
        IF(REGEXMATCH(C103,""(?i)Profiled.*Top|Top.*Profiled""),""pfft"",
        IF(REGEXMATCH(C103,""(?i)Profiled.*Bottom|Bottom.*Profiled""),""pffb"",
    "&amp;"    IF(REGEXMATCH(C103,""(?i)Square""),""sff"",""""))),
    IF(REGEXMATCH(D103,""(?i)-Rivets""),""Rvt"",
    IF(REGEXMATCH(D103,""(?i)Silicone""),""300ml"",
    IF(REGEXMATCH(D103,""(?i)R-Butyl""),""300ml"",
    IF(REGEXMATCH(D103,""(?i)Fix""),""GenFix"","&amp;"
    IF(AND(REGEXMATCH(C103,""(?i)Timber""), REGEXMATCH(D103,""(?i)Timber"")),""tp"",
    IF(AND(REGEXMATCH(C103,""(?i)Vent G1275""), REGEXMATCH(D103,""(?i)Comb FIller"")),""CFV1275"",
    IF(REGEXMATCH(C103,""(?i)DPC""),""dpc"",
    IF(REGEXMATCH(C103,"""&amp;"(?i)Concealed Clips""),""ConClips"",
    IF(REGEXMATCH(D103,""(?i)-Takeoff ea""),""Takeoff ea"",
    IF(REGEXMATCH(D103,""(?i)-Takeoff LM""),""Takeoff LM"",
    IF(REGEXMATCH(D103,""(?i)-Takeoff m2""),""Takeoff m2"",
    IF(D103=""R-TU/TD"",""TU/TD"","""""&amp;")))))))))))))))))
  )))"),"Rvt")</f>
        <v>Rvt</v>
      </c>
      <c r="C103" s="734" t="s">
        <v>100</v>
      </c>
      <c r="D103" s="124" t="s">
        <v>101</v>
      </c>
      <c r="E103" s="687">
        <f>E101</f>
        <v>0.51</v>
      </c>
      <c r="F103" s="128" t="str">
        <f t="shared" ref="F103:F105" si="73">F102</f>
        <v>3.5°</v>
      </c>
      <c r="G103" s="700"/>
      <c r="H103" s="700" t="str">
        <f>IFERROR(__xludf.DUMMYFUNCTION("IFERROR(REGEXEXTRACT(C103, ""(\d*\.\d+)mm""), """")"),"")</f>
        <v/>
      </c>
      <c r="I103" s="700"/>
      <c r="J103" s="126" t="s">
        <v>87</v>
      </c>
      <c r="K103" s="126" t="str">
        <f>IFERROR(
  IF(B103="", "", VLOOKUP(B103, Data!$B$2:$K$905, 7, FALSE)),
  ""
)</f>
        <v/>
      </c>
      <c r="L103" s="704"/>
      <c r="M103" s="150">
        <f>ROUNDUP(((M101/5.7)+1)*(E103/0.05),0)</f>
        <v>11</v>
      </c>
      <c r="N103" s="151">
        <f>IFERROR(__xludf.DUMMYFUNCTION("IF(B103="""", """", IFERROR(1 / COS(RADIANS(REGEXEXTRACT(F103,""(\d+)""))), 1))"),1.001372345997921)</f>
        <v>1.001372346</v>
      </c>
      <c r="O103" s="169">
        <v>1.0</v>
      </c>
      <c r="P103" s="134">
        <v>1.0</v>
      </c>
      <c r="Q103" s="168">
        <f t="shared" si="69"/>
        <v>11.01509581</v>
      </c>
      <c r="R103" s="136" t="str">
        <f>IFERROR(
  IF(B103="", "", VLOOKUP(B103, Data!$B$2:$K$905, 9, FALSE)),
  ""
)</f>
        <v/>
      </c>
      <c r="S103" s="152">
        <f t="shared" si="70"/>
        <v>0</v>
      </c>
      <c r="T103" s="690"/>
      <c r="U103" s="136" t="str">
        <f>IFERROR(
  IF(B103="", "", VLOOKUP(B103, Data!$B$2:$K$905, 10, FALSE)),
  ""
)
</f>
        <v/>
      </c>
      <c r="V103" s="691"/>
      <c r="W103" s="140">
        <f t="shared" si="71"/>
        <v>0</v>
      </c>
      <c r="X103" s="692"/>
      <c r="Y103" s="595"/>
      <c r="Z103" s="595"/>
      <c r="AA103" s="595"/>
      <c r="AB103" s="354">
        <f t="shared" si="72"/>
        <v>0</v>
      </c>
      <c r="AC103" s="181"/>
      <c r="AD103" s="625"/>
      <c r="AE103" s="626"/>
      <c r="AF103" s="696"/>
      <c r="AG103" s="697"/>
      <c r="AH103" s="629"/>
      <c r="AI103" s="187"/>
      <c r="AJ103" s="630"/>
      <c r="AK103" s="630"/>
      <c r="AL103" s="595"/>
      <c r="AM103" s="595"/>
      <c r="AN103" s="595"/>
      <c r="AO103" s="595"/>
      <c r="AP103" s="595"/>
      <c r="AQ103" s="595"/>
      <c r="AR103" s="595"/>
      <c r="AS103" s="595"/>
      <c r="AT103" s="595"/>
      <c r="AU103" s="595"/>
      <c r="AV103" s="595"/>
      <c r="AW103" s="595"/>
      <c r="AX103" s="595"/>
      <c r="AY103" s="595"/>
      <c r="AZ103" s="595"/>
      <c r="BA103" s="595"/>
      <c r="BB103" s="595"/>
      <c r="BC103" s="595"/>
      <c r="BD103" s="595"/>
      <c r="BE103" s="595"/>
      <c r="BF103" s="595"/>
      <c r="BG103" s="595"/>
      <c r="BH103" s="595"/>
      <c r="BI103" s="651"/>
      <c r="BJ103" s="651"/>
      <c r="BK103" s="651"/>
      <c r="BL103" s="651"/>
      <c r="BM103" s="651"/>
      <c r="BN103" s="651"/>
      <c r="BO103" s="651"/>
      <c r="BP103" s="651"/>
      <c r="BQ103" s="651"/>
      <c r="BR103" s="651"/>
      <c r="BS103" s="651"/>
      <c r="BT103" s="651"/>
    </row>
    <row r="104">
      <c r="A104" s="1313"/>
      <c r="B104" s="154" t="str">
        <f>IFERROR(__xludf.DUMMYFUNCTION("IFERROR(
  IF(C104="""","""",
    IF(OR(REGEXMATCH(D104,""(?i)-Flashing""), REGEXMATCH(D104,""(?i)-EavesGut""), REGEXMATCH(D104,""(?i)Valley"")),
        ""DR"" &amp;
        TEXT(
            ROUNDUP(
                MIN(
                    VALUE(MID(C104, "&amp;"FIND(""("",C104)+1, FIND(""/"",C104)-FIND(""("",C104)-1)),
                    1200
                ) / 50, 0
            ) * 50, ""0""
        ) &amp;
        MID(C104, FIND(""/"",C104)+1, FIND("")"",C104)-FIND(""/"",C104)-1) &amp;
        TEXT(H104*100,""0"") &amp;"&amp;"
        I104,
    IF(AND(D104=""Roof Sheet"", REGEXMATCH(C104,""(?i)KS\d{4}[A-Z]{2}"")),
       REGEXEXTRACT(C104,""(?i)KS\d{4}[A-Z]{2}""),
    IF(AND(REGEXMATCH(D104,""(?i)-DP""), REGEXMATCH(C104,""(?i)Downpipe"")),
       ""dp"" &amp; REGEXEXTRACT(C104,""("&amp;"\d+)"") &amp; ""mm"",
    IF(AND(REGEXMATCH(D104,""(?i)Bracket""), REGEXMATCH(C104,""(?i)Bracket"")),
       ""Brkt"" &amp; REGEXEXTRACT(C104,""(\d+)"") &amp; ""mm"",
    IF(AND(REGEXMATCH(D104,""(?i)-OP""), REGEXMATCH(C104,""(?i)pops"")),
       ""op"" &amp; REGEXEXTRAC"&amp;"T(C104,""(\d+)"") &amp; ""mm"",
    IF(OR(D104=""R-FFTop"", D104=""R-FFBottom"", D104=""R-FFSide""),
        IF(REGEXMATCH(C104,""(?i)Profiled.*Top|Top.*Profiled""),""pfft"",
        IF(REGEXMATCH(C104,""(?i)Profiled.*Bottom|Bottom.*Profiled""),""pffb"",
    "&amp;"    IF(REGEXMATCH(C104,""(?i)Square""),""sff"",""""))),
    IF(REGEXMATCH(D104,""(?i)-Rivets""),""Rvt"",
    IF(REGEXMATCH(D104,""(?i)Silicone""),""300ml"",
    IF(REGEXMATCH(D104,""(?i)R-Butyl""),""300ml"",
    IF(REGEXMATCH(D104,""(?i)Fix""),""GenFix"","&amp;"
    IF(AND(REGEXMATCH(C104,""(?i)Timber""), REGEXMATCH(D104,""(?i)Timber"")),""tp"",
    IF(AND(REGEXMATCH(C104,""(?i)Vent G1275""), REGEXMATCH(D104,""(?i)Comb FIller"")),""CFV1275"",
    IF(REGEXMATCH(C104,""(?i)DPC""),""dpc"",
    IF(REGEXMATCH(C104,"""&amp;"(?i)Concealed Clips""),""ConClips"",
    IF(REGEXMATCH(D104,""(?i)-Takeoff ea""),""Takeoff ea"",
    IF(REGEXMATCH(D104,""(?i)-Takeoff LM""),""Takeoff LM"",
    IF(REGEXMATCH(D104,""(?i)-Takeoff m2""),""Takeoff m2"",
    IF(D104=""R-TU/TD"",""TU/TD"","""""&amp;")))))))))))))))))
  )))"),"GenFix")</f>
        <v>GenFix</v>
      </c>
      <c r="C104" s="698" t="s">
        <v>102</v>
      </c>
      <c r="D104" s="124" t="s">
        <v>103</v>
      </c>
      <c r="E104" s="722"/>
      <c r="F104" s="128" t="str">
        <f t="shared" si="73"/>
        <v>3.5°</v>
      </c>
      <c r="G104" s="701"/>
      <c r="H104" s="700"/>
      <c r="I104" s="700"/>
      <c r="J104" s="126" t="s">
        <v>87</v>
      </c>
      <c r="K104" s="126" t="str">
        <f>IFERROR(
  IF(B104="", "", VLOOKUP(B104, Data!$B$2:$K$905, 7, FALSE)),
  ""
)</f>
        <v/>
      </c>
      <c r="L104" s="712"/>
      <c r="M104" s="150">
        <f>ROUNDUP(M101/0.6,0)+1</f>
        <v>1</v>
      </c>
      <c r="N104" s="151">
        <f>IFERROR(__xludf.DUMMYFUNCTION("IF(B104="""", """", IFERROR(1 / COS(RADIANS(REGEXEXTRACT(F104,""(\d+)""))), 1))"),1.001372345997921)</f>
        <v>1.001372346</v>
      </c>
      <c r="O104" s="169">
        <v>1.0</v>
      </c>
      <c r="P104" s="134">
        <v>2.0</v>
      </c>
      <c r="Q104" s="168">
        <f t="shared" si="69"/>
        <v>2.002744692</v>
      </c>
      <c r="R104" s="136" t="str">
        <f>IFERROR(
  IF(B104="", "", VLOOKUP(B104, Data!$B$2:$K$905, 9, FALSE)),
  ""
)</f>
        <v/>
      </c>
      <c r="S104" s="152">
        <f t="shared" si="70"/>
        <v>0</v>
      </c>
      <c r="T104" s="690"/>
      <c r="U104" s="136" t="str">
        <f>IFERROR(
  IF(B104="", "", VLOOKUP(B104, Data!$B$2:$K$905, 10, FALSE)),
  ""
)
</f>
        <v/>
      </c>
      <c r="V104" s="691"/>
      <c r="W104" s="140">
        <f t="shared" si="71"/>
        <v>0</v>
      </c>
      <c r="X104" s="692"/>
      <c r="Y104" s="595"/>
      <c r="Z104" s="595"/>
      <c r="AA104" s="595"/>
      <c r="AB104" s="354">
        <f t="shared" si="72"/>
        <v>0</v>
      </c>
      <c r="AC104" s="181"/>
      <c r="AD104" s="625"/>
      <c r="AE104" s="626"/>
      <c r="AF104" s="696"/>
      <c r="AG104" s="697"/>
      <c r="AH104" s="629"/>
      <c r="AI104" s="187"/>
      <c r="AJ104" s="630"/>
      <c r="AK104" s="630"/>
      <c r="AL104" s="595"/>
      <c r="AM104" s="595"/>
      <c r="AN104" s="595"/>
      <c r="AO104" s="595"/>
      <c r="AP104" s="595"/>
      <c r="AQ104" s="595"/>
      <c r="AR104" s="595"/>
      <c r="AS104" s="595"/>
      <c r="AT104" s="595"/>
      <c r="AU104" s="595"/>
      <c r="AV104" s="595"/>
      <c r="AW104" s="595"/>
      <c r="AX104" s="595"/>
      <c r="AY104" s="595"/>
      <c r="AZ104" s="595"/>
      <c r="BA104" s="595"/>
      <c r="BB104" s="595"/>
      <c r="BC104" s="595"/>
      <c r="BD104" s="595"/>
      <c r="BE104" s="595"/>
      <c r="BF104" s="595"/>
      <c r="BG104" s="595"/>
      <c r="BH104" s="595"/>
      <c r="BI104" s="651"/>
      <c r="BJ104" s="651"/>
      <c r="BK104" s="651"/>
      <c r="BL104" s="651"/>
      <c r="BM104" s="651"/>
      <c r="BN104" s="651"/>
      <c r="BO104" s="651"/>
      <c r="BP104" s="651"/>
      <c r="BQ104" s="651"/>
      <c r="BR104" s="651"/>
      <c r="BS104" s="651"/>
      <c r="BT104" s="651"/>
    </row>
    <row r="105">
      <c r="A105" s="1313"/>
      <c r="B105" s="154" t="str">
        <f>IFERROR(__xludf.DUMMYFUNCTION("IFERROR(
  IF(C105="""","""",
    IF(OR(REGEXMATCH(D105,""(?i)-Flashing""), REGEXMATCH(D105,""(?i)-EavesGut""), REGEXMATCH(D105,""(?i)Valley"")),
        ""DR"" &amp;
        TEXT(
            ROUNDUP(
                MIN(
                    VALUE(MID(C105, "&amp;"FIND(""("",C105)+1, FIND(""/"",C105)-FIND(""("",C105)-1)),
                    1200
                ) / 50, 0
            ) * 50, ""0""
        ) &amp;
        MID(C105, FIND(""/"",C105)+1, FIND("")"",C105)-FIND(""/"",C105)-1) &amp;
        TEXT(H105*100,""0"") &amp;"&amp;"
        I105,
    IF(AND(D105=""Roof Sheet"", REGEXMATCH(C105,""(?i)KS\d{4}[A-Z]{2}"")),
       REGEXEXTRACT(C105,""(?i)KS\d{4}[A-Z]{2}""),
    IF(AND(REGEXMATCH(D105,""(?i)-DP""), REGEXMATCH(C105,""(?i)Downpipe"")),
       ""dp"" &amp; REGEXEXTRACT(C105,""("&amp;"\d+)"") &amp; ""mm"",
    IF(AND(REGEXMATCH(D105,""(?i)Bracket""), REGEXMATCH(C105,""(?i)Bracket"")),
       ""Brkt"" &amp; REGEXEXTRACT(C105,""(\d+)"") &amp; ""mm"",
    IF(AND(REGEXMATCH(D105,""(?i)-OP""), REGEXMATCH(C105,""(?i)pops"")),
       ""op"" &amp; REGEXEXTRAC"&amp;"T(C105,""(\d+)"") &amp; ""mm"",
    IF(OR(D105=""R-FFTop"", D105=""R-FFBottom"", D105=""R-FFSide""),
        IF(REGEXMATCH(C105,""(?i)Profiled.*Top|Top.*Profiled""),""pfft"",
        IF(REGEXMATCH(C105,""(?i)Profiled.*Bottom|Bottom.*Profiled""),""pffb"",
    "&amp;"    IF(REGEXMATCH(C105,""(?i)Square""),""sff"",""""))),
    IF(REGEXMATCH(D105,""(?i)-Rivets""),""Rvt"",
    IF(REGEXMATCH(D105,""(?i)Silicone""),""300ml"",
    IF(REGEXMATCH(D105,""(?i)R-Butyl""),""300ml"",
    IF(REGEXMATCH(D105,""(?i)Fix""),""GenFix"","&amp;"
    IF(AND(REGEXMATCH(C105,""(?i)Timber""), REGEXMATCH(D105,""(?i)Timber"")),""tp"",
    IF(AND(REGEXMATCH(C105,""(?i)Vent G1275""), REGEXMATCH(D105,""(?i)Comb FIller"")),""CFV1275"",
    IF(REGEXMATCH(C105,""(?i)DPC""),""dpc"",
    IF(REGEXMATCH(C105,"""&amp;"(?i)Concealed Clips""),""ConClips"",
    IF(REGEXMATCH(D105,""(?i)-Takeoff ea""),""Takeoff ea"",
    IF(REGEXMATCH(D105,""(?i)-Takeoff LM""),""Takeoff LM"",
    IF(REGEXMATCH(D105,""(?i)-Takeoff m2""),""Takeoff m2"",
    IF(D105=""R-TU/TD"",""TU/TD"","""""&amp;")))))))))))))))))
  )))"),"sff")</f>
        <v>sff</v>
      </c>
      <c r="C105" s="734" t="s">
        <v>454</v>
      </c>
      <c r="D105" s="124" t="s">
        <v>105</v>
      </c>
      <c r="E105" s="722"/>
      <c r="F105" s="128" t="str">
        <f t="shared" si="73"/>
        <v>3.5°</v>
      </c>
      <c r="G105" s="701"/>
      <c r="H105" s="700"/>
      <c r="I105" s="700"/>
      <c r="J105" s="126" t="s">
        <v>87</v>
      </c>
      <c r="K105" s="126" t="str">
        <f>IFERROR(
  IF(B105="", "", VLOOKUP(B105, Data!$B$2:$K$905, 7, FALSE)),
  ""
)</f>
        <v/>
      </c>
      <c r="L105" s="712"/>
      <c r="M105" s="150" t="str">
        <f>M101</f>
        <v/>
      </c>
      <c r="N105" s="151">
        <f>IFERROR(__xludf.DUMMYFUNCTION("IF(B105="""", """", IFERROR(1 / COS(RADIANS(REGEXEXTRACT(F105,""(\d+)""))), 1))"),1.001372345997921)</f>
        <v>1.001372346</v>
      </c>
      <c r="O105" s="169">
        <v>1.0</v>
      </c>
      <c r="P105" s="134">
        <v>1.0</v>
      </c>
      <c r="Q105" s="168">
        <f t="shared" si="69"/>
        <v>0</v>
      </c>
      <c r="R105" s="136" t="str">
        <f>IFERROR(
  IF(B105="", "", VLOOKUP(B105, Data!$B$2:$K$905, 9, FALSE)),
  ""
)</f>
        <v/>
      </c>
      <c r="S105" s="152">
        <f t="shared" si="70"/>
        <v>0</v>
      </c>
      <c r="T105" s="690"/>
      <c r="U105" s="136" t="str">
        <f>IFERROR(
  IF(B105="", "", VLOOKUP(B105, Data!$B$2:$K$905, 10, FALSE)),
  ""
)
</f>
        <v/>
      </c>
      <c r="V105" s="691"/>
      <c r="W105" s="140">
        <f t="shared" si="71"/>
        <v>0</v>
      </c>
      <c r="X105" s="692"/>
      <c r="Y105" s="595"/>
      <c r="Z105" s="595"/>
      <c r="AA105" s="595"/>
      <c r="AB105" s="354">
        <f t="shared" si="72"/>
        <v>0</v>
      </c>
      <c r="AC105" s="181"/>
      <c r="AD105" s="625"/>
      <c r="AE105" s="626"/>
      <c r="AF105" s="696"/>
      <c r="AG105" s="697"/>
      <c r="AH105" s="629"/>
      <c r="AI105" s="187"/>
      <c r="AJ105" s="630"/>
      <c r="AK105" s="630"/>
      <c r="AL105" s="595"/>
      <c r="AM105" s="595"/>
      <c r="AN105" s="595"/>
      <c r="AO105" s="595"/>
      <c r="AP105" s="595"/>
      <c r="AQ105" s="595"/>
      <c r="AR105" s="595"/>
      <c r="AS105" s="595"/>
      <c r="AT105" s="595"/>
      <c r="AU105" s="595"/>
      <c r="AV105" s="595"/>
      <c r="AW105" s="595"/>
      <c r="AX105" s="595"/>
      <c r="AY105" s="595"/>
      <c r="AZ105" s="595"/>
      <c r="BA105" s="595"/>
      <c r="BB105" s="595"/>
      <c r="BC105" s="595"/>
      <c r="BD105" s="595"/>
      <c r="BE105" s="595"/>
      <c r="BF105" s="595"/>
      <c r="BG105" s="595"/>
      <c r="BH105" s="595"/>
      <c r="BI105" s="651"/>
      <c r="BJ105" s="651"/>
      <c r="BK105" s="651"/>
      <c r="BL105" s="651"/>
      <c r="BM105" s="651"/>
      <c r="BN105" s="651"/>
      <c r="BO105" s="651"/>
      <c r="BP105" s="651"/>
      <c r="BQ105" s="651"/>
      <c r="BR105" s="651"/>
      <c r="BS105" s="651"/>
      <c r="BT105" s="651"/>
    </row>
    <row r="106">
      <c r="A106" s="1313"/>
      <c r="B106" s="154"/>
      <c r="C106" s="734"/>
      <c r="D106" s="124"/>
      <c r="E106" s="722"/>
      <c r="F106" s="128"/>
      <c r="G106" s="701"/>
      <c r="H106" s="700"/>
      <c r="I106" s="700"/>
      <c r="J106" s="126"/>
      <c r="K106" s="126"/>
      <c r="L106" s="712"/>
      <c r="M106" s="150"/>
      <c r="N106" s="151"/>
      <c r="O106" s="169"/>
      <c r="P106" s="134"/>
      <c r="Q106" s="168"/>
      <c r="R106" s="136"/>
      <c r="S106" s="152"/>
      <c r="T106" s="690"/>
      <c r="U106" s="136"/>
      <c r="V106" s="691"/>
      <c r="W106" s="140"/>
      <c r="X106" s="692"/>
      <c r="Y106" s="595"/>
      <c r="Z106" s="595"/>
      <c r="AA106" s="595"/>
      <c r="AB106" s="354"/>
      <c r="AC106" s="181"/>
      <c r="AD106" s="625"/>
      <c r="AE106" s="626"/>
      <c r="AF106" s="696"/>
      <c r="AG106" s="697"/>
      <c r="AH106" s="629"/>
      <c r="AI106" s="187"/>
      <c r="AJ106" s="630"/>
      <c r="AK106" s="630"/>
      <c r="AL106" s="595"/>
      <c r="AM106" s="595"/>
      <c r="AN106" s="595"/>
      <c r="AO106" s="595"/>
      <c r="AP106" s="595"/>
      <c r="AQ106" s="595"/>
      <c r="AR106" s="595"/>
      <c r="AS106" s="595"/>
      <c r="AT106" s="595"/>
      <c r="AU106" s="595"/>
      <c r="AV106" s="595"/>
      <c r="AW106" s="595"/>
      <c r="AX106" s="595"/>
      <c r="AY106" s="595"/>
      <c r="AZ106" s="595"/>
      <c r="BA106" s="595"/>
      <c r="BB106" s="595"/>
      <c r="BC106" s="595"/>
      <c r="BD106" s="595"/>
      <c r="BE106" s="595"/>
      <c r="BF106" s="595"/>
      <c r="BG106" s="595"/>
      <c r="BH106" s="595"/>
      <c r="BI106" s="651"/>
      <c r="BJ106" s="651"/>
      <c r="BK106" s="651"/>
      <c r="BL106" s="651"/>
      <c r="BM106" s="651"/>
      <c r="BN106" s="651"/>
      <c r="BO106" s="651"/>
      <c r="BP106" s="651"/>
      <c r="BQ106" s="651"/>
      <c r="BR106" s="651"/>
      <c r="BS106" s="651"/>
      <c r="BT106" s="651"/>
    </row>
    <row r="107">
      <c r="A107" s="1313"/>
      <c r="B107" s="122" t="s">
        <v>535</v>
      </c>
      <c r="C107" s="223" t="s">
        <v>1216</v>
      </c>
      <c r="D107" s="148" t="s">
        <v>348</v>
      </c>
      <c r="E107" s="722"/>
      <c r="F107" s="128" t="str">
        <f>F105</f>
        <v>3.5°</v>
      </c>
      <c r="G107" s="701"/>
      <c r="H107" s="700"/>
      <c r="I107" s="700"/>
      <c r="J107" s="126" t="s">
        <v>87</v>
      </c>
      <c r="K107" s="126" t="str">
        <f>IFERROR(
  IF(B107="", "", VLOOKUP(B107, Data!$B$2:$K$905, 7, FALSE)),
  ""
)</f>
        <v/>
      </c>
      <c r="L107" s="712"/>
      <c r="M107" s="150" t="str">
        <f>M101</f>
        <v/>
      </c>
      <c r="N107" s="151">
        <f>IFERROR(__xludf.DUMMYFUNCTION("IF(B107="""", """", IFERROR(1 / COS(RADIANS(REGEXEXTRACT(F107,""(\d+)""))), 1))"),1.001372345997921)</f>
        <v>1.001372346</v>
      </c>
      <c r="O107" s="169">
        <v>1.0</v>
      </c>
      <c r="P107" s="134">
        <v>1.0</v>
      </c>
      <c r="Q107" s="168">
        <f t="shared" ref="Q107:Q108" si="74">M107*N107*O107*P107</f>
        <v>0</v>
      </c>
      <c r="R107" s="136" t="str">
        <f>IFERROR(
  IF(B107="", "", VLOOKUP(B107, Data!$B$2:$K$905, 9, FALSE)),
  ""
)</f>
        <v/>
      </c>
      <c r="S107" s="152">
        <f t="shared" ref="S107:S108" si="75">R107*Q107</f>
        <v>0</v>
      </c>
      <c r="T107" s="690"/>
      <c r="U107" s="136" t="str">
        <f>IFERROR(
  IF(B107="", "", VLOOKUP(B107, Data!$B$2:$K$905, 10, FALSE)),
  ""
)
</f>
        <v/>
      </c>
      <c r="V107" s="691"/>
      <c r="W107" s="140">
        <f t="shared" ref="W107:W108" si="76">U107*Q107</f>
        <v>0</v>
      </c>
      <c r="X107" s="692"/>
      <c r="Y107" s="595"/>
      <c r="Z107" s="595"/>
      <c r="AA107" s="595"/>
      <c r="AB107" s="354"/>
      <c r="AC107" s="181"/>
      <c r="AD107" s="625"/>
      <c r="AE107" s="626"/>
      <c r="AF107" s="696"/>
      <c r="AG107" s="697"/>
      <c r="AH107" s="629"/>
      <c r="AI107" s="187"/>
      <c r="AJ107" s="630"/>
      <c r="AK107" s="630"/>
      <c r="AL107" s="595"/>
      <c r="AM107" s="595"/>
      <c r="AN107" s="595"/>
      <c r="AO107" s="595"/>
      <c r="AP107" s="595"/>
      <c r="AQ107" s="595"/>
      <c r="AR107" s="595"/>
      <c r="AS107" s="595"/>
      <c r="AT107" s="595"/>
      <c r="AU107" s="595"/>
      <c r="AV107" s="595"/>
      <c r="AW107" s="595"/>
      <c r="AX107" s="595"/>
      <c r="AY107" s="595"/>
      <c r="AZ107" s="595"/>
      <c r="BA107" s="595"/>
      <c r="BB107" s="595"/>
      <c r="BC107" s="595"/>
      <c r="BD107" s="595"/>
      <c r="BE107" s="595"/>
      <c r="BF107" s="595"/>
      <c r="BG107" s="595"/>
      <c r="BH107" s="595"/>
      <c r="BI107" s="651"/>
      <c r="BJ107" s="651"/>
      <c r="BK107" s="651"/>
      <c r="BL107" s="651"/>
      <c r="BM107" s="651"/>
      <c r="BN107" s="651"/>
      <c r="BO107" s="651"/>
      <c r="BP107" s="651"/>
      <c r="BQ107" s="651"/>
      <c r="BR107" s="651"/>
      <c r="BS107" s="651"/>
      <c r="BT107" s="651"/>
    </row>
    <row r="108">
      <c r="A108" s="1313"/>
      <c r="B108" s="154" t="str">
        <f>IFERROR(__xludf.DUMMYFUNCTION("IFERROR(
  IF(C108="""","""",
    IF(OR(REGEXMATCH(D108,""(?i)-Flashing""), REGEXMATCH(D108,""(?i)-EavesGut""), REGEXMATCH(D108,""(?i)Valley"")),
        ""DR"" &amp;
        TEXT(
            ROUNDUP(
                MIN(
                    VALUE(MID(C108, "&amp;"FIND(""("",C108)+1, FIND(""/"",C108)-FIND(""("",C108)-1)),
                    1200
                ) / 50, 0
            ) * 50, ""0""
        ) &amp;
        MID(C108, FIND(""/"",C108)+1, FIND("")"",C108)-FIND(""/"",C108)-1) &amp;
        TEXT(H108*100,""0"") &amp;"&amp;"
        I108,
    IF(AND(D108=""Roof Sheet"", REGEXMATCH(C108,""(?i)KS\d{4}[A-Z]{2}"")),
       REGEXEXTRACT(C108,""(?i)KS\d{4}[A-Z]{2}""),
    IF(AND(REGEXMATCH(D108,""(?i)-DP""), REGEXMATCH(C108,""(?i)Downpipe"")),
       ""dp"" &amp; REGEXEXTRACT(C108,""("&amp;"\d+)"") &amp; ""mm"",
    IF(AND(REGEXMATCH(D108,""(?i)Bracket""), REGEXMATCH(C108,""(?i)Bracket"")),
       ""Brkt"" &amp; REGEXEXTRACT(C108,""(\d+)"") &amp; ""mm"",
    IF(AND(REGEXMATCH(D108,""(?i)-OP""), REGEXMATCH(C108,""(?i)pops"")),
       ""op"" &amp; REGEXEXTRAC"&amp;"T(C108,""(\d+)"") &amp; ""mm"",
    IF(OR(D108=""R-FFTop"", D108=""R-FFBottom"", D108=""R-FFSide""),
        IF(REGEXMATCH(C108,""(?i)Profiled.*Top|Top.*Profiled""),""pfft"",
        IF(REGEXMATCH(C108,""(?i)Profiled.*Bottom|Bottom.*Profiled""),""pffb"",
    "&amp;"    IF(REGEXMATCH(C108,""(?i)Square""),""sff"",""""))),
    IF(REGEXMATCH(D108,""(?i)-Rivets""),""Rvt"",
    IF(REGEXMATCH(D108,""(?i)Silicone""),""300ml"",
    IF(REGEXMATCH(D108,""(?i)R-Butyl""),""300ml"",
    IF(REGEXMATCH(D108,""(?i)Fix""),""GenFix"","&amp;"
    IF(AND(REGEXMATCH(C108,""(?i)Timber""), REGEXMATCH(D108,""(?i)Timber"")),""tp"",
    IF(AND(REGEXMATCH(C108,""(?i)Vent G1275""), REGEXMATCH(D108,""(?i)Comb FIller"")),""CFV1275"",
    IF(REGEXMATCH(C108,""(?i)DPC""),""dpc"",
    IF(REGEXMATCH(C108,"""&amp;"(?i)Concealed Clips""),""ConClips"",
    IF(REGEXMATCH(D108,""(?i)-Takeoff ea""),""Takeoff ea"",
    IF(REGEXMATCH(D108,""(?i)-Takeoff LM""),""Takeoff LM"",
    IF(REGEXMATCH(D108,""(?i)-Takeoff m2""),""Takeoff m2"",
    IF(D108=""R-TU/TD"",""TU/TD"","""""&amp;")))))))))))))))))
  )))"),"GenFix")</f>
        <v>GenFix</v>
      </c>
      <c r="C108" s="223" t="s">
        <v>102</v>
      </c>
      <c r="D108" s="148" t="s">
        <v>360</v>
      </c>
      <c r="E108" s="722"/>
      <c r="F108" s="128" t="str">
        <f>F107</f>
        <v>3.5°</v>
      </c>
      <c r="G108" s="701"/>
      <c r="H108" s="700"/>
      <c r="I108" s="700"/>
      <c r="J108" s="126" t="s">
        <v>87</v>
      </c>
      <c r="K108" s="126" t="str">
        <f>IFERROR(
  IF(B108="", "", VLOOKUP(B108, Data!$B$2:$K$905, 7, FALSE)),
  ""
)</f>
        <v/>
      </c>
      <c r="L108" s="712"/>
      <c r="M108" s="150">
        <f>ROUNDUP(M107/0.6,0)+1</f>
        <v>1</v>
      </c>
      <c r="N108" s="151">
        <f>IFERROR(__xludf.DUMMYFUNCTION("IF(B108="""", """", IFERROR(1 / COS(RADIANS(REGEXEXTRACT(F108,""(\d+)""))), 1))"),1.001372345997921)</f>
        <v>1.001372346</v>
      </c>
      <c r="O108" s="169">
        <v>1.0</v>
      </c>
      <c r="P108" s="134">
        <v>1.0</v>
      </c>
      <c r="Q108" s="168">
        <f t="shared" si="74"/>
        <v>1.001372346</v>
      </c>
      <c r="R108" s="136" t="str">
        <f>IFERROR(
  IF(B108="", "", VLOOKUP(B108, Data!$B$2:$K$905, 9, FALSE)),
  ""
)</f>
        <v/>
      </c>
      <c r="S108" s="152">
        <f t="shared" si="75"/>
        <v>0</v>
      </c>
      <c r="T108" s="690"/>
      <c r="U108" s="136" t="str">
        <f>IFERROR(
  IF(B108="", "", VLOOKUP(B108, Data!$B$2:$K$905, 10, FALSE)),
  ""
)
</f>
        <v/>
      </c>
      <c r="V108" s="691"/>
      <c r="W108" s="140">
        <f t="shared" si="76"/>
        <v>0</v>
      </c>
      <c r="X108" s="692"/>
      <c r="Y108" s="595"/>
      <c r="Z108" s="595"/>
      <c r="AA108" s="595"/>
      <c r="AB108" s="354"/>
      <c r="AC108" s="181"/>
      <c r="AD108" s="625"/>
      <c r="AE108" s="626"/>
      <c r="AF108" s="696"/>
      <c r="AG108" s="697"/>
      <c r="AH108" s="629"/>
      <c r="AI108" s="187"/>
      <c r="AJ108" s="630"/>
      <c r="AK108" s="630"/>
      <c r="AL108" s="595"/>
      <c r="AM108" s="595"/>
      <c r="AN108" s="595"/>
      <c r="AO108" s="595"/>
      <c r="AP108" s="595"/>
      <c r="AQ108" s="595"/>
      <c r="AR108" s="595"/>
      <c r="AS108" s="595"/>
      <c r="AT108" s="595"/>
      <c r="AU108" s="595"/>
      <c r="AV108" s="595"/>
      <c r="AW108" s="595"/>
      <c r="AX108" s="595"/>
      <c r="AY108" s="595"/>
      <c r="AZ108" s="595"/>
      <c r="BA108" s="595"/>
      <c r="BB108" s="595"/>
      <c r="BC108" s="595"/>
      <c r="BD108" s="595"/>
      <c r="BE108" s="595"/>
      <c r="BF108" s="595"/>
      <c r="BG108" s="595"/>
      <c r="BH108" s="595"/>
      <c r="BI108" s="651"/>
      <c r="BJ108" s="651"/>
      <c r="BK108" s="651"/>
      <c r="BL108" s="651"/>
      <c r="BM108" s="651"/>
      <c r="BN108" s="651"/>
      <c r="BO108" s="651"/>
      <c r="BP108" s="651"/>
      <c r="BQ108" s="651"/>
      <c r="BR108" s="651"/>
      <c r="BS108" s="651"/>
      <c r="BT108" s="651"/>
    </row>
    <row r="109">
      <c r="A109" s="1313"/>
      <c r="B109" s="154"/>
      <c r="C109" s="758"/>
      <c r="D109" s="701"/>
      <c r="E109" s="722"/>
      <c r="F109" s="128"/>
      <c r="G109" s="701"/>
      <c r="H109" s="700"/>
      <c r="I109" s="700"/>
      <c r="J109" s="701"/>
      <c r="K109" s="701"/>
      <c r="L109" s="712"/>
      <c r="M109" s="704"/>
      <c r="N109" s="711"/>
      <c r="O109" s="712"/>
      <c r="P109" s="700"/>
      <c r="Q109" s="712"/>
      <c r="R109" s="136" t="str">
        <f>IFERROR(
  IF(B109="", "", VLOOKUP(B109, Data!$B$2:$K$905, 9, FALSE)),
  ""
)</f>
        <v/>
      </c>
      <c r="S109" s="691"/>
      <c r="T109" s="690"/>
      <c r="U109" s="136" t="str">
        <f>IFERROR(
  IF(B109="", "", VLOOKUP(B109, Data!$B$2:$K$905, 10, FALSE)),
  ""
)
</f>
        <v/>
      </c>
      <c r="V109" s="691"/>
      <c r="W109" s="713"/>
      <c r="X109" s="692"/>
      <c r="Y109" s="595"/>
      <c r="Z109" s="595"/>
      <c r="AA109" s="595"/>
      <c r="AB109" s="354">
        <f>W109+S109</f>
        <v>0</v>
      </c>
      <c r="AC109" s="181"/>
      <c r="AD109" s="625"/>
      <c r="AE109" s="626"/>
      <c r="AF109" s="696"/>
      <c r="AG109" s="697"/>
      <c r="AH109" s="629"/>
      <c r="AI109" s="187"/>
      <c r="AJ109" s="630"/>
      <c r="AK109" s="630"/>
      <c r="AL109" s="595"/>
      <c r="AM109" s="595"/>
      <c r="AN109" s="595"/>
      <c r="AO109" s="595"/>
      <c r="AP109" s="595"/>
      <c r="AQ109" s="595"/>
      <c r="AR109" s="595"/>
      <c r="AS109" s="595"/>
      <c r="AT109" s="595"/>
      <c r="AU109" s="595"/>
      <c r="AV109" s="595"/>
      <c r="AW109" s="595"/>
      <c r="AX109" s="595"/>
      <c r="AY109" s="595"/>
      <c r="AZ109" s="595"/>
      <c r="BA109" s="595"/>
      <c r="BB109" s="595"/>
      <c r="BC109" s="595"/>
      <c r="BD109" s="595"/>
      <c r="BE109" s="595"/>
      <c r="BF109" s="595"/>
      <c r="BG109" s="595"/>
      <c r="BH109" s="595"/>
      <c r="BI109" s="651"/>
      <c r="BJ109" s="651"/>
      <c r="BK109" s="651"/>
      <c r="BL109" s="651"/>
      <c r="BM109" s="651"/>
      <c r="BN109" s="651"/>
      <c r="BO109" s="651"/>
      <c r="BP109" s="651"/>
      <c r="BQ109" s="651"/>
      <c r="BR109" s="651"/>
      <c r="BS109" s="651"/>
      <c r="BT109" s="651"/>
    </row>
    <row r="110">
      <c r="A110" s="1313">
        <v>1.0</v>
      </c>
      <c r="B110" s="102"/>
      <c r="C110" s="769" t="s">
        <v>458</v>
      </c>
      <c r="D110" s="104"/>
      <c r="E110" s="105"/>
      <c r="F110" s="104"/>
      <c r="G110" s="104"/>
      <c r="H110" s="104"/>
      <c r="I110" s="104"/>
      <c r="J110" s="104"/>
      <c r="K110" s="104" t="s">
        <v>42</v>
      </c>
      <c r="L110" s="106">
        <f>Q110</f>
        <v>0</v>
      </c>
      <c r="M110" s="105" t="s">
        <v>42</v>
      </c>
      <c r="N110" s="107" t="s">
        <v>42</v>
      </c>
      <c r="O110" s="105"/>
      <c r="P110" s="104"/>
      <c r="Q110" s="106">
        <f>Q111</f>
        <v>0</v>
      </c>
      <c r="R110" s="108" t="str">
        <f>IFERROR(
  IF(B110="", "", VLOOKUP(B110, Data!$B$2:$K$905, 9, FALSE)),
  ""
)</f>
        <v/>
      </c>
      <c r="S110" s="109" t="str">
        <f>T110/Q110</f>
        <v>#DIV/0!</v>
      </c>
      <c r="T110" s="109">
        <f>SUM(S111:S116)</f>
        <v>0</v>
      </c>
      <c r="U110" s="108" t="str">
        <f>IFERROR(
  IF(B110="", "", VLOOKUP(B110, Data!$B$2:$K$905, 10, FALSE)),
  ""
)
</f>
        <v/>
      </c>
      <c r="V110" s="109" t="str">
        <f>W110/Q110</f>
        <v>#DIV/0!</v>
      </c>
      <c r="W110" s="110">
        <f>SUM(W111:W116)</f>
        <v>0</v>
      </c>
      <c r="X110" s="111" t="str">
        <f>W110/$AC$1062/$W$1069/$X$1059</f>
        <v>#DIV/0!</v>
      </c>
      <c r="Y110" s="112" t="b">
        <f>(T110+W110)=(SUM(AB111:AB116))</f>
        <v>1</v>
      </c>
      <c r="Z110" s="113">
        <f>(T110+W110)-(SUM(AB111:AB116))</f>
        <v>0</v>
      </c>
      <c r="AA110" s="5"/>
      <c r="AB110" s="5"/>
      <c r="AC110" s="33"/>
      <c r="AD110" s="114">
        <f>W110+T110</f>
        <v>0</v>
      </c>
      <c r="AE110" s="115">
        <f>AD110</f>
        <v>0</v>
      </c>
      <c r="AF110" s="116" t="str">
        <f>AE110/$AE$1037</f>
        <v>#DIV/0!</v>
      </c>
      <c r="AG110" s="683" t="str">
        <f>AF110*$AG$1044</f>
        <v>#DIV/0!</v>
      </c>
      <c r="AH110" s="118" t="str">
        <f>AF110*$AG$1047</f>
        <v>#DIV/0!</v>
      </c>
      <c r="AI110" s="39"/>
      <c r="AJ110" s="119" t="str">
        <f>ROUND(AK110/L110,2)</f>
        <v>#DIV/0!</v>
      </c>
      <c r="AK110" s="119" t="str">
        <f>ROUND(AH110+AG110+AD110,2)</f>
        <v>#DIV/0!</v>
      </c>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260"/>
      <c r="BJ110" s="260"/>
      <c r="BK110" s="260"/>
      <c r="BL110" s="260"/>
      <c r="BM110" s="260"/>
      <c r="BN110" s="260"/>
      <c r="BO110" s="260"/>
      <c r="BP110" s="260"/>
      <c r="BQ110" s="260"/>
      <c r="BR110" s="260"/>
      <c r="BS110" s="260"/>
      <c r="BT110" s="260"/>
    </row>
    <row r="111">
      <c r="A111" s="1313"/>
      <c r="B111" s="154" t="str">
        <f>IFERROR(__xludf.DUMMYFUNCTION("IFERROR(
  IF(C111="""","""",
    IF(OR(REGEXMATCH(D111,""(?i)-Flashing""), REGEXMATCH(D111,""(?i)-EavesGut""), REGEXMATCH(D111,""(?i)Valley"")),
        ""DR"" &amp;
        TEXT(
            ROUNDUP(
                MIN(
                    VALUE(MID(C111, "&amp;"FIND(""("",C111)+1, FIND(""/"",C111)-FIND(""("",C111)-1)),
                    1200
                ) / 50, 0
            ) * 50, ""0""
        ) &amp;
        MID(C111, FIND(""/"",C111)+1, FIND("")"",C111)-FIND(""/"",C111)-1) &amp;
        TEXT(H111*100,""0"") &amp;"&amp;"
        I111,
    IF(AND(D111=""Roof Sheet"", REGEXMATCH(C111,""(?i)KS\d{4}[A-Z]{2}"")),
       REGEXEXTRACT(C111,""(?i)KS\d{4}[A-Z]{2}""),
    IF(AND(REGEXMATCH(D111,""(?i)-DP""), REGEXMATCH(C111,""(?i)Downpipe"")),
       ""dp"" &amp; REGEXEXTRACT(C111,""("&amp;"\d+)"") &amp; ""mm"",
    IF(AND(REGEXMATCH(D111,""(?i)Bracket""), REGEXMATCH(C111,""(?i)Bracket"")),
       ""Brkt"" &amp; REGEXEXTRACT(C111,""(\d+)"") &amp; ""mm"",
    IF(AND(REGEXMATCH(D111,""(?i)-OP""), REGEXMATCH(C111,""(?i)pops"")),
       ""op"" &amp; REGEXEXTRAC"&amp;"T(C111,""(\d+)"") &amp; ""mm"",
    IF(OR(D111=""R-FFTop"", D111=""R-FFBottom"", D111=""R-FFSide""),
        IF(REGEXMATCH(C111,""(?i)Profiled.*Top|Top.*Profiled""),""pfft"",
        IF(REGEXMATCH(C111,""(?i)Profiled.*Bottom|Bottom.*Profiled""),""pffb"",
    "&amp;"    IF(REGEXMATCH(C111,""(?i)Square""),""sff"",""""))),
    IF(REGEXMATCH(D111,""(?i)-Rivets""),""Rvt"",
    IF(REGEXMATCH(D111,""(?i)Silicone""),""300ml"",
    IF(REGEXMATCH(D111,""(?i)R-Butyl""),""300ml"",
    IF(REGEXMATCH(D111,""(?i)Fix""),""GenFix"","&amp;"
    IF(AND(REGEXMATCH(C111,""(?i)Timber""), REGEXMATCH(D111,""(?i)Timber"")),""tp"",
    IF(AND(REGEXMATCH(C111,""(?i)Vent G1275""), REGEXMATCH(D111,""(?i)Comb FIller"")),""CFV1275"",
    IF(REGEXMATCH(C111,""(?i)DPC""),""dpc"",
    IF(REGEXMATCH(C111,"""&amp;"(?i)Concealed Clips""),""ConClips"",
    IF(REGEXMATCH(D111,""(?i)-Takeoff ea""),""Takeoff ea"",
    IF(REGEXMATCH(D111,""(?i)-Takeoff LM""),""Takeoff LM"",
    IF(REGEXMATCH(D111,""(?i)-Takeoff m2""),""Takeoff m2"",
    IF(D111=""R-TU/TD"",""TU/TD"","""""&amp;")))))))))))))))))
  )))"),"DR12002B55Mag")</f>
        <v>DR12002B55Mag</v>
      </c>
      <c r="C111" s="698" t="s">
        <v>1217</v>
      </c>
      <c r="D111" s="124" t="s">
        <v>96</v>
      </c>
      <c r="E111" s="168">
        <f>VALUE(MID(C111, FIND("(", C111)+1, FIND("/", C111)-FIND("(", C111)-1)) / 1000</f>
        <v>2.09</v>
      </c>
      <c r="F111" s="126" t="str">
        <f>IFERROR(__xludf.DUMMYFUNCTION("IFERROR(REGEXEXTRACT(C111,""@\s*(\d+(?:\.\d+)?)\s*deg"")&amp;""°"","""")"),"3.5°")</f>
        <v>3.5°</v>
      </c>
      <c r="G111" s="149"/>
      <c r="H111" s="128" t="str">
        <f>IFERROR(__xludf.DUMMYFUNCTION("IFERROR(REGEXEXTRACT(C111, ""(\d*\.\d+)mm""), """")"),"0.55")</f>
        <v>0.55</v>
      </c>
      <c r="I111" s="128" t="s">
        <v>97</v>
      </c>
      <c r="J111" s="126" t="s">
        <v>14</v>
      </c>
      <c r="K111" s="126" t="s">
        <v>55</v>
      </c>
      <c r="L111" s="163"/>
      <c r="M111" s="150"/>
      <c r="N111" s="151">
        <f>IFERROR(__xludf.DUMMYFUNCTION("IF(B111="""", """", IFERROR(1 / COS(RADIANS(REGEXEXTRACT(F111,""(\d+)""))), 1))"),1.001372345997921)</f>
        <v>1.001372346</v>
      </c>
      <c r="O111" s="169">
        <v>1.0</v>
      </c>
      <c r="P111" s="156">
        <v>1.0</v>
      </c>
      <c r="Q111" s="168">
        <f t="shared" ref="Q111:Q117" si="78">M111*N111*O111*P111</f>
        <v>0</v>
      </c>
      <c r="R111" s="136" t="str">
        <f>IFERROR(
  IF(B111="", "", VLOOKUP(B111, Data!$B$2:$K$905, 9, FALSE)),
  ""
)</f>
        <v/>
      </c>
      <c r="S111" s="137">
        <f t="shared" ref="S111:S117" si="79">R111*Q111</f>
        <v>0</v>
      </c>
      <c r="T111" s="138"/>
      <c r="U111" s="136" t="str">
        <f>IFERROR(
  IF(B111="", "", VLOOKUP(B111, Data!$B$2:$K$905, 10, FALSE)),
  ""
)
</f>
        <v/>
      </c>
      <c r="V111" s="139"/>
      <c r="W111" s="140">
        <f t="shared" ref="W111:W117" si="80">U111*Q111</f>
        <v>0</v>
      </c>
      <c r="X111" s="165"/>
      <c r="Y111" s="5"/>
      <c r="Z111" s="5"/>
      <c r="AA111" s="5"/>
      <c r="AB111" s="354">
        <f t="shared" ref="AB111:AB117" si="81">W111+S111</f>
        <v>0</v>
      </c>
      <c r="AC111" s="33"/>
      <c r="AD111" s="65"/>
      <c r="AE111" s="66"/>
      <c r="AF111" s="144"/>
      <c r="AG111" s="68"/>
      <c r="AH111" s="69"/>
      <c r="AI111" s="39"/>
      <c r="AJ111" s="70"/>
      <c r="AK111" s="70"/>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260"/>
      <c r="BJ111" s="260"/>
      <c r="BK111" s="260"/>
      <c r="BL111" s="260"/>
      <c r="BM111" s="260"/>
      <c r="BN111" s="260"/>
      <c r="BO111" s="260"/>
      <c r="BP111" s="260"/>
      <c r="BQ111" s="260"/>
      <c r="BR111" s="260"/>
      <c r="BS111" s="260"/>
      <c r="BT111" s="260"/>
    </row>
    <row r="112">
      <c r="A112" s="1313"/>
      <c r="B112" s="154" t="str">
        <f>IFERROR(__xludf.DUMMYFUNCTION("IFERROR(
  IF(C112="""","""",
    IF(OR(REGEXMATCH(D112,""(?i)-Flashing""), REGEXMATCH(D112,""(?i)-EavesGut""), REGEXMATCH(D112,""(?i)Valley"")),
        ""DR"" &amp;
        TEXT(
            ROUNDUP(
                MIN(
                    VALUE(MID(C112, "&amp;"FIND(""("",C112)+1, FIND(""/"",C112)-FIND(""("",C112)-1)),
                    1200
                ) / 50, 0
            ) * 50, ""0""
        ) &amp;
        MID(C112, FIND(""/"",C112)+1, FIND("")"",C112)-FIND(""/"",C112)-1) &amp;
        TEXT(H112*100,""0"") &amp;"&amp;"
        I112,
    IF(AND(D112=""Roof Sheet"", REGEXMATCH(C112,""(?i)KS\d{4}[A-Z]{2}"")),
       REGEXEXTRACT(C112,""(?i)KS\d{4}[A-Z]{2}""),
    IF(AND(REGEXMATCH(D112,""(?i)-DP""), REGEXMATCH(C112,""(?i)Downpipe"")),
       ""dp"" &amp; REGEXEXTRACT(C112,""("&amp;"\d+)"") &amp; ""mm"",
    IF(AND(REGEXMATCH(D112,""(?i)Bracket""), REGEXMATCH(C112,""(?i)Bracket"")),
       ""Brkt"" &amp; REGEXEXTRACT(C112,""(\d+)"") &amp; ""mm"",
    IF(AND(REGEXMATCH(D112,""(?i)-OP""), REGEXMATCH(C112,""(?i)pops"")),
       ""op"" &amp; REGEXEXTRAC"&amp;"T(C112,""(\d+)"") &amp; ""mm"",
    IF(OR(D112=""R-FFTop"", D112=""R-FFBottom"", D112=""R-FFSide""),
        IF(REGEXMATCH(C112,""(?i)Profiled.*Top|Top.*Profiled""),""pfft"",
        IF(REGEXMATCH(C112,""(?i)Profiled.*Bottom|Bottom.*Profiled""),""pffb"",
    "&amp;"    IF(REGEXMATCH(C112,""(?i)Square""),""sff"",""""))),
    IF(REGEXMATCH(D112,""(?i)-Rivets""),""Rvt"",
    IF(REGEXMATCH(D112,""(?i)Silicone""),""300ml"",
    IF(REGEXMATCH(D112,""(?i)R-Butyl""),""300ml"",
    IF(REGEXMATCH(D112,""(?i)Fix""),""GenFix"","&amp;"
    IF(AND(REGEXMATCH(C112,""(?i)Timber""), REGEXMATCH(D112,""(?i)Timber"")),""tp"",
    IF(AND(REGEXMATCH(C112,""(?i)Vent G1275""), REGEXMATCH(D112,""(?i)Comb FIller"")),""CFV1275"",
    IF(REGEXMATCH(C112,""(?i)DPC""),""dpc"",
    IF(REGEXMATCH(C112,"""&amp;"(?i)Concealed Clips""),""ConClips"",
    IF(REGEXMATCH(D112,""(?i)-Takeoff ea""),""Takeoff ea"",
    IF(REGEXMATCH(D112,""(?i)-Takeoff LM""),""Takeoff LM"",
    IF(REGEXMATCH(D112,""(?i)-Takeoff m2""),""Takeoff m2"",
    IF(D112=""R-TU/TD"",""TU/TD"","""""&amp;")))))))))))))))))
  )))"),"300ml")</f>
        <v>300ml</v>
      </c>
      <c r="C112" s="734" t="s">
        <v>98</v>
      </c>
      <c r="D112" s="124" t="s">
        <v>99</v>
      </c>
      <c r="E112" s="168">
        <f t="shared" ref="E112:F112" si="77">E111</f>
        <v>2.09</v>
      </c>
      <c r="F112" s="126" t="str">
        <f t="shared" si="77"/>
        <v>3.5°</v>
      </c>
      <c r="G112" s="127"/>
      <c r="H112" s="127" t="str">
        <f>IFERROR(__xludf.DUMMYFUNCTION("IFERROR(REGEXEXTRACT(C112, ""(\d*\.\d+)mm""), """")"),"")</f>
        <v/>
      </c>
      <c r="I112" s="127"/>
      <c r="J112" s="126" t="s">
        <v>87</v>
      </c>
      <c r="K112" s="128" t="s">
        <v>52</v>
      </c>
      <c r="L112" s="163"/>
      <c r="M112" s="150">
        <f>(ROUNDDOWN((M111/5.7)+2,0)*E112)/8</f>
        <v>0.5225</v>
      </c>
      <c r="N112" s="151">
        <f>IFERROR(__xludf.DUMMYFUNCTION("IF(B112="""", """", IFERROR(1 / COS(RADIANS(REGEXEXTRACT(F112,""(\d+)""))), 1))"),1.001372345997921)</f>
        <v>1.001372346</v>
      </c>
      <c r="O112" s="169">
        <v>1.0</v>
      </c>
      <c r="P112" s="134">
        <f t="shared" ref="P112:P114" si="82">P111</f>
        <v>1</v>
      </c>
      <c r="Q112" s="168">
        <f t="shared" si="78"/>
        <v>0.5232170508</v>
      </c>
      <c r="R112" s="136" t="str">
        <f>IFERROR(
  IF(B112="", "", VLOOKUP(B112, Data!$B$2:$K$905, 9, FALSE)),
  ""
)</f>
        <v/>
      </c>
      <c r="S112" s="137">
        <f t="shared" si="79"/>
        <v>0</v>
      </c>
      <c r="T112" s="138"/>
      <c r="U112" s="108" t="str">
        <f>IFERROR(
  IF(B112="", "", VLOOKUP(B112, Data!$B$2:$K$905, 10, FALSE)),
  ""
)
</f>
        <v/>
      </c>
      <c r="V112" s="139"/>
      <c r="W112" s="140">
        <f t="shared" si="80"/>
        <v>0</v>
      </c>
      <c r="X112" s="159"/>
      <c r="Y112" s="5"/>
      <c r="Z112" s="5"/>
      <c r="AA112" s="5"/>
      <c r="AB112" s="354">
        <f t="shared" si="81"/>
        <v>0</v>
      </c>
      <c r="AC112" s="33"/>
      <c r="AD112" s="65"/>
      <c r="AE112" s="66"/>
      <c r="AF112" s="144"/>
      <c r="AG112" s="68"/>
      <c r="AH112" s="69"/>
      <c r="AI112" s="39"/>
      <c r="AJ112" s="70"/>
      <c r="AK112" s="70"/>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260"/>
      <c r="BJ112" s="260"/>
      <c r="BK112" s="260"/>
      <c r="BL112" s="260"/>
      <c r="BM112" s="260"/>
      <c r="BN112" s="260"/>
      <c r="BO112" s="260"/>
      <c r="BP112" s="260"/>
      <c r="BQ112" s="260"/>
      <c r="BR112" s="260"/>
      <c r="BS112" s="260"/>
      <c r="BT112" s="260"/>
    </row>
    <row r="113">
      <c r="A113" s="1313"/>
      <c r="B113" s="154" t="str">
        <f>IFERROR(__xludf.DUMMYFUNCTION("IFERROR(
  IF(C113="""","""",
    IF(OR(REGEXMATCH(D113,""(?i)-Flashing""), REGEXMATCH(D113,""(?i)-EavesGut""), REGEXMATCH(D113,""(?i)Valley"")),
        ""DR"" &amp;
        TEXT(
            ROUNDUP(
                MIN(
                    VALUE(MID(C113, "&amp;"FIND(""("",C113)+1, FIND(""/"",C113)-FIND(""("",C113)-1)),
                    1200
                ) / 50, 0
            ) * 50, ""0""
        ) &amp;
        MID(C113, FIND(""/"",C113)+1, FIND("")"",C113)-FIND(""/"",C113)-1) &amp;
        TEXT(H113*100,""0"") &amp;"&amp;"
        I113,
    IF(AND(D113=""Roof Sheet"", REGEXMATCH(C113,""(?i)KS\d{4}[A-Z]{2}"")),
       REGEXEXTRACT(C113,""(?i)KS\d{4}[A-Z]{2}""),
    IF(AND(REGEXMATCH(D113,""(?i)-DP""), REGEXMATCH(C113,""(?i)Downpipe"")),
       ""dp"" &amp; REGEXEXTRACT(C113,""("&amp;"\d+)"") &amp; ""mm"",
    IF(AND(REGEXMATCH(D113,""(?i)Bracket""), REGEXMATCH(C113,""(?i)Bracket"")),
       ""Brkt"" &amp; REGEXEXTRACT(C113,""(\d+)"") &amp; ""mm"",
    IF(AND(REGEXMATCH(D113,""(?i)-OP""), REGEXMATCH(C113,""(?i)pops"")),
       ""op"" &amp; REGEXEXTRAC"&amp;"T(C113,""(\d+)"") &amp; ""mm"",
    IF(OR(D113=""R-FFTop"", D113=""R-FFBottom"", D113=""R-FFSide""),
        IF(REGEXMATCH(C113,""(?i)Profiled.*Top|Top.*Profiled""),""pfft"",
        IF(REGEXMATCH(C113,""(?i)Profiled.*Bottom|Bottom.*Profiled""),""pffb"",
    "&amp;"    IF(REGEXMATCH(C113,""(?i)Square""),""sff"",""""))),
    IF(REGEXMATCH(D113,""(?i)-Rivets""),""Rvt"",
    IF(REGEXMATCH(D113,""(?i)Silicone""),""300ml"",
    IF(REGEXMATCH(D113,""(?i)R-Butyl""),""300ml"",
    IF(REGEXMATCH(D113,""(?i)Fix""),""GenFix"","&amp;"
    IF(AND(REGEXMATCH(C113,""(?i)Timber""), REGEXMATCH(D113,""(?i)Timber"")),""tp"",
    IF(AND(REGEXMATCH(C113,""(?i)Vent G1275""), REGEXMATCH(D113,""(?i)Comb FIller"")),""CFV1275"",
    IF(REGEXMATCH(C113,""(?i)DPC""),""dpc"",
    IF(REGEXMATCH(C113,"""&amp;"(?i)Concealed Clips""),""ConClips"",
    IF(REGEXMATCH(D113,""(?i)-Takeoff ea""),""Takeoff ea"",
    IF(REGEXMATCH(D113,""(?i)-Takeoff LM""),""Takeoff LM"",
    IF(REGEXMATCH(D113,""(?i)-Takeoff m2""),""Takeoff m2"",
    IF(D113=""R-TU/TD"",""TU/TD"","""""&amp;")))))))))))))))))
  )))"),"Rvt")</f>
        <v>Rvt</v>
      </c>
      <c r="C113" s="734" t="s">
        <v>100</v>
      </c>
      <c r="D113" s="124" t="s">
        <v>101</v>
      </c>
      <c r="E113" s="168">
        <f t="shared" ref="E113:E114" si="83">E111</f>
        <v>2.09</v>
      </c>
      <c r="F113" s="126" t="str">
        <f t="shared" ref="F113:F115" si="84">F112</f>
        <v>3.5°</v>
      </c>
      <c r="G113" s="127"/>
      <c r="H113" s="127" t="str">
        <f>IFERROR(__xludf.DUMMYFUNCTION("IFERROR(REGEXEXTRACT(C113, ""(\d*\.\d+)mm""), """")"),"")</f>
        <v/>
      </c>
      <c r="I113" s="127"/>
      <c r="J113" s="126" t="s">
        <v>87</v>
      </c>
      <c r="K113" s="128" t="s">
        <v>52</v>
      </c>
      <c r="L113" s="163"/>
      <c r="M113" s="150">
        <f>ROUNDUP(((M111/5.7)+1)*(E113/0.05),0)</f>
        <v>42</v>
      </c>
      <c r="N113" s="151">
        <f>IFERROR(__xludf.DUMMYFUNCTION("IF(B113="""", """", IFERROR(1 / COS(RADIANS(REGEXEXTRACT(F113,""(\d+)""))), 1))"),1.001372345997921)</f>
        <v>1.001372346</v>
      </c>
      <c r="O113" s="169">
        <v>1.0</v>
      </c>
      <c r="P113" s="134">
        <f t="shared" si="82"/>
        <v>1</v>
      </c>
      <c r="Q113" s="168">
        <f t="shared" si="78"/>
        <v>42.05763853</v>
      </c>
      <c r="R113" s="136" t="str">
        <f>IFERROR(
  IF(B113="", "", VLOOKUP(B113, Data!$B$2:$K$905, 9, FALSE)),
  ""
)</f>
        <v/>
      </c>
      <c r="S113" s="137">
        <f t="shared" si="79"/>
        <v>0</v>
      </c>
      <c r="T113" s="138"/>
      <c r="U113" s="108" t="str">
        <f>IFERROR(
  IF(B113="", "", VLOOKUP(B113, Data!$B$2:$K$905, 10, FALSE)),
  ""
)
</f>
        <v/>
      </c>
      <c r="V113" s="139"/>
      <c r="W113" s="140">
        <f t="shared" si="80"/>
        <v>0</v>
      </c>
      <c r="X113" s="159"/>
      <c r="Y113" s="5"/>
      <c r="Z113" s="5"/>
      <c r="AA113" s="5"/>
      <c r="AB113" s="354">
        <f t="shared" si="81"/>
        <v>0</v>
      </c>
      <c r="AC113" s="33"/>
      <c r="AD113" s="65"/>
      <c r="AE113" s="66"/>
      <c r="AF113" s="144"/>
      <c r="AG113" s="68"/>
      <c r="AH113" s="69"/>
      <c r="AI113" s="39"/>
      <c r="AJ113" s="70"/>
      <c r="AK113" s="70"/>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260"/>
      <c r="BJ113" s="260"/>
      <c r="BK113" s="260"/>
      <c r="BL113" s="260"/>
      <c r="BM113" s="260"/>
      <c r="BN113" s="260"/>
      <c r="BO113" s="260"/>
      <c r="BP113" s="260"/>
      <c r="BQ113" s="260"/>
      <c r="BR113" s="260"/>
      <c r="BS113" s="260"/>
      <c r="BT113" s="260"/>
    </row>
    <row r="114">
      <c r="A114" s="1313"/>
      <c r="B114" s="154" t="str">
        <f>IFERROR(__xludf.DUMMYFUNCTION("IFERROR(
  IF(C114="""","""",
    IF(OR(REGEXMATCH(D114,""(?i)-Flashing""), REGEXMATCH(D114,""(?i)-EavesGut""), REGEXMATCH(D114,""(?i)Valley"")),
        ""DR"" &amp;
        TEXT(
            ROUNDUP(
                MIN(
                    VALUE(MID(C114, "&amp;"FIND(""("",C114)+1, FIND(""/"",C114)-FIND(""("",C114)-1)),
                    1200
                ) / 50, 0
            ) * 50, ""0""
        ) &amp;
        MID(C114, FIND(""/"",C114)+1, FIND("")"",C114)-FIND(""/"",C114)-1) &amp;
        TEXT(H114*100,""0"") &amp;"&amp;"
        I114,
    IF(AND(D114=""Roof Sheet"", REGEXMATCH(C114,""(?i)KS\d{4}[A-Z]{2}"")),
       REGEXEXTRACT(C114,""(?i)KS\d{4}[A-Z]{2}""),
    IF(AND(REGEXMATCH(D114,""(?i)-DP""), REGEXMATCH(C114,""(?i)Downpipe"")),
       ""dp"" &amp; REGEXEXTRACT(C114,""("&amp;"\d+)"") &amp; ""mm"",
    IF(AND(REGEXMATCH(D114,""(?i)Bracket""), REGEXMATCH(C114,""(?i)Bracket"")),
       ""Brkt"" &amp; REGEXEXTRACT(C114,""(\d+)"") &amp; ""mm"",
    IF(AND(REGEXMATCH(D114,""(?i)-OP""), REGEXMATCH(C114,""(?i)pops"")),
       ""op"" &amp; REGEXEXTRAC"&amp;"T(C114,""(\d+)"") &amp; ""mm"",
    IF(OR(D114=""R-FFTop"", D114=""R-FFBottom"", D114=""R-FFSide""),
        IF(REGEXMATCH(C114,""(?i)Profiled.*Top|Top.*Profiled""),""pfft"",
        IF(REGEXMATCH(C114,""(?i)Profiled.*Bottom|Bottom.*Profiled""),""pffb"",
    "&amp;"    IF(REGEXMATCH(C114,""(?i)Square""),""sff"",""""))),
    IF(REGEXMATCH(D114,""(?i)-Rivets""),""Rvt"",
    IF(REGEXMATCH(D114,""(?i)Silicone""),""300ml"",
    IF(REGEXMATCH(D114,""(?i)R-Butyl""),""300ml"",
    IF(REGEXMATCH(D114,""(?i)Fix""),""GenFix"","&amp;"
    IF(AND(REGEXMATCH(C114,""(?i)Timber""), REGEXMATCH(D114,""(?i)Timber"")),""tp"",
    IF(AND(REGEXMATCH(C114,""(?i)Vent G1275""), REGEXMATCH(D114,""(?i)Comb FIller"")),""CFV1275"",
    IF(REGEXMATCH(C114,""(?i)DPC""),""dpc"",
    IF(REGEXMATCH(C114,"""&amp;"(?i)Concealed Clips""),""ConClips"",
    IF(REGEXMATCH(D114,""(?i)-Takeoff ea""),""Takeoff ea"",
    IF(REGEXMATCH(D114,""(?i)-Takeoff LM""),""Takeoff LM"",
    IF(REGEXMATCH(D114,""(?i)-Takeoff m2""),""Takeoff m2"",
    IF(D114=""R-TU/TD"",""TU/TD"","""""&amp;")))))))))))))))))
  )))"),"GenFix")</f>
        <v>GenFix</v>
      </c>
      <c r="C114" s="698" t="s">
        <v>102</v>
      </c>
      <c r="D114" s="124" t="s">
        <v>389</v>
      </c>
      <c r="E114" s="168">
        <f t="shared" si="83"/>
        <v>2.09</v>
      </c>
      <c r="F114" s="126" t="str">
        <f t="shared" si="84"/>
        <v>3.5°</v>
      </c>
      <c r="G114" s="129"/>
      <c r="H114" s="127" t="str">
        <f>IFERROR(__xludf.DUMMYFUNCTION("IFERROR(REGEXEXTRACT(C114, ""(\d*\.\d+)mm""), """")"),"")</f>
        <v/>
      </c>
      <c r="I114" s="127"/>
      <c r="J114" s="126" t="s">
        <v>87</v>
      </c>
      <c r="K114" s="126" t="s">
        <v>52</v>
      </c>
      <c r="L114" s="163"/>
      <c r="M114" s="150">
        <f>ROUNDUP((M111*E114)*8,0)+1</f>
        <v>1</v>
      </c>
      <c r="N114" s="151">
        <f>IFERROR(__xludf.DUMMYFUNCTION("IF(B114="""", """", IFERROR(1 / COS(RADIANS(REGEXEXTRACT(F114,""(\d+)""))), 1))"),1.001372345997921)</f>
        <v>1.001372346</v>
      </c>
      <c r="O114" s="169">
        <v>1.0</v>
      </c>
      <c r="P114" s="134">
        <f t="shared" si="82"/>
        <v>1</v>
      </c>
      <c r="Q114" s="168">
        <f t="shared" si="78"/>
        <v>1.001372346</v>
      </c>
      <c r="R114" s="136" t="str">
        <f>IFERROR(
  IF(B114="", "", VLOOKUP(B114, Data!$B$2:$K$905, 9, FALSE)),
  ""
)</f>
        <v/>
      </c>
      <c r="S114" s="137">
        <f t="shared" si="79"/>
        <v>0</v>
      </c>
      <c r="T114" s="138"/>
      <c r="U114" s="108" t="str">
        <f>IFERROR(
  IF(B114="", "", VLOOKUP(B114, Data!$B$2:$K$905, 10, FALSE)),
  ""
)
</f>
        <v/>
      </c>
      <c r="V114" s="139"/>
      <c r="W114" s="140">
        <f t="shared" si="80"/>
        <v>0</v>
      </c>
      <c r="X114" s="159"/>
      <c r="Y114" s="5"/>
      <c r="Z114" s="5"/>
      <c r="AA114" s="5"/>
      <c r="AB114" s="354">
        <f t="shared" si="81"/>
        <v>0</v>
      </c>
      <c r="AC114" s="33"/>
      <c r="AD114" s="65"/>
      <c r="AE114" s="66"/>
      <c r="AF114" s="144"/>
      <c r="AG114" s="68"/>
      <c r="AH114" s="69"/>
      <c r="AI114" s="39"/>
      <c r="AJ114" s="70"/>
      <c r="AK114" s="70"/>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260"/>
      <c r="BJ114" s="260"/>
      <c r="BK114" s="260"/>
      <c r="BL114" s="260"/>
      <c r="BM114" s="260"/>
      <c r="BN114" s="260"/>
      <c r="BO114" s="260"/>
      <c r="BP114" s="260"/>
      <c r="BQ114" s="260"/>
      <c r="BR114" s="260"/>
      <c r="BS114" s="260"/>
      <c r="BT114" s="260"/>
    </row>
    <row r="115">
      <c r="A115" s="1313"/>
      <c r="B115" s="154" t="str">
        <f>IFERROR(__xludf.DUMMYFUNCTION("IFERROR(
  IF(C115="""","""",
    IF(OR(REGEXMATCH(D115,""(?i)-Flashing""), REGEXMATCH(D115,""(?i)-EavesGut""), REGEXMATCH(D115,""(?i)Valley"")),
        ""DR"" &amp;
        TEXT(
            ROUNDUP(
                MIN(
                    VALUE(MID(C115, "&amp;"FIND(""("",C115)+1, FIND(""/"",C115)-FIND(""("",C115)-1)),
                    1200
                ) / 50, 0
            ) * 50, ""0""
        ) &amp;
        MID(C115, FIND(""/"",C115)+1, FIND("")"",C115)-FIND(""/"",C115)-1) &amp;
        TEXT(H115*100,""0"") &amp;"&amp;"
        I115,
    IF(AND(D115=""Roof Sheet"", REGEXMATCH(C115,""(?i)KS\d{4}[A-Z]{2}"")),
       REGEXEXTRACT(C115,""(?i)KS\d{4}[A-Z]{2}""),
    IF(AND(REGEXMATCH(D115,""(?i)-DP""), REGEXMATCH(C115,""(?i)Downpipe"")),
       ""dp"" &amp; REGEXEXTRACT(C115,""("&amp;"\d+)"") &amp; ""mm"",
    IF(AND(REGEXMATCH(D115,""(?i)Bracket""), REGEXMATCH(C115,""(?i)Bracket"")),
       ""Brkt"" &amp; REGEXEXTRACT(C115,""(\d+)"") &amp; ""mm"",
    IF(AND(REGEXMATCH(D115,""(?i)-OP""), REGEXMATCH(C115,""(?i)pops"")),
       ""op"" &amp; REGEXEXTRAC"&amp;"T(C115,""(\d+)"") &amp; ""mm"",
    IF(OR(D115=""R-FFTop"", D115=""R-FFBottom"", D115=""R-FFSide""),
        IF(REGEXMATCH(C115,""(?i)Profiled.*Top|Top.*Profiled""),""pfft"",
        IF(REGEXMATCH(C115,""(?i)Profiled.*Bottom|Bottom.*Profiled""),""pffb"",
    "&amp;"    IF(REGEXMATCH(C115,""(?i)Square""),""sff"",""""))),
    IF(REGEXMATCH(D115,""(?i)-Rivets""),""Rvt"",
    IF(REGEXMATCH(D115,""(?i)Silicone""),""300ml"",
    IF(REGEXMATCH(D115,""(?i)R-Butyl""),""300ml"",
    IF(REGEXMATCH(D115,""(?i)Fix""),""GenFix"","&amp;"
    IF(AND(REGEXMATCH(C115,""(?i)Timber""), REGEXMATCH(D115,""(?i)Timber"")),""tp"",
    IF(AND(REGEXMATCH(C115,""(?i)Vent G1275""), REGEXMATCH(D115,""(?i)Comb FIller"")),""CFV1275"",
    IF(REGEXMATCH(C115,""(?i)DPC""),""dpc"",
    IF(REGEXMATCH(C115,"""&amp;"(?i)Concealed Clips""),""ConClips"",
    IF(REGEXMATCH(D115,""(?i)-Takeoff ea""),""Takeoff ea"",
    IF(REGEXMATCH(D115,""(?i)-Takeoff LM""),""Takeoff LM"",
    IF(REGEXMATCH(D115,""(?i)-Takeoff m2""),""Takeoff m2"",
    IF(D115=""R-TU/TD"",""TU/TD"","""""&amp;")))))))))))))))))
  )))"),"sff")</f>
        <v>sff</v>
      </c>
      <c r="C115" s="734" t="s">
        <v>110</v>
      </c>
      <c r="D115" s="124" t="s">
        <v>111</v>
      </c>
      <c r="E115" s="163"/>
      <c r="F115" s="126" t="str">
        <f t="shared" si="84"/>
        <v>3.5°</v>
      </c>
      <c r="G115" s="129"/>
      <c r="H115" s="127" t="str">
        <f>IFERROR(__xludf.DUMMYFUNCTION("IFERROR(REGEXEXTRACT(C115, ""(\d*\.\d+)mm""), """")"),"")</f>
        <v/>
      </c>
      <c r="I115" s="127"/>
      <c r="J115" s="126" t="s">
        <v>87</v>
      </c>
      <c r="K115" s="126" t="s">
        <v>55</v>
      </c>
      <c r="L115" s="163"/>
      <c r="M115" s="150" t="str">
        <f>M111</f>
        <v/>
      </c>
      <c r="N115" s="151">
        <f>IFERROR(__xludf.DUMMYFUNCTION("IF(B115="""", """", IFERROR(1 / COS(RADIANS(REGEXEXTRACT(F115,""(\d+)""))), 1))"),1.001372345997921)</f>
        <v>1.001372346</v>
      </c>
      <c r="O115" s="169">
        <v>1.0</v>
      </c>
      <c r="P115" s="134">
        <f>P114*2</f>
        <v>2</v>
      </c>
      <c r="Q115" s="168">
        <f t="shared" si="78"/>
        <v>0</v>
      </c>
      <c r="R115" s="136" t="str">
        <f>IFERROR(
  IF(B115="", "", VLOOKUP(B115, Data!$B$2:$K$905, 9, FALSE)),
  ""
)</f>
        <v/>
      </c>
      <c r="S115" s="137">
        <f t="shared" si="79"/>
        <v>0</v>
      </c>
      <c r="T115" s="138"/>
      <c r="U115" s="136" t="str">
        <f>IFERROR(
  IF(B115="", "", VLOOKUP(B115, Data!$B$2:$K$905, 10, FALSE)),
  ""
)
</f>
        <v/>
      </c>
      <c r="V115" s="139"/>
      <c r="W115" s="140">
        <f t="shared" si="80"/>
        <v>0</v>
      </c>
      <c r="X115" s="159"/>
      <c r="Y115" s="5"/>
      <c r="Z115" s="5"/>
      <c r="AA115" s="5"/>
      <c r="AB115" s="354">
        <f t="shared" si="81"/>
        <v>0</v>
      </c>
      <c r="AC115" s="33"/>
      <c r="AD115" s="65"/>
      <c r="AE115" s="66"/>
      <c r="AF115" s="144"/>
      <c r="AG115" s="68"/>
      <c r="AH115" s="69"/>
      <c r="AI115" s="39"/>
      <c r="AJ115" s="70"/>
      <c r="AK115" s="70"/>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260"/>
      <c r="BJ115" s="260"/>
      <c r="BK115" s="260"/>
      <c r="BL115" s="260"/>
      <c r="BM115" s="260"/>
      <c r="BN115" s="260"/>
      <c r="BO115" s="260"/>
      <c r="BP115" s="260"/>
      <c r="BQ115" s="260"/>
      <c r="BR115" s="260"/>
      <c r="BS115" s="260"/>
      <c r="BT115" s="260"/>
    </row>
    <row r="116">
      <c r="A116" s="1313"/>
      <c r="B116" s="154" t="str">
        <f>IFERROR(__xludf.DUMMYFUNCTION("IFERROR(
  IF(C116="""","""",
    IF(OR(REGEXMATCH(D116,""(?i)-Flashing""), REGEXMATCH(D116,""(?i)-EavesGut""), REGEXMATCH(D116,""(?i)Valley"")),
        ""DR"" &amp;
        TEXT(
            ROUNDUP(
                MIN(
                    VALUE(MID(C116, "&amp;"FIND(""("",C116)+1, FIND(""/"",C116)-FIND(""("",C116)-1)),
                    1200
                ) / 50, 0
            ) * 50, ""0""
        ) &amp;
        MID(C116, FIND(""/"",C116)+1, FIND("")"",C116)-FIND(""/"",C116)-1) &amp;
        TEXT(H116*100,""0"") &amp;"&amp;"
        I116,
    IF(AND(D116=""Roof Sheet"", REGEXMATCH(C116,""(?i)KS\d{4}[A-Z]{2}"")),
       REGEXEXTRACT(C116,""(?i)KS\d{4}[A-Z]{2}""),
    IF(AND(REGEXMATCH(D116,""(?i)-DP""), REGEXMATCH(C116,""(?i)Downpipe"")),
       ""dp"" &amp; REGEXEXTRACT(C116,""("&amp;"\d+)"") &amp; ""mm"",
    IF(AND(REGEXMATCH(D116,""(?i)Bracket""), REGEXMATCH(C116,""(?i)Bracket"")),
       ""Brkt"" &amp; REGEXEXTRACT(C116,""(\d+)"") &amp; ""mm"",
    IF(AND(REGEXMATCH(D116,""(?i)-OP""), REGEXMATCH(C116,""(?i)pops"")),
       ""op"" &amp; REGEXEXTRAC"&amp;"T(C116,""(\d+)"") &amp; ""mm"",
    IF(OR(D116=""R-FFTop"", D116=""R-FFBottom"", D116=""R-FFSide""),
        IF(REGEXMATCH(C116,""(?i)Profiled.*Top|Top.*Profiled""),""pfft"",
        IF(REGEXMATCH(C116,""(?i)Profiled.*Bottom|Bottom.*Profiled""),""pffb"",
    "&amp;"    IF(REGEXMATCH(C116,""(?i)Square""),""sff"",""""))),
    IF(REGEXMATCH(D116,""(?i)-Rivets""),""Rvt"",
    IF(REGEXMATCH(D116,""(?i)Silicone""),""300ml"",
    IF(REGEXMATCH(D116,""(?i)R-Butyl""),""300ml"",
    IF(REGEXMATCH(D116,""(?i)Fix""),""GenFix"","&amp;"
    IF(AND(REGEXMATCH(C116,""(?i)Timber""), REGEXMATCH(D116,""(?i)Timber"")),""tp"",
    IF(AND(REGEXMATCH(C116,""(?i)Vent G1275""), REGEXMATCH(D116,""(?i)Comb FIller"")),""CFV1275"",
    IF(REGEXMATCH(C116,""(?i)DPC""),""dpc"",
    IF(REGEXMATCH(C116,"""&amp;"(?i)Concealed Clips""),""ConClips"",
    IF(REGEXMATCH(D116,""(?i)-Takeoff ea""),""Takeoff ea"",
    IF(REGEXMATCH(D116,""(?i)-Takeoff LM""),""Takeoff LM"",
    IF(REGEXMATCH(D116,""(?i)-Takeoff m2""),""Takeoff m2"",
    IF(D116=""R-TU/TD"",""TU/TD"","""""&amp;")))))))))))))))))
  )))"),"pfft")</f>
        <v>pfft</v>
      </c>
      <c r="C116" s="734" t="s">
        <v>104</v>
      </c>
      <c r="D116" s="124" t="s">
        <v>105</v>
      </c>
      <c r="E116" s="161"/>
      <c r="F116" s="127"/>
      <c r="G116" s="129"/>
      <c r="H116" s="127"/>
      <c r="I116" s="127"/>
      <c r="J116" s="126" t="s">
        <v>87</v>
      </c>
      <c r="K116" s="126" t="s">
        <v>55</v>
      </c>
      <c r="L116" s="161"/>
      <c r="M116" s="150">
        <f>E114</f>
        <v>2.09</v>
      </c>
      <c r="N116" s="151">
        <f>IFERROR(__xludf.DUMMYFUNCTION("IF(B116="""", """", IFERROR(1 / COS(RADIANS(REGEXEXTRACT(F116,""(\d+)""))), 1))"),1.0)</f>
        <v>1</v>
      </c>
      <c r="O116" s="169">
        <v>1.0</v>
      </c>
      <c r="P116" s="134">
        <f>P115</f>
        <v>2</v>
      </c>
      <c r="Q116" s="168">
        <f t="shared" si="78"/>
        <v>4.18</v>
      </c>
      <c r="R116" s="136" t="str">
        <f>IFERROR(
  IF(B116="", "", VLOOKUP(B116, Data!$B$2:$K$905, 9, FALSE)),
  ""
)</f>
        <v/>
      </c>
      <c r="S116" s="137">
        <f t="shared" si="79"/>
        <v>0</v>
      </c>
      <c r="T116" s="138"/>
      <c r="U116" s="136" t="str">
        <f>IFERROR(
  IF(B116="", "", VLOOKUP(B116, Data!$B$2:$K$905, 10, FALSE)),
  ""
)
</f>
        <v/>
      </c>
      <c r="V116" s="139"/>
      <c r="W116" s="140">
        <f t="shared" si="80"/>
        <v>0</v>
      </c>
      <c r="X116" s="159"/>
      <c r="Y116" s="5"/>
      <c r="Z116" s="5"/>
      <c r="AA116" s="5"/>
      <c r="AB116" s="354">
        <f t="shared" si="81"/>
        <v>0</v>
      </c>
      <c r="AC116" s="33"/>
      <c r="AD116" s="65"/>
      <c r="AE116" s="66"/>
      <c r="AF116" s="144"/>
      <c r="AG116" s="68"/>
      <c r="AH116" s="69"/>
      <c r="AI116" s="39"/>
      <c r="AJ116" s="70"/>
      <c r="AK116" s="70"/>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260"/>
      <c r="BJ116" s="260"/>
      <c r="BK116" s="260"/>
      <c r="BL116" s="260"/>
      <c r="BM116" s="260"/>
      <c r="BN116" s="260"/>
      <c r="BO116" s="260"/>
      <c r="BP116" s="260"/>
      <c r="BQ116" s="260"/>
      <c r="BR116" s="260"/>
      <c r="BS116" s="260"/>
      <c r="BT116" s="260"/>
    </row>
    <row r="117">
      <c r="A117" s="1313"/>
      <c r="B117" s="154" t="str">
        <f>IFERROR(__xludf.DUMMYFUNCTION("IFERROR(
  IF(C117="""","""",
    IF(OR(REGEXMATCH(D117,""(?i)-Flashing""), REGEXMATCH(D117,""(?i)-EavesGut""), REGEXMATCH(D117,""(?i)Valley"")),
        ""DR"" &amp;
        TEXT(
            ROUNDUP(
                MIN(
                    VALUE(MID(C117, "&amp;"FIND(""("",C117)+1, FIND(""/"",C117)-FIND(""("",C117)-1)),
                    1200
                ) / 50, 0
            ) * 50, ""0""
        ) &amp;
        MID(C117, FIND(""/"",C117)+1, FIND("")"",C117)-FIND(""/"",C117)-1) &amp;
        TEXT(H117*100,""0"") &amp;"&amp;"
        I117,
    IF(AND(D117=""Roof Sheet"", REGEXMATCH(C117,""(?i)KS\d{4}[A-Z]{2}"")),
       REGEXEXTRACT(C117,""(?i)KS\d{4}[A-Z]{2}""),
    IF(AND(REGEXMATCH(D117,""(?i)-DP""), REGEXMATCH(C117,""(?i)Downpipe"")),
       ""dp"" &amp; REGEXEXTRACT(C117,""("&amp;"\d+)"") &amp; ""mm"",
    IF(AND(REGEXMATCH(D117,""(?i)Bracket""), REGEXMATCH(C117,""(?i)Bracket"")),
       ""Brkt"" &amp; REGEXEXTRACT(C117,""(\d+)"") &amp; ""mm"",
    IF(AND(REGEXMATCH(D117,""(?i)-OP""), REGEXMATCH(C117,""(?i)pops"")),
       ""op"" &amp; REGEXEXTRAC"&amp;"T(C117,""(\d+)"") &amp; ""mm"",
    IF(OR(D117=""R-FFTop"", D117=""R-FFBottom"", D117=""R-FFSide""),
        IF(REGEXMATCH(C117,""(?i)Profiled.*Top|Top.*Profiled""),""pfft"",
        IF(REGEXMATCH(C117,""(?i)Profiled.*Bottom|Bottom.*Profiled""),""pffb"",
    "&amp;"    IF(REGEXMATCH(C117,""(?i)Square""),""sff"",""""))),
    IF(REGEXMATCH(D117,""(?i)-Rivets""),""Rvt"",
    IF(REGEXMATCH(D117,""(?i)Silicone""),""300ml"",
    IF(REGEXMATCH(D117,""(?i)R-Butyl""),""300ml"",
    IF(REGEXMATCH(D117,""(?i)Fix""),""GenFix"","&amp;"
    IF(AND(REGEXMATCH(C117,""(?i)Timber""), REGEXMATCH(D117,""(?i)Timber"")),""tp"",
    IF(AND(REGEXMATCH(C117,""(?i)Vent G1275""), REGEXMATCH(D117,""(?i)Comb FIller"")),""CFV1275"",
    IF(REGEXMATCH(C117,""(?i)DPC""),""dpc"",
    IF(REGEXMATCH(C117,"""&amp;"(?i)Concealed Clips""),""ConClips"",
    IF(REGEXMATCH(D117,""(?i)-Takeoff ea""),""Takeoff ea"",
    IF(REGEXMATCH(D117,""(?i)-Takeoff LM""),""Takeoff LM"",
    IF(REGEXMATCH(D117,""(?i)-Takeoff m2""),""Takeoff m2"",
    IF(D117=""R-TU/TD"",""TU/TD"","""""&amp;")))))))))))))))))
  )))"),"TU/TD")</f>
        <v>TU/TD</v>
      </c>
      <c r="C117" s="698" t="s">
        <v>446</v>
      </c>
      <c r="D117" s="124" t="s">
        <v>107</v>
      </c>
      <c r="E117" s="722"/>
      <c r="F117" s="128" t="str">
        <f>F116</f>
        <v/>
      </c>
      <c r="G117" s="701"/>
      <c r="H117" s="700"/>
      <c r="I117" s="700"/>
      <c r="J117" s="126" t="s">
        <v>87</v>
      </c>
      <c r="K117" s="126" t="str">
        <f>IFERROR(
  IF(B117="", "", VLOOKUP(B117, Data!$B$2:$K$905, 7, FALSE)),
  ""
)</f>
        <v/>
      </c>
      <c r="L117" s="704"/>
      <c r="M117" s="150">
        <f>M116</f>
        <v>2.09</v>
      </c>
      <c r="N117" s="151">
        <f>IFERROR(__xludf.DUMMYFUNCTION("IF(B117="""", """", IFERROR(1 / COS(RADIANS(REGEXEXTRACT(F117,""(\d+)""))), 1))"),1.0)</f>
        <v>1</v>
      </c>
      <c r="O117" s="169">
        <v>1.0</v>
      </c>
      <c r="P117" s="156">
        <f>P114</f>
        <v>1</v>
      </c>
      <c r="Q117" s="168">
        <f t="shared" si="78"/>
        <v>2.09</v>
      </c>
      <c r="R117" s="136" t="str">
        <f>IFERROR(
  IF(B117="", "", VLOOKUP(B117, Data!$B$2:$K$905, 9, FALSE)),
  ""
)</f>
        <v/>
      </c>
      <c r="S117" s="152">
        <f t="shared" si="79"/>
        <v>0</v>
      </c>
      <c r="T117" s="690"/>
      <c r="U117" s="136" t="str">
        <f>IFERROR(
  IF(B117="", "", VLOOKUP(B117, Data!$B$2:$K$905, 10, FALSE)),
  ""
)
</f>
        <v/>
      </c>
      <c r="V117" s="691"/>
      <c r="W117" s="140">
        <f t="shared" si="80"/>
        <v>0</v>
      </c>
      <c r="X117" s="692"/>
      <c r="Y117" s="595"/>
      <c r="Z117" s="595"/>
      <c r="AA117" s="595"/>
      <c r="AB117" s="354">
        <f t="shared" si="81"/>
        <v>0</v>
      </c>
      <c r="AC117" s="181"/>
      <c r="AD117" s="625"/>
      <c r="AE117" s="626"/>
      <c r="AF117" s="696"/>
      <c r="AG117" s="697"/>
      <c r="AH117" s="629"/>
      <c r="AI117" s="187"/>
      <c r="AJ117" s="630"/>
      <c r="AK117" s="630"/>
      <c r="AL117" s="595"/>
      <c r="AM117" s="595"/>
      <c r="AN117" s="595"/>
      <c r="AO117" s="595"/>
      <c r="AP117" s="595"/>
      <c r="AQ117" s="595"/>
      <c r="AR117" s="595"/>
      <c r="AS117" s="595"/>
      <c r="AT117" s="595"/>
      <c r="AU117" s="595"/>
      <c r="AV117" s="595"/>
      <c r="AW117" s="595"/>
      <c r="AX117" s="595"/>
      <c r="AY117" s="595"/>
      <c r="AZ117" s="595"/>
      <c r="BA117" s="595"/>
      <c r="BB117" s="595"/>
      <c r="BC117" s="595"/>
      <c r="BD117" s="595"/>
      <c r="BE117" s="595"/>
      <c r="BF117" s="595"/>
      <c r="BG117" s="595"/>
      <c r="BH117" s="595"/>
      <c r="BI117" s="651"/>
      <c r="BJ117" s="651"/>
      <c r="BK117" s="651"/>
      <c r="BL117" s="651"/>
      <c r="BM117" s="651"/>
      <c r="BN117" s="651"/>
      <c r="BO117" s="651"/>
      <c r="BP117" s="651"/>
      <c r="BQ117" s="651"/>
      <c r="BR117" s="651"/>
      <c r="BS117" s="651"/>
      <c r="BT117" s="651"/>
    </row>
    <row r="118">
      <c r="A118" s="1313"/>
      <c r="B118" s="160"/>
      <c r="C118" s="1418"/>
      <c r="D118" s="244"/>
      <c r="E118" s="245"/>
      <c r="F118" s="244"/>
      <c r="G118" s="244"/>
      <c r="H118" s="244"/>
      <c r="I118" s="245"/>
      <c r="J118" s="244"/>
      <c r="K118" s="244" t="s">
        <v>42</v>
      </c>
      <c r="L118" s="245"/>
      <c r="M118" s="245" t="s">
        <v>42</v>
      </c>
      <c r="N118" s="162" t="str">
        <f>IFERROR(__xludf.DUMMYFUNCTION("IF(B118="""", """", IFERROR(1 / COS(RADIANS(REGEXEXTRACT(F118,""(\d+)""))), 1))"),"")</f>
        <v/>
      </c>
      <c r="O118" s="245"/>
      <c r="P118" s="244"/>
      <c r="Q118" s="246"/>
      <c r="R118" s="108" t="str">
        <f>IFERROR(
  IF(B118="", "", VLOOKUP(B118, Data!$B$2:$K$905, 9, FALSE)),
  ""
)</f>
        <v/>
      </c>
      <c r="S118" s="248"/>
      <c r="T118" s="248"/>
      <c r="U118" s="108" t="str">
        <f>IFERROR(
  IF(B118="", "", VLOOKUP(B118, Data!$B$2:$K$905, 10, FALSE)),
  ""
)
</f>
        <v/>
      </c>
      <c r="V118" s="248"/>
      <c r="W118" s="249"/>
      <c r="X118" s="5"/>
      <c r="Y118" s="5"/>
      <c r="Z118" s="5"/>
      <c r="AA118" s="5"/>
      <c r="AB118" s="5"/>
      <c r="AC118" s="33"/>
      <c r="AD118" s="65"/>
      <c r="AE118" s="66"/>
      <c r="AF118" s="67"/>
      <c r="AG118" s="68"/>
      <c r="AH118" s="69"/>
      <c r="AI118" s="39"/>
      <c r="AJ118" s="70"/>
      <c r="AK118" s="70"/>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260"/>
      <c r="BJ118" s="260"/>
      <c r="BK118" s="260"/>
      <c r="BL118" s="260"/>
      <c r="BM118" s="260"/>
      <c r="BN118" s="260"/>
      <c r="BO118" s="260"/>
      <c r="BP118" s="260"/>
      <c r="BQ118" s="260"/>
      <c r="BR118" s="260"/>
      <c r="BS118" s="260"/>
      <c r="BT118" s="260"/>
    </row>
    <row r="119">
      <c r="A119" s="1313">
        <v>1.0</v>
      </c>
      <c r="B119" s="727"/>
      <c r="C119" s="103" t="s">
        <v>1218</v>
      </c>
      <c r="D119" s="678"/>
      <c r="E119" s="676"/>
      <c r="F119" s="728"/>
      <c r="G119" s="678"/>
      <c r="H119" s="678"/>
      <c r="I119" s="678"/>
      <c r="J119" s="678"/>
      <c r="K119" s="678" t="s">
        <v>42</v>
      </c>
      <c r="L119" s="106">
        <f>Q119</f>
        <v>0</v>
      </c>
      <c r="M119" s="679" t="s">
        <v>42</v>
      </c>
      <c r="N119" s="680"/>
      <c r="O119" s="679"/>
      <c r="P119" s="678"/>
      <c r="Q119" s="106">
        <f>Q120</f>
        <v>0</v>
      </c>
      <c r="R119" s="136" t="str">
        <f>IFERROR(
  IF(B119="", "", VLOOKUP(B119, Data!$B$2:$K$905, 9, FALSE)),
  ""
)</f>
        <v/>
      </c>
      <c r="S119" s="682">
        <f>IFERROR(T119/Q119, 0)</f>
        <v>0</v>
      </c>
      <c r="T119" s="109">
        <f>SUM(S120:S124)</f>
        <v>0</v>
      </c>
      <c r="U119" s="136" t="str">
        <f>IFERROR(
  IF(B119="", "", VLOOKUP(B119, Data!$B$2:$K$905, 10, FALSE)),
  ""
)
</f>
        <v/>
      </c>
      <c r="V119" s="109" t="str">
        <f>W119/Q119</f>
        <v>#DIV/0!</v>
      </c>
      <c r="W119" s="110">
        <f>SUM(W120:W124)</f>
        <v>0</v>
      </c>
      <c r="X119" s="111" t="str">
        <f>W119/$AC$235/$W$242/$X$232</f>
        <v>#REF!</v>
      </c>
      <c r="Y119" s="112" t="b">
        <f>(T119+W119)=(SUM(AB120:AB124))</f>
        <v>1</v>
      </c>
      <c r="Z119" s="113">
        <f>(T119+W119)-(SUM(AB120:AB124))</f>
        <v>0</v>
      </c>
      <c r="AA119" s="595"/>
      <c r="AB119" s="595"/>
      <c r="AC119" s="181"/>
      <c r="AD119" s="114">
        <f>W119+T119</f>
        <v>0</v>
      </c>
      <c r="AE119" s="115">
        <f>AD119</f>
        <v>0</v>
      </c>
      <c r="AF119" s="116" t="str">
        <f>AE119/$AE$210</f>
        <v>#REF!</v>
      </c>
      <c r="AG119" s="683" t="str">
        <f>AF119*$AG$217</f>
        <v>#REF!</v>
      </c>
      <c r="AH119" s="118" t="str">
        <f>AF119*$AG$220</f>
        <v>#REF!</v>
      </c>
      <c r="AI119" s="187"/>
      <c r="AJ119" s="119" t="str">
        <f>ROUND(AK119/L119,2)</f>
        <v>#REF!</v>
      </c>
      <c r="AK119" s="119" t="str">
        <f>ROUND(AH119+AG119+AD119,2)</f>
        <v>#REF!</v>
      </c>
      <c r="AL119" s="595"/>
      <c r="AM119" s="595"/>
      <c r="AN119" s="595"/>
      <c r="AO119" s="595"/>
      <c r="AP119" s="595"/>
      <c r="AQ119" s="595"/>
      <c r="AR119" s="595"/>
      <c r="AS119" s="595"/>
      <c r="AT119" s="595"/>
      <c r="AU119" s="595"/>
      <c r="AV119" s="595"/>
      <c r="AW119" s="595"/>
      <c r="AX119" s="595"/>
      <c r="AY119" s="595"/>
      <c r="AZ119" s="595"/>
      <c r="BA119" s="595"/>
      <c r="BB119" s="595"/>
      <c r="BC119" s="595"/>
      <c r="BD119" s="595"/>
      <c r="BE119" s="595"/>
      <c r="BF119" s="595"/>
      <c r="BG119" s="595"/>
      <c r="BH119" s="595"/>
      <c r="BI119" s="651"/>
      <c r="BJ119" s="651"/>
      <c r="BK119" s="651"/>
      <c r="BL119" s="651"/>
      <c r="BM119" s="651"/>
      <c r="BN119" s="651"/>
      <c r="BO119" s="651"/>
      <c r="BP119" s="651"/>
      <c r="BQ119" s="651"/>
      <c r="BR119" s="651"/>
      <c r="BS119" s="651"/>
      <c r="BT119" s="651"/>
    </row>
    <row r="120">
      <c r="A120" s="1313"/>
      <c r="B120" s="154" t="str">
        <f>IFERROR(__xludf.DUMMYFUNCTION("IFERROR(
  IF(C120="""","""",
    IF(OR(REGEXMATCH(D120,""(?i)-Flashing""), REGEXMATCH(D120,""(?i)-EavesGut""), REGEXMATCH(D120,""(?i)Valley"")),
        ""DR"" &amp;
        TEXT(
            ROUNDUP(
                MIN(
                    VALUE(MID(C120, "&amp;"FIND(""("",C120)+1, FIND(""/"",C120)-FIND(""("",C120)-1)),
                    1200
                ) / 50, 0
            ) * 50, ""0""
        ) &amp;
        MID(C120, FIND(""/"",C120)+1, FIND("")"",C120)-FIND(""/"",C120)-1) &amp;
        TEXT(H120*100,""0"") &amp;"&amp;"
        I120,
    IF(AND(D120=""Roof Sheet"", REGEXMATCH(C120,""(?i)KS\d{4}[A-Z]{2}"")),
       REGEXEXTRACT(C120,""(?i)KS\d{4}[A-Z]{2}""),
    IF(AND(REGEXMATCH(D120,""(?i)-DP""), REGEXMATCH(C120,""(?i)Downpipe"")),
       ""dp"" &amp; REGEXEXTRACT(C120,""("&amp;"\d+)"") &amp; ""mm"",
    IF(AND(REGEXMATCH(D120,""(?i)Bracket""), REGEXMATCH(C120,""(?i)Bracket"")),
       ""Brkt"" &amp; REGEXEXTRACT(C120,""(\d+)"") &amp; ""mm"",
    IF(AND(REGEXMATCH(D120,""(?i)-OP""), REGEXMATCH(C120,""(?i)pops"")),
       ""op"" &amp; REGEXEXTRAC"&amp;"T(C120,""(\d+)"") &amp; ""mm"",
    IF(OR(D120=""R-FFTop"", D120=""R-FFBottom"", D120=""R-FFSide""),
        IF(REGEXMATCH(C120,""(?i)Profiled.*Top|Top.*Profiled""),""pfft"",
        IF(REGEXMATCH(C120,""(?i)Profiled.*Bottom|Bottom.*Profiled""),""pffb"",
    "&amp;"    IF(REGEXMATCH(C120,""(?i)Square""),""sff"",""""))),
    IF(REGEXMATCH(D120,""(?i)-Rivets""),""Rvt"",
    IF(REGEXMATCH(D120,""(?i)Silicone""),""300ml"",
    IF(REGEXMATCH(D120,""(?i)R-Butyl""),""300ml"",
    IF(REGEXMATCH(D120,""(?i)Fix""),""GenFix"","&amp;"
    IF(AND(REGEXMATCH(C120,""(?i)Timber""), REGEXMATCH(D120,""(?i)Timber"")),""tp"",
    IF(AND(REGEXMATCH(C120,""(?i)Vent G1275""), REGEXMATCH(D120,""(?i)Comb FIller"")),""CFV1275"",
    IF(REGEXMATCH(C120,""(?i)DPC""),""dpc"",
    IF(REGEXMATCH(C120,"""&amp;"(?i)Concealed Clips""),""ConClips"",
    IF(REGEXMATCH(D120,""(?i)-Takeoff ea""),""Takeoff ea"",
    IF(REGEXMATCH(D120,""(?i)-Takeoff LM""),""Takeoff LM"",
    IF(REGEXMATCH(D120,""(?i)-Takeoff m2""),""Takeoff m2"",
    IF(D120=""R-TU/TD"",""TU/TD"","""""&amp;")))))))))))))))))
  )))"),"DR3501B55Mag")</f>
        <v>DR3501B55Mag</v>
      </c>
      <c r="C120" s="123" t="s">
        <v>1219</v>
      </c>
      <c r="D120" s="124" t="s">
        <v>96</v>
      </c>
      <c r="E120" s="687">
        <f>VALUE(MID(C120, FIND("(", C120)+1, FIND("/", C120)-FIND("(", C120)-1)) / 1000</f>
        <v>0.31</v>
      </c>
      <c r="F120" s="126" t="str">
        <f>IFERROR(__xludf.DUMMYFUNCTION("IFERROR(REGEXEXTRACT(C120,""@\s*(\d+(?:\.\d+)?)\s*deg"")&amp;""°"","""")"),"")</f>
        <v/>
      </c>
      <c r="G120" s="700"/>
      <c r="H120" s="128" t="str">
        <f>IFERROR(__xludf.DUMMYFUNCTION("IFERROR(REGEXEXTRACT(C120, ""(\d*\.\d+)mm""), """")"),"0.55")</f>
        <v>0.55</v>
      </c>
      <c r="I120" s="128" t="s">
        <v>97</v>
      </c>
      <c r="J120" s="126" t="s">
        <v>14</v>
      </c>
      <c r="K120" s="126" t="str">
        <f>IFERROR(
  IF(B120="", "", VLOOKUP(B120, Data!$B$2:$K$905, 7, FALSE)),
  ""
)</f>
        <v/>
      </c>
      <c r="L120" s="704"/>
      <c r="M120" s="150" t="str">
        <f>M166</f>
        <v/>
      </c>
      <c r="N120" s="151">
        <f>IFERROR(__xludf.DUMMYFUNCTION("IF(B120="""", """", IFERROR(1 / COS(RADIANS(REGEXEXTRACT(F120,""(\d+)""))), 1))"),1.0)</f>
        <v>1</v>
      </c>
      <c r="O120" s="169">
        <v>1.0</v>
      </c>
      <c r="P120" s="134">
        <v>1.0</v>
      </c>
      <c r="Q120" s="168">
        <f t="shared" ref="Q120:Q123" si="86">M120*N120*O120*P120</f>
        <v>0</v>
      </c>
      <c r="R120" s="136" t="str">
        <f>IFERROR(
  IF(B120="", "", VLOOKUP(B120, Data!$B$2:$K$905, 9, FALSE)),
  ""
)</f>
        <v/>
      </c>
      <c r="S120" s="152">
        <f t="shared" ref="S120:S123" si="87">R120*Q120</f>
        <v>0</v>
      </c>
      <c r="T120" s="690"/>
      <c r="U120" s="136" t="str">
        <f>IFERROR(
  IF(B120="", "", VLOOKUP(B120, Data!$B$2:$K$905, 10, FALSE)),
  ""
)
</f>
        <v/>
      </c>
      <c r="V120" s="691"/>
      <c r="W120" s="140">
        <f t="shared" ref="W120:W123" si="88">U120*Q120</f>
        <v>0</v>
      </c>
      <c r="X120" s="692"/>
      <c r="Y120" s="693"/>
      <c r="Z120" s="731"/>
      <c r="AA120" s="595"/>
      <c r="AB120" s="354">
        <f t="shared" ref="AB120:AB123" si="89">W120+S120</f>
        <v>0</v>
      </c>
      <c r="AC120" s="181"/>
      <c r="AD120" s="625"/>
      <c r="AE120" s="626"/>
      <c r="AF120" s="696"/>
      <c r="AG120" s="697"/>
      <c r="AH120" s="629"/>
      <c r="AI120" s="187"/>
      <c r="AJ120" s="630"/>
      <c r="AK120" s="630"/>
      <c r="AL120" s="595"/>
      <c r="AM120" s="595"/>
      <c r="AN120" s="595"/>
      <c r="AO120" s="595"/>
      <c r="AP120" s="595"/>
      <c r="AQ120" s="595"/>
      <c r="AR120" s="595"/>
      <c r="AS120" s="595"/>
      <c r="AT120" s="595"/>
      <c r="AU120" s="595"/>
      <c r="AV120" s="595"/>
      <c r="AW120" s="595"/>
      <c r="AX120" s="595"/>
      <c r="AY120" s="595"/>
      <c r="AZ120" s="595"/>
      <c r="BA120" s="595"/>
      <c r="BB120" s="595"/>
      <c r="BC120" s="595"/>
      <c r="BD120" s="595"/>
      <c r="BE120" s="595"/>
      <c r="BF120" s="595"/>
      <c r="BG120" s="595"/>
      <c r="BH120" s="595"/>
      <c r="BI120" s="651"/>
      <c r="BJ120" s="651"/>
      <c r="BK120" s="651"/>
      <c r="BL120" s="651"/>
      <c r="BM120" s="651"/>
      <c r="BN120" s="651"/>
      <c r="BO120" s="651"/>
      <c r="BP120" s="651"/>
      <c r="BQ120" s="651"/>
      <c r="BR120" s="651"/>
      <c r="BS120" s="651"/>
      <c r="BT120" s="651"/>
    </row>
    <row r="121">
      <c r="A121" s="1313"/>
      <c r="B121" s="154" t="str">
        <f>IFERROR(__xludf.DUMMYFUNCTION("IFERROR(
  IF(C121="""","""",
    IF(OR(REGEXMATCH(D121,""(?i)-Flashing""), REGEXMATCH(D121,""(?i)-EavesGut""), REGEXMATCH(D121,""(?i)Valley"")),
        ""DR"" &amp;
        TEXT(
            ROUNDUP(
                MIN(
                    VALUE(MID(C121, "&amp;"FIND(""("",C121)+1, FIND(""/"",C121)-FIND(""("",C121)-1)),
                    1200
                ) / 50, 0
            ) * 50, ""0""
        ) &amp;
        MID(C121, FIND(""/"",C121)+1, FIND("")"",C121)-FIND(""/"",C121)-1) &amp;
        TEXT(H121*100,""0"") &amp;"&amp;"
        I121,
    IF(AND(D121=""Roof Sheet"", REGEXMATCH(C121,""(?i)KS\d{4}[A-Z]{2}"")),
       REGEXEXTRACT(C121,""(?i)KS\d{4}[A-Z]{2}""),
    IF(AND(REGEXMATCH(D121,""(?i)-DP""), REGEXMATCH(C121,""(?i)Downpipe"")),
       ""dp"" &amp; REGEXEXTRACT(C121,""("&amp;"\d+)"") &amp; ""mm"",
    IF(AND(REGEXMATCH(D121,""(?i)Bracket""), REGEXMATCH(C121,""(?i)Bracket"")),
       ""Brkt"" &amp; REGEXEXTRACT(C121,""(\d+)"") &amp; ""mm"",
    IF(AND(REGEXMATCH(D121,""(?i)-OP""), REGEXMATCH(C121,""(?i)pops"")),
       ""op"" &amp; REGEXEXTRAC"&amp;"T(C121,""(\d+)"") &amp; ""mm"",
    IF(OR(D121=""R-FFTop"", D121=""R-FFBottom"", D121=""R-FFSide""),
        IF(REGEXMATCH(C121,""(?i)Profiled.*Top|Top.*Profiled""),""pfft"",
        IF(REGEXMATCH(C121,""(?i)Profiled.*Bottom|Bottom.*Profiled""),""pffb"",
    "&amp;"    IF(REGEXMATCH(C121,""(?i)Square""),""sff"",""""))),
    IF(REGEXMATCH(D121,""(?i)-Rivets""),""Rvt"",
    IF(REGEXMATCH(D121,""(?i)Silicone""),""300ml"",
    IF(REGEXMATCH(D121,""(?i)R-Butyl""),""300ml"",
    IF(REGEXMATCH(D121,""(?i)Fix""),""GenFix"","&amp;"
    IF(AND(REGEXMATCH(C121,""(?i)Timber""), REGEXMATCH(D121,""(?i)Timber"")),""tp"",
    IF(AND(REGEXMATCH(C121,""(?i)Vent G1275""), REGEXMATCH(D121,""(?i)Comb FIller"")),""CFV1275"",
    IF(REGEXMATCH(C121,""(?i)DPC""),""dpc"",
    IF(REGEXMATCH(C121,"""&amp;"(?i)Concealed Clips""),""ConClips"",
    IF(REGEXMATCH(D121,""(?i)-Takeoff ea""),""Takeoff ea"",
    IF(REGEXMATCH(D121,""(?i)-Takeoff LM""),""Takeoff LM"",
    IF(REGEXMATCH(D121,""(?i)-Takeoff m2""),""Takeoff m2"",
    IF(D121=""R-TU/TD"",""TU/TD"","""""&amp;")))))))))))))))))
  )))"),"300ml")</f>
        <v>300ml</v>
      </c>
      <c r="C121" s="734" t="s">
        <v>98</v>
      </c>
      <c r="D121" s="124" t="s">
        <v>99</v>
      </c>
      <c r="E121" s="687">
        <f t="shared" ref="E121:F121" si="85">E120</f>
        <v>0.31</v>
      </c>
      <c r="F121" s="128" t="str">
        <f t="shared" si="85"/>
        <v/>
      </c>
      <c r="G121" s="700"/>
      <c r="H121" s="700" t="str">
        <f>IFERROR(__xludf.DUMMYFUNCTION("IFERROR(REGEXEXTRACT(C121, ""(\d*\.\d+)mm""), """")"),"")</f>
        <v/>
      </c>
      <c r="I121" s="700"/>
      <c r="J121" s="126" t="s">
        <v>87</v>
      </c>
      <c r="K121" s="126" t="str">
        <f>IFERROR(
  IF(B121="", "", VLOOKUP(B121, Data!$B$2:$K$905, 7, FALSE)),
  ""
)</f>
        <v/>
      </c>
      <c r="L121" s="704"/>
      <c r="M121" s="150">
        <f>(ROUNDDOWN((M120/5.7)+2,0)*E121)/8</f>
        <v>0.0775</v>
      </c>
      <c r="N121" s="151">
        <f>IFERROR(__xludf.DUMMYFUNCTION("IF(B121="""", """", IFERROR(1 / COS(RADIANS(REGEXEXTRACT(F121,""(\d+)""))), 1))"),1.0)</f>
        <v>1</v>
      </c>
      <c r="O121" s="169">
        <v>1.0</v>
      </c>
      <c r="P121" s="134">
        <v>1.0</v>
      </c>
      <c r="Q121" s="168">
        <f t="shared" si="86"/>
        <v>0.0775</v>
      </c>
      <c r="R121" s="136" t="str">
        <f>IFERROR(
  IF(B121="", "", VLOOKUP(B121, Data!$B$2:$K$905, 9, FALSE)),
  ""
)</f>
        <v/>
      </c>
      <c r="S121" s="152">
        <f t="shared" si="87"/>
        <v>0</v>
      </c>
      <c r="T121" s="690"/>
      <c r="U121" s="136" t="str">
        <f>IFERROR(
  IF(B121="", "", VLOOKUP(B121, Data!$B$2:$K$905, 10, FALSE)),
  ""
)
</f>
        <v/>
      </c>
      <c r="V121" s="691"/>
      <c r="W121" s="140">
        <f t="shared" si="88"/>
        <v>0</v>
      </c>
      <c r="X121" s="692"/>
      <c r="Y121" s="595"/>
      <c r="Z121" s="595"/>
      <c r="AA121" s="595"/>
      <c r="AB121" s="354">
        <f t="shared" si="89"/>
        <v>0</v>
      </c>
      <c r="AC121" s="181"/>
      <c r="AD121" s="625"/>
      <c r="AE121" s="626"/>
      <c r="AF121" s="696"/>
      <c r="AG121" s="697"/>
      <c r="AH121" s="629"/>
      <c r="AI121" s="187"/>
      <c r="AJ121" s="630"/>
      <c r="AK121" s="630"/>
      <c r="AL121" s="595"/>
      <c r="AM121" s="595"/>
      <c r="AN121" s="595"/>
      <c r="AO121" s="595"/>
      <c r="AP121" s="595"/>
      <c r="AQ121" s="595"/>
      <c r="AR121" s="595"/>
      <c r="AS121" s="595"/>
      <c r="AT121" s="595"/>
      <c r="AU121" s="595"/>
      <c r="AV121" s="595"/>
      <c r="AW121" s="595"/>
      <c r="AX121" s="595"/>
      <c r="AY121" s="595"/>
      <c r="AZ121" s="595"/>
      <c r="BA121" s="595"/>
      <c r="BB121" s="595"/>
      <c r="BC121" s="595"/>
      <c r="BD121" s="595"/>
      <c r="BE121" s="595"/>
      <c r="BF121" s="595"/>
      <c r="BG121" s="595"/>
      <c r="BH121" s="595"/>
      <c r="BI121" s="651"/>
      <c r="BJ121" s="651"/>
      <c r="BK121" s="651"/>
      <c r="BL121" s="651"/>
      <c r="BM121" s="651"/>
      <c r="BN121" s="651"/>
      <c r="BO121" s="651"/>
      <c r="BP121" s="651"/>
      <c r="BQ121" s="651"/>
      <c r="BR121" s="651"/>
      <c r="BS121" s="651"/>
      <c r="BT121" s="651"/>
    </row>
    <row r="122">
      <c r="A122" s="1313"/>
      <c r="B122" s="154" t="str">
        <f>IFERROR(__xludf.DUMMYFUNCTION("IFERROR(
  IF(C122="""","""",
    IF(OR(REGEXMATCH(D122,""(?i)-Flashing""), REGEXMATCH(D122,""(?i)-EavesGut""), REGEXMATCH(D122,""(?i)Valley"")),
        ""DR"" &amp;
        TEXT(
            ROUNDUP(
                MIN(
                    VALUE(MID(C122, "&amp;"FIND(""("",C122)+1, FIND(""/"",C122)-FIND(""("",C122)-1)),
                    1200
                ) / 50, 0
            ) * 50, ""0""
        ) &amp;
        MID(C122, FIND(""/"",C122)+1, FIND("")"",C122)-FIND(""/"",C122)-1) &amp;
        TEXT(H122*100,""0"") &amp;"&amp;"
        I122,
    IF(AND(D122=""Roof Sheet"", REGEXMATCH(C122,""(?i)KS\d{4}[A-Z]{2}"")),
       REGEXEXTRACT(C122,""(?i)KS\d{4}[A-Z]{2}""),
    IF(AND(REGEXMATCH(D122,""(?i)-DP""), REGEXMATCH(C122,""(?i)Downpipe"")),
       ""dp"" &amp; REGEXEXTRACT(C122,""("&amp;"\d+)"") &amp; ""mm"",
    IF(AND(REGEXMATCH(D122,""(?i)Bracket""), REGEXMATCH(C122,""(?i)Bracket"")),
       ""Brkt"" &amp; REGEXEXTRACT(C122,""(\d+)"") &amp; ""mm"",
    IF(AND(REGEXMATCH(D122,""(?i)-OP""), REGEXMATCH(C122,""(?i)pops"")),
       ""op"" &amp; REGEXEXTRAC"&amp;"T(C122,""(\d+)"") &amp; ""mm"",
    IF(OR(D122=""R-FFTop"", D122=""R-FFBottom"", D122=""R-FFSide""),
        IF(REGEXMATCH(C122,""(?i)Profiled.*Top|Top.*Profiled""),""pfft"",
        IF(REGEXMATCH(C122,""(?i)Profiled.*Bottom|Bottom.*Profiled""),""pffb"",
    "&amp;"    IF(REGEXMATCH(C122,""(?i)Square""),""sff"",""""))),
    IF(REGEXMATCH(D122,""(?i)-Rivets""),""Rvt"",
    IF(REGEXMATCH(D122,""(?i)Silicone""),""300ml"",
    IF(REGEXMATCH(D122,""(?i)R-Butyl""),""300ml"",
    IF(REGEXMATCH(D122,""(?i)Fix""),""GenFix"","&amp;"
    IF(AND(REGEXMATCH(C122,""(?i)Timber""), REGEXMATCH(D122,""(?i)Timber"")),""tp"",
    IF(AND(REGEXMATCH(C122,""(?i)Vent G1275""), REGEXMATCH(D122,""(?i)Comb FIller"")),""CFV1275"",
    IF(REGEXMATCH(C122,""(?i)DPC""),""dpc"",
    IF(REGEXMATCH(C122,"""&amp;"(?i)Concealed Clips""),""ConClips"",
    IF(REGEXMATCH(D122,""(?i)-Takeoff ea""),""Takeoff ea"",
    IF(REGEXMATCH(D122,""(?i)-Takeoff LM""),""Takeoff LM"",
    IF(REGEXMATCH(D122,""(?i)-Takeoff m2""),""Takeoff m2"",
    IF(D122=""R-TU/TD"",""TU/TD"","""""&amp;")))))))))))))))))
  )))"),"Rvt")</f>
        <v>Rvt</v>
      </c>
      <c r="C122" s="734" t="s">
        <v>100</v>
      </c>
      <c r="D122" s="124" t="s">
        <v>101</v>
      </c>
      <c r="E122" s="687">
        <f>E120</f>
        <v>0.31</v>
      </c>
      <c r="F122" s="128" t="str">
        <f t="shared" ref="F122:F123" si="90">F121</f>
        <v/>
      </c>
      <c r="G122" s="700"/>
      <c r="H122" s="700" t="str">
        <f>IFERROR(__xludf.DUMMYFUNCTION("IFERROR(REGEXEXTRACT(C122, ""(\d*\.\d+)mm""), """")"),"")</f>
        <v/>
      </c>
      <c r="I122" s="700"/>
      <c r="J122" s="126" t="s">
        <v>87</v>
      </c>
      <c r="K122" s="126" t="str">
        <f>IFERROR(
  IF(B122="", "", VLOOKUP(B122, Data!$B$2:$K$905, 7, FALSE)),
  ""
)</f>
        <v/>
      </c>
      <c r="L122" s="704"/>
      <c r="M122" s="150">
        <f>ROUNDUP(((M120/5.7)+1)*(E122/0.05),0)</f>
        <v>7</v>
      </c>
      <c r="N122" s="151">
        <f>IFERROR(__xludf.DUMMYFUNCTION("IF(B122="""", """", IFERROR(1 / COS(RADIANS(REGEXEXTRACT(F122,""(\d+)""))), 1))"),1.0)</f>
        <v>1</v>
      </c>
      <c r="O122" s="169">
        <v>1.0</v>
      </c>
      <c r="P122" s="134">
        <v>1.0</v>
      </c>
      <c r="Q122" s="168">
        <f t="shared" si="86"/>
        <v>7</v>
      </c>
      <c r="R122" s="136" t="str">
        <f>IFERROR(
  IF(B122="", "", VLOOKUP(B122, Data!$B$2:$K$905, 9, FALSE)),
  ""
)</f>
        <v/>
      </c>
      <c r="S122" s="152">
        <f t="shared" si="87"/>
        <v>0</v>
      </c>
      <c r="T122" s="690"/>
      <c r="U122" s="136" t="str">
        <f>IFERROR(
  IF(B122="", "", VLOOKUP(B122, Data!$B$2:$K$905, 10, FALSE)),
  ""
)
</f>
        <v/>
      </c>
      <c r="V122" s="691"/>
      <c r="W122" s="140">
        <f t="shared" si="88"/>
        <v>0</v>
      </c>
      <c r="X122" s="692"/>
      <c r="Y122" s="595"/>
      <c r="Z122" s="595"/>
      <c r="AA122" s="595"/>
      <c r="AB122" s="354">
        <f t="shared" si="89"/>
        <v>0</v>
      </c>
      <c r="AC122" s="181"/>
      <c r="AD122" s="625"/>
      <c r="AE122" s="626"/>
      <c r="AF122" s="696"/>
      <c r="AG122" s="697"/>
      <c r="AH122" s="629"/>
      <c r="AI122" s="187"/>
      <c r="AJ122" s="630"/>
      <c r="AK122" s="630"/>
      <c r="AL122" s="595"/>
      <c r="AM122" s="595"/>
      <c r="AN122" s="595"/>
      <c r="AO122" s="595"/>
      <c r="AP122" s="595"/>
      <c r="AQ122" s="595"/>
      <c r="AR122" s="595"/>
      <c r="AS122" s="595"/>
      <c r="AT122" s="595"/>
      <c r="AU122" s="595"/>
      <c r="AV122" s="595"/>
      <c r="AW122" s="595"/>
      <c r="AX122" s="595"/>
      <c r="AY122" s="595"/>
      <c r="AZ122" s="595"/>
      <c r="BA122" s="595"/>
      <c r="BB122" s="595"/>
      <c r="BC122" s="595"/>
      <c r="BD122" s="595"/>
      <c r="BE122" s="595"/>
      <c r="BF122" s="595"/>
      <c r="BG122" s="595"/>
      <c r="BH122" s="595"/>
      <c r="BI122" s="651"/>
      <c r="BJ122" s="651"/>
      <c r="BK122" s="651"/>
      <c r="BL122" s="651"/>
      <c r="BM122" s="651"/>
      <c r="BN122" s="651"/>
      <c r="BO122" s="651"/>
      <c r="BP122" s="651"/>
      <c r="BQ122" s="651"/>
      <c r="BR122" s="651"/>
      <c r="BS122" s="651"/>
      <c r="BT122" s="651"/>
    </row>
    <row r="123">
      <c r="A123" s="1313"/>
      <c r="B123" s="154" t="str">
        <f>IFERROR(__xludf.DUMMYFUNCTION("IFERROR(
  IF(C123="""","""",
    IF(OR(REGEXMATCH(D123,""(?i)-Flashing""), REGEXMATCH(D123,""(?i)-EavesGut""), REGEXMATCH(D123,""(?i)Valley"")),
        ""DR"" &amp;
        TEXT(
            ROUNDUP(
                MIN(
                    VALUE(MID(C123, "&amp;"FIND(""("",C123)+1, FIND(""/"",C123)-FIND(""("",C123)-1)),
                    1200
                ) / 50, 0
            ) * 50, ""0""
        ) &amp;
        MID(C123, FIND(""/"",C123)+1, FIND("")"",C123)-FIND(""/"",C123)-1) &amp;
        TEXT(H123*100,""0"") &amp;"&amp;"
        I123,
    IF(AND(D123=""Roof Sheet"", REGEXMATCH(C123,""(?i)KS\d{4}[A-Z]{2}"")),
       REGEXEXTRACT(C123,""(?i)KS\d{4}[A-Z]{2}""),
    IF(AND(REGEXMATCH(D123,""(?i)-DP""), REGEXMATCH(C123,""(?i)Downpipe"")),
       ""dp"" &amp; REGEXEXTRACT(C123,""("&amp;"\d+)"") &amp; ""mm"",
    IF(AND(REGEXMATCH(D123,""(?i)Bracket""), REGEXMATCH(C123,""(?i)Bracket"")),
       ""Brkt"" &amp; REGEXEXTRACT(C123,""(\d+)"") &amp; ""mm"",
    IF(AND(REGEXMATCH(D123,""(?i)-OP""), REGEXMATCH(C123,""(?i)pops"")),
       ""op"" &amp; REGEXEXTRAC"&amp;"T(C123,""(\d+)"") &amp; ""mm"",
    IF(OR(D123=""R-FFTop"", D123=""R-FFBottom"", D123=""R-FFSide""),
        IF(REGEXMATCH(C123,""(?i)Profiled.*Top|Top.*Profiled""),""pfft"",
        IF(REGEXMATCH(C123,""(?i)Profiled.*Bottom|Bottom.*Profiled""),""pffb"",
    "&amp;"    IF(REGEXMATCH(C123,""(?i)Square""),""sff"",""""))),
    IF(REGEXMATCH(D123,""(?i)-Rivets""),""Rvt"",
    IF(REGEXMATCH(D123,""(?i)Silicone""),""300ml"",
    IF(REGEXMATCH(D123,""(?i)R-Butyl""),""300ml"",
    IF(REGEXMATCH(D123,""(?i)Fix""),""GenFix"","&amp;"
    IF(AND(REGEXMATCH(C123,""(?i)Timber""), REGEXMATCH(D123,""(?i)Timber"")),""tp"",
    IF(AND(REGEXMATCH(C123,""(?i)Vent G1275""), REGEXMATCH(D123,""(?i)Comb FIller"")),""CFV1275"",
    IF(REGEXMATCH(C123,""(?i)DPC""),""dpc"",
    IF(REGEXMATCH(C123,"""&amp;"(?i)Concealed Clips""),""ConClips"",
    IF(REGEXMATCH(D123,""(?i)-Takeoff ea""),""Takeoff ea"",
    IF(REGEXMATCH(D123,""(?i)-Takeoff LM""),""Takeoff LM"",
    IF(REGEXMATCH(D123,""(?i)-Takeoff m2""),""Takeoff m2"",
    IF(D123=""R-TU/TD"",""TU/TD"","""""&amp;")))))))))))))))))
  )))"),"GenFix")</f>
        <v>GenFix</v>
      </c>
      <c r="C123" s="698" t="s">
        <v>102</v>
      </c>
      <c r="D123" s="124" t="s">
        <v>103</v>
      </c>
      <c r="E123" s="722"/>
      <c r="F123" s="128" t="str">
        <f t="shared" si="90"/>
        <v/>
      </c>
      <c r="G123" s="701"/>
      <c r="H123" s="700"/>
      <c r="I123" s="700"/>
      <c r="J123" s="126" t="s">
        <v>87</v>
      </c>
      <c r="K123" s="126" t="str">
        <f>IFERROR(
  IF(B123="", "", VLOOKUP(B123, Data!$B$2:$K$905, 7, FALSE)),
  ""
)</f>
        <v/>
      </c>
      <c r="L123" s="712"/>
      <c r="M123" s="150">
        <f>ROUNDUP(M120/0.6,0)+1</f>
        <v>1</v>
      </c>
      <c r="N123" s="151">
        <f>IFERROR(__xludf.DUMMYFUNCTION("IF(B123="""", """", IFERROR(1 / COS(RADIANS(REGEXEXTRACT(F123,""(\d+)""))), 1))"),1.0)</f>
        <v>1</v>
      </c>
      <c r="O123" s="169">
        <v>1.0</v>
      </c>
      <c r="P123" s="134">
        <v>2.0</v>
      </c>
      <c r="Q123" s="168">
        <f t="shared" si="86"/>
        <v>2</v>
      </c>
      <c r="R123" s="136" t="str">
        <f>IFERROR(
  IF(B123="", "", VLOOKUP(B123, Data!$B$2:$K$905, 9, FALSE)),
  ""
)</f>
        <v/>
      </c>
      <c r="S123" s="152">
        <f t="shared" si="87"/>
        <v>0</v>
      </c>
      <c r="T123" s="690"/>
      <c r="U123" s="136" t="str">
        <f>IFERROR(
  IF(B123="", "", VLOOKUP(B123, Data!$B$2:$K$905, 10, FALSE)),
  ""
)
</f>
        <v/>
      </c>
      <c r="V123" s="691"/>
      <c r="W123" s="140">
        <f t="shared" si="88"/>
        <v>0</v>
      </c>
      <c r="X123" s="692"/>
      <c r="Y123" s="595"/>
      <c r="Z123" s="595"/>
      <c r="AA123" s="595"/>
      <c r="AB123" s="354">
        <f t="shared" si="89"/>
        <v>0</v>
      </c>
      <c r="AC123" s="181"/>
      <c r="AD123" s="625"/>
      <c r="AE123" s="626"/>
      <c r="AF123" s="696"/>
      <c r="AG123" s="697"/>
      <c r="AH123" s="629"/>
      <c r="AI123" s="187"/>
      <c r="AJ123" s="630"/>
      <c r="AK123" s="630"/>
      <c r="AL123" s="595"/>
      <c r="AM123" s="595"/>
      <c r="AN123" s="595"/>
      <c r="AO123" s="595"/>
      <c r="AP123" s="595"/>
      <c r="AQ123" s="595"/>
      <c r="AR123" s="595"/>
      <c r="AS123" s="595"/>
      <c r="AT123" s="595"/>
      <c r="AU123" s="595"/>
      <c r="AV123" s="595"/>
      <c r="AW123" s="595"/>
      <c r="AX123" s="595"/>
      <c r="AY123" s="595"/>
      <c r="AZ123" s="595"/>
      <c r="BA123" s="595"/>
      <c r="BB123" s="595"/>
      <c r="BC123" s="595"/>
      <c r="BD123" s="595"/>
      <c r="BE123" s="595"/>
      <c r="BF123" s="595"/>
      <c r="BG123" s="595"/>
      <c r="BH123" s="595"/>
      <c r="BI123" s="651"/>
      <c r="BJ123" s="651"/>
      <c r="BK123" s="651"/>
      <c r="BL123" s="651"/>
      <c r="BM123" s="651"/>
      <c r="BN123" s="651"/>
      <c r="BO123" s="651"/>
      <c r="BP123" s="651"/>
      <c r="BQ123" s="651"/>
      <c r="BR123" s="651"/>
      <c r="BS123" s="651"/>
      <c r="BT123" s="651"/>
    </row>
    <row r="124">
      <c r="A124" s="1313"/>
      <c r="B124" s="154"/>
      <c r="C124" s="734"/>
      <c r="D124" s="124"/>
      <c r="E124" s="722"/>
      <c r="F124" s="128"/>
      <c r="G124" s="701"/>
      <c r="H124" s="700"/>
      <c r="I124" s="700"/>
      <c r="J124" s="126"/>
      <c r="K124" s="126"/>
      <c r="L124" s="712"/>
      <c r="M124" s="150"/>
      <c r="N124" s="151"/>
      <c r="O124" s="169"/>
      <c r="P124" s="134"/>
      <c r="Q124" s="168"/>
      <c r="R124" s="136" t="str">
        <f>IFERROR(
  IF(B124="", "", VLOOKUP(B124, Data!$B$2:$K$905, 9, FALSE)),
  ""
)</f>
        <v/>
      </c>
      <c r="S124" s="152"/>
      <c r="T124" s="690"/>
      <c r="U124" s="136" t="str">
        <f>IFERROR(
  IF(B124="", "", VLOOKUP(B124, Data!$B$2:$K$905, 10, FALSE)),
  ""
)
</f>
        <v/>
      </c>
      <c r="V124" s="691"/>
      <c r="W124" s="140"/>
      <c r="X124" s="692"/>
      <c r="Y124" s="595"/>
      <c r="Z124" s="595"/>
      <c r="AA124" s="595"/>
      <c r="AB124" s="354"/>
      <c r="AC124" s="181"/>
      <c r="AD124" s="625"/>
      <c r="AE124" s="626"/>
      <c r="AF124" s="696"/>
      <c r="AG124" s="697"/>
      <c r="AH124" s="629"/>
      <c r="AI124" s="187"/>
      <c r="AJ124" s="630"/>
      <c r="AK124" s="630"/>
      <c r="AL124" s="595"/>
      <c r="AM124" s="595"/>
      <c r="AN124" s="595"/>
      <c r="AO124" s="595"/>
      <c r="AP124" s="595"/>
      <c r="AQ124" s="595"/>
      <c r="AR124" s="595"/>
      <c r="AS124" s="595"/>
      <c r="AT124" s="595"/>
      <c r="AU124" s="595"/>
      <c r="AV124" s="595"/>
      <c r="AW124" s="595"/>
      <c r="AX124" s="595"/>
      <c r="AY124" s="595"/>
      <c r="AZ124" s="595"/>
      <c r="BA124" s="595"/>
      <c r="BB124" s="595"/>
      <c r="BC124" s="595"/>
      <c r="BD124" s="595"/>
      <c r="BE124" s="595"/>
      <c r="BF124" s="595"/>
      <c r="BG124" s="595"/>
      <c r="BH124" s="595"/>
      <c r="BI124" s="651"/>
      <c r="BJ124" s="651"/>
      <c r="BK124" s="651"/>
      <c r="BL124" s="651"/>
      <c r="BM124" s="651"/>
      <c r="BN124" s="651"/>
      <c r="BO124" s="651"/>
      <c r="BP124" s="651"/>
      <c r="BQ124" s="651"/>
      <c r="BR124" s="651"/>
      <c r="BS124" s="651"/>
      <c r="BT124" s="651"/>
    </row>
    <row r="125">
      <c r="A125" s="1313">
        <v>1.0</v>
      </c>
      <c r="B125" s="727"/>
      <c r="C125" s="103" t="s">
        <v>1220</v>
      </c>
      <c r="D125" s="678"/>
      <c r="E125" s="676"/>
      <c r="F125" s="728"/>
      <c r="G125" s="678"/>
      <c r="H125" s="678"/>
      <c r="I125" s="678"/>
      <c r="J125" s="678"/>
      <c r="K125" s="678" t="s">
        <v>42</v>
      </c>
      <c r="L125" s="106">
        <f>Q125</f>
        <v>0</v>
      </c>
      <c r="M125" s="679" t="s">
        <v>42</v>
      </c>
      <c r="N125" s="680"/>
      <c r="O125" s="679"/>
      <c r="P125" s="678"/>
      <c r="Q125" s="106">
        <f>Q126</f>
        <v>0</v>
      </c>
      <c r="R125" s="136" t="str">
        <f>IFERROR(
  IF(B125="", "", VLOOKUP(B125, Data!$B$2:$K$905, 9, FALSE)),
  ""
)</f>
        <v/>
      </c>
      <c r="S125" s="682">
        <f>IFERROR(T125/Q125, 0)</f>
        <v>0</v>
      </c>
      <c r="T125" s="109">
        <f>SUM(S126:S130)</f>
        <v>0</v>
      </c>
      <c r="U125" s="136" t="str">
        <f>IFERROR(
  IF(B125="", "", VLOOKUP(B125, Data!$B$2:$K$905, 10, FALSE)),
  ""
)
</f>
        <v/>
      </c>
      <c r="V125" s="109" t="str">
        <f>W125/Q125</f>
        <v>#DIV/0!</v>
      </c>
      <c r="W125" s="110">
        <f>SUM(W126:W130)</f>
        <v>0</v>
      </c>
      <c r="X125" s="111" t="str">
        <f>W125/$AC$235/$W$242/$X$232</f>
        <v>#REF!</v>
      </c>
      <c r="Y125" s="112" t="b">
        <f>(T125+W125)=(SUM(AB126:AB130))</f>
        <v>1</v>
      </c>
      <c r="Z125" s="113">
        <f>(T125+W125)-(SUM(AB126:AB130))</f>
        <v>0</v>
      </c>
      <c r="AA125" s="595"/>
      <c r="AB125" s="595"/>
      <c r="AC125" s="181"/>
      <c r="AD125" s="114">
        <f>W125+T125</f>
        <v>0</v>
      </c>
      <c r="AE125" s="115">
        <f>AD125</f>
        <v>0</v>
      </c>
      <c r="AF125" s="116" t="str">
        <f>AE125/$AE$210</f>
        <v>#REF!</v>
      </c>
      <c r="AG125" s="683" t="str">
        <f>AF125*$AG$217</f>
        <v>#REF!</v>
      </c>
      <c r="AH125" s="118" t="str">
        <f>AF125*$AG$220</f>
        <v>#REF!</v>
      </c>
      <c r="AI125" s="187"/>
      <c r="AJ125" s="119" t="str">
        <f>ROUND(AK125/L125,2)</f>
        <v>#REF!</v>
      </c>
      <c r="AK125" s="119" t="str">
        <f>ROUND(AH125+AG125+AD125,2)</f>
        <v>#REF!</v>
      </c>
      <c r="AL125" s="595"/>
      <c r="AM125" s="595"/>
      <c r="AN125" s="595"/>
      <c r="AO125" s="595"/>
      <c r="AP125" s="595"/>
      <c r="AQ125" s="595"/>
      <c r="AR125" s="595"/>
      <c r="AS125" s="595"/>
      <c r="AT125" s="595"/>
      <c r="AU125" s="595"/>
      <c r="AV125" s="595"/>
      <c r="AW125" s="595"/>
      <c r="AX125" s="595"/>
      <c r="AY125" s="595"/>
      <c r="AZ125" s="595"/>
      <c r="BA125" s="595"/>
      <c r="BB125" s="595"/>
      <c r="BC125" s="595"/>
      <c r="BD125" s="595"/>
      <c r="BE125" s="595"/>
      <c r="BF125" s="595"/>
      <c r="BG125" s="595"/>
      <c r="BH125" s="595"/>
      <c r="BI125" s="651"/>
      <c r="BJ125" s="651"/>
      <c r="BK125" s="651"/>
      <c r="BL125" s="651"/>
      <c r="BM125" s="651"/>
      <c r="BN125" s="651"/>
      <c r="BO125" s="651"/>
      <c r="BP125" s="651"/>
      <c r="BQ125" s="651"/>
      <c r="BR125" s="651"/>
      <c r="BS125" s="651"/>
      <c r="BT125" s="651"/>
    </row>
    <row r="126">
      <c r="A126" s="1313"/>
      <c r="B126" s="154" t="str">
        <f>IFERROR(__xludf.DUMMYFUNCTION("IFERROR(
  IF(C126="""","""",
    IF(OR(REGEXMATCH(D126,""(?i)-Flashing""), REGEXMATCH(D126,""(?i)-EavesGut""), REGEXMATCH(D126,""(?i)Valley"")),
        ""DR"" &amp;
        TEXT(
            ROUNDUP(
                MIN(
                    VALUE(MID(C126, "&amp;"FIND(""("",C126)+1, FIND(""/"",C126)-FIND(""("",C126)-1)),
                    1200
                ) / 50, 0
            ) * 50, ""0""
        ) &amp;
        MID(C126, FIND(""/"",C126)+1, FIND("")"",C126)-FIND(""/"",C126)-1) &amp;
        TEXT(H126*100,""0"") &amp;"&amp;"
        I126,
    IF(AND(D126=""Roof Sheet"", REGEXMATCH(C126,""(?i)KS\d{4}[A-Z]{2}"")),
       REGEXEXTRACT(C126,""(?i)KS\d{4}[A-Z]{2}""),
    IF(AND(REGEXMATCH(D126,""(?i)-DP""), REGEXMATCH(C126,""(?i)Downpipe"")),
       ""dp"" &amp; REGEXEXTRACT(C126,""("&amp;"\d+)"") &amp; ""mm"",
    IF(AND(REGEXMATCH(D126,""(?i)Bracket""), REGEXMATCH(C126,""(?i)Bracket"")),
       ""Brkt"" &amp; REGEXEXTRACT(C126,""(\d+)"") &amp; ""mm"",
    IF(AND(REGEXMATCH(D126,""(?i)-OP""), REGEXMATCH(C126,""(?i)pops"")),
       ""op"" &amp; REGEXEXTRAC"&amp;"T(C126,""(\d+)"") &amp; ""mm"",
    IF(OR(D126=""R-FFTop"", D126=""R-FFBottom"", D126=""R-FFSide""),
        IF(REGEXMATCH(C126,""(?i)Profiled.*Top|Top.*Profiled""),""pfft"",
        IF(REGEXMATCH(C126,""(?i)Profiled.*Bottom|Bottom.*Profiled""),""pffb"",
    "&amp;"    IF(REGEXMATCH(C126,""(?i)Square""),""sff"",""""))),
    IF(REGEXMATCH(D126,""(?i)-Rivets""),""Rvt"",
    IF(REGEXMATCH(D126,""(?i)Silicone""),""300ml"",
    IF(REGEXMATCH(D126,""(?i)R-Butyl""),""300ml"",
    IF(REGEXMATCH(D126,""(?i)Fix""),""GenFix"","&amp;"
    IF(AND(REGEXMATCH(C126,""(?i)Timber""), REGEXMATCH(D126,""(?i)Timber"")),""tp"",
    IF(AND(REGEXMATCH(C126,""(?i)Vent G1275""), REGEXMATCH(D126,""(?i)Comb FIller"")),""CFV1275"",
    IF(REGEXMATCH(C126,""(?i)DPC""),""dpc"",
    IF(REGEXMATCH(C126,"""&amp;"(?i)Concealed Clips""),""ConClips"",
    IF(REGEXMATCH(D126,""(?i)-Takeoff ea""),""Takeoff ea"",
    IF(REGEXMATCH(D126,""(?i)-Takeoff LM""),""Takeoff LM"",
    IF(REGEXMATCH(D126,""(?i)-Takeoff m2""),""Takeoff m2"",
    IF(D126=""R-TU/TD"",""TU/TD"","""""&amp;")))))))))))))))))
  )))"),"DR3501B55Mag")</f>
        <v>DR3501B55Mag</v>
      </c>
      <c r="C126" s="123" t="s">
        <v>1219</v>
      </c>
      <c r="D126" s="124" t="s">
        <v>96</v>
      </c>
      <c r="E126" s="687">
        <f>VALUE(MID(C126, FIND("(", C126)+1, FIND("/", C126)-FIND("(", C126)-1)) / 1000</f>
        <v>0.31</v>
      </c>
      <c r="F126" s="126" t="str">
        <f>IFERROR(__xludf.DUMMYFUNCTION("IFERROR(REGEXEXTRACT(C126,""@\s*(\d+(?:\.\d+)?)\s*deg"")&amp;""°"","""")"),"")</f>
        <v/>
      </c>
      <c r="G126" s="700"/>
      <c r="H126" s="128" t="str">
        <f>IFERROR(__xludf.DUMMYFUNCTION("IFERROR(REGEXEXTRACT(C126, ""(\d*\.\d+)mm""), """")"),"0.55")</f>
        <v>0.55</v>
      </c>
      <c r="I126" s="128" t="s">
        <v>97</v>
      </c>
      <c r="J126" s="126" t="s">
        <v>14</v>
      </c>
      <c r="K126" s="126" t="str">
        <f>IFERROR(
  IF(B126="", "", VLOOKUP(B126, Data!$B$2:$K$905, 7, FALSE)),
  ""
)</f>
        <v/>
      </c>
      <c r="L126" s="704"/>
      <c r="M126" s="730"/>
      <c r="N126" s="151">
        <f>IFERROR(__xludf.DUMMYFUNCTION("IF(B126="""", """", IFERROR(1 / COS(RADIANS(REGEXEXTRACT(F126,""(\d+)""))), 1))"),1.0)</f>
        <v>1</v>
      </c>
      <c r="O126" s="169">
        <v>1.0</v>
      </c>
      <c r="P126" s="134">
        <v>1.0</v>
      </c>
      <c r="Q126" s="168">
        <f t="shared" ref="Q126:Q129" si="92">M126*N126*O126*P126</f>
        <v>0</v>
      </c>
      <c r="R126" s="136" t="str">
        <f>IFERROR(
  IF(B126="", "", VLOOKUP(B126, Data!$B$2:$K$905, 9, FALSE)),
  ""
)</f>
        <v/>
      </c>
      <c r="S126" s="152">
        <f t="shared" ref="S126:S129" si="93">R126*Q126</f>
        <v>0</v>
      </c>
      <c r="T126" s="690"/>
      <c r="U126" s="136" t="str">
        <f>IFERROR(
  IF(B126="", "", VLOOKUP(B126, Data!$B$2:$K$905, 10, FALSE)),
  ""
)
</f>
        <v/>
      </c>
      <c r="V126" s="691"/>
      <c r="W126" s="140">
        <f t="shared" ref="W126:W129" si="94">U126*Q126</f>
        <v>0</v>
      </c>
      <c r="X126" s="692"/>
      <c r="Y126" s="693"/>
      <c r="Z126" s="731"/>
      <c r="AA126" s="595"/>
      <c r="AB126" s="354">
        <f t="shared" ref="AB126:AB129" si="95">W126+S126</f>
        <v>0</v>
      </c>
      <c r="AC126" s="181"/>
      <c r="AD126" s="625"/>
      <c r="AE126" s="626"/>
      <c r="AF126" s="696"/>
      <c r="AG126" s="697"/>
      <c r="AH126" s="629"/>
      <c r="AI126" s="187"/>
      <c r="AJ126" s="630"/>
      <c r="AK126" s="630"/>
      <c r="AL126" s="595"/>
      <c r="AM126" s="595"/>
      <c r="AN126" s="595"/>
      <c r="AO126" s="595"/>
      <c r="AP126" s="595"/>
      <c r="AQ126" s="595"/>
      <c r="AR126" s="595"/>
      <c r="AS126" s="595"/>
      <c r="AT126" s="595"/>
      <c r="AU126" s="595"/>
      <c r="AV126" s="595"/>
      <c r="AW126" s="595"/>
      <c r="AX126" s="595"/>
      <c r="AY126" s="595"/>
      <c r="AZ126" s="595"/>
      <c r="BA126" s="595"/>
      <c r="BB126" s="595"/>
      <c r="BC126" s="595"/>
      <c r="BD126" s="595"/>
      <c r="BE126" s="595"/>
      <c r="BF126" s="595"/>
      <c r="BG126" s="595"/>
      <c r="BH126" s="595"/>
      <c r="BI126" s="651"/>
      <c r="BJ126" s="651"/>
      <c r="BK126" s="651"/>
      <c r="BL126" s="651"/>
      <c r="BM126" s="651"/>
      <c r="BN126" s="651"/>
      <c r="BO126" s="651"/>
      <c r="BP126" s="651"/>
      <c r="BQ126" s="651"/>
      <c r="BR126" s="651"/>
      <c r="BS126" s="651"/>
      <c r="BT126" s="651"/>
    </row>
    <row r="127">
      <c r="A127" s="1313"/>
      <c r="B127" s="154" t="str">
        <f>IFERROR(__xludf.DUMMYFUNCTION("IFERROR(
  IF(C127="""","""",
    IF(OR(REGEXMATCH(D127,""(?i)-Flashing""), REGEXMATCH(D127,""(?i)-EavesGut""), REGEXMATCH(D127,""(?i)Valley"")),
        ""DR"" &amp;
        TEXT(
            ROUNDUP(
                MIN(
                    VALUE(MID(C127, "&amp;"FIND(""("",C127)+1, FIND(""/"",C127)-FIND(""("",C127)-1)),
                    1200
                ) / 50, 0
            ) * 50, ""0""
        ) &amp;
        MID(C127, FIND(""/"",C127)+1, FIND("")"",C127)-FIND(""/"",C127)-1) &amp;
        TEXT(H127*100,""0"") &amp;"&amp;"
        I127,
    IF(AND(D127=""Roof Sheet"", REGEXMATCH(C127,""(?i)KS\d{4}[A-Z]{2}"")),
       REGEXEXTRACT(C127,""(?i)KS\d{4}[A-Z]{2}""),
    IF(AND(REGEXMATCH(D127,""(?i)-DP""), REGEXMATCH(C127,""(?i)Downpipe"")),
       ""dp"" &amp; REGEXEXTRACT(C127,""("&amp;"\d+)"") &amp; ""mm"",
    IF(AND(REGEXMATCH(D127,""(?i)Bracket""), REGEXMATCH(C127,""(?i)Bracket"")),
       ""Brkt"" &amp; REGEXEXTRACT(C127,""(\d+)"") &amp; ""mm"",
    IF(AND(REGEXMATCH(D127,""(?i)-OP""), REGEXMATCH(C127,""(?i)pops"")),
       ""op"" &amp; REGEXEXTRAC"&amp;"T(C127,""(\d+)"") &amp; ""mm"",
    IF(OR(D127=""R-FFTop"", D127=""R-FFBottom"", D127=""R-FFSide""),
        IF(REGEXMATCH(C127,""(?i)Profiled.*Top|Top.*Profiled""),""pfft"",
        IF(REGEXMATCH(C127,""(?i)Profiled.*Bottom|Bottom.*Profiled""),""pffb"",
    "&amp;"    IF(REGEXMATCH(C127,""(?i)Square""),""sff"",""""))),
    IF(REGEXMATCH(D127,""(?i)-Rivets""),""Rvt"",
    IF(REGEXMATCH(D127,""(?i)Silicone""),""300ml"",
    IF(REGEXMATCH(D127,""(?i)R-Butyl""),""300ml"",
    IF(REGEXMATCH(D127,""(?i)Fix""),""GenFix"","&amp;"
    IF(AND(REGEXMATCH(C127,""(?i)Timber""), REGEXMATCH(D127,""(?i)Timber"")),""tp"",
    IF(AND(REGEXMATCH(C127,""(?i)Vent G1275""), REGEXMATCH(D127,""(?i)Comb FIller"")),""CFV1275"",
    IF(REGEXMATCH(C127,""(?i)DPC""),""dpc"",
    IF(REGEXMATCH(C127,"""&amp;"(?i)Concealed Clips""),""ConClips"",
    IF(REGEXMATCH(D127,""(?i)-Takeoff ea""),""Takeoff ea"",
    IF(REGEXMATCH(D127,""(?i)-Takeoff LM""),""Takeoff LM"",
    IF(REGEXMATCH(D127,""(?i)-Takeoff m2""),""Takeoff m2"",
    IF(D127=""R-TU/TD"",""TU/TD"","""""&amp;")))))))))))))))))
  )))"),"300ml")</f>
        <v>300ml</v>
      </c>
      <c r="C127" s="734" t="s">
        <v>98</v>
      </c>
      <c r="D127" s="124" t="s">
        <v>99</v>
      </c>
      <c r="E127" s="687">
        <f t="shared" ref="E127:F127" si="91">E126</f>
        <v>0.31</v>
      </c>
      <c r="F127" s="128" t="str">
        <f t="shared" si="91"/>
        <v/>
      </c>
      <c r="G127" s="700"/>
      <c r="H127" s="700" t="str">
        <f>IFERROR(__xludf.DUMMYFUNCTION("IFERROR(REGEXEXTRACT(C127, ""(\d*\.\d+)mm""), """")"),"")</f>
        <v/>
      </c>
      <c r="I127" s="700"/>
      <c r="J127" s="126" t="s">
        <v>87</v>
      </c>
      <c r="K127" s="126" t="str">
        <f>IFERROR(
  IF(B127="", "", VLOOKUP(B127, Data!$B$2:$K$905, 7, FALSE)),
  ""
)</f>
        <v/>
      </c>
      <c r="L127" s="704"/>
      <c r="M127" s="150">
        <f>(ROUNDDOWN((M126/5.7)+2,0)*E127)/8</f>
        <v>0.0775</v>
      </c>
      <c r="N127" s="151">
        <f>IFERROR(__xludf.DUMMYFUNCTION("IF(B127="""", """", IFERROR(1 / COS(RADIANS(REGEXEXTRACT(F127,""(\d+)""))), 1))"),1.0)</f>
        <v>1</v>
      </c>
      <c r="O127" s="169">
        <v>1.0</v>
      </c>
      <c r="P127" s="134">
        <v>1.0</v>
      </c>
      <c r="Q127" s="168">
        <f t="shared" si="92"/>
        <v>0.0775</v>
      </c>
      <c r="R127" s="136" t="str">
        <f>IFERROR(
  IF(B127="", "", VLOOKUP(B127, Data!$B$2:$K$905, 9, FALSE)),
  ""
)</f>
        <v/>
      </c>
      <c r="S127" s="152">
        <f t="shared" si="93"/>
        <v>0</v>
      </c>
      <c r="T127" s="690"/>
      <c r="U127" s="136" t="str">
        <f>IFERROR(
  IF(B127="", "", VLOOKUP(B127, Data!$B$2:$K$905, 10, FALSE)),
  ""
)
</f>
        <v/>
      </c>
      <c r="V127" s="691"/>
      <c r="W127" s="140">
        <f t="shared" si="94"/>
        <v>0</v>
      </c>
      <c r="X127" s="692"/>
      <c r="Y127" s="595"/>
      <c r="Z127" s="595"/>
      <c r="AA127" s="595"/>
      <c r="AB127" s="354">
        <f t="shared" si="95"/>
        <v>0</v>
      </c>
      <c r="AC127" s="181"/>
      <c r="AD127" s="625"/>
      <c r="AE127" s="626"/>
      <c r="AF127" s="696"/>
      <c r="AG127" s="697"/>
      <c r="AH127" s="629"/>
      <c r="AI127" s="187"/>
      <c r="AJ127" s="630"/>
      <c r="AK127" s="630"/>
      <c r="AL127" s="595"/>
      <c r="AM127" s="595"/>
      <c r="AN127" s="595"/>
      <c r="AO127" s="595"/>
      <c r="AP127" s="595"/>
      <c r="AQ127" s="595"/>
      <c r="AR127" s="595"/>
      <c r="AS127" s="595"/>
      <c r="AT127" s="595"/>
      <c r="AU127" s="595"/>
      <c r="AV127" s="595"/>
      <c r="AW127" s="595"/>
      <c r="AX127" s="595"/>
      <c r="AY127" s="595"/>
      <c r="AZ127" s="595"/>
      <c r="BA127" s="595"/>
      <c r="BB127" s="595"/>
      <c r="BC127" s="595"/>
      <c r="BD127" s="595"/>
      <c r="BE127" s="595"/>
      <c r="BF127" s="595"/>
      <c r="BG127" s="595"/>
      <c r="BH127" s="595"/>
      <c r="BI127" s="651"/>
      <c r="BJ127" s="651"/>
      <c r="BK127" s="651"/>
      <c r="BL127" s="651"/>
      <c r="BM127" s="651"/>
      <c r="BN127" s="651"/>
      <c r="BO127" s="651"/>
      <c r="BP127" s="651"/>
      <c r="BQ127" s="651"/>
      <c r="BR127" s="651"/>
      <c r="BS127" s="651"/>
      <c r="BT127" s="651"/>
    </row>
    <row r="128">
      <c r="A128" s="1313"/>
      <c r="B128" s="154" t="str">
        <f>IFERROR(__xludf.DUMMYFUNCTION("IFERROR(
  IF(C128="""","""",
    IF(OR(REGEXMATCH(D128,""(?i)-Flashing""), REGEXMATCH(D128,""(?i)-EavesGut""), REGEXMATCH(D128,""(?i)Valley"")),
        ""DR"" &amp;
        TEXT(
            ROUNDUP(
                MIN(
                    VALUE(MID(C128, "&amp;"FIND(""("",C128)+1, FIND(""/"",C128)-FIND(""("",C128)-1)),
                    1200
                ) / 50, 0
            ) * 50, ""0""
        ) &amp;
        MID(C128, FIND(""/"",C128)+1, FIND("")"",C128)-FIND(""/"",C128)-1) &amp;
        TEXT(H128*100,""0"") &amp;"&amp;"
        I128,
    IF(AND(D128=""Roof Sheet"", REGEXMATCH(C128,""(?i)KS\d{4}[A-Z]{2}"")),
       REGEXEXTRACT(C128,""(?i)KS\d{4}[A-Z]{2}""),
    IF(AND(REGEXMATCH(D128,""(?i)-DP""), REGEXMATCH(C128,""(?i)Downpipe"")),
       ""dp"" &amp; REGEXEXTRACT(C128,""("&amp;"\d+)"") &amp; ""mm"",
    IF(AND(REGEXMATCH(D128,""(?i)Bracket""), REGEXMATCH(C128,""(?i)Bracket"")),
       ""Brkt"" &amp; REGEXEXTRACT(C128,""(\d+)"") &amp; ""mm"",
    IF(AND(REGEXMATCH(D128,""(?i)-OP""), REGEXMATCH(C128,""(?i)pops"")),
       ""op"" &amp; REGEXEXTRAC"&amp;"T(C128,""(\d+)"") &amp; ""mm"",
    IF(OR(D128=""R-FFTop"", D128=""R-FFBottom"", D128=""R-FFSide""),
        IF(REGEXMATCH(C128,""(?i)Profiled.*Top|Top.*Profiled""),""pfft"",
        IF(REGEXMATCH(C128,""(?i)Profiled.*Bottom|Bottom.*Profiled""),""pffb"",
    "&amp;"    IF(REGEXMATCH(C128,""(?i)Square""),""sff"",""""))),
    IF(REGEXMATCH(D128,""(?i)-Rivets""),""Rvt"",
    IF(REGEXMATCH(D128,""(?i)Silicone""),""300ml"",
    IF(REGEXMATCH(D128,""(?i)R-Butyl""),""300ml"",
    IF(REGEXMATCH(D128,""(?i)Fix""),""GenFix"","&amp;"
    IF(AND(REGEXMATCH(C128,""(?i)Timber""), REGEXMATCH(D128,""(?i)Timber"")),""tp"",
    IF(AND(REGEXMATCH(C128,""(?i)Vent G1275""), REGEXMATCH(D128,""(?i)Comb FIller"")),""CFV1275"",
    IF(REGEXMATCH(C128,""(?i)DPC""),""dpc"",
    IF(REGEXMATCH(C128,"""&amp;"(?i)Concealed Clips""),""ConClips"",
    IF(REGEXMATCH(D128,""(?i)-Takeoff ea""),""Takeoff ea"",
    IF(REGEXMATCH(D128,""(?i)-Takeoff LM""),""Takeoff LM"",
    IF(REGEXMATCH(D128,""(?i)-Takeoff m2""),""Takeoff m2"",
    IF(D128=""R-TU/TD"",""TU/TD"","""""&amp;")))))))))))))))))
  )))"),"Rvt")</f>
        <v>Rvt</v>
      </c>
      <c r="C128" s="734" t="s">
        <v>100</v>
      </c>
      <c r="D128" s="124" t="s">
        <v>101</v>
      </c>
      <c r="E128" s="687">
        <f>E126</f>
        <v>0.31</v>
      </c>
      <c r="F128" s="128" t="str">
        <f t="shared" ref="F128:F129" si="96">F127</f>
        <v/>
      </c>
      <c r="G128" s="700"/>
      <c r="H128" s="700" t="str">
        <f>IFERROR(__xludf.DUMMYFUNCTION("IFERROR(REGEXEXTRACT(C128, ""(\d*\.\d+)mm""), """")"),"")</f>
        <v/>
      </c>
      <c r="I128" s="700"/>
      <c r="J128" s="126" t="s">
        <v>87</v>
      </c>
      <c r="K128" s="126" t="str">
        <f>IFERROR(
  IF(B128="", "", VLOOKUP(B128, Data!$B$2:$K$905, 7, FALSE)),
  ""
)</f>
        <v/>
      </c>
      <c r="L128" s="704"/>
      <c r="M128" s="150">
        <f>ROUNDUP(((M126/5.7)+1)*(E128/0.05),0)</f>
        <v>7</v>
      </c>
      <c r="N128" s="151">
        <f>IFERROR(__xludf.DUMMYFUNCTION("IF(B128="""", """", IFERROR(1 / COS(RADIANS(REGEXEXTRACT(F128,""(\d+)""))), 1))"),1.0)</f>
        <v>1</v>
      </c>
      <c r="O128" s="169">
        <v>1.0</v>
      </c>
      <c r="P128" s="134">
        <v>1.0</v>
      </c>
      <c r="Q128" s="168">
        <f t="shared" si="92"/>
        <v>7</v>
      </c>
      <c r="R128" s="136" t="str">
        <f>IFERROR(
  IF(B128="", "", VLOOKUP(B128, Data!$B$2:$K$905, 9, FALSE)),
  ""
)</f>
        <v/>
      </c>
      <c r="S128" s="152">
        <f t="shared" si="93"/>
        <v>0</v>
      </c>
      <c r="T128" s="690"/>
      <c r="U128" s="136" t="str">
        <f>IFERROR(
  IF(B128="", "", VLOOKUP(B128, Data!$B$2:$K$905, 10, FALSE)),
  ""
)
</f>
        <v/>
      </c>
      <c r="V128" s="691"/>
      <c r="W128" s="140">
        <f t="shared" si="94"/>
        <v>0</v>
      </c>
      <c r="X128" s="692"/>
      <c r="Y128" s="595"/>
      <c r="Z128" s="595"/>
      <c r="AA128" s="595"/>
      <c r="AB128" s="354">
        <f t="shared" si="95"/>
        <v>0</v>
      </c>
      <c r="AC128" s="181"/>
      <c r="AD128" s="625"/>
      <c r="AE128" s="626"/>
      <c r="AF128" s="696"/>
      <c r="AG128" s="697"/>
      <c r="AH128" s="629"/>
      <c r="AI128" s="187"/>
      <c r="AJ128" s="630"/>
      <c r="AK128" s="630"/>
      <c r="AL128" s="595"/>
      <c r="AM128" s="595"/>
      <c r="AN128" s="595"/>
      <c r="AO128" s="595"/>
      <c r="AP128" s="595"/>
      <c r="AQ128" s="595"/>
      <c r="AR128" s="595"/>
      <c r="AS128" s="595"/>
      <c r="AT128" s="595"/>
      <c r="AU128" s="595"/>
      <c r="AV128" s="595"/>
      <c r="AW128" s="595"/>
      <c r="AX128" s="595"/>
      <c r="AY128" s="595"/>
      <c r="AZ128" s="595"/>
      <c r="BA128" s="595"/>
      <c r="BB128" s="595"/>
      <c r="BC128" s="595"/>
      <c r="BD128" s="595"/>
      <c r="BE128" s="595"/>
      <c r="BF128" s="595"/>
      <c r="BG128" s="595"/>
      <c r="BH128" s="595"/>
      <c r="BI128" s="651"/>
      <c r="BJ128" s="651"/>
      <c r="BK128" s="651"/>
      <c r="BL128" s="651"/>
      <c r="BM128" s="651"/>
      <c r="BN128" s="651"/>
      <c r="BO128" s="651"/>
      <c r="BP128" s="651"/>
      <c r="BQ128" s="651"/>
      <c r="BR128" s="651"/>
      <c r="BS128" s="651"/>
      <c r="BT128" s="651"/>
    </row>
    <row r="129">
      <c r="A129" s="1313"/>
      <c r="B129" s="154" t="str">
        <f>IFERROR(__xludf.DUMMYFUNCTION("IFERROR(
  IF(C129="""","""",
    IF(OR(REGEXMATCH(D129,""(?i)-Flashing""), REGEXMATCH(D129,""(?i)-EavesGut""), REGEXMATCH(D129,""(?i)Valley"")),
        ""DR"" &amp;
        TEXT(
            ROUNDUP(
                MIN(
                    VALUE(MID(C129, "&amp;"FIND(""("",C129)+1, FIND(""/"",C129)-FIND(""("",C129)-1)),
                    1200
                ) / 50, 0
            ) * 50, ""0""
        ) &amp;
        MID(C129, FIND(""/"",C129)+1, FIND("")"",C129)-FIND(""/"",C129)-1) &amp;
        TEXT(H129*100,""0"") &amp;"&amp;"
        I129,
    IF(AND(D129=""Roof Sheet"", REGEXMATCH(C129,""(?i)KS\d{4}[A-Z]{2}"")),
       REGEXEXTRACT(C129,""(?i)KS\d{4}[A-Z]{2}""),
    IF(AND(REGEXMATCH(D129,""(?i)-DP""), REGEXMATCH(C129,""(?i)Downpipe"")),
       ""dp"" &amp; REGEXEXTRACT(C129,""("&amp;"\d+)"") &amp; ""mm"",
    IF(AND(REGEXMATCH(D129,""(?i)Bracket""), REGEXMATCH(C129,""(?i)Bracket"")),
       ""Brkt"" &amp; REGEXEXTRACT(C129,""(\d+)"") &amp; ""mm"",
    IF(AND(REGEXMATCH(D129,""(?i)-OP""), REGEXMATCH(C129,""(?i)pops"")),
       ""op"" &amp; REGEXEXTRAC"&amp;"T(C129,""(\d+)"") &amp; ""mm"",
    IF(OR(D129=""R-FFTop"", D129=""R-FFBottom"", D129=""R-FFSide""),
        IF(REGEXMATCH(C129,""(?i)Profiled.*Top|Top.*Profiled""),""pfft"",
        IF(REGEXMATCH(C129,""(?i)Profiled.*Bottom|Bottom.*Profiled""),""pffb"",
    "&amp;"    IF(REGEXMATCH(C129,""(?i)Square""),""sff"",""""))),
    IF(REGEXMATCH(D129,""(?i)-Rivets""),""Rvt"",
    IF(REGEXMATCH(D129,""(?i)Silicone""),""300ml"",
    IF(REGEXMATCH(D129,""(?i)R-Butyl""),""300ml"",
    IF(REGEXMATCH(D129,""(?i)Fix""),""GenFix"","&amp;"
    IF(AND(REGEXMATCH(C129,""(?i)Timber""), REGEXMATCH(D129,""(?i)Timber"")),""tp"",
    IF(AND(REGEXMATCH(C129,""(?i)Vent G1275""), REGEXMATCH(D129,""(?i)Comb FIller"")),""CFV1275"",
    IF(REGEXMATCH(C129,""(?i)DPC""),""dpc"",
    IF(REGEXMATCH(C129,"""&amp;"(?i)Concealed Clips""),""ConClips"",
    IF(REGEXMATCH(D129,""(?i)-Takeoff ea""),""Takeoff ea"",
    IF(REGEXMATCH(D129,""(?i)-Takeoff LM""),""Takeoff LM"",
    IF(REGEXMATCH(D129,""(?i)-Takeoff m2""),""Takeoff m2"",
    IF(D129=""R-TU/TD"",""TU/TD"","""""&amp;")))))))))))))))))
  )))"),"GenFix")</f>
        <v>GenFix</v>
      </c>
      <c r="C129" s="698" t="s">
        <v>102</v>
      </c>
      <c r="D129" s="124" t="s">
        <v>103</v>
      </c>
      <c r="E129" s="722"/>
      <c r="F129" s="128" t="str">
        <f t="shared" si="96"/>
        <v/>
      </c>
      <c r="G129" s="701"/>
      <c r="H129" s="700"/>
      <c r="I129" s="700"/>
      <c r="J129" s="126" t="s">
        <v>87</v>
      </c>
      <c r="K129" s="126" t="str">
        <f>IFERROR(
  IF(B129="", "", VLOOKUP(B129, Data!$B$2:$K$905, 7, FALSE)),
  ""
)</f>
        <v/>
      </c>
      <c r="L129" s="712"/>
      <c r="M129" s="150">
        <f>ROUNDUP(M126/0.6,0)+1</f>
        <v>1</v>
      </c>
      <c r="N129" s="151">
        <f>IFERROR(__xludf.DUMMYFUNCTION("IF(B129="""", """", IFERROR(1 / COS(RADIANS(REGEXEXTRACT(F129,""(\d+)""))), 1))"),1.0)</f>
        <v>1</v>
      </c>
      <c r="O129" s="169">
        <v>1.0</v>
      </c>
      <c r="P129" s="134">
        <v>2.0</v>
      </c>
      <c r="Q129" s="168">
        <f t="shared" si="92"/>
        <v>2</v>
      </c>
      <c r="R129" s="136" t="str">
        <f>IFERROR(
  IF(B129="", "", VLOOKUP(B129, Data!$B$2:$K$905, 9, FALSE)),
  ""
)</f>
        <v/>
      </c>
      <c r="S129" s="152">
        <f t="shared" si="93"/>
        <v>0</v>
      </c>
      <c r="T129" s="690"/>
      <c r="U129" s="136" t="str">
        <f>IFERROR(
  IF(B129="", "", VLOOKUP(B129, Data!$B$2:$K$905, 10, FALSE)),
  ""
)
</f>
        <v/>
      </c>
      <c r="V129" s="691"/>
      <c r="W129" s="140">
        <f t="shared" si="94"/>
        <v>0</v>
      </c>
      <c r="X129" s="692"/>
      <c r="Y129" s="595"/>
      <c r="Z129" s="595"/>
      <c r="AA129" s="595"/>
      <c r="AB129" s="354">
        <f t="shared" si="95"/>
        <v>0</v>
      </c>
      <c r="AC129" s="181"/>
      <c r="AD129" s="625"/>
      <c r="AE129" s="626"/>
      <c r="AF129" s="696"/>
      <c r="AG129" s="697"/>
      <c r="AH129" s="629"/>
      <c r="AI129" s="187"/>
      <c r="AJ129" s="630"/>
      <c r="AK129" s="630"/>
      <c r="AL129" s="595"/>
      <c r="AM129" s="595"/>
      <c r="AN129" s="595"/>
      <c r="AO129" s="595"/>
      <c r="AP129" s="595"/>
      <c r="AQ129" s="595"/>
      <c r="AR129" s="595"/>
      <c r="AS129" s="595"/>
      <c r="AT129" s="595"/>
      <c r="AU129" s="595"/>
      <c r="AV129" s="595"/>
      <c r="AW129" s="595"/>
      <c r="AX129" s="595"/>
      <c r="AY129" s="595"/>
      <c r="AZ129" s="595"/>
      <c r="BA129" s="595"/>
      <c r="BB129" s="595"/>
      <c r="BC129" s="595"/>
      <c r="BD129" s="595"/>
      <c r="BE129" s="595"/>
      <c r="BF129" s="595"/>
      <c r="BG129" s="595"/>
      <c r="BH129" s="595"/>
      <c r="BI129" s="651"/>
      <c r="BJ129" s="651"/>
      <c r="BK129" s="651"/>
      <c r="BL129" s="651"/>
      <c r="BM129" s="651"/>
      <c r="BN129" s="651"/>
      <c r="BO129" s="651"/>
      <c r="BP129" s="651"/>
      <c r="BQ129" s="651"/>
      <c r="BR129" s="651"/>
      <c r="BS129" s="651"/>
      <c r="BT129" s="651"/>
    </row>
    <row r="130">
      <c r="A130" s="1313"/>
      <c r="B130" s="154"/>
      <c r="C130" s="734"/>
      <c r="D130" s="124"/>
      <c r="E130" s="722"/>
      <c r="F130" s="128"/>
      <c r="G130" s="701"/>
      <c r="H130" s="700"/>
      <c r="I130" s="700"/>
      <c r="J130" s="126"/>
      <c r="K130" s="126"/>
      <c r="L130" s="712"/>
      <c r="M130" s="150"/>
      <c r="N130" s="151"/>
      <c r="O130" s="169"/>
      <c r="P130" s="134"/>
      <c r="Q130" s="168"/>
      <c r="R130" s="136" t="str">
        <f>IFERROR(
  IF(B130="", "", VLOOKUP(B130, Data!$B$2:$K$905, 9, FALSE)),
  ""
)</f>
        <v/>
      </c>
      <c r="S130" s="152"/>
      <c r="T130" s="690"/>
      <c r="U130" s="136" t="str">
        <f>IFERROR(
  IF(B130="", "", VLOOKUP(B130, Data!$B$2:$K$905, 10, FALSE)),
  ""
)
</f>
        <v/>
      </c>
      <c r="V130" s="691"/>
      <c r="W130" s="140"/>
      <c r="X130" s="692"/>
      <c r="Y130" s="595"/>
      <c r="Z130" s="595"/>
      <c r="AA130" s="595"/>
      <c r="AB130" s="354"/>
      <c r="AC130" s="181"/>
      <c r="AD130" s="625"/>
      <c r="AE130" s="626"/>
      <c r="AF130" s="696"/>
      <c r="AG130" s="697"/>
      <c r="AH130" s="629"/>
      <c r="AI130" s="187"/>
      <c r="AJ130" s="630"/>
      <c r="AK130" s="630"/>
      <c r="AL130" s="595"/>
      <c r="AM130" s="595"/>
      <c r="AN130" s="595"/>
      <c r="AO130" s="595"/>
      <c r="AP130" s="595"/>
      <c r="AQ130" s="595"/>
      <c r="AR130" s="595"/>
      <c r="AS130" s="595"/>
      <c r="AT130" s="595"/>
      <c r="AU130" s="595"/>
      <c r="AV130" s="595"/>
      <c r="AW130" s="595"/>
      <c r="AX130" s="595"/>
      <c r="AY130" s="595"/>
      <c r="AZ130" s="595"/>
      <c r="BA130" s="595"/>
      <c r="BB130" s="595"/>
      <c r="BC130" s="595"/>
      <c r="BD130" s="595"/>
      <c r="BE130" s="595"/>
      <c r="BF130" s="595"/>
      <c r="BG130" s="595"/>
      <c r="BH130" s="595"/>
      <c r="BI130" s="651"/>
      <c r="BJ130" s="651"/>
      <c r="BK130" s="651"/>
      <c r="BL130" s="651"/>
      <c r="BM130" s="651"/>
      <c r="BN130" s="651"/>
      <c r="BO130" s="651"/>
      <c r="BP130" s="651"/>
      <c r="BQ130" s="651"/>
      <c r="BR130" s="651"/>
      <c r="BS130" s="651"/>
      <c r="BT130" s="651"/>
    </row>
    <row r="131">
      <c r="A131" s="1419">
        <v>1.0</v>
      </c>
      <c r="B131" s="714" t="s">
        <v>425</v>
      </c>
      <c r="C131" s="89" t="s">
        <v>471</v>
      </c>
      <c r="D131" s="90"/>
      <c r="E131" s="745"/>
      <c r="F131" s="90"/>
      <c r="G131" s="90"/>
      <c r="H131" s="90"/>
      <c r="I131" s="90"/>
      <c r="J131" s="90"/>
      <c r="K131" s="90" t="s">
        <v>42</v>
      </c>
      <c r="L131" s="91"/>
      <c r="M131" s="91" t="s">
        <v>42</v>
      </c>
      <c r="N131" s="92"/>
      <c r="O131" s="91"/>
      <c r="P131" s="90"/>
      <c r="Q131" s="91"/>
      <c r="R131" s="108" t="str">
        <f>IFERROR(
  IF(B131="", "", VLOOKUP(B131, Data!$B$2:$K$905, 9, FALSE)),
  ""
)</f>
        <v/>
      </c>
      <c r="S131" s="234"/>
      <c r="T131" s="235"/>
      <c r="U131" s="108" t="str">
        <f>IFERROR(
  IF(B131="", "", VLOOKUP(B131, Data!$B$2:$K$905, 10, FALSE)),
  ""
)
</f>
        <v/>
      </c>
      <c r="V131" s="234"/>
      <c r="W131" s="236"/>
      <c r="X131" s="159"/>
      <c r="Y131" s="5"/>
      <c r="Z131" s="5"/>
      <c r="AA131" s="5"/>
      <c r="AB131" s="5"/>
      <c r="AC131" s="33"/>
      <c r="AD131" s="65"/>
      <c r="AE131" s="66"/>
      <c r="AF131" s="144"/>
      <c r="AG131" s="68"/>
      <c r="AH131" s="69"/>
      <c r="AI131" s="39"/>
      <c r="AJ131" s="70"/>
      <c r="AK131" s="70"/>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260"/>
      <c r="BJ131" s="260"/>
      <c r="BK131" s="260"/>
      <c r="BL131" s="260"/>
      <c r="BM131" s="260"/>
      <c r="BN131" s="260"/>
      <c r="BO131" s="260"/>
      <c r="BP131" s="260"/>
      <c r="BQ131" s="260"/>
      <c r="BR131" s="260"/>
      <c r="BS131" s="260"/>
      <c r="BT131" s="260"/>
    </row>
    <row r="132">
      <c r="A132" s="1419">
        <v>1.0</v>
      </c>
      <c r="B132" s="747"/>
      <c r="C132" s="157" t="s">
        <v>1221</v>
      </c>
      <c r="D132" s="104"/>
      <c r="E132" s="749"/>
      <c r="F132" s="104"/>
      <c r="G132" s="104"/>
      <c r="H132" s="104"/>
      <c r="I132" s="104"/>
      <c r="J132" s="104"/>
      <c r="K132" s="104" t="s">
        <v>42</v>
      </c>
      <c r="L132" s="106">
        <f>Q132</f>
        <v>4</v>
      </c>
      <c r="M132" s="105" t="s">
        <v>42</v>
      </c>
      <c r="N132" s="107"/>
      <c r="O132" s="105"/>
      <c r="P132" s="104"/>
      <c r="Q132" s="106">
        <f>Q133</f>
        <v>4</v>
      </c>
      <c r="R132" s="108" t="str">
        <f>IFERROR(
  IF(B132="", "", VLOOKUP(B132, Data!$B$2:$K$905, 9, FALSE)),
  ""
)</f>
        <v/>
      </c>
      <c r="S132" s="682">
        <f>IFERROR(T132/Q132, 0)</f>
        <v>0</v>
      </c>
      <c r="T132" s="109">
        <f>SUM(S133:S138)</f>
        <v>0</v>
      </c>
      <c r="U132" s="108" t="str">
        <f>IFERROR(
  IF(B132="", "", VLOOKUP(B132, Data!$B$2:$K$905, 10, FALSE)),
  ""
)
</f>
        <v/>
      </c>
      <c r="V132" s="109">
        <f>W132/Q132</f>
        <v>0</v>
      </c>
      <c r="W132" s="110">
        <f>SUM(W133:W138)</f>
        <v>0</v>
      </c>
      <c r="X132" s="111" t="str">
        <f>W132/$AC$267/$W$274/$X$264</f>
        <v>#DIV/0!</v>
      </c>
      <c r="Y132" s="112" t="b">
        <f>(T132+W132)=(SUM(AB133:AB138))</f>
        <v>1</v>
      </c>
      <c r="Z132" s="113">
        <f>(T132+W132)-(SUM(AB133:AB138))</f>
        <v>0</v>
      </c>
      <c r="AA132" s="5"/>
      <c r="AB132" s="5"/>
      <c r="AC132" s="33"/>
      <c r="AD132" s="114">
        <f>W132+T132</f>
        <v>0</v>
      </c>
      <c r="AE132" s="115">
        <f>AD132</f>
        <v>0</v>
      </c>
      <c r="AF132" s="116" t="str">
        <f>AE132/$AE$242</f>
        <v>#DIV/0!</v>
      </c>
      <c r="AG132" s="683" t="str">
        <f>AF132*$AG$249</f>
        <v>#DIV/0!</v>
      </c>
      <c r="AH132" s="118" t="str">
        <f>AF132*$AG$252</f>
        <v>#DIV/0!</v>
      </c>
      <c r="AI132" s="39"/>
      <c r="AJ132" s="119" t="str">
        <f>ROUND(AK132/L132,2)</f>
        <v>#DIV/0!</v>
      </c>
      <c r="AK132" s="119" t="str">
        <f>ROUND(AH132+AG132+AD132,2)</f>
        <v>#DIV/0!</v>
      </c>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260"/>
      <c r="BJ132" s="260"/>
      <c r="BK132" s="260"/>
      <c r="BL132" s="260"/>
      <c r="BM132" s="260"/>
      <c r="BN132" s="260"/>
      <c r="BO132" s="260"/>
      <c r="BP132" s="260"/>
      <c r="BQ132" s="260"/>
      <c r="BR132" s="260"/>
      <c r="BS132" s="260"/>
      <c r="BT132" s="260"/>
    </row>
    <row r="133">
      <c r="A133" s="1313"/>
      <c r="B133" s="717" t="s">
        <v>473</v>
      </c>
      <c r="C133" s="225" t="s">
        <v>474</v>
      </c>
      <c r="D133" s="124" t="s">
        <v>391</v>
      </c>
      <c r="E133" s="752"/>
      <c r="F133" s="127"/>
      <c r="G133" s="129"/>
      <c r="H133" s="127" t="str">
        <f>IFERROR(__xludf.DUMMYFUNCTION("IFERROR(REGEXEXTRACT(C133, ""(\d*\.\d+)mm""), """")"),"")</f>
        <v/>
      </c>
      <c r="I133" s="128"/>
      <c r="J133" s="126" t="s">
        <v>14</v>
      </c>
      <c r="K133" s="126" t="str">
        <f>IFERROR(
  IF(B133="", "", VLOOKUP(B133, Data!$B$2:$K$905, 7, FALSE)),
  ""
)</f>
        <v/>
      </c>
      <c r="L133" s="161"/>
      <c r="M133" s="150">
        <v>4.0</v>
      </c>
      <c r="N133" s="151">
        <f>IFERROR(__xludf.DUMMYFUNCTION("IF(B133="""", """", IFERROR(1 / COS(RADIANS(REGEXEXTRACT(F133,""(\d+)""))), 1))"),1.0)</f>
        <v>1</v>
      </c>
      <c r="O133" s="169">
        <v>1.0</v>
      </c>
      <c r="P133" s="134">
        <v>1.0</v>
      </c>
      <c r="Q133" s="168">
        <f t="shared" ref="Q133:Q136" si="97">M133*N133*O133*P133</f>
        <v>4</v>
      </c>
      <c r="R133" s="108" t="str">
        <f>IFERROR(
  IF(B133="", "", VLOOKUP(B133, Data!$B$2:$K$905, 9, FALSE)),
  ""
)</f>
        <v/>
      </c>
      <c r="S133" s="152">
        <f t="shared" ref="S133:S136" si="98">R133*Q133</f>
        <v>0</v>
      </c>
      <c r="T133" s="138"/>
      <c r="U133" s="136" t="str">
        <f>IFERROR(
  IF(B133="", "", VLOOKUP(B133, Data!$B$2:$K$905, 10, FALSE)),
  ""
)
</f>
        <v/>
      </c>
      <c r="V133" s="139"/>
      <c r="W133" s="140">
        <f t="shared" ref="W133:W136" si="99">U133*Q133</f>
        <v>0</v>
      </c>
      <c r="X133" s="159"/>
      <c r="Y133" s="5"/>
      <c r="Z133" s="5"/>
      <c r="AA133" s="5"/>
      <c r="AB133" s="354">
        <f t="shared" ref="AB133:AB136" si="100">W133+S133</f>
        <v>0</v>
      </c>
      <c r="AC133" s="33"/>
      <c r="AD133" s="226"/>
      <c r="AE133" s="227"/>
      <c r="AF133" s="228"/>
      <c r="AG133" s="229"/>
      <c r="AH133" s="230"/>
      <c r="AI133" s="39"/>
      <c r="AJ133" s="231"/>
      <c r="AK133" s="231"/>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260"/>
      <c r="BJ133" s="260"/>
      <c r="BK133" s="260"/>
      <c r="BL133" s="260"/>
      <c r="BM133" s="260"/>
      <c r="BN133" s="260"/>
      <c r="BO133" s="260"/>
      <c r="BP133" s="260"/>
      <c r="BQ133" s="260"/>
      <c r="BR133" s="260"/>
      <c r="BS133" s="260"/>
      <c r="BT133" s="260"/>
    </row>
    <row r="134">
      <c r="A134" s="1313"/>
      <c r="B134" s="717" t="s">
        <v>475</v>
      </c>
      <c r="C134" s="158" t="s">
        <v>476</v>
      </c>
      <c r="D134" s="124" t="s">
        <v>321</v>
      </c>
      <c r="E134" s="752"/>
      <c r="F134" s="129"/>
      <c r="G134" s="129"/>
      <c r="H134" s="127"/>
      <c r="I134" s="127"/>
      <c r="J134" s="126" t="s">
        <v>87</v>
      </c>
      <c r="K134" s="126" t="str">
        <f>IFERROR(
  IF(B134="", "", VLOOKUP(B134, Data!$B$2:$K$905, 7, FALSE)),
  ""
)</f>
        <v/>
      </c>
      <c r="L134" s="163"/>
      <c r="M134" s="150">
        <f>M133</f>
        <v>4</v>
      </c>
      <c r="N134" s="151">
        <f>IFERROR(__xludf.DUMMYFUNCTION("IF(B134="""", """", IFERROR(1 / COS(RADIANS(REGEXEXTRACT(F134,""(\d+)""))), 1))"),1.0)</f>
        <v>1</v>
      </c>
      <c r="O134" s="169">
        <v>1.0</v>
      </c>
      <c r="P134" s="134">
        <v>1.0</v>
      </c>
      <c r="Q134" s="168">
        <f t="shared" si="97"/>
        <v>4</v>
      </c>
      <c r="R134" s="136" t="str">
        <f>IFERROR(
  IF(B134="", "", VLOOKUP(B134, Data!$B$2:$K$905, 9, FALSE)),
  ""
)</f>
        <v/>
      </c>
      <c r="S134" s="152">
        <f t="shared" si="98"/>
        <v>0</v>
      </c>
      <c r="T134" s="138"/>
      <c r="U134" s="136" t="str">
        <f>IFERROR(
  IF(B134="", "", VLOOKUP(B134, Data!$B$2:$K$905, 10, FALSE)),
  ""
)
</f>
        <v/>
      </c>
      <c r="V134" s="139"/>
      <c r="W134" s="140">
        <f t="shared" si="99"/>
        <v>0</v>
      </c>
      <c r="X134" s="159"/>
      <c r="Y134" s="5"/>
      <c r="Z134" s="5"/>
      <c r="AA134" s="5"/>
      <c r="AB134" s="354">
        <f t="shared" si="100"/>
        <v>0</v>
      </c>
      <c r="AC134" s="33"/>
      <c r="AD134" s="65"/>
      <c r="AE134" s="66"/>
      <c r="AF134" s="144"/>
      <c r="AG134" s="68"/>
      <c r="AH134" s="69"/>
      <c r="AI134" s="39"/>
      <c r="AJ134" s="70"/>
      <c r="AK134" s="70"/>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260"/>
      <c r="BJ134" s="260"/>
      <c r="BK134" s="260"/>
      <c r="BL134" s="260"/>
      <c r="BM134" s="260"/>
      <c r="BN134" s="260"/>
      <c r="BO134" s="260"/>
      <c r="BP134" s="260"/>
      <c r="BQ134" s="260"/>
      <c r="BR134" s="260"/>
      <c r="BS134" s="260"/>
      <c r="BT134" s="260"/>
    </row>
    <row r="135">
      <c r="A135" s="1313"/>
      <c r="B135" s="717" t="str">
        <f>IFERROR(__xludf.DUMMYFUNCTION("IFERROR(
  IF(C135="""","""",
    IF(OR(REGEXMATCH(D135,""(?i)-Flashing""), REGEXMATCH(D135,""(?i)-EavesGut""), REGEXMATCH(D135,""(?i)Valley"")),
        ""DR"" &amp;
        TEXT(
            ROUNDUP(
                MIN(
                    VALUE(MID(C135, "&amp;"FIND(""("",C135)+1, FIND(""/"",C135)-FIND(""("",C135)-1)),
                    1200
                ) / 50, 0
            ) * 50, ""0""
        ) &amp;
        MID(C135, FIND(""/"",C135)+1, FIND("")"",C135)-FIND(""/"",C135)-1) &amp;
        TEXT(H135*100,""0"") &amp;"&amp;"
        I135,
    IF(AND(D135=""Roof Sheet"", REGEXMATCH(C135,""(?i)KS\d{4}[A-Z]{2}"")),
       REGEXEXTRACT(C135,""(?i)KS\d{4}[A-Z]{2}""),
    IF(AND(REGEXMATCH(D135,""(?i)-DP""), REGEXMATCH(C135,""(?i)Downpipe"")),
       ""dp"" &amp; REGEXEXTRACT(C135,""("&amp;"\d+)"") &amp; ""mm"",
    IF(AND(REGEXMATCH(D135,""(?i)Bracket""), REGEXMATCH(C135,""(?i)Bracket"")),
       ""Brkt"" &amp; REGEXEXTRACT(C135,""(\d+)"") &amp; ""mm"",
    IF(AND(REGEXMATCH(D135,""(?i)-OP""), REGEXMATCH(C135,""(?i)pops"")),
       ""op"" &amp; REGEXEXTRAC"&amp;"T(C135,""(\d+)"") &amp; ""mm"",
    IF(OR(D135=""R-FFTop"", D135=""R-FFBottom"", D135=""R-FFSide""),
        IF(REGEXMATCH(C135,""(?i)Profiled.*Top|Top.*Profiled""),""pfft"",
        IF(REGEXMATCH(C135,""(?i)Profiled.*Bottom|Bottom.*Profiled""),""pffb"",
    "&amp;"    IF(REGEXMATCH(C135,""(?i)Square""),""sff"",""""))),
    IF(REGEXMATCH(D135,""(?i)-Rivets""),""Rvt"",
    IF(REGEXMATCH(D135,""(?i)Silicone|Seal""),""300ml"",
    IF(REGEXMATCH(D135,""(?i)R-Butyl""),""300ml"",
    IF(REGEXMATCH(D135,""(?i)Fix""),""GenF"&amp;"ix"",
    IF(AND(REGEXMATCH(C135,""(?i)Timber""), REGEXMATCH(D135,""(?i)Timber"")),""tp"",
    IF(AND(REGEXMATCH(C135,""(?i)Vent G1275""), REGEXMATCH(D135,""(?i)Comb FIller"")),""CFV1275"",
    IF(REGEXMATCH(C135,""(?i)DPC""),""dpc"",
    IF(REGEXMATCH(C1"&amp;"35,""(?i)Concealed Clips""),""ConClips"",
    IF(REGEXMATCH(D135,""(?i)-Takeoff ea""),""Takeoff ea"",
    IF(REGEXMATCH(D135,""(?i)-Takeoff LM""),""Takeoff LM"",
    IF(REGEXMATCH(D135,""(?i)-Takeoff m2""),""Takeoff m2"",
    IF(D135=""R-TU/TD"",""TU/TD"""&amp;","""")))))))))))))))))
  )))"),"300ml")</f>
        <v>300ml</v>
      </c>
      <c r="C135" s="225" t="s">
        <v>98</v>
      </c>
      <c r="D135" s="124" t="s">
        <v>327</v>
      </c>
      <c r="E135" s="687">
        <v>0.4</v>
      </c>
      <c r="F135" s="127" t="str">
        <f>F134</f>
        <v/>
      </c>
      <c r="G135" s="127"/>
      <c r="H135" s="127" t="str">
        <f>IFERROR(__xludf.DUMMYFUNCTION("IFERROR(REGEXEXTRACT(C135, ""(\d*\.\d+)mm""), """")"),"")</f>
        <v/>
      </c>
      <c r="I135" s="127"/>
      <c r="J135" s="126" t="s">
        <v>87</v>
      </c>
      <c r="K135" s="126" t="str">
        <f>IFERROR(
  IF(B135="", "", VLOOKUP(B135, Data!$B$2:$K$905, 7, FALSE)),
  ""
)</f>
        <v/>
      </c>
      <c r="L135" s="163"/>
      <c r="M135" s="150">
        <f>M134*ROUNDUP(E135/8,0)+1</f>
        <v>5</v>
      </c>
      <c r="N135" s="151">
        <f>IFERROR(__xludf.DUMMYFUNCTION("IF(B135="""", """", IFERROR(1 / COS(RADIANS(REGEXEXTRACT(F135,""(\d+)""))), 1))"),1.0)</f>
        <v>1</v>
      </c>
      <c r="O135" s="169">
        <v>1.0</v>
      </c>
      <c r="P135" s="134">
        <v>1.0</v>
      </c>
      <c r="Q135" s="168">
        <f t="shared" si="97"/>
        <v>5</v>
      </c>
      <c r="R135" s="136" t="str">
        <f>IFERROR(
  IF(B135="", "", VLOOKUP(B135, Data!$B$2:$K$905, 9, FALSE)),
  ""
)</f>
        <v/>
      </c>
      <c r="S135" s="152">
        <f t="shared" si="98"/>
        <v>0</v>
      </c>
      <c r="T135" s="138"/>
      <c r="U135" s="108" t="str">
        <f>IFERROR(
  IF(B135="", "", VLOOKUP(B135, Data!$B$2:$K$905, 10, FALSE)),
  ""
)
</f>
        <v/>
      </c>
      <c r="V135" s="139"/>
      <c r="W135" s="140">
        <f t="shared" si="99"/>
        <v>0</v>
      </c>
      <c r="X135" s="159"/>
      <c r="Y135" s="5"/>
      <c r="Z135" s="5"/>
      <c r="AA135" s="5"/>
      <c r="AB135" s="354">
        <f t="shared" si="100"/>
        <v>0</v>
      </c>
      <c r="AC135" s="33"/>
      <c r="AD135" s="65"/>
      <c r="AE135" s="66"/>
      <c r="AF135" s="144"/>
      <c r="AG135" s="68"/>
      <c r="AH135" s="69"/>
      <c r="AI135" s="39"/>
      <c r="AJ135" s="70"/>
      <c r="AK135" s="70"/>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260"/>
      <c r="BJ135" s="260"/>
      <c r="BK135" s="260"/>
      <c r="BL135" s="260"/>
      <c r="BM135" s="260"/>
      <c r="BN135" s="260"/>
      <c r="BO135" s="260"/>
      <c r="BP135" s="260"/>
      <c r="BQ135" s="260"/>
      <c r="BR135" s="260"/>
      <c r="BS135" s="260"/>
      <c r="BT135" s="260"/>
    </row>
    <row r="136">
      <c r="A136" s="1313"/>
      <c r="B136" s="717" t="str">
        <f>IFERROR(__xludf.DUMMYFUNCTION("IFERROR(
  IF(C136="""","""",
    IF(OR(REGEXMATCH(D136,""(?i)-Flashing""), REGEXMATCH(D136,""(?i)-EavesGut""), REGEXMATCH(D136,""(?i)Valley"")),
        ""DR"" &amp;
        TEXT(
            ROUNDUP(
                MIN(
                    VALUE(MID(C136, "&amp;"FIND(""("",C136)+1, FIND(""/"",C136)-FIND(""("",C136)-1)),
                    1200
                ) / 50, 0
            ) * 50, ""0""
        ) &amp;
        MID(C136, FIND(""/"",C136)+1, FIND("")"",C136)-FIND(""/"",C136)-1) &amp;
        TEXT(H136*100,""0"") &amp;"&amp;"
        I136,
    IF(AND(D136=""Roof Sheet"", REGEXMATCH(C136,""(?i)KS\d{4}[A-Z]{2}"")),
       REGEXEXTRACT(C136,""(?i)KS\d{4}[A-Z]{2}""),
    IF(AND(REGEXMATCH(D136,""(?i)-DP""), REGEXMATCH(C136,""(?i)Downpipe"")),
       ""dp"" &amp; REGEXEXTRACT(C136,""("&amp;"\d+)"") &amp; ""mm"",
    IF(AND(REGEXMATCH(D136,""(?i)Bracket""), REGEXMATCH(C136,""(?i)Bracket"")),
       ""Brkt"" &amp; REGEXEXTRACT(C136,""(\d+)"") &amp; ""mm"",
    IF(AND(REGEXMATCH(D136,""(?i)-OP""), REGEXMATCH(C136,""(?i)pops"")),
       ""op"" &amp; REGEXEXTRAC"&amp;"T(C136,""(\d+)"") &amp; ""mm"",
    IF(OR(D136=""R-FFTop"", D136=""R-FFBottom"", D136=""R-FFSide""),
        IF(REGEXMATCH(C136,""(?i)Profiled.*Top|Top.*Profiled""),""pfft"",
        IF(REGEXMATCH(C136,""(?i)Profiled.*Bottom|Bottom.*Profiled""),""pffb"",
    "&amp;"    IF(REGEXMATCH(C136,""(?i)Square""),""sff"",""""))),
    IF(REGEXMATCH(D136,""(?i)-Rivets""),""Rvt"",
    IF(REGEXMATCH(D136,""(?i)Silicone""),""300ml"",
    IF(REGEXMATCH(D136,""(?i)R-Butyl""),""300ml"",
    IF(REGEXMATCH(D136,""(?i)Fix""),""GenFix"","&amp;"
    IF(AND(REGEXMATCH(C136,""(?i)Timber""), REGEXMATCH(D136,""(?i)Timber"")),""tp"",
    IF(AND(REGEXMATCH(C136,""(?i)Vent G1275""), REGEXMATCH(D136,""(?i)Comb FIller"")),""CFV1275"",
    IF(REGEXMATCH(C136,""(?i)DPC""),""dpc"",
    IF(REGEXMATCH(C136,"""&amp;"(?i)Concealed Clips""),""ConClips"",
    IF(REGEXMATCH(D136,""(?i)-Takeoff ea""),""Takeoff ea"",
    IF(REGEXMATCH(D136,""(?i)-Takeoff LM""),""Takeoff LM"",
    IF(REGEXMATCH(D136,""(?i)-Takeoff m2""),""Takeoff m2"",
    IF(D136=""R-TU/TD"",""TU/TD"","""""&amp;")))))))))))))))))
  )))"),"GenFix")</f>
        <v>GenFix</v>
      </c>
      <c r="C136" s="158" t="s">
        <v>102</v>
      </c>
      <c r="D136" s="124" t="s">
        <v>324</v>
      </c>
      <c r="E136" s="687">
        <f>E135</f>
        <v>0.4</v>
      </c>
      <c r="F136" s="129"/>
      <c r="G136" s="129"/>
      <c r="H136" s="127"/>
      <c r="I136" s="127"/>
      <c r="J136" s="126" t="s">
        <v>87</v>
      </c>
      <c r="K136" s="126" t="str">
        <f>IFERROR(
  IF(B136="", "", VLOOKUP(B136, Data!$B$2:$K$905, 7, FALSE)),
  ""
)</f>
        <v/>
      </c>
      <c r="L136" s="163"/>
      <c r="M136" s="150">
        <f>M134*ROUNDUP(E136/0.05,0)+1</f>
        <v>33</v>
      </c>
      <c r="N136" s="151">
        <f>IFERROR(__xludf.DUMMYFUNCTION("IF(B136="""", """", IFERROR(1 / COS(RADIANS(REGEXEXTRACT(F136,""(\d+)""))), 1))"),1.0)</f>
        <v>1</v>
      </c>
      <c r="O136" s="169">
        <v>1.0</v>
      </c>
      <c r="P136" s="134">
        <v>1.0</v>
      </c>
      <c r="Q136" s="168">
        <f t="shared" si="97"/>
        <v>33</v>
      </c>
      <c r="R136" s="136" t="str">
        <f>IFERROR(
  IF(B136="", "", VLOOKUP(B136, Data!$B$2:$K$905, 9, FALSE)),
  ""
)</f>
        <v/>
      </c>
      <c r="S136" s="152">
        <f t="shared" si="98"/>
        <v>0</v>
      </c>
      <c r="T136" s="138"/>
      <c r="U136" s="108" t="str">
        <f>IFERROR(
  IF(B136="", "", VLOOKUP(B136, Data!$B$2:$K$905, 10, FALSE)),
  ""
)
</f>
        <v/>
      </c>
      <c r="V136" s="139"/>
      <c r="W136" s="140">
        <f t="shared" si="99"/>
        <v>0</v>
      </c>
      <c r="X136" s="159"/>
      <c r="Y136" s="5"/>
      <c r="Z136" s="5"/>
      <c r="AA136" s="5"/>
      <c r="AB136" s="354">
        <f t="shared" si="100"/>
        <v>0</v>
      </c>
      <c r="AC136" s="33"/>
      <c r="AD136" s="65"/>
      <c r="AE136" s="66"/>
      <c r="AF136" s="144"/>
      <c r="AG136" s="68"/>
      <c r="AH136" s="69"/>
      <c r="AI136" s="39"/>
      <c r="AJ136" s="70"/>
      <c r="AK136" s="70"/>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260"/>
      <c r="BJ136" s="260"/>
      <c r="BK136" s="260"/>
      <c r="BL136" s="260"/>
      <c r="BM136" s="260"/>
      <c r="BN136" s="260"/>
      <c r="BO136" s="260"/>
      <c r="BP136" s="260"/>
      <c r="BQ136" s="260"/>
      <c r="BR136" s="260"/>
      <c r="BS136" s="260"/>
      <c r="BT136" s="260"/>
    </row>
    <row r="137">
      <c r="A137" s="1313"/>
      <c r="B137" s="1408"/>
      <c r="C137" s="129"/>
      <c r="D137" s="129"/>
      <c r="E137" s="752"/>
      <c r="F137" s="129"/>
      <c r="G137" s="129"/>
      <c r="H137" s="127"/>
      <c r="I137" s="127"/>
      <c r="J137" s="129"/>
      <c r="K137" s="129"/>
      <c r="L137" s="163"/>
      <c r="M137" s="163"/>
      <c r="N137" s="162"/>
      <c r="O137" s="161"/>
      <c r="P137" s="127"/>
      <c r="Q137" s="161"/>
      <c r="R137" s="108" t="str">
        <f>IFERROR(
  IF(B137="", "", VLOOKUP(B137, Data!$B$2:$K$905, 9, FALSE)),
  ""
)</f>
        <v/>
      </c>
      <c r="S137" s="139"/>
      <c r="T137" s="138"/>
      <c r="U137" s="108" t="str">
        <f>IFERROR(
  IF(B137="", "", VLOOKUP(B137, Data!$B$2:$K$905, 10, FALSE)),
  ""
)
</f>
        <v/>
      </c>
      <c r="V137" s="139"/>
      <c r="W137" s="164"/>
      <c r="X137" s="159"/>
      <c r="Y137" s="5"/>
      <c r="Z137" s="5"/>
      <c r="AA137" s="5"/>
      <c r="AB137" s="5"/>
      <c r="AC137" s="33"/>
      <c r="AD137" s="226"/>
      <c r="AE137" s="227"/>
      <c r="AF137" s="228"/>
      <c r="AG137" s="229"/>
      <c r="AH137" s="230"/>
      <c r="AI137" s="39"/>
      <c r="AJ137" s="231"/>
      <c r="AK137" s="231"/>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260"/>
      <c r="BJ137" s="260"/>
      <c r="BK137" s="260"/>
      <c r="BL137" s="260"/>
      <c r="BM137" s="260"/>
      <c r="BN137" s="260"/>
      <c r="BO137" s="260"/>
      <c r="BP137" s="260"/>
      <c r="BQ137" s="260"/>
      <c r="BR137" s="260"/>
      <c r="BS137" s="260"/>
      <c r="BT137" s="260"/>
    </row>
    <row r="138">
      <c r="A138" s="1419">
        <v>1.0</v>
      </c>
      <c r="B138" s="714" t="s">
        <v>425</v>
      </c>
      <c r="C138" s="89" t="s">
        <v>1222</v>
      </c>
      <c r="D138" s="90"/>
      <c r="E138" s="745"/>
      <c r="F138" s="90"/>
      <c r="G138" s="90"/>
      <c r="H138" s="90"/>
      <c r="I138" s="90"/>
      <c r="J138" s="90"/>
      <c r="K138" s="90" t="s">
        <v>42</v>
      </c>
      <c r="L138" s="91"/>
      <c r="M138" s="91" t="s">
        <v>42</v>
      </c>
      <c r="N138" s="92"/>
      <c r="O138" s="91"/>
      <c r="P138" s="90"/>
      <c r="Q138" s="91"/>
      <c r="R138" s="108" t="str">
        <f>IFERROR(
  IF(B138="", "", VLOOKUP(B138, Data!$B$2:$K$905, 9, FALSE)),
  ""
)</f>
        <v/>
      </c>
      <c r="S138" s="234"/>
      <c r="T138" s="235"/>
      <c r="U138" s="108" t="str">
        <f>IFERROR(
  IF(B138="", "", VLOOKUP(B138, Data!$B$2:$K$905, 10, FALSE)),
  ""
)
</f>
        <v/>
      </c>
      <c r="V138" s="234"/>
      <c r="W138" s="236"/>
      <c r="X138" s="159"/>
      <c r="Y138" s="5"/>
      <c r="Z138" s="5"/>
      <c r="AA138" s="5"/>
      <c r="AB138" s="5"/>
      <c r="AC138" s="33"/>
      <c r="AD138" s="65"/>
      <c r="AE138" s="66"/>
      <c r="AF138" s="144"/>
      <c r="AG138" s="68"/>
      <c r="AH138" s="69"/>
      <c r="AI138" s="39"/>
      <c r="AJ138" s="70"/>
      <c r="AK138" s="70"/>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260"/>
      <c r="BJ138" s="260"/>
      <c r="BK138" s="260"/>
      <c r="BL138" s="260"/>
      <c r="BM138" s="260"/>
      <c r="BN138" s="260"/>
      <c r="BO138" s="260"/>
      <c r="BP138" s="260"/>
      <c r="BQ138" s="260"/>
      <c r="BR138" s="260"/>
      <c r="BS138" s="260"/>
      <c r="BT138" s="260"/>
    </row>
    <row r="139">
      <c r="A139" s="1419">
        <v>1.0</v>
      </c>
      <c r="B139" s="747"/>
      <c r="C139" s="157" t="s">
        <v>1223</v>
      </c>
      <c r="D139" s="104"/>
      <c r="E139" s="749"/>
      <c r="F139" s="104"/>
      <c r="G139" s="104"/>
      <c r="H139" s="104"/>
      <c r="I139" s="104"/>
      <c r="J139" s="104"/>
      <c r="K139" s="104" t="s">
        <v>42</v>
      </c>
      <c r="L139" s="106">
        <f>Q139</f>
        <v>0</v>
      </c>
      <c r="M139" s="105" t="s">
        <v>42</v>
      </c>
      <c r="N139" s="107"/>
      <c r="O139" s="105"/>
      <c r="P139" s="104"/>
      <c r="Q139" s="106">
        <f>Q140</f>
        <v>0</v>
      </c>
      <c r="R139" s="108" t="str">
        <f>IFERROR(
  IF(B139="", "", VLOOKUP(B139, Data!$B$2:$K$905, 9, FALSE)),
  ""
)</f>
        <v/>
      </c>
      <c r="S139" s="682">
        <f>IFERROR(T139/Q139, 0)</f>
        <v>0</v>
      </c>
      <c r="T139" s="109">
        <f>SUM(S140:S143)</f>
        <v>0</v>
      </c>
      <c r="U139" s="108" t="str">
        <f>IFERROR(
  IF(B139="", "", VLOOKUP(B139, Data!$B$2:$K$905, 10, FALSE)),
  ""
)
</f>
        <v/>
      </c>
      <c r="V139" s="109" t="str">
        <f>W139/Q139</f>
        <v>#DIV/0!</v>
      </c>
      <c r="W139" s="110">
        <f>SUM(W140:W143)</f>
        <v>0</v>
      </c>
      <c r="X139" s="111" t="str">
        <f>W139/$AC$267/$W$274/$X$264</f>
        <v>#DIV/0!</v>
      </c>
      <c r="Y139" s="112" t="b">
        <f>(T139+W139)=(SUM(AB140:AB143))</f>
        <v>1</v>
      </c>
      <c r="Z139" s="113">
        <f>(T139+W139)-(SUM(AB140:AB143))</f>
        <v>0</v>
      </c>
      <c r="AA139" s="5"/>
      <c r="AB139" s="5"/>
      <c r="AC139" s="33"/>
      <c r="AD139" s="114">
        <f>W139+T139</f>
        <v>0</v>
      </c>
      <c r="AE139" s="115">
        <f>AD139</f>
        <v>0</v>
      </c>
      <c r="AF139" s="116" t="str">
        <f>AE139/$AE$242</f>
        <v>#DIV/0!</v>
      </c>
      <c r="AG139" s="683" t="str">
        <f>AF139*$AG$249</f>
        <v>#DIV/0!</v>
      </c>
      <c r="AH139" s="118" t="str">
        <f>AF139*$AG$252</f>
        <v>#DIV/0!</v>
      </c>
      <c r="AI139" s="39"/>
      <c r="AJ139" s="119" t="str">
        <f>ROUND(AK139/L139,2)</f>
        <v>#DIV/0!</v>
      </c>
      <c r="AK139" s="119" t="str">
        <f>ROUND(AH139+AG139+AD139,2)</f>
        <v>#DIV/0!</v>
      </c>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260"/>
      <c r="BJ139" s="260"/>
      <c r="BK139" s="260"/>
      <c r="BL139" s="260"/>
      <c r="BM139" s="260"/>
      <c r="BN139" s="260"/>
      <c r="BO139" s="260"/>
      <c r="BP139" s="260"/>
      <c r="BQ139" s="260"/>
      <c r="BR139" s="260"/>
      <c r="BS139" s="260"/>
      <c r="BT139" s="260"/>
    </row>
    <row r="140">
      <c r="A140" s="1313"/>
      <c r="B140" s="717" t="s">
        <v>469</v>
      </c>
      <c r="C140" s="225" t="s">
        <v>1224</v>
      </c>
      <c r="D140" s="124" t="s">
        <v>348</v>
      </c>
      <c r="E140" s="752"/>
      <c r="F140" s="127"/>
      <c r="G140" s="129"/>
      <c r="H140" s="127" t="str">
        <f>IFERROR(__xludf.DUMMYFUNCTION("IFERROR(REGEXEXTRACT(C140, ""(\d*\.\d+)mm""), """")"),"")</f>
        <v/>
      </c>
      <c r="I140" s="128" t="s">
        <v>97</v>
      </c>
      <c r="J140" s="126" t="s">
        <v>14</v>
      </c>
      <c r="K140" s="126" t="str">
        <f>IFERROR(
  IF(B140="", "", VLOOKUP(B140, Data!$B$2:$K$905, 7, FALSE)),
  ""
)</f>
        <v/>
      </c>
      <c r="L140" s="161"/>
      <c r="M140" s="150"/>
      <c r="N140" s="151">
        <f>IFERROR(__xludf.DUMMYFUNCTION("IF(B140="""", """", IFERROR(1 / COS(RADIANS(REGEXEXTRACT(F140,""(\d+)""))), 1))"),1.0)</f>
        <v>1</v>
      </c>
      <c r="O140" s="169">
        <v>1.0</v>
      </c>
      <c r="P140" s="134">
        <v>1.0</v>
      </c>
      <c r="Q140" s="168">
        <f t="shared" ref="Q140:Q142" si="101">M140*N140*O140*P140</f>
        <v>0</v>
      </c>
      <c r="R140" s="136" t="str">
        <f>IFERROR(
  IF(B140="", "", VLOOKUP(B140, Data!$B$2:$K$905, 9, FALSE)),
  ""
)</f>
        <v/>
      </c>
      <c r="S140" s="152">
        <f t="shared" ref="S140:S142" si="102">R140*Q140</f>
        <v>0</v>
      </c>
      <c r="T140" s="138"/>
      <c r="U140" s="136" t="str">
        <f>IFERROR(
  IF(B140="", "", VLOOKUP(B140, Data!$B$2:$K$905, 10, FALSE)),
  ""
)
</f>
        <v/>
      </c>
      <c r="V140" s="139"/>
      <c r="W140" s="140">
        <f t="shared" ref="W140:W142" si="103">U140*Q140</f>
        <v>0</v>
      </c>
      <c r="X140" s="159"/>
      <c r="Y140" s="5"/>
      <c r="Z140" s="5"/>
      <c r="AA140" s="5"/>
      <c r="AB140" s="354">
        <f t="shared" ref="AB140:AB143" si="104">W140+S140</f>
        <v>0</v>
      </c>
      <c r="AC140" s="33"/>
      <c r="AD140" s="226"/>
      <c r="AE140" s="227"/>
      <c r="AF140" s="228"/>
      <c r="AG140" s="229"/>
      <c r="AH140" s="230"/>
      <c r="AI140" s="39"/>
      <c r="AJ140" s="231"/>
      <c r="AK140" s="231"/>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260"/>
      <c r="BJ140" s="260"/>
      <c r="BK140" s="260"/>
      <c r="BL140" s="260"/>
      <c r="BM140" s="260"/>
      <c r="BN140" s="260"/>
      <c r="BO140" s="260"/>
      <c r="BP140" s="260"/>
      <c r="BQ140" s="260"/>
      <c r="BR140" s="260"/>
      <c r="BS140" s="260"/>
      <c r="BT140" s="260"/>
    </row>
    <row r="141">
      <c r="A141" s="1313"/>
      <c r="B141" s="717" t="s">
        <v>1225</v>
      </c>
      <c r="C141" s="158" t="s">
        <v>1226</v>
      </c>
      <c r="D141" s="124" t="s">
        <v>351</v>
      </c>
      <c r="E141" s="687">
        <f>IFERROR(__xludf.DUMMYFUNCTION("IFERROR(REGEXEXTRACT(C141,""@\s*(\d+(?:\.\d+)?)\s*mm"")/1000,"""")"),0.6)</f>
        <v>0.6</v>
      </c>
      <c r="F141" s="129"/>
      <c r="G141" s="129"/>
      <c r="H141" s="127"/>
      <c r="I141" s="127"/>
      <c r="J141" s="126" t="s">
        <v>87</v>
      </c>
      <c r="K141" s="126" t="str">
        <f>IFERROR(
  IF(B141="", "", VLOOKUP(B141, Data!$B$2:$K$905, 7, FALSE)),
  ""
)</f>
        <v/>
      </c>
      <c r="L141" s="163"/>
      <c r="M141" s="150">
        <f>ROUNDUP(M140/E141,0)+1</f>
        <v>1</v>
      </c>
      <c r="N141" s="151">
        <f>IFERROR(__xludf.DUMMYFUNCTION("IF(B141="""", """", IFERROR(1 / COS(RADIANS(REGEXEXTRACT(F141,""(\d+)""))), 1))"),1.0)</f>
        <v>1</v>
      </c>
      <c r="O141" s="169">
        <v>1.0</v>
      </c>
      <c r="P141" s="134">
        <v>1.0</v>
      </c>
      <c r="Q141" s="168">
        <f t="shared" si="101"/>
        <v>1</v>
      </c>
      <c r="R141" s="108" t="str">
        <f>IFERROR(
  IF(B141="", "", VLOOKUP(B141, Data!$B$2:$K$905, 9, FALSE)),
  ""
)</f>
        <v/>
      </c>
      <c r="S141" s="152">
        <f t="shared" si="102"/>
        <v>0</v>
      </c>
      <c r="T141" s="138"/>
      <c r="U141" s="136" t="str">
        <f>IFERROR(
  IF(B141="", "", VLOOKUP(B141, Data!$B$2:$K$905, 10, FALSE)),
  ""
)
</f>
        <v/>
      </c>
      <c r="V141" s="139"/>
      <c r="W141" s="140">
        <f t="shared" si="103"/>
        <v>0</v>
      </c>
      <c r="X141" s="159"/>
      <c r="Y141" s="5"/>
      <c r="Z141" s="5"/>
      <c r="AA141" s="5"/>
      <c r="AB141" s="354">
        <f t="shared" si="104"/>
        <v>0</v>
      </c>
      <c r="AC141" s="33"/>
      <c r="AD141" s="65"/>
      <c r="AE141" s="66"/>
      <c r="AF141" s="144"/>
      <c r="AG141" s="68"/>
      <c r="AH141" s="69"/>
      <c r="AI141" s="39"/>
      <c r="AJ141" s="70"/>
      <c r="AK141" s="70"/>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260"/>
      <c r="BJ141" s="260"/>
      <c r="BK141" s="260"/>
      <c r="BL141" s="260"/>
      <c r="BM141" s="260"/>
      <c r="BN141" s="260"/>
      <c r="BO141" s="260"/>
      <c r="BP141" s="260"/>
      <c r="BQ141" s="260"/>
      <c r="BR141" s="260"/>
      <c r="BS141" s="260"/>
      <c r="BT141" s="260"/>
    </row>
    <row r="142">
      <c r="A142" s="1313"/>
      <c r="B142" s="717" t="str">
        <f>IFERROR(__xludf.DUMMYFUNCTION("IFERROR(
  IF(C142="""","""",
    IF(OR(REGEXMATCH(D142,""(?i)-Flashing""), REGEXMATCH(D142,""(?i)-EavesGut""), REGEXMATCH(D142,""(?i)Valley"")),
        ""DR"" &amp;
        TEXT(
            ROUNDUP(
                MIN(
                    VALUE(MID(C142, "&amp;"FIND(""("",C142)+1, FIND(""/"",C142)-FIND(""("",C142)-1)),
                    1200
                ) / 50, 0
            ) * 50, ""0""
        ) &amp;
        MID(C142, FIND(""/"",C142)+1, FIND("")"",C142)-FIND(""/"",C142)-1) &amp;
        TEXT(H142*100,""0"") &amp;"&amp;"
        I142,
    IF(AND(D142=""Roof Sheet"", REGEXMATCH(C142,""(?i)KS\d{4}[A-Z]{2}"")),
       REGEXEXTRACT(C142,""(?i)KS\d{4}[A-Z]{2}""),
    IF(AND(REGEXMATCH(D142,""(?i)-DP""), REGEXMATCH(C142,""(?i)Downpipe"")),
       ""dp"" &amp; REGEXEXTRACT(C142,""("&amp;"\d+)"") &amp; ""mm"",
    IF(AND(REGEXMATCH(D142,""(?i)Bracket""), REGEXMATCH(C142,""(?i)Bracket"")),
       ""Brkt"" &amp; REGEXEXTRACT(C142,""(\d+)"") &amp; ""mm"",
    IF(AND(REGEXMATCH(D142,""(?i)-OP""), REGEXMATCH(C142,""(?i)pops"")),
       ""op"" &amp; REGEXEXTRAC"&amp;"T(C142,""(\d+)"") &amp; ""mm"",
    IF(OR(D142=""R-FFTop"", D142=""R-FFBottom"", D142=""R-FFSide""),
        IF(REGEXMATCH(C142,""(?i)Profiled.*Top|Top.*Profiled""),""pfft"",
        IF(REGEXMATCH(C142,""(?i)Profiled.*Bottom|Bottom.*Profiled""),""pffb"",
    "&amp;"    IF(REGEXMATCH(C142,""(?i)Square""),""sff"",""""))),
    IF(REGEXMATCH(D142,""(?i)-Rivets""),""Rvt"",
    IF(REGEXMATCH(D142,""(?i)Silicone""),""300ml"",
    IF(REGEXMATCH(D142,""(?i)R-Butyl""),""300ml"",
    IF(REGEXMATCH(D142,""(?i)Fix""),""GenFix"","&amp;"
    IF(AND(REGEXMATCH(C142,""(?i)Timber""), REGEXMATCH(D142,""(?i)Timber"")),""tp"",
    IF(AND(REGEXMATCH(C142,""(?i)Vent G1275""), REGEXMATCH(D142,""(?i)Comb FIller"")),""CFV1275"",
    IF(REGEXMATCH(C142,""(?i)DPC""),""dpc"",
    IF(REGEXMATCH(C142,"""&amp;"(?i)Concealed Clips""),""ConClips"",
    IF(REGEXMATCH(D142,""(?i)-Takeoff ea""),""Takeoff ea"",
    IF(REGEXMATCH(D142,""(?i)-Takeoff LM""),""Takeoff LM"",
    IF(REGEXMATCH(D142,""(?i)-Takeoff m2""),""Takeoff m2"",
    IF(D142=""R-TU/TD"",""TU/TD"","""""&amp;")))))))))))))))))
  )))"),"GenFix")</f>
        <v>GenFix</v>
      </c>
      <c r="C142" s="158" t="s">
        <v>102</v>
      </c>
      <c r="D142" s="124" t="s">
        <v>353</v>
      </c>
      <c r="E142" s="687">
        <v>2.0</v>
      </c>
      <c r="F142" s="129"/>
      <c r="G142" s="129"/>
      <c r="H142" s="127"/>
      <c r="I142" s="127"/>
      <c r="J142" s="126" t="s">
        <v>87</v>
      </c>
      <c r="K142" s="126" t="str">
        <f>IFERROR(
  IF(B142="", "", VLOOKUP(B142, Data!$B$2:$K$905, 7, FALSE)),
  ""
)</f>
        <v/>
      </c>
      <c r="L142" s="163"/>
      <c r="M142" s="150">
        <f>ROUNDUP(M141*E142,0)+1</f>
        <v>3</v>
      </c>
      <c r="N142" s="151">
        <f>IFERROR(__xludf.DUMMYFUNCTION("IF(B142="""", """", IFERROR(1 / COS(RADIANS(REGEXEXTRACT(F142,""(\d+)""))), 1))"),1.0)</f>
        <v>1</v>
      </c>
      <c r="O142" s="169">
        <v>1.0</v>
      </c>
      <c r="P142" s="134">
        <v>1.0</v>
      </c>
      <c r="Q142" s="168">
        <f t="shared" si="101"/>
        <v>3</v>
      </c>
      <c r="R142" s="136" t="str">
        <f>IFERROR(
  IF(B142="", "", VLOOKUP(B142, Data!$B$2:$K$905, 9, FALSE)),
  ""
)</f>
        <v/>
      </c>
      <c r="S142" s="152">
        <f t="shared" si="102"/>
        <v>0</v>
      </c>
      <c r="T142" s="138"/>
      <c r="U142" s="108" t="str">
        <f>IFERROR(
  IF(B142="", "", VLOOKUP(B142, Data!$B$2:$K$905, 10, FALSE)),
  ""
)
</f>
        <v/>
      </c>
      <c r="V142" s="139"/>
      <c r="W142" s="140">
        <f t="shared" si="103"/>
        <v>0</v>
      </c>
      <c r="X142" s="159"/>
      <c r="Y142" s="5"/>
      <c r="Z142" s="5"/>
      <c r="AA142" s="5"/>
      <c r="AB142" s="354">
        <f t="shared" si="104"/>
        <v>0</v>
      </c>
      <c r="AC142" s="33"/>
      <c r="AD142" s="65"/>
      <c r="AE142" s="66"/>
      <c r="AF142" s="144"/>
      <c r="AG142" s="68"/>
      <c r="AH142" s="69"/>
      <c r="AI142" s="39"/>
      <c r="AJ142" s="70"/>
      <c r="AK142" s="70"/>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260"/>
      <c r="BJ142" s="260"/>
      <c r="BK142" s="260"/>
      <c r="BL142" s="260"/>
      <c r="BM142" s="260"/>
      <c r="BN142" s="260"/>
      <c r="BO142" s="260"/>
      <c r="BP142" s="260"/>
      <c r="BQ142" s="260"/>
      <c r="BR142" s="260"/>
      <c r="BS142" s="260"/>
      <c r="BT142" s="260"/>
    </row>
    <row r="143">
      <c r="A143" s="1313"/>
      <c r="B143" s="1408"/>
      <c r="C143" s="129"/>
      <c r="D143" s="129"/>
      <c r="E143" s="752"/>
      <c r="F143" s="129"/>
      <c r="G143" s="129"/>
      <c r="H143" s="127"/>
      <c r="I143" s="127"/>
      <c r="J143" s="129"/>
      <c r="K143" s="129"/>
      <c r="L143" s="163"/>
      <c r="M143" s="163"/>
      <c r="N143" s="162"/>
      <c r="O143" s="161"/>
      <c r="P143" s="127"/>
      <c r="Q143" s="161"/>
      <c r="R143" s="108"/>
      <c r="S143" s="139"/>
      <c r="T143" s="138"/>
      <c r="U143" s="108" t="str">
        <f>IFERROR(
  IF(B143="", "", VLOOKUP(B143, Data!$B$2:$K$905, 10, FALSE)),
  ""
)
</f>
        <v/>
      </c>
      <c r="V143" s="139"/>
      <c r="W143" s="164"/>
      <c r="X143" s="159"/>
      <c r="Y143" s="5"/>
      <c r="Z143" s="5"/>
      <c r="AA143" s="5"/>
      <c r="AB143" s="354">
        <f t="shared" si="104"/>
        <v>0</v>
      </c>
      <c r="AC143" s="33"/>
      <c r="AD143" s="65"/>
      <c r="AE143" s="66"/>
      <c r="AF143" s="144"/>
      <c r="AG143" s="68"/>
      <c r="AH143" s="69"/>
      <c r="AI143" s="39"/>
      <c r="AJ143" s="70"/>
      <c r="AK143" s="70"/>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260"/>
      <c r="BJ143" s="260"/>
      <c r="BK143" s="260"/>
      <c r="BL143" s="260"/>
      <c r="BM143" s="260"/>
      <c r="BN143" s="260"/>
      <c r="BO143" s="260"/>
      <c r="BP143" s="260"/>
      <c r="BQ143" s="260"/>
      <c r="BR143" s="260"/>
      <c r="BS143" s="260"/>
      <c r="BT143" s="260"/>
    </row>
    <row r="144">
      <c r="A144" s="1313">
        <v>1.0</v>
      </c>
      <c r="B144" s="652" t="s">
        <v>425</v>
      </c>
      <c r="C144" s="89" t="s">
        <v>477</v>
      </c>
      <c r="D144" s="656"/>
      <c r="E144" s="654"/>
      <c r="F144" s="657"/>
      <c r="G144" s="656"/>
      <c r="H144" s="656"/>
      <c r="I144" s="656"/>
      <c r="J144" s="656"/>
      <c r="K144" s="657" t="s">
        <v>42</v>
      </c>
      <c r="L144" s="658"/>
      <c r="M144" s="658" t="s">
        <v>42</v>
      </c>
      <c r="N144" s="659"/>
      <c r="O144" s="658"/>
      <c r="P144" s="656"/>
      <c r="Q144" s="658"/>
      <c r="R144" s="136" t="str">
        <f>IFERROR(
  IF(B144="", "", VLOOKUP(B144, Data!$B$2:$K$905, 9, FALSE)),
  ""
)</f>
        <v/>
      </c>
      <c r="S144" s="660"/>
      <c r="T144" s="661"/>
      <c r="U144" s="136" t="str">
        <f>IFERROR(
  IF(B144="", "", VLOOKUP(B144, Data!$B$2:$K$905, 10, FALSE)),
  ""
)
</f>
        <v/>
      </c>
      <c r="V144" s="662"/>
      <c r="W144" s="663"/>
      <c r="X144" s="692"/>
      <c r="Y144" s="595"/>
      <c r="Z144" s="595"/>
      <c r="AA144" s="595"/>
      <c r="AB144" s="354"/>
      <c r="AC144" s="181"/>
      <c r="AD144" s="625"/>
      <c r="AE144" s="626"/>
      <c r="AF144" s="696"/>
      <c r="AG144" s="628"/>
      <c r="AH144" s="629"/>
      <c r="AI144" s="187"/>
      <c r="AJ144" s="630"/>
      <c r="AK144" s="630"/>
      <c r="AL144" s="595"/>
      <c r="AM144" s="595"/>
      <c r="AN144" s="595"/>
      <c r="AO144" s="595"/>
      <c r="AP144" s="595"/>
      <c r="AQ144" s="595"/>
      <c r="AR144" s="595"/>
      <c r="AS144" s="595"/>
      <c r="AT144" s="595"/>
      <c r="AU144" s="595"/>
      <c r="AV144" s="595"/>
      <c r="AW144" s="595"/>
      <c r="AX144" s="595"/>
      <c r="AY144" s="595"/>
      <c r="AZ144" s="595"/>
      <c r="BA144" s="595"/>
      <c r="BB144" s="595"/>
      <c r="BC144" s="595"/>
      <c r="BD144" s="595"/>
      <c r="BE144" s="595"/>
      <c r="BF144" s="595"/>
      <c r="BG144" s="595"/>
      <c r="BH144" s="595"/>
      <c r="BI144" s="651"/>
      <c r="BJ144" s="651"/>
      <c r="BK144" s="651"/>
      <c r="BL144" s="651"/>
      <c r="BM144" s="651"/>
      <c r="BN144" s="651"/>
      <c r="BO144" s="651"/>
      <c r="BP144" s="651"/>
      <c r="BQ144" s="651"/>
      <c r="BR144" s="651"/>
      <c r="BS144" s="651"/>
      <c r="BT144" s="651"/>
    </row>
    <row r="145">
      <c r="A145" s="1313">
        <v>1.0</v>
      </c>
      <c r="B145" s="102"/>
      <c r="C145" s="103" t="s">
        <v>1227</v>
      </c>
      <c r="D145" s="104"/>
      <c r="E145" s="749"/>
      <c r="F145" s="104"/>
      <c r="G145" s="104"/>
      <c r="H145" s="104"/>
      <c r="I145" s="104"/>
      <c r="J145" s="104"/>
      <c r="K145" s="104" t="s">
        <v>42</v>
      </c>
      <c r="L145" s="106">
        <f>Q145</f>
        <v>0</v>
      </c>
      <c r="M145" s="105" t="s">
        <v>42</v>
      </c>
      <c r="N145" s="107"/>
      <c r="O145" s="105"/>
      <c r="P145" s="104"/>
      <c r="Q145" s="106">
        <f>Q146</f>
        <v>0</v>
      </c>
      <c r="R145" s="108" t="str">
        <f>IFERROR(
  IF(B145="", "", VLOOKUP(B145, Data!$B$2:$K$905, 9, FALSE)),
  ""
)</f>
        <v/>
      </c>
      <c r="S145" s="682">
        <f>IFERROR(T145/Q145, 0)</f>
        <v>0</v>
      </c>
      <c r="T145" s="109">
        <f>SUM(S146:S168)</f>
        <v>0</v>
      </c>
      <c r="U145" s="108" t="str">
        <f>IFERROR(
  IF(B145="", "", VLOOKUP(B145, Data!$B$2:$K$905, 10, FALSE)),
  ""
)
</f>
        <v/>
      </c>
      <c r="V145" s="109" t="str">
        <f>W145/Q145</f>
        <v>#DIV/0!</v>
      </c>
      <c r="W145" s="110">
        <f>SUM(W146:W168)</f>
        <v>0</v>
      </c>
      <c r="X145" s="111" t="str">
        <f>W145/$AC$223/$W$230/$X$220</f>
        <v>#DIV/0!</v>
      </c>
      <c r="Y145" s="112" t="b">
        <f>(T145+W145)=(SUM(AB146:AB168))</f>
        <v>1</v>
      </c>
      <c r="Z145" s="113">
        <f>(T145+W145)-(SUM(AB146:AB168))</f>
        <v>0</v>
      </c>
      <c r="AA145" s="5"/>
      <c r="AB145" s="5"/>
      <c r="AC145" s="33"/>
      <c r="AD145" s="114">
        <f>W145+T145</f>
        <v>0</v>
      </c>
      <c r="AE145" s="115">
        <f>AD145</f>
        <v>0</v>
      </c>
      <c r="AF145" s="116" t="str">
        <f>AE145/#REF!</f>
        <v>#REF!</v>
      </c>
      <c r="AG145" s="683" t="str">
        <f>AF145*#REF!</f>
        <v>#REF!</v>
      </c>
      <c r="AH145" s="118" t="str">
        <f>AF145*$AG$208</f>
        <v>#REF!</v>
      </c>
      <c r="AI145" s="39"/>
      <c r="AJ145" s="119" t="str">
        <f>ROUND(AK145/L145,2)</f>
        <v>#REF!</v>
      </c>
      <c r="AK145" s="119" t="str">
        <f>ROUND(AH145+AG145+AD145,2)</f>
        <v>#REF!</v>
      </c>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260"/>
      <c r="BJ145" s="260"/>
      <c r="BK145" s="260"/>
      <c r="BL145" s="260"/>
      <c r="BM145" s="260"/>
      <c r="BN145" s="260"/>
      <c r="BO145" s="260"/>
      <c r="BP145" s="260"/>
      <c r="BQ145" s="260"/>
      <c r="BR145" s="260"/>
      <c r="BS145" s="260"/>
      <c r="BT145" s="260"/>
    </row>
    <row r="146">
      <c r="A146" s="1313"/>
      <c r="B146" s="122" t="s">
        <v>1228</v>
      </c>
      <c r="C146" s="223" t="s">
        <v>1229</v>
      </c>
      <c r="D146" s="124" t="s">
        <v>120</v>
      </c>
      <c r="E146" s="687">
        <f>VALUE(MID(C146, FIND("(", C146)+1, FIND("/", C146)-FIND("(", C146)-1)) / 1000</f>
        <v>0.6</v>
      </c>
      <c r="F146" s="127"/>
      <c r="G146" s="129"/>
      <c r="H146" s="127" t="str">
        <f>IFERROR(__xludf.DUMMYFUNCTION("IFERROR(REGEXEXTRACT(C146, ""(\d*\.\d+)mm""), """")"),"")</f>
        <v/>
      </c>
      <c r="I146" s="128" t="s">
        <v>97</v>
      </c>
      <c r="J146" s="126" t="s">
        <v>14</v>
      </c>
      <c r="K146" s="126" t="str">
        <f>IFERROR(
  IF(B146="", "", VLOOKUP(B146, Data!$B$2:$K$905, 7, FALSE)),
  ""
)</f>
        <v/>
      </c>
      <c r="L146" s="161"/>
      <c r="M146" s="730"/>
      <c r="N146" s="151">
        <f>IFERROR(__xludf.DUMMYFUNCTION("IF(B146="""", """", IFERROR(1 / COS(RADIANS(REGEXEXTRACT(F146,""(\d+)""))), 1))"),1.0)</f>
        <v>1</v>
      </c>
      <c r="O146" s="169">
        <v>1.0</v>
      </c>
      <c r="P146" s="134">
        <v>1.0</v>
      </c>
      <c r="Q146" s="168">
        <f t="shared" ref="Q146:Q155" si="105">M146*N146*O146*P146</f>
        <v>0</v>
      </c>
      <c r="R146" s="136" t="str">
        <f>IFERROR(
  IF(B146="", "", VLOOKUP(B146, Data!$B$2:$K$905, 9, FALSE)),
  ""
)</f>
        <v/>
      </c>
      <c r="S146" s="152">
        <f t="shared" ref="S146:S155" si="106">R146*Q146</f>
        <v>0</v>
      </c>
      <c r="T146" s="138"/>
      <c r="U146" s="136" t="str">
        <f>IFERROR(
  IF(B146="", "", VLOOKUP(B146, Data!$B$2:$K$905, 10, FALSE)),
  ""
)
</f>
        <v/>
      </c>
      <c r="V146" s="139"/>
      <c r="W146" s="140">
        <f t="shared" ref="W146:W155" si="107">U146*Q146</f>
        <v>0</v>
      </c>
      <c r="X146" s="159"/>
      <c r="Y146" s="5"/>
      <c r="Z146" s="5"/>
      <c r="AA146" s="5"/>
      <c r="AB146" s="354">
        <f t="shared" ref="AB146:AB152" si="108">W146+S146</f>
        <v>0</v>
      </c>
      <c r="AC146" s="33"/>
      <c r="AD146" s="226"/>
      <c r="AE146" s="227"/>
      <c r="AF146" s="228"/>
      <c r="AG146" s="229"/>
      <c r="AH146" s="230"/>
      <c r="AI146" s="39"/>
      <c r="AJ146" s="231"/>
      <c r="AK146" s="231"/>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260"/>
      <c r="BJ146" s="260"/>
      <c r="BK146" s="260"/>
      <c r="BL146" s="260"/>
      <c r="BM146" s="260"/>
      <c r="BN146" s="260"/>
      <c r="BO146" s="260"/>
      <c r="BP146" s="260"/>
      <c r="BQ146" s="260"/>
      <c r="BR146" s="260"/>
      <c r="BS146" s="260"/>
      <c r="BT146" s="260"/>
    </row>
    <row r="147">
      <c r="A147" s="1313"/>
      <c r="B147" s="154" t="str">
        <f>IFERROR(__xludf.DUMMYFUNCTION("IFERROR(
  IF(C147="""","""",
    IF(OR(REGEXMATCH(D147,""(?i)-Flashing""), REGEXMATCH(D147,""(?i)-EavesGut""), REGEXMATCH(D147,""(?i)Valley"")),
        ""DR"" &amp;
        TEXT(
            ROUNDUP(
                MIN(
                    VALUE(MID(C147, "&amp;"FIND(""("",C147)+1, FIND(""/"",C147)-FIND(""("",C147)-1)),
                    1200
                ) / 50, 0
            ) * 50, ""0""
        ) &amp;
        MID(C147, FIND(""/"",C147)+1, FIND("")"",C147)-FIND(""/"",C147)-1) &amp;
        TEXT(H147*100,""0"") &amp;"&amp;"
        I147,
    IF(AND(D147=""Roof Sheet"", REGEXMATCH(C147,""(?i)KS\d{4}[A-Z]{2}"")),
       REGEXEXTRACT(C147,""(?i)KS\d{4}[A-Z]{2}""),
    IF(AND(REGEXMATCH(D147,""(?i)-DP""), REGEXMATCH(C147,""(?i)Downpipe"")),
       ""dp"" &amp; REGEXEXTRACT(C147,""("&amp;"\d+)"") &amp; ""mm"",
    IF(AND(REGEXMATCH(D147,""(?i)Bracket""), REGEXMATCH(C147,""(?i)Bracket"")),
       ""Brkt"" &amp; REGEXEXTRACT(C147,""(\d+)"") &amp; ""mm"",
    IF(AND(REGEXMATCH(D147,""(?i)-OP""), REGEXMATCH(C147,""(?i)pops"")),
       ""op"" &amp; REGEXEXTRAC"&amp;"T(C147,""(\d+)"") &amp; ""mm"",
    IF(OR(D147=""R-FFTop"", D147=""R-FFBottom"", D147=""R-FFSide""),
        IF(REGEXMATCH(C147,""(?i)Profiled.*Top|Top.*Profiled""),""pfft"",
        IF(REGEXMATCH(C147,""(?i)Profiled.*Bottom|Bottom.*Profiled""),""pffb"",
    "&amp;"    IF(REGEXMATCH(C147,""(?i)Square""),""sff"",""""))),
    IF(REGEXMATCH(D147,""(?i)-Rivets""),""Rvt"",
    IF(REGEXMATCH(D147,""(?i)Silicone""),""300ml"",
    IF(REGEXMATCH(D147,""(?i)R-Butyl""),""300ml"",
    IF(REGEXMATCH(D147,""(?i)Fix""),""GenFix"","&amp;"
    IF(AND(REGEXMATCH(C147,""(?i)Timber""), REGEXMATCH(D147,""(?i)Timber"")),""tp"",
    IF(AND(REGEXMATCH(C147,""(?i)Vent G1275""), REGEXMATCH(D147,""(?i)Comb FIller"")),""CFV1275"",
    IF(REGEXMATCH(C147,""(?i)DPC""),""dpc"",
    IF(REGEXMATCH(C147,"""&amp;"(?i)Concealed Clips""),""ConClips"",
    IF(REGEXMATCH(D147,""(?i)-Takeoff ea""),""Takeoff ea"",
    IF(REGEXMATCH(D147,""(?i)-Takeoff LM""),""Takeoff LM"",
    IF(REGEXMATCH(D147,""(?i)-Takeoff m2""),""Takeoff m2"",
    IF(D147=""R-TU/TD"",""TU/TD"","""""&amp;")))))))))))))))))
  )))"),"300ml")</f>
        <v>300ml</v>
      </c>
      <c r="C147" s="734" t="s">
        <v>98</v>
      </c>
      <c r="D147" s="124" t="s">
        <v>99</v>
      </c>
      <c r="E147" s="687">
        <f>E146</f>
        <v>0.6</v>
      </c>
      <c r="F147" s="161"/>
      <c r="G147" s="129"/>
      <c r="H147" s="127"/>
      <c r="I147" s="127"/>
      <c r="J147" s="126" t="s">
        <v>87</v>
      </c>
      <c r="K147" s="126" t="str">
        <f>IFERROR(
  IF(B147="", "", VLOOKUP(B147, Data!$B$2:$K$905, 7, FALSE)),
  ""
)</f>
        <v/>
      </c>
      <c r="L147" s="161"/>
      <c r="M147" s="150">
        <f>(ROUNDDOWN((M146/5.7)+2,0)*E147)/8</f>
        <v>0.15</v>
      </c>
      <c r="N147" s="151">
        <f>IFERROR(__xludf.DUMMYFUNCTION("IF(B147="""", """", IFERROR(1 / COS(RADIANS(REGEXEXTRACT(F147,""(\d+)""))), 1))"),1.0)</f>
        <v>1</v>
      </c>
      <c r="O147" s="169">
        <v>1.0</v>
      </c>
      <c r="P147" s="134">
        <v>1.0</v>
      </c>
      <c r="Q147" s="168">
        <f t="shared" si="105"/>
        <v>0.15</v>
      </c>
      <c r="R147" s="136" t="str">
        <f>IFERROR(
  IF(B147="", "", VLOOKUP(B147, Data!$B$2:$K$905, 9, FALSE)),
  ""
)</f>
        <v/>
      </c>
      <c r="S147" s="152">
        <f t="shared" si="106"/>
        <v>0</v>
      </c>
      <c r="T147" s="138"/>
      <c r="U147" s="108" t="str">
        <f>IFERROR(
  IF(B147="", "", VLOOKUP(B147, Data!$B$2:$K$905, 10, FALSE)),
  ""
)
</f>
        <v/>
      </c>
      <c r="V147" s="139"/>
      <c r="W147" s="140">
        <f t="shared" si="107"/>
        <v>0</v>
      </c>
      <c r="X147" s="159"/>
      <c r="Y147" s="5"/>
      <c r="Z147" s="5"/>
      <c r="AA147" s="5"/>
      <c r="AB147" s="354">
        <f t="shared" si="108"/>
        <v>0</v>
      </c>
      <c r="AC147" s="33"/>
      <c r="AD147" s="65"/>
      <c r="AE147" s="66"/>
      <c r="AF147" s="144"/>
      <c r="AG147" s="68"/>
      <c r="AH147" s="69"/>
      <c r="AI147" s="39"/>
      <c r="AJ147" s="70"/>
      <c r="AK147" s="70"/>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260"/>
      <c r="BJ147" s="260"/>
      <c r="BK147" s="260"/>
      <c r="BL147" s="260"/>
      <c r="BM147" s="260"/>
      <c r="BN147" s="260"/>
      <c r="BO147" s="260"/>
      <c r="BP147" s="260"/>
      <c r="BQ147" s="260"/>
      <c r="BR147" s="260"/>
      <c r="BS147" s="260"/>
      <c r="BT147" s="260"/>
    </row>
    <row r="148">
      <c r="A148" s="1313"/>
      <c r="B148" s="154" t="str">
        <f>IFERROR(__xludf.DUMMYFUNCTION("IFERROR(
  IF(C148="""","""",
    IF(OR(REGEXMATCH(D148,""(?i)-Flashing""), REGEXMATCH(D148,""(?i)-EavesGut""), REGEXMATCH(D148,""(?i)Valley"")),
        ""DR"" &amp;
        TEXT(
            ROUNDUP(
                MIN(
                    VALUE(MID(C148, "&amp;"FIND(""("",C148)+1, FIND(""/"",C148)-FIND(""("",C148)-1)),
                    1200
                ) / 50, 0
            ) * 50, ""0""
        ) &amp;
        MID(C148, FIND(""/"",C148)+1, FIND("")"",C148)-FIND(""/"",C148)-1) &amp;
        TEXT(H148*100,""0"") &amp;"&amp;"
        I148,
    IF(AND(D148=""Roof Sheet"", REGEXMATCH(C148,""(?i)KS\d{4}[A-Z]{2}"")),
       REGEXEXTRACT(C148,""(?i)KS\d{4}[A-Z]{2}""),
    IF(AND(REGEXMATCH(D148,""(?i)-DP""), REGEXMATCH(C148,""(?i)Downpipe"")),
       ""dp"" &amp; REGEXEXTRACT(C148,""("&amp;"\d+)"") &amp; ""mm"",
    IF(AND(REGEXMATCH(D148,""(?i)Bracket""), REGEXMATCH(C148,""(?i)Bracket"")),
       ""Brkt"" &amp; REGEXEXTRACT(C148,""(\d+)"") &amp; ""mm"",
    IF(AND(REGEXMATCH(D148,""(?i)-OP""), REGEXMATCH(C148,""(?i)pops"")),
       ""op"" &amp; REGEXEXTRAC"&amp;"T(C148,""(\d+)"") &amp; ""mm"",
    IF(OR(D148=""R-FFTop"", D148=""R-FFBottom"", D148=""R-FFSide""),
        IF(REGEXMATCH(C148,""(?i)Profiled.*Top|Top.*Profiled""),""pfft"",
        IF(REGEXMATCH(C148,""(?i)Profiled.*Bottom|Bottom.*Profiled""),""pffb"",
    "&amp;"    IF(REGEXMATCH(C148,""(?i)Square""),""sff"",""""))),
    IF(REGEXMATCH(D148,""(?i)-Rivets""),""Rvt"",
    IF(REGEXMATCH(D148,""(?i)Silicone""),""300ml"",
    IF(REGEXMATCH(D148,""(?i)R-Butyl""),""300ml"",
    IF(REGEXMATCH(D148,""(?i)Fix""),""GenFix"","&amp;"
    IF(AND(REGEXMATCH(C148,""(?i)Timber""), REGEXMATCH(D148,""(?i)Timber"")),""tp"",
    IF(AND(REGEXMATCH(C148,""(?i)Vent G1275""), REGEXMATCH(D148,""(?i)Comb FIller"")),""CFV1275"",
    IF(REGEXMATCH(C148,""(?i)DPC""),""dpc"",
    IF(REGEXMATCH(C148,"""&amp;"(?i)Concealed Clips""),""ConClips"",
    IF(REGEXMATCH(D148,""(?i)-Takeoff ea""),""Takeoff ea"",
    IF(REGEXMATCH(D148,""(?i)-Takeoff LM""),""Takeoff LM"",
    IF(REGEXMATCH(D148,""(?i)-Takeoff m2""),""Takeoff m2"",
    IF(D148=""R-TU/TD"",""TU/TD"","""""&amp;")))))))))))))))))
  )))"),"Rvt")</f>
        <v>Rvt</v>
      </c>
      <c r="C148" s="734" t="s">
        <v>100</v>
      </c>
      <c r="D148" s="124" t="s">
        <v>101</v>
      </c>
      <c r="E148" s="687">
        <f>E146</f>
        <v>0.6</v>
      </c>
      <c r="F148" s="161"/>
      <c r="G148" s="129"/>
      <c r="H148" s="127"/>
      <c r="I148" s="127"/>
      <c r="J148" s="126" t="s">
        <v>87</v>
      </c>
      <c r="K148" s="126" t="str">
        <f>IFERROR(
  IF(B148="", "", VLOOKUP(B148, Data!$B$2:$K$905, 7, FALSE)),
  ""
)</f>
        <v/>
      </c>
      <c r="L148" s="161"/>
      <c r="M148" s="150">
        <f>ROUNDUP(((M146/5.7)+1)*(E148/0.05),0)</f>
        <v>12</v>
      </c>
      <c r="N148" s="151">
        <f>IFERROR(__xludf.DUMMYFUNCTION("IF(B148="""", """", IFERROR(1 / COS(RADIANS(REGEXEXTRACT(F148,""(\d+)""))), 1))"),1.0)</f>
        <v>1</v>
      </c>
      <c r="O148" s="169">
        <v>1.0</v>
      </c>
      <c r="P148" s="134">
        <v>1.0</v>
      </c>
      <c r="Q148" s="168">
        <f t="shared" si="105"/>
        <v>12</v>
      </c>
      <c r="R148" s="108" t="str">
        <f>IFERROR(
  IF(B148="", "", VLOOKUP(B148, Data!$B$2:$K$905, 9, FALSE)),
  ""
)</f>
        <v/>
      </c>
      <c r="S148" s="152">
        <f t="shared" si="106"/>
        <v>0</v>
      </c>
      <c r="T148" s="138"/>
      <c r="U148" s="136" t="str">
        <f>IFERROR(
  IF(B148="", "", VLOOKUP(B148, Data!$B$2:$K$905, 10, FALSE)),
  ""
)
</f>
        <v/>
      </c>
      <c r="V148" s="139"/>
      <c r="W148" s="140">
        <f t="shared" si="107"/>
        <v>0</v>
      </c>
      <c r="X148" s="159"/>
      <c r="Y148" s="5"/>
      <c r="Z148" s="5"/>
      <c r="AA148" s="5"/>
      <c r="AB148" s="354">
        <f t="shared" si="108"/>
        <v>0</v>
      </c>
      <c r="AC148" s="33"/>
      <c r="AD148" s="65"/>
      <c r="AE148" s="66"/>
      <c r="AF148" s="144"/>
      <c r="AG148" s="68"/>
      <c r="AH148" s="69"/>
      <c r="AI148" s="39"/>
      <c r="AJ148" s="70"/>
      <c r="AK148" s="70"/>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260"/>
      <c r="BJ148" s="260"/>
      <c r="BK148" s="260"/>
      <c r="BL148" s="260"/>
      <c r="BM148" s="260"/>
      <c r="BN148" s="260"/>
      <c r="BO148" s="260"/>
      <c r="BP148" s="260"/>
      <c r="BQ148" s="260"/>
      <c r="BR148" s="260"/>
      <c r="BS148" s="260"/>
      <c r="BT148" s="260"/>
    </row>
    <row r="149">
      <c r="A149" s="1313"/>
      <c r="B149" s="122" t="s">
        <v>482</v>
      </c>
      <c r="C149" s="698" t="s">
        <v>1230</v>
      </c>
      <c r="D149" s="124" t="s">
        <v>122</v>
      </c>
      <c r="E149" s="687">
        <f>IFERROR(__xludf.DUMMYFUNCTION("IFERROR(REGEXEXTRACT(C149,""@\s*(\d+(?:\.\d+)?)\s*mm"")/1000,"""")"),0.6)</f>
        <v>0.6</v>
      </c>
      <c r="F149" s="129"/>
      <c r="G149" s="129"/>
      <c r="H149" s="127"/>
      <c r="I149" s="127"/>
      <c r="J149" s="126" t="s">
        <v>87</v>
      </c>
      <c r="K149" s="126" t="str">
        <f>IFERROR(
  IF(B149="", "", VLOOKUP(B149, Data!$B$2:$K$905, 7, FALSE)),
  ""
)</f>
        <v/>
      </c>
      <c r="L149" s="163"/>
      <c r="M149" s="150">
        <f>ROUNDUP(M146/E149,0)+1</f>
        <v>1</v>
      </c>
      <c r="N149" s="151">
        <f>IFERROR(__xludf.DUMMYFUNCTION("IF(B149="""", """", IFERROR(1 / COS(RADIANS(REGEXEXTRACT(F149,""(\d+)""))), 1))"),1.0)</f>
        <v>1</v>
      </c>
      <c r="O149" s="169">
        <v>1.0</v>
      </c>
      <c r="P149" s="134">
        <v>1.0</v>
      </c>
      <c r="Q149" s="168">
        <f t="shared" si="105"/>
        <v>1</v>
      </c>
      <c r="R149" s="136" t="str">
        <f>IFERROR(
  IF(B149="", "", VLOOKUP(B149, Data!$B$2:$K$905, 9, FALSE)),
  ""
)</f>
        <v/>
      </c>
      <c r="S149" s="152">
        <f t="shared" si="106"/>
        <v>0</v>
      </c>
      <c r="T149" s="138"/>
      <c r="U149" s="136" t="str">
        <f>IFERROR(
  IF(B149="", "", VLOOKUP(B149, Data!$B$2:$K$905, 10, FALSE)),
  ""
)
</f>
        <v/>
      </c>
      <c r="V149" s="139"/>
      <c r="W149" s="140">
        <f t="shared" si="107"/>
        <v>0</v>
      </c>
      <c r="X149" s="159"/>
      <c r="Y149" s="5"/>
      <c r="Z149" s="5"/>
      <c r="AA149" s="5"/>
      <c r="AB149" s="354">
        <f t="shared" si="108"/>
        <v>0</v>
      </c>
      <c r="AC149" s="33"/>
      <c r="AD149" s="65"/>
      <c r="AE149" s="66"/>
      <c r="AF149" s="144"/>
      <c r="AG149" s="68"/>
      <c r="AH149" s="69"/>
      <c r="AI149" s="39"/>
      <c r="AJ149" s="70"/>
      <c r="AK149" s="70"/>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260"/>
      <c r="BJ149" s="260"/>
      <c r="BK149" s="260"/>
      <c r="BL149" s="260"/>
      <c r="BM149" s="260"/>
      <c r="BN149" s="260"/>
      <c r="BO149" s="260"/>
      <c r="BP149" s="260"/>
      <c r="BQ149" s="260"/>
      <c r="BR149" s="260"/>
      <c r="BS149" s="260"/>
      <c r="BT149" s="260"/>
    </row>
    <row r="150">
      <c r="A150" s="1313"/>
      <c r="B150" s="154" t="str">
        <f>IFERROR(__xludf.DUMMYFUNCTION("IFERROR(
  IF(C150="""","""",
    IF(OR(REGEXMATCH(D150,""(?i)-Flashing""), REGEXMATCH(D150,""(?i)-EavesGut""), REGEXMATCH(D150,""(?i)Valley"")),
        ""DR"" &amp;
        TEXT(
            ROUNDUP(
                MIN(
                    VALUE(MID(C150, "&amp;"FIND(""("",C150)+1, FIND(""/"",C150)-FIND(""("",C150)-1)),
                    1200
                ) / 50, 0
            ) * 50, ""0""
        ) &amp;
        MID(C150, FIND(""/"",C150)+1, FIND("")"",C150)-FIND(""/"",C150)-1) &amp;
        TEXT(H150*100,""0"") &amp;"&amp;"
        I150,
    IF(AND(D150=""Roof Sheet"", REGEXMATCH(C150,""(?i)KS\d{4}[A-Z]{2}"")),
       REGEXEXTRACT(C150,""(?i)KS\d{4}[A-Z]{2}""),
    IF(AND(REGEXMATCH(D150,""(?i)-DP""), REGEXMATCH(C150,""(?i)Downpipe"")),
       ""dp"" &amp; REGEXEXTRACT(C150,""("&amp;"\d+)"") &amp; ""mm"",
    IF(AND(REGEXMATCH(D150,""(?i)Bracket""), REGEXMATCH(C150,""(?i)Bracket"")),
       ""Brkt"" &amp; REGEXEXTRACT(C150,""(\d+)"") &amp; ""mm"",
    IF(AND(REGEXMATCH(D150,""(?i)-OP""), REGEXMATCH(C150,""(?i)pops"")),
       ""op"" &amp; REGEXEXTRAC"&amp;"T(C150,""(\d+)"") &amp; ""mm"",
    IF(OR(D150=""R-FFTop"", D150=""R-FFBottom"", D150=""R-FFSide""),
        IF(REGEXMATCH(C150,""(?i)Profiled.*Top|Top.*Profiled""),""pfft"",
        IF(REGEXMATCH(C150,""(?i)Profiled.*Bottom|Bottom.*Profiled""),""pffb"",
    "&amp;"    IF(REGEXMATCH(C150,""(?i)Square""),""sff"",""""))),
    IF(REGEXMATCH(D150,""(?i)-Rivets""),""Rvt"",
    IF(REGEXMATCH(D150,""(?i)Silicone""),""300ml"",
    IF(REGEXMATCH(D150,""(?i)R-Butyl""),""300ml"",
    IF(REGEXMATCH(D150,""(?i)Fix""),""GenFix"","&amp;"
    IF(AND(REGEXMATCH(C150,""(?i)Timber""), REGEXMATCH(D150,""(?i)Timber"")),""tp"",
    IF(AND(REGEXMATCH(C150,""(?i)Vent G1275""), REGEXMATCH(D150,""(?i)Comb FIller"")),""CFV1275"",
    IF(REGEXMATCH(C150,""(?i)DPC""),""dpc"",
    IF(REGEXMATCH(C150,"""&amp;"(?i)Concealed Clips""),""ConClips"",
    IF(REGEXMATCH(D150,""(?i)-Takeoff ea""),""Takeoff ea"",
    IF(REGEXMATCH(D150,""(?i)-Takeoff LM""),""Takeoff LM"",
    IF(REGEXMATCH(D150,""(?i)-Takeoff m2""),""Takeoff m2"",
    IF(D150=""R-TU/TD"",""TU/TD"","""""&amp;")))))))))))))))))
  )))"),"GenFix")</f>
        <v>GenFix</v>
      </c>
      <c r="C150" s="698" t="s">
        <v>102</v>
      </c>
      <c r="D150" s="124" t="s">
        <v>123</v>
      </c>
      <c r="E150" s="687">
        <v>2.0</v>
      </c>
      <c r="F150" s="129"/>
      <c r="G150" s="129"/>
      <c r="H150" s="127"/>
      <c r="I150" s="127"/>
      <c r="J150" s="126" t="s">
        <v>87</v>
      </c>
      <c r="K150" s="126" t="str">
        <f>IFERROR(
  IF(B150="", "", VLOOKUP(B150, Data!$B$2:$K$905, 7, FALSE)),
  ""
)</f>
        <v/>
      </c>
      <c r="L150" s="163"/>
      <c r="M150" s="150">
        <f>ROUNDUP(M149*E150,0)+1</f>
        <v>3</v>
      </c>
      <c r="N150" s="151">
        <f>IFERROR(__xludf.DUMMYFUNCTION("IF(B150="""", """", IFERROR(1 / COS(RADIANS(REGEXEXTRACT(F150,""(\d+)""))), 1))"),1.0)</f>
        <v>1</v>
      </c>
      <c r="O150" s="169">
        <v>1.0</v>
      </c>
      <c r="P150" s="134">
        <v>1.0</v>
      </c>
      <c r="Q150" s="168">
        <f t="shared" si="105"/>
        <v>3</v>
      </c>
      <c r="R150" s="136" t="str">
        <f>IFERROR(
  IF(B150="", "", VLOOKUP(B150, Data!$B$2:$K$905, 9, FALSE)),
  ""
)</f>
        <v/>
      </c>
      <c r="S150" s="152">
        <f t="shared" si="106"/>
        <v>0</v>
      </c>
      <c r="T150" s="138"/>
      <c r="U150" s="136" t="str">
        <f>IFERROR(
  IF(B150="", "", VLOOKUP(B150, Data!$B$2:$K$905, 10, FALSE)),
  ""
)
</f>
        <v/>
      </c>
      <c r="V150" s="139"/>
      <c r="W150" s="140">
        <f t="shared" si="107"/>
        <v>0</v>
      </c>
      <c r="X150" s="159"/>
      <c r="Y150" s="5"/>
      <c r="Z150" s="5"/>
      <c r="AA150" s="5"/>
      <c r="AB150" s="354">
        <f t="shared" si="108"/>
        <v>0</v>
      </c>
      <c r="AC150" s="33"/>
      <c r="AD150" s="65"/>
      <c r="AE150" s="66"/>
      <c r="AF150" s="144"/>
      <c r="AG150" s="68"/>
      <c r="AH150" s="69"/>
      <c r="AI150" s="39"/>
      <c r="AJ150" s="70"/>
      <c r="AK150" s="70"/>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260"/>
      <c r="BJ150" s="260"/>
      <c r="BK150" s="260"/>
      <c r="BL150" s="260"/>
      <c r="BM150" s="260"/>
      <c r="BN150" s="260"/>
      <c r="BO150" s="260"/>
      <c r="BP150" s="260"/>
      <c r="BQ150" s="260"/>
      <c r="BR150" s="260"/>
      <c r="BS150" s="260"/>
      <c r="BT150" s="260"/>
    </row>
    <row r="151">
      <c r="A151" s="1313"/>
      <c r="B151" s="154" t="str">
        <f>IFERROR(__xludf.DUMMYFUNCTION("IFERROR(
  IF(C151="""","""",
    IF(OR(REGEXMATCH(D151,""(?i)-Flashing""), REGEXMATCH(D151,""(?i)-EavesGut""), REGEXMATCH(D151,""(?i)Valley"")),
        ""DR"" &amp;
        TEXT(
            ROUNDUP(
                MIN(
                    VALUE(MID(C151, "&amp;"FIND(""("",C151)+1, FIND(""/"",C151)-FIND(""("",C151)-1)),
                    1200
                ) / 50, 0
            ) * 50, ""0""
        ) &amp;
        MID(C151, FIND(""/"",C151)+1, FIND("")"",C151)-FIND(""/"",C151)-1) &amp;
        TEXT(H151*100,""0"") &amp;"&amp;"
        I151,
    IF(AND(D151=""Roof Sheet"", REGEXMATCH(C151,""(?i)KS\d{4}[A-Z]{2}"")),
       REGEXEXTRACT(C151,""(?i)KS\d{4}[A-Z]{2}""),
    IF(AND(REGEXMATCH(D151,""(?i)-DP""), REGEXMATCH(C151,""(?i)Downpipe"")),
       ""dp"" &amp; REGEXEXTRACT(C151,""("&amp;"\d+)"") &amp; ""mm"",
    IF(AND(REGEXMATCH(D151,""(?i)Bracket""), REGEXMATCH(C151,""(?i)Bracket"")),
       ""Brkt"" &amp; REGEXEXTRACT(C151,""(\d+)"") &amp; ""mm"",
    IF(AND(REGEXMATCH(D151,""(?i)-OP""), REGEXMATCH(C151,""(?i)pops"")),
       ""op"" &amp; REGEXEXTRAC"&amp;"T(C151,""(\d+)"") &amp; ""mm"",
    IF(OR(D151=""R-FFTop"", D151=""R-FFBottom"", D151=""R-FFSide""),
        IF(REGEXMATCH(C151,""(?i)Profiled.*Top|Top.*Profiled""),""pfft"",
        IF(REGEXMATCH(C151,""(?i)Profiled.*Bottom|Bottom.*Profiled""),""pffb"",
    "&amp;"    IF(REGEXMATCH(C151,""(?i)Square""),""sff"",""""))),
    IF(REGEXMATCH(D151,""(?i)-Rivets""),""Rvt"",
    IF(REGEXMATCH(D151,""(?i)Silicone""),""300ml"",
    IF(REGEXMATCH(D151,""(?i)R-Butyl""),""300ml"",
    IF(REGEXMATCH(D151,""(?i)Fix""),""GenFix"","&amp;"
    IF(AND(REGEXMATCH(C151,""(?i)Timber""), REGEXMATCH(D151,""(?i)Timber"")),""tp"",
    IF(AND(REGEXMATCH(C151,""(?i)Vent G1275""), REGEXMATCH(D151,""(?i)Comb FIller"")),""CFV1275"",
    IF(REGEXMATCH(C151,""(?i)DPC""),""dpc"",
    IF(REGEXMATCH(C151,"""&amp;"(?i)Concealed Clips""),""ConClips"",
    IF(REGEXMATCH(D151,""(?i)-Takeoff ea""),""Takeoff ea"",
    IF(REGEXMATCH(D151,""(?i)-Takeoff LM""),""Takeoff LM"",
    IF(REGEXMATCH(D151,""(?i)-Takeoff m2""),""Takeoff m2"",
    IF(D151=""R-TU/TD"",""TU/TD"","""""&amp;")))))))))))))))))
  )))"),"pffb")</f>
        <v>pffb</v>
      </c>
      <c r="C151" s="698" t="s">
        <v>125</v>
      </c>
      <c r="D151" s="124" t="s">
        <v>126</v>
      </c>
      <c r="E151" s="752"/>
      <c r="F151" s="129"/>
      <c r="G151" s="129"/>
      <c r="H151" s="127"/>
      <c r="I151" s="127"/>
      <c r="J151" s="126" t="s">
        <v>87</v>
      </c>
      <c r="K151" s="126" t="str">
        <f>IFERROR(
  IF(B151="", "", VLOOKUP(B151, Data!$B$2:$K$905, 7, FALSE)),
  ""
)</f>
        <v/>
      </c>
      <c r="L151" s="163"/>
      <c r="M151" s="150" t="str">
        <f>M146</f>
        <v/>
      </c>
      <c r="N151" s="151">
        <f>IFERROR(__xludf.DUMMYFUNCTION("IF(B151="""", """", IFERROR(1 / COS(RADIANS(REGEXEXTRACT(F151,""(\d+)""))), 1))"),1.0)</f>
        <v>1</v>
      </c>
      <c r="O151" s="169">
        <v>1.0</v>
      </c>
      <c r="P151" s="134">
        <v>1.0</v>
      </c>
      <c r="Q151" s="168">
        <f t="shared" si="105"/>
        <v>0</v>
      </c>
      <c r="R151" s="136" t="str">
        <f>IFERROR(
  IF(B151="", "", VLOOKUP(B151, Data!$B$2:$K$905, 9, FALSE)),
  ""
)</f>
        <v/>
      </c>
      <c r="S151" s="152">
        <f t="shared" si="106"/>
        <v>0</v>
      </c>
      <c r="T151" s="138"/>
      <c r="U151" s="136" t="str">
        <f>IFERROR(
  IF(B151="", "", VLOOKUP(B151, Data!$B$2:$K$905, 10, FALSE)),
  ""
)
</f>
        <v/>
      </c>
      <c r="V151" s="139"/>
      <c r="W151" s="140">
        <f t="shared" si="107"/>
        <v>0</v>
      </c>
      <c r="X151" s="159"/>
      <c r="Y151" s="5"/>
      <c r="Z151" s="5"/>
      <c r="AA151" s="5"/>
      <c r="AB151" s="354">
        <f t="shared" si="108"/>
        <v>0</v>
      </c>
      <c r="AC151" s="33"/>
      <c r="AD151" s="65"/>
      <c r="AE151" s="66"/>
      <c r="AF151" s="144"/>
      <c r="AG151" s="68"/>
      <c r="AH151" s="69"/>
      <c r="AI151" s="39"/>
      <c r="AJ151" s="70"/>
      <c r="AK151" s="70"/>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260"/>
      <c r="BJ151" s="260"/>
      <c r="BK151" s="260"/>
      <c r="BL151" s="260"/>
      <c r="BM151" s="260"/>
      <c r="BN151" s="260"/>
      <c r="BO151" s="260"/>
      <c r="BP151" s="260"/>
      <c r="BQ151" s="260"/>
      <c r="BR151" s="260"/>
      <c r="BS151" s="260"/>
      <c r="BT151" s="260"/>
    </row>
    <row r="152">
      <c r="A152" s="1313"/>
      <c r="B152" s="154" t="str">
        <f>IFERROR(__xludf.DUMMYFUNCTION("IFERROR(
  IF(C152="""","""",
    IF(OR(REGEXMATCH(D152,""(?i)-Flashing""), REGEXMATCH(D152,""(?i)-EavesGut""), REGEXMATCH(D152,""(?i)Valley"")),
        ""DR"" &amp;
        TEXT(
            ROUNDUP(
                MIN(
                    VALUE(MID(C152, "&amp;"FIND(""("",C152)+1, FIND(""/"",C152)-FIND(""("",C152)-1)),
                    1200
                ) / 50, 0
            ) * 50, ""0""
        ) &amp;
        MID(C152, FIND(""/"",C152)+1, FIND("")"",C152)-FIND(""/"",C152)-1) &amp;
        TEXT(H152*100,""0"") &amp;"&amp;"
        I152,
    IF(AND(D152=""Roof Sheet"", REGEXMATCH(C152,""(?i)KS\d{4}[A-Z]{2}"")),
       REGEXEXTRACT(C152,""(?i)KS\d{4}[A-Z]{2}""),
    IF(AND(REGEXMATCH(D152,""(?i)-DP""), REGEXMATCH(C152,""(?i)Downpipe"")),
       ""dp"" &amp; REGEXEXTRACT(C152,""("&amp;"\d+)"") &amp; ""mm"",
    IF(AND(REGEXMATCH(D152,""(?i)Bracket""), REGEXMATCH(C152,""(?i)Bracket"")),
       ""Brkt"" &amp; REGEXEXTRACT(C152,""(\d+)"") &amp; ""mm"",
    IF(AND(REGEXMATCH(D152,""(?i)-OP""), REGEXMATCH(C152,""(?i)pops"")),
       ""op"" &amp; REGEXEXTRAC"&amp;"T(C152,""(\d+)"") &amp; ""mm"",
    IF(OR(D152=""R-FFTop"", D152=""R-FFBottom"", D152=""R-FFSide""),
        IF(REGEXMATCH(C152,""(?i)Profiled.*Top|Top.*Profiled""),""pfft"",
        IF(REGEXMATCH(C152,""(?i)Profiled.*Bottom|Bottom.*Profiled""),""pffb"",
    "&amp;"    IF(REGEXMATCH(C152,""(?i)Square""),""sff"",""""))),
    IF(REGEXMATCH(D152,""(?i)-Rivets""),""Rvt"",
    IF(REGEXMATCH(D152,""(?i)Silicone""),""300ml"",
    IF(REGEXMATCH(D152,""(?i)R-Butyl""),""300ml"",
    IF(REGEXMATCH(D152,""(?i)Fix""),""GenFix"","&amp;"
    IF(AND(REGEXMATCH(C152,""(?i)Timber""), REGEXMATCH(D152,""(?i)Timber"")),""tp"",
    IF(AND(REGEXMATCH(C152,""(?i)Vent G1275""), REGEXMATCH(D152,""(?i)Comb FIller"")),""CFV1275"",
    IF(REGEXMATCH(C152,""(?i)DPC""),""dpc"",
    IF(REGEXMATCH(C152,"""&amp;"(?i)Concealed Clips""),""ConClips"",
    IF(REGEXMATCH(D152,""(?i)-Takeoff ea""),""Takeoff ea"",
    IF(REGEXMATCH(D152,""(?i)-Takeoff LM""),""Takeoff LM"",
    IF(REGEXMATCH(D152,""(?i)-Takeoff m2""),""Takeoff m2"",
    IF(D152=""R-TU/TD"",""TU/TD"","""""&amp;")))))))))))))))))
  )))"),"TU/TD")</f>
        <v>TU/TD</v>
      </c>
      <c r="C152" s="698" t="s">
        <v>446</v>
      </c>
      <c r="D152" s="124" t="s">
        <v>107</v>
      </c>
      <c r="E152" s="752"/>
      <c r="F152" s="129"/>
      <c r="G152" s="129"/>
      <c r="H152" s="127"/>
      <c r="I152" s="127"/>
      <c r="J152" s="126" t="s">
        <v>87</v>
      </c>
      <c r="K152" s="126" t="str">
        <f>IFERROR(
  IF(B152="", "", VLOOKUP(B152, Data!$B$2:$K$905, 7, FALSE)),
  ""
)</f>
        <v/>
      </c>
      <c r="L152" s="163"/>
      <c r="M152" s="150" t="str">
        <f>M146</f>
        <v/>
      </c>
      <c r="N152" s="151">
        <f>IFERROR(__xludf.DUMMYFUNCTION("IF(B152="""", """", IFERROR(1 / COS(RADIANS(REGEXEXTRACT(F152,""(\d+)""))), 1))"),1.0)</f>
        <v>1</v>
      </c>
      <c r="O152" s="169">
        <v>1.0</v>
      </c>
      <c r="P152" s="134">
        <v>1.0</v>
      </c>
      <c r="Q152" s="168">
        <f t="shared" si="105"/>
        <v>0</v>
      </c>
      <c r="R152" s="108" t="str">
        <f>IFERROR(
  IF(B152="", "", VLOOKUP(B152, Data!$B$2:$K$905, 9, FALSE)),
  ""
)</f>
        <v/>
      </c>
      <c r="S152" s="152">
        <f t="shared" si="106"/>
        <v>0</v>
      </c>
      <c r="T152" s="138"/>
      <c r="U152" s="136" t="str">
        <f>IFERROR(
  IF(B152="", "", VLOOKUP(B152, Data!$B$2:$K$905, 10, FALSE)),
  ""
)
</f>
        <v/>
      </c>
      <c r="V152" s="139"/>
      <c r="W152" s="140">
        <f t="shared" si="107"/>
        <v>0</v>
      </c>
      <c r="X152" s="159"/>
      <c r="Y152" s="5"/>
      <c r="Z152" s="5"/>
      <c r="AA152" s="5"/>
      <c r="AB152" s="354">
        <f t="shared" si="108"/>
        <v>0</v>
      </c>
      <c r="AC152" s="33"/>
      <c r="AD152" s="65"/>
      <c r="AE152" s="66"/>
      <c r="AF152" s="144"/>
      <c r="AG152" s="68"/>
      <c r="AH152" s="69"/>
      <c r="AI152" s="39"/>
      <c r="AJ152" s="70"/>
      <c r="AK152" s="70"/>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260"/>
      <c r="BJ152" s="260"/>
      <c r="BK152" s="260"/>
      <c r="BL152" s="260"/>
      <c r="BM152" s="260"/>
      <c r="BN152" s="260"/>
      <c r="BO152" s="260"/>
      <c r="BP152" s="260"/>
      <c r="BQ152" s="260"/>
      <c r="BR152" s="260"/>
      <c r="BS152" s="260"/>
      <c r="BT152" s="260"/>
    </row>
    <row r="153">
      <c r="A153" s="1313"/>
      <c r="B153" s="154" t="s">
        <v>641</v>
      </c>
      <c r="C153" s="698" t="s">
        <v>641</v>
      </c>
      <c r="D153" s="124" t="s">
        <v>611</v>
      </c>
      <c r="E153" s="752"/>
      <c r="F153" s="127"/>
      <c r="G153" s="129"/>
      <c r="H153" s="127"/>
      <c r="I153" s="127"/>
      <c r="J153" s="126" t="s">
        <v>87</v>
      </c>
      <c r="K153" s="126" t="str">
        <f>IFERROR(
  IF(B153="", "", VLOOKUP(B153, Data!$B$2:$K$905, 7, FALSE)),
  ""
)</f>
        <v/>
      </c>
      <c r="L153" s="163"/>
      <c r="M153" s="150" t="str">
        <f>M146</f>
        <v/>
      </c>
      <c r="N153" s="151">
        <f>IFERROR(__xludf.DUMMYFUNCTION("IF(B153="""", """", IFERROR(1 / COS(RADIANS(REGEXEXTRACT(F153,""(\d+)""))), 1))"),1.0)</f>
        <v>1</v>
      </c>
      <c r="O153" s="169">
        <v>1.0</v>
      </c>
      <c r="P153" s="134">
        <v>1.0</v>
      </c>
      <c r="Q153" s="168">
        <f t="shared" si="105"/>
        <v>0</v>
      </c>
      <c r="R153" s="136" t="str">
        <f>IFERROR(
  IF(B153="", "", VLOOKUP(B153, Data!$B$2:$K$905, 9, FALSE)),
  ""
)</f>
        <v/>
      </c>
      <c r="S153" s="152">
        <f t="shared" si="106"/>
        <v>0</v>
      </c>
      <c r="T153" s="138"/>
      <c r="U153" s="136" t="str">
        <f>IFERROR(
  IF(B153="", "", VLOOKUP(B153, Data!$B$2:$K$905, 10, FALSE)),
  ""
)
</f>
        <v/>
      </c>
      <c r="V153" s="139"/>
      <c r="W153" s="140">
        <f t="shared" si="107"/>
        <v>0</v>
      </c>
      <c r="X153" s="159"/>
      <c r="Y153" s="5"/>
      <c r="Z153" s="5"/>
      <c r="AA153" s="5"/>
      <c r="AB153" s="5"/>
      <c r="AC153" s="33"/>
      <c r="AD153" s="65"/>
      <c r="AE153" s="66"/>
      <c r="AF153" s="144"/>
      <c r="AG153" s="68"/>
      <c r="AH153" s="69"/>
      <c r="AI153" s="39"/>
      <c r="AJ153" s="70"/>
      <c r="AK153" s="70"/>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260"/>
      <c r="BJ153" s="260"/>
      <c r="BK153" s="260"/>
      <c r="BL153" s="260"/>
      <c r="BM153" s="260"/>
      <c r="BN153" s="260"/>
      <c r="BO153" s="260"/>
      <c r="BP153" s="260"/>
      <c r="BQ153" s="260"/>
      <c r="BR153" s="260"/>
      <c r="BS153" s="260"/>
      <c r="BT153" s="260"/>
    </row>
    <row r="154">
      <c r="A154" s="1313"/>
      <c r="B154" s="154" t="s">
        <v>131</v>
      </c>
      <c r="C154" s="734" t="s">
        <v>132</v>
      </c>
      <c r="D154" s="124" t="s">
        <v>484</v>
      </c>
      <c r="E154" s="752"/>
      <c r="F154" s="127"/>
      <c r="G154" s="129"/>
      <c r="H154" s="127"/>
      <c r="I154" s="127"/>
      <c r="J154" s="126" t="s">
        <v>87</v>
      </c>
      <c r="K154" s="126" t="str">
        <f>IFERROR(
  IF(B154="", "", VLOOKUP(B154, Data!$B$2:$K$905, 7, FALSE)),
  ""
)</f>
        <v/>
      </c>
      <c r="L154" s="161"/>
      <c r="M154" s="150">
        <v>1.0</v>
      </c>
      <c r="N154" s="151">
        <f>IFERROR(__xludf.DUMMYFUNCTION("IF(B154="""", """", IFERROR(1 / COS(RADIANS(REGEXEXTRACT(F154,""(\d+)""))), 1))"),1.0)</f>
        <v>1</v>
      </c>
      <c r="O154" s="169">
        <v>1.0</v>
      </c>
      <c r="P154" s="134">
        <v>1.0</v>
      </c>
      <c r="Q154" s="168">
        <f t="shared" si="105"/>
        <v>1</v>
      </c>
      <c r="R154" s="136" t="str">
        <f>IFERROR(
  IF(B154="", "", VLOOKUP(B154, Data!$B$2:$K$905, 9, FALSE)),
  ""
)</f>
        <v/>
      </c>
      <c r="S154" s="152">
        <f t="shared" si="106"/>
        <v>0</v>
      </c>
      <c r="T154" s="138"/>
      <c r="U154" s="136" t="str">
        <f>IFERROR(
  IF(B154="", "", VLOOKUP(B154, Data!$B$2:$K$905, 10, FALSE)),
  ""
)
</f>
        <v/>
      </c>
      <c r="V154" s="139"/>
      <c r="W154" s="140">
        <f t="shared" si="107"/>
        <v>0</v>
      </c>
      <c r="X154" s="159"/>
      <c r="Y154" s="5"/>
      <c r="Z154" s="5"/>
      <c r="AA154" s="5"/>
      <c r="AB154" s="354">
        <f t="shared" ref="AB154:AB155" si="109">W154+S154</f>
        <v>0</v>
      </c>
      <c r="AC154" s="33"/>
      <c r="AD154" s="65"/>
      <c r="AE154" s="66"/>
      <c r="AF154" s="144"/>
      <c r="AG154" s="68"/>
      <c r="AH154" s="69"/>
      <c r="AI154" s="39"/>
      <c r="AJ154" s="70"/>
      <c r="AK154" s="70"/>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260"/>
      <c r="BJ154" s="260"/>
      <c r="BK154" s="260"/>
      <c r="BL154" s="260"/>
      <c r="BM154" s="260"/>
      <c r="BN154" s="260"/>
      <c r="BO154" s="260"/>
      <c r="BP154" s="260"/>
      <c r="BQ154" s="260"/>
      <c r="BR154" s="260"/>
      <c r="BS154" s="260"/>
      <c r="BT154" s="260"/>
    </row>
    <row r="155">
      <c r="A155" s="1313"/>
      <c r="B155" s="154" t="s">
        <v>134</v>
      </c>
      <c r="C155" s="734" t="s">
        <v>135</v>
      </c>
      <c r="D155" s="124" t="s">
        <v>484</v>
      </c>
      <c r="E155" s="752"/>
      <c r="F155" s="127"/>
      <c r="G155" s="129"/>
      <c r="H155" s="127"/>
      <c r="I155" s="127"/>
      <c r="J155" s="126" t="s">
        <v>87</v>
      </c>
      <c r="K155" s="126" t="str">
        <f>IFERROR(
  IF(B155="", "", VLOOKUP(B155, Data!$B$2:$K$905, 7, FALSE)),
  ""
)</f>
        <v/>
      </c>
      <c r="L155" s="161"/>
      <c r="M155" s="150">
        <v>1.0</v>
      </c>
      <c r="N155" s="151">
        <f>IFERROR(__xludf.DUMMYFUNCTION("IF(B155="""", """", IFERROR(1 / COS(RADIANS(REGEXEXTRACT(F155,""(\d+)""))), 1))"),1.0)</f>
        <v>1</v>
      </c>
      <c r="O155" s="169">
        <v>1.0</v>
      </c>
      <c r="P155" s="134">
        <v>1.0</v>
      </c>
      <c r="Q155" s="168">
        <f t="shared" si="105"/>
        <v>1</v>
      </c>
      <c r="R155" s="136" t="str">
        <f>IFERROR(
  IF(B155="", "", VLOOKUP(B155, Data!$B$2:$K$905, 9, FALSE)),
  ""
)</f>
        <v/>
      </c>
      <c r="S155" s="152">
        <f t="shared" si="106"/>
        <v>0</v>
      </c>
      <c r="T155" s="138"/>
      <c r="U155" s="136" t="str">
        <f>IFERROR(
  IF(B155="", "", VLOOKUP(B155, Data!$B$2:$K$905, 10, FALSE)),
  ""
)
</f>
        <v/>
      </c>
      <c r="V155" s="139"/>
      <c r="W155" s="140">
        <f t="shared" si="107"/>
        <v>0</v>
      </c>
      <c r="X155" s="159"/>
      <c r="Y155" s="5"/>
      <c r="Z155" s="5"/>
      <c r="AA155" s="5"/>
      <c r="AB155" s="354">
        <f t="shared" si="109"/>
        <v>0</v>
      </c>
      <c r="AC155" s="33"/>
      <c r="AD155" s="65"/>
      <c r="AE155" s="66"/>
      <c r="AF155" s="144"/>
      <c r="AG155" s="68"/>
      <c r="AH155" s="69"/>
      <c r="AI155" s="39"/>
      <c r="AJ155" s="70"/>
      <c r="AK155" s="70"/>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260"/>
      <c r="BJ155" s="260"/>
      <c r="BK155" s="260"/>
      <c r="BL155" s="260"/>
      <c r="BM155" s="260"/>
      <c r="BN155" s="260"/>
      <c r="BO155" s="260"/>
      <c r="BP155" s="260"/>
      <c r="BQ155" s="260"/>
      <c r="BR155" s="260"/>
      <c r="BS155" s="260"/>
      <c r="BT155" s="260"/>
    </row>
    <row r="156">
      <c r="A156" s="1313"/>
      <c r="B156" s="160"/>
      <c r="C156" s="757"/>
      <c r="D156" s="129"/>
      <c r="E156" s="752"/>
      <c r="F156" s="127"/>
      <c r="G156" s="129"/>
      <c r="H156" s="127"/>
      <c r="I156" s="127"/>
      <c r="J156" s="129"/>
      <c r="K156" s="129"/>
      <c r="L156" s="161"/>
      <c r="M156" s="163"/>
      <c r="N156" s="162"/>
      <c r="O156" s="161"/>
      <c r="P156" s="127"/>
      <c r="Q156" s="161"/>
      <c r="R156" s="108"/>
      <c r="S156" s="139"/>
      <c r="T156" s="138"/>
      <c r="U156" s="108"/>
      <c r="V156" s="139"/>
      <c r="W156" s="164"/>
      <c r="X156" s="159"/>
      <c r="Y156" s="5"/>
      <c r="Z156" s="5"/>
      <c r="AA156" s="5"/>
      <c r="AB156" s="5"/>
      <c r="AC156" s="33"/>
      <c r="AD156" s="65"/>
      <c r="AE156" s="66"/>
      <c r="AF156" s="144"/>
      <c r="AG156" s="68"/>
      <c r="AH156" s="69"/>
      <c r="AI156" s="39"/>
      <c r="AJ156" s="70"/>
      <c r="AK156" s="70"/>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260"/>
      <c r="BJ156" s="260"/>
      <c r="BK156" s="260"/>
      <c r="BL156" s="260"/>
      <c r="BM156" s="260"/>
      <c r="BN156" s="260"/>
      <c r="BO156" s="260"/>
      <c r="BP156" s="260"/>
      <c r="BQ156" s="260"/>
      <c r="BR156" s="260"/>
      <c r="BS156" s="260"/>
      <c r="BT156" s="260"/>
    </row>
    <row r="157">
      <c r="A157" s="1313"/>
      <c r="B157" s="122" t="s">
        <v>950</v>
      </c>
      <c r="C157" s="123" t="s">
        <v>1231</v>
      </c>
      <c r="D157" s="148" t="s">
        <v>585</v>
      </c>
      <c r="E157" s="752"/>
      <c r="F157" s="127"/>
      <c r="G157" s="129"/>
      <c r="H157" s="127"/>
      <c r="I157" s="127"/>
      <c r="J157" s="126" t="s">
        <v>87</v>
      </c>
      <c r="K157" s="126" t="str">
        <f>IFERROR(
  IF(B157="", "", VLOOKUP(B157, Data!$B$2:$K$905, 7, FALSE)),
  ""
)</f>
        <v/>
      </c>
      <c r="L157" s="161"/>
      <c r="M157" s="150" t="str">
        <f>M146</f>
        <v/>
      </c>
      <c r="N157" s="151">
        <f>IFERROR(__xludf.DUMMYFUNCTION("IF(B157="""", """", IFERROR(1 / COS(RADIANS(REGEXEXTRACT(F157,""(\d+)""))), 1))"),1.0)</f>
        <v>1</v>
      </c>
      <c r="O157" s="169">
        <v>1.0</v>
      </c>
      <c r="P157" s="134">
        <v>1.0</v>
      </c>
      <c r="Q157" s="168">
        <f>M157*N157*O157*P157</f>
        <v>0</v>
      </c>
      <c r="R157" s="136" t="str">
        <f>IFERROR(
  IF(B157="", "", VLOOKUP(B157, Data!$B$2:$K$905, 9, FALSE)),
  ""
)</f>
        <v/>
      </c>
      <c r="S157" s="152">
        <f>R157*Q157</f>
        <v>0</v>
      </c>
      <c r="T157" s="138"/>
      <c r="U157" s="136" t="str">
        <f>IFERROR(
  IF(B157="", "", VLOOKUP(B157, Data!$B$2:$K$905, 10, FALSE)),
  ""
)
</f>
        <v/>
      </c>
      <c r="V157" s="139"/>
      <c r="W157" s="140">
        <f>U157*Q157</f>
        <v>0</v>
      </c>
      <c r="X157" s="159"/>
      <c r="Y157" s="5"/>
      <c r="Z157" s="5"/>
      <c r="AA157" s="5"/>
      <c r="AB157" s="5"/>
      <c r="AC157" s="33"/>
      <c r="AD157" s="65"/>
      <c r="AE157" s="66"/>
      <c r="AF157" s="144"/>
      <c r="AG157" s="68"/>
      <c r="AH157" s="69"/>
      <c r="AI157" s="39"/>
      <c r="AJ157" s="70"/>
      <c r="AK157" s="70"/>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260"/>
      <c r="BJ157" s="260"/>
      <c r="BK157" s="260"/>
      <c r="BL157" s="260"/>
      <c r="BM157" s="260"/>
      <c r="BN157" s="260"/>
      <c r="BO157" s="260"/>
      <c r="BP157" s="260"/>
      <c r="BQ157" s="260"/>
      <c r="BR157" s="260"/>
      <c r="BS157" s="260"/>
      <c r="BT157" s="260"/>
    </row>
    <row r="158">
      <c r="A158" s="1313"/>
      <c r="B158" s="122"/>
      <c r="C158" s="223"/>
      <c r="D158" s="148"/>
      <c r="E158" s="752"/>
      <c r="F158" s="127"/>
      <c r="G158" s="129"/>
      <c r="H158" s="127"/>
      <c r="I158" s="127"/>
      <c r="J158" s="126"/>
      <c r="K158" s="126"/>
      <c r="L158" s="161"/>
      <c r="M158" s="150"/>
      <c r="N158" s="151"/>
      <c r="O158" s="169"/>
      <c r="P158" s="134"/>
      <c r="Q158" s="168"/>
      <c r="R158" s="136"/>
      <c r="S158" s="152"/>
      <c r="T158" s="138"/>
      <c r="U158" s="136"/>
      <c r="V158" s="139"/>
      <c r="W158" s="140"/>
      <c r="X158" s="159"/>
      <c r="Y158" s="5"/>
      <c r="Z158" s="5"/>
      <c r="AA158" s="5"/>
      <c r="AB158" s="5"/>
      <c r="AC158" s="33"/>
      <c r="AD158" s="65"/>
      <c r="AE158" s="66"/>
      <c r="AF158" s="144"/>
      <c r="AG158" s="68"/>
      <c r="AH158" s="69"/>
      <c r="AI158" s="39"/>
      <c r="AJ158" s="70"/>
      <c r="AK158" s="70"/>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260"/>
      <c r="BJ158" s="260"/>
      <c r="BK158" s="260"/>
      <c r="BL158" s="260"/>
      <c r="BM158" s="260"/>
      <c r="BN158" s="260"/>
      <c r="BO158" s="260"/>
      <c r="BP158" s="260"/>
      <c r="BQ158" s="260"/>
      <c r="BR158" s="260"/>
      <c r="BS158" s="260"/>
      <c r="BT158" s="260"/>
    </row>
    <row r="159">
      <c r="A159" s="1313"/>
      <c r="B159" s="122" t="s">
        <v>535</v>
      </c>
      <c r="C159" s="223" t="s">
        <v>1232</v>
      </c>
      <c r="D159" s="148" t="s">
        <v>348</v>
      </c>
      <c r="E159" s="752"/>
      <c r="F159" s="127"/>
      <c r="G159" s="129"/>
      <c r="H159" s="127"/>
      <c r="I159" s="127"/>
      <c r="J159" s="126" t="s">
        <v>87</v>
      </c>
      <c r="K159" s="126" t="str">
        <f>IFERROR(
  IF(B159="", "", VLOOKUP(B159, Data!$B$2:$K$905, 7, FALSE)),
  ""
)</f>
        <v/>
      </c>
      <c r="L159" s="161"/>
      <c r="M159" s="150"/>
      <c r="N159" s="151">
        <f>IFERROR(__xludf.DUMMYFUNCTION("IF(B159="""", """", IFERROR(1 / COS(RADIANS(REGEXEXTRACT(F159,""(\d+)""))), 1))"),1.0)</f>
        <v>1</v>
      </c>
      <c r="O159" s="169">
        <v>1.0</v>
      </c>
      <c r="P159" s="134">
        <v>1.0</v>
      </c>
      <c r="Q159" s="168">
        <f t="shared" ref="Q159:Q160" si="110">M159*N159*O159*P159</f>
        <v>0</v>
      </c>
      <c r="R159" s="136" t="str">
        <f>IFERROR(
  IF(B159="", "", VLOOKUP(B159, Data!$B$2:$K$905, 9, FALSE)),
  ""
)</f>
        <v/>
      </c>
      <c r="S159" s="152">
        <f t="shared" ref="S159:S160" si="111">R159*Q159</f>
        <v>0</v>
      </c>
      <c r="T159" s="138"/>
      <c r="U159" s="136" t="str">
        <f>IFERROR(
  IF(B159="", "", VLOOKUP(B159, Data!$B$2:$K$905, 10, FALSE)),
  ""
)
</f>
        <v/>
      </c>
      <c r="V159" s="139"/>
      <c r="W159" s="140">
        <f t="shared" ref="W159:W160" si="112">U159*Q159</f>
        <v>0</v>
      </c>
      <c r="X159" s="159"/>
      <c r="Y159" s="5"/>
      <c r="Z159" s="5"/>
      <c r="AA159" s="5"/>
      <c r="AB159" s="5"/>
      <c r="AC159" s="33"/>
      <c r="AD159" s="65"/>
      <c r="AE159" s="66"/>
      <c r="AF159" s="144"/>
      <c r="AG159" s="68"/>
      <c r="AH159" s="69"/>
      <c r="AI159" s="39"/>
      <c r="AJ159" s="70"/>
      <c r="AK159" s="70"/>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260"/>
      <c r="BJ159" s="260"/>
      <c r="BK159" s="260"/>
      <c r="BL159" s="260"/>
      <c r="BM159" s="260"/>
      <c r="BN159" s="260"/>
      <c r="BO159" s="260"/>
      <c r="BP159" s="260"/>
      <c r="BQ159" s="260"/>
      <c r="BR159" s="260"/>
      <c r="BS159" s="260"/>
      <c r="BT159" s="260"/>
    </row>
    <row r="160">
      <c r="A160" s="1313"/>
      <c r="B160" s="154" t="str">
        <f>IFERROR(__xludf.DUMMYFUNCTION("IFERROR(
  IF(C160="""","""",
    IF(OR(REGEXMATCH(D160,""(?i)-Flashing""), REGEXMATCH(D160,""(?i)-EavesGut""), REGEXMATCH(D160,""(?i)Valley"")),
        ""DR"" &amp;
        TEXT(
            ROUNDUP(
                MIN(
                    VALUE(MID(C160, "&amp;"FIND(""("",C160)+1, FIND(""/"",C160)-FIND(""("",C160)-1)),
                    1200
                ) / 50, 0
            ) * 50, ""0""
        ) &amp;
        MID(C160, FIND(""/"",C160)+1, FIND("")"",C160)-FIND(""/"",C160)-1) &amp;
        TEXT(H160*100,""0"") &amp;"&amp;"
        I160,
    IF(AND(D160=""Roof Sheet"", REGEXMATCH(C160,""(?i)KS\d{4}[A-Z]{2}"")),
       REGEXEXTRACT(C160,""(?i)KS\d{4}[A-Z]{2}""),
    IF(AND(REGEXMATCH(D160,""(?i)-DP""), REGEXMATCH(C160,""(?i)Downpipe"")),
       ""dp"" &amp; REGEXEXTRACT(C160,""("&amp;"\d+)"") &amp; ""mm"",
    IF(AND(REGEXMATCH(D160,""(?i)Bracket""), REGEXMATCH(C160,""(?i)Bracket"")),
       ""Brkt"" &amp; REGEXEXTRACT(C160,""(\d+)"") &amp; ""mm"",
    IF(AND(REGEXMATCH(D160,""(?i)-OP""), REGEXMATCH(C160,""(?i)pops"")),
       ""op"" &amp; REGEXEXTRAC"&amp;"T(C160,""(\d+)"") &amp; ""mm"",
    IF(OR(D160=""R-FFTop"", D160=""R-FFBottom"", D160=""R-FFSide""),
        IF(REGEXMATCH(C160,""(?i)Profiled.*Top|Top.*Profiled""),""pfft"",
        IF(REGEXMATCH(C160,""(?i)Profiled.*Bottom|Bottom.*Profiled""),""pffb"",
    "&amp;"    IF(REGEXMATCH(C160,""(?i)Square""),""sff"",""""))),
    IF(REGEXMATCH(D160,""(?i)-Rivets""),""Rvt"",
    IF(REGEXMATCH(D160,""(?i)Silicone""),""300ml"",
    IF(REGEXMATCH(D160,""(?i)R-Butyl""),""300ml"",
    IF(REGEXMATCH(D160,""(?i)Fix""),""GenFix"","&amp;"
    IF(AND(REGEXMATCH(C160,""(?i)Timber""), REGEXMATCH(D160,""(?i)Timber"")),""tp"",
    IF(AND(REGEXMATCH(C160,""(?i)Vent G1275""), REGEXMATCH(D160,""(?i)Comb FIller"")),""CFV1275"",
    IF(REGEXMATCH(C160,""(?i)DPC""),""dpc"",
    IF(REGEXMATCH(C160,"""&amp;"(?i)Concealed Clips""),""ConClips"",
    IF(REGEXMATCH(D160,""(?i)-Takeoff ea""),""Takeoff ea"",
    IF(REGEXMATCH(D160,""(?i)-Takeoff LM""),""Takeoff LM"",
    IF(REGEXMATCH(D160,""(?i)-Takeoff m2""),""Takeoff m2"",
    IF(D160=""R-TU/TD"",""TU/TD"","""""&amp;")))))))))))))))))
  )))"),"GenFix")</f>
        <v>GenFix</v>
      </c>
      <c r="C160" s="734" t="s">
        <v>102</v>
      </c>
      <c r="D160" s="124" t="s">
        <v>407</v>
      </c>
      <c r="E160" s="752"/>
      <c r="F160" s="127"/>
      <c r="G160" s="129"/>
      <c r="H160" s="127"/>
      <c r="I160" s="127"/>
      <c r="J160" s="126" t="s">
        <v>87</v>
      </c>
      <c r="K160" s="126" t="str">
        <f>IFERROR(
  IF(B160="", "", VLOOKUP(B160, Data!$B$2:$K$905, 7, FALSE)),
  ""
)</f>
        <v/>
      </c>
      <c r="L160" s="161"/>
      <c r="M160" s="150">
        <f>ROUNDUP(M159/0.6,0)+1</f>
        <v>1</v>
      </c>
      <c r="N160" s="151">
        <f>IFERROR(__xludf.DUMMYFUNCTION("IF(B160="""", """", IFERROR(1 / COS(RADIANS(REGEXEXTRACT(F160,""(\d+)""))), 1))"),1.0)</f>
        <v>1</v>
      </c>
      <c r="O160" s="169">
        <v>1.0</v>
      </c>
      <c r="P160" s="134">
        <v>1.0</v>
      </c>
      <c r="Q160" s="168">
        <f t="shared" si="110"/>
        <v>1</v>
      </c>
      <c r="R160" s="136" t="str">
        <f>IFERROR(
  IF(B160="", "", VLOOKUP(B160, Data!$B$2:$K$905, 9, FALSE)),
  ""
)</f>
        <v/>
      </c>
      <c r="S160" s="152">
        <f t="shared" si="111"/>
        <v>0</v>
      </c>
      <c r="T160" s="138"/>
      <c r="U160" s="136" t="str">
        <f>IFERROR(
  IF(B160="", "", VLOOKUP(B160, Data!$B$2:$K$905, 10, FALSE)),
  ""
)
</f>
        <v/>
      </c>
      <c r="V160" s="139"/>
      <c r="W160" s="140">
        <f t="shared" si="112"/>
        <v>0</v>
      </c>
      <c r="X160" s="159"/>
      <c r="Y160" s="5"/>
      <c r="Z160" s="5"/>
      <c r="AA160" s="5"/>
      <c r="AB160" s="5"/>
      <c r="AC160" s="33"/>
      <c r="AD160" s="65"/>
      <c r="AE160" s="66"/>
      <c r="AF160" s="144"/>
      <c r="AG160" s="68"/>
      <c r="AH160" s="69"/>
      <c r="AI160" s="39"/>
      <c r="AJ160" s="70"/>
      <c r="AK160" s="70"/>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260"/>
      <c r="BJ160" s="260"/>
      <c r="BK160" s="260"/>
      <c r="BL160" s="260"/>
      <c r="BM160" s="260"/>
      <c r="BN160" s="260"/>
      <c r="BO160" s="260"/>
      <c r="BP160" s="260"/>
      <c r="BQ160" s="260"/>
      <c r="BR160" s="260"/>
      <c r="BS160" s="260"/>
      <c r="BT160" s="260"/>
    </row>
    <row r="161">
      <c r="A161" s="1313"/>
      <c r="B161" s="154"/>
      <c r="C161" s="734"/>
      <c r="D161" s="124"/>
      <c r="E161" s="752"/>
      <c r="F161" s="127"/>
      <c r="G161" s="129"/>
      <c r="H161" s="127"/>
      <c r="I161" s="127"/>
      <c r="J161" s="126"/>
      <c r="K161" s="126"/>
      <c r="L161" s="161"/>
      <c r="M161" s="150"/>
      <c r="N161" s="151"/>
      <c r="O161" s="169"/>
      <c r="P161" s="134"/>
      <c r="Q161" s="168"/>
      <c r="R161" s="136"/>
      <c r="S161" s="152"/>
      <c r="T161" s="138"/>
      <c r="U161" s="136"/>
      <c r="V161" s="139"/>
      <c r="W161" s="140"/>
      <c r="X161" s="159"/>
      <c r="Y161" s="5"/>
      <c r="Z161" s="5"/>
      <c r="AA161" s="5"/>
      <c r="AB161" s="354"/>
      <c r="AC161" s="33"/>
      <c r="AD161" s="65"/>
      <c r="AE161" s="66"/>
      <c r="AF161" s="144"/>
      <c r="AG161" s="68"/>
      <c r="AH161" s="69"/>
      <c r="AI161" s="39"/>
      <c r="AJ161" s="70"/>
      <c r="AK161" s="70"/>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260"/>
      <c r="BJ161" s="260"/>
      <c r="BK161" s="260"/>
      <c r="BL161" s="260"/>
      <c r="BM161" s="260"/>
      <c r="BN161" s="260"/>
      <c r="BO161" s="260"/>
      <c r="BP161" s="260"/>
      <c r="BQ161" s="260"/>
      <c r="BR161" s="260"/>
      <c r="BS161" s="260"/>
      <c r="BT161" s="260"/>
    </row>
    <row r="162">
      <c r="A162" s="1313"/>
      <c r="B162" s="154" t="s">
        <v>1233</v>
      </c>
      <c r="C162" s="223" t="s">
        <v>1234</v>
      </c>
      <c r="D162" s="124" t="s">
        <v>405</v>
      </c>
      <c r="E162" s="752"/>
      <c r="F162" s="127"/>
      <c r="G162" s="129"/>
      <c r="H162" s="127"/>
      <c r="I162" s="127"/>
      <c r="J162" s="126" t="s">
        <v>87</v>
      </c>
      <c r="K162" s="126" t="str">
        <f>IFERROR(
  IF(B162="", "", VLOOKUP(B162, Data!$B$2:$K$905, 7, FALSE)),
  ""
)</f>
        <v/>
      </c>
      <c r="L162" s="161"/>
      <c r="M162" s="150"/>
      <c r="N162" s="151">
        <f>IFERROR(__xludf.DUMMYFUNCTION("IF(B162="""", """", IFERROR(1 / COS(RADIANS(REGEXEXTRACT(F162,""(\d+)""))), 1))"),1.0)</f>
        <v>1</v>
      </c>
      <c r="O162" s="169">
        <v>1.0</v>
      </c>
      <c r="P162" s="134">
        <v>1.0</v>
      </c>
      <c r="Q162" s="168">
        <f t="shared" ref="Q162:Q163" si="113">M162*N162*O162*P162</f>
        <v>0</v>
      </c>
      <c r="R162" s="136" t="str">
        <f>IFERROR(
  IF(B162="", "", VLOOKUP(B162, Data!$B$2:$K$905, 9, FALSE)),
  ""
)</f>
        <v/>
      </c>
      <c r="S162" s="152">
        <f t="shared" ref="S162:S163" si="114">R162*Q162</f>
        <v>0</v>
      </c>
      <c r="T162" s="138"/>
      <c r="U162" s="136" t="str">
        <f>IFERROR(
  IF(B162="", "", VLOOKUP(B162, Data!$B$2:$K$905, 10, FALSE)),
  ""
)
</f>
        <v/>
      </c>
      <c r="V162" s="139"/>
      <c r="W162" s="140">
        <f t="shared" ref="W162:W163" si="115">U162*Q162</f>
        <v>0</v>
      </c>
      <c r="X162" s="159"/>
      <c r="Y162" s="5"/>
      <c r="Z162" s="5"/>
      <c r="AA162" s="5"/>
      <c r="AB162" s="5"/>
      <c r="AC162" s="33"/>
      <c r="AD162" s="65"/>
      <c r="AE162" s="66"/>
      <c r="AF162" s="144"/>
      <c r="AG162" s="68"/>
      <c r="AH162" s="69"/>
      <c r="AI162" s="39"/>
      <c r="AJ162" s="70"/>
      <c r="AK162" s="70"/>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260"/>
      <c r="BJ162" s="260"/>
      <c r="BK162" s="260"/>
      <c r="BL162" s="260"/>
      <c r="BM162" s="260"/>
      <c r="BN162" s="260"/>
      <c r="BO162" s="260"/>
      <c r="BP162" s="260"/>
      <c r="BQ162" s="260"/>
      <c r="BR162" s="260"/>
      <c r="BS162" s="260"/>
      <c r="BT162" s="260"/>
    </row>
    <row r="163">
      <c r="A163" s="1313"/>
      <c r="B163" s="154" t="str">
        <f>IFERROR(__xludf.DUMMYFUNCTION("IFERROR(
  IF(C163="""","""",
    IF(OR(REGEXMATCH(D163,""(?i)-Flashing""), REGEXMATCH(D163,""(?i)-EavesGut""), REGEXMATCH(D163,""(?i)Valley"")),
        ""DR"" &amp;
        TEXT(
            ROUNDUP(
                MIN(
                    VALUE(MID(C163, "&amp;"FIND(""("",C163)+1, FIND(""/"",C163)-FIND(""("",C163)-1)),
                    1200
                ) / 50, 0
            ) * 50, ""0""
        ) &amp;
        MID(C163, FIND(""/"",C163)+1, FIND("")"",C163)-FIND(""/"",C163)-1) &amp;
        TEXT(H163*100,""0"") &amp;"&amp;"
        I163,
    IF(AND(D163=""Roof Sheet"", REGEXMATCH(C163,""(?i)KS\d{4}[A-Z]{2}"")),
       REGEXEXTRACT(C163,""(?i)KS\d{4}[A-Z]{2}""),
    IF(AND(REGEXMATCH(D163,""(?i)-DP""), REGEXMATCH(C163,""(?i)Downpipe"")),
       ""dp"" &amp; REGEXEXTRACT(C163,""("&amp;"\d+)"") &amp; ""mm"",
    IF(AND(REGEXMATCH(D163,""(?i)Bracket""), REGEXMATCH(C163,""(?i)Bracket"")),
       ""Brkt"" &amp; REGEXEXTRACT(C163,""(\d+)"") &amp; ""mm"",
    IF(AND(REGEXMATCH(D163,""(?i)-OP""), REGEXMATCH(C163,""(?i)pops"")),
       ""op"" &amp; REGEXEXTRAC"&amp;"T(C163,""(\d+)"") &amp; ""mm"",
    IF(OR(D163=""R-FFTop"", D163=""R-FFBottom"", D163=""R-FFSide""),
        IF(REGEXMATCH(C163,""(?i)Profiled.*Top|Top.*Profiled""),""pfft"",
        IF(REGEXMATCH(C163,""(?i)Profiled.*Bottom|Bottom.*Profiled""),""pffb"",
    "&amp;"    IF(REGEXMATCH(C163,""(?i)Square""),""sff"",""""))),
    IF(REGEXMATCH(D163,""(?i)-Rivets""),""Rvt"",
    IF(REGEXMATCH(D163,""(?i)Silicone""),""300ml"",
    IF(REGEXMATCH(D163,""(?i)R-Butyl""),""300ml"",
    IF(REGEXMATCH(D163,""(?i)Fix""),""GenFix"","&amp;"
    IF(AND(REGEXMATCH(C163,""(?i)Timber""), REGEXMATCH(D163,""(?i)Timber"")),""tp"",
    IF(AND(REGEXMATCH(C163,""(?i)Vent G1275""), REGEXMATCH(D163,""(?i)Comb FIller"")),""CFV1275"",
    IF(REGEXMATCH(C163,""(?i)DPC""),""dpc"",
    IF(REGEXMATCH(C163,"""&amp;"(?i)Concealed Clips""),""ConClips"",
    IF(REGEXMATCH(D163,""(?i)-Takeoff ea""),""Takeoff ea"",
    IF(REGEXMATCH(D163,""(?i)-Takeoff LM""),""Takeoff LM"",
    IF(REGEXMATCH(D163,""(?i)-Takeoff m2""),""Takeoff m2"",
    IF(D163=""R-TU/TD"",""TU/TD"","""""&amp;")))))))))))))))))
  )))"),"GenFix")</f>
        <v>GenFix</v>
      </c>
      <c r="C163" s="734" t="s">
        <v>102</v>
      </c>
      <c r="D163" s="124" t="s">
        <v>407</v>
      </c>
      <c r="E163" s="752"/>
      <c r="F163" s="127"/>
      <c r="G163" s="129"/>
      <c r="H163" s="127"/>
      <c r="I163" s="127"/>
      <c r="J163" s="126" t="s">
        <v>87</v>
      </c>
      <c r="K163" s="126" t="str">
        <f>IFERROR(
  IF(B163="", "", VLOOKUP(B163, Data!$B$2:$K$905, 7, FALSE)),
  ""
)</f>
        <v/>
      </c>
      <c r="L163" s="161"/>
      <c r="M163" s="150">
        <f>ROUNDUP(M162/0.6,0)+1</f>
        <v>1</v>
      </c>
      <c r="N163" s="151">
        <f>IFERROR(__xludf.DUMMYFUNCTION("IF(B163="""", """", IFERROR(1 / COS(RADIANS(REGEXEXTRACT(F163,""(\d+)""))), 1))"),1.0)</f>
        <v>1</v>
      </c>
      <c r="O163" s="169">
        <v>1.0</v>
      </c>
      <c r="P163" s="134">
        <v>1.0</v>
      </c>
      <c r="Q163" s="168">
        <f t="shared" si="113"/>
        <v>1</v>
      </c>
      <c r="R163" s="136" t="str">
        <f>IFERROR(
  IF(B163="", "", VLOOKUP(B163, Data!$B$2:$K$905, 9, FALSE)),
  ""
)</f>
        <v/>
      </c>
      <c r="S163" s="152">
        <f t="shared" si="114"/>
        <v>0</v>
      </c>
      <c r="T163" s="138"/>
      <c r="U163" s="136" t="str">
        <f>IFERROR(
  IF(B163="", "", VLOOKUP(B163, Data!$B$2:$K$905, 10, FALSE)),
  ""
)
</f>
        <v/>
      </c>
      <c r="V163" s="139"/>
      <c r="W163" s="140">
        <f t="shared" si="115"/>
        <v>0</v>
      </c>
      <c r="X163" s="159"/>
      <c r="Y163" s="5"/>
      <c r="Z163" s="5"/>
      <c r="AA163" s="5"/>
      <c r="AB163" s="5"/>
      <c r="AC163" s="33"/>
      <c r="AD163" s="65"/>
      <c r="AE163" s="66"/>
      <c r="AF163" s="144"/>
      <c r="AG163" s="68"/>
      <c r="AH163" s="69"/>
      <c r="AI163" s="39"/>
      <c r="AJ163" s="70"/>
      <c r="AK163" s="70"/>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260"/>
      <c r="BJ163" s="260"/>
      <c r="BK163" s="260"/>
      <c r="BL163" s="260"/>
      <c r="BM163" s="260"/>
      <c r="BN163" s="260"/>
      <c r="BO163" s="260"/>
      <c r="BP163" s="260"/>
      <c r="BQ163" s="260"/>
      <c r="BR163" s="260"/>
      <c r="BS163" s="260"/>
      <c r="BT163" s="260"/>
    </row>
    <row r="164">
      <c r="A164" s="1313"/>
      <c r="B164" s="160"/>
      <c r="C164" s="757"/>
      <c r="D164" s="127"/>
      <c r="E164" s="752"/>
      <c r="F164" s="127"/>
      <c r="G164" s="129"/>
      <c r="H164" s="127"/>
      <c r="I164" s="127"/>
      <c r="J164" s="129"/>
      <c r="K164" s="129" t="str">
        <f>IFERROR(
  IF(B164="", "", VLOOKUP(B164, Data!$B$2:$K$905, 7, FALSE)),
  ""
)</f>
        <v/>
      </c>
      <c r="L164" s="161"/>
      <c r="M164" s="163" t="s">
        <v>42</v>
      </c>
      <c r="N164" s="162" t="str">
        <f>IFERROR(__xludf.DUMMYFUNCTION("IF(B164="""", """", IFERROR(1 / COS(RADIANS(REGEXEXTRACT(F164,""(\d+)""))), 1))"),"")</f>
        <v/>
      </c>
      <c r="O164" s="161"/>
      <c r="P164" s="127"/>
      <c r="Q164" s="161"/>
      <c r="R164" s="108" t="str">
        <f>IFERROR(
  IF(B164="", "", VLOOKUP(B164, Data!$B$2:$K$905, 9, FALSE)),
  ""
)</f>
        <v/>
      </c>
      <c r="S164" s="139"/>
      <c r="T164" s="138"/>
      <c r="U164" s="108" t="str">
        <f>IFERROR(
  IF(B164="", "", VLOOKUP(B164, Data!$B$2:$K$905, 10, FALSE)),
  ""
)
</f>
        <v/>
      </c>
      <c r="V164" s="139"/>
      <c r="W164" s="164"/>
      <c r="X164" s="159"/>
      <c r="Y164" s="5"/>
      <c r="Z164" s="5"/>
      <c r="AA164" s="5"/>
      <c r="AB164" s="5"/>
      <c r="AC164" s="33"/>
      <c r="AD164" s="65"/>
      <c r="AE164" s="66"/>
      <c r="AF164" s="144"/>
      <c r="AG164" s="68"/>
      <c r="AH164" s="69"/>
      <c r="AI164" s="39"/>
      <c r="AJ164" s="70"/>
      <c r="AK164" s="70"/>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260"/>
      <c r="BJ164" s="260"/>
      <c r="BK164" s="260"/>
      <c r="BL164" s="260"/>
      <c r="BM164" s="260"/>
      <c r="BN164" s="260"/>
      <c r="BO164" s="260"/>
      <c r="BP164" s="260"/>
      <c r="BQ164" s="260"/>
      <c r="BR164" s="260"/>
      <c r="BS164" s="260"/>
      <c r="BT164" s="260"/>
    </row>
    <row r="165">
      <c r="A165" s="1313">
        <v>1.0</v>
      </c>
      <c r="B165" s="727"/>
      <c r="C165" s="103" t="s">
        <v>1235</v>
      </c>
      <c r="D165" s="678"/>
      <c r="E165" s="676"/>
      <c r="F165" s="728"/>
      <c r="G165" s="678"/>
      <c r="H165" s="678"/>
      <c r="I165" s="678"/>
      <c r="J165" s="678"/>
      <c r="K165" s="678" t="s">
        <v>42</v>
      </c>
      <c r="L165" s="106">
        <f>Q165</f>
        <v>0</v>
      </c>
      <c r="M165" s="679" t="s">
        <v>42</v>
      </c>
      <c r="N165" s="680"/>
      <c r="O165" s="679"/>
      <c r="P165" s="678"/>
      <c r="Q165" s="106">
        <f>Q166</f>
        <v>0</v>
      </c>
      <c r="R165" s="136" t="str">
        <f>IFERROR(
  IF(B165="", "", VLOOKUP(B165, Data!$B$2:$K$905, 9, FALSE)),
  ""
)</f>
        <v/>
      </c>
      <c r="S165" s="682">
        <f>IFERROR(T165/Q165, 0)</f>
        <v>0</v>
      </c>
      <c r="T165" s="109">
        <f>SUM(S166:S180)</f>
        <v>0</v>
      </c>
      <c r="U165" s="136" t="str">
        <f>IFERROR(
  IF(B165="", "", VLOOKUP(B165, Data!$B$2:$K$905, 10, FALSE)),
  ""
)
</f>
        <v/>
      </c>
      <c r="V165" s="109" t="str">
        <f>W165/Q165</f>
        <v>#DIV/0!</v>
      </c>
      <c r="W165" s="110">
        <f>SUM(W166:W180)</f>
        <v>0</v>
      </c>
      <c r="X165" s="111" t="str">
        <f>W165/$AC$235/$W$242/$X$232</f>
        <v>#REF!</v>
      </c>
      <c r="Y165" s="112" t="b">
        <f>(T165+W165)=(SUM(AB166:AB180))</f>
        <v>1</v>
      </c>
      <c r="Z165" s="113">
        <f>(T165+W165)-(SUM(AB166:AB180))</f>
        <v>0</v>
      </c>
      <c r="AA165" s="595"/>
      <c r="AB165" s="595"/>
      <c r="AC165" s="181"/>
      <c r="AD165" s="114">
        <f>W165+T165</f>
        <v>0</v>
      </c>
      <c r="AE165" s="115">
        <f>AD165</f>
        <v>0</v>
      </c>
      <c r="AF165" s="116" t="str">
        <f>AE165/$AE$210</f>
        <v>#REF!</v>
      </c>
      <c r="AG165" s="683" t="str">
        <f>AF165*$AG$217</f>
        <v>#REF!</v>
      </c>
      <c r="AH165" s="118" t="str">
        <f>AF165*$AG$220</f>
        <v>#REF!</v>
      </c>
      <c r="AI165" s="187"/>
      <c r="AJ165" s="119" t="str">
        <f>ROUND(AK165/L165,2)</f>
        <v>#REF!</v>
      </c>
      <c r="AK165" s="119" t="str">
        <f>ROUND(AH165+AG165+AD165,2)</f>
        <v>#REF!</v>
      </c>
      <c r="AL165" s="595"/>
      <c r="AM165" s="595"/>
      <c r="AN165" s="595"/>
      <c r="AO165" s="595"/>
      <c r="AP165" s="595"/>
      <c r="AQ165" s="595"/>
      <c r="AR165" s="595"/>
      <c r="AS165" s="595"/>
      <c r="AT165" s="595"/>
      <c r="AU165" s="595"/>
      <c r="AV165" s="595"/>
      <c r="AW165" s="595"/>
      <c r="AX165" s="595"/>
      <c r="AY165" s="595"/>
      <c r="AZ165" s="595"/>
      <c r="BA165" s="595"/>
      <c r="BB165" s="595"/>
      <c r="BC165" s="595"/>
      <c r="BD165" s="595"/>
      <c r="BE165" s="595"/>
      <c r="BF165" s="595"/>
      <c r="BG165" s="595"/>
      <c r="BH165" s="595"/>
      <c r="BI165" s="651"/>
      <c r="BJ165" s="651"/>
      <c r="BK165" s="651"/>
      <c r="BL165" s="651"/>
      <c r="BM165" s="651"/>
      <c r="BN165" s="651"/>
      <c r="BO165" s="651"/>
      <c r="BP165" s="651"/>
      <c r="BQ165" s="651"/>
      <c r="BR165" s="651"/>
      <c r="BS165" s="651"/>
      <c r="BT165" s="651"/>
    </row>
    <row r="166">
      <c r="A166" s="1313"/>
      <c r="B166" s="122" t="s">
        <v>1236</v>
      </c>
      <c r="C166" s="223" t="s">
        <v>1237</v>
      </c>
      <c r="D166" s="124" t="s">
        <v>120</v>
      </c>
      <c r="E166" s="687">
        <f>VALUE(MID(C166, FIND("(", C166)+1, FIND("/", C166)-FIND("(", C166)-1)) / 1000</f>
        <v>1.13</v>
      </c>
      <c r="F166" s="128"/>
      <c r="G166" s="701"/>
      <c r="H166" s="700" t="str">
        <f>IFERROR(__xludf.DUMMYFUNCTION("IFERROR(REGEXEXTRACT(C166, ""(\d*\.\d+)mm""), """")"),"")</f>
        <v/>
      </c>
      <c r="I166" s="128" t="s">
        <v>97</v>
      </c>
      <c r="J166" s="126" t="s">
        <v>14</v>
      </c>
      <c r="K166" s="126" t="str">
        <f>IFERROR(
  IF(B166="", "", VLOOKUP(B166, Data!$B$2:$K$905, 7, FALSE)),
  ""
)</f>
        <v/>
      </c>
      <c r="L166" s="712"/>
      <c r="M166" s="730"/>
      <c r="N166" s="151">
        <f>IFERROR(__xludf.DUMMYFUNCTION("IF(B166="""", """", IFERROR(1 / COS(RADIANS(REGEXEXTRACT(F166,""(\d+)""))), 1))"),1.0)</f>
        <v>1</v>
      </c>
      <c r="O166" s="169">
        <v>1.0</v>
      </c>
      <c r="P166" s="134">
        <v>1.0</v>
      </c>
      <c r="Q166" s="168">
        <f t="shared" ref="Q166:Q175" si="116">M166*N166*O166*P166</f>
        <v>0</v>
      </c>
      <c r="R166" s="136" t="str">
        <f>IFERROR(
  IF(B166="", "", VLOOKUP(B166, Data!$B$2:$K$905, 9, FALSE)),
  ""
)</f>
        <v/>
      </c>
      <c r="S166" s="152">
        <f t="shared" ref="S166:S175" si="117">R166*Q166</f>
        <v>0</v>
      </c>
      <c r="T166" s="690"/>
      <c r="U166" s="136" t="str">
        <f>IFERROR(
  IF(B166="", "", VLOOKUP(B166, Data!$B$2:$K$905, 10, FALSE)),
  ""
)
</f>
        <v/>
      </c>
      <c r="V166" s="691"/>
      <c r="W166" s="140">
        <f t="shared" ref="W166:W175" si="118">U166*Q166</f>
        <v>0</v>
      </c>
      <c r="X166" s="692"/>
      <c r="Y166" s="595"/>
      <c r="Z166" s="595"/>
      <c r="AA166" s="595"/>
      <c r="AB166" s="354">
        <f t="shared" ref="AB166:AB172" si="119">W166+S166</f>
        <v>0</v>
      </c>
      <c r="AC166" s="181"/>
      <c r="AD166" s="705"/>
      <c r="AE166" s="706"/>
      <c r="AF166" s="707"/>
      <c r="AG166" s="708"/>
      <c r="AH166" s="709"/>
      <c r="AI166" s="187"/>
      <c r="AJ166" s="710"/>
      <c r="AK166" s="710"/>
      <c r="AL166" s="595"/>
      <c r="AM166" s="595"/>
      <c r="AN166" s="595"/>
      <c r="AO166" s="595"/>
      <c r="AP166" s="595"/>
      <c r="AQ166" s="595"/>
      <c r="AR166" s="595"/>
      <c r="AS166" s="595"/>
      <c r="AT166" s="595"/>
      <c r="AU166" s="595"/>
      <c r="AV166" s="595"/>
      <c r="AW166" s="595"/>
      <c r="AX166" s="595"/>
      <c r="AY166" s="595"/>
      <c r="AZ166" s="595"/>
      <c r="BA166" s="595"/>
      <c r="BB166" s="595"/>
      <c r="BC166" s="595"/>
      <c r="BD166" s="595"/>
      <c r="BE166" s="595"/>
      <c r="BF166" s="595"/>
      <c r="BG166" s="595"/>
      <c r="BH166" s="595"/>
      <c r="BI166" s="651"/>
      <c r="BJ166" s="651"/>
      <c r="BK166" s="651"/>
      <c r="BL166" s="651"/>
      <c r="BM166" s="651"/>
      <c r="BN166" s="651"/>
      <c r="BO166" s="651"/>
      <c r="BP166" s="651"/>
      <c r="BQ166" s="651"/>
      <c r="BR166" s="651"/>
      <c r="BS166" s="651"/>
      <c r="BT166" s="651"/>
    </row>
    <row r="167">
      <c r="A167" s="1313"/>
      <c r="B167" s="154" t="str">
        <f>IFERROR(__xludf.DUMMYFUNCTION("IFERROR(
  IF(C167="""","""",
    IF(OR(REGEXMATCH(D167,""(?i)-Flashing""), REGEXMATCH(D167,""(?i)-EavesGut""), REGEXMATCH(D167,""(?i)Valley"")),
        ""DR"" &amp;
        TEXT(
            ROUNDUP(
                MIN(
                    VALUE(MID(C167, "&amp;"FIND(""("",C167)+1, FIND(""/"",C167)-FIND(""("",C167)-1)),
                    1200
                ) / 50, 0
            ) * 50, ""0""
        ) &amp;
        MID(C167, FIND(""/"",C167)+1, FIND("")"",C167)-FIND(""/"",C167)-1) &amp;
        TEXT(H167*100,""0"") &amp;"&amp;"
        I167,
    IF(AND(D167=""Roof Sheet"", REGEXMATCH(C167,""(?i)KS\d{4}[A-Z]{2}"")),
       REGEXEXTRACT(C167,""(?i)KS\d{4}[A-Z]{2}""),
    IF(AND(REGEXMATCH(D167,""(?i)-DP""), REGEXMATCH(C167,""(?i)Downpipe"")),
       ""dp"" &amp; REGEXEXTRACT(C167,""("&amp;"\d+)"") &amp; ""mm"",
    IF(AND(REGEXMATCH(D167,""(?i)Bracket""), REGEXMATCH(C167,""(?i)Bracket"")),
       ""Brkt"" &amp; REGEXEXTRACT(C167,""(\d+)"") &amp; ""mm"",
    IF(AND(REGEXMATCH(D167,""(?i)-OP""), REGEXMATCH(C167,""(?i)pops"")),
       ""op"" &amp; REGEXEXTRAC"&amp;"T(C167,""(\d+)"") &amp; ""mm"",
    IF(OR(D167=""R-FFTop"", D167=""R-FFBottom"", D167=""R-FFSide""),
        IF(REGEXMATCH(C167,""(?i)Profiled.*Top|Top.*Profiled""),""pfft"",
        IF(REGEXMATCH(C167,""(?i)Profiled.*Bottom|Bottom.*Profiled""),""pffb"",
    "&amp;"    IF(REGEXMATCH(C167,""(?i)Square""),""sff"",""""))),
    IF(REGEXMATCH(D167,""(?i)-Rivets""),""Rvt"",
    IF(REGEXMATCH(D167,""(?i)Silicone""),""300ml"",
    IF(REGEXMATCH(D167,""(?i)R-Butyl""),""300ml"",
    IF(REGEXMATCH(D167,""(?i)Fix""),""GenFix"","&amp;"
    IF(AND(REGEXMATCH(C167,""(?i)Timber""), REGEXMATCH(D167,""(?i)Timber"")),""tp"",
    IF(AND(REGEXMATCH(C167,""(?i)Vent G1275""), REGEXMATCH(D167,""(?i)Comb FIller"")),""CFV1275"",
    IF(REGEXMATCH(C167,""(?i)DPC""),""dpc"",
    IF(REGEXMATCH(C167,"""&amp;"(?i)Concealed Clips""),""ConClips"",
    IF(REGEXMATCH(D167,""(?i)-Takeoff ea""),""Takeoff ea"",
    IF(REGEXMATCH(D167,""(?i)-Takeoff LM""),""Takeoff LM"",
    IF(REGEXMATCH(D167,""(?i)-Takeoff m2""),""Takeoff m2"",
    IF(D167=""R-TU/TD"",""TU/TD"","""""&amp;")))))))))))))))))
  )))"),"300ml")</f>
        <v>300ml</v>
      </c>
      <c r="C167" s="734" t="s">
        <v>98</v>
      </c>
      <c r="D167" s="124" t="s">
        <v>99</v>
      </c>
      <c r="E167" s="687">
        <f>E166</f>
        <v>1.13</v>
      </c>
      <c r="F167" s="168"/>
      <c r="G167" s="701"/>
      <c r="H167" s="700"/>
      <c r="I167" s="700"/>
      <c r="J167" s="126" t="s">
        <v>87</v>
      </c>
      <c r="K167" s="126" t="str">
        <f>IFERROR(
  IF(B167="", "", VLOOKUP(B167, Data!$B$2:$K$905, 7, FALSE)),
  ""
)</f>
        <v/>
      </c>
      <c r="L167" s="712"/>
      <c r="M167" s="150">
        <f>(ROUNDDOWN((M166/5.7)+2,0)*E167)/8</f>
        <v>0.2825</v>
      </c>
      <c r="N167" s="151">
        <f>IFERROR(__xludf.DUMMYFUNCTION("IF(B167="""", """", IFERROR(1 / COS(RADIANS(REGEXEXTRACT(F167,""(\d+)""))), 1))"),1.0)</f>
        <v>1</v>
      </c>
      <c r="O167" s="169">
        <v>1.0</v>
      </c>
      <c r="P167" s="134">
        <v>1.0</v>
      </c>
      <c r="Q167" s="168">
        <f t="shared" si="116"/>
        <v>0.2825</v>
      </c>
      <c r="R167" s="136" t="str">
        <f>IFERROR(
  IF(B167="", "", VLOOKUP(B167, Data!$B$2:$K$905, 9, FALSE)),
  ""
)</f>
        <v/>
      </c>
      <c r="S167" s="152">
        <f t="shared" si="117"/>
        <v>0</v>
      </c>
      <c r="T167" s="690"/>
      <c r="U167" s="136" t="str">
        <f>IFERROR(
  IF(B167="", "", VLOOKUP(B167, Data!$B$2:$K$905, 10, FALSE)),
  ""
)
</f>
        <v/>
      </c>
      <c r="V167" s="691"/>
      <c r="W167" s="140">
        <f t="shared" si="118"/>
        <v>0</v>
      </c>
      <c r="X167" s="692"/>
      <c r="Y167" s="595"/>
      <c r="Z167" s="595"/>
      <c r="AA167" s="595"/>
      <c r="AB167" s="354">
        <f t="shared" si="119"/>
        <v>0</v>
      </c>
      <c r="AC167" s="181"/>
      <c r="AD167" s="625"/>
      <c r="AE167" s="626"/>
      <c r="AF167" s="696"/>
      <c r="AG167" s="697"/>
      <c r="AH167" s="629"/>
      <c r="AI167" s="187"/>
      <c r="AJ167" s="630"/>
      <c r="AK167" s="630"/>
      <c r="AL167" s="595"/>
      <c r="AM167" s="595"/>
      <c r="AN167" s="595"/>
      <c r="AO167" s="595"/>
      <c r="AP167" s="595"/>
      <c r="AQ167" s="595"/>
      <c r="AR167" s="595"/>
      <c r="AS167" s="595"/>
      <c r="AT167" s="595"/>
      <c r="AU167" s="595"/>
      <c r="AV167" s="595"/>
      <c r="AW167" s="595"/>
      <c r="AX167" s="595"/>
      <c r="AY167" s="595"/>
      <c r="AZ167" s="595"/>
      <c r="BA167" s="595"/>
      <c r="BB167" s="595"/>
      <c r="BC167" s="595"/>
      <c r="BD167" s="595"/>
      <c r="BE167" s="595"/>
      <c r="BF167" s="595"/>
      <c r="BG167" s="595"/>
      <c r="BH167" s="595"/>
      <c r="BI167" s="651"/>
      <c r="BJ167" s="651"/>
      <c r="BK167" s="651"/>
      <c r="BL167" s="651"/>
      <c r="BM167" s="651"/>
      <c r="BN167" s="651"/>
      <c r="BO167" s="651"/>
      <c r="BP167" s="651"/>
      <c r="BQ167" s="651"/>
      <c r="BR167" s="651"/>
      <c r="BS167" s="651"/>
      <c r="BT167" s="651"/>
    </row>
    <row r="168">
      <c r="A168" s="1313"/>
      <c r="B168" s="154" t="str">
        <f>IFERROR(__xludf.DUMMYFUNCTION("IFERROR(
  IF(C168="""","""",
    IF(OR(REGEXMATCH(D168,""(?i)-Flashing""), REGEXMATCH(D168,""(?i)-EavesGut""), REGEXMATCH(D168,""(?i)Valley"")),
        ""DR"" &amp;
        TEXT(
            ROUNDUP(
                MIN(
                    VALUE(MID(C168, "&amp;"FIND(""("",C168)+1, FIND(""/"",C168)-FIND(""("",C168)-1)),
                    1200
                ) / 50, 0
            ) * 50, ""0""
        ) &amp;
        MID(C168, FIND(""/"",C168)+1, FIND("")"",C168)-FIND(""/"",C168)-1) &amp;
        TEXT(H168*100,""0"") &amp;"&amp;"
        I168,
    IF(AND(D168=""Roof Sheet"", REGEXMATCH(C168,""(?i)KS\d{4}[A-Z]{2}"")),
       REGEXEXTRACT(C168,""(?i)KS\d{4}[A-Z]{2}""),
    IF(AND(REGEXMATCH(D168,""(?i)-DP""), REGEXMATCH(C168,""(?i)Downpipe"")),
       ""dp"" &amp; REGEXEXTRACT(C168,""("&amp;"\d+)"") &amp; ""mm"",
    IF(AND(REGEXMATCH(D168,""(?i)Bracket""), REGEXMATCH(C168,""(?i)Bracket"")),
       ""Brkt"" &amp; REGEXEXTRACT(C168,""(\d+)"") &amp; ""mm"",
    IF(AND(REGEXMATCH(D168,""(?i)-OP""), REGEXMATCH(C168,""(?i)pops"")),
       ""op"" &amp; REGEXEXTRAC"&amp;"T(C168,""(\d+)"") &amp; ""mm"",
    IF(OR(D168=""R-FFTop"", D168=""R-FFBottom"", D168=""R-FFSide""),
        IF(REGEXMATCH(C168,""(?i)Profiled.*Top|Top.*Profiled""),""pfft"",
        IF(REGEXMATCH(C168,""(?i)Profiled.*Bottom|Bottom.*Profiled""),""pffb"",
    "&amp;"    IF(REGEXMATCH(C168,""(?i)Square""),""sff"",""""))),
    IF(REGEXMATCH(D168,""(?i)-Rivets""),""Rvt"",
    IF(REGEXMATCH(D168,""(?i)Silicone""),""300ml"",
    IF(REGEXMATCH(D168,""(?i)R-Butyl""),""300ml"",
    IF(REGEXMATCH(D168,""(?i)Fix""),""GenFix"","&amp;"
    IF(AND(REGEXMATCH(C168,""(?i)Timber""), REGEXMATCH(D168,""(?i)Timber"")),""tp"",
    IF(AND(REGEXMATCH(C168,""(?i)Vent G1275""), REGEXMATCH(D168,""(?i)Comb FIller"")),""CFV1275"",
    IF(REGEXMATCH(C168,""(?i)DPC""),""dpc"",
    IF(REGEXMATCH(C168,"""&amp;"(?i)Concealed Clips""),""ConClips"",
    IF(REGEXMATCH(D168,""(?i)-Takeoff ea""),""Takeoff ea"",
    IF(REGEXMATCH(D168,""(?i)-Takeoff LM""),""Takeoff LM"",
    IF(REGEXMATCH(D168,""(?i)-Takeoff m2""),""Takeoff m2"",
    IF(D168=""R-TU/TD"",""TU/TD"","""""&amp;")))))))))))))))))
  )))"),"Rvt")</f>
        <v>Rvt</v>
      </c>
      <c r="C168" s="734" t="s">
        <v>100</v>
      </c>
      <c r="D168" s="124" t="s">
        <v>101</v>
      </c>
      <c r="E168" s="687">
        <f>E166</f>
        <v>1.13</v>
      </c>
      <c r="F168" s="168"/>
      <c r="G168" s="701"/>
      <c r="H168" s="700"/>
      <c r="I168" s="700"/>
      <c r="J168" s="126" t="s">
        <v>87</v>
      </c>
      <c r="K168" s="126" t="str">
        <f>IFERROR(
  IF(B168="", "", VLOOKUP(B168, Data!$B$2:$K$905, 7, FALSE)),
  ""
)</f>
        <v/>
      </c>
      <c r="L168" s="712"/>
      <c r="M168" s="150">
        <f>ROUNDUP(((M166/5.7)+1)*(E168/0.05),0)</f>
        <v>23</v>
      </c>
      <c r="N168" s="151">
        <f>IFERROR(__xludf.DUMMYFUNCTION("IF(B168="""", """", IFERROR(1 / COS(RADIANS(REGEXEXTRACT(F168,""(\d+)""))), 1))"),1.0)</f>
        <v>1</v>
      </c>
      <c r="O168" s="169">
        <v>1.0</v>
      </c>
      <c r="P168" s="156">
        <v>1.0</v>
      </c>
      <c r="Q168" s="168">
        <f t="shared" si="116"/>
        <v>23</v>
      </c>
      <c r="R168" s="136" t="str">
        <f>IFERROR(
  IF(B168="", "", VLOOKUP(B168, Data!$B$2:$K$905, 9, FALSE)),
  ""
)</f>
        <v/>
      </c>
      <c r="S168" s="152">
        <f t="shared" si="117"/>
        <v>0</v>
      </c>
      <c r="T168" s="690"/>
      <c r="U168" s="136" t="str">
        <f>IFERROR(
  IF(B168="", "", VLOOKUP(B168, Data!$B$2:$K$905, 10, FALSE)),
  ""
)
</f>
        <v/>
      </c>
      <c r="V168" s="691"/>
      <c r="W168" s="140">
        <f t="shared" si="118"/>
        <v>0</v>
      </c>
      <c r="X168" s="692"/>
      <c r="Y168" s="595"/>
      <c r="Z168" s="595"/>
      <c r="AA168" s="595"/>
      <c r="AB168" s="354">
        <f t="shared" si="119"/>
        <v>0</v>
      </c>
      <c r="AC168" s="181"/>
      <c r="AD168" s="625"/>
      <c r="AE168" s="626"/>
      <c r="AF168" s="696"/>
      <c r="AG168" s="697"/>
      <c r="AH168" s="629"/>
      <c r="AI168" s="187"/>
      <c r="AJ168" s="630"/>
      <c r="AK168" s="630"/>
      <c r="AL168" s="595"/>
      <c r="AM168" s="595"/>
      <c r="AN168" s="595"/>
      <c r="AO168" s="595"/>
      <c r="AP168" s="595"/>
      <c r="AQ168" s="595"/>
      <c r="AR168" s="595"/>
      <c r="AS168" s="595"/>
      <c r="AT168" s="595"/>
      <c r="AU168" s="595"/>
      <c r="AV168" s="595"/>
      <c r="AW168" s="595"/>
      <c r="AX168" s="595"/>
      <c r="AY168" s="595"/>
      <c r="AZ168" s="595"/>
      <c r="BA168" s="595"/>
      <c r="BB168" s="595"/>
      <c r="BC168" s="595"/>
      <c r="BD168" s="595"/>
      <c r="BE168" s="595"/>
      <c r="BF168" s="595"/>
      <c r="BG168" s="595"/>
      <c r="BH168" s="595"/>
      <c r="BI168" s="651"/>
      <c r="BJ168" s="651"/>
      <c r="BK168" s="651"/>
      <c r="BL168" s="651"/>
      <c r="BM168" s="651"/>
      <c r="BN168" s="651"/>
      <c r="BO168" s="651"/>
      <c r="BP168" s="651"/>
      <c r="BQ168" s="651"/>
      <c r="BR168" s="651"/>
      <c r="BS168" s="651"/>
      <c r="BT168" s="651"/>
    </row>
    <row r="169">
      <c r="A169" s="1313"/>
      <c r="B169" s="122" t="s">
        <v>1238</v>
      </c>
      <c r="C169" s="123" t="s">
        <v>1230</v>
      </c>
      <c r="D169" s="124" t="s">
        <v>122</v>
      </c>
      <c r="E169" s="687">
        <f>IFERROR(__xludf.DUMMYFUNCTION("IFERROR(REGEXEXTRACT(C169,""@\s*(\d+(?:\.\d+)?)\s*mm"")/1000,"""")"),0.6)</f>
        <v>0.6</v>
      </c>
      <c r="F169" s="126"/>
      <c r="G169" s="701"/>
      <c r="H169" s="700"/>
      <c r="I169" s="700"/>
      <c r="J169" s="126" t="s">
        <v>87</v>
      </c>
      <c r="K169" s="126" t="str">
        <f>IFERROR(
  IF(B169="", "", VLOOKUP(B169, Data!$B$2:$K$905, 7, FALSE)),
  ""
)</f>
        <v/>
      </c>
      <c r="L169" s="704"/>
      <c r="M169" s="150">
        <f>ROUNDUP(M166/E169,0)+1</f>
        <v>1</v>
      </c>
      <c r="N169" s="151">
        <f>IFERROR(__xludf.DUMMYFUNCTION("IF(B169="""", """", IFERROR(1 / COS(RADIANS(REGEXEXTRACT(F169,""(\d+)""))), 1))"),1.0)</f>
        <v>1</v>
      </c>
      <c r="O169" s="169">
        <v>1.0</v>
      </c>
      <c r="P169" s="134">
        <v>1.0</v>
      </c>
      <c r="Q169" s="168">
        <f t="shared" si="116"/>
        <v>1</v>
      </c>
      <c r="R169" s="136" t="str">
        <f>IFERROR(
  IF(B169="", "", VLOOKUP(B169, Data!$B$2:$K$905, 9, FALSE)),
  ""
)</f>
        <v/>
      </c>
      <c r="S169" s="152">
        <f t="shared" si="117"/>
        <v>0</v>
      </c>
      <c r="T169" s="690"/>
      <c r="U169" s="136" t="str">
        <f>IFERROR(
  IF(B169="", "", VLOOKUP(B169, Data!$B$2:$K$905, 10, FALSE)),
  ""
)
</f>
        <v/>
      </c>
      <c r="V169" s="691"/>
      <c r="W169" s="140">
        <f t="shared" si="118"/>
        <v>0</v>
      </c>
      <c r="X169" s="692"/>
      <c r="Y169" s="595"/>
      <c r="Z169" s="595"/>
      <c r="AA169" s="595"/>
      <c r="AB169" s="354">
        <f t="shared" si="119"/>
        <v>0</v>
      </c>
      <c r="AC169" s="181"/>
      <c r="AD169" s="625"/>
      <c r="AE169" s="626"/>
      <c r="AF169" s="696"/>
      <c r="AG169" s="697"/>
      <c r="AH169" s="629"/>
      <c r="AI169" s="187"/>
      <c r="AJ169" s="630"/>
      <c r="AK169" s="630"/>
      <c r="AL169" s="595"/>
      <c r="AM169" s="595"/>
      <c r="AN169" s="595"/>
      <c r="AO169" s="595"/>
      <c r="AP169" s="595"/>
      <c r="AQ169" s="595"/>
      <c r="AR169" s="595"/>
      <c r="AS169" s="595"/>
      <c r="AT169" s="595"/>
      <c r="AU169" s="595"/>
      <c r="AV169" s="595"/>
      <c r="AW169" s="595"/>
      <c r="AX169" s="595"/>
      <c r="AY169" s="595"/>
      <c r="AZ169" s="595"/>
      <c r="BA169" s="595"/>
      <c r="BB169" s="595"/>
      <c r="BC169" s="595"/>
      <c r="BD169" s="595"/>
      <c r="BE169" s="595"/>
      <c r="BF169" s="595"/>
      <c r="BG169" s="595"/>
      <c r="BH169" s="595"/>
      <c r="BI169" s="651"/>
      <c r="BJ169" s="651"/>
      <c r="BK169" s="651"/>
      <c r="BL169" s="651"/>
      <c r="BM169" s="651"/>
      <c r="BN169" s="651"/>
      <c r="BO169" s="651"/>
      <c r="BP169" s="651"/>
      <c r="BQ169" s="651"/>
      <c r="BR169" s="651"/>
      <c r="BS169" s="651"/>
      <c r="BT169" s="651"/>
    </row>
    <row r="170">
      <c r="A170" s="1313"/>
      <c r="B170" s="154" t="str">
        <f>IFERROR(__xludf.DUMMYFUNCTION("IFERROR(
  IF(C170="""","""",
    IF(OR(REGEXMATCH(D170,""(?i)-Flashing""), REGEXMATCH(D170,""(?i)-EavesGut""), REGEXMATCH(D170,""(?i)Valley"")),
        ""DR"" &amp;
        TEXT(
            ROUNDUP(
                MIN(
                    VALUE(MID(C170, "&amp;"FIND(""("",C170)+1, FIND(""/"",C170)-FIND(""("",C170)-1)),
                    1200
                ) / 50, 0
            ) * 50, ""0""
        ) &amp;
        MID(C170, FIND(""/"",C170)+1, FIND("")"",C170)-FIND(""/"",C170)-1) &amp;
        TEXT(H170*100,""0"") &amp;"&amp;"
        I170,
    IF(AND(D170=""Roof Sheet"", REGEXMATCH(C170,""(?i)KS\d{4}[A-Z]{2}"")),
       REGEXEXTRACT(C170,""(?i)KS\d{4}[A-Z]{2}""),
    IF(AND(REGEXMATCH(D170,""(?i)-DP""), REGEXMATCH(C170,""(?i)Downpipe"")),
       ""dp"" &amp; REGEXEXTRACT(C170,""("&amp;"\d+)"") &amp; ""mm"",
    IF(AND(REGEXMATCH(D170,""(?i)Bracket""), REGEXMATCH(C170,""(?i)Bracket"")),
       ""Brkt"" &amp; REGEXEXTRACT(C170,""(\d+)"") &amp; ""mm"",
    IF(AND(REGEXMATCH(D170,""(?i)-OP""), REGEXMATCH(C170,""(?i)pops"")),
       ""op"" &amp; REGEXEXTRAC"&amp;"T(C170,""(\d+)"") &amp; ""mm"",
    IF(OR(D170=""R-FFTop"", D170=""R-FFBottom"", D170=""R-FFSide""),
        IF(REGEXMATCH(C170,""(?i)Profiled.*Top|Top.*Profiled""),""pfft"",
        IF(REGEXMATCH(C170,""(?i)Profiled.*Bottom|Bottom.*Profiled""),""pffb"",
    "&amp;"    IF(REGEXMATCH(C170,""(?i)Square""),""sff"",""""))),
    IF(REGEXMATCH(D170,""(?i)-Rivets""),""Rvt"",
    IF(REGEXMATCH(D170,""(?i)Silicone""),""300ml"",
    IF(REGEXMATCH(D170,""(?i)R-Butyl""),""300ml"",
    IF(REGEXMATCH(D170,""(?i)Fix""),""GenFix"","&amp;"
    IF(AND(REGEXMATCH(C170,""(?i)Timber""), REGEXMATCH(D170,""(?i)Timber"")),""tp"",
    IF(AND(REGEXMATCH(C170,""(?i)Vent G1275""), REGEXMATCH(D170,""(?i)Comb FIller"")),""CFV1275"",
    IF(REGEXMATCH(C170,""(?i)DPC""),""dpc"",
    IF(REGEXMATCH(C170,"""&amp;"(?i)Concealed Clips""),""ConClips"",
    IF(REGEXMATCH(D170,""(?i)-Takeoff ea""),""Takeoff ea"",
    IF(REGEXMATCH(D170,""(?i)-Takeoff LM""),""Takeoff LM"",
    IF(REGEXMATCH(D170,""(?i)-Takeoff m2""),""Takeoff m2"",
    IF(D170=""R-TU/TD"",""TU/TD"","""""&amp;")))))))))))))))))
  )))"),"GenFix")</f>
        <v>GenFix</v>
      </c>
      <c r="C170" s="698" t="s">
        <v>102</v>
      </c>
      <c r="D170" s="124" t="s">
        <v>123</v>
      </c>
      <c r="E170" s="687">
        <v>2.0</v>
      </c>
      <c r="F170" s="126"/>
      <c r="G170" s="701"/>
      <c r="H170" s="700"/>
      <c r="I170" s="700"/>
      <c r="J170" s="126" t="s">
        <v>87</v>
      </c>
      <c r="K170" s="126" t="str">
        <f>IFERROR(
  IF(B170="", "", VLOOKUP(B170, Data!$B$2:$K$905, 7, FALSE)),
  ""
)</f>
        <v/>
      </c>
      <c r="L170" s="704"/>
      <c r="M170" s="150">
        <f>ROUNDUP(M169*E170,0)+1</f>
        <v>3</v>
      </c>
      <c r="N170" s="151">
        <f>IFERROR(__xludf.DUMMYFUNCTION("IF(B170="""", """", IFERROR(1 / COS(RADIANS(REGEXEXTRACT(F170,""(\d+)""))), 1))"),1.0)</f>
        <v>1</v>
      </c>
      <c r="O170" s="169">
        <v>1.0</v>
      </c>
      <c r="P170" s="134">
        <v>1.0</v>
      </c>
      <c r="Q170" s="168">
        <f t="shared" si="116"/>
        <v>3</v>
      </c>
      <c r="R170" s="136" t="str">
        <f>IFERROR(
  IF(B170="", "", VLOOKUP(B170, Data!$B$2:$K$905, 9, FALSE)),
  ""
)</f>
        <v/>
      </c>
      <c r="S170" s="152">
        <f t="shared" si="117"/>
        <v>0</v>
      </c>
      <c r="T170" s="690"/>
      <c r="U170" s="136" t="str">
        <f>IFERROR(
  IF(B170="", "", VLOOKUP(B170, Data!$B$2:$K$905, 10, FALSE)),
  ""
)
</f>
        <v/>
      </c>
      <c r="V170" s="691"/>
      <c r="W170" s="140">
        <f t="shared" si="118"/>
        <v>0</v>
      </c>
      <c r="X170" s="692"/>
      <c r="Y170" s="595"/>
      <c r="Z170" s="595"/>
      <c r="AA170" s="595"/>
      <c r="AB170" s="354">
        <f t="shared" si="119"/>
        <v>0</v>
      </c>
      <c r="AC170" s="181"/>
      <c r="AD170" s="625"/>
      <c r="AE170" s="626"/>
      <c r="AF170" s="696"/>
      <c r="AG170" s="697"/>
      <c r="AH170" s="629"/>
      <c r="AI170" s="187"/>
      <c r="AJ170" s="630"/>
      <c r="AK170" s="630"/>
      <c r="AL170" s="595"/>
      <c r="AM170" s="595"/>
      <c r="AN170" s="595"/>
      <c r="AO170" s="595"/>
      <c r="AP170" s="595"/>
      <c r="AQ170" s="595"/>
      <c r="AR170" s="595"/>
      <c r="AS170" s="595"/>
      <c r="AT170" s="595"/>
      <c r="AU170" s="595"/>
      <c r="AV170" s="595"/>
      <c r="AW170" s="595"/>
      <c r="AX170" s="595"/>
      <c r="AY170" s="595"/>
      <c r="AZ170" s="595"/>
      <c r="BA170" s="595"/>
      <c r="BB170" s="595"/>
      <c r="BC170" s="595"/>
      <c r="BD170" s="595"/>
      <c r="BE170" s="595"/>
      <c r="BF170" s="595"/>
      <c r="BG170" s="595"/>
      <c r="BH170" s="595"/>
      <c r="BI170" s="651"/>
      <c r="BJ170" s="651"/>
      <c r="BK170" s="651"/>
      <c r="BL170" s="651"/>
      <c r="BM170" s="651"/>
      <c r="BN170" s="651"/>
      <c r="BO170" s="651"/>
      <c r="BP170" s="651"/>
      <c r="BQ170" s="651"/>
      <c r="BR170" s="651"/>
      <c r="BS170" s="651"/>
      <c r="BT170" s="651"/>
    </row>
    <row r="171">
      <c r="A171" s="1313"/>
      <c r="B171" s="154" t="str">
        <f>IFERROR(__xludf.DUMMYFUNCTION("IFERROR(
  IF(C171="""","""",
    IF(OR(REGEXMATCH(D171,""(?i)-Flashing""), REGEXMATCH(D171,""(?i)-EavesGut""), REGEXMATCH(D171,""(?i)Valley"")),
        ""DR"" &amp;
        TEXT(
            ROUNDUP(
                MIN(
                    VALUE(MID(C171, "&amp;"FIND(""("",C171)+1, FIND(""/"",C171)-FIND(""("",C171)-1)),
                    1200
                ) / 50, 0
            ) * 50, ""0""
        ) &amp;
        MID(C171, FIND(""/"",C171)+1, FIND("")"",C171)-FIND(""/"",C171)-1) &amp;
        TEXT(H171*100,""0"") &amp;"&amp;"
        I171,
    IF(AND(D171=""Roof Sheet"", REGEXMATCH(C171,""(?i)KS\d{4}[A-Z]{2}"")),
       REGEXEXTRACT(C171,""(?i)KS\d{4}[A-Z]{2}""),
    IF(AND(REGEXMATCH(D171,""(?i)-DP""), REGEXMATCH(C171,""(?i)Downpipe"")),
       ""dp"" &amp; REGEXEXTRACT(C171,""("&amp;"\d+)"") &amp; ""mm"",
    IF(AND(REGEXMATCH(D171,""(?i)Bracket""), REGEXMATCH(C171,""(?i)Bracket"")),
       ""Brkt"" &amp; REGEXEXTRACT(C171,""(\d+)"") &amp; ""mm"",
    IF(AND(REGEXMATCH(D171,""(?i)-OP""), REGEXMATCH(C171,""(?i)pops"")),
       ""op"" &amp; REGEXEXTRAC"&amp;"T(C171,""(\d+)"") &amp; ""mm"",
    IF(OR(D171=""R-FFTop"", D171=""R-FFBottom"", D171=""R-FFSide""),
        IF(REGEXMATCH(C171,""(?i)Profiled.*Top|Top.*Profiled""),""pfft"",
        IF(REGEXMATCH(C171,""(?i)Profiled.*Bottom|Bottom.*Profiled""),""pffb"",
    "&amp;"    IF(REGEXMATCH(C171,""(?i)Square""),""sff"",""""))),
    IF(REGEXMATCH(D171,""(?i)-Rivets""),""Rvt"",
    IF(REGEXMATCH(D171,""(?i)Silicone""),""300ml"",
    IF(REGEXMATCH(D171,""(?i)R-Butyl""),""300ml"",
    IF(REGEXMATCH(D171,""(?i)Fix""),""GenFix"","&amp;"
    IF(AND(REGEXMATCH(C171,""(?i)Timber""), REGEXMATCH(D171,""(?i)Timber"")),""tp"",
    IF(AND(REGEXMATCH(C171,""(?i)Vent G1275""), REGEXMATCH(D171,""(?i)Comb FIller"")),""CFV1275"",
    IF(REGEXMATCH(C171,""(?i)DPC""),""dpc"",
    IF(REGEXMATCH(C171,"""&amp;"(?i)Concealed Clips""),""ConClips"",
    IF(REGEXMATCH(D171,""(?i)-Takeoff ea""),""Takeoff ea"",
    IF(REGEXMATCH(D171,""(?i)-Takeoff LM""),""Takeoff LM"",
    IF(REGEXMATCH(D171,""(?i)-Takeoff m2""),""Takeoff m2"",
    IF(D171=""R-TU/TD"",""TU/TD"","""""&amp;")))))))))))))))))
  )))"),"pffb")</f>
        <v>pffb</v>
      </c>
      <c r="C171" s="698" t="s">
        <v>125</v>
      </c>
      <c r="D171" s="124" t="s">
        <v>126</v>
      </c>
      <c r="E171" s="722"/>
      <c r="F171" s="126"/>
      <c r="G171" s="701"/>
      <c r="H171" s="700"/>
      <c r="I171" s="700"/>
      <c r="J171" s="126" t="s">
        <v>87</v>
      </c>
      <c r="K171" s="126" t="str">
        <f>IFERROR(
  IF(B171="", "", VLOOKUP(B171, Data!$B$2:$K$905, 7, FALSE)),
  ""
)</f>
        <v/>
      </c>
      <c r="L171" s="704"/>
      <c r="M171" s="150" t="str">
        <f>M166</f>
        <v/>
      </c>
      <c r="N171" s="151">
        <f>IFERROR(__xludf.DUMMYFUNCTION("IF(B171="""", """", IFERROR(1 / COS(RADIANS(REGEXEXTRACT(F171,""(\d+)""))), 1))"),1.0)</f>
        <v>1</v>
      </c>
      <c r="O171" s="169">
        <v>1.0</v>
      </c>
      <c r="P171" s="156">
        <v>1.0</v>
      </c>
      <c r="Q171" s="168">
        <f t="shared" si="116"/>
        <v>0</v>
      </c>
      <c r="R171" s="136" t="str">
        <f>IFERROR(
  IF(B171="", "", VLOOKUP(B171, Data!$B$2:$K$905, 9, FALSE)),
  ""
)</f>
        <v/>
      </c>
      <c r="S171" s="152">
        <f t="shared" si="117"/>
        <v>0</v>
      </c>
      <c r="T171" s="690"/>
      <c r="U171" s="136" t="str">
        <f>IFERROR(
  IF(B171="", "", VLOOKUP(B171, Data!$B$2:$K$905, 10, FALSE)),
  ""
)
</f>
        <v/>
      </c>
      <c r="V171" s="691"/>
      <c r="W171" s="140">
        <f t="shared" si="118"/>
        <v>0</v>
      </c>
      <c r="X171" s="692"/>
      <c r="Y171" s="595"/>
      <c r="Z171" s="595"/>
      <c r="AA171" s="595"/>
      <c r="AB171" s="354">
        <f t="shared" si="119"/>
        <v>0</v>
      </c>
      <c r="AC171" s="181"/>
      <c r="AD171" s="625"/>
      <c r="AE171" s="626"/>
      <c r="AF171" s="696"/>
      <c r="AG171" s="697"/>
      <c r="AH171" s="629"/>
      <c r="AI171" s="187"/>
      <c r="AJ171" s="630"/>
      <c r="AK171" s="630"/>
      <c r="AL171" s="595"/>
      <c r="AM171" s="595"/>
      <c r="AN171" s="595"/>
      <c r="AO171" s="595"/>
      <c r="AP171" s="595"/>
      <c r="AQ171" s="595"/>
      <c r="AR171" s="595"/>
      <c r="AS171" s="595"/>
      <c r="AT171" s="595"/>
      <c r="AU171" s="595"/>
      <c r="AV171" s="595"/>
      <c r="AW171" s="595"/>
      <c r="AX171" s="595"/>
      <c r="AY171" s="595"/>
      <c r="AZ171" s="595"/>
      <c r="BA171" s="595"/>
      <c r="BB171" s="595"/>
      <c r="BC171" s="595"/>
      <c r="BD171" s="595"/>
      <c r="BE171" s="595"/>
      <c r="BF171" s="595"/>
      <c r="BG171" s="595"/>
      <c r="BH171" s="595"/>
      <c r="BI171" s="651"/>
      <c r="BJ171" s="651"/>
      <c r="BK171" s="651"/>
      <c r="BL171" s="651"/>
      <c r="BM171" s="651"/>
      <c r="BN171" s="651"/>
      <c r="BO171" s="651"/>
      <c r="BP171" s="651"/>
      <c r="BQ171" s="651"/>
      <c r="BR171" s="651"/>
      <c r="BS171" s="651"/>
      <c r="BT171" s="651"/>
    </row>
    <row r="172">
      <c r="A172" s="1313"/>
      <c r="B172" s="154" t="str">
        <f>IFERROR(__xludf.DUMMYFUNCTION("IFERROR(
  IF(C172="""","""",
    IF(OR(REGEXMATCH(D172,""(?i)-Flashing""), REGEXMATCH(D172,""(?i)-EavesGut""), REGEXMATCH(D172,""(?i)Valley"")),
        ""DR"" &amp;
        TEXT(
            ROUNDUP(
                MIN(
                    VALUE(MID(C172, "&amp;"FIND(""("",C172)+1, FIND(""/"",C172)-FIND(""("",C172)-1)),
                    1200
                ) / 50, 0
            ) * 50, ""0""
        ) &amp;
        MID(C172, FIND(""/"",C172)+1, FIND("")"",C172)-FIND(""/"",C172)-1) &amp;
        TEXT(H172*100,""0"") &amp;"&amp;"
        I172,
    IF(AND(D172=""Roof Sheet"", REGEXMATCH(C172,""(?i)KS\d{4}[A-Z]{2}"")),
       REGEXEXTRACT(C172,""(?i)KS\d{4}[A-Z]{2}""),
    IF(AND(REGEXMATCH(D172,""(?i)-DP""), REGEXMATCH(C172,""(?i)Downpipe"")),
       ""dp"" &amp; REGEXEXTRACT(C172,""("&amp;"\d+)"") &amp; ""mm"",
    IF(AND(REGEXMATCH(D172,""(?i)Bracket""), REGEXMATCH(C172,""(?i)Bracket"")),
       ""Brkt"" &amp; REGEXEXTRACT(C172,""(\d+)"") &amp; ""mm"",
    IF(AND(REGEXMATCH(D172,""(?i)-OP""), REGEXMATCH(C172,""(?i)pops"")),
       ""op"" &amp; REGEXEXTRAC"&amp;"T(C172,""(\d+)"") &amp; ""mm"",
    IF(OR(D172=""R-FFTop"", D172=""R-FFBottom"", D172=""R-FFSide""),
        IF(REGEXMATCH(C172,""(?i)Profiled.*Top|Top.*Profiled""),""pfft"",
        IF(REGEXMATCH(C172,""(?i)Profiled.*Bottom|Bottom.*Profiled""),""pffb"",
    "&amp;"    IF(REGEXMATCH(C172,""(?i)Square""),""sff"",""""))),
    IF(REGEXMATCH(D172,""(?i)-Rivets""),""Rvt"",
    IF(REGEXMATCH(D172,""(?i)Silicone""),""300ml"",
    IF(REGEXMATCH(D172,""(?i)R-Butyl""),""300ml"",
    IF(REGEXMATCH(D172,""(?i)Fix""),""GenFix"","&amp;"
    IF(AND(REGEXMATCH(C172,""(?i)Timber""), REGEXMATCH(D172,""(?i)Timber"")),""tp"",
    IF(AND(REGEXMATCH(C172,""(?i)Vent G1275""), REGEXMATCH(D172,""(?i)Comb FIller"")),""CFV1275"",
    IF(REGEXMATCH(C172,""(?i)DPC""),""dpc"",
    IF(REGEXMATCH(C172,"""&amp;"(?i)Concealed Clips""),""ConClips"",
    IF(REGEXMATCH(D172,""(?i)-Takeoff ea""),""Takeoff ea"",
    IF(REGEXMATCH(D172,""(?i)-Takeoff LM""),""Takeoff LM"",
    IF(REGEXMATCH(D172,""(?i)-Takeoff m2""),""Takeoff m2"",
    IF(D172=""R-TU/TD"",""TU/TD"","""""&amp;")))))))))))))))))
  )))"),"TU/TD")</f>
        <v>TU/TD</v>
      </c>
      <c r="C172" s="698" t="s">
        <v>446</v>
      </c>
      <c r="D172" s="124" t="s">
        <v>107</v>
      </c>
      <c r="E172" s="722"/>
      <c r="F172" s="126"/>
      <c r="G172" s="701"/>
      <c r="H172" s="700"/>
      <c r="I172" s="700"/>
      <c r="J172" s="126" t="s">
        <v>87</v>
      </c>
      <c r="K172" s="126" t="str">
        <f>IFERROR(
  IF(B172="", "", VLOOKUP(B172, Data!$B$2:$K$905, 7, FALSE)),
  ""
)</f>
        <v/>
      </c>
      <c r="L172" s="704"/>
      <c r="M172" s="150" t="str">
        <f>M166</f>
        <v/>
      </c>
      <c r="N172" s="151">
        <f>IFERROR(__xludf.DUMMYFUNCTION("IF(B172="""", """", IFERROR(1 / COS(RADIANS(REGEXEXTRACT(F172,""(\d+)""))), 1))"),1.0)</f>
        <v>1</v>
      </c>
      <c r="O172" s="169">
        <v>1.0</v>
      </c>
      <c r="P172" s="156">
        <v>1.0</v>
      </c>
      <c r="Q172" s="168">
        <f t="shared" si="116"/>
        <v>0</v>
      </c>
      <c r="R172" s="136" t="str">
        <f>IFERROR(
  IF(B172="", "", VLOOKUP(B172, Data!$B$2:$K$905, 9, FALSE)),
  ""
)</f>
        <v/>
      </c>
      <c r="S172" s="152">
        <f t="shared" si="117"/>
        <v>0</v>
      </c>
      <c r="T172" s="690"/>
      <c r="U172" s="136" t="str">
        <f>IFERROR(
  IF(B172="", "", VLOOKUP(B172, Data!$B$2:$K$905, 10, FALSE)),
  ""
)
</f>
        <v/>
      </c>
      <c r="V172" s="691"/>
      <c r="W172" s="140">
        <f t="shared" si="118"/>
        <v>0</v>
      </c>
      <c r="X172" s="692"/>
      <c r="Y172" s="595"/>
      <c r="Z172" s="595"/>
      <c r="AA172" s="595"/>
      <c r="AB172" s="354">
        <f t="shared" si="119"/>
        <v>0</v>
      </c>
      <c r="AC172" s="181"/>
      <c r="AD172" s="625"/>
      <c r="AE172" s="626"/>
      <c r="AF172" s="696"/>
      <c r="AG172" s="697"/>
      <c r="AH172" s="629"/>
      <c r="AI172" s="187"/>
      <c r="AJ172" s="630"/>
      <c r="AK172" s="630"/>
      <c r="AL172" s="595"/>
      <c r="AM172" s="595"/>
      <c r="AN172" s="595"/>
      <c r="AO172" s="595"/>
      <c r="AP172" s="595"/>
      <c r="AQ172" s="595"/>
      <c r="AR172" s="595"/>
      <c r="AS172" s="595"/>
      <c r="AT172" s="595"/>
      <c r="AU172" s="595"/>
      <c r="AV172" s="595"/>
      <c r="AW172" s="595"/>
      <c r="AX172" s="595"/>
      <c r="AY172" s="595"/>
      <c r="AZ172" s="595"/>
      <c r="BA172" s="595"/>
      <c r="BB172" s="595"/>
      <c r="BC172" s="595"/>
      <c r="BD172" s="595"/>
      <c r="BE172" s="595"/>
      <c r="BF172" s="595"/>
      <c r="BG172" s="595"/>
      <c r="BH172" s="595"/>
      <c r="BI172" s="651"/>
      <c r="BJ172" s="651"/>
      <c r="BK172" s="651"/>
      <c r="BL172" s="651"/>
      <c r="BM172" s="651"/>
      <c r="BN172" s="651"/>
      <c r="BO172" s="651"/>
      <c r="BP172" s="651"/>
      <c r="BQ172" s="651"/>
      <c r="BR172" s="651"/>
      <c r="BS172" s="651"/>
      <c r="BT172" s="651"/>
    </row>
    <row r="173">
      <c r="A173" s="1313"/>
      <c r="B173" s="122" t="s">
        <v>641</v>
      </c>
      <c r="C173" s="123" t="s">
        <v>641</v>
      </c>
      <c r="D173" s="148" t="s">
        <v>611</v>
      </c>
      <c r="E173" s="722"/>
      <c r="F173" s="128"/>
      <c r="G173" s="701"/>
      <c r="H173" s="700"/>
      <c r="I173" s="700"/>
      <c r="J173" s="126" t="s">
        <v>87</v>
      </c>
      <c r="K173" s="126" t="str">
        <f>IFERROR(
  IF(B173="", "", VLOOKUP(B173, Data!$B$2:$K$905, 7, FALSE)),
  ""
)</f>
        <v/>
      </c>
      <c r="L173" s="704"/>
      <c r="M173" s="150" t="str">
        <f>M166</f>
        <v/>
      </c>
      <c r="N173" s="151">
        <f>IFERROR(__xludf.DUMMYFUNCTION("IF(B173="""", """", IFERROR(1 / COS(RADIANS(REGEXEXTRACT(F173,""(\d+)""))), 1))"),1.0)</f>
        <v>1</v>
      </c>
      <c r="O173" s="169">
        <v>1.0</v>
      </c>
      <c r="P173" s="156">
        <v>1.0</v>
      </c>
      <c r="Q173" s="168">
        <f t="shared" si="116"/>
        <v>0</v>
      </c>
      <c r="R173" s="136" t="str">
        <f>IFERROR(
  IF(B173="", "", VLOOKUP(B173, Data!$B$2:$K$905, 9, FALSE)),
  ""
)</f>
        <v/>
      </c>
      <c r="S173" s="152">
        <f t="shared" si="117"/>
        <v>0</v>
      </c>
      <c r="T173" s="690"/>
      <c r="U173" s="136" t="str">
        <f>IFERROR(
  IF(B173="", "", VLOOKUP(B173, Data!$B$2:$K$905, 10, FALSE)),
  ""
)
</f>
        <v/>
      </c>
      <c r="V173" s="691"/>
      <c r="W173" s="140">
        <f t="shared" si="118"/>
        <v>0</v>
      </c>
      <c r="X173" s="692"/>
      <c r="Y173" s="595"/>
      <c r="Z173" s="595"/>
      <c r="AA173" s="595"/>
      <c r="AB173" s="354"/>
      <c r="AC173" s="181"/>
      <c r="AD173" s="625"/>
      <c r="AE173" s="626"/>
      <c r="AF173" s="696"/>
      <c r="AG173" s="697"/>
      <c r="AH173" s="629"/>
      <c r="AI173" s="187"/>
      <c r="AJ173" s="630"/>
      <c r="AK173" s="630"/>
      <c r="AL173" s="595"/>
      <c r="AM173" s="595"/>
      <c r="AN173" s="595"/>
      <c r="AO173" s="595"/>
      <c r="AP173" s="595"/>
      <c r="AQ173" s="595"/>
      <c r="AR173" s="595"/>
      <c r="AS173" s="595"/>
      <c r="AT173" s="595"/>
      <c r="AU173" s="595"/>
      <c r="AV173" s="595"/>
      <c r="AW173" s="595"/>
      <c r="AX173" s="595"/>
      <c r="AY173" s="595"/>
      <c r="AZ173" s="595"/>
      <c r="BA173" s="595"/>
      <c r="BB173" s="595"/>
      <c r="BC173" s="595"/>
      <c r="BD173" s="595"/>
      <c r="BE173" s="595"/>
      <c r="BF173" s="595"/>
      <c r="BG173" s="595"/>
      <c r="BH173" s="595"/>
      <c r="BI173" s="651"/>
      <c r="BJ173" s="651"/>
      <c r="BK173" s="651"/>
      <c r="BL173" s="651"/>
      <c r="BM173" s="651"/>
      <c r="BN173" s="651"/>
      <c r="BO173" s="651"/>
      <c r="BP173" s="651"/>
      <c r="BQ173" s="651"/>
      <c r="BR173" s="651"/>
      <c r="BS173" s="651"/>
      <c r="BT173" s="651"/>
    </row>
    <row r="174">
      <c r="A174" s="1313"/>
      <c r="B174" s="154" t="s">
        <v>131</v>
      </c>
      <c r="C174" s="734" t="s">
        <v>132</v>
      </c>
      <c r="D174" s="124" t="s">
        <v>484</v>
      </c>
      <c r="E174" s="722"/>
      <c r="F174" s="128"/>
      <c r="G174" s="701"/>
      <c r="H174" s="700"/>
      <c r="I174" s="700"/>
      <c r="J174" s="126" t="s">
        <v>87</v>
      </c>
      <c r="K174" s="126" t="str">
        <f>IFERROR(
  IF(B174="", "", VLOOKUP(B174, Data!$B$2:$K$905, 7, FALSE)),
  ""
)</f>
        <v/>
      </c>
      <c r="L174" s="712"/>
      <c r="M174" s="730">
        <v>1.0</v>
      </c>
      <c r="N174" s="151">
        <f>IFERROR(__xludf.DUMMYFUNCTION("IF(B174="""", """", IFERROR(1 / COS(RADIANS(REGEXEXTRACT(F174,""(\d+)""))), 1))"),1.0)</f>
        <v>1</v>
      </c>
      <c r="O174" s="169">
        <v>1.0</v>
      </c>
      <c r="P174" s="134">
        <v>1.0</v>
      </c>
      <c r="Q174" s="168">
        <f t="shared" si="116"/>
        <v>1</v>
      </c>
      <c r="R174" s="136" t="str">
        <f>IFERROR(
  IF(B174="", "", VLOOKUP(B174, Data!$B$2:$K$905, 9, FALSE)),
  ""
)</f>
        <v/>
      </c>
      <c r="S174" s="152">
        <f t="shared" si="117"/>
        <v>0</v>
      </c>
      <c r="T174" s="690"/>
      <c r="U174" s="136" t="str">
        <f>IFERROR(
  IF(B174="", "", VLOOKUP(B174, Data!$B$2:$K$905, 10, FALSE)),
  ""
)
</f>
        <v/>
      </c>
      <c r="V174" s="691"/>
      <c r="W174" s="140">
        <f t="shared" si="118"/>
        <v>0</v>
      </c>
      <c r="X174" s="692"/>
      <c r="Y174" s="595"/>
      <c r="Z174" s="595"/>
      <c r="AA174" s="595"/>
      <c r="AB174" s="354">
        <f t="shared" ref="AB174:AB175" si="120">W174+S174</f>
        <v>0</v>
      </c>
      <c r="AC174" s="181"/>
      <c r="AD174" s="625"/>
      <c r="AE174" s="626"/>
      <c r="AF174" s="696"/>
      <c r="AG174" s="697"/>
      <c r="AH174" s="629"/>
      <c r="AI174" s="187"/>
      <c r="AJ174" s="630"/>
      <c r="AK174" s="630"/>
      <c r="AL174" s="595"/>
      <c r="AM174" s="595"/>
      <c r="AN174" s="595"/>
      <c r="AO174" s="595"/>
      <c r="AP174" s="595"/>
      <c r="AQ174" s="595"/>
      <c r="AR174" s="595"/>
      <c r="AS174" s="595"/>
      <c r="AT174" s="595"/>
      <c r="AU174" s="595"/>
      <c r="AV174" s="595"/>
      <c r="AW174" s="595"/>
      <c r="AX174" s="595"/>
      <c r="AY174" s="595"/>
      <c r="AZ174" s="595"/>
      <c r="BA174" s="595"/>
      <c r="BB174" s="595"/>
      <c r="BC174" s="595"/>
      <c r="BD174" s="595"/>
      <c r="BE174" s="595"/>
      <c r="BF174" s="595"/>
      <c r="BG174" s="595"/>
      <c r="BH174" s="595"/>
      <c r="BI174" s="651"/>
      <c r="BJ174" s="651"/>
      <c r="BK174" s="651"/>
      <c r="BL174" s="651"/>
      <c r="BM174" s="651"/>
      <c r="BN174" s="651"/>
      <c r="BO174" s="651"/>
      <c r="BP174" s="651"/>
      <c r="BQ174" s="651"/>
      <c r="BR174" s="651"/>
      <c r="BS174" s="651"/>
      <c r="BT174" s="651"/>
    </row>
    <row r="175">
      <c r="A175" s="1313"/>
      <c r="B175" s="154" t="s">
        <v>134</v>
      </c>
      <c r="C175" s="734" t="s">
        <v>135</v>
      </c>
      <c r="D175" s="124" t="s">
        <v>484</v>
      </c>
      <c r="E175" s="722"/>
      <c r="F175" s="128"/>
      <c r="G175" s="701"/>
      <c r="H175" s="700"/>
      <c r="I175" s="700"/>
      <c r="J175" s="126" t="s">
        <v>87</v>
      </c>
      <c r="K175" s="126" t="str">
        <f>IFERROR(
  IF(B175="", "", VLOOKUP(B175, Data!$B$2:$K$905, 7, FALSE)),
  ""
)</f>
        <v/>
      </c>
      <c r="L175" s="712"/>
      <c r="M175" s="730">
        <v>1.0</v>
      </c>
      <c r="N175" s="151">
        <f>IFERROR(__xludf.DUMMYFUNCTION("IF(B175="""", """", IFERROR(1 / COS(RADIANS(REGEXEXTRACT(F175,""(\d+)""))), 1))"),1.0)</f>
        <v>1</v>
      </c>
      <c r="O175" s="169">
        <v>1.0</v>
      </c>
      <c r="P175" s="134">
        <v>1.0</v>
      </c>
      <c r="Q175" s="168">
        <f t="shared" si="116"/>
        <v>1</v>
      </c>
      <c r="R175" s="136" t="str">
        <f>IFERROR(
  IF(B175="", "", VLOOKUP(B175, Data!$B$2:$K$905, 9, FALSE)),
  ""
)</f>
        <v/>
      </c>
      <c r="S175" s="152">
        <f t="shared" si="117"/>
        <v>0</v>
      </c>
      <c r="T175" s="690"/>
      <c r="U175" s="136" t="str">
        <f>IFERROR(
  IF(B175="", "", VLOOKUP(B175, Data!$B$2:$K$905, 10, FALSE)),
  ""
)
</f>
        <v/>
      </c>
      <c r="V175" s="691"/>
      <c r="W175" s="140">
        <f t="shared" si="118"/>
        <v>0</v>
      </c>
      <c r="X175" s="692"/>
      <c r="Y175" s="595"/>
      <c r="Z175" s="595"/>
      <c r="AA175" s="595"/>
      <c r="AB175" s="354">
        <f t="shared" si="120"/>
        <v>0</v>
      </c>
      <c r="AC175" s="181"/>
      <c r="AD175" s="625"/>
      <c r="AE175" s="626"/>
      <c r="AF175" s="696"/>
      <c r="AG175" s="697"/>
      <c r="AH175" s="629"/>
      <c r="AI175" s="187"/>
      <c r="AJ175" s="630"/>
      <c r="AK175" s="630"/>
      <c r="AL175" s="595"/>
      <c r="AM175" s="595"/>
      <c r="AN175" s="595"/>
      <c r="AO175" s="595"/>
      <c r="AP175" s="595"/>
      <c r="AQ175" s="595"/>
      <c r="AR175" s="595"/>
      <c r="AS175" s="595"/>
      <c r="AT175" s="595"/>
      <c r="AU175" s="595"/>
      <c r="AV175" s="595"/>
      <c r="AW175" s="595"/>
      <c r="AX175" s="595"/>
      <c r="AY175" s="595"/>
      <c r="AZ175" s="595"/>
      <c r="BA175" s="595"/>
      <c r="BB175" s="595"/>
      <c r="BC175" s="595"/>
      <c r="BD175" s="595"/>
      <c r="BE175" s="595"/>
      <c r="BF175" s="595"/>
      <c r="BG175" s="595"/>
      <c r="BH175" s="595"/>
      <c r="BI175" s="651"/>
      <c r="BJ175" s="651"/>
      <c r="BK175" s="651"/>
      <c r="BL175" s="651"/>
      <c r="BM175" s="651"/>
      <c r="BN175" s="651"/>
      <c r="BO175" s="651"/>
      <c r="BP175" s="651"/>
      <c r="BQ175" s="651"/>
      <c r="BR175" s="651"/>
      <c r="BS175" s="651"/>
      <c r="BT175" s="651"/>
    </row>
    <row r="176">
      <c r="A176" s="1313"/>
      <c r="B176" s="154"/>
      <c r="C176" s="734"/>
      <c r="D176" s="124"/>
      <c r="E176" s="722"/>
      <c r="F176" s="128"/>
      <c r="G176" s="701"/>
      <c r="H176" s="700"/>
      <c r="I176" s="700"/>
      <c r="J176" s="126"/>
      <c r="K176" s="126"/>
      <c r="L176" s="712"/>
      <c r="M176" s="730"/>
      <c r="N176" s="151"/>
      <c r="O176" s="169"/>
      <c r="P176" s="134"/>
      <c r="Q176" s="168"/>
      <c r="R176" s="136"/>
      <c r="S176" s="152"/>
      <c r="T176" s="690"/>
      <c r="U176" s="136"/>
      <c r="V176" s="691"/>
      <c r="W176" s="140"/>
      <c r="X176" s="692"/>
      <c r="Y176" s="595"/>
      <c r="Z176" s="595"/>
      <c r="AA176" s="595"/>
      <c r="AB176" s="354"/>
      <c r="AC176" s="181"/>
      <c r="AD176" s="625"/>
      <c r="AE176" s="626"/>
      <c r="AF176" s="696"/>
      <c r="AG176" s="697"/>
      <c r="AH176" s="629"/>
      <c r="AI176" s="187"/>
      <c r="AJ176" s="630"/>
      <c r="AK176" s="630"/>
      <c r="AL176" s="595"/>
      <c r="AM176" s="595"/>
      <c r="AN176" s="595"/>
      <c r="AO176" s="595"/>
      <c r="AP176" s="595"/>
      <c r="AQ176" s="595"/>
      <c r="AR176" s="595"/>
      <c r="AS176" s="595"/>
      <c r="AT176" s="595"/>
      <c r="AU176" s="595"/>
      <c r="AV176" s="595"/>
      <c r="AW176" s="595"/>
      <c r="AX176" s="595"/>
      <c r="AY176" s="595"/>
      <c r="AZ176" s="595"/>
      <c r="BA176" s="595"/>
      <c r="BB176" s="595"/>
      <c r="BC176" s="595"/>
      <c r="BD176" s="595"/>
      <c r="BE176" s="595"/>
      <c r="BF176" s="595"/>
      <c r="BG176" s="595"/>
      <c r="BH176" s="595"/>
      <c r="BI176" s="651"/>
      <c r="BJ176" s="651"/>
      <c r="BK176" s="651"/>
      <c r="BL176" s="651"/>
      <c r="BM176" s="651"/>
      <c r="BN176" s="651"/>
      <c r="BO176" s="651"/>
      <c r="BP176" s="651"/>
      <c r="BQ176" s="651"/>
      <c r="BR176" s="651"/>
      <c r="BS176" s="651"/>
      <c r="BT176" s="651"/>
    </row>
    <row r="177">
      <c r="A177" s="1313"/>
      <c r="B177" s="122" t="s">
        <v>1233</v>
      </c>
      <c r="C177" s="223" t="s">
        <v>1239</v>
      </c>
      <c r="D177" s="148" t="s">
        <v>405</v>
      </c>
      <c r="E177" s="722"/>
      <c r="F177" s="128"/>
      <c r="G177" s="701"/>
      <c r="H177" s="700"/>
      <c r="I177" s="700"/>
      <c r="J177" s="126" t="s">
        <v>87</v>
      </c>
      <c r="K177" s="126" t="str">
        <f>IFERROR(
  IF(B177="", "", VLOOKUP(B177, Data!$B$2:$K$905, 7, FALSE)),
  ""
)</f>
        <v/>
      </c>
      <c r="L177" s="712"/>
      <c r="M177" s="730"/>
      <c r="N177" s="151">
        <f>IFERROR(__xludf.DUMMYFUNCTION("IF(B177="""", """", IFERROR(1 / COS(RADIANS(REGEXEXTRACT(F177,""(\d+)""))), 1))"),1.0)</f>
        <v>1</v>
      </c>
      <c r="O177" s="169">
        <v>1.0</v>
      </c>
      <c r="P177" s="134">
        <v>1.0</v>
      </c>
      <c r="Q177" s="168">
        <f t="shared" ref="Q177:Q179" si="121">M177*N177*O177*P177</f>
        <v>0</v>
      </c>
      <c r="R177" s="136" t="str">
        <f>IFERROR(
  IF(B177="", "", VLOOKUP(B177, Data!$B$2:$K$905, 9, FALSE)),
  ""
)</f>
        <v/>
      </c>
      <c r="S177" s="152">
        <f t="shared" ref="S177:S179" si="122">R177*Q177</f>
        <v>0</v>
      </c>
      <c r="T177" s="690"/>
      <c r="U177" s="136" t="str">
        <f>IFERROR(
  IF(B177="", "", VLOOKUP(B177, Data!$B$2:$K$905, 10, FALSE)),
  ""
)
</f>
        <v/>
      </c>
      <c r="V177" s="691"/>
      <c r="W177" s="140">
        <f t="shared" ref="W177:W179" si="123">U177*Q177</f>
        <v>0</v>
      </c>
      <c r="X177" s="692"/>
      <c r="Y177" s="595"/>
      <c r="Z177" s="595"/>
      <c r="AA177" s="595"/>
      <c r="AB177" s="354"/>
      <c r="AC177" s="181"/>
      <c r="AD177" s="625"/>
      <c r="AE177" s="626"/>
      <c r="AF177" s="696"/>
      <c r="AG177" s="697"/>
      <c r="AH177" s="629"/>
      <c r="AI177" s="187"/>
      <c r="AJ177" s="630"/>
      <c r="AK177" s="630"/>
      <c r="AL177" s="595"/>
      <c r="AM177" s="595"/>
      <c r="AN177" s="595"/>
      <c r="AO177" s="595"/>
      <c r="AP177" s="595"/>
      <c r="AQ177" s="595"/>
      <c r="AR177" s="595"/>
      <c r="AS177" s="595"/>
      <c r="AT177" s="595"/>
      <c r="AU177" s="595"/>
      <c r="AV177" s="595"/>
      <c r="AW177" s="595"/>
      <c r="AX177" s="595"/>
      <c r="AY177" s="595"/>
      <c r="AZ177" s="595"/>
      <c r="BA177" s="595"/>
      <c r="BB177" s="595"/>
      <c r="BC177" s="595"/>
      <c r="BD177" s="595"/>
      <c r="BE177" s="595"/>
      <c r="BF177" s="595"/>
      <c r="BG177" s="595"/>
      <c r="BH177" s="595"/>
      <c r="BI177" s="651"/>
      <c r="BJ177" s="651"/>
      <c r="BK177" s="651"/>
      <c r="BL177" s="651"/>
      <c r="BM177" s="651"/>
      <c r="BN177" s="651"/>
      <c r="BO177" s="651"/>
      <c r="BP177" s="651"/>
      <c r="BQ177" s="651"/>
      <c r="BR177" s="651"/>
      <c r="BS177" s="651"/>
      <c r="BT177" s="651"/>
    </row>
    <row r="178">
      <c r="A178" s="1313"/>
      <c r="B178" s="154" t="str">
        <f>IFERROR(__xludf.DUMMYFUNCTION("IFERROR(
  IF(C178="""","""",
    IF(OR(REGEXMATCH(D178,""(?i)-Flashing""), REGEXMATCH(D178,""(?i)-EavesGut""), REGEXMATCH(D178,""(?i)Valley"")),
        ""DR"" &amp;
        TEXT(
            ROUNDUP(
                MIN(
                    VALUE(MID(C178, "&amp;"FIND(""("",C178)+1, FIND(""/"",C178)-FIND(""("",C178)-1)),
                    1200
                ) / 50, 0
            ) * 50, ""0""
        ) &amp;
        MID(C178, FIND(""/"",C178)+1, FIND("")"",C178)-FIND(""/"",C178)-1) &amp;
        TEXT(H178*100,""0"") &amp;"&amp;"
        I178,
    IF(AND(D178=""Roof Sheet"", REGEXMATCH(C178,""(?i)KS\d{4}[A-Z]{2}"")),
       REGEXEXTRACT(C178,""(?i)KS\d{4}[A-Z]{2}""),
    IF(AND(REGEXMATCH(D178,""(?i)-DP""), REGEXMATCH(C178,""(?i)Downpipe"")),
       ""dp"" &amp; REGEXEXTRACT(C178,""("&amp;"\d+)"") &amp; ""mm"",
    IF(AND(REGEXMATCH(D178,""(?i)Bracket""), REGEXMATCH(C178,""(?i)Bracket"")),
       ""Brkt"" &amp; REGEXEXTRACT(C178,""(\d+)"") &amp; ""mm"",
    IF(AND(REGEXMATCH(D178,""(?i)-OP""), REGEXMATCH(C178,""(?i)pops"")),
       ""op"" &amp; REGEXEXTRAC"&amp;"T(C178,""(\d+)"") &amp; ""mm"",
    IF(OR(D178=""R-FFTop"", D178=""R-FFBottom"", D178=""R-FFSide""),
        IF(REGEXMATCH(C178,""(?i)Profiled.*Top|Top.*Profiled""),""pfft"",
        IF(REGEXMATCH(C178,""(?i)Profiled.*Bottom|Bottom.*Profiled""),""pffb"",
    "&amp;"    IF(REGEXMATCH(C178,""(?i)Square""),""sff"",""""))),
    IF(REGEXMATCH(D178,""(?i)-Rivets""),""Rvt"",
    IF(REGEXMATCH(D178,""(?i)Silicone""),""300ml"",
    IF(REGEXMATCH(D178,""(?i)R-Butyl""),""300ml"",
    IF(REGEXMATCH(D178,""(?i)Fix""),""GenFix"","&amp;"
    IF(AND(REGEXMATCH(C178,""(?i)Timber""), REGEXMATCH(D178,""(?i)Timber"")),""tp"",
    IF(AND(REGEXMATCH(C178,""(?i)Vent G1275""), REGEXMATCH(D178,""(?i)Comb FIller"")),""CFV1275"",
    IF(REGEXMATCH(C178,""(?i)DPC""),""dpc"",
    IF(REGEXMATCH(C178,"""&amp;"(?i)Concealed Clips""),""ConClips"",
    IF(REGEXMATCH(D178,""(?i)-Takeoff ea""),""Takeoff ea"",
    IF(REGEXMATCH(D178,""(?i)-Takeoff LM""),""Takeoff LM"",
    IF(REGEXMATCH(D178,""(?i)-Takeoff m2""),""Takeoff m2"",
    IF(D178=""R-TU/TD"",""TU/TD"","""""&amp;")))))))))))))))))
  )))"),"GenFix")</f>
        <v>GenFix</v>
      </c>
      <c r="C178" s="223" t="s">
        <v>102</v>
      </c>
      <c r="D178" s="148" t="s">
        <v>407</v>
      </c>
      <c r="E178" s="722"/>
      <c r="F178" s="128"/>
      <c r="G178" s="701"/>
      <c r="H178" s="700"/>
      <c r="I178" s="700"/>
      <c r="J178" s="126" t="s">
        <v>87</v>
      </c>
      <c r="K178" s="126" t="str">
        <f>IFERROR(
  IF(B178="", "", VLOOKUP(B178, Data!$B$2:$K$905, 7, FALSE)),
  ""
)</f>
        <v/>
      </c>
      <c r="L178" s="712"/>
      <c r="M178" s="150">
        <f>ROUNDUP(M177/0.6,0)+1</f>
        <v>1</v>
      </c>
      <c r="N178" s="151">
        <f>IFERROR(__xludf.DUMMYFUNCTION("IF(B178="""", """", IFERROR(1 / COS(RADIANS(REGEXEXTRACT(F178,""(\d+)""))), 1))"),1.0)</f>
        <v>1</v>
      </c>
      <c r="O178" s="169">
        <v>1.0</v>
      </c>
      <c r="P178" s="134">
        <v>1.0</v>
      </c>
      <c r="Q178" s="168">
        <f t="shared" si="121"/>
        <v>1</v>
      </c>
      <c r="R178" s="136" t="str">
        <f>IFERROR(
  IF(B178="", "", VLOOKUP(B178, Data!$B$2:$K$905, 9, FALSE)),
  ""
)</f>
        <v/>
      </c>
      <c r="S178" s="152">
        <f t="shared" si="122"/>
        <v>0</v>
      </c>
      <c r="T178" s="690"/>
      <c r="U178" s="136" t="str">
        <f>IFERROR(
  IF(B178="", "", VLOOKUP(B178, Data!$B$2:$K$905, 10, FALSE)),
  ""
)
</f>
        <v/>
      </c>
      <c r="V178" s="691"/>
      <c r="W178" s="140">
        <f t="shared" si="123"/>
        <v>0</v>
      </c>
      <c r="X178" s="692"/>
      <c r="Y178" s="595"/>
      <c r="Z178" s="595"/>
      <c r="AA178" s="595"/>
      <c r="AB178" s="354"/>
      <c r="AC178" s="181"/>
      <c r="AD178" s="625"/>
      <c r="AE178" s="626"/>
      <c r="AF178" s="696"/>
      <c r="AG178" s="697"/>
      <c r="AH178" s="629"/>
      <c r="AI178" s="187"/>
      <c r="AJ178" s="630"/>
      <c r="AK178" s="630"/>
      <c r="AL178" s="595"/>
      <c r="AM178" s="595"/>
      <c r="AN178" s="595"/>
      <c r="AO178" s="595"/>
      <c r="AP178" s="595"/>
      <c r="AQ178" s="595"/>
      <c r="AR178" s="595"/>
      <c r="AS178" s="595"/>
      <c r="AT178" s="595"/>
      <c r="AU178" s="595"/>
      <c r="AV178" s="595"/>
      <c r="AW178" s="595"/>
      <c r="AX178" s="595"/>
      <c r="AY178" s="595"/>
      <c r="AZ178" s="595"/>
      <c r="BA178" s="595"/>
      <c r="BB178" s="595"/>
      <c r="BC178" s="595"/>
      <c r="BD178" s="595"/>
      <c r="BE178" s="595"/>
      <c r="BF178" s="595"/>
      <c r="BG178" s="595"/>
      <c r="BH178" s="595"/>
      <c r="BI178" s="651"/>
      <c r="BJ178" s="651"/>
      <c r="BK178" s="651"/>
      <c r="BL178" s="651"/>
      <c r="BM178" s="651"/>
      <c r="BN178" s="651"/>
      <c r="BO178" s="651"/>
      <c r="BP178" s="651"/>
      <c r="BQ178" s="651"/>
      <c r="BR178" s="651"/>
      <c r="BS178" s="651"/>
      <c r="BT178" s="651"/>
    </row>
    <row r="179">
      <c r="A179" s="1313"/>
      <c r="B179" s="122" t="s">
        <v>1240</v>
      </c>
      <c r="C179" s="223" t="s">
        <v>1241</v>
      </c>
      <c r="D179" s="148" t="s">
        <v>404</v>
      </c>
      <c r="E179" s="722"/>
      <c r="F179" s="128"/>
      <c r="G179" s="701"/>
      <c r="H179" s="700"/>
      <c r="I179" s="700"/>
      <c r="J179" s="126" t="s">
        <v>87</v>
      </c>
      <c r="K179" s="126" t="str">
        <f>IFERROR(
  IF(B179="", "", VLOOKUP(B179, Data!$B$2:$K$905, 7, FALSE)),
  ""
)</f>
        <v/>
      </c>
      <c r="L179" s="712"/>
      <c r="M179" s="150" t="str">
        <f>M166</f>
        <v/>
      </c>
      <c r="N179" s="151">
        <f>IFERROR(__xludf.DUMMYFUNCTION("IF(B179="""", """", IFERROR(1 / COS(RADIANS(REGEXEXTRACT(F179,""(\d+)""))), 1))"),1.0)</f>
        <v>1</v>
      </c>
      <c r="O179" s="169">
        <v>1.0</v>
      </c>
      <c r="P179" s="134">
        <v>1.0</v>
      </c>
      <c r="Q179" s="168">
        <f t="shared" si="121"/>
        <v>0</v>
      </c>
      <c r="R179" s="136" t="str">
        <f>IFERROR(
  IF(B179="", "", VLOOKUP(B179, Data!$B$2:$K$905, 9, FALSE)),
  ""
)</f>
        <v/>
      </c>
      <c r="S179" s="152">
        <f t="shared" si="122"/>
        <v>0</v>
      </c>
      <c r="T179" s="690"/>
      <c r="U179" s="136" t="str">
        <f>IFERROR(
  IF(B179="", "", VLOOKUP(B179, Data!$B$2:$K$905, 10, FALSE)),
  ""
)
</f>
        <v/>
      </c>
      <c r="V179" s="691"/>
      <c r="W179" s="140">
        <f t="shared" si="123"/>
        <v>0</v>
      </c>
      <c r="X179" s="692"/>
      <c r="Y179" s="595"/>
      <c r="Z179" s="595"/>
      <c r="AA179" s="595"/>
      <c r="AB179" s="354"/>
      <c r="AC179" s="181"/>
      <c r="AD179" s="625"/>
      <c r="AE179" s="626"/>
      <c r="AF179" s="696"/>
      <c r="AG179" s="697"/>
      <c r="AH179" s="629"/>
      <c r="AI179" s="187"/>
      <c r="AJ179" s="630"/>
      <c r="AK179" s="630"/>
      <c r="AL179" s="595"/>
      <c r="AM179" s="595"/>
      <c r="AN179" s="595"/>
      <c r="AO179" s="595"/>
      <c r="AP179" s="595"/>
      <c r="AQ179" s="595"/>
      <c r="AR179" s="595"/>
      <c r="AS179" s="595"/>
      <c r="AT179" s="595"/>
      <c r="AU179" s="595"/>
      <c r="AV179" s="595"/>
      <c r="AW179" s="595"/>
      <c r="AX179" s="595"/>
      <c r="AY179" s="595"/>
      <c r="AZ179" s="595"/>
      <c r="BA179" s="595"/>
      <c r="BB179" s="595"/>
      <c r="BC179" s="595"/>
      <c r="BD179" s="595"/>
      <c r="BE179" s="595"/>
      <c r="BF179" s="595"/>
      <c r="BG179" s="595"/>
      <c r="BH179" s="595"/>
      <c r="BI179" s="651"/>
      <c r="BJ179" s="651"/>
      <c r="BK179" s="651"/>
      <c r="BL179" s="651"/>
      <c r="BM179" s="651"/>
      <c r="BN179" s="651"/>
      <c r="BO179" s="651"/>
      <c r="BP179" s="651"/>
      <c r="BQ179" s="651"/>
      <c r="BR179" s="651"/>
      <c r="BS179" s="651"/>
      <c r="BT179" s="651"/>
    </row>
    <row r="180">
      <c r="A180" s="1313"/>
      <c r="B180" s="154"/>
      <c r="C180" s="758"/>
      <c r="D180" s="700"/>
      <c r="E180" s="722"/>
      <c r="F180" s="128"/>
      <c r="G180" s="701"/>
      <c r="H180" s="700"/>
      <c r="I180" s="700"/>
      <c r="J180" s="701"/>
      <c r="K180" s="701" t="str">
        <f>IFERROR(
  IF(B180="", "", VLOOKUP(B180, Data!$B$2:$K$905, 7, FALSE)),
  ""
)</f>
        <v/>
      </c>
      <c r="L180" s="712"/>
      <c r="M180" s="704" t="s">
        <v>42</v>
      </c>
      <c r="N180" s="711" t="str">
        <f>IFERROR(__xludf.DUMMYFUNCTION("IF(B180="""", """", IFERROR(1 / COS(RADIANS(REGEXEXTRACT(F180,""(\d+)""))), 1))"),"")</f>
        <v/>
      </c>
      <c r="O180" s="712"/>
      <c r="P180" s="700"/>
      <c r="Q180" s="712"/>
      <c r="R180" s="136" t="str">
        <f>IFERROR(
  IF(B180="", "", VLOOKUP(B180, Data!$B$2:$K$905, 9, FALSE)),
  ""
)</f>
        <v/>
      </c>
      <c r="S180" s="691"/>
      <c r="T180" s="690"/>
      <c r="U180" s="136" t="str">
        <f>IFERROR(
  IF(B180="", "", VLOOKUP(B180, Data!$B$2:$K$905, 10, FALSE)),
  ""
)
</f>
        <v/>
      </c>
      <c r="V180" s="691"/>
      <c r="W180" s="713"/>
      <c r="X180" s="692"/>
      <c r="Y180" s="595"/>
      <c r="Z180" s="595"/>
      <c r="AA180" s="595"/>
      <c r="AB180" s="595"/>
      <c r="AC180" s="181"/>
      <c r="AD180" s="625"/>
      <c r="AE180" s="626"/>
      <c r="AF180" s="696"/>
      <c r="AG180" s="697"/>
      <c r="AH180" s="629"/>
      <c r="AI180" s="187"/>
      <c r="AJ180" s="630"/>
      <c r="AK180" s="630"/>
      <c r="AL180" s="595"/>
      <c r="AM180" s="595"/>
      <c r="AN180" s="595"/>
      <c r="AO180" s="595"/>
      <c r="AP180" s="595"/>
      <c r="AQ180" s="595"/>
      <c r="AR180" s="595"/>
      <c r="AS180" s="595"/>
      <c r="AT180" s="595"/>
      <c r="AU180" s="595"/>
      <c r="AV180" s="595"/>
      <c r="AW180" s="595"/>
      <c r="AX180" s="595"/>
      <c r="AY180" s="595"/>
      <c r="AZ180" s="595"/>
      <c r="BA180" s="595"/>
      <c r="BB180" s="595"/>
      <c r="BC180" s="595"/>
      <c r="BD180" s="595"/>
      <c r="BE180" s="595"/>
      <c r="BF180" s="595"/>
      <c r="BG180" s="595"/>
      <c r="BH180" s="595"/>
      <c r="BI180" s="651"/>
      <c r="BJ180" s="651"/>
      <c r="BK180" s="651"/>
      <c r="BL180" s="651"/>
      <c r="BM180" s="651"/>
      <c r="BN180" s="651"/>
      <c r="BO180" s="651"/>
      <c r="BP180" s="651"/>
      <c r="BQ180" s="651"/>
      <c r="BR180" s="651"/>
      <c r="BS180" s="651"/>
      <c r="BT180" s="651"/>
    </row>
    <row r="181">
      <c r="A181" s="1313">
        <v>1.0</v>
      </c>
      <c r="B181" s="652" t="s">
        <v>425</v>
      </c>
      <c r="C181" s="89" t="s">
        <v>136</v>
      </c>
      <c r="D181" s="172"/>
      <c r="E181" s="654"/>
      <c r="F181" s="657"/>
      <c r="G181" s="656"/>
      <c r="H181" s="656"/>
      <c r="I181" s="656"/>
      <c r="J181" s="656"/>
      <c r="K181" s="657" t="s">
        <v>42</v>
      </c>
      <c r="L181" s="658"/>
      <c r="M181" s="658" t="s">
        <v>42</v>
      </c>
      <c r="N181" s="659"/>
      <c r="O181" s="658"/>
      <c r="P181" s="656"/>
      <c r="Q181" s="658"/>
      <c r="R181" s="136" t="str">
        <f>IFERROR(
  IF(B181="", "", VLOOKUP(B181, Data!$B$2:$K$905, 9, FALSE)),
  ""
)</f>
        <v/>
      </c>
      <c r="S181" s="660"/>
      <c r="T181" s="661"/>
      <c r="U181" s="136" t="str">
        <f>IFERROR(
  IF(B181="", "", VLOOKUP(B181, Data!$B$2:$K$905, 10, FALSE)),
  ""
)
</f>
        <v/>
      </c>
      <c r="V181" s="662"/>
      <c r="W181" s="663"/>
      <c r="X181" s="692"/>
      <c r="Y181" s="595"/>
      <c r="Z181" s="595"/>
      <c r="AA181" s="595"/>
      <c r="AB181" s="354"/>
      <c r="AC181" s="181"/>
      <c r="AD181" s="625"/>
      <c r="AE181" s="626"/>
      <c r="AF181" s="696"/>
      <c r="AG181" s="628"/>
      <c r="AH181" s="629"/>
      <c r="AI181" s="187"/>
      <c r="AJ181" s="630"/>
      <c r="AK181" s="630"/>
      <c r="AL181" s="595"/>
      <c r="AM181" s="595"/>
      <c r="AN181" s="595"/>
      <c r="AO181" s="595"/>
      <c r="AP181" s="595"/>
      <c r="AQ181" s="595"/>
      <c r="AR181" s="595"/>
      <c r="AS181" s="595"/>
      <c r="AT181" s="595"/>
      <c r="AU181" s="595"/>
      <c r="AV181" s="595"/>
      <c r="AW181" s="595"/>
      <c r="AX181" s="595"/>
      <c r="AY181" s="595"/>
      <c r="AZ181" s="595"/>
      <c r="BA181" s="595"/>
      <c r="BB181" s="595"/>
      <c r="BC181" s="595"/>
      <c r="BD181" s="595"/>
      <c r="BE181" s="595"/>
      <c r="BF181" s="595"/>
      <c r="BG181" s="595"/>
      <c r="BH181" s="595"/>
      <c r="BI181" s="651"/>
      <c r="BJ181" s="651"/>
      <c r="BK181" s="651"/>
      <c r="BL181" s="651"/>
      <c r="BM181" s="651"/>
      <c r="BN181" s="651"/>
      <c r="BO181" s="651"/>
      <c r="BP181" s="651"/>
      <c r="BQ181" s="651"/>
      <c r="BR181" s="651"/>
      <c r="BS181" s="651"/>
      <c r="BT181" s="651"/>
    </row>
    <row r="182">
      <c r="A182" s="1313">
        <v>1.0</v>
      </c>
      <c r="B182" s="1096"/>
      <c r="C182" s="1420" t="s">
        <v>1242</v>
      </c>
      <c r="D182" s="1098"/>
      <c r="E182" s="1099"/>
      <c r="F182" s="1098"/>
      <c r="G182" s="1098"/>
      <c r="H182" s="1098"/>
      <c r="I182" s="1098"/>
      <c r="J182" s="1098"/>
      <c r="K182" s="1098" t="s">
        <v>42</v>
      </c>
      <c r="L182" s="1101">
        <f>Q182</f>
        <v>2.4</v>
      </c>
      <c r="M182" s="1102" t="s">
        <v>42</v>
      </c>
      <c r="N182" s="1103"/>
      <c r="O182" s="1102"/>
      <c r="P182" s="1098"/>
      <c r="Q182" s="1101">
        <f>Q183</f>
        <v>2.4</v>
      </c>
      <c r="R182" s="1104" t="str">
        <f>IFERROR(
  IF(B182="", "", VLOOKUP(B182, Data!$B$2:$K$905, 9, FALSE)),
  ""
)</f>
        <v/>
      </c>
      <c r="S182" s="1105">
        <f>IFERROR(T182/Q182, 0)</f>
        <v>0</v>
      </c>
      <c r="T182" s="1106">
        <f>SUM(S183:S194)</f>
        <v>0</v>
      </c>
      <c r="U182" s="1104" t="str">
        <f>IFERROR(
  IF(B182="", "", VLOOKUP(B182, Data!$B$2:$K$905, 10, FALSE)),
  ""
)
</f>
        <v/>
      </c>
      <c r="V182" s="1106">
        <f>W182/Q182</f>
        <v>0</v>
      </c>
      <c r="W182" s="1107">
        <f>SUM(W183:W194)</f>
        <v>0</v>
      </c>
      <c r="X182" s="1421" t="str">
        <f>W182/$AC$484/$W$491/$X$481</f>
        <v>#DIV/0!</v>
      </c>
      <c r="Y182" s="1108" t="b">
        <f>(T182+W182)=(SUM(AB183:AB194))</f>
        <v>1</v>
      </c>
      <c r="Z182" s="1109">
        <f>(T182+W182)-(SUM(AB183:AB194))</f>
        <v>0</v>
      </c>
      <c r="AA182" s="1110"/>
      <c r="AB182" s="1110"/>
      <c r="AC182" s="1111"/>
      <c r="AD182" s="1112">
        <f>W182+T182</f>
        <v>0</v>
      </c>
      <c r="AE182" s="1113">
        <f>AD182</f>
        <v>0</v>
      </c>
      <c r="AF182" s="1422" t="str">
        <f>AE182/$AE$459</f>
        <v>#DIV/0!</v>
      </c>
      <c r="AG182" s="1423" t="str">
        <f>AF182*$AG$466</f>
        <v>#DIV/0!</v>
      </c>
      <c r="AH182" s="1424" t="str">
        <f>AF182*$AG$469</f>
        <v>#DIV/0!</v>
      </c>
      <c r="AI182" s="1140"/>
      <c r="AJ182" s="1425" t="str">
        <f>ROUND(AK182/L182,2)</f>
        <v>#DIV/0!</v>
      </c>
      <c r="AK182" s="1425" t="str">
        <f>ROUND(AH182+AG182+AD182,2)</f>
        <v>#DIV/0!</v>
      </c>
      <c r="AL182" s="1110"/>
      <c r="AM182" s="1110"/>
      <c r="AN182" s="1110"/>
      <c r="AO182" s="1110"/>
      <c r="AP182" s="1110"/>
      <c r="AQ182" s="1110"/>
      <c r="AR182" s="1110"/>
      <c r="AS182" s="1110"/>
      <c r="AT182" s="1110"/>
      <c r="AU182" s="1110"/>
      <c r="AV182" s="1110"/>
      <c r="AW182" s="1110"/>
      <c r="AX182" s="1110"/>
      <c r="AY182" s="1110"/>
      <c r="AZ182" s="1110"/>
      <c r="BA182" s="1110"/>
      <c r="BB182" s="1110"/>
      <c r="BC182" s="1110"/>
      <c r="BD182" s="1110"/>
      <c r="BE182" s="1110"/>
      <c r="BF182" s="1110"/>
      <c r="BG182" s="1110"/>
      <c r="BH182" s="1110"/>
      <c r="BI182" s="1114"/>
      <c r="BJ182" s="1114"/>
      <c r="BK182" s="1114"/>
      <c r="BL182" s="1114"/>
      <c r="BM182" s="1114"/>
      <c r="BN182" s="1114"/>
      <c r="BO182" s="1114"/>
      <c r="BP182" s="1114"/>
      <c r="BQ182" s="1114"/>
      <c r="BR182" s="1114"/>
      <c r="BS182" s="1114"/>
      <c r="BT182" s="1114"/>
    </row>
    <row r="183">
      <c r="A183" s="1313"/>
      <c r="B183" s="1426" t="str">
        <f>IFERROR(__xludf.DUMMYFUNCTION("IFERROR(
  IF(C183="""","""",
    IF(OR(REGEXMATCH(D183,""(?i)-Flashing""), REGEXMATCH(D183,""(?i)-EavesGut""), REGEXMATCH(D183,""(?i)Valley"")),
        ""DR"" &amp;
        TEXT(
            ROUNDUP(
                MIN(
                    VALUE(MID(C183, "&amp;"FIND(""("",C183)+1, FIND(""/"",C183)-FIND(""("",C183)-1)),
                    1200
                ) / 50, 0
            ) * 50, ""0""
        ) &amp;
        MID(C183, FIND(""/"",C183)+1, FIND("")"",C183)-FIND(""/"",C183)-1) &amp;
        TEXT(H183*100,""0"") &amp;"&amp;"
        I183,
    IF(AND(D183=""Roof Sheet"", REGEXMATCH(C183,""(?i)KS\d{4}[A-Z]{2}"")),
       REGEXEXTRACT(C183,""(?i)KS\d{4}[A-Z]{2}""),
    IF(AND(REGEXMATCH(D183,""(?i)-DP""), REGEXMATCH(C183,""(?i)Downpipe"")),
       ""dp"" &amp; REGEXEXTRACT(C183,""("&amp;"\d+)"") &amp; ""mm"",
    IF(AND(REGEXMATCH(D183,""(?i)Bracket""), REGEXMATCH(C183,""(?i)Bracket"")),
       ""Brkt"" &amp; REGEXEXTRACT(C183,""(\d+)"") &amp; ""mm"",
    IF(AND(REGEXMATCH(D183,""(?i)-OP""), REGEXMATCH(C183,""(?i)pops"")),
       ""op"" &amp; REGEXEXTRAC"&amp;"T(C183,""(\d+)"") &amp; ""mm"",
    IF(OR(D183=""R-FFTop"", D183=""R-FFBottom"", D183=""R-FFSide""),
        IF(REGEXMATCH(C183,""(?i)Profiled.*Top|Top.*Profiled""),""pfft"",
        IF(REGEXMATCH(C183,""(?i)Profiled.*Bottom|Bottom.*Profiled""),""pffb"",
    "&amp;"    IF(REGEXMATCH(C183,""(?i)Square""),""sff"",""""))),
    IF(REGEXMATCH(D183,""(?i)-Rivets""),""Rvt"",
    IF(REGEXMATCH(D183,""(?i)Silicone|Seal""),""300ml"",
    IF(REGEXMATCH(D183,""(?i)R-Butyl""),""300ml"",
    IF(REGEXMATCH(D183,""(?i)Fix""),""GenF"&amp;"ix"",
    IF(AND(REGEXMATCH(C183,""(?i)Timber""), REGEXMATCH(D183,""(?i)Timber"")),""tp"",
    IF(AND(REGEXMATCH(C183,""(?i)Vent G1275""), REGEXMATCH(D183,""(?i)Comb FIller"")),""CFV1275"",
    IF(REGEXMATCH(C183,""(?i)DPC""),""dpc"",
    IF(REGEXMATCH(C1"&amp;"83,""(?i)Concealed Clips""),""ConClips"",
    IF(REGEXMATCH(D183,""(?i)-Takeoff ea""),""Takeoff ea"",
    IF(REGEXMATCH(D183,""(?i)-Takeoff LM""),""Takeoff LM"",
    IF(REGEXMATCH(D183,""(?i)-Takeoff m2""),""Takeoff m2"",
    IF(D183=""R-TU/TD"",""TU/TD"""&amp;","""")))))))))))))))))
  )))"),"dp150mm")</f>
        <v>dp150mm</v>
      </c>
      <c r="C183" s="1427" t="s">
        <v>138</v>
      </c>
      <c r="D183" s="1428" t="s">
        <v>139</v>
      </c>
      <c r="E183" s="1429"/>
      <c r="F183" s="1144"/>
      <c r="G183" s="1144"/>
      <c r="H183" s="1120"/>
      <c r="I183" s="1120"/>
      <c r="J183" s="1121" t="s">
        <v>14</v>
      </c>
      <c r="K183" s="1121" t="str">
        <f>IFERROR(
  IF(B183="", "", VLOOKUP(B183, Data!$B$2:$K$905, 7, FALSE)),
  ""
)</f>
        <v/>
      </c>
      <c r="L183" s="1430">
        <v>1.0</v>
      </c>
      <c r="M183" s="1123">
        <f t="shared" ref="M183:M184" si="124">L183</f>
        <v>1</v>
      </c>
      <c r="N183" s="1124">
        <f>IFERROR(__xludf.DUMMYFUNCTION("IF(B183="""", """", IFERROR(1 / COS(RADIANS(REGEXEXTRACT(F183,""(\d+)""))), 1))"),1.0)</f>
        <v>1</v>
      </c>
      <c r="O183" s="1431">
        <v>1.0</v>
      </c>
      <c r="P183" s="1432">
        <v>2.4</v>
      </c>
      <c r="Q183" s="1433">
        <f t="shared" ref="Q183:Q184" si="125">M183*N183*O183*P183</f>
        <v>2.4</v>
      </c>
      <c r="R183" s="1434" t="str">
        <f>IFERROR(
  IF(B183="", "", VLOOKUP(B183, Data!$B$2:$K$905, 9, FALSE)),
  ""
)</f>
        <v/>
      </c>
      <c r="S183" s="1129">
        <f t="shared" ref="S183:S184" si="126">R183*Q183</f>
        <v>0</v>
      </c>
      <c r="T183" s="1130"/>
      <c r="U183" s="1434" t="str">
        <f>IFERROR(
  IF(B183="", "", VLOOKUP(B183, Data!$B$2:$K$905, 10, FALSE)),
  ""
)
</f>
        <v/>
      </c>
      <c r="V183" s="1131"/>
      <c r="W183" s="1132">
        <f t="shared" ref="W183:W184" si="127">U183*Q183</f>
        <v>0</v>
      </c>
      <c r="X183" s="1435"/>
      <c r="Y183" s="1110"/>
      <c r="Z183" s="1110"/>
      <c r="AA183" s="1110"/>
      <c r="AB183" s="1134">
        <f t="shared" ref="AB183:AB193" si="128">W183+S183</f>
        <v>0</v>
      </c>
      <c r="AC183" s="1111"/>
      <c r="AD183" s="1148"/>
      <c r="AE183" s="1149"/>
      <c r="AF183" s="1150"/>
      <c r="AG183" s="1151"/>
      <c r="AH183" s="1152"/>
      <c r="AI183" s="1140"/>
      <c r="AJ183" s="1153"/>
      <c r="AK183" s="1153"/>
      <c r="AL183" s="1110"/>
      <c r="AM183" s="1110"/>
      <c r="AN183" s="1110"/>
      <c r="AO183" s="1110"/>
      <c r="AP183" s="1110"/>
      <c r="AQ183" s="1110"/>
      <c r="AR183" s="1110"/>
      <c r="AS183" s="1110"/>
      <c r="AT183" s="1110"/>
      <c r="AU183" s="1110"/>
      <c r="AV183" s="1110"/>
      <c r="AW183" s="1110"/>
      <c r="AX183" s="1110"/>
      <c r="AY183" s="1110"/>
      <c r="AZ183" s="1110"/>
      <c r="BA183" s="1110"/>
      <c r="BB183" s="1110"/>
      <c r="BC183" s="1110"/>
      <c r="BD183" s="1110"/>
      <c r="BE183" s="1110"/>
      <c r="BF183" s="1110"/>
      <c r="BG183" s="1110"/>
      <c r="BH183" s="1110"/>
      <c r="BI183" s="1114"/>
      <c r="BJ183" s="1114"/>
      <c r="BK183" s="1114"/>
      <c r="BL183" s="1114"/>
      <c r="BM183" s="1114"/>
      <c r="BN183" s="1114"/>
      <c r="BO183" s="1114"/>
      <c r="BP183" s="1114"/>
      <c r="BQ183" s="1114"/>
      <c r="BR183" s="1114"/>
      <c r="BS183" s="1114"/>
      <c r="BT183" s="1114"/>
    </row>
    <row r="184">
      <c r="A184" s="1313"/>
      <c r="B184" s="1426" t="str">
        <f>IFERROR(__xludf.DUMMYFUNCTION("IFERROR(
  IF(C184="""","""",
    IF(OR(REGEXMATCH(D184,""(?i)-Flashing""), REGEXMATCH(D184,""(?i)-EavesGut""), REGEXMATCH(D184,""(?i)Valley"")),
        ""DR"" &amp;
        TEXT(
            ROUNDUP(
                MIN(
                    VALUE(MID(C184, "&amp;"FIND(""("",C184)+1, FIND(""/"",C184)-FIND(""("",C184)-1)),
                    1200
                ) / 50, 0
            ) * 50, ""0""
        ) &amp;
        MID(C184, FIND(""/"",C184)+1, FIND("")"",C184)-FIND(""/"",C184)-1) &amp;
        TEXT(H184*100,""0"") &amp;"&amp;"
        I184,
    IF(AND(D184=""Roof Sheet"", REGEXMATCH(C184,""(?i)KS\d{4}[A-Z]{2}"")),
       REGEXEXTRACT(C184,""(?i)KS\d{4}[A-Z]{2}""),
    IF(AND(REGEXMATCH(D184,""(?i)-DP""), REGEXMATCH(C184,""(?i)Downpipe"")),
       ""dp"" &amp; REGEXEXTRACT(C184,""("&amp;"\d+)"") &amp; ""mm"",
    IF(AND(REGEXMATCH(D184,""(?i)Bracket""), REGEXMATCH(C184,""(?i)Bracket"")),
       ""Brkt"" &amp; REGEXEXTRACT(C184,""(\d+)"") &amp; ""mm"",
    IF(AND(REGEXMATCH(D184,""(?i)-OP""), REGEXMATCH(C184,""(?i)pops"")),
       ""op"" &amp; REGEXEXTRAC"&amp;"T(C184,""(\d+)"") &amp; ""mm"",
    IF(OR(D184=""R-FFTop"", D184=""R-FFBottom"", D184=""R-FFSide""),
        IF(REGEXMATCH(C184,""(?i)Profiled.*Top|Top.*Profiled""),""pfft"",
        IF(REGEXMATCH(C184,""(?i)Profiled.*Bottom|Bottom.*Profiled""),""pffb"",
    "&amp;"    IF(REGEXMATCH(C184,""(?i)Square""),""sff"",""""))),
    IF(REGEXMATCH(D184,""(?i)-Rivets""),""Rvt"",
    IF(REGEXMATCH(D184,""(?i)Silicone|Seal""),""300ml"",
    IF(REGEXMATCH(D184,""(?i)R-Butyl""),""300ml"",
    IF(REGEXMATCH(D184,""(?i)Fix""),""GenF"&amp;"ix"",
    IF(AND(REGEXMATCH(C184,""(?i)Timber""), REGEXMATCH(D184,""(?i)Timber"")),""tp"",
    IF(AND(REGEXMATCH(C184,""(?i)Vent G1275""), REGEXMATCH(D184,""(?i)Comb FIller"")),""CFV1275"",
    IF(REGEXMATCH(C184,""(?i)DPC""),""dpc"",
    IF(REGEXMATCH(C1"&amp;"84,""(?i)Concealed Clips""),""ConClips"",
    IF(REGEXMATCH(D184,""(?i)-Takeoff ea""),""Takeoff ea"",
    IF(REGEXMATCH(D184,""(?i)-Takeoff LM""),""Takeoff LM"",
    IF(REGEXMATCH(D184,""(?i)-Takeoff m2""),""Takeoff m2"",
    IF(D184=""R-TU/TD"",""TU/TD"""&amp;","""")))))))))))))))))
  )))"),"Brkt150mm")</f>
        <v>Brkt150mm</v>
      </c>
      <c r="C184" s="1427" t="s">
        <v>140</v>
      </c>
      <c r="D184" s="1428" t="s">
        <v>141</v>
      </c>
      <c r="E184" s="1429"/>
      <c r="F184" s="1144"/>
      <c r="G184" s="1144"/>
      <c r="H184" s="1120"/>
      <c r="I184" s="1120"/>
      <c r="J184" s="1121" t="s">
        <v>87</v>
      </c>
      <c r="K184" s="1121" t="str">
        <f>IFERROR(
  IF(B184="", "", VLOOKUP(B184, Data!$B$2:$K$905, 7, FALSE)),
  ""
)</f>
        <v/>
      </c>
      <c r="L184" s="1436">
        <f>L183</f>
        <v>1</v>
      </c>
      <c r="M184" s="1123">
        <f t="shared" si="124"/>
        <v>1</v>
      </c>
      <c r="N184" s="1124">
        <f>IFERROR(__xludf.DUMMYFUNCTION("IF(B184="""", """", IFERROR(1 / COS(RADIANS(REGEXEXTRACT(F184,""(\d+)""))), 1))"),1.0)</f>
        <v>1</v>
      </c>
      <c r="O184" s="1125">
        <f>O183</f>
        <v>1</v>
      </c>
      <c r="P184" s="1126">
        <v>1.0</v>
      </c>
      <c r="Q184" s="1433">
        <f t="shared" si="125"/>
        <v>1</v>
      </c>
      <c r="R184" s="1434" t="str">
        <f>IFERROR(
  IF(B184="", "", VLOOKUP(B184, Data!$B$2:$K$905, 9, FALSE)),
  ""
)</f>
        <v/>
      </c>
      <c r="S184" s="1129">
        <f t="shared" si="126"/>
        <v>0</v>
      </c>
      <c r="T184" s="1130"/>
      <c r="U184" s="1434" t="str">
        <f>IFERROR(
  IF(B184="", "", VLOOKUP(B184, Data!$B$2:$K$905, 10, FALSE)),
  ""
)
</f>
        <v/>
      </c>
      <c r="V184" s="1131"/>
      <c r="W184" s="1132">
        <f t="shared" si="127"/>
        <v>0</v>
      </c>
      <c r="X184" s="1133"/>
      <c r="Y184" s="1110"/>
      <c r="Z184" s="1110"/>
      <c r="AA184" s="1110"/>
      <c r="AB184" s="1134">
        <f t="shared" si="128"/>
        <v>0</v>
      </c>
      <c r="AC184" s="1111"/>
      <c r="AD184" s="1148"/>
      <c r="AE184" s="1149"/>
      <c r="AF184" s="1150"/>
      <c r="AG184" s="1151"/>
      <c r="AH184" s="1152"/>
      <c r="AI184" s="1140"/>
      <c r="AJ184" s="1153"/>
      <c r="AK184" s="1153"/>
      <c r="AL184" s="1110"/>
      <c r="AM184" s="1110"/>
      <c r="AN184" s="1110"/>
      <c r="AO184" s="1110"/>
      <c r="AP184" s="1110"/>
      <c r="AQ184" s="1110"/>
      <c r="AR184" s="1110"/>
      <c r="AS184" s="1110"/>
      <c r="AT184" s="1110"/>
      <c r="AU184" s="1110"/>
      <c r="AV184" s="1110"/>
      <c r="AW184" s="1110"/>
      <c r="AX184" s="1110"/>
      <c r="AY184" s="1110"/>
      <c r="AZ184" s="1110"/>
      <c r="BA184" s="1110"/>
      <c r="BB184" s="1110"/>
      <c r="BC184" s="1110"/>
      <c r="BD184" s="1110"/>
      <c r="BE184" s="1110"/>
      <c r="BF184" s="1110"/>
      <c r="BG184" s="1110"/>
      <c r="BH184" s="1110"/>
      <c r="BI184" s="1114"/>
      <c r="BJ184" s="1114"/>
      <c r="BK184" s="1114"/>
      <c r="BL184" s="1114"/>
      <c r="BM184" s="1114"/>
      <c r="BN184" s="1114"/>
      <c r="BO184" s="1114"/>
      <c r="BP184" s="1114"/>
      <c r="BQ184" s="1114"/>
      <c r="BR184" s="1114"/>
      <c r="BS184" s="1114"/>
      <c r="BT184" s="1114"/>
    </row>
    <row r="185">
      <c r="A185" s="1313"/>
      <c r="B185" s="1143" t="str">
        <f>IFERROR(__xludf.DUMMYFUNCTION("IFERROR(
  IF(C185="""","""",
    IF(OR(REGEXMATCH(D185,""(?i)-Flashing""), REGEXMATCH(D185,""(?i)-EavesGut""), REGEXMATCH(D185,""(?i)Valley"")),
        ""DR"" &amp;
        TEXT(
            ROUNDUP(
                MIN(
                    VALUE(MID(C185, "&amp;"FIND(""("",C185)+1, FIND(""/"",C185)-FIND(""("",C185)-1)),
                    1200
                ) / 50, 0
            ) * 50, ""0""
        ) &amp;
        MID(C185, FIND(""/"",C185)+1, FIND("")"",C185)-FIND(""/"",C185)-1) &amp;
        TEXT(H185*100,""0"") &amp;"&amp;"
        I185,
    IF(AND(D185=""Roof Sheet"", REGEXMATCH(C185,""(?i)KS\d{4}[A-Z]{2}"")),
       REGEXEXTRACT(C185,""(?i)KS\d{4}[A-Z]{2}""),
    IF(AND(REGEXMATCH(D185,""(?i)-DP""), REGEXMATCH(C185,""(?i)Downpipe"")),
       ""dp"" &amp; REGEXEXTRACT(C185,""("&amp;"\d+)"") &amp; ""mm"",
    IF(AND(REGEXMATCH(D185,""(?i)Bracket""), REGEXMATCH(C185,""(?i)Bracket"")),
       ""Brkt"" &amp; REGEXEXTRACT(C185,""(\d+)"") &amp; ""mm"",
    IF(AND(REGEXMATCH(D185,""(?i)-OP""), REGEXMATCH(C185,""(?i)pops"")),
       ""op"" &amp; REGEXEXTRAC"&amp;"T(C185,""(\d+)"") &amp; ""mm"",
    IF(OR(D185=""R-FFTop"", D185=""R-FFBottom"", D185=""R-FFSide""),
        IF(REGEXMATCH(C185,""(?i)Profiled.*Top|Top.*Profiled""),""pfft"",
        IF(REGEXMATCH(C185,""(?i)Profiled.*Bottom|Bottom.*Profiled""),""pffb"",
    "&amp;"    IF(REGEXMATCH(C185,""(?i)Square""),""sff"",""""))),
    IF(REGEXMATCH(D185,""(?i)-Rivets""),""Rvt"",
    IF(REGEXMATCH(D185,""(?i)Silicone|Seal""),""300ml"",
    IF(REGEXMATCH(D185,""(?i)R-Butyl""),""300ml"",
    IF(REGEXMATCH(D185,""(?i)Fix""),""GenF"&amp;"ix"",
    IF(AND(REGEXMATCH(C185,""(?i)Timber""), REGEXMATCH(D185,""(?i)Timber"")),""tp"",
    IF(AND(REGEXMATCH(C185,""(?i)Vent G1275""), REGEXMATCH(D185,""(?i)Comb FIller"")),""CFV1275"",
    IF(REGEXMATCH(C185,""(?i)DPC""),""dpc"",
    IF(REGEXMATCH(C1"&amp;"85,""(?i)Concealed Clips""),""ConClips"",
    IF(REGEXMATCH(D185,""(?i)-Takeoff ea""),""Takeoff ea"",
    IF(REGEXMATCH(D185,""(?i)-Takeoff LM""),""Takeoff LM"",
    IF(REGEXMATCH(D185,""(?i)-Takeoff m2""),""Takeoff m2"",
    IF(D185=""R-TU/TD"",""TU/TD"""&amp;","""")))))))))))))))))
  )))"),"")</f>
        <v/>
      </c>
      <c r="C185" s="1437"/>
      <c r="D185" s="1144"/>
      <c r="E185" s="1118"/>
      <c r="F185" s="1144"/>
      <c r="G185" s="1144"/>
      <c r="H185" s="1120"/>
      <c r="I185" s="1120"/>
      <c r="J185" s="1144"/>
      <c r="K185" s="1144" t="str">
        <f>IFERROR(
  IF(B185="", "", VLOOKUP(B185, Data!$B$2:$K$905, 7, FALSE)),
  ""
)</f>
        <v/>
      </c>
      <c r="L185" s="1145"/>
      <c r="M185" s="1145" t="s">
        <v>42</v>
      </c>
      <c r="N185" s="1146" t="str">
        <f>IFERROR(__xludf.DUMMYFUNCTION("IF(B185="""", """", IFERROR(1 / COS(RADIANS(REGEXEXTRACT(F185,""(\d+)""))), 1))"),"")</f>
        <v/>
      </c>
      <c r="O185" s="1122"/>
      <c r="P185" s="1120"/>
      <c r="Q185" s="1122"/>
      <c r="R185" s="1104" t="str">
        <f>IFERROR(
  IF(B185="", "", VLOOKUP(B185, Data!$B$2:$K$905, 9, FALSE)),
  ""
)</f>
        <v/>
      </c>
      <c r="S185" s="1131"/>
      <c r="T185" s="1130"/>
      <c r="U185" s="1104" t="str">
        <f>IFERROR(
  IF(B185="", "", VLOOKUP(B185, Data!$B$2:$K$905, 10, FALSE)),
  ""
)
</f>
        <v/>
      </c>
      <c r="V185" s="1131"/>
      <c r="W185" s="1147"/>
      <c r="X185" s="1133"/>
      <c r="Y185" s="1110"/>
      <c r="Z185" s="1110"/>
      <c r="AA185" s="1110"/>
      <c r="AB185" s="1134">
        <f t="shared" si="128"/>
        <v>0</v>
      </c>
      <c r="AC185" s="1111"/>
      <c r="AD185" s="1148"/>
      <c r="AE185" s="1149"/>
      <c r="AF185" s="1150"/>
      <c r="AG185" s="1151"/>
      <c r="AH185" s="1152"/>
      <c r="AI185" s="1140"/>
      <c r="AJ185" s="1153"/>
      <c r="AK185" s="1153"/>
      <c r="AL185" s="1110"/>
      <c r="AM185" s="1110"/>
      <c r="AN185" s="1110"/>
      <c r="AO185" s="1110"/>
      <c r="AP185" s="1110"/>
      <c r="AQ185" s="1110"/>
      <c r="AR185" s="1110"/>
      <c r="AS185" s="1110"/>
      <c r="AT185" s="1110"/>
      <c r="AU185" s="1110"/>
      <c r="AV185" s="1110"/>
      <c r="AW185" s="1110"/>
      <c r="AX185" s="1110"/>
      <c r="AY185" s="1110"/>
      <c r="AZ185" s="1110"/>
      <c r="BA185" s="1110"/>
      <c r="BB185" s="1110"/>
      <c r="BC185" s="1110"/>
      <c r="BD185" s="1110"/>
      <c r="BE185" s="1110"/>
      <c r="BF185" s="1110"/>
      <c r="BG185" s="1110"/>
      <c r="BH185" s="1110"/>
      <c r="BI185" s="1114"/>
      <c r="BJ185" s="1114"/>
      <c r="BK185" s="1114"/>
      <c r="BL185" s="1114"/>
      <c r="BM185" s="1114"/>
      <c r="BN185" s="1114"/>
      <c r="BO185" s="1114"/>
      <c r="BP185" s="1114"/>
      <c r="BQ185" s="1114"/>
      <c r="BR185" s="1114"/>
      <c r="BS185" s="1114"/>
      <c r="BT185" s="1114"/>
    </row>
    <row r="186">
      <c r="A186" s="1313"/>
      <c r="B186" s="1426" t="s">
        <v>1243</v>
      </c>
      <c r="C186" s="1427" t="s">
        <v>1244</v>
      </c>
      <c r="D186" s="1428" t="s">
        <v>143</v>
      </c>
      <c r="E186" s="1438">
        <f>IFERROR(__xludf.DUMMYFUNCTION("IF(REGEXMATCH(C186, ""\d+mmØ""), VALUE(REGEXEXTRACT(C186, ""(\d+)mmØ""))/1000, """")
"),0.15)</f>
        <v>0.15</v>
      </c>
      <c r="F186" s="1144"/>
      <c r="G186" s="1144"/>
      <c r="H186" s="1120"/>
      <c r="I186" s="1120"/>
      <c r="J186" s="1121" t="s">
        <v>87</v>
      </c>
      <c r="K186" s="1121" t="str">
        <f>IFERROR(
  IF(B186="", "", VLOOKUP(B186, Data!$B$2:$K$905, 7, FALSE)),
  ""
)</f>
        <v/>
      </c>
      <c r="L186" s="1145"/>
      <c r="M186" s="1123">
        <v>1.0</v>
      </c>
      <c r="N186" s="1124">
        <f>IFERROR(__xludf.DUMMYFUNCTION("IF(B186="""", """", IFERROR(1 / COS(RADIANS(REGEXEXTRACT(F186,""(\d+)""))), 1))"),1.0)</f>
        <v>1</v>
      </c>
      <c r="O186" s="1125">
        <f>L184</f>
        <v>1</v>
      </c>
      <c r="P186" s="1126">
        <v>1.0</v>
      </c>
      <c r="Q186" s="1433">
        <f t="shared" ref="Q186:Q188" si="129">M186*N186*O186*P186</f>
        <v>1</v>
      </c>
      <c r="R186" s="1434" t="str">
        <f>IFERROR(
  IF(B186="", "", VLOOKUP(B186, Data!$B$2:$K$905, 9, FALSE)),
  ""
)</f>
        <v/>
      </c>
      <c r="S186" s="1129">
        <f t="shared" ref="S186:S188" si="130">R186*Q186</f>
        <v>0</v>
      </c>
      <c r="T186" s="1130"/>
      <c r="U186" s="1434" t="str">
        <f>IFERROR(
  IF(B186="", "", VLOOKUP(B186, Data!$B$2:$K$905, 10, FALSE)),
  ""
)
</f>
        <v/>
      </c>
      <c r="V186" s="1131"/>
      <c r="W186" s="1132">
        <f t="shared" ref="W186:W188" si="131">U186*Q186</f>
        <v>0</v>
      </c>
      <c r="X186" s="1133"/>
      <c r="Y186" s="1110"/>
      <c r="Z186" s="1110"/>
      <c r="AA186" s="1110"/>
      <c r="AB186" s="1134">
        <f t="shared" si="128"/>
        <v>0</v>
      </c>
      <c r="AC186" s="1111"/>
      <c r="AD186" s="1148"/>
      <c r="AE186" s="1149"/>
      <c r="AF186" s="1150"/>
      <c r="AG186" s="1151"/>
      <c r="AH186" s="1152"/>
      <c r="AI186" s="1140"/>
      <c r="AJ186" s="1153"/>
      <c r="AK186" s="1153"/>
      <c r="AL186" s="1110"/>
      <c r="AM186" s="1110"/>
      <c r="AN186" s="1110"/>
      <c r="AO186" s="1110"/>
      <c r="AP186" s="1110"/>
      <c r="AQ186" s="1110"/>
      <c r="AR186" s="1110"/>
      <c r="AS186" s="1110"/>
      <c r="AT186" s="1110"/>
      <c r="AU186" s="1110"/>
      <c r="AV186" s="1110"/>
      <c r="AW186" s="1110"/>
      <c r="AX186" s="1110"/>
      <c r="AY186" s="1110"/>
      <c r="AZ186" s="1110"/>
      <c r="BA186" s="1110"/>
      <c r="BB186" s="1110"/>
      <c r="BC186" s="1110"/>
      <c r="BD186" s="1110"/>
      <c r="BE186" s="1110"/>
      <c r="BF186" s="1110"/>
      <c r="BG186" s="1110"/>
      <c r="BH186" s="1110"/>
      <c r="BI186" s="1114"/>
      <c r="BJ186" s="1114"/>
      <c r="BK186" s="1114"/>
      <c r="BL186" s="1114"/>
      <c r="BM186" s="1114"/>
      <c r="BN186" s="1114"/>
      <c r="BO186" s="1114"/>
      <c r="BP186" s="1114"/>
      <c r="BQ186" s="1114"/>
      <c r="BR186" s="1114"/>
      <c r="BS186" s="1114"/>
      <c r="BT186" s="1114"/>
    </row>
    <row r="187">
      <c r="A187" s="1313"/>
      <c r="B187" s="1426" t="str">
        <f>IFERROR(__xludf.DUMMYFUNCTION("IFERROR(
  IF(C187="""","""",
    IF(OR(REGEXMATCH(D187,""(?i)-Flashing""), REGEXMATCH(D187,""(?i)-EavesGut""), REGEXMATCH(D187,""(?i)Valley"")),
        ""DR"" &amp;
        TEXT(
            ROUNDUP(
                MIN(
                    VALUE(MID(C187, "&amp;"FIND(""("",C187)+1, FIND(""/"",C187)-FIND(""("",C187)-1)),
                    1200
                ) / 50, 0
            ) * 50, ""0""
        ) &amp;
        MID(C187, FIND(""/"",C187)+1, FIND("")"",C187)-FIND(""/"",C187)-1) &amp;
        TEXT(H187*100,""0"") &amp;"&amp;"
        I187,
    IF(AND(D187=""Roof Sheet"", REGEXMATCH(C187,""(?i)KS\d{4}[A-Z]{2}"")),
       REGEXEXTRACT(C187,""(?i)KS\d{4}[A-Z]{2}""),
    IF(AND(REGEXMATCH(D187,""(?i)-DP""), REGEXMATCH(C187,""(?i)Downpipe"")),
       ""dp"" &amp; REGEXEXTRACT(C187,""("&amp;"\d+)"") &amp; ""mm"",
    IF(AND(REGEXMATCH(D187,""(?i)Bracket""), REGEXMATCH(C187,""(?i)Bracket"")),
       ""Brkt"" &amp; REGEXEXTRACT(C187,""(\d+)"") &amp; ""mm"",
    IF(AND(REGEXMATCH(D187,""(?i)-OP""), REGEXMATCH(C187,""(?i)pops"")),
       ""op"" &amp; REGEXEXTRAC"&amp;"T(C187,""(\d+)"") &amp; ""mm"",
    IF(OR(D187=""R-FFTop"", D187=""R-FFBottom"", D187=""R-FFSide""),
        IF(REGEXMATCH(C187,""(?i)Profiled.*Top|Top.*Profiled""),""pfft"",
        IF(REGEXMATCH(C187,""(?i)Profiled.*Bottom|Bottom.*Profiled""),""pffb"",
    "&amp;"    IF(REGEXMATCH(C187,""(?i)Square""),""sff"",""""))),
    IF(REGEXMATCH(D187,""(?i)-Rivets""),""Rvt"",
    IF(REGEXMATCH(D187,""(?i)Silicone|Seal""),""300ml"",
    IF(REGEXMATCH(D187,""(?i)R-Butyl""),""300ml"",
    IF(REGEXMATCH(D187,""(?i)Fix""),""GenF"&amp;"ix"",
    IF(AND(REGEXMATCH(C187,""(?i)Timber""), REGEXMATCH(D187,""(?i)Timber"")),""tp"",
    IF(AND(REGEXMATCH(C187,""(?i)Vent G1275""), REGEXMATCH(D187,""(?i)Comb FIller"")),""CFV1275"",
    IF(REGEXMATCH(C187,""(?i)DPC""),""dpc"",
    IF(REGEXMATCH(C1"&amp;"87,""(?i)Concealed Clips""),""ConClips"",
    IF(REGEXMATCH(D187,""(?i)-Takeoff ea""),""Takeoff ea"",
    IF(REGEXMATCH(D187,""(?i)-Takeoff LM""),""Takeoff LM"",
    IF(REGEXMATCH(D187,""(?i)-Takeoff m2""),""Takeoff m2"",
    IF(D187=""R-TU/TD"",""TU/TD"""&amp;","""")))))))))))))))))
  )))"),"300ml")</f>
        <v>300ml</v>
      </c>
      <c r="C187" s="1115" t="s">
        <v>98</v>
      </c>
      <c r="D187" s="1428" t="s">
        <v>388</v>
      </c>
      <c r="E187" s="1438">
        <f>E186</f>
        <v>0.15</v>
      </c>
      <c r="F187" s="1144"/>
      <c r="G187" s="1144"/>
      <c r="H187" s="1120"/>
      <c r="I187" s="1120"/>
      <c r="J187" s="1121" t="s">
        <v>87</v>
      </c>
      <c r="K187" s="1121" t="str">
        <f>IFERROR(
  IF(B187="", "", VLOOKUP(B187, Data!$B$2:$K$905, 7, FALSE)),
  ""
)</f>
        <v/>
      </c>
      <c r="L187" s="1145"/>
      <c r="M187" s="1123">
        <f>ROUNDUP(3.14*E187,0)/8</f>
        <v>0.125</v>
      </c>
      <c r="N187" s="1124">
        <f>IFERROR(__xludf.DUMMYFUNCTION("IF(B187="""", """", IFERROR(1 / COS(RADIANS(REGEXEXTRACT(F187,""(\d+)""))), 1))"),1.0)</f>
        <v>1</v>
      </c>
      <c r="O187" s="1125">
        <f>O186</f>
        <v>1</v>
      </c>
      <c r="P187" s="1126">
        <v>1.0</v>
      </c>
      <c r="Q187" s="1433">
        <f t="shared" si="129"/>
        <v>0.125</v>
      </c>
      <c r="R187" s="1434" t="str">
        <f>IFERROR(
  IF(B187="", "", VLOOKUP(B187, Data!$B$2:$K$905, 9, FALSE)),
  ""
)</f>
        <v/>
      </c>
      <c r="S187" s="1129">
        <f t="shared" si="130"/>
        <v>0</v>
      </c>
      <c r="T187" s="1130"/>
      <c r="U187" s="1104" t="str">
        <f>IFERROR(
  IF(B187="", "", VLOOKUP(B187, Data!$B$2:$K$905, 10, FALSE)),
  ""
)
</f>
        <v/>
      </c>
      <c r="V187" s="1131"/>
      <c r="W187" s="1132">
        <f t="shared" si="131"/>
        <v>0</v>
      </c>
      <c r="X187" s="1133"/>
      <c r="Y187" s="1110"/>
      <c r="Z187" s="1110"/>
      <c r="AA187" s="1110"/>
      <c r="AB187" s="1134">
        <f t="shared" si="128"/>
        <v>0</v>
      </c>
      <c r="AC187" s="1111"/>
      <c r="AD187" s="1148"/>
      <c r="AE187" s="1149"/>
      <c r="AF187" s="1150"/>
      <c r="AG187" s="1151"/>
      <c r="AH187" s="1152"/>
      <c r="AI187" s="1140"/>
      <c r="AJ187" s="1153"/>
      <c r="AK187" s="1153"/>
      <c r="AL187" s="1110"/>
      <c r="AM187" s="1110"/>
      <c r="AN187" s="1110"/>
      <c r="AO187" s="1110"/>
      <c r="AP187" s="1110"/>
      <c r="AQ187" s="1110"/>
      <c r="AR187" s="1110"/>
      <c r="AS187" s="1110"/>
      <c r="AT187" s="1110"/>
      <c r="AU187" s="1110"/>
      <c r="AV187" s="1110"/>
      <c r="AW187" s="1110"/>
      <c r="AX187" s="1110"/>
      <c r="AY187" s="1110"/>
      <c r="AZ187" s="1110"/>
      <c r="BA187" s="1110"/>
      <c r="BB187" s="1110"/>
      <c r="BC187" s="1110"/>
      <c r="BD187" s="1110"/>
      <c r="BE187" s="1110"/>
      <c r="BF187" s="1110"/>
      <c r="BG187" s="1110"/>
      <c r="BH187" s="1110"/>
      <c r="BI187" s="1114"/>
      <c r="BJ187" s="1114"/>
      <c r="BK187" s="1114"/>
      <c r="BL187" s="1114"/>
      <c r="BM187" s="1114"/>
      <c r="BN187" s="1114"/>
      <c r="BO187" s="1114"/>
      <c r="BP187" s="1114"/>
      <c r="BQ187" s="1114"/>
      <c r="BR187" s="1114"/>
      <c r="BS187" s="1114"/>
      <c r="BT187" s="1114"/>
    </row>
    <row r="188">
      <c r="A188" s="1313"/>
      <c r="B188" s="1426" t="str">
        <f>IFERROR(__xludf.DUMMYFUNCTION("IFERROR(
  IF(C188="""","""",
    IF(OR(REGEXMATCH(D188,""(?i)-Flashing""), REGEXMATCH(D188,""(?i)-EavesGut""), REGEXMATCH(D188,""(?i)Valley"")),
        ""DR"" &amp;
        TEXT(
            ROUNDUP(
                MIN(
                    VALUE(MID(C188, "&amp;"FIND(""("",C188)+1, FIND(""/"",C188)-FIND(""("",C188)-1)),
                    1200
                ) / 50, 0
            ) * 50, ""0""
        ) &amp;
        MID(C188, FIND(""/"",C188)+1, FIND("")"",C188)-FIND(""/"",C188)-1) &amp;
        TEXT(H188*100,""0"") &amp;"&amp;"
        I188,
    IF(AND(D188=""Roof Sheet"", REGEXMATCH(C188,""(?i)KS\d{4}[A-Z]{2}"")),
       REGEXEXTRACT(C188,""(?i)KS\d{4}[A-Z]{2}""),
    IF(AND(REGEXMATCH(D188,""(?i)-DP""), REGEXMATCH(C188,""(?i)Downpipe"")),
       ""dp"" &amp; REGEXEXTRACT(C188,""("&amp;"\d+)"") &amp; ""mm"",
    IF(AND(REGEXMATCH(D188,""(?i)Bracket""), REGEXMATCH(C188,""(?i)Bracket"")),
       ""Brkt"" &amp; REGEXEXTRACT(C188,""(\d+)"") &amp; ""mm"",
    IF(AND(REGEXMATCH(D188,""(?i)-OP""), REGEXMATCH(C188,""(?i)pops"")),
       ""op"" &amp; REGEXEXTRAC"&amp;"T(C188,""(\d+)"") &amp; ""mm"",
    IF(OR(D188=""R-FFTop"", D188=""R-FFBottom"", D188=""R-FFSide""),
        IF(REGEXMATCH(C188,""(?i)Profiled.*Top|Top.*Profiled""),""pfft"",
        IF(REGEXMATCH(C188,""(?i)Profiled.*Bottom|Bottom.*Profiled""),""pffb"",
    "&amp;"    IF(REGEXMATCH(C188,""(?i)Square""),""sff"",""""))),
    IF(REGEXMATCH(D188,""(?i)-Rivets""),""Rvt"",
    IF(REGEXMATCH(D188,""(?i)Silicone|Seal""),""300ml"",
    IF(REGEXMATCH(D188,""(?i)R-Butyl""),""300ml"",
    IF(REGEXMATCH(D188,""(?i)Fix""),""GenF"&amp;"ix"",
    IF(AND(REGEXMATCH(C188,""(?i)Timber""), REGEXMATCH(D188,""(?i)Timber"")),""tp"",
    IF(AND(REGEXMATCH(C188,""(?i)Vent G1275""), REGEXMATCH(D188,""(?i)Comb FIller"")),""CFV1275"",
    IF(REGEXMATCH(C188,""(?i)DPC""),""dpc"",
    IF(REGEXMATCH(C1"&amp;"88,""(?i)Concealed Clips""),""ConClips"",
    IF(REGEXMATCH(D188,""(?i)-Takeoff ea""),""Takeoff ea"",
    IF(REGEXMATCH(D188,""(?i)-Takeoff LM""),""Takeoff LM"",
    IF(REGEXMATCH(D188,""(?i)-Takeoff m2""),""Takeoff m2"",
    IF(D188=""R-TU/TD"",""TU/TD"""&amp;","""")))))))))))))))))
  )))"),"GenFix")</f>
        <v>GenFix</v>
      </c>
      <c r="C188" s="1115" t="s">
        <v>102</v>
      </c>
      <c r="D188" s="1428" t="s">
        <v>144</v>
      </c>
      <c r="E188" s="1438">
        <f>E186</f>
        <v>0.15</v>
      </c>
      <c r="F188" s="1144"/>
      <c r="G188" s="1144"/>
      <c r="H188" s="1120"/>
      <c r="I188" s="1120"/>
      <c r="J188" s="1121" t="s">
        <v>87</v>
      </c>
      <c r="K188" s="1121" t="str">
        <f>IFERROR(
  IF(B188="", "", VLOOKUP(B188, Data!$B$2:$K$905, 7, FALSE)),
  ""
)</f>
        <v/>
      </c>
      <c r="L188" s="1145"/>
      <c r="M188" s="1123">
        <f>ROUNDUP(3.14*E188,0)/0.05</f>
        <v>20</v>
      </c>
      <c r="N188" s="1124">
        <f>IFERROR(__xludf.DUMMYFUNCTION("IF(B188="""", """", IFERROR(1 / COS(RADIANS(REGEXEXTRACT(F188,""(\d+)""))), 1))"),1.0)</f>
        <v>1</v>
      </c>
      <c r="O188" s="1125">
        <f>O186</f>
        <v>1</v>
      </c>
      <c r="P188" s="1126">
        <v>1.0</v>
      </c>
      <c r="Q188" s="1433">
        <f t="shared" si="129"/>
        <v>20</v>
      </c>
      <c r="R188" s="1434" t="str">
        <f>IFERROR(
  IF(B188="", "", VLOOKUP(B188, Data!$B$2:$K$905, 9, FALSE)),
  ""
)</f>
        <v/>
      </c>
      <c r="S188" s="1129">
        <f t="shared" si="130"/>
        <v>0</v>
      </c>
      <c r="T188" s="1130"/>
      <c r="U188" s="1104" t="str">
        <f>IFERROR(
  IF(B188="", "", VLOOKUP(B188, Data!$B$2:$K$905, 10, FALSE)),
  ""
)
</f>
        <v/>
      </c>
      <c r="V188" s="1131"/>
      <c r="W188" s="1132">
        <f t="shared" si="131"/>
        <v>0</v>
      </c>
      <c r="X188" s="1133"/>
      <c r="Y188" s="1110"/>
      <c r="Z188" s="1110"/>
      <c r="AA188" s="1110"/>
      <c r="AB188" s="1134">
        <f t="shared" si="128"/>
        <v>0</v>
      </c>
      <c r="AC188" s="1111"/>
      <c r="AD188" s="1148"/>
      <c r="AE188" s="1149"/>
      <c r="AF188" s="1150"/>
      <c r="AG188" s="1151"/>
      <c r="AH188" s="1152"/>
      <c r="AI188" s="1140"/>
      <c r="AJ188" s="1153"/>
      <c r="AK188" s="1153"/>
      <c r="AL188" s="1110"/>
      <c r="AM188" s="1110"/>
      <c r="AN188" s="1110"/>
      <c r="AO188" s="1110"/>
      <c r="AP188" s="1110"/>
      <c r="AQ188" s="1110"/>
      <c r="AR188" s="1110"/>
      <c r="AS188" s="1110"/>
      <c r="AT188" s="1110"/>
      <c r="AU188" s="1110"/>
      <c r="AV188" s="1110"/>
      <c r="AW188" s="1110"/>
      <c r="AX188" s="1110"/>
      <c r="AY188" s="1110"/>
      <c r="AZ188" s="1110"/>
      <c r="BA188" s="1110"/>
      <c r="BB188" s="1110"/>
      <c r="BC188" s="1110"/>
      <c r="BD188" s="1110"/>
      <c r="BE188" s="1110"/>
      <c r="BF188" s="1110"/>
      <c r="BG188" s="1110"/>
      <c r="BH188" s="1110"/>
      <c r="BI188" s="1114"/>
      <c r="BJ188" s="1114"/>
      <c r="BK188" s="1114"/>
      <c r="BL188" s="1114"/>
      <c r="BM188" s="1114"/>
      <c r="BN188" s="1114"/>
      <c r="BO188" s="1114"/>
      <c r="BP188" s="1114"/>
      <c r="BQ188" s="1114"/>
      <c r="BR188" s="1114"/>
      <c r="BS188" s="1114"/>
      <c r="BT188" s="1114"/>
    </row>
    <row r="189">
      <c r="A189" s="1313"/>
      <c r="B189" s="1143"/>
      <c r="C189" s="1166"/>
      <c r="D189" s="1144"/>
      <c r="E189" s="1118"/>
      <c r="F189" s="1144"/>
      <c r="G189" s="1144"/>
      <c r="H189" s="1120"/>
      <c r="I189" s="1120"/>
      <c r="J189" s="1144"/>
      <c r="K189" s="1144"/>
      <c r="L189" s="1145"/>
      <c r="M189" s="1145"/>
      <c r="N189" s="1146"/>
      <c r="O189" s="1122"/>
      <c r="P189" s="1120"/>
      <c r="Q189" s="1122"/>
      <c r="R189" s="1104" t="str">
        <f>IFERROR(
  IF(B189="", "", VLOOKUP(B189, Data!$B$2:$K$905, 9, FALSE)),
  ""
)</f>
        <v/>
      </c>
      <c r="S189" s="1131"/>
      <c r="T189" s="1130"/>
      <c r="U189" s="1104" t="str">
        <f>IFERROR(
  IF(B189="", "", VLOOKUP(B189, Data!$B$2:$K$905, 10, FALSE)),
  ""
)
</f>
        <v/>
      </c>
      <c r="V189" s="1131"/>
      <c r="W189" s="1147"/>
      <c r="X189" s="1133"/>
      <c r="Y189" s="1110"/>
      <c r="Z189" s="1110"/>
      <c r="AA189" s="1110"/>
      <c r="AB189" s="1134">
        <f t="shared" si="128"/>
        <v>0</v>
      </c>
      <c r="AC189" s="1111"/>
      <c r="AD189" s="1148"/>
      <c r="AE189" s="1149"/>
      <c r="AF189" s="1150"/>
      <c r="AG189" s="1151"/>
      <c r="AH189" s="1152"/>
      <c r="AI189" s="1140"/>
      <c r="AJ189" s="1153"/>
      <c r="AK189" s="1153"/>
      <c r="AL189" s="1110"/>
      <c r="AM189" s="1110"/>
      <c r="AN189" s="1110"/>
      <c r="AO189" s="1110"/>
      <c r="AP189" s="1110"/>
      <c r="AQ189" s="1110"/>
      <c r="AR189" s="1110"/>
      <c r="AS189" s="1110"/>
      <c r="AT189" s="1110"/>
      <c r="AU189" s="1110"/>
      <c r="AV189" s="1110"/>
      <c r="AW189" s="1110"/>
      <c r="AX189" s="1110"/>
      <c r="AY189" s="1110"/>
      <c r="AZ189" s="1110"/>
      <c r="BA189" s="1110"/>
      <c r="BB189" s="1110"/>
      <c r="BC189" s="1110"/>
      <c r="BD189" s="1110"/>
      <c r="BE189" s="1110"/>
      <c r="BF189" s="1110"/>
      <c r="BG189" s="1110"/>
      <c r="BH189" s="1110"/>
      <c r="BI189" s="1114"/>
      <c r="BJ189" s="1114"/>
      <c r="BK189" s="1114"/>
      <c r="BL189" s="1114"/>
      <c r="BM189" s="1114"/>
      <c r="BN189" s="1114"/>
      <c r="BO189" s="1114"/>
      <c r="BP189" s="1114"/>
      <c r="BQ189" s="1114"/>
      <c r="BR189" s="1114"/>
      <c r="BS189" s="1114"/>
      <c r="BT189" s="1114"/>
    </row>
    <row r="190">
      <c r="A190" s="1313"/>
      <c r="B190" s="1426" t="s">
        <v>1243</v>
      </c>
      <c r="C190" s="1427" t="s">
        <v>1245</v>
      </c>
      <c r="D190" s="1428" t="s">
        <v>143</v>
      </c>
      <c r="E190" s="1438">
        <f>IFERROR(__xludf.DUMMYFUNCTION("IF(REGEXMATCH(C190, ""\d+mmØ""), VALUE(REGEXEXTRACT(C190, ""(\d+)mmØ""))/1000, """")
"),0.15)</f>
        <v>0.15</v>
      </c>
      <c r="F190" s="1144"/>
      <c r="G190" s="1144"/>
      <c r="H190" s="1120"/>
      <c r="I190" s="1120"/>
      <c r="J190" s="1121" t="s">
        <v>87</v>
      </c>
      <c r="K190" s="1121" t="str">
        <f>IFERROR(
  IF(B190="", "", VLOOKUP(B190, Data!$B$2:$K$905, 7, FALSE)),
  ""
)</f>
        <v/>
      </c>
      <c r="L190" s="1145"/>
      <c r="M190" s="1123">
        <v>1.0</v>
      </c>
      <c r="N190" s="1124">
        <f>IFERROR(__xludf.DUMMYFUNCTION("IF(B190="""", """", IFERROR(1 / COS(RADIANS(REGEXEXTRACT(F190,""(\d+)""))), 1))"),1.0)</f>
        <v>1</v>
      </c>
      <c r="O190" s="1125">
        <f>O188</f>
        <v>1</v>
      </c>
      <c r="P190" s="1126">
        <v>1.0</v>
      </c>
      <c r="Q190" s="1433">
        <f t="shared" ref="Q190:Q193" si="132">M190*N190*O190*P190</f>
        <v>1</v>
      </c>
      <c r="R190" s="1434" t="str">
        <f>IFERROR(
  IF(B190="", "", VLOOKUP(B190, Data!$B$2:$K$905, 9, FALSE)),
  ""
)</f>
        <v/>
      </c>
      <c r="S190" s="1129">
        <f t="shared" ref="S190:S193" si="133">R190*Q190</f>
        <v>0</v>
      </c>
      <c r="T190" s="1130"/>
      <c r="U190" s="1434" t="str">
        <f>IFERROR(
  IF(B190="", "", VLOOKUP(B190, Data!$B$2:$K$905, 10, FALSE)),
  ""
)
</f>
        <v/>
      </c>
      <c r="V190" s="1131"/>
      <c r="W190" s="1132">
        <f t="shared" ref="W190:W193" si="134">U190*Q190</f>
        <v>0</v>
      </c>
      <c r="X190" s="1133"/>
      <c r="Y190" s="1110"/>
      <c r="Z190" s="1110"/>
      <c r="AA190" s="1110"/>
      <c r="AB190" s="1134">
        <f t="shared" si="128"/>
        <v>0</v>
      </c>
      <c r="AC190" s="1111"/>
      <c r="AD190" s="1148"/>
      <c r="AE190" s="1149"/>
      <c r="AF190" s="1150"/>
      <c r="AG190" s="1151"/>
      <c r="AH190" s="1152"/>
      <c r="AI190" s="1140"/>
      <c r="AJ190" s="1153"/>
      <c r="AK190" s="1153"/>
      <c r="AL190" s="1110"/>
      <c r="AM190" s="1110"/>
      <c r="AN190" s="1110"/>
      <c r="AO190" s="1110"/>
      <c r="AP190" s="1110"/>
      <c r="AQ190" s="1110"/>
      <c r="AR190" s="1110"/>
      <c r="AS190" s="1110"/>
      <c r="AT190" s="1110"/>
      <c r="AU190" s="1110"/>
      <c r="AV190" s="1110"/>
      <c r="AW190" s="1110"/>
      <c r="AX190" s="1110"/>
      <c r="AY190" s="1110"/>
      <c r="AZ190" s="1110"/>
      <c r="BA190" s="1110"/>
      <c r="BB190" s="1110"/>
      <c r="BC190" s="1110"/>
      <c r="BD190" s="1110"/>
      <c r="BE190" s="1110"/>
      <c r="BF190" s="1110"/>
      <c r="BG190" s="1110"/>
      <c r="BH190" s="1110"/>
      <c r="BI190" s="1114"/>
      <c r="BJ190" s="1114"/>
      <c r="BK190" s="1114"/>
      <c r="BL190" s="1114"/>
      <c r="BM190" s="1114"/>
      <c r="BN190" s="1114"/>
      <c r="BO190" s="1114"/>
      <c r="BP190" s="1114"/>
      <c r="BQ190" s="1114"/>
      <c r="BR190" s="1114"/>
      <c r="BS190" s="1114"/>
      <c r="BT190" s="1114"/>
    </row>
    <row r="191">
      <c r="A191" s="1313"/>
      <c r="B191" s="1426" t="str">
        <f>IFERROR(__xludf.DUMMYFUNCTION("IFERROR(
  IF(C191="""","""",
    IF(OR(REGEXMATCH(D191,""(?i)-Flashing""), REGEXMATCH(D191,""(?i)-EavesGut""), REGEXMATCH(D191,""(?i)Valley"")),
        ""DR"" &amp;
        TEXT(
            ROUNDUP(
                MIN(
                    VALUE(MID(C191, "&amp;"FIND(""("",C191)+1, FIND(""/"",C191)-FIND(""("",C191)-1)),
                    1200
                ) / 50, 0
            ) * 50, ""0""
        ) &amp;
        MID(C191, FIND(""/"",C191)+1, FIND("")"",C191)-FIND(""/"",C191)-1) &amp;
        TEXT(H191*100,""0"") &amp;"&amp;"
        I191,
    IF(AND(D191=""Roof Sheet"", REGEXMATCH(C191,""(?i)KS\d{4}[A-Z]{2}"")),
       REGEXEXTRACT(C191,""(?i)KS\d{4}[A-Z]{2}""),
    IF(AND(REGEXMATCH(D191,""(?i)-DP""), REGEXMATCH(C191,""(?i)Downpipe"")),
       ""dp"" &amp; REGEXEXTRACT(C191,""("&amp;"\d+)"") &amp; ""mm"",
    IF(AND(REGEXMATCH(D191,""(?i)Bracket""), REGEXMATCH(C191,""(?i)Bracket"")),
       ""Brkt"" &amp; REGEXEXTRACT(C191,""(\d+)"") &amp; ""mm"",
    IF(AND(REGEXMATCH(D191,""(?i)-OP""), REGEXMATCH(C191,""(?i)pops"")),
       ""op"" &amp; REGEXEXTRAC"&amp;"T(C191,""(\d+)"") &amp; ""mm"",
    IF(OR(D191=""R-FFTop"", D191=""R-FFBottom"", D191=""R-FFSide""),
        IF(REGEXMATCH(C191,""(?i)Profiled.*Top|Top.*Profiled""),""pfft"",
        IF(REGEXMATCH(C191,""(?i)Profiled.*Bottom|Bottom.*Profiled""),""pffb"",
    "&amp;"    IF(REGEXMATCH(C191,""(?i)Square""),""sff"",""""))),
    IF(REGEXMATCH(D191,""(?i)-Rivets""),""Rvt"",
    IF(REGEXMATCH(D191,""(?i)Silicone|Seal""),""300ml"",
    IF(REGEXMATCH(D191,""(?i)R-Butyl""),""300ml"",
    IF(REGEXMATCH(D191,""(?i)Fix""),""GenF"&amp;"ix"",
    IF(AND(REGEXMATCH(C191,""(?i)Timber""), REGEXMATCH(D191,""(?i)Timber"")),""tp"",
    IF(AND(REGEXMATCH(C191,""(?i)Vent G1275""), REGEXMATCH(D191,""(?i)Comb FIller"")),""CFV1275"",
    IF(REGEXMATCH(C191,""(?i)DPC""),""dpc"",
    IF(REGEXMATCH(C1"&amp;"91,""(?i)Concealed Clips""),""ConClips"",
    IF(REGEXMATCH(D191,""(?i)-Takeoff ea""),""Takeoff ea"",
    IF(REGEXMATCH(D191,""(?i)-Takeoff LM""),""Takeoff LM"",
    IF(REGEXMATCH(D191,""(?i)-Takeoff m2""),""Takeoff m2"",
    IF(D191=""R-TU/TD"",""TU/TD"""&amp;","""")))))))))))))))))
  )))"),"300ml")</f>
        <v>300ml</v>
      </c>
      <c r="C191" s="1115" t="s">
        <v>98</v>
      </c>
      <c r="D191" s="1428" t="s">
        <v>388</v>
      </c>
      <c r="E191" s="1438">
        <f>E190</f>
        <v>0.15</v>
      </c>
      <c r="F191" s="1144"/>
      <c r="G191" s="1144"/>
      <c r="H191" s="1120"/>
      <c r="I191" s="1120"/>
      <c r="J191" s="1121" t="s">
        <v>87</v>
      </c>
      <c r="K191" s="1121" t="str">
        <f>IFERROR(
  IF(B191="", "", VLOOKUP(B191, Data!$B$2:$K$905, 7, FALSE)),
  ""
)</f>
        <v/>
      </c>
      <c r="L191" s="1145"/>
      <c r="M191" s="1123">
        <f>ROUNDUP(3.14*E191,0)/8</f>
        <v>0.125</v>
      </c>
      <c r="N191" s="1124">
        <f>IFERROR(__xludf.DUMMYFUNCTION("IF(B191="""", """", IFERROR(1 / COS(RADIANS(REGEXEXTRACT(F191,""(\d+)""))), 1))"),1.0)</f>
        <v>1</v>
      </c>
      <c r="O191" s="1125">
        <f>O190</f>
        <v>1</v>
      </c>
      <c r="P191" s="1126">
        <v>1.0</v>
      </c>
      <c r="Q191" s="1433">
        <f t="shared" si="132"/>
        <v>0.125</v>
      </c>
      <c r="R191" s="1434" t="str">
        <f>IFERROR(
  IF(B191="", "", VLOOKUP(B191, Data!$B$2:$K$905, 9, FALSE)),
  ""
)</f>
        <v/>
      </c>
      <c r="S191" s="1129">
        <f t="shared" si="133"/>
        <v>0</v>
      </c>
      <c r="T191" s="1130"/>
      <c r="U191" s="1104" t="str">
        <f>IFERROR(
  IF(B191="", "", VLOOKUP(B191, Data!$B$2:$K$905, 10, FALSE)),
  ""
)
</f>
        <v/>
      </c>
      <c r="V191" s="1131"/>
      <c r="W191" s="1132">
        <f t="shared" si="134"/>
        <v>0</v>
      </c>
      <c r="X191" s="1133"/>
      <c r="Y191" s="1110"/>
      <c r="Z191" s="1110"/>
      <c r="AA191" s="1110"/>
      <c r="AB191" s="1134">
        <f t="shared" si="128"/>
        <v>0</v>
      </c>
      <c r="AC191" s="1111"/>
      <c r="AD191" s="1148"/>
      <c r="AE191" s="1149"/>
      <c r="AF191" s="1150"/>
      <c r="AG191" s="1151"/>
      <c r="AH191" s="1152"/>
      <c r="AI191" s="1140"/>
      <c r="AJ191" s="1153"/>
      <c r="AK191" s="1153"/>
      <c r="AL191" s="1110"/>
      <c r="AM191" s="1110"/>
      <c r="AN191" s="1110"/>
      <c r="AO191" s="1110"/>
      <c r="AP191" s="1110"/>
      <c r="AQ191" s="1110"/>
      <c r="AR191" s="1110"/>
      <c r="AS191" s="1110"/>
      <c r="AT191" s="1110"/>
      <c r="AU191" s="1110"/>
      <c r="AV191" s="1110"/>
      <c r="AW191" s="1110"/>
      <c r="AX191" s="1110"/>
      <c r="AY191" s="1110"/>
      <c r="AZ191" s="1110"/>
      <c r="BA191" s="1110"/>
      <c r="BB191" s="1110"/>
      <c r="BC191" s="1110"/>
      <c r="BD191" s="1110"/>
      <c r="BE191" s="1110"/>
      <c r="BF191" s="1110"/>
      <c r="BG191" s="1110"/>
      <c r="BH191" s="1110"/>
      <c r="BI191" s="1114"/>
      <c r="BJ191" s="1114"/>
      <c r="BK191" s="1114"/>
      <c r="BL191" s="1114"/>
      <c r="BM191" s="1114"/>
      <c r="BN191" s="1114"/>
      <c r="BO191" s="1114"/>
      <c r="BP191" s="1114"/>
      <c r="BQ191" s="1114"/>
      <c r="BR191" s="1114"/>
      <c r="BS191" s="1114"/>
      <c r="BT191" s="1114"/>
    </row>
    <row r="192">
      <c r="A192" s="1313"/>
      <c r="B192" s="1426" t="str">
        <f>IFERROR(__xludf.DUMMYFUNCTION("IFERROR(
  IF(C192="""","""",
    IF(OR(REGEXMATCH(D192,""(?i)-Flashing""), REGEXMATCH(D192,""(?i)-EavesGut""), REGEXMATCH(D192,""(?i)Valley"")),
        ""DR"" &amp;
        TEXT(
            ROUNDUP(
                MIN(
                    VALUE(MID(C192, "&amp;"FIND(""("",C192)+1, FIND(""/"",C192)-FIND(""("",C192)-1)),
                    1200
                ) / 50, 0
            ) * 50, ""0""
        ) &amp;
        MID(C192, FIND(""/"",C192)+1, FIND("")"",C192)-FIND(""/"",C192)-1) &amp;
        TEXT(H192*100,""0"") &amp;"&amp;"
        I192,
    IF(AND(D192=""Roof Sheet"", REGEXMATCH(C192,""(?i)KS\d{4}[A-Z]{2}"")),
       REGEXEXTRACT(C192,""(?i)KS\d{4}[A-Z]{2}""),
    IF(AND(REGEXMATCH(D192,""(?i)-DP""), REGEXMATCH(C192,""(?i)Downpipe"")),
       ""dp"" &amp; REGEXEXTRACT(C192,""("&amp;"\d+)"") &amp; ""mm"",
    IF(AND(REGEXMATCH(D192,""(?i)Bracket""), REGEXMATCH(C192,""(?i)Bracket"")),
       ""Brkt"" &amp; REGEXEXTRACT(C192,""(\d+)"") &amp; ""mm"",
    IF(AND(REGEXMATCH(D192,""(?i)-OP""), REGEXMATCH(C192,""(?i)pops"")),
       ""op"" &amp; REGEXEXTRAC"&amp;"T(C192,""(\d+)"") &amp; ""mm"",
    IF(OR(D192=""R-FFTop"", D192=""R-FFBottom"", D192=""R-FFSide""),
        IF(REGEXMATCH(C192,""(?i)Profiled.*Top|Top.*Profiled""),""pfft"",
        IF(REGEXMATCH(C192,""(?i)Profiled.*Bottom|Bottom.*Profiled""),""pffb"",
    "&amp;"    IF(REGEXMATCH(C192,""(?i)Square""),""sff"",""""))),
    IF(REGEXMATCH(D192,""(?i)-Rivets""),""Rvt"",
    IF(REGEXMATCH(D192,""(?i)Silicone|Seal""),""300ml"",
    IF(REGEXMATCH(D192,""(?i)R-Butyl""),""300ml"",
    IF(REGEXMATCH(D192,""(?i)Fix""),""GenF"&amp;"ix"",
    IF(AND(REGEXMATCH(C192,""(?i)Timber""), REGEXMATCH(D192,""(?i)Timber"")),""tp"",
    IF(AND(REGEXMATCH(C192,""(?i)Vent G1275""), REGEXMATCH(D192,""(?i)Comb FIller"")),""CFV1275"",
    IF(REGEXMATCH(C192,""(?i)DPC""),""dpc"",
    IF(REGEXMATCH(C1"&amp;"92,""(?i)Concealed Clips""),""ConClips"",
    IF(REGEXMATCH(D192,""(?i)-Takeoff ea""),""Takeoff ea"",
    IF(REGEXMATCH(D192,""(?i)-Takeoff LM""),""Takeoff LM"",
    IF(REGEXMATCH(D192,""(?i)-Takeoff m2""),""Takeoff m2"",
    IF(D192=""R-TU/TD"",""TU/TD"""&amp;","""")))))))))))))))))
  )))"),"GenFix")</f>
        <v>GenFix</v>
      </c>
      <c r="C192" s="1115" t="s">
        <v>102</v>
      </c>
      <c r="D192" s="1428" t="s">
        <v>144</v>
      </c>
      <c r="E192" s="1438">
        <f>E190</f>
        <v>0.15</v>
      </c>
      <c r="F192" s="1144"/>
      <c r="G192" s="1144"/>
      <c r="H192" s="1120"/>
      <c r="I192" s="1120"/>
      <c r="J192" s="1121" t="s">
        <v>87</v>
      </c>
      <c r="K192" s="1121" t="str">
        <f>IFERROR(
  IF(B192="", "", VLOOKUP(B192, Data!$B$2:$K$905, 7, FALSE)),
  ""
)</f>
        <v/>
      </c>
      <c r="L192" s="1145"/>
      <c r="M192" s="1123">
        <f>ROUNDUP(3.14*E192,0)/0.05</f>
        <v>20</v>
      </c>
      <c r="N192" s="1124">
        <f>IFERROR(__xludf.DUMMYFUNCTION("IF(B192="""", """", IFERROR(1 / COS(RADIANS(REGEXEXTRACT(F192,""(\d+)""))), 1))"),1.0)</f>
        <v>1</v>
      </c>
      <c r="O192" s="1125">
        <f t="shared" ref="O192:O193" si="135">O190</f>
        <v>1</v>
      </c>
      <c r="P192" s="1126">
        <v>1.0</v>
      </c>
      <c r="Q192" s="1433">
        <f t="shared" si="132"/>
        <v>20</v>
      </c>
      <c r="R192" s="1434" t="str">
        <f>IFERROR(
  IF(B192="", "", VLOOKUP(B192, Data!$B$2:$K$905, 9, FALSE)),
  ""
)</f>
        <v/>
      </c>
      <c r="S192" s="1129">
        <f t="shared" si="133"/>
        <v>0</v>
      </c>
      <c r="T192" s="1130"/>
      <c r="U192" s="1104" t="str">
        <f>IFERROR(
  IF(B192="", "", VLOOKUP(B192, Data!$B$2:$K$905, 10, FALSE)),
  ""
)
</f>
        <v/>
      </c>
      <c r="V192" s="1131"/>
      <c r="W192" s="1132">
        <f t="shared" si="134"/>
        <v>0</v>
      </c>
      <c r="X192" s="1133"/>
      <c r="Y192" s="1110"/>
      <c r="Z192" s="1110"/>
      <c r="AA192" s="1110"/>
      <c r="AB192" s="1134">
        <f t="shared" si="128"/>
        <v>0</v>
      </c>
      <c r="AC192" s="1111"/>
      <c r="AD192" s="1148"/>
      <c r="AE192" s="1149"/>
      <c r="AF192" s="1150"/>
      <c r="AG192" s="1151"/>
      <c r="AH192" s="1152"/>
      <c r="AI192" s="1140"/>
      <c r="AJ192" s="1153"/>
      <c r="AK192" s="1153"/>
      <c r="AL192" s="1110"/>
      <c r="AM192" s="1110"/>
      <c r="AN192" s="1110"/>
      <c r="AO192" s="1110"/>
      <c r="AP192" s="1110"/>
      <c r="AQ192" s="1110"/>
      <c r="AR192" s="1110"/>
      <c r="AS192" s="1110"/>
      <c r="AT192" s="1110"/>
      <c r="AU192" s="1110"/>
      <c r="AV192" s="1110"/>
      <c r="AW192" s="1110"/>
      <c r="AX192" s="1110"/>
      <c r="AY192" s="1110"/>
      <c r="AZ192" s="1110"/>
      <c r="BA192" s="1110"/>
      <c r="BB192" s="1110"/>
      <c r="BC192" s="1110"/>
      <c r="BD192" s="1110"/>
      <c r="BE192" s="1110"/>
      <c r="BF192" s="1110"/>
      <c r="BG192" s="1110"/>
      <c r="BH192" s="1110"/>
      <c r="BI192" s="1114"/>
      <c r="BJ192" s="1114"/>
      <c r="BK192" s="1114"/>
      <c r="BL192" s="1114"/>
      <c r="BM192" s="1114"/>
      <c r="BN192" s="1114"/>
      <c r="BO192" s="1114"/>
      <c r="BP192" s="1114"/>
      <c r="BQ192" s="1114"/>
      <c r="BR192" s="1114"/>
      <c r="BS192" s="1114"/>
      <c r="BT192" s="1114"/>
    </row>
    <row r="193">
      <c r="A193" s="1313"/>
      <c r="B193" s="1426" t="s">
        <v>1246</v>
      </c>
      <c r="C193" s="1115" t="s">
        <v>1247</v>
      </c>
      <c r="D193" s="1428" t="s">
        <v>603</v>
      </c>
      <c r="E193" s="1118"/>
      <c r="F193" s="1144"/>
      <c r="G193" s="1144"/>
      <c r="H193" s="1120"/>
      <c r="I193" s="1120"/>
      <c r="J193" s="1121" t="s">
        <v>87</v>
      </c>
      <c r="K193" s="1144" t="str">
        <f>IFERROR(
  IF(B193="", "", VLOOKUP(B193, Data!$B$2:$K$905, 7, FALSE)),
  ""
)</f>
        <v/>
      </c>
      <c r="L193" s="1145"/>
      <c r="M193" s="1123">
        <v>1.0</v>
      </c>
      <c r="N193" s="1124">
        <f>IFERROR(__xludf.DUMMYFUNCTION("IF(B193="""", """", IFERROR(1 / COS(RADIANS(REGEXEXTRACT(F193,""(\d+)""))), 1))"),1.0)</f>
        <v>1</v>
      </c>
      <c r="O193" s="1125">
        <f t="shared" si="135"/>
        <v>1</v>
      </c>
      <c r="P193" s="1126">
        <v>1.0</v>
      </c>
      <c r="Q193" s="1433">
        <f t="shared" si="132"/>
        <v>1</v>
      </c>
      <c r="R193" s="1434" t="str">
        <f>IFERROR(
  IF(B193="", "", VLOOKUP(B193, Data!$B$2:$K$905, 9, FALSE)),
  ""
)</f>
        <v/>
      </c>
      <c r="S193" s="1129">
        <f t="shared" si="133"/>
        <v>0</v>
      </c>
      <c r="T193" s="1130"/>
      <c r="U193" s="1434" t="str">
        <f>IFERROR(
  IF(B193="", "", VLOOKUP(B193, Data!$B$2:$K$905, 10, FALSE)),
  ""
)
</f>
        <v/>
      </c>
      <c r="V193" s="1131"/>
      <c r="W193" s="1132">
        <f t="shared" si="134"/>
        <v>0</v>
      </c>
      <c r="X193" s="1133"/>
      <c r="Y193" s="1110"/>
      <c r="Z193" s="1110"/>
      <c r="AA193" s="1110"/>
      <c r="AB193" s="1134">
        <f t="shared" si="128"/>
        <v>0</v>
      </c>
      <c r="AC193" s="1111"/>
      <c r="AD193" s="1148"/>
      <c r="AE193" s="1149"/>
      <c r="AF193" s="1150"/>
      <c r="AG193" s="1151"/>
      <c r="AH193" s="1152"/>
      <c r="AI193" s="1140"/>
      <c r="AJ193" s="1153"/>
      <c r="AK193" s="1153"/>
      <c r="AL193" s="1110"/>
      <c r="AM193" s="1110"/>
      <c r="AN193" s="1110"/>
      <c r="AO193" s="1110"/>
      <c r="AP193" s="1110"/>
      <c r="AQ193" s="1110"/>
      <c r="AR193" s="1110"/>
      <c r="AS193" s="1110"/>
      <c r="AT193" s="1110"/>
      <c r="AU193" s="1110"/>
      <c r="AV193" s="1110"/>
      <c r="AW193" s="1110"/>
      <c r="AX193" s="1110"/>
      <c r="AY193" s="1110"/>
      <c r="AZ193" s="1110"/>
      <c r="BA193" s="1110"/>
      <c r="BB193" s="1110"/>
      <c r="BC193" s="1110"/>
      <c r="BD193" s="1110"/>
      <c r="BE193" s="1110"/>
      <c r="BF193" s="1110"/>
      <c r="BG193" s="1110"/>
      <c r="BH193" s="1110"/>
      <c r="BI193" s="1114"/>
      <c r="BJ193" s="1114"/>
      <c r="BK193" s="1114"/>
      <c r="BL193" s="1114"/>
      <c r="BM193" s="1114"/>
      <c r="BN193" s="1114"/>
      <c r="BO193" s="1114"/>
      <c r="BP193" s="1114"/>
      <c r="BQ193" s="1114"/>
      <c r="BR193" s="1114"/>
      <c r="BS193" s="1114"/>
      <c r="BT193" s="1114"/>
    </row>
    <row r="194">
      <c r="A194" s="1313"/>
      <c r="B194" s="1143"/>
      <c r="C194" s="1166"/>
      <c r="D194" s="1144"/>
      <c r="E194" s="1118"/>
      <c r="F194" s="1144"/>
      <c r="G194" s="1144"/>
      <c r="H194" s="1120"/>
      <c r="I194" s="1120"/>
      <c r="J194" s="1144"/>
      <c r="K194" s="1144"/>
      <c r="L194" s="1145"/>
      <c r="M194" s="1145"/>
      <c r="N194" s="1146"/>
      <c r="O194" s="1122"/>
      <c r="P194" s="1120"/>
      <c r="Q194" s="1122"/>
      <c r="R194" s="1104" t="str">
        <f>IFERROR(
  IF(B194="", "", VLOOKUP(B194, Data!$B$2:$K$905, 9, FALSE)),
  ""
)</f>
        <v/>
      </c>
      <c r="S194" s="1131"/>
      <c r="T194" s="1130"/>
      <c r="U194" s="1104" t="str">
        <f>IFERROR(
  IF(B194="", "", VLOOKUP(B194, Data!$B$2:$K$905, 10, FALSE)),
  ""
)
</f>
        <v/>
      </c>
      <c r="V194" s="1131"/>
      <c r="W194" s="1147"/>
      <c r="X194" s="1133"/>
      <c r="Y194" s="1110"/>
      <c r="Z194" s="1110"/>
      <c r="AA194" s="1110"/>
      <c r="AB194" s="1110"/>
      <c r="AC194" s="1111"/>
      <c r="AD194" s="1148"/>
      <c r="AE194" s="1149"/>
      <c r="AF194" s="1150"/>
      <c r="AG194" s="1151"/>
      <c r="AH194" s="1152"/>
      <c r="AI194" s="1140"/>
      <c r="AJ194" s="1153"/>
      <c r="AK194" s="1153"/>
      <c r="AL194" s="1110"/>
      <c r="AM194" s="1110"/>
      <c r="AN194" s="1110"/>
      <c r="AO194" s="1110"/>
      <c r="AP194" s="1110"/>
      <c r="AQ194" s="1110"/>
      <c r="AR194" s="1110"/>
      <c r="AS194" s="1110"/>
      <c r="AT194" s="1110"/>
      <c r="AU194" s="1110"/>
      <c r="AV194" s="1110"/>
      <c r="AW194" s="1110"/>
      <c r="AX194" s="1110"/>
      <c r="AY194" s="1110"/>
      <c r="AZ194" s="1110"/>
      <c r="BA194" s="1110"/>
      <c r="BB194" s="1110"/>
      <c r="BC194" s="1110"/>
      <c r="BD194" s="1110"/>
      <c r="BE194" s="1110"/>
      <c r="BF194" s="1110"/>
      <c r="BG194" s="1110"/>
      <c r="BH194" s="1110"/>
      <c r="BI194" s="1114"/>
      <c r="BJ194" s="1114"/>
      <c r="BK194" s="1114"/>
      <c r="BL194" s="1114"/>
      <c r="BM194" s="1114"/>
      <c r="BN194" s="1114"/>
      <c r="BO194" s="1114"/>
      <c r="BP194" s="1114"/>
      <c r="BQ194" s="1114"/>
      <c r="BR194" s="1114"/>
      <c r="BS194" s="1114"/>
      <c r="BT194" s="1114"/>
    </row>
    <row r="195">
      <c r="A195" s="1313">
        <v>1.0</v>
      </c>
      <c r="B195" s="727"/>
      <c r="C195" s="103" t="s">
        <v>1248</v>
      </c>
      <c r="D195" s="678"/>
      <c r="E195" s="676"/>
      <c r="F195" s="728"/>
      <c r="G195" s="678"/>
      <c r="H195" s="678"/>
      <c r="I195" s="678"/>
      <c r="J195" s="678"/>
      <c r="K195" s="728" t="s">
        <v>42</v>
      </c>
      <c r="L195" s="106">
        <f>Q195</f>
        <v>1.8</v>
      </c>
      <c r="M195" s="679" t="s">
        <v>42</v>
      </c>
      <c r="N195" s="680"/>
      <c r="O195" s="679"/>
      <c r="P195" s="678"/>
      <c r="Q195" s="106">
        <f>Q196</f>
        <v>1.8</v>
      </c>
      <c r="R195" s="136" t="str">
        <f>IFERROR(
  IF(B195="", "", VLOOKUP(B195, Data!$B$2:$K$905, 9, FALSE)),
  ""
)</f>
        <v/>
      </c>
      <c r="S195" s="682">
        <f>IFERROR(T195/Q195, 0)</f>
        <v>0</v>
      </c>
      <c r="T195" s="109">
        <f>SUM(S196:S206)</f>
        <v>0</v>
      </c>
      <c r="U195" s="136" t="str">
        <f>IFERROR(
  IF(B195="", "", VLOOKUP(B195, Data!$B$2:$K$905, 10, FALSE)),
  ""
)
</f>
        <v/>
      </c>
      <c r="V195" s="109">
        <f>W195/Q195</f>
        <v>0</v>
      </c>
      <c r="W195" s="110">
        <f>SUM(W196:W206)</f>
        <v>0</v>
      </c>
      <c r="X195" s="111" t="str">
        <f>W195/$AC$235/$W$242/$X$232</f>
        <v>#REF!</v>
      </c>
      <c r="Y195" s="112" t="b">
        <f>(T195+W195)=(SUM(AB196:AB206))</f>
        <v>1</v>
      </c>
      <c r="Z195" s="113">
        <f>(T195+W195)-(SUM(AB196:AB201))</f>
        <v>0</v>
      </c>
      <c r="AA195" s="595"/>
      <c r="AB195" s="354"/>
      <c r="AC195" s="181"/>
      <c r="AD195" s="114">
        <f>W195+T195</f>
        <v>0</v>
      </c>
      <c r="AE195" s="115">
        <f>AD195</f>
        <v>0</v>
      </c>
      <c r="AF195" s="116" t="str">
        <f>AE195/$AE$210</f>
        <v>#REF!</v>
      </c>
      <c r="AG195" s="683" t="str">
        <f>AF195*$AG$217</f>
        <v>#REF!</v>
      </c>
      <c r="AH195" s="118" t="str">
        <f>AF195*$AG$220</f>
        <v>#REF!</v>
      </c>
      <c r="AI195" s="187"/>
      <c r="AJ195" s="119" t="str">
        <f>ROUND(AK195/L195,2)</f>
        <v>#REF!</v>
      </c>
      <c r="AK195" s="119" t="str">
        <f>ROUND(AH195+AG195+AD195,2)</f>
        <v>#REF!</v>
      </c>
      <c r="AL195" s="595"/>
      <c r="AM195" s="595"/>
      <c r="AN195" s="595"/>
      <c r="AO195" s="595"/>
      <c r="AP195" s="595"/>
      <c r="AQ195" s="595"/>
      <c r="AR195" s="595"/>
      <c r="AS195" s="595"/>
      <c r="AT195" s="595"/>
      <c r="AU195" s="595"/>
      <c r="AV195" s="595"/>
      <c r="AW195" s="595"/>
      <c r="AX195" s="595"/>
      <c r="AY195" s="595"/>
      <c r="AZ195" s="595"/>
      <c r="BA195" s="595"/>
      <c r="BB195" s="595"/>
      <c r="BC195" s="595"/>
      <c r="BD195" s="595"/>
      <c r="BE195" s="595"/>
      <c r="BF195" s="595"/>
      <c r="BG195" s="595"/>
      <c r="BH195" s="595"/>
      <c r="BI195" s="651"/>
      <c r="BJ195" s="651"/>
      <c r="BK195" s="651"/>
      <c r="BL195" s="651"/>
      <c r="BM195" s="651"/>
      <c r="BN195" s="651"/>
      <c r="BO195" s="651"/>
      <c r="BP195" s="651"/>
      <c r="BQ195" s="651"/>
      <c r="BR195" s="651"/>
      <c r="BS195" s="651"/>
      <c r="BT195" s="651"/>
    </row>
    <row r="196">
      <c r="A196" s="1313"/>
      <c r="B196" s="154" t="str">
        <f>IFERROR(__xludf.DUMMYFUNCTION("IFERROR(
  IF(C196="""","""",
    IF(OR(REGEXMATCH(D196,""(?i)-Flashing""), REGEXMATCH(D196,""(?i)-EavesGut""), REGEXMATCH(D196,""(?i)Valley"")),
        ""DR"" &amp;
        TEXT(
            ROUNDUP(
                MIN(
                    VALUE(MID(C196, "&amp;"FIND(""("",C196)+1, FIND(""/"",C196)-FIND(""("",C196)-1)),
                    1200
                ) / 50, 0
            ) * 50, ""0""
        ) &amp;
        MID(C196, FIND(""/"",C196)+1, FIND("")"",C196)-FIND(""/"",C196)-1) &amp;
        TEXT(H196*100,""0"") &amp;"&amp;"
        I196,
    IF(AND(D196=""Roof Sheet"", REGEXMATCH(C196,""(?i)KS\d{4}[A-Z]{2}"")),
       REGEXEXTRACT(C196,""(?i)KS\d{4}[A-Z]{2}""),
    IF(AND(REGEXMATCH(D196,""(?i)-DP""), REGEXMATCH(C196,""(?i)Downpipe"")),
       ""dp"" &amp; REGEXEXTRACT(C196,""("&amp;"\d+)"") &amp; ""mm"",
    IF(AND(REGEXMATCH(D196,""(?i)Bracket""), REGEXMATCH(C196,""(?i)Bracket"")),
       ""Brkt"" &amp; REGEXEXTRACT(C196,""(\d+)"") &amp; ""mm"",
    IF(AND(REGEXMATCH(D196,""(?i)-OP""), REGEXMATCH(C196,""(?i)pops"")),
       ""op"" &amp; REGEXEXTRAC"&amp;"T(C196,""(\d+)"") &amp; ""mm"",
    IF(OR(D196=""R-FFTop"", D196=""R-FFBottom"", D196=""R-FFSide""),
        IF(REGEXMATCH(C196,""(?i)Profiled.*Top|Top.*Profiled""),""pfft"",
        IF(REGEXMATCH(C196,""(?i)Profiled.*Bottom|Bottom.*Profiled""),""pffb"",
    "&amp;"    IF(REGEXMATCH(C196,""(?i)Square""),""sff"",""""))),
    IF(REGEXMATCH(D196,""(?i)-Rivets""),""Rvt"",
    IF(REGEXMATCH(D196,""(?i)Silicone|Seal""),""300ml"",
    IF(REGEXMATCH(D196,""(?i)R-Butyl""),""300ml"",
    IF(REGEXMATCH(D196,""(?i)Fix""),""GenF"&amp;"ix"",
    IF(AND(REGEXMATCH(C196,""(?i)Timber""), REGEXMATCH(D196,""(?i)Timber"")),""tp"",
    IF(AND(REGEXMATCH(C196,""(?i)Vent G1275""), REGEXMATCH(D196,""(?i)Comb FIller"")),""CFV1275"",
    IF(REGEXMATCH(C196,""(?i)DPC""),""dpc"",
    IF(REGEXMATCH(C1"&amp;"96,""(?i)Concealed Clips""),""ConClips"",
    IF(REGEXMATCH(D196,""(?i)-Takeoff ea""),""Takeoff ea"",
    IF(REGEXMATCH(D196,""(?i)-Takeoff LM""),""Takeoff LM"",
    IF(REGEXMATCH(D196,""(?i)-Takeoff m2""),""Takeoff m2"",
    IF(D196=""R-TU/TD"",""TU/TD"""&amp;","""")))))))))))))))))
  )))"),"dp150mm")</f>
        <v>dp150mm</v>
      </c>
      <c r="C196" s="123" t="s">
        <v>138</v>
      </c>
      <c r="D196" s="124" t="s">
        <v>139</v>
      </c>
      <c r="E196" s="725"/>
      <c r="F196" s="126"/>
      <c r="G196" s="701"/>
      <c r="H196" s="700"/>
      <c r="I196" s="700"/>
      <c r="J196" s="126" t="s">
        <v>14</v>
      </c>
      <c r="K196" s="126" t="str">
        <f>IFERROR(
  IF(B196="", "", VLOOKUP(B196, Data!$B$2:$K$905, 7, FALSE)),
  ""
)</f>
        <v/>
      </c>
      <c r="L196" s="131">
        <v>1.0</v>
      </c>
      <c r="M196" s="150">
        <f t="shared" ref="M196:M197" si="136">L196</f>
        <v>1</v>
      </c>
      <c r="N196" s="151">
        <f>IFERROR(__xludf.DUMMYFUNCTION("IF(B196="""", """", IFERROR(1 / COS(RADIANS(REGEXEXTRACT(F196,""(\d+)""))), 1))"),1.0)</f>
        <v>1</v>
      </c>
      <c r="O196" s="759">
        <v>1.0</v>
      </c>
      <c r="P196" s="156">
        <v>1.8</v>
      </c>
      <c r="Q196" s="242">
        <f t="shared" ref="Q196:Q197" si="137">M196*N196*O196*P196</f>
        <v>1.8</v>
      </c>
      <c r="R196" s="136" t="str">
        <f>IFERROR(
  IF(B196="", "", VLOOKUP(B196, Data!$B$2:$K$905, 9, FALSE)),
  ""
)</f>
        <v/>
      </c>
      <c r="S196" s="152">
        <f t="shared" ref="S196:S197" si="138">R196*Q196</f>
        <v>0</v>
      </c>
      <c r="T196" s="690"/>
      <c r="U196" s="136" t="str">
        <f>IFERROR(
  IF(B196="", "", VLOOKUP(B196, Data!$B$2:$K$905, 10, FALSE)),
  ""
)
</f>
        <v/>
      </c>
      <c r="V196" s="691"/>
      <c r="W196" s="140">
        <f t="shared" ref="W196:W197" si="139">U196*Q196</f>
        <v>0</v>
      </c>
      <c r="X196" s="693"/>
      <c r="Y196" s="595"/>
      <c r="Z196" s="595"/>
      <c r="AA196" s="595"/>
      <c r="AB196" s="354">
        <f t="shared" ref="AB196:AB205" si="140">W196+S196</f>
        <v>0</v>
      </c>
      <c r="AC196" s="181"/>
      <c r="AD196" s="625"/>
      <c r="AE196" s="626"/>
      <c r="AF196" s="696"/>
      <c r="AG196" s="628"/>
      <c r="AH196" s="629"/>
      <c r="AI196" s="187"/>
      <c r="AJ196" s="630"/>
      <c r="AK196" s="630"/>
      <c r="AL196" s="595"/>
      <c r="AM196" s="595"/>
      <c r="AN196" s="595"/>
      <c r="AO196" s="595"/>
      <c r="AP196" s="595"/>
      <c r="AQ196" s="595"/>
      <c r="AR196" s="595"/>
      <c r="AS196" s="595"/>
      <c r="AT196" s="595"/>
      <c r="AU196" s="595"/>
      <c r="AV196" s="595"/>
      <c r="AW196" s="595"/>
      <c r="AX196" s="595"/>
      <c r="AY196" s="595"/>
      <c r="AZ196" s="595"/>
      <c r="BA196" s="595"/>
      <c r="BB196" s="595"/>
      <c r="BC196" s="595"/>
      <c r="BD196" s="595"/>
      <c r="BE196" s="595"/>
      <c r="BF196" s="595"/>
      <c r="BG196" s="595"/>
      <c r="BH196" s="595"/>
      <c r="BI196" s="651"/>
      <c r="BJ196" s="651"/>
      <c r="BK196" s="651"/>
      <c r="BL196" s="651"/>
      <c r="BM196" s="651"/>
      <c r="BN196" s="651"/>
      <c r="BO196" s="651"/>
      <c r="BP196" s="651"/>
      <c r="BQ196" s="651"/>
      <c r="BR196" s="651"/>
      <c r="BS196" s="651"/>
      <c r="BT196" s="651"/>
    </row>
    <row r="197">
      <c r="A197" s="1313"/>
      <c r="B197" s="154" t="str">
        <f>IFERROR(__xludf.DUMMYFUNCTION("IFERROR(
  IF(C197="""","""",
    IF(OR(REGEXMATCH(D197,""(?i)-Flashing""), REGEXMATCH(D197,""(?i)-EavesGut""), REGEXMATCH(D197,""(?i)Valley"")),
        ""DR"" &amp;
        TEXT(
            ROUNDUP(
                MIN(
                    VALUE(MID(C197, "&amp;"FIND(""("",C197)+1, FIND(""/"",C197)-FIND(""("",C197)-1)),
                    1200
                ) / 50, 0
            ) * 50, ""0""
        ) &amp;
        MID(C197, FIND(""/"",C197)+1, FIND("")"",C197)-FIND(""/"",C197)-1) &amp;
        TEXT(H197*100,""0"") &amp;"&amp;"
        I197,
    IF(AND(D197=""Roof Sheet"", REGEXMATCH(C197,""(?i)KS\d{4}[A-Z]{2}"")),
       REGEXEXTRACT(C197,""(?i)KS\d{4}[A-Z]{2}""),
    IF(AND(REGEXMATCH(D197,""(?i)-DP""), REGEXMATCH(C197,""(?i)Downpipe"")),
       ""dp"" &amp; REGEXEXTRACT(C197,""("&amp;"\d+)"") &amp; ""mm"",
    IF(AND(REGEXMATCH(D197,""(?i)Bracket""), REGEXMATCH(C197,""(?i)Bracket"")),
       ""Brkt"" &amp; REGEXEXTRACT(C197,""(\d+)"") &amp; ""mm"",
    IF(AND(REGEXMATCH(D197,""(?i)-OP""), REGEXMATCH(C197,""(?i)pops"")),
       ""op"" &amp; REGEXEXTRAC"&amp;"T(C197,""(\d+)"") &amp; ""mm"",
    IF(OR(D197=""R-FFTop"", D197=""R-FFBottom"", D197=""R-FFSide""),
        IF(REGEXMATCH(C197,""(?i)Profiled.*Top|Top.*Profiled""),""pfft"",
        IF(REGEXMATCH(C197,""(?i)Profiled.*Bottom|Bottom.*Profiled""),""pffb"",
    "&amp;"    IF(REGEXMATCH(C197,""(?i)Square""),""sff"",""""))),
    IF(REGEXMATCH(D197,""(?i)-Rivets""),""Rvt"",
    IF(REGEXMATCH(D197,""(?i)Silicone|Seal""),""300ml"",
    IF(REGEXMATCH(D197,""(?i)R-Butyl""),""300ml"",
    IF(REGEXMATCH(D197,""(?i)Fix""),""GenF"&amp;"ix"",
    IF(AND(REGEXMATCH(C197,""(?i)Timber""), REGEXMATCH(D197,""(?i)Timber"")),""tp"",
    IF(AND(REGEXMATCH(C197,""(?i)Vent G1275""), REGEXMATCH(D197,""(?i)Comb FIller"")),""CFV1275"",
    IF(REGEXMATCH(C197,""(?i)DPC""),""dpc"",
    IF(REGEXMATCH(C1"&amp;"97,""(?i)Concealed Clips""),""ConClips"",
    IF(REGEXMATCH(D197,""(?i)-Takeoff ea""),""Takeoff ea"",
    IF(REGEXMATCH(D197,""(?i)-Takeoff LM""),""Takeoff LM"",
    IF(REGEXMATCH(D197,""(?i)-Takeoff m2""),""Takeoff m2"",
    IF(D197=""R-TU/TD"",""TU/TD"""&amp;","""")))))))))))))))))
  )))"),"Brkt150mm")</f>
        <v>Brkt150mm</v>
      </c>
      <c r="C197" s="123" t="s">
        <v>140</v>
      </c>
      <c r="D197" s="124" t="s">
        <v>141</v>
      </c>
      <c r="E197" s="725"/>
      <c r="F197" s="126"/>
      <c r="G197" s="701"/>
      <c r="H197" s="700"/>
      <c r="I197" s="700"/>
      <c r="J197" s="126" t="s">
        <v>87</v>
      </c>
      <c r="K197" s="126" t="str">
        <f>IFERROR(
  IF(B197="", "", VLOOKUP(B197, Data!$B$2:$K$905, 7, FALSE)),
  ""
)</f>
        <v/>
      </c>
      <c r="L197" s="135">
        <f>L196</f>
        <v>1</v>
      </c>
      <c r="M197" s="150">
        <f t="shared" si="136"/>
        <v>1</v>
      </c>
      <c r="N197" s="151">
        <f>IFERROR(__xludf.DUMMYFUNCTION("IF(B197="""", """", IFERROR(1 / COS(RADIANS(REGEXEXTRACT(F197,""(\d+)""))), 1))"),1.0)</f>
        <v>1</v>
      </c>
      <c r="O197" s="169">
        <f>O196</f>
        <v>1</v>
      </c>
      <c r="P197" s="134">
        <v>1.0</v>
      </c>
      <c r="Q197" s="242">
        <f t="shared" si="137"/>
        <v>1</v>
      </c>
      <c r="R197" s="136" t="str">
        <f>IFERROR(
  IF(B197="", "", VLOOKUP(B197, Data!$B$2:$K$905, 9, FALSE)),
  ""
)</f>
        <v/>
      </c>
      <c r="S197" s="152">
        <f t="shared" si="138"/>
        <v>0</v>
      </c>
      <c r="T197" s="690"/>
      <c r="U197" s="136" t="str">
        <f>IFERROR(
  IF(B197="", "", VLOOKUP(B197, Data!$B$2:$K$905, 10, FALSE)),
  ""
)
</f>
        <v/>
      </c>
      <c r="V197" s="691"/>
      <c r="W197" s="140">
        <f t="shared" si="139"/>
        <v>0</v>
      </c>
      <c r="X197" s="692"/>
      <c r="Y197" s="595"/>
      <c r="Z197" s="595"/>
      <c r="AA197" s="595"/>
      <c r="AB197" s="354">
        <f t="shared" si="140"/>
        <v>0</v>
      </c>
      <c r="AC197" s="181"/>
      <c r="AD197" s="625"/>
      <c r="AE197" s="626"/>
      <c r="AF197" s="696"/>
      <c r="AG197" s="628"/>
      <c r="AH197" s="629"/>
      <c r="AI197" s="187"/>
      <c r="AJ197" s="630"/>
      <c r="AK197" s="630"/>
      <c r="AL197" s="595"/>
      <c r="AM197" s="595"/>
      <c r="AN197" s="595"/>
      <c r="AO197" s="595"/>
      <c r="AP197" s="595"/>
      <c r="AQ197" s="595"/>
      <c r="AR197" s="595"/>
      <c r="AS197" s="595"/>
      <c r="AT197" s="595"/>
      <c r="AU197" s="595"/>
      <c r="AV197" s="595"/>
      <c r="AW197" s="595"/>
      <c r="AX197" s="595"/>
      <c r="AY197" s="595"/>
      <c r="AZ197" s="595"/>
      <c r="BA197" s="595"/>
      <c r="BB197" s="595"/>
      <c r="BC197" s="595"/>
      <c r="BD197" s="595"/>
      <c r="BE197" s="595"/>
      <c r="BF197" s="595"/>
      <c r="BG197" s="595"/>
      <c r="BH197" s="595"/>
      <c r="BI197" s="651"/>
      <c r="BJ197" s="651"/>
      <c r="BK197" s="651"/>
      <c r="BL197" s="651"/>
      <c r="BM197" s="651"/>
      <c r="BN197" s="651"/>
      <c r="BO197" s="651"/>
      <c r="BP197" s="651"/>
      <c r="BQ197" s="651"/>
      <c r="BR197" s="651"/>
      <c r="BS197" s="651"/>
      <c r="BT197" s="651"/>
    </row>
    <row r="198">
      <c r="A198" s="1313"/>
      <c r="B198" s="154" t="str">
        <f>IFERROR(__xludf.DUMMYFUNCTION("IFERROR(
  IF(C198="""","""",
    IF(OR(REGEXMATCH(D198,""(?i)-Flashing""), REGEXMATCH(D198,""(?i)-EavesGut""), REGEXMATCH(D198,""(?i)Valley"")),
        ""DR"" &amp;
        TEXT(
            ROUNDUP(
                MIN(
                    VALUE(MID(C198, "&amp;"FIND(""("",C198)+1, FIND(""/"",C198)-FIND(""("",C198)-1)),
                    1200
                ) / 50, 0
            ) * 50, ""0""
        ) &amp;
        MID(C198, FIND(""/"",C198)+1, FIND("")"",C198)-FIND(""/"",C198)-1) &amp;
        TEXT(H198*100,""0"") &amp;"&amp;"
        I198,
    IF(AND(D198=""Roof Sheet"", REGEXMATCH(C198,""(?i)KS\d{4}[A-Z]{2}"")),
       REGEXEXTRACT(C198,""(?i)KS\d{4}[A-Z]{2}""),
    IF(AND(REGEXMATCH(D198,""(?i)-DP""), REGEXMATCH(C198,""(?i)Downpipe"")),
       ""dp"" &amp; REGEXEXTRACT(C198,""("&amp;"\d+)"") &amp; ""mm"",
    IF(AND(REGEXMATCH(D198,""(?i)Bracket""), REGEXMATCH(C198,""(?i)Bracket"")),
       ""Brkt"" &amp; REGEXEXTRACT(C198,""(\d+)"") &amp; ""mm"",
    IF(AND(REGEXMATCH(D198,""(?i)-OP""), REGEXMATCH(C198,""(?i)pops"")),
       ""op"" &amp; REGEXEXTRAC"&amp;"T(C198,""(\d+)"") &amp; ""mm"",
    IF(OR(D198=""R-FFTop"", D198=""R-FFBottom"", D198=""R-FFSide""),
        IF(REGEXMATCH(C198,""(?i)Profiled.*Top|Top.*Profiled""),""pfft"",
        IF(REGEXMATCH(C198,""(?i)Profiled.*Bottom|Bottom.*Profiled""),""pffb"",
    "&amp;"    IF(REGEXMATCH(C198,""(?i)Square""),""sff"",""""))),
    IF(REGEXMATCH(D198,""(?i)-Rivets""),""Rvt"",
    IF(REGEXMATCH(D198,""(?i)Silicone|Seal""),""300ml"",
    IF(REGEXMATCH(D198,""(?i)R-Butyl""),""300ml"",
    IF(REGEXMATCH(D198,""(?i)Fix""),""GenF"&amp;"ix"",
    IF(AND(REGEXMATCH(C198,""(?i)Timber""), REGEXMATCH(D198,""(?i)Timber"")),""tp"",
    IF(AND(REGEXMATCH(C198,""(?i)Vent G1275""), REGEXMATCH(D198,""(?i)Comb FIller"")),""CFV1275"",
    IF(REGEXMATCH(C198,""(?i)DPC""),""dpc"",
    IF(REGEXMATCH(C1"&amp;"98,""(?i)Concealed Clips""),""ConClips"",
    IF(REGEXMATCH(D198,""(?i)-Takeoff ea""),""Takeoff ea"",
    IF(REGEXMATCH(D198,""(?i)-Takeoff LM""),""Takeoff LM"",
    IF(REGEXMATCH(D198,""(?i)-Takeoff m2""),""Takeoff m2"",
    IF(D198=""R-TU/TD"",""TU/TD"""&amp;","""")))))))))))))))))
  )))"),"")</f>
        <v/>
      </c>
      <c r="C198" s="701"/>
      <c r="D198" s="701"/>
      <c r="E198" s="722"/>
      <c r="F198" s="126"/>
      <c r="G198" s="701"/>
      <c r="H198" s="700"/>
      <c r="I198" s="700"/>
      <c r="J198" s="701"/>
      <c r="K198" s="126" t="str">
        <f>IFERROR(
  IF(B198="", "", VLOOKUP(B198, Data!$B$2:$K$905, 7, FALSE)),
  ""
)</f>
        <v/>
      </c>
      <c r="L198" s="704"/>
      <c r="M198" s="704" t="s">
        <v>42</v>
      </c>
      <c r="N198" s="711" t="str">
        <f>IFERROR(__xludf.DUMMYFUNCTION("IF(B198="""", """", IFERROR(1 / COS(RADIANS(REGEXEXTRACT(F198,""(\d+)""))), 1))"),"")</f>
        <v/>
      </c>
      <c r="O198" s="712"/>
      <c r="P198" s="700"/>
      <c r="Q198" s="242"/>
      <c r="R198" s="136" t="str">
        <f>IFERROR(
  IF(B198="", "", VLOOKUP(B198, Data!$B$2:$K$905, 9, FALSE)),
  ""
)</f>
        <v/>
      </c>
      <c r="S198" s="152"/>
      <c r="T198" s="690"/>
      <c r="U198" s="136" t="str">
        <f>IFERROR(
  IF(B198="", "", VLOOKUP(B198, Data!$B$2:$K$905, 10, FALSE)),
  ""
)
</f>
        <v/>
      </c>
      <c r="V198" s="691"/>
      <c r="W198" s="713"/>
      <c r="X198" s="692"/>
      <c r="Y198" s="595"/>
      <c r="Z198" s="595"/>
      <c r="AA198" s="595"/>
      <c r="AB198" s="354">
        <f t="shared" si="140"/>
        <v>0</v>
      </c>
      <c r="AC198" s="181"/>
      <c r="AD198" s="625"/>
      <c r="AE198" s="626"/>
      <c r="AF198" s="696"/>
      <c r="AG198" s="628"/>
      <c r="AH198" s="629"/>
      <c r="AI198" s="187"/>
      <c r="AJ198" s="630"/>
      <c r="AK198" s="630"/>
      <c r="AL198" s="595"/>
      <c r="AM198" s="595"/>
      <c r="AN198" s="595"/>
      <c r="AO198" s="595"/>
      <c r="AP198" s="595"/>
      <c r="AQ198" s="595"/>
      <c r="AR198" s="595"/>
      <c r="AS198" s="595"/>
      <c r="AT198" s="595"/>
      <c r="AU198" s="595"/>
      <c r="AV198" s="595"/>
      <c r="AW198" s="595"/>
      <c r="AX198" s="595"/>
      <c r="AY198" s="595"/>
      <c r="AZ198" s="595"/>
      <c r="BA198" s="595"/>
      <c r="BB198" s="595"/>
      <c r="BC198" s="595"/>
      <c r="BD198" s="595"/>
      <c r="BE198" s="595"/>
      <c r="BF198" s="595"/>
      <c r="BG198" s="595"/>
      <c r="BH198" s="595"/>
      <c r="BI198" s="651"/>
      <c r="BJ198" s="651"/>
      <c r="BK198" s="651"/>
      <c r="BL198" s="651"/>
      <c r="BM198" s="651"/>
      <c r="BN198" s="651"/>
      <c r="BO198" s="651"/>
      <c r="BP198" s="651"/>
      <c r="BQ198" s="651"/>
      <c r="BR198" s="651"/>
      <c r="BS198" s="651"/>
      <c r="BT198" s="651"/>
    </row>
    <row r="199">
      <c r="A199" s="1313"/>
      <c r="B199" s="154" t="str">
        <f>IFERROR(__xludf.DUMMYFUNCTION("IFERROR(
  IF(C199="""","""",
    IF(OR(REGEXMATCH(D199,""(?i)-Flashing""), REGEXMATCH(D199,""(?i)-EavesGut""), REGEXMATCH(D199,""(?i)Valley"")),
        ""DR"" &amp;
        TEXT(
            ROUNDUP(
                MIN(
                    VALUE(MID(C199, "&amp;"FIND(""("",C199)+1, FIND(""/"",C199)-FIND(""("",C199)-1)),
                    1200
                ) / 50, 0
            ) * 50, ""0""
        ) &amp;
        MID(C199, FIND(""/"",C199)+1, FIND("")"",C199)-FIND(""/"",C199)-1) &amp;
        TEXT(H199*100,""0"") &amp;"&amp;"
        I199,
    IF(AND(D199=""Roof Sheet"", REGEXMATCH(C199,""(?i)KS\d{4}[A-Z]{2}"")),
       REGEXEXTRACT(C199,""(?i)KS\d{4}[A-Z]{2}""),
    IF(AND(REGEXMATCH(D199,""(?i)-DP""), REGEXMATCH(C199,""(?i)Downpipe"")),
       ""dp"" &amp; REGEXEXTRACT(C199,""("&amp;"\d+)"") &amp; ""mm"",
    IF(AND(REGEXMATCH(D199,""(?i)Bracket""), REGEXMATCH(C199,""(?i)Bracket"")),
       ""Brkt"" &amp; REGEXEXTRACT(C199,""(\d+)"") &amp; ""mm"",
    IF(AND(REGEXMATCH(D199,""(?i)-OP""), REGEXMATCH(C199,""(?i)pops"")),
       ""op"" &amp; REGEXEXTRAC"&amp;"T(C199,""(\d+)"") &amp; ""mm"",
    IF(OR(D199=""R-FFTop"", D199=""R-FFBottom"", D199=""R-FFSide""),
        IF(REGEXMATCH(C199,""(?i)Profiled.*Top|Top.*Profiled""),""pfft"",
        IF(REGEXMATCH(C199,""(?i)Profiled.*Bottom|Bottom.*Profiled""),""pffb"",
    "&amp;"    IF(REGEXMATCH(C199,""(?i)Square""),""sff"",""""))),
    IF(REGEXMATCH(D199,""(?i)-Rivets""),""Rvt"",
    IF(REGEXMATCH(D199,""(?i)Silicone|Seal""),""300ml"",
    IF(REGEXMATCH(D199,""(?i)R-Butyl""),""300ml"",
    IF(REGEXMATCH(D199,""(?i)Fix""),""GenF"&amp;"ix"",
    IF(AND(REGEXMATCH(C199,""(?i)Timber""), REGEXMATCH(D199,""(?i)Timber"")),""tp"",
    IF(AND(REGEXMATCH(C199,""(?i)Vent G1275""), REGEXMATCH(D199,""(?i)Comb FIller"")),""CFV1275"",
    IF(REGEXMATCH(C199,""(?i)DPC""),""dpc"",
    IF(REGEXMATCH(C1"&amp;"99,""(?i)Concealed Clips""),""ConClips"",
    IF(REGEXMATCH(D199,""(?i)-Takeoff ea""),""Takeoff ea"",
    IF(REGEXMATCH(D199,""(?i)-Takeoff LM""),""Takeoff LM"",
    IF(REGEXMATCH(D199,""(?i)-Takeoff m2""),""Takeoff m2"",
    IF(D199=""R-TU/TD"",""TU/TD"""&amp;","""")))))))))))))))))
  )))"),"op150mm")</f>
        <v>op150mm</v>
      </c>
      <c r="C199" s="123" t="s">
        <v>142</v>
      </c>
      <c r="D199" s="124" t="s">
        <v>143</v>
      </c>
      <c r="E199" s="687">
        <f>IFERROR(__xludf.DUMMYFUNCTION("IF(REGEXMATCH(C199, ""\d+mmØ""), VALUE(REGEXEXTRACT(C199, ""(\d+)mmØ""))/1000, """")
"),0.15)</f>
        <v>0.15</v>
      </c>
      <c r="F199" s="126"/>
      <c r="G199" s="701"/>
      <c r="H199" s="700"/>
      <c r="I199" s="700"/>
      <c r="J199" s="126" t="s">
        <v>87</v>
      </c>
      <c r="K199" s="126" t="str">
        <f>IFERROR(
  IF(B199="", "", VLOOKUP(B199, Data!$B$2:$K$905, 7, FALSE)),
  ""
)</f>
        <v/>
      </c>
      <c r="L199" s="704"/>
      <c r="M199" s="150">
        <v>1.0</v>
      </c>
      <c r="N199" s="151">
        <f>IFERROR(__xludf.DUMMYFUNCTION("IF(B199="""", """", IFERROR(1 / COS(RADIANS(REGEXEXTRACT(F199,""(\d+)""))), 1))"),1.0)</f>
        <v>1</v>
      </c>
      <c r="O199" s="759">
        <f>L197</f>
        <v>1</v>
      </c>
      <c r="P199" s="134">
        <v>1.0</v>
      </c>
      <c r="Q199" s="242">
        <f t="shared" ref="Q199:Q201" si="141">M199*N199*O199*P199</f>
        <v>1</v>
      </c>
      <c r="R199" s="136" t="str">
        <f>IFERROR(
  IF(B199="", "", VLOOKUP(B199, Data!$B$2:$K$905, 9, FALSE)),
  ""
)</f>
        <v/>
      </c>
      <c r="S199" s="152">
        <f t="shared" ref="S199:S201" si="142">R199*Q199</f>
        <v>0</v>
      </c>
      <c r="T199" s="690"/>
      <c r="U199" s="136" t="str">
        <f>IFERROR(
  IF(B199="", "", VLOOKUP(B199, Data!$B$2:$K$905, 10, FALSE)),
  ""
)
</f>
        <v/>
      </c>
      <c r="V199" s="691"/>
      <c r="W199" s="140">
        <f t="shared" ref="W199:W201" si="143">U199*Q199</f>
        <v>0</v>
      </c>
      <c r="X199" s="692"/>
      <c r="Y199" s="595"/>
      <c r="Z199" s="595"/>
      <c r="AA199" s="595"/>
      <c r="AB199" s="354">
        <f t="shared" si="140"/>
        <v>0</v>
      </c>
      <c r="AC199" s="181"/>
      <c r="AD199" s="625"/>
      <c r="AE199" s="626"/>
      <c r="AF199" s="696"/>
      <c r="AG199" s="628"/>
      <c r="AH199" s="629"/>
      <c r="AI199" s="187"/>
      <c r="AJ199" s="630"/>
      <c r="AK199" s="630"/>
      <c r="AL199" s="595"/>
      <c r="AM199" s="595"/>
      <c r="AN199" s="595"/>
      <c r="AO199" s="595"/>
      <c r="AP199" s="595"/>
      <c r="AQ199" s="595"/>
      <c r="AR199" s="595"/>
      <c r="AS199" s="595"/>
      <c r="AT199" s="595"/>
      <c r="AU199" s="595"/>
      <c r="AV199" s="595"/>
      <c r="AW199" s="595"/>
      <c r="AX199" s="595"/>
      <c r="AY199" s="595"/>
      <c r="AZ199" s="595"/>
      <c r="BA199" s="595"/>
      <c r="BB199" s="595"/>
      <c r="BC199" s="595"/>
      <c r="BD199" s="595"/>
      <c r="BE199" s="595"/>
      <c r="BF199" s="595"/>
      <c r="BG199" s="595"/>
      <c r="BH199" s="595"/>
      <c r="BI199" s="651"/>
      <c r="BJ199" s="651"/>
      <c r="BK199" s="651"/>
      <c r="BL199" s="651"/>
      <c r="BM199" s="651"/>
      <c r="BN199" s="651"/>
      <c r="BO199" s="651"/>
      <c r="BP199" s="651"/>
      <c r="BQ199" s="651"/>
      <c r="BR199" s="651"/>
      <c r="BS199" s="651"/>
      <c r="BT199" s="651"/>
    </row>
    <row r="200">
      <c r="A200" s="1313"/>
      <c r="B200" s="154" t="str">
        <f>IFERROR(__xludf.DUMMYFUNCTION("IFERROR(
  IF(C200="""","""",
    IF(OR(REGEXMATCH(D200,""(?i)-Flashing""), REGEXMATCH(D200,""(?i)-EavesGut""), REGEXMATCH(D200,""(?i)Valley"")),
        ""DR"" &amp;
        TEXT(
            ROUNDUP(
                MIN(
                    VALUE(MID(C200, "&amp;"FIND(""("",C200)+1, FIND(""/"",C200)-FIND(""("",C200)-1)),
                    1200
                ) / 50, 0
            ) * 50, ""0""
        ) &amp;
        MID(C200, FIND(""/"",C200)+1, FIND("")"",C200)-FIND(""/"",C200)-1) &amp;
        TEXT(H200*100,""0"") &amp;"&amp;"
        I200,
    IF(AND(D200=""Roof Sheet"", REGEXMATCH(C200,""(?i)KS\d{4}[A-Z]{2}"")),
       REGEXEXTRACT(C200,""(?i)KS\d{4}[A-Z]{2}""),
    IF(AND(REGEXMATCH(D200,""(?i)-DP""), REGEXMATCH(C200,""(?i)Downpipe"")),
       ""dp"" &amp; REGEXEXTRACT(C200,""("&amp;"\d+)"") &amp; ""mm"",
    IF(AND(REGEXMATCH(D200,""(?i)Bracket""), REGEXMATCH(C200,""(?i)Bracket"")),
       ""Brkt"" &amp; REGEXEXTRACT(C200,""(\d+)"") &amp; ""mm"",
    IF(AND(REGEXMATCH(D200,""(?i)-OP""), REGEXMATCH(C200,""(?i)pops"")),
       ""op"" &amp; REGEXEXTRAC"&amp;"T(C200,""(\d+)"") &amp; ""mm"",
    IF(OR(D200=""R-FFTop"", D200=""R-FFBottom"", D200=""R-FFSide""),
        IF(REGEXMATCH(C200,""(?i)Profiled.*Top|Top.*Profiled""),""pfft"",
        IF(REGEXMATCH(C200,""(?i)Profiled.*Bottom|Bottom.*Profiled""),""pffb"",
    "&amp;"    IF(REGEXMATCH(C200,""(?i)Square""),""sff"",""""))),
    IF(REGEXMATCH(D200,""(?i)-Rivets""),""Rvt"",
    IF(REGEXMATCH(D200,""(?i)Silicone|Seal""),""300ml"",
    IF(REGEXMATCH(D200,""(?i)R-Butyl""),""300ml"",
    IF(REGEXMATCH(D200,""(?i)Fix""),""GenF"&amp;"ix"",
    IF(AND(REGEXMATCH(C200,""(?i)Timber""), REGEXMATCH(D200,""(?i)Timber"")),""tp"",
    IF(AND(REGEXMATCH(C200,""(?i)Vent G1275""), REGEXMATCH(D200,""(?i)Comb FIller"")),""CFV1275"",
    IF(REGEXMATCH(C200,""(?i)DPC""),""dpc"",
    IF(REGEXMATCH(C2"&amp;"00,""(?i)Concealed Clips""),""ConClips"",
    IF(REGEXMATCH(D200,""(?i)-Takeoff ea""),""Takeoff ea"",
    IF(REGEXMATCH(D200,""(?i)-Takeoff LM""),""Takeoff LM"",
    IF(REGEXMATCH(D200,""(?i)-Takeoff m2""),""Takeoff m2"",
    IF(D200=""R-TU/TD"",""TU/TD"""&amp;","""")))))))))))))))))
  )))"),"300ml")</f>
        <v>300ml</v>
      </c>
      <c r="C200" s="225" t="s">
        <v>98</v>
      </c>
      <c r="D200" s="124" t="s">
        <v>388</v>
      </c>
      <c r="E200" s="687">
        <f>E199</f>
        <v>0.15</v>
      </c>
      <c r="F200" s="126"/>
      <c r="G200" s="701"/>
      <c r="H200" s="700"/>
      <c r="I200" s="700"/>
      <c r="J200" s="126" t="s">
        <v>87</v>
      </c>
      <c r="K200" s="126" t="str">
        <f>IFERROR(
  IF(B200="", "", VLOOKUP(B200, Data!$B$2:$K$905, 7, FALSE)),
  ""
)</f>
        <v/>
      </c>
      <c r="L200" s="704"/>
      <c r="M200" s="150">
        <f>ROUNDUP(3.14*E200,0)/8</f>
        <v>0.125</v>
      </c>
      <c r="N200" s="151">
        <f>IFERROR(__xludf.DUMMYFUNCTION("IF(B200="""", """", IFERROR(1 / COS(RADIANS(REGEXEXTRACT(F200,""(\d+)""))), 1))"),1.0)</f>
        <v>1</v>
      </c>
      <c r="O200" s="169">
        <f>O199</f>
        <v>1</v>
      </c>
      <c r="P200" s="134">
        <v>1.0</v>
      </c>
      <c r="Q200" s="242">
        <f t="shared" si="141"/>
        <v>0.125</v>
      </c>
      <c r="R200" s="136" t="str">
        <f>IFERROR(
  IF(B200="", "", VLOOKUP(B200, Data!$B$2:$K$905, 9, FALSE)),
  ""
)</f>
        <v/>
      </c>
      <c r="S200" s="152">
        <f t="shared" si="142"/>
        <v>0</v>
      </c>
      <c r="T200" s="690"/>
      <c r="U200" s="136" t="str">
        <f>IFERROR(
  IF(B200="", "", VLOOKUP(B200, Data!$B$2:$K$905, 10, FALSE)),
  ""
)
</f>
        <v/>
      </c>
      <c r="V200" s="691"/>
      <c r="W200" s="140">
        <f t="shared" si="143"/>
        <v>0</v>
      </c>
      <c r="X200" s="692"/>
      <c r="Y200" s="595"/>
      <c r="Z200" s="595"/>
      <c r="AA200" s="595"/>
      <c r="AB200" s="354">
        <f t="shared" si="140"/>
        <v>0</v>
      </c>
      <c r="AC200" s="181"/>
      <c r="AD200" s="625"/>
      <c r="AE200" s="626"/>
      <c r="AF200" s="696"/>
      <c r="AG200" s="628"/>
      <c r="AH200" s="629"/>
      <c r="AI200" s="187"/>
      <c r="AJ200" s="630"/>
      <c r="AK200" s="630"/>
      <c r="AL200" s="595"/>
      <c r="AM200" s="595"/>
      <c r="AN200" s="595"/>
      <c r="AO200" s="595"/>
      <c r="AP200" s="595"/>
      <c r="AQ200" s="595"/>
      <c r="AR200" s="595"/>
      <c r="AS200" s="595"/>
      <c r="AT200" s="595"/>
      <c r="AU200" s="595"/>
      <c r="AV200" s="595"/>
      <c r="AW200" s="595"/>
      <c r="AX200" s="595"/>
      <c r="AY200" s="595"/>
      <c r="AZ200" s="595"/>
      <c r="BA200" s="595"/>
      <c r="BB200" s="595"/>
      <c r="BC200" s="595"/>
      <c r="BD200" s="595"/>
      <c r="BE200" s="595"/>
      <c r="BF200" s="595"/>
      <c r="BG200" s="595"/>
      <c r="BH200" s="595"/>
      <c r="BI200" s="651"/>
      <c r="BJ200" s="651"/>
      <c r="BK200" s="651"/>
      <c r="BL200" s="651"/>
      <c r="BM200" s="651"/>
      <c r="BN200" s="651"/>
      <c r="BO200" s="651"/>
      <c r="BP200" s="651"/>
      <c r="BQ200" s="651"/>
      <c r="BR200" s="651"/>
      <c r="BS200" s="651"/>
      <c r="BT200" s="651"/>
    </row>
    <row r="201">
      <c r="A201" s="1313"/>
      <c r="B201" s="154" t="str">
        <f>IFERROR(__xludf.DUMMYFUNCTION("IFERROR(
  IF(C201="""","""",
    IF(OR(REGEXMATCH(D201,""(?i)-Flashing""), REGEXMATCH(D201,""(?i)-EavesGut""), REGEXMATCH(D201,""(?i)Valley"")),
        ""DR"" &amp;
        TEXT(
            ROUNDUP(
                MIN(
                    VALUE(MID(C201, "&amp;"FIND(""("",C201)+1, FIND(""/"",C201)-FIND(""("",C201)-1)),
                    1200
                ) / 50, 0
            ) * 50, ""0""
        ) &amp;
        MID(C201, FIND(""/"",C201)+1, FIND("")"",C201)-FIND(""/"",C201)-1) &amp;
        TEXT(H201*100,""0"") &amp;"&amp;"
        I201,
    IF(AND(D201=""Roof Sheet"", REGEXMATCH(C201,""(?i)KS\d{4}[A-Z]{2}"")),
       REGEXEXTRACT(C201,""(?i)KS\d{4}[A-Z]{2}""),
    IF(AND(REGEXMATCH(D201,""(?i)-DP""), REGEXMATCH(C201,""(?i)Downpipe"")),
       ""dp"" &amp; REGEXEXTRACT(C201,""("&amp;"\d+)"") &amp; ""mm"",
    IF(AND(REGEXMATCH(D201,""(?i)Bracket""), REGEXMATCH(C201,""(?i)Bracket"")),
       ""Brkt"" &amp; REGEXEXTRACT(C201,""(\d+)"") &amp; ""mm"",
    IF(AND(REGEXMATCH(D201,""(?i)-OP""), REGEXMATCH(C201,""(?i)pops"")),
       ""op"" &amp; REGEXEXTRAC"&amp;"T(C201,""(\d+)"") &amp; ""mm"",
    IF(OR(D201=""R-FFTop"", D201=""R-FFBottom"", D201=""R-FFSide""),
        IF(REGEXMATCH(C201,""(?i)Profiled.*Top|Top.*Profiled""),""pfft"",
        IF(REGEXMATCH(C201,""(?i)Profiled.*Bottom|Bottom.*Profiled""),""pffb"",
    "&amp;"    IF(REGEXMATCH(C201,""(?i)Square""),""sff"",""""))),
    IF(REGEXMATCH(D201,""(?i)-Rivets""),""Rvt"",
    IF(REGEXMATCH(D201,""(?i)Silicone|Seal""),""300ml"",
    IF(REGEXMATCH(D201,""(?i)R-Butyl""),""300ml"",
    IF(REGEXMATCH(D201,""(?i)Fix""),""GenF"&amp;"ix"",
    IF(AND(REGEXMATCH(C201,""(?i)Timber""), REGEXMATCH(D201,""(?i)Timber"")),""tp"",
    IF(AND(REGEXMATCH(C201,""(?i)Vent G1275""), REGEXMATCH(D201,""(?i)Comb FIller"")),""CFV1275"",
    IF(REGEXMATCH(C201,""(?i)DPC""),""dpc"",
    IF(REGEXMATCH(C2"&amp;"01,""(?i)Concealed Clips""),""ConClips"",
    IF(REGEXMATCH(D201,""(?i)-Takeoff ea""),""Takeoff ea"",
    IF(REGEXMATCH(D201,""(?i)-Takeoff LM""),""Takeoff LM"",
    IF(REGEXMATCH(D201,""(?i)-Takeoff m2""),""Takeoff m2"",
    IF(D201=""R-TU/TD"",""TU/TD"""&amp;","""")))))))))))))))))
  )))"),"GenFix")</f>
        <v>GenFix</v>
      </c>
      <c r="C201" s="225" t="s">
        <v>102</v>
      </c>
      <c r="D201" s="124" t="s">
        <v>144</v>
      </c>
      <c r="E201" s="687">
        <f>E199</f>
        <v>0.15</v>
      </c>
      <c r="F201" s="126"/>
      <c r="G201" s="701"/>
      <c r="H201" s="700"/>
      <c r="I201" s="700"/>
      <c r="J201" s="126" t="s">
        <v>87</v>
      </c>
      <c r="K201" s="126" t="str">
        <f>IFERROR(
  IF(B201="", "", VLOOKUP(B201, Data!$B$2:$K$905, 7, FALSE)),
  ""
)</f>
        <v/>
      </c>
      <c r="L201" s="704"/>
      <c r="M201" s="150">
        <f>ROUNDUP(3.14*E201,0)/0.05</f>
        <v>20</v>
      </c>
      <c r="N201" s="151">
        <f>IFERROR(__xludf.DUMMYFUNCTION("IF(B201="""", """", IFERROR(1 / COS(RADIANS(REGEXEXTRACT(F201,""(\d+)""))), 1))"),1.0)</f>
        <v>1</v>
      </c>
      <c r="O201" s="169">
        <f>O199</f>
        <v>1</v>
      </c>
      <c r="P201" s="134">
        <v>1.0</v>
      </c>
      <c r="Q201" s="242">
        <f t="shared" si="141"/>
        <v>20</v>
      </c>
      <c r="R201" s="136" t="str">
        <f>IFERROR(
  IF(B201="", "", VLOOKUP(B201, Data!$B$2:$K$905, 9, FALSE)),
  ""
)</f>
        <v/>
      </c>
      <c r="S201" s="152">
        <f t="shared" si="142"/>
        <v>0</v>
      </c>
      <c r="T201" s="690"/>
      <c r="U201" s="136" t="str">
        <f>IFERROR(
  IF(B201="", "", VLOOKUP(B201, Data!$B$2:$K$905, 10, FALSE)),
  ""
)
</f>
        <v/>
      </c>
      <c r="V201" s="691"/>
      <c r="W201" s="140">
        <f t="shared" si="143"/>
        <v>0</v>
      </c>
      <c r="X201" s="692"/>
      <c r="Y201" s="595"/>
      <c r="Z201" s="595"/>
      <c r="AA201" s="595"/>
      <c r="AB201" s="354">
        <f t="shared" si="140"/>
        <v>0</v>
      </c>
      <c r="AC201" s="181"/>
      <c r="AD201" s="625"/>
      <c r="AE201" s="626"/>
      <c r="AF201" s="696"/>
      <c r="AG201" s="628"/>
      <c r="AH201" s="629"/>
      <c r="AI201" s="187"/>
      <c r="AJ201" s="630"/>
      <c r="AK201" s="630"/>
      <c r="AL201" s="595"/>
      <c r="AM201" s="595"/>
      <c r="AN201" s="595"/>
      <c r="AO201" s="595"/>
      <c r="AP201" s="595"/>
      <c r="AQ201" s="595"/>
      <c r="AR201" s="595"/>
      <c r="AS201" s="595"/>
      <c r="AT201" s="595"/>
      <c r="AU201" s="595"/>
      <c r="AV201" s="595"/>
      <c r="AW201" s="595"/>
      <c r="AX201" s="595"/>
      <c r="AY201" s="595"/>
      <c r="AZ201" s="595"/>
      <c r="BA201" s="595"/>
      <c r="BB201" s="595"/>
      <c r="BC201" s="595"/>
      <c r="BD201" s="595"/>
      <c r="BE201" s="595"/>
      <c r="BF201" s="595"/>
      <c r="BG201" s="595"/>
      <c r="BH201" s="595"/>
      <c r="BI201" s="651"/>
      <c r="BJ201" s="651"/>
      <c r="BK201" s="651"/>
      <c r="BL201" s="651"/>
      <c r="BM201" s="651"/>
      <c r="BN201" s="651"/>
      <c r="BO201" s="651"/>
      <c r="BP201" s="651"/>
      <c r="BQ201" s="651"/>
      <c r="BR201" s="651"/>
      <c r="BS201" s="651"/>
      <c r="BT201" s="651"/>
    </row>
    <row r="202">
      <c r="A202" s="1313"/>
      <c r="B202" s="154" t="str">
        <f>IFERROR(__xludf.DUMMYFUNCTION("IFERROR(
  IF(C202="""","""",
    IF(OR(REGEXMATCH(D202,""(?i)-Flashing""), REGEXMATCH(D202,""(?i)-EavesGut""), REGEXMATCH(D202,""(?i)Valley"")),
        ""DR"" &amp;
        TEXT(
            ROUNDUP(
                MIN(
                    VALUE(MID(C202, "&amp;"FIND(""("",C202)+1, FIND(""/"",C202)-FIND(""("",C202)-1)),
                    1200
                ) / 50, 0
            ) * 50, ""0""
        ) &amp;
        MID(C202, FIND(""/"",C202)+1, FIND("")"",C202)-FIND(""/"",C202)-1) &amp;
        TEXT(H202*100,""0"") &amp;"&amp;"
        I202,
    IF(AND(D202=""Roof Sheet"", REGEXMATCH(C202,""(?i)KS\d{4}[A-Z]{2}"")),
       REGEXEXTRACT(C202,""(?i)KS\d{4}[A-Z]{2}""),
    IF(AND(REGEXMATCH(D202,""(?i)-DP""), REGEXMATCH(C202,""(?i)Downpipe"")),
       ""dp"" &amp; REGEXEXTRACT(C202,""("&amp;"\d+)"") &amp; ""mm"",
    IF(AND(REGEXMATCH(D202,""(?i)Bracket""), REGEXMATCH(C202,""(?i)Bracket"")),
       ""Brkt"" &amp; REGEXEXTRACT(C202,""(\d+)"") &amp; ""mm"",
    IF(AND(REGEXMATCH(D202,""(?i)-OP""), REGEXMATCH(C202,""(?i)pops"")),
       ""op"" &amp; REGEXEXTRAC"&amp;"T(C202,""(\d+)"") &amp; ""mm"",
    IF(OR(D202=""R-FFTop"", D202=""R-FFBottom"", D202=""R-FFSide""),
        IF(REGEXMATCH(C202,""(?i)Profiled.*Top|Top.*Profiled""),""pfft"",
        IF(REGEXMATCH(C202,""(?i)Profiled.*Bottom|Bottom.*Profiled""),""pffb"",
    "&amp;"    IF(REGEXMATCH(C202,""(?i)Square""),""sff"",""""))),
    IF(REGEXMATCH(D202,""(?i)-Rivets""),""Rvt"",
    IF(REGEXMATCH(D202,""(?i)Silicone|Seal""),""300ml"",
    IF(REGEXMATCH(D202,""(?i)R-Butyl""),""300ml"",
    IF(REGEXMATCH(D202,""(?i)Fix""),""GenF"&amp;"ix"",
    IF(AND(REGEXMATCH(C202,""(?i)Timber""), REGEXMATCH(D202,""(?i)Timber"")),""tp"",
    IF(AND(REGEXMATCH(C202,""(?i)Vent G1275""), REGEXMATCH(D202,""(?i)Comb FIller"")),""CFV1275"",
    IF(REGEXMATCH(C202,""(?i)DPC""),""dpc"",
    IF(REGEXMATCH(C2"&amp;"02,""(?i)Concealed Clips""),""ConClips"",
    IF(REGEXMATCH(D202,""(?i)-Takeoff ea""),""Takeoff ea"",
    IF(REGEXMATCH(D202,""(?i)-Takeoff LM""),""Takeoff LM"",
    IF(REGEXMATCH(D202,""(?i)-Takeoff m2""),""Takeoff m2"",
    IF(D202=""R-TU/TD"",""TU/TD"""&amp;","""")))))))))))))))))
  )))"),"")</f>
        <v/>
      </c>
      <c r="C202" s="701"/>
      <c r="D202" s="701"/>
      <c r="E202" s="722"/>
      <c r="F202" s="126"/>
      <c r="G202" s="701"/>
      <c r="H202" s="700"/>
      <c r="I202" s="700"/>
      <c r="J202" s="701"/>
      <c r="K202" s="126" t="str">
        <f>IFERROR(
  IF(B202="", "", VLOOKUP(B202, Data!$B$2:$K$905, 7, FALSE)),
  ""
)</f>
        <v/>
      </c>
      <c r="L202" s="704"/>
      <c r="M202" s="704" t="s">
        <v>42</v>
      </c>
      <c r="N202" s="711" t="str">
        <f>IFERROR(__xludf.DUMMYFUNCTION("IF(B202="""", """", IFERROR(1 / COS(RADIANS(REGEXEXTRACT(F202,""(\d+)""))), 1))"),"")</f>
        <v/>
      </c>
      <c r="O202" s="712"/>
      <c r="P202" s="700"/>
      <c r="Q202" s="242"/>
      <c r="R202" s="136" t="str">
        <f>IFERROR(
  IF(B202="", "", VLOOKUP(B202, Data!$B$2:$K$905, 9, FALSE)),
  ""
)</f>
        <v/>
      </c>
      <c r="S202" s="152"/>
      <c r="T202" s="690"/>
      <c r="U202" s="136" t="str">
        <f>IFERROR(
  IF(B202="", "", VLOOKUP(B202, Data!$B$2:$K$905, 10, FALSE)),
  ""
)
</f>
        <v/>
      </c>
      <c r="V202" s="691"/>
      <c r="W202" s="713"/>
      <c r="X202" s="692"/>
      <c r="Y202" s="595"/>
      <c r="Z202" s="595"/>
      <c r="AA202" s="595"/>
      <c r="AB202" s="354">
        <f t="shared" si="140"/>
        <v>0</v>
      </c>
      <c r="AC202" s="181"/>
      <c r="AD202" s="625"/>
      <c r="AE202" s="626"/>
      <c r="AF202" s="696"/>
      <c r="AG202" s="628"/>
      <c r="AH202" s="629"/>
      <c r="AI202" s="187"/>
      <c r="AJ202" s="630"/>
      <c r="AK202" s="630"/>
      <c r="AL202" s="595"/>
      <c r="AM202" s="595"/>
      <c r="AN202" s="595"/>
      <c r="AO202" s="595"/>
      <c r="AP202" s="595"/>
      <c r="AQ202" s="595"/>
      <c r="AR202" s="595"/>
      <c r="AS202" s="595"/>
      <c r="AT202" s="595"/>
      <c r="AU202" s="595"/>
      <c r="AV202" s="595"/>
      <c r="AW202" s="595"/>
      <c r="AX202" s="595"/>
      <c r="AY202" s="595"/>
      <c r="AZ202" s="595"/>
      <c r="BA202" s="595"/>
      <c r="BB202" s="595"/>
      <c r="BC202" s="595"/>
      <c r="BD202" s="595"/>
      <c r="BE202" s="595"/>
      <c r="BF202" s="595"/>
      <c r="BG202" s="595"/>
      <c r="BH202" s="595"/>
      <c r="BI202" s="651"/>
      <c r="BJ202" s="651"/>
      <c r="BK202" s="651"/>
      <c r="BL202" s="651"/>
      <c r="BM202" s="651"/>
      <c r="BN202" s="651"/>
      <c r="BO202" s="651"/>
      <c r="BP202" s="651"/>
      <c r="BQ202" s="651"/>
      <c r="BR202" s="651"/>
      <c r="BS202" s="651"/>
      <c r="BT202" s="651"/>
    </row>
    <row r="203">
      <c r="A203" s="1313"/>
      <c r="B203" s="154" t="str">
        <f>IFERROR(__xludf.DUMMYFUNCTION("IFERROR(
  IF(C203="""","""",
    IF(OR(REGEXMATCH(D203,""(?i)-Flashing""), REGEXMATCH(D203,""(?i)-EavesGut""), REGEXMATCH(D203,""(?i)Valley"")),
        ""DR"" &amp;
        TEXT(
            ROUNDUP(
                MIN(
                    VALUE(MID(C203, "&amp;"FIND(""("",C203)+1, FIND(""/"",C203)-FIND(""("",C203)-1)),
                    1200
                ) / 50, 0
            ) * 50, ""0""
        ) &amp;
        MID(C203, FIND(""/"",C203)+1, FIND("")"",C203)-FIND(""/"",C203)-1) &amp;
        TEXT(H203*100,""0"") &amp;"&amp;"
        I203,
    IF(AND(D203=""Roof Sheet"", REGEXMATCH(C203,""(?i)KS\d{4}[A-Z]{2}"")),
       REGEXEXTRACT(C203,""(?i)KS\d{4}[A-Z]{2}""),
    IF(AND(REGEXMATCH(D203,""(?i)-DP""), REGEXMATCH(C203,""(?i)Downpipe"")),
       ""dp"" &amp; REGEXEXTRACT(C203,""("&amp;"\d+)"") &amp; ""mm"",
    IF(AND(REGEXMATCH(D203,""(?i)Bracket""), REGEXMATCH(C203,""(?i)Bracket"")),
       ""Brkt"" &amp; REGEXEXTRACT(C203,""(\d+)"") &amp; ""mm"",
    IF(AND(REGEXMATCH(D203,""(?i)-OP""), REGEXMATCH(C203,""(?i)pops"")),
       ""op"" &amp; REGEXEXTRAC"&amp;"T(C203,""(\d+)"") &amp; ""mm"",
    IF(OR(D203=""R-FFTop"", D203=""R-FFBottom"", D203=""R-FFSide""),
        IF(REGEXMATCH(C203,""(?i)Profiled.*Top|Top.*Profiled""),""pfft"",
        IF(REGEXMATCH(C203,""(?i)Profiled.*Bottom|Bottom.*Profiled""),""pffb"",
    "&amp;"    IF(REGEXMATCH(C203,""(?i)Square""),""sff"",""""))),
    IF(REGEXMATCH(D203,""(?i)-Rivets""),""Rvt"",
    IF(REGEXMATCH(D203,""(?i)Silicone|Seal""),""300ml"",
    IF(REGEXMATCH(D203,""(?i)R-Butyl""),""300ml"",
    IF(REGEXMATCH(D203,""(?i)Fix""),""GenF"&amp;"ix"",
    IF(AND(REGEXMATCH(C203,""(?i)Timber""), REGEXMATCH(D203,""(?i)Timber"")),""tp"",
    IF(AND(REGEXMATCH(C203,""(?i)Vent G1275""), REGEXMATCH(D203,""(?i)Comb FIller"")),""CFV1275"",
    IF(REGEXMATCH(C203,""(?i)DPC""),""dpc"",
    IF(REGEXMATCH(C2"&amp;"03,""(?i)Concealed Clips""),""ConClips"",
    IF(REGEXMATCH(D203,""(?i)-Takeoff ea""),""Takeoff ea"",
    IF(REGEXMATCH(D203,""(?i)-Takeoff LM""),""Takeoff LM"",
    IF(REGEXMATCH(D203,""(?i)-Takeoff m2""),""Takeoff m2"",
    IF(D203=""R-TU/TD"",""TU/TD"""&amp;","""")))))))))))))))))
  )))"),"op150mm")</f>
        <v>op150mm</v>
      </c>
      <c r="C203" s="123" t="s">
        <v>1249</v>
      </c>
      <c r="D203" s="124" t="s">
        <v>143</v>
      </c>
      <c r="E203" s="687">
        <f>IFERROR(__xludf.DUMMYFUNCTION("IF(REGEXMATCH(C203, ""\d+mmØ""), VALUE(REGEXEXTRACT(C203, ""(\d+)mmØ""))/1000, """")
"),0.15)</f>
        <v>0.15</v>
      </c>
      <c r="F203" s="126"/>
      <c r="G203" s="701"/>
      <c r="H203" s="700"/>
      <c r="I203" s="700"/>
      <c r="J203" s="126" t="s">
        <v>87</v>
      </c>
      <c r="K203" s="126" t="str">
        <f>IFERROR(
  IF(B203="", "", VLOOKUP(B203, Data!$B$2:$K$905, 7, FALSE)),
  ""
)</f>
        <v/>
      </c>
      <c r="L203" s="704"/>
      <c r="M203" s="150">
        <v>1.0</v>
      </c>
      <c r="N203" s="151">
        <f>IFERROR(__xludf.DUMMYFUNCTION("IF(B203="""", """", IFERROR(1 / COS(RADIANS(REGEXEXTRACT(F203,""(\d+)""))), 1))"),1.0)</f>
        <v>1</v>
      </c>
      <c r="O203" s="759">
        <v>4.0</v>
      </c>
      <c r="P203" s="134">
        <v>1.0</v>
      </c>
      <c r="Q203" s="242">
        <f t="shared" ref="Q203:Q205" si="144">M203*N203*O203*P203</f>
        <v>4</v>
      </c>
      <c r="R203" s="136" t="str">
        <f>IFERROR(
  IF(B203="", "", VLOOKUP(B203, Data!$B$2:$K$905, 9, FALSE)),
  ""
)</f>
        <v/>
      </c>
      <c r="S203" s="152">
        <f t="shared" ref="S203:S205" si="145">R203*Q203</f>
        <v>0</v>
      </c>
      <c r="T203" s="690"/>
      <c r="U203" s="136" t="str">
        <f>IFERROR(
  IF(B203="", "", VLOOKUP(B203, Data!$B$2:$K$905, 10, FALSE)),
  ""
)
</f>
        <v/>
      </c>
      <c r="V203" s="691"/>
      <c r="W203" s="140">
        <f t="shared" ref="W203:W205" si="146">U203*Q203</f>
        <v>0</v>
      </c>
      <c r="X203" s="692"/>
      <c r="Y203" s="595"/>
      <c r="Z203" s="595"/>
      <c r="AA203" s="595"/>
      <c r="AB203" s="354">
        <f t="shared" si="140"/>
        <v>0</v>
      </c>
      <c r="AC203" s="181"/>
      <c r="AD203" s="625"/>
      <c r="AE203" s="626"/>
      <c r="AF203" s="696"/>
      <c r="AG203" s="628"/>
      <c r="AH203" s="629"/>
      <c r="AI203" s="187"/>
      <c r="AJ203" s="630"/>
      <c r="AK203" s="630"/>
      <c r="AL203" s="595"/>
      <c r="AM203" s="595"/>
      <c r="AN203" s="595"/>
      <c r="AO203" s="595"/>
      <c r="AP203" s="595"/>
      <c r="AQ203" s="595"/>
      <c r="AR203" s="595"/>
      <c r="AS203" s="595"/>
      <c r="AT203" s="595"/>
      <c r="AU203" s="595"/>
      <c r="AV203" s="595"/>
      <c r="AW203" s="595"/>
      <c r="AX203" s="595"/>
      <c r="AY203" s="595"/>
      <c r="AZ203" s="595"/>
      <c r="BA203" s="595"/>
      <c r="BB203" s="595"/>
      <c r="BC203" s="595"/>
      <c r="BD203" s="595"/>
      <c r="BE203" s="595"/>
      <c r="BF203" s="595"/>
      <c r="BG203" s="595"/>
      <c r="BH203" s="595"/>
      <c r="BI203" s="651"/>
      <c r="BJ203" s="651"/>
      <c r="BK203" s="651"/>
      <c r="BL203" s="651"/>
      <c r="BM203" s="651"/>
      <c r="BN203" s="651"/>
      <c r="BO203" s="651"/>
      <c r="BP203" s="651"/>
      <c r="BQ203" s="651"/>
      <c r="BR203" s="651"/>
      <c r="BS203" s="651"/>
      <c r="BT203" s="651"/>
    </row>
    <row r="204">
      <c r="A204" s="1313"/>
      <c r="B204" s="154" t="str">
        <f>IFERROR(__xludf.DUMMYFUNCTION("IFERROR(
  IF(C204="""","""",
    IF(OR(REGEXMATCH(D204,""(?i)-Flashing""), REGEXMATCH(D204,""(?i)-EavesGut""), REGEXMATCH(D204,""(?i)Valley"")),
        ""DR"" &amp;
        TEXT(
            ROUNDUP(
                MIN(
                    VALUE(MID(C204, "&amp;"FIND(""("",C204)+1, FIND(""/"",C204)-FIND(""("",C204)-1)),
                    1200
                ) / 50, 0
            ) * 50, ""0""
        ) &amp;
        MID(C204, FIND(""/"",C204)+1, FIND("")"",C204)-FIND(""/"",C204)-1) &amp;
        TEXT(H204*100,""0"") &amp;"&amp;"
        I204,
    IF(AND(D204=""Roof Sheet"", REGEXMATCH(C204,""(?i)KS\d{4}[A-Z]{2}"")),
       REGEXEXTRACT(C204,""(?i)KS\d{4}[A-Z]{2}""),
    IF(AND(REGEXMATCH(D204,""(?i)-DP""), REGEXMATCH(C204,""(?i)Downpipe"")),
       ""dp"" &amp; REGEXEXTRACT(C204,""("&amp;"\d+)"") &amp; ""mm"",
    IF(AND(REGEXMATCH(D204,""(?i)Bracket""), REGEXMATCH(C204,""(?i)Bracket"")),
       ""Brkt"" &amp; REGEXEXTRACT(C204,""(\d+)"") &amp; ""mm"",
    IF(AND(REGEXMATCH(D204,""(?i)-OP""), REGEXMATCH(C204,""(?i)pops"")),
       ""op"" &amp; REGEXEXTRAC"&amp;"T(C204,""(\d+)"") &amp; ""mm"",
    IF(OR(D204=""R-FFTop"", D204=""R-FFBottom"", D204=""R-FFSide""),
        IF(REGEXMATCH(C204,""(?i)Profiled.*Top|Top.*Profiled""),""pfft"",
        IF(REGEXMATCH(C204,""(?i)Profiled.*Bottom|Bottom.*Profiled""),""pffb"",
    "&amp;"    IF(REGEXMATCH(C204,""(?i)Square""),""sff"",""""))),
    IF(REGEXMATCH(D204,""(?i)-Rivets""),""Rvt"",
    IF(REGEXMATCH(D204,""(?i)Silicone|Seal""),""300ml"",
    IF(REGEXMATCH(D204,""(?i)R-Butyl""),""300ml"",
    IF(REGEXMATCH(D204,""(?i)Fix""),""GenF"&amp;"ix"",
    IF(AND(REGEXMATCH(C204,""(?i)Timber""), REGEXMATCH(D204,""(?i)Timber"")),""tp"",
    IF(AND(REGEXMATCH(C204,""(?i)Vent G1275""), REGEXMATCH(D204,""(?i)Comb FIller"")),""CFV1275"",
    IF(REGEXMATCH(C204,""(?i)DPC""),""dpc"",
    IF(REGEXMATCH(C2"&amp;"04,""(?i)Concealed Clips""),""ConClips"",
    IF(REGEXMATCH(D204,""(?i)-Takeoff ea""),""Takeoff ea"",
    IF(REGEXMATCH(D204,""(?i)-Takeoff LM""),""Takeoff LM"",
    IF(REGEXMATCH(D204,""(?i)-Takeoff m2""),""Takeoff m2"",
    IF(D204=""R-TU/TD"",""TU/TD"""&amp;","""")))))))))))))))))
  )))"),"300ml")</f>
        <v>300ml</v>
      </c>
      <c r="C204" s="225" t="s">
        <v>98</v>
      </c>
      <c r="D204" s="124" t="s">
        <v>388</v>
      </c>
      <c r="E204" s="687">
        <f>E203</f>
        <v>0.15</v>
      </c>
      <c r="F204" s="126"/>
      <c r="G204" s="701"/>
      <c r="H204" s="700"/>
      <c r="I204" s="700"/>
      <c r="J204" s="126" t="s">
        <v>87</v>
      </c>
      <c r="K204" s="126" t="str">
        <f>IFERROR(
  IF(B204="", "", VLOOKUP(B204, Data!$B$2:$K$905, 7, FALSE)),
  ""
)</f>
        <v/>
      </c>
      <c r="L204" s="704"/>
      <c r="M204" s="150">
        <f>ROUNDUP(3.14*E204,0)/8</f>
        <v>0.125</v>
      </c>
      <c r="N204" s="151">
        <f>IFERROR(__xludf.DUMMYFUNCTION("IF(B204="""", """", IFERROR(1 / COS(RADIANS(REGEXEXTRACT(F204,""(\d+)""))), 1))"),1.0)</f>
        <v>1</v>
      </c>
      <c r="O204" s="169">
        <f>O203</f>
        <v>4</v>
      </c>
      <c r="P204" s="134">
        <v>1.0</v>
      </c>
      <c r="Q204" s="242">
        <f t="shared" si="144"/>
        <v>0.5</v>
      </c>
      <c r="R204" s="136" t="str">
        <f>IFERROR(
  IF(B204="", "", VLOOKUP(B204, Data!$B$2:$K$905, 9, FALSE)),
  ""
)</f>
        <v/>
      </c>
      <c r="S204" s="152">
        <f t="shared" si="145"/>
        <v>0</v>
      </c>
      <c r="T204" s="690"/>
      <c r="U204" s="136" t="str">
        <f>IFERROR(
  IF(B204="", "", VLOOKUP(B204, Data!$B$2:$K$905, 10, FALSE)),
  ""
)
</f>
        <v/>
      </c>
      <c r="V204" s="691"/>
      <c r="W204" s="140">
        <f t="shared" si="146"/>
        <v>0</v>
      </c>
      <c r="X204" s="692"/>
      <c r="Y204" s="595"/>
      <c r="Z204" s="595"/>
      <c r="AA204" s="595"/>
      <c r="AB204" s="354">
        <f t="shared" si="140"/>
        <v>0</v>
      </c>
      <c r="AC204" s="181"/>
      <c r="AD204" s="625"/>
      <c r="AE204" s="626"/>
      <c r="AF204" s="696"/>
      <c r="AG204" s="628"/>
      <c r="AH204" s="629"/>
      <c r="AI204" s="187"/>
      <c r="AJ204" s="630"/>
      <c r="AK204" s="630"/>
      <c r="AL204" s="595"/>
      <c r="AM204" s="595"/>
      <c r="AN204" s="595"/>
      <c r="AO204" s="595"/>
      <c r="AP204" s="595"/>
      <c r="AQ204" s="595"/>
      <c r="AR204" s="595"/>
      <c r="AS204" s="595"/>
      <c r="AT204" s="595"/>
      <c r="AU204" s="595"/>
      <c r="AV204" s="595"/>
      <c r="AW204" s="595"/>
      <c r="AX204" s="595"/>
      <c r="AY204" s="595"/>
      <c r="AZ204" s="595"/>
      <c r="BA204" s="595"/>
      <c r="BB204" s="595"/>
      <c r="BC204" s="595"/>
      <c r="BD204" s="595"/>
      <c r="BE204" s="595"/>
      <c r="BF204" s="595"/>
      <c r="BG204" s="595"/>
      <c r="BH204" s="595"/>
      <c r="BI204" s="651"/>
      <c r="BJ204" s="651"/>
      <c r="BK204" s="651"/>
      <c r="BL204" s="651"/>
      <c r="BM204" s="651"/>
      <c r="BN204" s="651"/>
      <c r="BO204" s="651"/>
      <c r="BP204" s="651"/>
      <c r="BQ204" s="651"/>
      <c r="BR204" s="651"/>
      <c r="BS204" s="651"/>
      <c r="BT204" s="651"/>
    </row>
    <row r="205">
      <c r="A205" s="1313"/>
      <c r="B205" s="154" t="str">
        <f>IFERROR(__xludf.DUMMYFUNCTION("IFERROR(
  IF(C205="""","""",
    IF(OR(REGEXMATCH(D205,""(?i)-Flashing""), REGEXMATCH(D205,""(?i)-EavesGut""), REGEXMATCH(D205,""(?i)Valley"")),
        ""DR"" &amp;
        TEXT(
            ROUNDUP(
                MIN(
                    VALUE(MID(C205, "&amp;"FIND(""("",C205)+1, FIND(""/"",C205)-FIND(""("",C205)-1)),
                    1200
                ) / 50, 0
            ) * 50, ""0""
        ) &amp;
        MID(C205, FIND(""/"",C205)+1, FIND("")"",C205)-FIND(""/"",C205)-1) &amp;
        TEXT(H205*100,""0"") &amp;"&amp;"
        I205,
    IF(AND(D205=""Roof Sheet"", REGEXMATCH(C205,""(?i)KS\d{4}[A-Z]{2}"")),
       REGEXEXTRACT(C205,""(?i)KS\d{4}[A-Z]{2}""),
    IF(AND(REGEXMATCH(D205,""(?i)-DP""), REGEXMATCH(C205,""(?i)Downpipe"")),
       ""dp"" &amp; REGEXEXTRACT(C205,""("&amp;"\d+)"") &amp; ""mm"",
    IF(AND(REGEXMATCH(D205,""(?i)Bracket""), REGEXMATCH(C205,""(?i)Bracket"")),
       ""Brkt"" &amp; REGEXEXTRACT(C205,""(\d+)"") &amp; ""mm"",
    IF(AND(REGEXMATCH(D205,""(?i)-OP""), REGEXMATCH(C205,""(?i)pops"")),
       ""op"" &amp; REGEXEXTRAC"&amp;"T(C205,""(\d+)"") &amp; ""mm"",
    IF(OR(D205=""R-FFTop"", D205=""R-FFBottom"", D205=""R-FFSide""),
        IF(REGEXMATCH(C205,""(?i)Profiled.*Top|Top.*Profiled""),""pfft"",
        IF(REGEXMATCH(C205,""(?i)Profiled.*Bottom|Bottom.*Profiled""),""pffb"",
    "&amp;"    IF(REGEXMATCH(C205,""(?i)Square""),""sff"",""""))),
    IF(REGEXMATCH(D205,""(?i)-Rivets""),""Rvt"",
    IF(REGEXMATCH(D205,""(?i)Silicone|Seal""),""300ml"",
    IF(REGEXMATCH(D205,""(?i)R-Butyl""),""300ml"",
    IF(REGEXMATCH(D205,""(?i)Fix""),""GenF"&amp;"ix"",
    IF(AND(REGEXMATCH(C205,""(?i)Timber""), REGEXMATCH(D205,""(?i)Timber"")),""tp"",
    IF(AND(REGEXMATCH(C205,""(?i)Vent G1275""), REGEXMATCH(D205,""(?i)Comb FIller"")),""CFV1275"",
    IF(REGEXMATCH(C205,""(?i)DPC""),""dpc"",
    IF(REGEXMATCH(C2"&amp;"05,""(?i)Concealed Clips""),""ConClips"",
    IF(REGEXMATCH(D205,""(?i)-Takeoff ea""),""Takeoff ea"",
    IF(REGEXMATCH(D205,""(?i)-Takeoff LM""),""Takeoff LM"",
    IF(REGEXMATCH(D205,""(?i)-Takeoff m2""),""Takeoff m2"",
    IF(D205=""R-TU/TD"",""TU/TD"""&amp;","""")))))))))))))))))
  )))"),"GenFix")</f>
        <v>GenFix</v>
      </c>
      <c r="C205" s="225" t="s">
        <v>102</v>
      </c>
      <c r="D205" s="124" t="s">
        <v>144</v>
      </c>
      <c r="E205" s="687">
        <f>E203</f>
        <v>0.15</v>
      </c>
      <c r="F205" s="126"/>
      <c r="G205" s="701"/>
      <c r="H205" s="700"/>
      <c r="I205" s="700"/>
      <c r="J205" s="126" t="s">
        <v>87</v>
      </c>
      <c r="K205" s="126" t="str">
        <f>IFERROR(
  IF(B205="", "", VLOOKUP(B205, Data!$B$2:$K$905, 7, FALSE)),
  ""
)</f>
        <v/>
      </c>
      <c r="L205" s="704"/>
      <c r="M205" s="150">
        <f>ROUNDUP(3.14*E205,0)/0.05</f>
        <v>20</v>
      </c>
      <c r="N205" s="151">
        <f>IFERROR(__xludf.DUMMYFUNCTION("IF(B205="""", """", IFERROR(1 / COS(RADIANS(REGEXEXTRACT(F205,""(\d+)""))), 1))"),1.0)</f>
        <v>1</v>
      </c>
      <c r="O205" s="169">
        <f>O203</f>
        <v>4</v>
      </c>
      <c r="P205" s="134">
        <v>1.0</v>
      </c>
      <c r="Q205" s="242">
        <f t="shared" si="144"/>
        <v>80</v>
      </c>
      <c r="R205" s="136" t="str">
        <f>IFERROR(
  IF(B205="", "", VLOOKUP(B205, Data!$B$2:$K$905, 9, FALSE)),
  ""
)</f>
        <v/>
      </c>
      <c r="S205" s="152">
        <f t="shared" si="145"/>
        <v>0</v>
      </c>
      <c r="T205" s="690"/>
      <c r="U205" s="136" t="str">
        <f>IFERROR(
  IF(B205="", "", VLOOKUP(B205, Data!$B$2:$K$905, 10, FALSE)),
  ""
)
</f>
        <v/>
      </c>
      <c r="V205" s="691"/>
      <c r="W205" s="140">
        <f t="shared" si="146"/>
        <v>0</v>
      </c>
      <c r="X205" s="692"/>
      <c r="Y205" s="595"/>
      <c r="Z205" s="595"/>
      <c r="AA205" s="595"/>
      <c r="AB205" s="354">
        <f t="shared" si="140"/>
        <v>0</v>
      </c>
      <c r="AC205" s="181"/>
      <c r="AD205" s="625"/>
      <c r="AE205" s="626"/>
      <c r="AF205" s="696"/>
      <c r="AG205" s="628"/>
      <c r="AH205" s="629"/>
      <c r="AI205" s="187"/>
      <c r="AJ205" s="630"/>
      <c r="AK205" s="630"/>
      <c r="AL205" s="595"/>
      <c r="AM205" s="595"/>
      <c r="AN205" s="595"/>
      <c r="AO205" s="595"/>
      <c r="AP205" s="595"/>
      <c r="AQ205" s="595"/>
      <c r="AR205" s="595"/>
      <c r="AS205" s="595"/>
      <c r="AT205" s="595"/>
      <c r="AU205" s="595"/>
      <c r="AV205" s="595"/>
      <c r="AW205" s="595"/>
      <c r="AX205" s="595"/>
      <c r="AY205" s="595"/>
      <c r="AZ205" s="595"/>
      <c r="BA205" s="595"/>
      <c r="BB205" s="595"/>
      <c r="BC205" s="595"/>
      <c r="BD205" s="595"/>
      <c r="BE205" s="595"/>
      <c r="BF205" s="595"/>
      <c r="BG205" s="595"/>
      <c r="BH205" s="595"/>
      <c r="BI205" s="651"/>
      <c r="BJ205" s="651"/>
      <c r="BK205" s="651"/>
      <c r="BL205" s="651"/>
      <c r="BM205" s="651"/>
      <c r="BN205" s="651"/>
      <c r="BO205" s="651"/>
      <c r="BP205" s="651"/>
      <c r="BQ205" s="651"/>
      <c r="BR205" s="651"/>
      <c r="BS205" s="651"/>
      <c r="BT205" s="651"/>
    </row>
    <row r="206">
      <c r="A206" s="1313"/>
      <c r="B206" s="154"/>
      <c r="C206" s="700"/>
      <c r="D206" s="701"/>
      <c r="E206" s="722"/>
      <c r="F206" s="126"/>
      <c r="G206" s="701"/>
      <c r="H206" s="700"/>
      <c r="I206" s="700"/>
      <c r="J206" s="701"/>
      <c r="K206" s="126"/>
      <c r="L206" s="704"/>
      <c r="M206" s="704"/>
      <c r="N206" s="711"/>
      <c r="O206" s="712"/>
      <c r="P206" s="700"/>
      <c r="Q206" s="712"/>
      <c r="R206" s="136" t="str">
        <f>IFERROR(
  IF(B206="", "", VLOOKUP(B206, Data!$B$2:$K$905, 9, FALSE)),
  ""
)</f>
        <v/>
      </c>
      <c r="S206" s="152"/>
      <c r="T206" s="690"/>
      <c r="U206" s="136" t="str">
        <f>IFERROR(
  IF(B206="", "", VLOOKUP(B206, Data!$B$2:$K$905, 10, FALSE)),
  ""
)
</f>
        <v/>
      </c>
      <c r="V206" s="691"/>
      <c r="W206" s="713"/>
      <c r="X206" s="692"/>
      <c r="Y206" s="595"/>
      <c r="Z206" s="595"/>
      <c r="AA206" s="595"/>
      <c r="AB206" s="354"/>
      <c r="AC206" s="181"/>
      <c r="AD206" s="625"/>
      <c r="AE206" s="626"/>
      <c r="AF206" s="696"/>
      <c r="AG206" s="628"/>
      <c r="AH206" s="629"/>
      <c r="AI206" s="187"/>
      <c r="AJ206" s="630"/>
      <c r="AK206" s="630"/>
      <c r="AL206" s="595"/>
      <c r="AM206" s="595"/>
      <c r="AN206" s="595"/>
      <c r="AO206" s="595"/>
      <c r="AP206" s="595"/>
      <c r="AQ206" s="595"/>
      <c r="AR206" s="595"/>
      <c r="AS206" s="595"/>
      <c r="AT206" s="595"/>
      <c r="AU206" s="595"/>
      <c r="AV206" s="595"/>
      <c r="AW206" s="595"/>
      <c r="AX206" s="595"/>
      <c r="AY206" s="595"/>
      <c r="AZ206" s="595"/>
      <c r="BA206" s="595"/>
      <c r="BB206" s="595"/>
      <c r="BC206" s="595"/>
      <c r="BD206" s="595"/>
      <c r="BE206" s="595"/>
      <c r="BF206" s="595"/>
      <c r="BG206" s="595"/>
      <c r="BH206" s="595"/>
      <c r="BI206" s="651"/>
      <c r="BJ206" s="651"/>
      <c r="BK206" s="651"/>
      <c r="BL206" s="651"/>
      <c r="BM206" s="651"/>
      <c r="BN206" s="651"/>
      <c r="BO206" s="651"/>
      <c r="BP206" s="651"/>
      <c r="BQ206" s="651"/>
      <c r="BR206" s="651"/>
      <c r="BS206" s="651"/>
      <c r="BT206" s="651"/>
    </row>
    <row r="207" ht="12.75" customHeight="1">
      <c r="A207" s="1313"/>
      <c r="B207" s="122"/>
      <c r="C207" s="276"/>
      <c r="D207" s="148"/>
      <c r="E207" s="687"/>
      <c r="F207" s="277"/>
      <c r="G207" s="1170"/>
      <c r="H207" s="279"/>
      <c r="I207" s="783"/>
      <c r="J207" s="784"/>
      <c r="K207" s="126"/>
      <c r="L207" s="712"/>
      <c r="M207" s="730"/>
      <c r="N207" s="151"/>
      <c r="O207" s="760"/>
      <c r="P207" s="760"/>
      <c r="Q207" s="168"/>
      <c r="R207" s="136" t="str">
        <f>IFERROR(
  IF(B207="", "", VLOOKUP(B207, Data!$B$2:$K$905, 9, FALSE)),
  ""
)</f>
        <v/>
      </c>
      <c r="S207" s="152"/>
      <c r="T207" s="690"/>
      <c r="U207" s="136" t="str">
        <f>IFERROR(
  IF(B207="", "", VLOOKUP(B207, Data!$B$2:$K$905, 10, FALSE)),
  ""
)
</f>
        <v/>
      </c>
      <c r="V207" s="691"/>
      <c r="W207" s="140"/>
      <c r="X207" s="297" t="str">
        <f>SUM(AB13:AB207)</f>
        <v>#REF!</v>
      </c>
      <c r="Y207" s="595"/>
      <c r="Z207" s="595"/>
      <c r="AA207" s="595"/>
      <c r="AB207" s="354"/>
      <c r="AC207" s="785"/>
      <c r="AD207" s="786"/>
      <c r="AE207" s="786"/>
      <c r="AF207" s="787"/>
      <c r="AG207" s="788"/>
      <c r="AH207" s="789"/>
      <c r="AI207" s="790"/>
      <c r="AJ207" s="789"/>
      <c r="AK207" s="789"/>
      <c r="AL207" s="597"/>
      <c r="AM207" s="595"/>
      <c r="AN207" s="595"/>
      <c r="AO207" s="595"/>
      <c r="AP207" s="595"/>
      <c r="AQ207" s="651"/>
      <c r="AR207" s="651"/>
      <c r="AS207" s="651"/>
      <c r="AT207" s="651"/>
      <c r="AU207" s="651"/>
      <c r="AV207" s="651"/>
      <c r="AW207" s="651"/>
      <c r="AX207" s="651"/>
      <c r="AY207" s="651"/>
      <c r="AZ207" s="651"/>
      <c r="BA207" s="651"/>
      <c r="BB207" s="651"/>
      <c r="BC207" s="651"/>
      <c r="BD207" s="651"/>
      <c r="BE207" s="651"/>
      <c r="BF207" s="651"/>
      <c r="BG207" s="651"/>
      <c r="BH207" s="651"/>
      <c r="BI207" s="651"/>
      <c r="BJ207" s="651"/>
      <c r="BK207" s="651"/>
      <c r="BL207" s="651"/>
      <c r="BM207" s="651"/>
      <c r="BN207" s="651"/>
      <c r="BO207" s="651"/>
      <c r="BP207" s="651"/>
      <c r="BQ207" s="651"/>
      <c r="BR207" s="651"/>
      <c r="BS207" s="651"/>
      <c r="BT207" s="651"/>
    </row>
    <row r="208" ht="12.75" customHeight="1">
      <c r="A208" s="1360"/>
      <c r="B208" s="791"/>
      <c r="C208" s="584"/>
      <c r="D208" s="584"/>
      <c r="E208" s="585"/>
      <c r="F208" s="586"/>
      <c r="G208" s="584"/>
      <c r="H208" s="584"/>
      <c r="I208" s="595"/>
      <c r="J208" s="595"/>
      <c r="K208" s="354"/>
      <c r="L208" s="588"/>
      <c r="M208" s="588"/>
      <c r="N208" s="589"/>
      <c r="O208" s="584"/>
      <c r="P208" s="586"/>
      <c r="Q208" s="443"/>
      <c r="R208" s="792"/>
      <c r="S208" s="793"/>
      <c r="T208" s="302" t="str">
        <f>sumif(A13:A207,1,T13:T207)</f>
        <v>#REF!</v>
      </c>
      <c r="U208" s="794"/>
      <c r="V208" s="795"/>
      <c r="W208" s="302" t="str">
        <f>sumif(A13:A207,1,W13:W207)</f>
        <v>#REF!</v>
      </c>
      <c r="X208" s="305" t="str">
        <f>X207=(T208+W208)</f>
        <v>#REF!</v>
      </c>
      <c r="Y208" s="113" t="str">
        <f>(T208+W208)-X207</f>
        <v>#REF!</v>
      </c>
      <c r="Z208" s="595"/>
      <c r="AA208" s="595"/>
      <c r="AB208" s="354"/>
      <c r="AC208" s="181"/>
      <c r="AD208" s="625"/>
      <c r="AE208" s="626"/>
      <c r="AF208" s="627"/>
      <c r="AG208" s="628"/>
      <c r="AH208" s="629"/>
      <c r="AI208" s="187"/>
      <c r="AJ208" s="630"/>
      <c r="AK208" s="630"/>
      <c r="AL208" s="584"/>
      <c r="AM208" s="595"/>
      <c r="AN208" s="595"/>
      <c r="AO208" s="595"/>
      <c r="AP208" s="584"/>
      <c r="AQ208" s="584"/>
      <c r="AR208" s="584"/>
      <c r="AS208" s="584"/>
      <c r="AT208" s="584"/>
      <c r="AU208" s="584"/>
      <c r="AV208" s="584"/>
      <c r="AW208" s="584"/>
      <c r="AX208" s="584"/>
      <c r="AY208" s="584"/>
      <c r="AZ208" s="584"/>
      <c r="BA208" s="584"/>
      <c r="BB208" s="584"/>
      <c r="BC208" s="584"/>
      <c r="BD208" s="584"/>
      <c r="BE208" s="584"/>
      <c r="BF208" s="584"/>
      <c r="BG208" s="584"/>
      <c r="BH208" s="584"/>
      <c r="BI208" s="597"/>
      <c r="BJ208" s="597"/>
      <c r="BK208" s="597"/>
      <c r="BL208" s="597"/>
      <c r="BM208" s="597"/>
      <c r="BN208" s="597"/>
      <c r="BO208" s="597"/>
      <c r="BP208" s="597"/>
      <c r="BQ208" s="597"/>
      <c r="BR208" s="597"/>
      <c r="BS208" s="597"/>
      <c r="BT208" s="597"/>
    </row>
    <row r="209" ht="12.75" customHeight="1">
      <c r="A209" s="1360"/>
      <c r="B209" s="584"/>
      <c r="C209" s="584"/>
      <c r="D209" s="584"/>
      <c r="E209" s="585"/>
      <c r="F209" s="586"/>
      <c r="G209" s="584"/>
      <c r="H209" s="584"/>
      <c r="I209" s="584"/>
      <c r="J209" s="584"/>
      <c r="K209" s="586"/>
      <c r="L209" s="588"/>
      <c r="M209" s="588"/>
      <c r="N209" s="589"/>
      <c r="O209" s="584"/>
      <c r="P209" s="586"/>
      <c r="Q209" s="443"/>
      <c r="R209" s="603"/>
      <c r="S209" s="354"/>
      <c r="T209" s="595"/>
      <c r="U209" s="595"/>
      <c r="V209" s="595"/>
      <c r="W209" s="595"/>
      <c r="X209" s="306" t="str">
        <f>W208/70/8/$X$232</f>
        <v>#REF!</v>
      </c>
      <c r="Y209" s="595"/>
      <c r="Z209" s="595"/>
      <c r="AA209" s="595"/>
      <c r="AB209" s="354"/>
      <c r="AC209" s="181"/>
      <c r="AD209" s="625"/>
      <c r="AE209" s="626"/>
      <c r="AF209" s="627"/>
      <c r="AG209" s="628"/>
      <c r="AH209" s="629"/>
      <c r="AI209" s="187"/>
      <c r="AJ209" s="630"/>
      <c r="AK209" s="630"/>
      <c r="AL209" s="443"/>
      <c r="AM209" s="595"/>
      <c r="AN209" s="595"/>
      <c r="AO209" s="595"/>
      <c r="AP209" s="595"/>
      <c r="AQ209" s="584"/>
      <c r="AR209" s="595"/>
      <c r="AS209" s="595"/>
      <c r="AT209" s="584"/>
      <c r="AU209" s="443"/>
      <c r="AV209" s="443"/>
      <c r="AW209" s="443"/>
      <c r="AX209" s="584"/>
      <c r="AY209" s="584"/>
      <c r="AZ209" s="584"/>
      <c r="BA209" s="584"/>
      <c r="BB209" s="584"/>
      <c r="BC209" s="584"/>
      <c r="BD209" s="584"/>
      <c r="BE209" s="584"/>
      <c r="BF209" s="584"/>
      <c r="BG209" s="584"/>
      <c r="BH209" s="584"/>
      <c r="BI209" s="597"/>
      <c r="BJ209" s="597"/>
      <c r="BK209" s="597"/>
      <c r="BL209" s="597"/>
      <c r="BM209" s="597"/>
      <c r="BN209" s="597"/>
      <c r="BO209" s="597"/>
      <c r="BP209" s="597"/>
      <c r="BQ209" s="597"/>
      <c r="BR209" s="597"/>
      <c r="BS209" s="597"/>
      <c r="BT209" s="597"/>
    </row>
    <row r="210" ht="12.75" customHeight="1">
      <c r="A210" s="1360">
        <v>1.0</v>
      </c>
      <c r="B210" s="796"/>
      <c r="C210" s="796"/>
      <c r="D210" s="796"/>
      <c r="E210" s="797"/>
      <c r="F210" s="798"/>
      <c r="G210" s="796"/>
      <c r="H210" s="796"/>
      <c r="I210" s="796"/>
      <c r="J210" s="796"/>
      <c r="K210" s="798"/>
      <c r="L210" s="800"/>
      <c r="M210" s="800"/>
      <c r="N210" s="801"/>
      <c r="O210" s="796"/>
      <c r="P210" s="798"/>
      <c r="Q210" s="796"/>
      <c r="R210" s="799"/>
      <c r="S210" s="802"/>
      <c r="T210" s="311" t="str">
        <f>T208</f>
        <v>#REF!</v>
      </c>
      <c r="U210" s="796"/>
      <c r="V210" s="803"/>
      <c r="W210" s="311" t="str">
        <f>W208</f>
        <v>#REF!</v>
      </c>
      <c r="X210" s="796"/>
      <c r="Y210" s="803"/>
      <c r="Z210" s="803"/>
      <c r="AA210" s="803"/>
      <c r="AB210" s="804" t="str">
        <f>SUM(AB13:AB209)</f>
        <v>#REF!</v>
      </c>
      <c r="AC210" s="796"/>
      <c r="AD210" s="311" t="str">
        <f t="shared" ref="AD210:AE210" si="147">SUM(AD13:AD209)</f>
        <v>#REF!</v>
      </c>
      <c r="AE210" s="311" t="str">
        <f t="shared" si="147"/>
        <v>#REF!</v>
      </c>
      <c r="AF210" s="312">
        <f t="shared" ref="AF210:AH210" si="148">SUM(iferror(AF13:AF209,""))</f>
        <v>0</v>
      </c>
      <c r="AG210" s="805">
        <f t="shared" si="148"/>
        <v>0</v>
      </c>
      <c r="AH210" s="312">
        <f t="shared" si="148"/>
        <v>0</v>
      </c>
      <c r="AI210" s="803"/>
      <c r="AJ210" s="803"/>
      <c r="AK210" s="312">
        <f>SUM(iferror(AK13:AK209,""))</f>
        <v>0</v>
      </c>
      <c r="AL210" s="595"/>
      <c r="AM210" s="595"/>
      <c r="AN210" s="595"/>
      <c r="AO210" s="595"/>
      <c r="AP210" s="595"/>
      <c r="AQ210" s="443"/>
      <c r="AR210" s="595"/>
      <c r="AS210" s="443"/>
      <c r="AT210" s="584"/>
      <c r="AU210" s="443"/>
      <c r="AV210" s="584"/>
      <c r="AW210" s="595"/>
      <c r="AX210" s="584"/>
      <c r="AY210" s="584"/>
      <c r="AZ210" s="584"/>
      <c r="BA210" s="584"/>
      <c r="BB210" s="584"/>
      <c r="BC210" s="584"/>
      <c r="BD210" s="584"/>
      <c r="BE210" s="584"/>
      <c r="BF210" s="584"/>
      <c r="BG210" s="584"/>
      <c r="BH210" s="584"/>
      <c r="BI210" s="597"/>
      <c r="BJ210" s="597"/>
      <c r="BK210" s="597"/>
      <c r="BL210" s="597"/>
      <c r="BM210" s="597"/>
      <c r="BN210" s="597"/>
      <c r="BO210" s="597"/>
      <c r="BP210" s="597"/>
      <c r="BQ210" s="597"/>
      <c r="BR210" s="597"/>
      <c r="BS210" s="597"/>
      <c r="BT210" s="597"/>
    </row>
    <row r="211" ht="12.75" customHeight="1">
      <c r="A211" s="1360"/>
      <c r="B211" s="584"/>
      <c r="C211" s="584"/>
      <c r="D211" s="584"/>
      <c r="E211" s="585"/>
      <c r="F211" s="586"/>
      <c r="G211" s="584"/>
      <c r="H211" s="584"/>
      <c r="I211" s="806"/>
      <c r="J211" s="806"/>
      <c r="K211" s="349"/>
      <c r="L211" s="588"/>
      <c r="M211" s="588"/>
      <c r="N211" s="589"/>
      <c r="O211" s="595"/>
      <c r="P211" s="586"/>
      <c r="Q211" s="443"/>
      <c r="R211" s="587"/>
      <c r="S211" s="354"/>
      <c r="T211" s="595"/>
      <c r="U211" s="443"/>
      <c r="V211" s="595"/>
      <c r="W211" s="595"/>
      <c r="X211" s="807"/>
      <c r="Y211" s="595"/>
      <c r="Z211" s="595"/>
      <c r="AA211" s="595"/>
      <c r="AB211" s="354"/>
      <c r="AC211" s="584"/>
      <c r="AD211" s="595"/>
      <c r="AE211" s="315" t="str">
        <f>W225/AE210</f>
        <v>#REF!</v>
      </c>
      <c r="AF211" s="443"/>
      <c r="AG211" s="354"/>
      <c r="AH211" s="595"/>
      <c r="AI211" s="595"/>
      <c r="AJ211" s="595"/>
      <c r="AK211" s="316" t="str">
        <f>AK210-T233</f>
        <v>#REF!</v>
      </c>
      <c r="AL211" s="595"/>
      <c r="AM211" s="595"/>
      <c r="AN211" s="595"/>
      <c r="AO211" s="595"/>
      <c r="AP211" s="595"/>
      <c r="AQ211" s="443"/>
      <c r="AR211" s="595"/>
      <c r="AS211" s="443"/>
      <c r="AT211" s="584"/>
      <c r="AU211" s="443"/>
      <c r="AV211" s="584"/>
      <c r="AW211" s="595"/>
      <c r="AX211" s="584"/>
      <c r="AY211" s="584"/>
      <c r="AZ211" s="584"/>
      <c r="BA211" s="584"/>
      <c r="BB211" s="584"/>
      <c r="BC211" s="584"/>
      <c r="BD211" s="584"/>
      <c r="BE211" s="584"/>
      <c r="BF211" s="584"/>
      <c r="BG211" s="584"/>
      <c r="BH211" s="584"/>
      <c r="BI211" s="597"/>
      <c r="BJ211" s="597"/>
      <c r="BK211" s="597"/>
      <c r="BL211" s="597"/>
      <c r="BM211" s="597"/>
      <c r="BN211" s="597"/>
      <c r="BO211" s="597"/>
      <c r="BP211" s="597"/>
      <c r="BQ211" s="597"/>
      <c r="BR211" s="597"/>
      <c r="BS211" s="597"/>
      <c r="BT211" s="597"/>
    </row>
    <row r="212" ht="12.75" customHeight="1">
      <c r="A212" s="1360"/>
      <c r="B212" s="584"/>
      <c r="C212" s="808" t="s">
        <v>174</v>
      </c>
      <c r="D212" s="809"/>
      <c r="E212" s="810"/>
      <c r="F212" s="811"/>
      <c r="G212" s="813"/>
      <c r="H212" s="813"/>
      <c r="I212" s="814"/>
      <c r="J212" s="815"/>
      <c r="K212" s="816"/>
      <c r="L212" s="817"/>
      <c r="M212" s="817"/>
      <c r="N212" s="818"/>
      <c r="O212" s="584"/>
      <c r="P212" s="586"/>
      <c r="Q212" s="443"/>
      <c r="R212" s="587"/>
      <c r="S212" s="819" t="s">
        <v>175</v>
      </c>
      <c r="T212" s="325" t="str">
        <f>T210</f>
        <v>#REF!</v>
      </c>
      <c r="U212" s="595"/>
      <c r="V212" s="324" t="s">
        <v>175</v>
      </c>
      <c r="W212" s="325" t="str">
        <f>W210</f>
        <v>#REF!</v>
      </c>
      <c r="X212" s="326" t="str">
        <f>Z368+AN304+BB284</f>
        <v>#REF!</v>
      </c>
      <c r="Y212" s="595"/>
      <c r="Z212" s="595"/>
      <c r="AA212" s="595"/>
      <c r="AB212" s="354"/>
      <c r="AC212" s="584"/>
      <c r="AD212" s="595"/>
      <c r="AE212" s="595"/>
      <c r="AF212" s="443"/>
      <c r="AG212" s="354"/>
      <c r="AH212" s="595"/>
      <c r="AI212" s="595"/>
      <c r="AJ212" s="595"/>
      <c r="AK212" s="327" t="str">
        <f>AK210=T233</f>
        <v>#REF!</v>
      </c>
      <c r="AL212" s="595"/>
      <c r="AM212" s="595"/>
      <c r="AN212" s="595"/>
      <c r="AO212" s="595"/>
      <c r="AP212" s="443"/>
      <c r="AQ212" s="443"/>
      <c r="AR212" s="595"/>
      <c r="AS212" s="443"/>
      <c r="AT212" s="443"/>
      <c r="AU212" s="443"/>
      <c r="AV212" s="820"/>
      <c r="AW212" s="595"/>
      <c r="AX212" s="584"/>
      <c r="AY212" s="584"/>
      <c r="AZ212" s="584"/>
      <c r="BA212" s="584"/>
      <c r="BB212" s="584"/>
      <c r="BC212" s="584"/>
      <c r="BD212" s="584"/>
      <c r="BE212" s="584"/>
      <c r="BF212" s="584"/>
      <c r="BG212" s="584"/>
      <c r="BH212" s="584"/>
      <c r="BI212" s="597"/>
      <c r="BJ212" s="597"/>
      <c r="BK212" s="597"/>
      <c r="BL212" s="597"/>
      <c r="BM212" s="597"/>
      <c r="BN212" s="597"/>
      <c r="BO212" s="597"/>
      <c r="BP212" s="597"/>
      <c r="BQ212" s="597"/>
      <c r="BR212" s="597"/>
      <c r="BS212" s="597"/>
      <c r="BT212" s="597"/>
    </row>
    <row r="213" ht="12.75" customHeight="1">
      <c r="A213" s="1360"/>
      <c r="B213" s="12" t="s">
        <v>176</v>
      </c>
      <c r="C213" s="329" t="s">
        <v>177</v>
      </c>
      <c r="D213" s="821"/>
      <c r="E213" s="822"/>
      <c r="F213" s="823"/>
      <c r="G213" s="825"/>
      <c r="H213" s="825"/>
      <c r="I213" s="333" t="s">
        <v>178</v>
      </c>
      <c r="J213" s="334" t="s">
        <v>179</v>
      </c>
      <c r="K213" s="335" t="s">
        <v>180</v>
      </c>
      <c r="L213" s="336" t="s">
        <v>181</v>
      </c>
      <c r="M213" s="337" t="s">
        <v>182</v>
      </c>
      <c r="N213" s="826">
        <f>SUM(N214:N220)</f>
        <v>0</v>
      </c>
      <c r="O213" s="584"/>
      <c r="P213" s="827"/>
      <c r="Q213" s="443"/>
      <c r="R213" s="828">
        <v>0.0</v>
      </c>
      <c r="S213" s="829" t="s">
        <v>183</v>
      </c>
      <c r="T213" s="341" t="str">
        <f>(T210)*R213</f>
        <v>#REF!</v>
      </c>
      <c r="U213" s="595"/>
      <c r="V213" s="830"/>
      <c r="W213" s="831"/>
      <c r="X213" s="344" t="str">
        <f>W216-X212</f>
        <v>#REF!</v>
      </c>
      <c r="Y213" s="595"/>
      <c r="Z213" s="595"/>
      <c r="AA213" s="595"/>
      <c r="AB213" s="345" t="str">
        <f>(T212+W212)=AB210</f>
        <v>#REF!</v>
      </c>
      <c r="AC213" s="584"/>
      <c r="AD213" s="346" t="s">
        <v>184</v>
      </c>
      <c r="AE213" s="595"/>
      <c r="AF213" s="443"/>
      <c r="AG213" s="832" t="str">
        <f>AD210</f>
        <v>#REF!</v>
      </c>
      <c r="AH213" s="595"/>
      <c r="AI213" s="595"/>
      <c r="AJ213" s="595"/>
      <c r="AK213" s="595"/>
      <c r="AL213" s="595"/>
      <c r="AM213" s="595"/>
      <c r="AN213" s="595"/>
      <c r="AO213" s="595"/>
      <c r="AP213" s="443"/>
      <c r="AQ213" s="443"/>
      <c r="AR213" s="595"/>
      <c r="AS213" s="443"/>
      <c r="AT213" s="443"/>
      <c r="AU213" s="443"/>
      <c r="AV213" s="820"/>
      <c r="AW213" s="595"/>
      <c r="AX213" s="584"/>
      <c r="AY213" s="584"/>
      <c r="AZ213" s="584"/>
      <c r="BA213" s="584"/>
      <c r="BB213" s="584"/>
      <c r="BC213" s="584"/>
      <c r="BD213" s="584"/>
      <c r="BE213" s="584"/>
      <c r="BF213" s="584"/>
      <c r="BG213" s="584"/>
      <c r="BH213" s="584"/>
      <c r="BI213" s="597"/>
      <c r="BJ213" s="597"/>
      <c r="BK213" s="597"/>
      <c r="BL213" s="597"/>
      <c r="BM213" s="597"/>
      <c r="BN213" s="597"/>
      <c r="BO213" s="597"/>
      <c r="BP213" s="597"/>
      <c r="BQ213" s="597"/>
      <c r="BR213" s="597"/>
      <c r="BS213" s="597"/>
      <c r="BT213" s="597"/>
    </row>
    <row r="214" ht="12.75" customHeight="1">
      <c r="A214" s="1360"/>
      <c r="B214" s="584"/>
      <c r="C214" s="347" t="s">
        <v>185</v>
      </c>
      <c r="D214" s="609"/>
      <c r="E214" s="585"/>
      <c r="F214" s="586"/>
      <c r="G214" s="584"/>
      <c r="H214" s="584"/>
      <c r="I214" s="349">
        <f>X232</f>
        <v>4</v>
      </c>
      <c r="J214" s="349">
        <f>I214</f>
        <v>4</v>
      </c>
      <c r="K214" s="349">
        <f>I214</f>
        <v>4</v>
      </c>
      <c r="L214" s="350">
        <v>2.0</v>
      </c>
      <c r="M214" s="350">
        <v>1.0</v>
      </c>
      <c r="N214" s="833"/>
      <c r="O214" s="584"/>
      <c r="P214" s="586"/>
      <c r="Q214" s="443"/>
      <c r="R214" s="834"/>
      <c r="S214" s="829" t="s">
        <v>186</v>
      </c>
      <c r="T214" s="341">
        <v>0.0</v>
      </c>
      <c r="U214" s="353" t="str">
        <f>W214/(W210)</f>
        <v>#REF!</v>
      </c>
      <c r="V214" s="340" t="s">
        <v>186</v>
      </c>
      <c r="W214" s="835"/>
      <c r="X214" s="443"/>
      <c r="Y214" s="595"/>
      <c r="Z214" s="595"/>
      <c r="AA214" s="595"/>
      <c r="AB214" s="354"/>
      <c r="AC214" s="584"/>
      <c r="AD214" s="595"/>
      <c r="AE214" s="595"/>
      <c r="AF214" s="443"/>
      <c r="AG214" s="354"/>
      <c r="AH214" s="595"/>
      <c r="AI214" s="595"/>
      <c r="AJ214" s="595"/>
      <c r="AK214" s="316"/>
      <c r="AL214" s="595"/>
      <c r="AM214" s="595"/>
      <c r="AN214" s="595"/>
      <c r="AO214" s="595"/>
      <c r="AP214" s="443"/>
      <c r="AQ214" s="443"/>
      <c r="AR214" s="595"/>
      <c r="AS214" s="443"/>
      <c r="AT214" s="443"/>
      <c r="AU214" s="443"/>
      <c r="AV214" s="820"/>
      <c r="AW214" s="595"/>
      <c r="AX214" s="584"/>
      <c r="AY214" s="584"/>
      <c r="AZ214" s="584"/>
      <c r="BA214" s="584"/>
      <c r="BB214" s="584"/>
      <c r="BC214" s="584"/>
      <c r="BD214" s="584"/>
      <c r="BE214" s="584"/>
      <c r="BF214" s="584"/>
      <c r="BG214" s="584"/>
      <c r="BH214" s="584"/>
      <c r="BI214" s="597"/>
      <c r="BJ214" s="597"/>
      <c r="BK214" s="597"/>
      <c r="BL214" s="597"/>
      <c r="BM214" s="597"/>
      <c r="BN214" s="597"/>
      <c r="BO214" s="597"/>
      <c r="BP214" s="597"/>
      <c r="BQ214" s="597"/>
      <c r="BR214" s="597"/>
      <c r="BS214" s="597"/>
      <c r="BT214" s="597"/>
    </row>
    <row r="215" ht="12.75" customHeight="1">
      <c r="A215" s="1360"/>
      <c r="B215" s="584"/>
      <c r="C215" s="347" t="s">
        <v>26</v>
      </c>
      <c r="D215" s="609"/>
      <c r="E215" s="585"/>
      <c r="F215" s="586"/>
      <c r="G215" s="584"/>
      <c r="H215" s="584"/>
      <c r="I215" s="354">
        <v>350.0</v>
      </c>
      <c r="J215" s="354">
        <v>350.0</v>
      </c>
      <c r="K215" s="354">
        <v>400.0</v>
      </c>
      <c r="L215" s="350">
        <v>350.0</v>
      </c>
      <c r="M215" s="350">
        <f>55*1.25</f>
        <v>68.75</v>
      </c>
      <c r="N215" s="833"/>
      <c r="O215" s="584"/>
      <c r="P215" s="586"/>
      <c r="Q215" s="443"/>
      <c r="R215" s="587"/>
      <c r="S215" s="829"/>
      <c r="T215" s="831"/>
      <c r="U215" s="595"/>
      <c r="V215" s="830"/>
      <c r="W215" s="831"/>
      <c r="X215" s="443"/>
      <c r="Y215" s="595"/>
      <c r="Z215" s="595"/>
      <c r="AA215" s="595"/>
      <c r="AB215" s="354"/>
      <c r="AC215" s="584"/>
      <c r="AD215" s="355" t="s">
        <v>187</v>
      </c>
      <c r="AE215" s="836"/>
      <c r="AF215" s="837"/>
      <c r="AG215" s="838" t="str">
        <f>T225+U225</f>
        <v>#REF!</v>
      </c>
      <c r="AH215" s="595"/>
      <c r="AI215" s="595"/>
      <c r="AJ215" s="595"/>
      <c r="AK215" s="595"/>
      <c r="AL215" s="595"/>
      <c r="AM215" s="595"/>
      <c r="AN215" s="595"/>
      <c r="AO215" s="595"/>
      <c r="AP215" s="443"/>
      <c r="AQ215" s="443"/>
      <c r="AR215" s="595"/>
      <c r="AS215" s="443"/>
      <c r="AT215" s="443"/>
      <c r="AU215" s="443"/>
      <c r="AV215" s="820"/>
      <c r="AW215" s="595"/>
      <c r="AX215" s="584"/>
      <c r="AY215" s="584"/>
      <c r="AZ215" s="584"/>
      <c r="BA215" s="584"/>
      <c r="BB215" s="584"/>
      <c r="BC215" s="584"/>
      <c r="BD215" s="584"/>
      <c r="BE215" s="584"/>
      <c r="BF215" s="584"/>
      <c r="BG215" s="584"/>
      <c r="BH215" s="584"/>
      <c r="BI215" s="597"/>
      <c r="BJ215" s="597"/>
      <c r="BK215" s="597"/>
      <c r="BL215" s="597"/>
      <c r="BM215" s="597"/>
      <c r="BN215" s="597"/>
      <c r="BO215" s="597"/>
      <c r="BP215" s="597"/>
      <c r="BQ215" s="597"/>
      <c r="BR215" s="597"/>
      <c r="BS215" s="597"/>
      <c r="BT215" s="597"/>
    </row>
    <row r="216" ht="12.75" customHeight="1">
      <c r="A216" s="1360"/>
      <c r="B216" s="584"/>
      <c r="C216" s="359" t="s">
        <v>188</v>
      </c>
      <c r="D216" s="609"/>
      <c r="E216" s="585"/>
      <c r="F216" s="586"/>
      <c r="G216" s="584"/>
      <c r="H216" s="584"/>
      <c r="I216" s="839"/>
      <c r="J216" s="839"/>
      <c r="K216" s="419"/>
      <c r="L216" s="840"/>
      <c r="M216" s="840"/>
      <c r="N216" s="833"/>
      <c r="O216" s="584"/>
      <c r="P216" s="586"/>
      <c r="Q216" s="443"/>
      <c r="R216" s="587"/>
      <c r="S216" s="841"/>
      <c r="T216" s="363" t="str">
        <f>SUM(T212:T215)</f>
        <v>#REF!</v>
      </c>
      <c r="U216" s="595"/>
      <c r="V216" s="842"/>
      <c r="W216" s="363" t="str">
        <f>SUM(W212:W215)</f>
        <v>#REF!</v>
      </c>
      <c r="X216" s="443"/>
      <c r="Y216" s="595"/>
      <c r="Z216" s="595"/>
      <c r="AA216" s="595"/>
      <c r="AB216" s="354"/>
      <c r="AC216" s="584"/>
      <c r="AD216" s="346" t="s">
        <v>24</v>
      </c>
      <c r="AE216" s="595"/>
      <c r="AF216" s="443"/>
      <c r="AG216" s="843" t="str">
        <f>N313-AH216</f>
        <v>#REF!</v>
      </c>
      <c r="AH216" s="595"/>
      <c r="AI216" s="595"/>
      <c r="AJ216" s="595"/>
      <c r="AK216" s="595"/>
      <c r="AL216" s="595"/>
      <c r="AM216" s="595"/>
      <c r="AN216" s="595"/>
      <c r="AO216" s="595"/>
      <c r="AP216" s="443"/>
      <c r="AQ216" s="443"/>
      <c r="AR216" s="595"/>
      <c r="AS216" s="443"/>
      <c r="AT216" s="443"/>
      <c r="AU216" s="443"/>
      <c r="AV216" s="820"/>
      <c r="AW216" s="595"/>
      <c r="AX216" s="584"/>
      <c r="AY216" s="584"/>
      <c r="AZ216" s="584"/>
      <c r="BA216" s="584"/>
      <c r="BB216" s="584"/>
      <c r="BC216" s="584"/>
      <c r="BD216" s="584"/>
      <c r="BE216" s="584"/>
      <c r="BF216" s="584"/>
      <c r="BG216" s="584"/>
      <c r="BH216" s="584"/>
      <c r="BI216" s="597"/>
      <c r="BJ216" s="597"/>
      <c r="BK216" s="597"/>
      <c r="BL216" s="597"/>
      <c r="BM216" s="597"/>
      <c r="BN216" s="597"/>
      <c r="BO216" s="597"/>
      <c r="BP216" s="597"/>
      <c r="BQ216" s="597"/>
      <c r="BR216" s="597"/>
      <c r="BS216" s="597"/>
      <c r="BT216" s="597"/>
    </row>
    <row r="217" ht="12.75" customHeight="1">
      <c r="A217" s="1360"/>
      <c r="B217" s="584"/>
      <c r="C217" s="365" t="s">
        <v>189</v>
      </c>
      <c r="D217" s="844"/>
      <c r="E217" s="845"/>
      <c r="F217" s="846"/>
      <c r="G217" s="848"/>
      <c r="H217" s="848"/>
      <c r="I217" s="369">
        <f t="shared" ref="I217:M217" si="149">I215*I214*I216</f>
        <v>0</v>
      </c>
      <c r="J217" s="369">
        <f t="shared" si="149"/>
        <v>0</v>
      </c>
      <c r="K217" s="370">
        <f t="shared" si="149"/>
        <v>0</v>
      </c>
      <c r="L217" s="371">
        <f t="shared" si="149"/>
        <v>0</v>
      </c>
      <c r="M217" s="371">
        <f t="shared" si="149"/>
        <v>0</v>
      </c>
      <c r="N217" s="849">
        <f>SUM(I217:M217)</f>
        <v>0</v>
      </c>
      <c r="O217" s="584"/>
      <c r="P217" s="586"/>
      <c r="Q217" s="443"/>
      <c r="R217" s="587"/>
      <c r="S217" s="829"/>
      <c r="T217" s="831"/>
      <c r="U217" s="595"/>
      <c r="V217" s="830"/>
      <c r="W217" s="831"/>
      <c r="X217" s="443"/>
      <c r="Y217" s="595"/>
      <c r="Z217" s="595"/>
      <c r="AA217" s="595"/>
      <c r="AB217" s="354"/>
      <c r="AC217" s="584"/>
      <c r="AD217" s="595"/>
      <c r="AE217" s="595"/>
      <c r="AF217" s="443"/>
      <c r="AG217" s="832" t="str">
        <f>SUM(AG215:AG216)</f>
        <v>#REF!</v>
      </c>
      <c r="AH217" s="595"/>
      <c r="AI217" s="595"/>
      <c r="AJ217" s="595"/>
      <c r="AK217" s="595"/>
      <c r="AL217" s="595"/>
      <c r="AM217" s="595"/>
      <c r="AN217" s="595"/>
      <c r="AO217" s="595"/>
      <c r="AP217" s="443"/>
      <c r="AQ217" s="443"/>
      <c r="AR217" s="595"/>
      <c r="AS217" s="443"/>
      <c r="AT217" s="443"/>
      <c r="AU217" s="443"/>
      <c r="AV217" s="820"/>
      <c r="AW217" s="595"/>
      <c r="AX217" s="584"/>
      <c r="AY217" s="584"/>
      <c r="AZ217" s="584"/>
      <c r="BA217" s="584"/>
      <c r="BB217" s="584"/>
      <c r="BC217" s="584"/>
      <c r="BD217" s="584"/>
      <c r="BE217" s="584"/>
      <c r="BF217" s="584"/>
      <c r="BG217" s="584"/>
      <c r="BH217" s="584"/>
      <c r="BI217" s="597"/>
      <c r="BJ217" s="597"/>
      <c r="BK217" s="597"/>
      <c r="BL217" s="597"/>
      <c r="BM217" s="597"/>
      <c r="BN217" s="597"/>
      <c r="BO217" s="597"/>
      <c r="BP217" s="597"/>
      <c r="BQ217" s="597"/>
      <c r="BR217" s="597"/>
      <c r="BS217" s="597"/>
      <c r="BT217" s="597"/>
    </row>
    <row r="218" ht="12.75" customHeight="1">
      <c r="A218" s="1360"/>
      <c r="B218" s="584"/>
      <c r="C218" s="347" t="s">
        <v>190</v>
      </c>
      <c r="D218" s="609"/>
      <c r="E218" s="585"/>
      <c r="F218" s="586"/>
      <c r="G218" s="584"/>
      <c r="H218" s="584"/>
      <c r="I218" s="373">
        <v>8.0</v>
      </c>
      <c r="J218" s="373">
        <v>2.0</v>
      </c>
      <c r="K218" s="374">
        <v>1.0</v>
      </c>
      <c r="L218" s="375">
        <v>2.0</v>
      </c>
      <c r="M218" s="588"/>
      <c r="N218" s="833"/>
      <c r="O218" s="584"/>
      <c r="P218" s="586"/>
      <c r="Q218" s="443"/>
      <c r="R218" s="587"/>
      <c r="S218" s="829"/>
      <c r="T218" s="831"/>
      <c r="U218" s="595"/>
      <c r="V218" s="830"/>
      <c r="W218" s="831"/>
      <c r="X218" s="443"/>
      <c r="Y218" s="595"/>
      <c r="Z218" s="595"/>
      <c r="AA218" s="595"/>
      <c r="AB218" s="354"/>
      <c r="AC218" s="584"/>
      <c r="AD218" s="595"/>
      <c r="AE218" s="595"/>
      <c r="AF218" s="443"/>
      <c r="AG218" s="354"/>
      <c r="AH218" s="595"/>
      <c r="AI218" s="595"/>
      <c r="AJ218" s="595"/>
      <c r="AK218" s="595"/>
      <c r="AL218" s="595"/>
      <c r="AM218" s="595"/>
      <c r="AN218" s="595"/>
      <c r="AO218" s="595"/>
      <c r="AP218" s="443"/>
      <c r="AQ218" s="443"/>
      <c r="AR218" s="595"/>
      <c r="AS218" s="443"/>
      <c r="AT218" s="443"/>
      <c r="AU218" s="443"/>
      <c r="AV218" s="820"/>
      <c r="AW218" s="595"/>
      <c r="AX218" s="584"/>
      <c r="AY218" s="584"/>
      <c r="AZ218" s="584"/>
      <c r="BA218" s="584"/>
      <c r="BB218" s="584"/>
      <c r="BC218" s="584"/>
      <c r="BD218" s="584"/>
      <c r="BE218" s="584"/>
      <c r="BF218" s="584"/>
      <c r="BG218" s="584"/>
      <c r="BH218" s="584"/>
      <c r="BI218" s="597"/>
      <c r="BJ218" s="597"/>
      <c r="BK218" s="597"/>
      <c r="BL218" s="597"/>
      <c r="BM218" s="597"/>
      <c r="BN218" s="597"/>
      <c r="BO218" s="597"/>
      <c r="BP218" s="597"/>
      <c r="BQ218" s="597"/>
      <c r="BR218" s="597"/>
      <c r="BS218" s="597"/>
      <c r="BT218" s="597"/>
    </row>
    <row r="219" ht="12.75" customHeight="1">
      <c r="A219" s="1360"/>
      <c r="B219" s="584"/>
      <c r="C219" s="365" t="s">
        <v>191</v>
      </c>
      <c r="D219" s="844"/>
      <c r="E219" s="845"/>
      <c r="F219" s="846"/>
      <c r="G219" s="848"/>
      <c r="H219" s="848"/>
      <c r="I219" s="369">
        <f>I214*I216*I218*X234</f>
        <v>0</v>
      </c>
      <c r="J219" s="369">
        <f>J214*J216*J218*X234</f>
        <v>0</v>
      </c>
      <c r="K219" s="370">
        <f>K214*K216*K218*X234*X234</f>
        <v>0</v>
      </c>
      <c r="L219" s="371">
        <f>L214*L216*L218*X234</f>
        <v>0</v>
      </c>
      <c r="M219" s="850"/>
      <c r="N219" s="849">
        <f>SUM(I219:M219)</f>
        <v>0</v>
      </c>
      <c r="O219" s="584"/>
      <c r="P219" s="586"/>
      <c r="Q219" s="443"/>
      <c r="R219" s="587"/>
      <c r="S219" s="829"/>
      <c r="T219" s="831"/>
      <c r="U219" s="595"/>
      <c r="V219" s="830"/>
      <c r="W219" s="831"/>
      <c r="X219" s="443"/>
      <c r="Y219" s="595"/>
      <c r="Z219" s="595"/>
      <c r="AA219" s="595"/>
      <c r="AB219" s="354"/>
      <c r="AC219" s="584"/>
      <c r="AD219" s="346" t="s">
        <v>192</v>
      </c>
      <c r="AE219" s="595"/>
      <c r="AF219" s="443"/>
      <c r="AG219" s="832" t="str">
        <f>+AG217+AG213</f>
        <v>#REF!</v>
      </c>
      <c r="AH219" s="595"/>
      <c r="AI219" s="595"/>
      <c r="AJ219" s="595"/>
      <c r="AK219" s="595"/>
      <c r="AL219" s="595"/>
      <c r="AM219" s="595"/>
      <c r="AN219" s="595"/>
      <c r="AO219" s="595"/>
      <c r="AP219" s="443"/>
      <c r="AQ219" s="443"/>
      <c r="AR219" s="595"/>
      <c r="AS219" s="443"/>
      <c r="AT219" s="443"/>
      <c r="AU219" s="443"/>
      <c r="AV219" s="820"/>
      <c r="AW219" s="595"/>
      <c r="AX219" s="584"/>
      <c r="AY219" s="584"/>
      <c r="AZ219" s="584"/>
      <c r="BA219" s="584"/>
      <c r="BB219" s="584"/>
      <c r="BC219" s="584"/>
      <c r="BD219" s="584"/>
      <c r="BE219" s="584"/>
      <c r="BF219" s="584"/>
      <c r="BG219" s="584"/>
      <c r="BH219" s="584"/>
      <c r="BI219" s="597"/>
      <c r="BJ219" s="597"/>
      <c r="BK219" s="597"/>
      <c r="BL219" s="597"/>
      <c r="BM219" s="597"/>
      <c r="BN219" s="597"/>
      <c r="BO219" s="597"/>
      <c r="BP219" s="597"/>
      <c r="BQ219" s="597"/>
      <c r="BR219" s="597"/>
      <c r="BS219" s="597"/>
      <c r="BT219" s="597"/>
    </row>
    <row r="220" ht="12.75" customHeight="1">
      <c r="A220" s="1360"/>
      <c r="B220" s="584"/>
      <c r="C220" s="851"/>
      <c r="D220" s="609"/>
      <c r="E220" s="585"/>
      <c r="F220" s="586"/>
      <c r="G220" s="584"/>
      <c r="H220" s="584"/>
      <c r="I220" s="443"/>
      <c r="J220" s="852"/>
      <c r="K220" s="853"/>
      <c r="L220" s="588"/>
      <c r="M220" s="588"/>
      <c r="N220" s="833"/>
      <c r="O220" s="584"/>
      <c r="P220" s="586"/>
      <c r="Q220" s="443"/>
      <c r="R220" s="587"/>
      <c r="S220" s="854" t="s">
        <v>193</v>
      </c>
      <c r="T220" s="379" t="str">
        <f>T216+T218</f>
        <v>#REF!</v>
      </c>
      <c r="U220" s="595"/>
      <c r="V220" s="378" t="s">
        <v>193</v>
      </c>
      <c r="W220" s="379" t="str">
        <f>W216+W218</f>
        <v>#REF!</v>
      </c>
      <c r="X220" s="443"/>
      <c r="Y220" s="595"/>
      <c r="Z220" s="595"/>
      <c r="AA220" s="595"/>
      <c r="AB220" s="354"/>
      <c r="AC220" s="584"/>
      <c r="AD220" s="346" t="s">
        <v>194</v>
      </c>
      <c r="AE220" s="595"/>
      <c r="AF220" s="855"/>
      <c r="AG220" s="843" t="str">
        <f>W225</f>
        <v>#REF!</v>
      </c>
      <c r="AH220" s="353" t="str">
        <f>AG220/AG219</f>
        <v>#REF!</v>
      </c>
      <c r="AI220" s="595"/>
      <c r="AJ220" s="595"/>
      <c r="AK220" s="595"/>
      <c r="AL220" s="595"/>
      <c r="AM220" s="595"/>
      <c r="AN220" s="595"/>
      <c r="AO220" s="595"/>
      <c r="AP220" s="443"/>
      <c r="AQ220" s="443"/>
      <c r="AR220" s="595"/>
      <c r="AS220" s="443"/>
      <c r="AT220" s="443"/>
      <c r="AU220" s="443"/>
      <c r="AV220" s="820"/>
      <c r="AW220" s="595"/>
      <c r="AX220" s="584"/>
      <c r="AY220" s="584"/>
      <c r="AZ220" s="584"/>
      <c r="BA220" s="584"/>
      <c r="BB220" s="584"/>
      <c r="BC220" s="584"/>
      <c r="BD220" s="584"/>
      <c r="BE220" s="584"/>
      <c r="BF220" s="584"/>
      <c r="BG220" s="584"/>
      <c r="BH220" s="584"/>
      <c r="BI220" s="597"/>
      <c r="BJ220" s="597"/>
      <c r="BK220" s="597"/>
      <c r="BL220" s="597"/>
      <c r="BM220" s="597"/>
      <c r="BN220" s="597"/>
      <c r="BO220" s="597"/>
      <c r="BP220" s="597"/>
      <c r="BQ220" s="597"/>
      <c r="BR220" s="597"/>
      <c r="BS220" s="597"/>
      <c r="BT220" s="597"/>
    </row>
    <row r="221" ht="12.75" customHeight="1">
      <c r="A221" s="1360"/>
      <c r="B221" s="12" t="s">
        <v>176</v>
      </c>
      <c r="C221" s="329" t="s">
        <v>195</v>
      </c>
      <c r="D221" s="821"/>
      <c r="E221" s="822"/>
      <c r="F221" s="823"/>
      <c r="G221" s="825"/>
      <c r="H221" s="825"/>
      <c r="I221" s="333" t="s">
        <v>196</v>
      </c>
      <c r="J221" s="334" t="s">
        <v>197</v>
      </c>
      <c r="K221" s="335" t="s">
        <v>198</v>
      </c>
      <c r="L221" s="336" t="s">
        <v>199</v>
      </c>
      <c r="M221" s="337" t="s">
        <v>200</v>
      </c>
      <c r="N221" s="857" t="str">
        <f>SUM(N222:N226)</f>
        <v>#REF!</v>
      </c>
      <c r="O221" s="584"/>
      <c r="P221" s="586"/>
      <c r="Q221" s="443"/>
      <c r="R221" s="587"/>
      <c r="S221" s="354"/>
      <c r="T221" s="595"/>
      <c r="U221" s="443"/>
      <c r="V221" s="595"/>
      <c r="W221" s="595"/>
      <c r="X221" s="443"/>
      <c r="Y221" s="595"/>
      <c r="Z221" s="595"/>
      <c r="AA221" s="595"/>
      <c r="AB221" s="354"/>
      <c r="AC221" s="584"/>
      <c r="AD221" s="355" t="s">
        <v>201</v>
      </c>
      <c r="AE221" s="836"/>
      <c r="AF221" s="837"/>
      <c r="AG221" s="838" t="str">
        <f>SUM(AG219:AG220)</f>
        <v>#REF!</v>
      </c>
      <c r="AH221" s="836"/>
      <c r="AI221" s="595"/>
      <c r="AJ221" s="595"/>
      <c r="AK221" s="595"/>
      <c r="AL221" s="595"/>
      <c r="AM221" s="595"/>
      <c r="AN221" s="595"/>
      <c r="AO221" s="595"/>
      <c r="AP221" s="443"/>
      <c r="AQ221" s="443"/>
      <c r="AR221" s="595"/>
      <c r="AS221" s="443"/>
      <c r="AT221" s="443"/>
      <c r="AU221" s="443"/>
      <c r="AV221" s="820"/>
      <c r="AW221" s="595"/>
      <c r="AX221" s="584"/>
      <c r="AY221" s="584"/>
      <c r="AZ221" s="584"/>
      <c r="BA221" s="584"/>
      <c r="BB221" s="584"/>
      <c r="BC221" s="584"/>
      <c r="BD221" s="584"/>
      <c r="BE221" s="584"/>
      <c r="BF221" s="584"/>
      <c r="BG221" s="584"/>
      <c r="BH221" s="584"/>
      <c r="BI221" s="597"/>
      <c r="BJ221" s="597"/>
      <c r="BK221" s="597"/>
      <c r="BL221" s="597"/>
      <c r="BM221" s="597"/>
      <c r="BN221" s="597"/>
      <c r="BO221" s="597"/>
      <c r="BP221" s="597"/>
      <c r="BQ221" s="597"/>
      <c r="BR221" s="597"/>
      <c r="BS221" s="597"/>
      <c r="BT221" s="597"/>
    </row>
    <row r="222" ht="12.75" customHeight="1">
      <c r="A222" s="1360"/>
      <c r="B222" s="584"/>
      <c r="C222" s="851"/>
      <c r="D222" s="609"/>
      <c r="E222" s="585"/>
      <c r="F222" s="586"/>
      <c r="G222" s="584"/>
      <c r="H222" s="584"/>
      <c r="I222" s="858" t="str">
        <f>IFERROR(__xludf.DUMMYFUNCTION("IF(
  D8="""",
  """",
  IFERROR(
    VLOOKUP(
      D8,
      IMPORTRANGE(
        ""1yRKiSiwTOx_Hj9DHPwpMhw9gK8bTY1IeLWGRh62hnCs"",
        ""Masterlist!E:M""
      ),
      9,
      FALSE
    )
  )
)"),"")</f>
        <v/>
      </c>
      <c r="J222" s="858">
        <v>4.0</v>
      </c>
      <c r="K222" s="859">
        <v>158.0</v>
      </c>
      <c r="L222" s="350">
        <v>0.0</v>
      </c>
      <c r="M222" s="350"/>
      <c r="N222" s="833"/>
      <c r="O222" s="584"/>
      <c r="P222" s="586"/>
      <c r="Q222" s="443"/>
      <c r="R222" s="860" t="s">
        <v>7</v>
      </c>
      <c r="S222" s="386" t="s">
        <v>202</v>
      </c>
      <c r="T222" s="386" t="s">
        <v>203</v>
      </c>
      <c r="U222" s="386" t="s">
        <v>186</v>
      </c>
      <c r="V222" s="387" t="s">
        <v>204</v>
      </c>
      <c r="W222" s="387" t="s">
        <v>194</v>
      </c>
      <c r="X222" s="387" t="s">
        <v>24</v>
      </c>
      <c r="Y222" s="861"/>
      <c r="Z222" s="861"/>
      <c r="AA222" s="861"/>
      <c r="AB222" s="862" t="s">
        <v>205</v>
      </c>
      <c r="AC222" s="584"/>
      <c r="AD222" s="595"/>
      <c r="AE222" s="595"/>
      <c r="AF222" s="443"/>
      <c r="AG222" s="354"/>
      <c r="AH222" s="595"/>
      <c r="AI222" s="595"/>
      <c r="AJ222" s="595"/>
      <c r="AK222" s="595"/>
      <c r="AL222" s="595"/>
      <c r="AM222" s="595"/>
      <c r="AN222" s="595"/>
      <c r="AO222" s="595"/>
      <c r="AP222" s="443"/>
      <c r="AQ222" s="443"/>
      <c r="AR222" s="595"/>
      <c r="AS222" s="443"/>
      <c r="AT222" s="443"/>
      <c r="AU222" s="443"/>
      <c r="AV222" s="820"/>
      <c r="AW222" s="595"/>
      <c r="AX222" s="584"/>
      <c r="AY222" s="584"/>
      <c r="AZ222" s="584"/>
      <c r="BA222" s="584"/>
      <c r="BB222" s="584"/>
      <c r="BC222" s="584"/>
      <c r="BD222" s="584"/>
      <c r="BE222" s="584"/>
      <c r="BF222" s="584"/>
      <c r="BG222" s="584"/>
      <c r="BH222" s="584"/>
      <c r="BI222" s="597"/>
      <c r="BJ222" s="597"/>
      <c r="BK222" s="597"/>
      <c r="BL222" s="597"/>
      <c r="BM222" s="597"/>
      <c r="BN222" s="597"/>
      <c r="BO222" s="597"/>
      <c r="BP222" s="597"/>
      <c r="BQ222" s="597"/>
      <c r="BR222" s="597"/>
      <c r="BS222" s="597"/>
      <c r="BT222" s="597"/>
    </row>
    <row r="223" ht="12.75" customHeight="1">
      <c r="A223" s="1360"/>
      <c r="B223" s="584"/>
      <c r="C223" s="347" t="s">
        <v>26</v>
      </c>
      <c r="D223" s="609"/>
      <c r="E223" s="585"/>
      <c r="F223" s="586"/>
      <c r="G223" s="584"/>
      <c r="H223" s="584"/>
      <c r="I223" s="354" t="str">
        <f>$AC$235</f>
        <v>#REF!</v>
      </c>
      <c r="J223" s="354" t="str">
        <f>I223</f>
        <v>#REF!</v>
      </c>
      <c r="K223" s="390">
        <v>0.95</v>
      </c>
      <c r="L223" s="391">
        <v>1200.0</v>
      </c>
      <c r="M223" s="391">
        <v>120.0</v>
      </c>
      <c r="N223" s="833"/>
      <c r="O223" s="584"/>
      <c r="P223" s="586"/>
      <c r="Q223" s="392" t="str">
        <f>S223/S225</f>
        <v>#REF!</v>
      </c>
      <c r="R223" s="863" t="s">
        <v>206</v>
      </c>
      <c r="S223" s="864" t="str">
        <f>T210</f>
        <v>#REF!</v>
      </c>
      <c r="T223" s="394" t="str">
        <f>T213</f>
        <v>#REF!</v>
      </c>
      <c r="U223" s="394">
        <f>T214</f>
        <v>0</v>
      </c>
      <c r="V223" s="865"/>
      <c r="W223" s="396" t="str">
        <f>W226*Q223</f>
        <v>#REF!</v>
      </c>
      <c r="X223" s="866"/>
      <c r="Y223" s="867"/>
      <c r="Z223" s="867"/>
      <c r="AA223" s="867"/>
      <c r="AB223" s="868"/>
      <c r="AC223" s="584"/>
      <c r="AD223" s="595"/>
      <c r="AE223" s="595"/>
      <c r="AF223" s="443"/>
      <c r="AG223" s="354"/>
      <c r="AH223" s="595"/>
      <c r="AI223" s="595"/>
      <c r="AJ223" s="595"/>
      <c r="AK223" s="595"/>
      <c r="AL223" s="595"/>
      <c r="AM223" s="595"/>
      <c r="AN223" s="595"/>
      <c r="AO223" s="595"/>
      <c r="AP223" s="443"/>
      <c r="AQ223" s="443"/>
      <c r="AR223" s="595"/>
      <c r="AS223" s="443"/>
      <c r="AT223" s="443"/>
      <c r="AU223" s="443"/>
      <c r="AV223" s="820"/>
      <c r="AW223" s="595"/>
      <c r="AX223" s="584"/>
      <c r="AY223" s="584"/>
      <c r="AZ223" s="584"/>
      <c r="BA223" s="584"/>
      <c r="BB223" s="584"/>
      <c r="BC223" s="584"/>
      <c r="BD223" s="584"/>
      <c r="BE223" s="584"/>
      <c r="BF223" s="584"/>
      <c r="BG223" s="584"/>
      <c r="BH223" s="584"/>
      <c r="BI223" s="597"/>
      <c r="BJ223" s="597"/>
      <c r="BK223" s="597"/>
      <c r="BL223" s="597"/>
      <c r="BM223" s="597"/>
      <c r="BN223" s="597"/>
      <c r="BO223" s="597"/>
      <c r="BP223" s="597"/>
      <c r="BQ223" s="597"/>
      <c r="BR223" s="597"/>
      <c r="BS223" s="597"/>
      <c r="BT223" s="597"/>
    </row>
    <row r="224" ht="12.75" customHeight="1">
      <c r="A224" s="1360"/>
      <c r="B224" s="584"/>
      <c r="C224" s="359" t="s">
        <v>188</v>
      </c>
      <c r="D224" s="609"/>
      <c r="E224" s="585"/>
      <c r="F224" s="586"/>
      <c r="G224" s="584"/>
      <c r="H224" s="584"/>
      <c r="I224" s="869">
        <v>2.0</v>
      </c>
      <c r="J224" s="869">
        <v>1.0</v>
      </c>
      <c r="K224" s="869">
        <v>2.0</v>
      </c>
      <c r="L224" s="401"/>
      <c r="M224" s="870">
        <v>1.0</v>
      </c>
      <c r="N224" s="833"/>
      <c r="O224" s="584"/>
      <c r="P224" s="586"/>
      <c r="Q224" s="392" t="str">
        <f>S224/S225</f>
        <v>#REF!</v>
      </c>
      <c r="R224" s="863" t="s">
        <v>185</v>
      </c>
      <c r="S224" s="871" t="str">
        <f>W210</f>
        <v>#REF!</v>
      </c>
      <c r="T224" s="866"/>
      <c r="U224" s="866" t="str">
        <f>W214</f>
        <v/>
      </c>
      <c r="V224" s="872"/>
      <c r="W224" s="396" t="str">
        <f>W226*Q224</f>
        <v>#REF!</v>
      </c>
      <c r="X224" s="866"/>
      <c r="Y224" s="867"/>
      <c r="Z224" s="867"/>
      <c r="AA224" s="867"/>
      <c r="AB224" s="868"/>
      <c r="AC224" s="584"/>
      <c r="AD224" s="595"/>
      <c r="AE224" s="595"/>
      <c r="AF224" s="443"/>
      <c r="AG224" s="354"/>
      <c r="AH224" s="595"/>
      <c r="AI224" s="595"/>
      <c r="AJ224" s="595"/>
      <c r="AK224" s="595"/>
      <c r="AL224" s="595"/>
      <c r="AM224" s="595"/>
      <c r="AN224" s="595"/>
      <c r="AO224" s="595"/>
      <c r="AP224" s="595"/>
      <c r="AQ224" s="595"/>
      <c r="AR224" s="595"/>
      <c r="AS224" s="595"/>
      <c r="AT224" s="595"/>
      <c r="AU224" s="595"/>
      <c r="AV224" s="595"/>
      <c r="AW224" s="595"/>
      <c r="AX224" s="595"/>
      <c r="AY224" s="595"/>
      <c r="AZ224" s="595"/>
      <c r="BA224" s="595"/>
      <c r="BB224" s="595"/>
      <c r="BC224" s="595"/>
      <c r="BD224" s="595"/>
      <c r="BE224" s="595"/>
      <c r="BF224" s="595"/>
      <c r="BG224" s="595"/>
      <c r="BH224" s="595"/>
      <c r="BI224" s="651"/>
      <c r="BJ224" s="651"/>
      <c r="BK224" s="651"/>
      <c r="BL224" s="651"/>
      <c r="BM224" s="651"/>
      <c r="BN224" s="651"/>
      <c r="BO224" s="651"/>
      <c r="BP224" s="651"/>
      <c r="BQ224" s="651"/>
      <c r="BR224" s="651"/>
      <c r="BS224" s="651"/>
      <c r="BT224" s="651"/>
    </row>
    <row r="225" ht="12.75" customHeight="1">
      <c r="A225" s="1360"/>
      <c r="B225" s="584"/>
      <c r="C225" s="365" t="s">
        <v>189</v>
      </c>
      <c r="D225" s="844"/>
      <c r="E225" s="845"/>
      <c r="F225" s="846"/>
      <c r="G225" s="848"/>
      <c r="H225" s="848"/>
      <c r="I225" s="369" t="str">
        <f t="shared" ref="I225:M225" si="150">I223*I222*I224</f>
        <v>#REF!</v>
      </c>
      <c r="J225" s="369" t="str">
        <f t="shared" si="150"/>
        <v>#REF!</v>
      </c>
      <c r="K225" s="370">
        <f t="shared" si="150"/>
        <v>300.2</v>
      </c>
      <c r="L225" s="371">
        <f t="shared" si="150"/>
        <v>0</v>
      </c>
      <c r="M225" s="371">
        <f t="shared" si="150"/>
        <v>0</v>
      </c>
      <c r="N225" s="849" t="str">
        <f>SUM(I225:M225)</f>
        <v>#REF!</v>
      </c>
      <c r="O225" s="584"/>
      <c r="P225" s="586"/>
      <c r="Q225" s="443"/>
      <c r="R225" s="873" t="s">
        <v>207</v>
      </c>
      <c r="S225" s="874" t="str">
        <f>SUM(S223:S224)</f>
        <v>#REF!</v>
      </c>
      <c r="T225" s="405" t="str">
        <f>T213</f>
        <v>#REF!</v>
      </c>
      <c r="U225" s="405">
        <f>SUM(U223:U224)</f>
        <v>0</v>
      </c>
      <c r="V225" s="406" t="str">
        <f>W225/AE210</f>
        <v>#REF!</v>
      </c>
      <c r="W225" s="407" t="str">
        <f>SUM(W223:W224)</f>
        <v>#REF!</v>
      </c>
      <c r="X225" s="405" t="str">
        <f>N313</f>
        <v>#REF!</v>
      </c>
      <c r="Y225" s="875"/>
      <c r="Z225" s="875"/>
      <c r="AA225" s="875"/>
      <c r="AB225" s="876" t="str">
        <f>X225+W225+U225+T225+S225</f>
        <v>#REF!</v>
      </c>
      <c r="AC225" s="584"/>
      <c r="AD225" s="595"/>
      <c r="AE225" s="595"/>
      <c r="AF225" s="443"/>
      <c r="AG225" s="354"/>
      <c r="AH225" s="595"/>
      <c r="AI225" s="595"/>
      <c r="AJ225" s="595"/>
      <c r="AK225" s="595"/>
      <c r="AL225" s="595"/>
      <c r="AM225" s="595"/>
      <c r="AN225" s="595"/>
      <c r="AO225" s="595"/>
      <c r="AP225" s="595"/>
      <c r="AQ225" s="595"/>
      <c r="AR225" s="595"/>
      <c r="AS225" s="595"/>
      <c r="AT225" s="595"/>
      <c r="AU225" s="595"/>
      <c r="AV225" s="595"/>
      <c r="AW225" s="595"/>
      <c r="AX225" s="595"/>
      <c r="AY225" s="595"/>
      <c r="AZ225" s="595"/>
      <c r="BA225" s="595"/>
      <c r="BB225" s="595"/>
      <c r="BC225" s="595"/>
      <c r="BD225" s="595"/>
      <c r="BE225" s="595"/>
      <c r="BF225" s="595"/>
      <c r="BG225" s="595"/>
      <c r="BH225" s="595"/>
      <c r="BI225" s="651"/>
      <c r="BJ225" s="651"/>
      <c r="BK225" s="651"/>
      <c r="BL225" s="651"/>
      <c r="BM225" s="651"/>
      <c r="BN225" s="651"/>
      <c r="BO225" s="651"/>
      <c r="BP225" s="651"/>
      <c r="BQ225" s="651"/>
      <c r="BR225" s="651"/>
      <c r="BS225" s="651"/>
      <c r="BT225" s="651"/>
    </row>
    <row r="226" ht="12.75" customHeight="1">
      <c r="A226" s="1360"/>
      <c r="B226" s="584"/>
      <c r="C226" s="851"/>
      <c r="D226" s="609"/>
      <c r="E226" s="585"/>
      <c r="F226" s="586"/>
      <c r="G226" s="584"/>
      <c r="H226" s="584"/>
      <c r="I226" s="584"/>
      <c r="J226" s="584"/>
      <c r="K226" s="586"/>
      <c r="L226" s="588"/>
      <c r="M226" s="588"/>
      <c r="N226" s="833"/>
      <c r="O226" s="584"/>
      <c r="P226" s="586"/>
      <c r="Q226" s="443"/>
      <c r="R226" s="587"/>
      <c r="S226" s="354"/>
      <c r="T226" s="595"/>
      <c r="U226" s="443"/>
      <c r="V226" s="410" t="str">
        <f>W226/AE210</f>
        <v>#REF!</v>
      </c>
      <c r="W226" s="411" t="str">
        <f>I336</f>
        <v>#REF!</v>
      </c>
      <c r="X226" s="443"/>
      <c r="Y226" s="595"/>
      <c r="Z226" s="595"/>
      <c r="AA226" s="595"/>
      <c r="AB226" s="354" t="str">
        <f>AB225=T233</f>
        <v>#REF!</v>
      </c>
      <c r="AC226" s="584"/>
      <c r="AD226" s="595"/>
      <c r="AE226" s="595"/>
      <c r="AF226" s="443"/>
      <c r="AG226" s="354"/>
      <c r="AH226" s="595"/>
      <c r="AI226" s="595"/>
      <c r="AJ226" s="595"/>
      <c r="AK226" s="595"/>
      <c r="AL226" s="595"/>
      <c r="AM226" s="595"/>
      <c r="AN226" s="595"/>
      <c r="AO226" s="595"/>
      <c r="AP226" s="595"/>
      <c r="AQ226" s="595"/>
      <c r="AR226" s="595"/>
      <c r="AS226" s="595"/>
      <c r="AT226" s="595"/>
      <c r="AU226" s="595"/>
      <c r="AV226" s="595"/>
      <c r="AW226" s="595"/>
      <c r="AX226" s="595"/>
      <c r="AY226" s="595"/>
      <c r="AZ226" s="595"/>
      <c r="BA226" s="595"/>
      <c r="BB226" s="595"/>
      <c r="BC226" s="595"/>
      <c r="BD226" s="595"/>
      <c r="BE226" s="595"/>
      <c r="BF226" s="595"/>
      <c r="BG226" s="595"/>
      <c r="BH226" s="595"/>
      <c r="BI226" s="651"/>
      <c r="BJ226" s="651"/>
      <c r="BK226" s="651"/>
      <c r="BL226" s="651"/>
      <c r="BM226" s="651"/>
      <c r="BN226" s="651"/>
      <c r="BO226" s="651"/>
      <c r="BP226" s="651"/>
      <c r="BQ226" s="651"/>
      <c r="BR226" s="651"/>
      <c r="BS226" s="651"/>
      <c r="BT226" s="651"/>
    </row>
    <row r="227" ht="12.75" customHeight="1">
      <c r="A227" s="1360"/>
      <c r="B227" s="12" t="s">
        <v>176</v>
      </c>
      <c r="C227" s="412" t="s">
        <v>208</v>
      </c>
      <c r="D227" s="821"/>
      <c r="E227" s="822"/>
      <c r="F227" s="823"/>
      <c r="G227" s="825"/>
      <c r="H227" s="825"/>
      <c r="I227" s="333" t="s">
        <v>209</v>
      </c>
      <c r="J227" s="333" t="s">
        <v>210</v>
      </c>
      <c r="K227" s="877" t="s">
        <v>233</v>
      </c>
      <c r="L227" s="413" t="s">
        <v>212</v>
      </c>
      <c r="M227" s="878"/>
      <c r="N227" s="857">
        <f>SUM(N228:N236)</f>
        <v>1800</v>
      </c>
      <c r="O227" s="584"/>
      <c r="P227" s="586"/>
      <c r="Q227" s="584"/>
      <c r="R227" s="587"/>
      <c r="S227" s="354"/>
      <c r="T227" s="595"/>
      <c r="U227" s="443"/>
      <c r="V227" s="807"/>
      <c r="W227" s="595"/>
      <c r="X227" s="443"/>
      <c r="Y227" s="595"/>
      <c r="Z227" s="595"/>
      <c r="AA227" s="595"/>
      <c r="AB227" s="354"/>
      <c r="AC227" s="415">
        <v>1.0</v>
      </c>
      <c r="AD227" s="416" t="s">
        <v>213</v>
      </c>
      <c r="AE227" s="595"/>
      <c r="AF227" s="443"/>
      <c r="AG227" s="354"/>
      <c r="AH227" s="595"/>
      <c r="AI227" s="595"/>
      <c r="AJ227" s="595"/>
      <c r="AK227" s="595"/>
      <c r="AL227" s="595"/>
      <c r="AM227" s="595"/>
      <c r="AN227" s="595"/>
      <c r="AO227" s="595"/>
      <c r="AP227" s="595"/>
      <c r="AQ227" s="595"/>
      <c r="AR227" s="595"/>
      <c r="AS227" s="595"/>
      <c r="AT227" s="595"/>
      <c r="AU227" s="595"/>
      <c r="AV227" s="595"/>
      <c r="AW227" s="595"/>
      <c r="AX227" s="595"/>
      <c r="AY227" s="595"/>
      <c r="AZ227" s="595"/>
      <c r="BA227" s="595"/>
      <c r="BB227" s="595"/>
      <c r="BC227" s="595"/>
      <c r="BD227" s="595"/>
      <c r="BE227" s="595"/>
      <c r="BF227" s="595"/>
      <c r="BG227" s="595"/>
      <c r="BH227" s="595"/>
      <c r="BI227" s="651"/>
      <c r="BJ227" s="651"/>
      <c r="BK227" s="651"/>
      <c r="BL227" s="651"/>
      <c r="BM227" s="651"/>
      <c r="BN227" s="651"/>
      <c r="BO227" s="651"/>
      <c r="BP227" s="651"/>
      <c r="BQ227" s="651"/>
      <c r="BR227" s="651"/>
      <c r="BS227" s="651"/>
      <c r="BT227" s="651"/>
    </row>
    <row r="228" ht="12.75" customHeight="1">
      <c r="A228" s="1360"/>
      <c r="B228" s="584"/>
      <c r="C228" s="851"/>
      <c r="D228" s="609"/>
      <c r="E228" s="585"/>
      <c r="F228" s="586"/>
      <c r="G228" s="584"/>
      <c r="H228" s="584"/>
      <c r="I228" s="879">
        <v>150.0</v>
      </c>
      <c r="J228" s="879">
        <v>150.0</v>
      </c>
      <c r="K228" s="879"/>
      <c r="L228" s="350">
        <v>150.0</v>
      </c>
      <c r="M228" s="588"/>
      <c r="N228" s="833"/>
      <c r="O228" s="584"/>
      <c r="P228" s="586"/>
      <c r="Q228" s="820"/>
      <c r="R228" s="880"/>
      <c r="S228" s="354"/>
      <c r="T228" s="595"/>
      <c r="U228" s="443"/>
      <c r="V228" s="417" t="s">
        <v>214</v>
      </c>
      <c r="W228" s="418">
        <f t="shared" ref="W228:W231" si="151">X228*AB228</f>
        <v>45</v>
      </c>
      <c r="X228" s="326">
        <v>1.0</v>
      </c>
      <c r="Y228" s="595"/>
      <c r="Z228" s="595"/>
      <c r="AA228" s="595"/>
      <c r="AB228" s="879">
        <v>45.0</v>
      </c>
      <c r="AC228" s="584"/>
      <c r="AD228" s="595"/>
      <c r="AE228" s="595"/>
      <c r="AF228" s="443"/>
      <c r="AG228" s="354"/>
      <c r="AH228" s="595"/>
      <c r="AI228" s="595"/>
      <c r="AJ228" s="595"/>
      <c r="AK228" s="595"/>
      <c r="AL228" s="595"/>
      <c r="AM228" s="595"/>
      <c r="AN228" s="595"/>
      <c r="AO228" s="595"/>
      <c r="AP228" s="595"/>
      <c r="AQ228" s="595"/>
      <c r="AR228" s="595"/>
      <c r="AS228" s="595"/>
      <c r="AT228" s="595"/>
      <c r="AU228" s="595"/>
      <c r="AV228" s="595"/>
      <c r="AW228" s="595"/>
      <c r="AX228" s="595"/>
      <c r="AY228" s="595"/>
      <c r="AZ228" s="595"/>
      <c r="BA228" s="595"/>
      <c r="BB228" s="595"/>
      <c r="BC228" s="595"/>
      <c r="BD228" s="595"/>
      <c r="BE228" s="595"/>
      <c r="BF228" s="595"/>
      <c r="BG228" s="595"/>
      <c r="BH228" s="595"/>
      <c r="BI228" s="651"/>
      <c r="BJ228" s="651"/>
      <c r="BK228" s="651"/>
      <c r="BL228" s="651"/>
      <c r="BM228" s="651"/>
      <c r="BN228" s="651"/>
      <c r="BO228" s="651"/>
      <c r="BP228" s="651"/>
      <c r="BQ228" s="651"/>
      <c r="BR228" s="651"/>
      <c r="BS228" s="651"/>
      <c r="BT228" s="651"/>
    </row>
    <row r="229" ht="12.75" customHeight="1">
      <c r="A229" s="1360"/>
      <c r="B229" s="584"/>
      <c r="C229" s="359" t="s">
        <v>188</v>
      </c>
      <c r="D229" s="609"/>
      <c r="E229" s="585"/>
      <c r="F229" s="586"/>
      <c r="G229" s="584"/>
      <c r="H229" s="584"/>
      <c r="I229" s="881">
        <v>2.0</v>
      </c>
      <c r="J229" s="881">
        <v>4.0</v>
      </c>
      <c r="K229" s="881">
        <v>0.0</v>
      </c>
      <c r="L229" s="882">
        <v>6.0</v>
      </c>
      <c r="M229" s="840"/>
      <c r="N229" s="833"/>
      <c r="O229" s="584"/>
      <c r="P229" s="586"/>
      <c r="Q229" s="595"/>
      <c r="R229" s="883" t="str">
        <f>R228-T233</f>
        <v>#REF!</v>
      </c>
      <c r="S229" s="884" t="s">
        <v>206</v>
      </c>
      <c r="T229" s="422" t="str">
        <f t="shared" ref="T229:T230" si="153">S223+T223+U223</f>
        <v>#REF!</v>
      </c>
      <c r="U229" s="423" t="str">
        <f>T229/T233</f>
        <v>#REF!</v>
      </c>
      <c r="V229" s="424" t="s">
        <v>215</v>
      </c>
      <c r="W229" s="140">
        <f t="shared" si="151"/>
        <v>45</v>
      </c>
      <c r="X229" s="326">
        <v>1.0</v>
      </c>
      <c r="Y229" s="595"/>
      <c r="Z229" s="595"/>
      <c r="AA229" s="595"/>
      <c r="AB229" s="354">
        <v>45.0</v>
      </c>
      <c r="AC229" s="584"/>
      <c r="AD229" s="595"/>
      <c r="AE229" s="595"/>
      <c r="AF229" s="443"/>
      <c r="AG229" s="354"/>
      <c r="AH229" s="595"/>
      <c r="AI229" s="595"/>
      <c r="AJ229" s="595"/>
      <c r="AK229" s="595"/>
      <c r="AL229" s="595"/>
      <c r="AM229" s="595"/>
      <c r="AN229" s="595"/>
      <c r="AO229" s="595"/>
      <c r="AP229" s="595"/>
      <c r="AQ229" s="595"/>
      <c r="AR229" s="595"/>
      <c r="AS229" s="595"/>
      <c r="AT229" s="595"/>
      <c r="AU229" s="595"/>
      <c r="AV229" s="595"/>
      <c r="AW229" s="595"/>
      <c r="AX229" s="595"/>
      <c r="AY229" s="595"/>
      <c r="AZ229" s="595"/>
      <c r="BA229" s="595"/>
      <c r="BB229" s="595"/>
      <c r="BC229" s="595"/>
      <c r="BD229" s="595"/>
      <c r="BE229" s="595"/>
      <c r="BF229" s="595"/>
      <c r="BG229" s="595"/>
      <c r="BH229" s="595"/>
      <c r="BI229" s="651"/>
      <c r="BJ229" s="651"/>
      <c r="BK229" s="651"/>
      <c r="BL229" s="651"/>
      <c r="BM229" s="651"/>
      <c r="BN229" s="651"/>
      <c r="BO229" s="651"/>
      <c r="BP229" s="651"/>
      <c r="BQ229" s="651"/>
      <c r="BR229" s="651"/>
      <c r="BS229" s="651"/>
      <c r="BT229" s="651"/>
    </row>
    <row r="230" ht="12.75" customHeight="1">
      <c r="A230" s="1360"/>
      <c r="B230" s="584"/>
      <c r="C230" s="365" t="s">
        <v>189</v>
      </c>
      <c r="D230" s="844"/>
      <c r="E230" s="845"/>
      <c r="F230" s="846"/>
      <c r="G230" s="848"/>
      <c r="H230" s="848"/>
      <c r="I230" s="369">
        <f t="shared" ref="I230:M230" si="152">I228*I229</f>
        <v>300</v>
      </c>
      <c r="J230" s="369">
        <f t="shared" si="152"/>
        <v>600</v>
      </c>
      <c r="K230" s="370">
        <f t="shared" si="152"/>
        <v>0</v>
      </c>
      <c r="L230" s="371">
        <f t="shared" si="152"/>
        <v>900</v>
      </c>
      <c r="M230" s="371">
        <f t="shared" si="152"/>
        <v>0</v>
      </c>
      <c r="N230" s="849">
        <f>SUM(I230:M230)</f>
        <v>1800</v>
      </c>
      <c r="O230" s="584"/>
      <c r="P230" s="586"/>
      <c r="Q230" s="595"/>
      <c r="R230" s="603"/>
      <c r="S230" s="885" t="s">
        <v>185</v>
      </c>
      <c r="T230" s="426" t="str">
        <f t="shared" si="153"/>
        <v>#REF!</v>
      </c>
      <c r="U230" s="423" t="str">
        <f>T230/T233</f>
        <v>#REF!</v>
      </c>
      <c r="V230" s="424" t="s">
        <v>216</v>
      </c>
      <c r="W230" s="140">
        <f t="shared" si="151"/>
        <v>35</v>
      </c>
      <c r="X230" s="326">
        <v>1.0</v>
      </c>
      <c r="Y230" s="595"/>
      <c r="Z230" s="595"/>
      <c r="AA230" s="595"/>
      <c r="AB230" s="879">
        <v>35.0</v>
      </c>
      <c r="AC230" s="584"/>
      <c r="AD230" s="595"/>
      <c r="AE230" s="595"/>
      <c r="AF230" s="443"/>
      <c r="AG230" s="354"/>
      <c r="AH230" s="595"/>
      <c r="AI230" s="595"/>
      <c r="AJ230" s="595"/>
      <c r="AK230" s="595"/>
      <c r="AL230" s="595"/>
      <c r="AM230" s="595"/>
      <c r="AN230" s="595"/>
      <c r="AO230" s="595"/>
      <c r="AP230" s="595"/>
      <c r="AQ230" s="595"/>
      <c r="AR230" s="595"/>
      <c r="AS230" s="595"/>
      <c r="AT230" s="595"/>
      <c r="AU230" s="595"/>
      <c r="AV230" s="595"/>
      <c r="AW230" s="595"/>
      <c r="AX230" s="595"/>
      <c r="AY230" s="595"/>
      <c r="AZ230" s="595"/>
      <c r="BA230" s="595"/>
      <c r="BB230" s="595"/>
      <c r="BC230" s="595"/>
      <c r="BD230" s="595"/>
      <c r="BE230" s="595"/>
      <c r="BF230" s="595"/>
      <c r="BG230" s="595"/>
      <c r="BH230" s="595"/>
      <c r="BI230" s="651"/>
      <c r="BJ230" s="651"/>
      <c r="BK230" s="651"/>
      <c r="BL230" s="651"/>
      <c r="BM230" s="651"/>
      <c r="BN230" s="651"/>
      <c r="BO230" s="651"/>
      <c r="BP230" s="651"/>
      <c r="BQ230" s="651"/>
      <c r="BR230" s="651"/>
      <c r="BS230" s="651"/>
      <c r="BT230" s="651"/>
    </row>
    <row r="231" ht="12.75" customHeight="1">
      <c r="A231" s="1360"/>
      <c r="B231" s="584"/>
      <c r="C231" s="851"/>
      <c r="D231" s="609"/>
      <c r="E231" s="585"/>
      <c r="F231" s="586"/>
      <c r="G231" s="584"/>
      <c r="H231" s="584"/>
      <c r="I231" s="443"/>
      <c r="J231" s="806"/>
      <c r="K231" s="349"/>
      <c r="L231" s="588"/>
      <c r="M231" s="588"/>
      <c r="N231" s="833"/>
      <c r="O231" s="584"/>
      <c r="P231" s="586"/>
      <c r="Q231" s="595"/>
      <c r="R231" s="603"/>
      <c r="S231" s="885" t="s">
        <v>24</v>
      </c>
      <c r="T231" s="426" t="str">
        <f>N313</f>
        <v>#REF!</v>
      </c>
      <c r="U231" s="423" t="str">
        <f>T231/T233</f>
        <v>#REF!</v>
      </c>
      <c r="V231" s="424" t="s">
        <v>217</v>
      </c>
      <c r="W231" s="140">
        <f t="shared" si="151"/>
        <v>35</v>
      </c>
      <c r="X231" s="886">
        <v>1.0</v>
      </c>
      <c r="Y231" s="595"/>
      <c r="Z231" s="595"/>
      <c r="AA231" s="595"/>
      <c r="AB231" s="879">
        <v>35.0</v>
      </c>
      <c r="AC231" s="584"/>
      <c r="AD231" s="595"/>
      <c r="AE231" s="595"/>
      <c r="AF231" s="443"/>
      <c r="AG231" s="354"/>
      <c r="AH231" s="595"/>
      <c r="AI231" s="595"/>
      <c r="AJ231" s="595"/>
      <c r="AK231" s="595"/>
      <c r="AL231" s="595"/>
      <c r="AM231" s="595"/>
      <c r="AN231" s="595"/>
      <c r="AO231" s="595"/>
      <c r="AP231" s="595"/>
      <c r="AQ231" s="595"/>
      <c r="AR231" s="595"/>
      <c r="AS231" s="595"/>
      <c r="AT231" s="595"/>
      <c r="AU231" s="595"/>
      <c r="AV231" s="595"/>
      <c r="AW231" s="595"/>
      <c r="AX231" s="595"/>
      <c r="AY231" s="595"/>
      <c r="AZ231" s="595"/>
      <c r="BA231" s="595"/>
      <c r="BB231" s="595"/>
      <c r="BC231" s="595"/>
      <c r="BD231" s="595"/>
      <c r="BE231" s="595"/>
      <c r="BF231" s="595"/>
      <c r="BG231" s="595"/>
      <c r="BH231" s="595"/>
      <c r="BI231" s="651"/>
      <c r="BJ231" s="651"/>
      <c r="BK231" s="651"/>
      <c r="BL231" s="651"/>
      <c r="BM231" s="651"/>
      <c r="BN231" s="651"/>
      <c r="BO231" s="651"/>
      <c r="BP231" s="651"/>
      <c r="BQ231" s="651"/>
      <c r="BR231" s="651"/>
      <c r="BS231" s="651"/>
      <c r="BT231" s="651"/>
    </row>
    <row r="232" ht="12.75" customHeight="1">
      <c r="A232" s="1360"/>
      <c r="B232" s="584"/>
      <c r="C232" s="851"/>
      <c r="D232" s="609"/>
      <c r="E232" s="585"/>
      <c r="F232" s="586"/>
      <c r="G232" s="584"/>
      <c r="H232" s="584"/>
      <c r="I232" s="887"/>
      <c r="J232" s="887"/>
      <c r="K232" s="333"/>
      <c r="L232" s="878"/>
      <c r="M232" s="878"/>
      <c r="N232" s="833"/>
      <c r="O232" s="584"/>
      <c r="P232" s="586"/>
      <c r="Q232" s="595"/>
      <c r="R232" s="603"/>
      <c r="S232" s="885" t="s">
        <v>194</v>
      </c>
      <c r="T232" s="428" t="str">
        <f>I336</f>
        <v>#REF!</v>
      </c>
      <c r="U232" s="423" t="str">
        <f>T232/T233</f>
        <v>#REF!</v>
      </c>
      <c r="V232" s="424" t="s">
        <v>218</v>
      </c>
      <c r="W232" s="140">
        <f t="shared" ref="W232:X232" si="154">SUM(W228:W231)</f>
        <v>160</v>
      </c>
      <c r="X232" s="326">
        <f t="shared" si="154"/>
        <v>4</v>
      </c>
      <c r="Y232" s="595"/>
      <c r="Z232" s="595"/>
      <c r="AA232" s="595"/>
      <c r="AB232" s="354"/>
      <c r="AC232" s="584"/>
      <c r="AD232" s="595"/>
      <c r="AE232" s="595"/>
      <c r="AF232" s="443"/>
      <c r="AG232" s="354"/>
      <c r="AH232" s="595"/>
      <c r="AI232" s="595"/>
      <c r="AJ232" s="595"/>
      <c r="AK232" s="595"/>
      <c r="AL232" s="595"/>
      <c r="AM232" s="595"/>
      <c r="AN232" s="595"/>
      <c r="AO232" s="595"/>
      <c r="AP232" s="595"/>
      <c r="AQ232" s="595"/>
      <c r="AR232" s="595"/>
      <c r="AS232" s="595"/>
      <c r="AT232" s="595"/>
      <c r="AU232" s="595"/>
      <c r="AV232" s="595"/>
      <c r="AW232" s="595"/>
      <c r="AX232" s="595"/>
      <c r="AY232" s="595"/>
      <c r="AZ232" s="595"/>
      <c r="BA232" s="595"/>
      <c r="BB232" s="595"/>
      <c r="BC232" s="595"/>
      <c r="BD232" s="595"/>
      <c r="BE232" s="595"/>
      <c r="BF232" s="595"/>
      <c r="BG232" s="595"/>
      <c r="BH232" s="595"/>
      <c r="BI232" s="651"/>
      <c r="BJ232" s="651"/>
      <c r="BK232" s="651"/>
      <c r="BL232" s="651"/>
      <c r="BM232" s="651"/>
      <c r="BN232" s="651"/>
      <c r="BO232" s="651"/>
      <c r="BP232" s="651"/>
      <c r="BQ232" s="651"/>
      <c r="BR232" s="651"/>
      <c r="BS232" s="651"/>
      <c r="BT232" s="651"/>
    </row>
    <row r="233" ht="12.75" customHeight="1">
      <c r="A233" s="1360"/>
      <c r="B233" s="584"/>
      <c r="C233" s="347" t="s">
        <v>219</v>
      </c>
      <c r="D233" s="609"/>
      <c r="E233" s="585"/>
      <c r="F233" s="586"/>
      <c r="G233" s="584"/>
      <c r="H233" s="584"/>
      <c r="I233" s="595"/>
      <c r="J233" s="595"/>
      <c r="K233" s="354"/>
      <c r="L233" s="588"/>
      <c r="M233" s="588"/>
      <c r="N233" s="833"/>
      <c r="O233" s="584"/>
      <c r="P233" s="586"/>
      <c r="Q233" s="595"/>
      <c r="R233" s="888" t="str">
        <f>U239=T233</f>
        <v>#REF!</v>
      </c>
      <c r="S233" s="889" t="s">
        <v>207</v>
      </c>
      <c r="T233" s="430" t="str">
        <f>SUM(T229:T232)</f>
        <v>#REF!</v>
      </c>
      <c r="U233" s="431" t="s">
        <v>220</v>
      </c>
      <c r="V233" s="890">
        <v>0.15</v>
      </c>
      <c r="W233" s="140">
        <f>W232*(1+V233)</f>
        <v>184</v>
      </c>
      <c r="X233" s="443"/>
      <c r="Y233" s="595"/>
      <c r="Z233" s="595"/>
      <c r="AA233" s="595"/>
      <c r="AB233" s="354"/>
      <c r="AC233" s="584"/>
      <c r="AD233" s="595"/>
      <c r="AE233" s="595"/>
      <c r="AF233" s="443"/>
      <c r="AG233" s="354"/>
      <c r="AH233" s="595"/>
      <c r="AI233" s="595"/>
      <c r="AJ233" s="595"/>
      <c r="AK233" s="595"/>
      <c r="AL233" s="595"/>
      <c r="AM233" s="595"/>
      <c r="AN233" s="595"/>
      <c r="AO233" s="595"/>
      <c r="AP233" s="595"/>
      <c r="AQ233" s="595"/>
      <c r="AR233" s="595"/>
      <c r="AS233" s="595"/>
      <c r="AT233" s="595"/>
      <c r="AU233" s="595"/>
      <c r="AV233" s="595"/>
      <c r="AW233" s="595"/>
      <c r="AX233" s="595"/>
      <c r="AY233" s="595"/>
      <c r="AZ233" s="595"/>
      <c r="BA233" s="595"/>
      <c r="BB233" s="595"/>
      <c r="BC233" s="595"/>
      <c r="BD233" s="595"/>
      <c r="BE233" s="595"/>
      <c r="BF233" s="595"/>
      <c r="BG233" s="595"/>
      <c r="BH233" s="595"/>
      <c r="BI233" s="651"/>
      <c r="BJ233" s="651"/>
      <c r="BK233" s="651"/>
      <c r="BL233" s="651"/>
      <c r="BM233" s="651"/>
      <c r="BN233" s="651"/>
      <c r="BO233" s="651"/>
      <c r="BP233" s="651"/>
      <c r="BQ233" s="651"/>
      <c r="BR233" s="651"/>
      <c r="BS233" s="651"/>
      <c r="BT233" s="651"/>
    </row>
    <row r="234" ht="12.75" customHeight="1">
      <c r="A234" s="1360"/>
      <c r="B234" s="584"/>
      <c r="C234" s="359" t="s">
        <v>188</v>
      </c>
      <c r="D234" s="609"/>
      <c r="E234" s="585"/>
      <c r="F234" s="586"/>
      <c r="G234" s="584"/>
      <c r="H234" s="584"/>
      <c r="I234" s="839"/>
      <c r="J234" s="839"/>
      <c r="K234" s="419"/>
      <c r="L234" s="840"/>
      <c r="M234" s="840"/>
      <c r="N234" s="833"/>
      <c r="O234" s="584"/>
      <c r="P234" s="586"/>
      <c r="Q234" s="595"/>
      <c r="R234" s="603"/>
      <c r="S234" s="354"/>
      <c r="T234" s="595"/>
      <c r="U234" s="443"/>
      <c r="V234" s="433" t="s">
        <v>221</v>
      </c>
      <c r="W234" s="434" t="str">
        <f>W216/W233/W242</f>
        <v>#REF!</v>
      </c>
      <c r="X234" s="443"/>
      <c r="Y234" s="595"/>
      <c r="Z234" s="595"/>
      <c r="AA234" s="595"/>
      <c r="AB234" s="354"/>
      <c r="AC234" s="700"/>
      <c r="AD234" s="435" t="str">
        <f>W234*W242*X232</f>
        <v>#REF!</v>
      </c>
      <c r="AE234" s="595"/>
      <c r="AF234" s="443"/>
      <c r="AG234" s="354"/>
      <c r="AH234" s="595"/>
      <c r="AI234" s="595"/>
      <c r="AJ234" s="595"/>
      <c r="AK234" s="595"/>
      <c r="AL234" s="595"/>
      <c r="AM234" s="595"/>
      <c r="AN234" s="595"/>
      <c r="AO234" s="595"/>
      <c r="AP234" s="595"/>
      <c r="AQ234" s="595"/>
      <c r="AR234" s="595"/>
      <c r="AS234" s="595"/>
      <c r="AT234" s="595"/>
      <c r="AU234" s="595"/>
      <c r="AV234" s="595"/>
      <c r="AW234" s="595"/>
      <c r="AX234" s="595"/>
      <c r="AY234" s="595"/>
      <c r="AZ234" s="595"/>
      <c r="BA234" s="595"/>
      <c r="BB234" s="595"/>
      <c r="BC234" s="595"/>
      <c r="BD234" s="595"/>
      <c r="BE234" s="595"/>
      <c r="BF234" s="595"/>
      <c r="BG234" s="595"/>
      <c r="BH234" s="595"/>
      <c r="BI234" s="651"/>
      <c r="BJ234" s="651"/>
      <c r="BK234" s="651"/>
      <c r="BL234" s="651"/>
      <c r="BM234" s="651"/>
      <c r="BN234" s="651"/>
      <c r="BO234" s="651"/>
      <c r="BP234" s="651"/>
      <c r="BQ234" s="651"/>
      <c r="BR234" s="651"/>
      <c r="BS234" s="651"/>
      <c r="BT234" s="651"/>
    </row>
    <row r="235" ht="12.75" customHeight="1">
      <c r="A235" s="1360"/>
      <c r="B235" s="584"/>
      <c r="C235" s="365" t="s">
        <v>189</v>
      </c>
      <c r="D235" s="844"/>
      <c r="E235" s="845"/>
      <c r="F235" s="846"/>
      <c r="G235" s="848"/>
      <c r="H235" s="848"/>
      <c r="I235" s="436">
        <f t="shared" ref="I235:K235" si="155">I233*I234</f>
        <v>0</v>
      </c>
      <c r="J235" s="436">
        <f t="shared" si="155"/>
        <v>0</v>
      </c>
      <c r="K235" s="437">
        <f t="shared" si="155"/>
        <v>0</v>
      </c>
      <c r="L235" s="371">
        <f>SUM(L234)</f>
        <v>0</v>
      </c>
      <c r="M235" s="371">
        <f>M233*M234</f>
        <v>0</v>
      </c>
      <c r="N235" s="849">
        <f>SUM(I235:M235)</f>
        <v>0</v>
      </c>
      <c r="O235" s="584"/>
      <c r="P235" s="586"/>
      <c r="Q235" s="595"/>
      <c r="R235" s="891"/>
      <c r="S235" s="439" t="s">
        <v>222</v>
      </c>
      <c r="T235" s="440" t="s">
        <v>223</v>
      </c>
      <c r="U235" s="441" t="s">
        <v>27</v>
      </c>
      <c r="V235" s="595"/>
      <c r="W235" s="442" t="str">
        <f>W234/5</f>
        <v>#REF!</v>
      </c>
      <c r="X235" s="443" t="s">
        <v>224</v>
      </c>
      <c r="Y235" s="595"/>
      <c r="Z235" s="595"/>
      <c r="AA235" s="892"/>
      <c r="AB235" s="893"/>
      <c r="AC235" s="446" t="str">
        <f>W216/W234/X232/W242</f>
        <v>#REF!</v>
      </c>
      <c r="AD235" s="447" t="str">
        <f>AC235*AD234</f>
        <v>#REF!</v>
      </c>
      <c r="AE235" s="443" t="s">
        <v>202</v>
      </c>
      <c r="AF235" s="443"/>
      <c r="AG235" s="354"/>
      <c r="AH235" s="595"/>
      <c r="AI235" s="595"/>
      <c r="AJ235" s="595"/>
      <c r="AK235" s="595"/>
      <c r="AL235" s="595"/>
      <c r="AM235" s="595"/>
      <c r="AN235" s="595"/>
      <c r="AO235" s="595"/>
      <c r="AP235" s="595"/>
      <c r="AQ235" s="595"/>
      <c r="AR235" s="595"/>
      <c r="AS235" s="595"/>
      <c r="AT235" s="595"/>
      <c r="AU235" s="595"/>
      <c r="AV235" s="595"/>
      <c r="AW235" s="595"/>
      <c r="AX235" s="595"/>
      <c r="AY235" s="595"/>
      <c r="AZ235" s="595"/>
      <c r="BA235" s="595"/>
      <c r="BB235" s="595"/>
      <c r="BC235" s="595"/>
      <c r="BD235" s="595"/>
      <c r="BE235" s="595"/>
      <c r="BF235" s="595"/>
      <c r="BG235" s="595"/>
      <c r="BH235" s="595"/>
      <c r="BI235" s="651"/>
      <c r="BJ235" s="651"/>
      <c r="BK235" s="651"/>
      <c r="BL235" s="651"/>
      <c r="BM235" s="651"/>
      <c r="BN235" s="651"/>
      <c r="BO235" s="651"/>
      <c r="BP235" s="651"/>
      <c r="BQ235" s="651"/>
      <c r="BR235" s="651"/>
      <c r="BS235" s="651"/>
      <c r="BT235" s="651"/>
    </row>
    <row r="236" ht="12.75" customHeight="1">
      <c r="A236" s="1360"/>
      <c r="B236" s="584"/>
      <c r="C236" s="851"/>
      <c r="D236" s="609"/>
      <c r="E236" s="585"/>
      <c r="F236" s="586"/>
      <c r="G236" s="584"/>
      <c r="H236" s="584"/>
      <c r="I236" s="443"/>
      <c r="J236" s="806"/>
      <c r="K236" s="354"/>
      <c r="L236" s="588"/>
      <c r="M236" s="588"/>
      <c r="N236" s="833"/>
      <c r="O236" s="584"/>
      <c r="P236" s="586"/>
      <c r="Q236" s="584"/>
      <c r="R236" s="894" t="s">
        <v>210</v>
      </c>
      <c r="S236" s="895" t="str">
        <f>T278+T304+T319+T316</f>
        <v>#REF!</v>
      </c>
      <c r="T236" s="450" t="str">
        <f t="shared" ref="T236:T238" si="156">U236/S236</f>
        <v>#REF!</v>
      </c>
      <c r="U236" s="713" t="str">
        <f>AM210</f>
        <v/>
      </c>
      <c r="V236" s="451" t="s">
        <v>225</v>
      </c>
      <c r="W236" s="452" t="str">
        <f>Y368+AM304+BA284</f>
        <v>#REF!</v>
      </c>
      <c r="X236" s="443"/>
      <c r="Y236" s="595"/>
      <c r="Z236" s="595"/>
      <c r="AA236" s="892"/>
      <c r="AB236" s="893"/>
      <c r="AC236" s="446" t="str">
        <f>W220/W234/X232/W242</f>
        <v>#REF!</v>
      </c>
      <c r="AD236" s="447" t="str">
        <f>AC236*AD234</f>
        <v>#REF!</v>
      </c>
      <c r="AE236" s="443" t="s">
        <v>226</v>
      </c>
      <c r="AF236" s="443"/>
      <c r="AG236" s="354"/>
      <c r="AH236" s="595"/>
      <c r="AI236" s="595"/>
      <c r="AJ236" s="595"/>
      <c r="AK236" s="595"/>
      <c r="AL236" s="595"/>
      <c r="AM236" s="595"/>
      <c r="AN236" s="595"/>
      <c r="AO236" s="595"/>
      <c r="AP236" s="595"/>
      <c r="AQ236" s="595"/>
      <c r="AR236" s="595"/>
      <c r="AS236" s="595"/>
      <c r="AT236" s="595"/>
      <c r="AU236" s="595"/>
      <c r="AV236" s="595"/>
      <c r="AW236" s="595"/>
      <c r="AX236" s="595"/>
      <c r="AY236" s="595"/>
      <c r="AZ236" s="595"/>
      <c r="BA236" s="595"/>
      <c r="BB236" s="595"/>
      <c r="BC236" s="595"/>
      <c r="BD236" s="595"/>
      <c r="BE236" s="595"/>
      <c r="BF236" s="595"/>
      <c r="BG236" s="595"/>
      <c r="BH236" s="595"/>
      <c r="BI236" s="651"/>
      <c r="BJ236" s="651"/>
      <c r="BK236" s="651"/>
      <c r="BL236" s="651"/>
      <c r="BM236" s="651"/>
      <c r="BN236" s="651"/>
      <c r="BO236" s="651"/>
      <c r="BP236" s="651"/>
      <c r="BQ236" s="651"/>
      <c r="BR236" s="651"/>
      <c r="BS236" s="651"/>
      <c r="BT236" s="651"/>
    </row>
    <row r="237" ht="12.75" customHeight="1">
      <c r="A237" s="1360"/>
      <c r="B237" s="12" t="s">
        <v>176</v>
      </c>
      <c r="C237" s="412" t="s">
        <v>227</v>
      </c>
      <c r="D237" s="821"/>
      <c r="E237" s="822"/>
      <c r="F237" s="823"/>
      <c r="G237" s="825"/>
      <c r="H237" s="825"/>
      <c r="I237" s="333" t="s">
        <v>228</v>
      </c>
      <c r="J237" s="333" t="s">
        <v>229</v>
      </c>
      <c r="K237" s="333" t="s">
        <v>230</v>
      </c>
      <c r="L237" s="413" t="s">
        <v>231</v>
      </c>
      <c r="M237" s="413" t="s">
        <v>232</v>
      </c>
      <c r="N237" s="857">
        <f>SUM(N238:N241)</f>
        <v>0</v>
      </c>
      <c r="O237" s="584"/>
      <c r="P237" s="586"/>
      <c r="Q237" s="595"/>
      <c r="R237" s="894" t="s">
        <v>233</v>
      </c>
      <c r="S237" s="895">
        <f>AH245+AH252+AH270</f>
        <v>0</v>
      </c>
      <c r="T237" s="450" t="str">
        <f t="shared" si="156"/>
        <v>#DIV/0!</v>
      </c>
      <c r="U237" s="713" t="str">
        <f>AN210</f>
        <v/>
      </c>
      <c r="V237" s="595"/>
      <c r="W237" s="453" t="str">
        <f>W236/5</f>
        <v>#REF!</v>
      </c>
      <c r="X237" s="443" t="s">
        <v>224</v>
      </c>
      <c r="Y237" s="595"/>
      <c r="Z237" s="595"/>
      <c r="AA237" s="892"/>
      <c r="AB237" s="893"/>
      <c r="AC237" s="584"/>
      <c r="AD237" s="454" t="str">
        <f>AD236-AD235</f>
        <v>#REF!</v>
      </c>
      <c r="AE237" s="443"/>
      <c r="AF237" s="443"/>
      <c r="AG237" s="354"/>
      <c r="AH237" s="595"/>
      <c r="AI237" s="595"/>
      <c r="AJ237" s="595"/>
      <c r="AK237" s="595"/>
      <c r="AL237" s="595"/>
      <c r="AM237" s="595"/>
      <c r="AN237" s="595"/>
      <c r="AO237" s="595"/>
      <c r="AP237" s="595"/>
      <c r="AQ237" s="595"/>
      <c r="AR237" s="595"/>
      <c r="AS237" s="595"/>
      <c r="AT237" s="595"/>
      <c r="AU237" s="595"/>
      <c r="AV237" s="595"/>
      <c r="AW237" s="595"/>
      <c r="AX237" s="595"/>
      <c r="AY237" s="595"/>
      <c r="AZ237" s="595"/>
      <c r="BA237" s="595"/>
      <c r="BB237" s="595"/>
      <c r="BC237" s="595"/>
      <c r="BD237" s="595"/>
      <c r="BE237" s="595"/>
      <c r="BF237" s="595"/>
      <c r="BG237" s="595"/>
      <c r="BH237" s="595"/>
      <c r="BI237" s="651"/>
      <c r="BJ237" s="651"/>
      <c r="BK237" s="651"/>
      <c r="BL237" s="651"/>
      <c r="BM237" s="651"/>
      <c r="BN237" s="651"/>
      <c r="BO237" s="651"/>
      <c r="BP237" s="651"/>
      <c r="BQ237" s="651"/>
      <c r="BR237" s="651"/>
      <c r="BS237" s="651"/>
      <c r="BT237" s="651"/>
    </row>
    <row r="238" ht="12.75" customHeight="1">
      <c r="A238" s="1360"/>
      <c r="B238" s="584"/>
      <c r="C238" s="347" t="s">
        <v>26</v>
      </c>
      <c r="D238" s="609"/>
      <c r="E238" s="585"/>
      <c r="F238" s="586"/>
      <c r="G238" s="584"/>
      <c r="H238" s="584"/>
      <c r="I238" s="354">
        <v>0.0</v>
      </c>
      <c r="J238" s="354">
        <v>0.0</v>
      </c>
      <c r="K238" s="354">
        <v>0.0</v>
      </c>
      <c r="L238" s="350">
        <v>0.0</v>
      </c>
      <c r="M238" s="350">
        <v>0.0</v>
      </c>
      <c r="N238" s="833"/>
      <c r="O238" s="584"/>
      <c r="P238" s="586"/>
      <c r="Q238" s="595"/>
      <c r="R238" s="894" t="s">
        <v>234</v>
      </c>
      <c r="S238" s="1439">
        <f>AV245+AV252+AV271</f>
        <v>0</v>
      </c>
      <c r="T238" s="450" t="str">
        <f t="shared" si="156"/>
        <v>#DIV/0!</v>
      </c>
      <c r="U238" s="896"/>
      <c r="V238" s="595"/>
      <c r="W238" s="453" t="str">
        <f>W237/4</f>
        <v>#REF!</v>
      </c>
      <c r="X238" s="443" t="s">
        <v>235</v>
      </c>
      <c r="Y238" s="443"/>
      <c r="Z238" s="443"/>
      <c r="AA238" s="443"/>
      <c r="AB238" s="349"/>
      <c r="AC238" s="443"/>
      <c r="AD238" s="595"/>
      <c r="AE238" s="443"/>
      <c r="AF238" s="443"/>
      <c r="AG238" s="354"/>
      <c r="AH238" s="595"/>
      <c r="AI238" s="595"/>
      <c r="AJ238" s="595"/>
      <c r="AK238" s="595"/>
      <c r="AL238" s="595"/>
      <c r="AM238" s="595"/>
      <c r="AN238" s="595"/>
      <c r="AO238" s="595"/>
      <c r="AP238" s="595"/>
      <c r="AQ238" s="595"/>
      <c r="AR238" s="595"/>
      <c r="AS238" s="595"/>
      <c r="AT238" s="595"/>
      <c r="AU238" s="595"/>
      <c r="AV238" s="595"/>
      <c r="AW238" s="595"/>
      <c r="AX238" s="595"/>
      <c r="AY238" s="595"/>
      <c r="AZ238" s="595"/>
      <c r="BA238" s="595"/>
      <c r="BB238" s="595"/>
      <c r="BC238" s="595"/>
      <c r="BD238" s="595"/>
      <c r="BE238" s="595"/>
      <c r="BF238" s="595"/>
      <c r="BG238" s="595"/>
      <c r="BH238" s="595"/>
      <c r="BI238" s="651"/>
      <c r="BJ238" s="651"/>
      <c r="BK238" s="651"/>
      <c r="BL238" s="651"/>
      <c r="BM238" s="651"/>
      <c r="BN238" s="651"/>
      <c r="BO238" s="651"/>
      <c r="BP238" s="651"/>
      <c r="BQ238" s="651"/>
      <c r="BR238" s="651"/>
      <c r="BS238" s="651"/>
      <c r="BT238" s="651"/>
    </row>
    <row r="239" ht="12.75" customHeight="1">
      <c r="A239" s="1360"/>
      <c r="B239" s="584"/>
      <c r="C239" s="359" t="s">
        <v>188</v>
      </c>
      <c r="D239" s="609"/>
      <c r="E239" s="585"/>
      <c r="F239" s="586"/>
      <c r="G239" s="584"/>
      <c r="H239" s="584"/>
      <c r="I239" s="400">
        <v>1.0</v>
      </c>
      <c r="J239" s="400">
        <v>1.0</v>
      </c>
      <c r="K239" s="400">
        <v>1.0</v>
      </c>
      <c r="L239" s="401">
        <v>1.0</v>
      </c>
      <c r="M239" s="401">
        <v>1.0</v>
      </c>
      <c r="N239" s="833"/>
      <c r="O239" s="584"/>
      <c r="P239" s="586"/>
      <c r="Q239" s="595"/>
      <c r="R239" s="897" t="s">
        <v>207</v>
      </c>
      <c r="S239" s="898" t="str">
        <f>SUM(S236:S238)</f>
        <v>#REF!</v>
      </c>
      <c r="T239" s="459" t="str">
        <f>T233/S239</f>
        <v>#REF!</v>
      </c>
      <c r="U239" s="460" t="str">
        <f>T239*S239</f>
        <v>#REF!</v>
      </c>
      <c r="V239" s="595"/>
      <c r="W239" s="595"/>
      <c r="X239" s="443"/>
      <c r="Y239" s="443"/>
      <c r="Z239" s="443"/>
      <c r="AA239" s="443"/>
      <c r="AB239" s="349"/>
      <c r="AC239" s="443"/>
      <c r="AD239" s="344" t="str">
        <f>W234*X232*(55*1.25)*W242</f>
        <v>#REF!</v>
      </c>
      <c r="AE239" s="443"/>
      <c r="AF239" s="443"/>
      <c r="AG239" s="354"/>
      <c r="AH239" s="595"/>
      <c r="AI239" s="595"/>
      <c r="AJ239" s="595"/>
      <c r="AK239" s="595"/>
      <c r="AL239" s="595"/>
      <c r="AM239" s="595"/>
      <c r="AN239" s="595"/>
      <c r="AO239" s="595"/>
      <c r="AP239" s="595"/>
      <c r="AQ239" s="595"/>
      <c r="AR239" s="595"/>
      <c r="AS239" s="595"/>
      <c r="AT239" s="595"/>
      <c r="AU239" s="595"/>
      <c r="AV239" s="595"/>
      <c r="AW239" s="595"/>
      <c r="AX239" s="595"/>
      <c r="AY239" s="595"/>
      <c r="AZ239" s="595"/>
      <c r="BA239" s="595"/>
      <c r="BB239" s="595"/>
      <c r="BC239" s="595"/>
      <c r="BD239" s="595"/>
      <c r="BE239" s="595"/>
      <c r="BF239" s="595"/>
      <c r="BG239" s="595"/>
      <c r="BH239" s="595"/>
      <c r="BI239" s="651"/>
      <c r="BJ239" s="651"/>
      <c r="BK239" s="651"/>
      <c r="BL239" s="651"/>
      <c r="BM239" s="651"/>
      <c r="BN239" s="651"/>
      <c r="BO239" s="651"/>
      <c r="BP239" s="651"/>
      <c r="BQ239" s="651"/>
      <c r="BR239" s="651"/>
      <c r="BS239" s="651"/>
      <c r="BT239" s="651"/>
    </row>
    <row r="240" ht="12.75" customHeight="1">
      <c r="A240" s="1360"/>
      <c r="B240" s="584"/>
      <c r="C240" s="365" t="s">
        <v>189</v>
      </c>
      <c r="D240" s="844"/>
      <c r="E240" s="845"/>
      <c r="F240" s="846"/>
      <c r="G240" s="848"/>
      <c r="H240" s="848"/>
      <c r="I240" s="369">
        <f t="shared" ref="I240:M240" si="157">I238*I239</f>
        <v>0</v>
      </c>
      <c r="J240" s="369">
        <f t="shared" si="157"/>
        <v>0</v>
      </c>
      <c r="K240" s="370">
        <f t="shared" si="157"/>
        <v>0</v>
      </c>
      <c r="L240" s="371">
        <f t="shared" si="157"/>
        <v>0</v>
      </c>
      <c r="M240" s="371">
        <f t="shared" si="157"/>
        <v>0</v>
      </c>
      <c r="N240" s="849">
        <f>SUM(I240:M240)</f>
        <v>0</v>
      </c>
      <c r="O240" s="584"/>
      <c r="P240" s="586"/>
      <c r="Q240" s="595"/>
      <c r="R240" s="587"/>
      <c r="S240" s="354"/>
      <c r="T240" s="595"/>
      <c r="U240" s="443"/>
      <c r="V240" s="595"/>
      <c r="W240" s="595"/>
      <c r="X240" s="443"/>
      <c r="Y240" s="443"/>
      <c r="Z240" s="443"/>
      <c r="AA240" s="443"/>
      <c r="AB240" s="349"/>
      <c r="AC240" s="584"/>
      <c r="AD240" s="595"/>
      <c r="AE240" s="595"/>
      <c r="AF240" s="443"/>
      <c r="AG240" s="354"/>
      <c r="AH240" s="595"/>
      <c r="AI240" s="595"/>
      <c r="AJ240" s="595"/>
      <c r="AK240" s="595"/>
      <c r="AL240" s="595"/>
      <c r="AM240" s="595"/>
      <c r="AN240" s="595"/>
      <c r="AO240" s="595"/>
      <c r="AP240" s="443"/>
      <c r="AQ240" s="443"/>
      <c r="AR240" s="443"/>
      <c r="AS240" s="595"/>
      <c r="AT240" s="443"/>
      <c r="AU240" s="443"/>
      <c r="AV240" s="443"/>
      <c r="AW240" s="820"/>
      <c r="AX240" s="595"/>
      <c r="AY240" s="584"/>
      <c r="AZ240" s="584"/>
      <c r="BA240" s="584"/>
      <c r="BB240" s="584"/>
      <c r="BC240" s="584"/>
      <c r="BD240" s="584"/>
      <c r="BE240" s="584"/>
      <c r="BF240" s="584"/>
      <c r="BG240" s="584"/>
      <c r="BH240" s="584"/>
      <c r="BI240" s="584"/>
      <c r="BJ240" s="597"/>
      <c r="BK240" s="597"/>
      <c r="BL240" s="597"/>
      <c r="BM240" s="597"/>
      <c r="BN240" s="597"/>
      <c r="BO240" s="597"/>
      <c r="BP240" s="597"/>
      <c r="BQ240" s="597"/>
      <c r="BR240" s="597"/>
      <c r="BS240" s="597"/>
      <c r="BT240" s="597"/>
    </row>
    <row r="241" ht="12.75" customHeight="1">
      <c r="A241" s="1360"/>
      <c r="B241" s="584"/>
      <c r="C241" s="851"/>
      <c r="D241" s="609"/>
      <c r="E241" s="585"/>
      <c r="F241" s="586"/>
      <c r="G241" s="584"/>
      <c r="H241" s="584"/>
      <c r="I241" s="443"/>
      <c r="J241" s="806"/>
      <c r="K241" s="354"/>
      <c r="L241" s="588"/>
      <c r="M241" s="588"/>
      <c r="N241" s="833"/>
      <c r="O241" s="584"/>
      <c r="P241" s="899"/>
      <c r="Q241" s="900"/>
      <c r="R241" s="461" t="s">
        <v>236</v>
      </c>
      <c r="S241" s="354"/>
      <c r="T241" s="595"/>
      <c r="U241" s="443"/>
      <c r="V241" s="595"/>
      <c r="W241" s="595"/>
      <c r="X241" s="443"/>
      <c r="Y241" s="443"/>
      <c r="Z241" s="443"/>
      <c r="AA241" s="443"/>
      <c r="AB241" s="354"/>
      <c r="AC241" s="900"/>
      <c r="AD241" s="900"/>
      <c r="AE241" s="901"/>
      <c r="AF241" s="901" t="s">
        <v>237</v>
      </c>
      <c r="AG241" s="354"/>
      <c r="AH241" s="443"/>
      <c r="AI241" s="595"/>
      <c r="AJ241" s="595"/>
      <c r="AK241" s="443"/>
      <c r="AL241" s="443"/>
      <c r="AM241" s="443"/>
      <c r="AN241" s="443"/>
      <c r="AO241" s="595"/>
      <c r="AP241" s="605"/>
      <c r="AQ241" s="605"/>
      <c r="AR241" s="605"/>
      <c r="AS241" s="461"/>
      <c r="AT241" s="461" t="s">
        <v>238</v>
      </c>
      <c r="AU241" s="595"/>
      <c r="AV241" s="443"/>
      <c r="AW241" s="595"/>
      <c r="AX241" s="595"/>
      <c r="AY241" s="443"/>
      <c r="AZ241" s="443"/>
      <c r="BA241" s="443"/>
      <c r="BB241" s="443"/>
      <c r="BC241" s="584"/>
      <c r="BD241" s="584"/>
      <c r="BE241" s="584"/>
      <c r="BF241" s="584"/>
      <c r="BG241" s="584"/>
      <c r="BH241" s="584"/>
      <c r="BI241" s="584"/>
      <c r="BJ241" s="584"/>
      <c r="BK241" s="584"/>
      <c r="BL241" s="584"/>
      <c r="BM241" s="584"/>
      <c r="BN241" s="597"/>
      <c r="BO241" s="597"/>
      <c r="BP241" s="597"/>
      <c r="BQ241" s="597"/>
      <c r="BR241" s="597"/>
      <c r="BS241" s="597"/>
      <c r="BT241" s="597"/>
    </row>
    <row r="242">
      <c r="A242" s="1360"/>
      <c r="B242" s="12" t="s">
        <v>176</v>
      </c>
      <c r="C242" s="412" t="s">
        <v>239</v>
      </c>
      <c r="D242" s="821"/>
      <c r="E242" s="822"/>
      <c r="F242" s="823"/>
      <c r="G242" s="825"/>
      <c r="H242" s="825"/>
      <c r="I242" s="333" t="s">
        <v>240</v>
      </c>
      <c r="J242" s="334" t="s">
        <v>241</v>
      </c>
      <c r="K242" s="335" t="s">
        <v>242</v>
      </c>
      <c r="L242" s="878"/>
      <c r="M242" s="337" t="s">
        <v>243</v>
      </c>
      <c r="N242" s="826">
        <f>SUM(N243:N247)</f>
        <v>0</v>
      </c>
      <c r="O242" s="902">
        <f>N242+N213</f>
        <v>0</v>
      </c>
      <c r="P242" s="1440" t="s">
        <v>580</v>
      </c>
      <c r="Q242" s="904"/>
      <c r="R242" s="905"/>
      <c r="S242" s="439"/>
      <c r="T242" s="623"/>
      <c r="U242" s="621"/>
      <c r="V242" s="623"/>
      <c r="W242" s="462">
        <v>8.0</v>
      </c>
      <c r="X242" s="621"/>
      <c r="Y242" s="621"/>
      <c r="Z242" s="906"/>
      <c r="AA242" s="623"/>
      <c r="AB242" s="623"/>
      <c r="AC242" s="1441"/>
      <c r="AD242" s="1440" t="s">
        <v>580</v>
      </c>
      <c r="AE242" s="904"/>
      <c r="AF242" s="907"/>
      <c r="AG242" s="439"/>
      <c r="AH242" s="623"/>
      <c r="AI242" s="621"/>
      <c r="AJ242" s="623"/>
      <c r="AK242" s="462">
        <v>8.0</v>
      </c>
      <c r="AL242" s="621"/>
      <c r="AM242" s="621"/>
      <c r="AN242" s="906"/>
      <c r="AO242" s="623"/>
      <c r="AP242" s="623"/>
      <c r="AQ242" s="651"/>
      <c r="AR242" s="1440" t="s">
        <v>580</v>
      </c>
      <c r="AS242" s="904"/>
      <c r="AT242" s="907"/>
      <c r="AU242" s="623"/>
      <c r="AV242" s="623"/>
      <c r="AW242" s="621"/>
      <c r="AX242" s="623"/>
      <c r="AY242" s="462">
        <v>8.0</v>
      </c>
      <c r="AZ242" s="621"/>
      <c r="BA242" s="621"/>
      <c r="BB242" s="906"/>
      <c r="BC242" s="624"/>
      <c r="BD242" s="584"/>
      <c r="BE242" s="584"/>
      <c r="BF242" s="584"/>
      <c r="BG242" s="584"/>
      <c r="BH242" s="584"/>
      <c r="BI242" s="584"/>
      <c r="BJ242" s="584"/>
      <c r="BK242" s="584"/>
      <c r="BL242" s="584"/>
      <c r="BM242" s="584"/>
      <c r="BN242" s="584"/>
      <c r="BO242" s="597"/>
      <c r="BP242" s="597"/>
      <c r="BQ242" s="597"/>
      <c r="BR242" s="597"/>
      <c r="BS242" s="597"/>
      <c r="BT242" s="597"/>
    </row>
    <row r="243">
      <c r="A243" s="1360"/>
      <c r="B243" s="584"/>
      <c r="C243" s="851"/>
      <c r="D243" s="609"/>
      <c r="E243" s="585"/>
      <c r="F243" s="586"/>
      <c r="G243" s="584"/>
      <c r="H243" s="584"/>
      <c r="I243" s="382">
        <v>10.0</v>
      </c>
      <c r="J243" s="382">
        <v>0.5</v>
      </c>
      <c r="K243" s="465">
        <v>1.0</v>
      </c>
      <c r="L243" s="840"/>
      <c r="M243" s="391">
        <v>1.0</v>
      </c>
      <c r="N243" s="833"/>
      <c r="O243" s="908">
        <f>O242/6</f>
        <v>0</v>
      </c>
      <c r="P243" s="909"/>
      <c r="Q243" s="910"/>
      <c r="R243" s="911"/>
      <c r="S243" s="912"/>
      <c r="T243" s="469" t="s">
        <v>244</v>
      </c>
      <c r="U243" s="470" t="s">
        <v>245</v>
      </c>
      <c r="V243" s="912" t="s">
        <v>26</v>
      </c>
      <c r="W243" s="472" t="s">
        <v>246</v>
      </c>
      <c r="X243" s="474" t="s">
        <v>247</v>
      </c>
      <c r="Y243" s="474" t="s">
        <v>248</v>
      </c>
      <c r="Z243" s="475" t="s">
        <v>27</v>
      </c>
      <c r="AA243" s="913" t="s">
        <v>249</v>
      </c>
      <c r="AB243" s="913" t="s">
        <v>581</v>
      </c>
      <c r="AC243" s="1441"/>
      <c r="AD243" s="909"/>
      <c r="AE243" s="910"/>
      <c r="AF243" s="914"/>
      <c r="AG243" s="912"/>
      <c r="AH243" s="469" t="s">
        <v>244</v>
      </c>
      <c r="AI243" s="470" t="s">
        <v>245</v>
      </c>
      <c r="AJ243" s="912" t="s">
        <v>26</v>
      </c>
      <c r="AK243" s="472" t="s">
        <v>246</v>
      </c>
      <c r="AL243" s="474" t="s">
        <v>247</v>
      </c>
      <c r="AM243" s="474" t="s">
        <v>248</v>
      </c>
      <c r="AN243" s="475" t="s">
        <v>27</v>
      </c>
      <c r="AO243" s="913" t="s">
        <v>249</v>
      </c>
      <c r="AP243" s="913" t="s">
        <v>581</v>
      </c>
      <c r="AQ243" s="651"/>
      <c r="AR243" s="909"/>
      <c r="AS243" s="910"/>
      <c r="AT243" s="914"/>
      <c r="AU243" s="471"/>
      <c r="AV243" s="469" t="s">
        <v>244</v>
      </c>
      <c r="AW243" s="470" t="s">
        <v>245</v>
      </c>
      <c r="AX243" s="912" t="s">
        <v>26</v>
      </c>
      <c r="AY243" s="472" t="s">
        <v>246</v>
      </c>
      <c r="AZ243" s="474" t="s">
        <v>247</v>
      </c>
      <c r="BA243" s="474" t="s">
        <v>248</v>
      </c>
      <c r="BB243" s="475" t="s">
        <v>27</v>
      </c>
      <c r="BC243" s="476" t="s">
        <v>249</v>
      </c>
      <c r="BD243" s="584"/>
      <c r="BE243" s="584"/>
      <c r="BF243" s="584"/>
      <c r="BG243" s="584"/>
      <c r="BH243" s="584"/>
      <c r="BI243" s="584"/>
      <c r="BJ243" s="584"/>
      <c r="BK243" s="584"/>
      <c r="BL243" s="584"/>
      <c r="BM243" s="584"/>
      <c r="BN243" s="584"/>
      <c r="BO243" s="597"/>
      <c r="BP243" s="597"/>
      <c r="BQ243" s="597"/>
      <c r="BR243" s="597"/>
      <c r="BS243" s="597"/>
      <c r="BT243" s="597"/>
    </row>
    <row r="244">
      <c r="A244" s="1360"/>
      <c r="B244" s="584"/>
      <c r="C244" s="347" t="s">
        <v>26</v>
      </c>
      <c r="D244" s="609"/>
      <c r="E244" s="585"/>
      <c r="F244" s="586"/>
      <c r="G244" s="584"/>
      <c r="H244" s="584"/>
      <c r="I244" s="443"/>
      <c r="J244" s="595"/>
      <c r="K244" s="354"/>
      <c r="L244" s="588"/>
      <c r="M244" s="588"/>
      <c r="N244" s="833"/>
      <c r="O244" s="590"/>
      <c r="P244" s="915" t="s">
        <v>582</v>
      </c>
      <c r="Q244" s="916" t="b">
        <f>Q245=Q246</f>
        <v>0</v>
      </c>
      <c r="R244" s="917" t="s">
        <v>250</v>
      </c>
      <c r="S244" s="918" t="s">
        <v>251</v>
      </c>
      <c r="T244" s="919"/>
      <c r="U244" s="480">
        <f t="shared" ref="U244:U362" si="158">$X$232</f>
        <v>4</v>
      </c>
      <c r="V244" s="481" t="str">
        <f t="shared" ref="V244:V362" si="159">AC$235</f>
        <v>#REF!</v>
      </c>
      <c r="W244" s="919"/>
      <c r="X244" s="919"/>
      <c r="Y244" s="920"/>
      <c r="Z244" s="483" t="str">
        <f t="shared" ref="Z244:Z246" si="160">Y244*V244*U244*W$242</f>
        <v>#REF!</v>
      </c>
      <c r="AA244" s="921"/>
      <c r="AB244" s="921"/>
      <c r="AC244" s="1441"/>
      <c r="AD244" s="922" t="s">
        <v>582</v>
      </c>
      <c r="AE244" s="923" t="b">
        <f>AE245=AE246</f>
        <v>1</v>
      </c>
      <c r="AF244" s="917" t="s">
        <v>250</v>
      </c>
      <c r="AG244" s="918" t="s">
        <v>251</v>
      </c>
      <c r="AH244" s="919"/>
      <c r="AI244" s="480">
        <f t="shared" ref="AI244:AI261" si="161">$X$232</f>
        <v>4</v>
      </c>
      <c r="AJ244" s="924" t="str">
        <f t="shared" ref="AJ244:AJ266" si="162">AC$235</f>
        <v>#REF!</v>
      </c>
      <c r="AK244" s="919"/>
      <c r="AL244" s="919"/>
      <c r="AM244" s="920"/>
      <c r="AN244" s="483" t="str">
        <f t="shared" ref="AN244:AN245" si="163">AM244*AJ244*AI244*AK$242</f>
        <v>#REF!</v>
      </c>
      <c r="AO244" s="921"/>
      <c r="AP244" s="925" t="str">
        <f t="shared" ref="AP244:AP303" si="164">iferror(VLOOKUP(AF244,$D$15:$U$207,18,false),"")</f>
        <v/>
      </c>
      <c r="AQ244" s="1442"/>
      <c r="AR244" s="922" t="s">
        <v>582</v>
      </c>
      <c r="AS244" s="923" t="b">
        <f>AS245=AS246</f>
        <v>1</v>
      </c>
      <c r="AT244" s="917" t="s">
        <v>250</v>
      </c>
      <c r="AU244" s="478" t="s">
        <v>251</v>
      </c>
      <c r="AV244" s="919"/>
      <c r="AW244" s="480">
        <f t="shared" ref="AW244:AW245" si="165">$X$232</f>
        <v>4</v>
      </c>
      <c r="AX244" s="921" t="str">
        <f t="shared" ref="AX244:AX245" si="166">AY$235</f>
        <v/>
      </c>
      <c r="AY244" s="919"/>
      <c r="AZ244" s="919"/>
      <c r="BA244" s="920"/>
      <c r="BB244" s="483">
        <f t="shared" ref="BB244:BB245" si="167">BA244*AX244*AW244*AY$242</f>
        <v>0</v>
      </c>
      <c r="BC244" s="926"/>
      <c r="BD244" s="584"/>
      <c r="BE244" s="584"/>
      <c r="BF244" s="584"/>
      <c r="BG244" s="584"/>
      <c r="BH244" s="584"/>
      <c r="BI244" s="584"/>
      <c r="BJ244" s="584"/>
      <c r="BK244" s="584"/>
      <c r="BL244" s="584"/>
      <c r="BM244" s="584"/>
      <c r="BN244" s="584"/>
      <c r="BO244" s="597"/>
      <c r="BP244" s="597"/>
      <c r="BQ244" s="597"/>
      <c r="BR244" s="597"/>
      <c r="BS244" s="597"/>
      <c r="BT244" s="597"/>
    </row>
    <row r="245">
      <c r="A245" s="1360"/>
      <c r="B245" s="584"/>
      <c r="C245" s="359" t="s">
        <v>188</v>
      </c>
      <c r="D245" s="609"/>
      <c r="E245" s="585"/>
      <c r="F245" s="586"/>
      <c r="G245" s="584"/>
      <c r="H245" s="584"/>
      <c r="I245" s="839"/>
      <c r="J245" s="839"/>
      <c r="K245" s="419"/>
      <c r="L245" s="840"/>
      <c r="M245" s="840"/>
      <c r="N245" s="833"/>
      <c r="O245" s="590"/>
      <c r="P245" s="927">
        <f>COUNTIF(P247:P359,"=0")</f>
        <v>20</v>
      </c>
      <c r="Q245" s="928">
        <f>COUNTIF(T247:T367,"&gt;0")</f>
        <v>25</v>
      </c>
      <c r="R245" s="929" t="s">
        <v>252</v>
      </c>
      <c r="S245" s="930" t="s">
        <v>251</v>
      </c>
      <c r="T245" s="488"/>
      <c r="U245" s="489">
        <f t="shared" si="158"/>
        <v>4</v>
      </c>
      <c r="V245" s="490" t="str">
        <f t="shared" si="159"/>
        <v>#REF!</v>
      </c>
      <c r="W245" s="491">
        <f>(20/6)*$X$232</f>
        <v>13.33333333</v>
      </c>
      <c r="X245" s="489">
        <f t="shared" ref="X245:X246" si="169">W245*W$242</f>
        <v>106.6666667</v>
      </c>
      <c r="Y245" s="492">
        <f t="shared" ref="Y245:Y246" si="170">ROUNDUP(T245/X245,2)</f>
        <v>0</v>
      </c>
      <c r="Z245" s="493" t="str">
        <f t="shared" si="160"/>
        <v>#REF!</v>
      </c>
      <c r="AA245" s="931" t="str">
        <f t="shared" ref="AA245:AA250" si="171">iferror(Z245/T245,"")</f>
        <v/>
      </c>
      <c r="AB245" s="925" t="str">
        <f t="shared" ref="AB245:AB365" si="172">iferror(VLOOKUP(R245,$D$15:$U$207,18,false),"")</f>
        <v/>
      </c>
      <c r="AC245" s="1441"/>
      <c r="AD245" s="927">
        <f>COUNTIF(AD247:AD306,"=0")</f>
        <v>0</v>
      </c>
      <c r="AE245" s="928">
        <f>countif(AH245:AH303,"&gt;0")</f>
        <v>0</v>
      </c>
      <c r="AF245" s="929" t="s">
        <v>149</v>
      </c>
      <c r="AG245" s="932" t="s">
        <v>41</v>
      </c>
      <c r="AH245" s="488">
        <f t="shared" ref="AH245:AH303" si="173">sumif($D$13:$D$207,AF245,$Q$13:$Q$207)</f>
        <v>0</v>
      </c>
      <c r="AI245" s="489">
        <f t="shared" si="161"/>
        <v>4</v>
      </c>
      <c r="AJ245" s="490" t="str">
        <f t="shared" si="162"/>
        <v>#REF!</v>
      </c>
      <c r="AK245" s="491">
        <f>(20/4)*$X$232</f>
        <v>20</v>
      </c>
      <c r="AL245" s="489">
        <f>AK245*AK$242</f>
        <v>160</v>
      </c>
      <c r="AM245" s="492">
        <f>ROUNDUP(AH245/AL245,2)</f>
        <v>0</v>
      </c>
      <c r="AN245" s="493" t="str">
        <f t="shared" si="163"/>
        <v>#REF!</v>
      </c>
      <c r="AO245" s="931" t="str">
        <f t="shared" ref="AO245:AO249" si="174">iferror(AN245/AH245,"")</f>
        <v/>
      </c>
      <c r="AP245" s="925" t="str">
        <f t="shared" si="164"/>
        <v/>
      </c>
      <c r="AQ245" s="651"/>
      <c r="AR245" s="927">
        <f>COUNTIF(AR247:AR284,"=0")</f>
        <v>0</v>
      </c>
      <c r="AS245" s="928">
        <f>countif(AV245:AV282,"&gt;0")</f>
        <v>0</v>
      </c>
      <c r="AT245" s="929" t="s">
        <v>301</v>
      </c>
      <c r="AU245" s="487" t="s">
        <v>41</v>
      </c>
      <c r="AV245" s="488">
        <f t="shared" ref="AV245:AV283" si="175">sumif($D$13:$D$207,AT245,$Q$13:$Q$207)</f>
        <v>0</v>
      </c>
      <c r="AW245" s="489">
        <f t="shared" si="165"/>
        <v>4</v>
      </c>
      <c r="AX245" s="924" t="str">
        <f t="shared" si="166"/>
        <v/>
      </c>
      <c r="AY245" s="491">
        <f>(15/4)*$X$232</f>
        <v>15</v>
      </c>
      <c r="AZ245" s="489">
        <f>AY245*AY$242</f>
        <v>120</v>
      </c>
      <c r="BA245" s="492">
        <f>ROUNDUP(AV245/AZ245,2)</f>
        <v>0</v>
      </c>
      <c r="BB245" s="493">
        <f t="shared" si="167"/>
        <v>0</v>
      </c>
      <c r="BC245" s="494" t="str">
        <f t="shared" ref="BC245:BC283" si="176">iferror(BB245/AV245,"")</f>
        <v/>
      </c>
      <c r="BD245" s="595"/>
      <c r="BE245" s="595"/>
      <c r="BF245" s="595"/>
      <c r="BG245" s="595"/>
      <c r="BH245" s="595"/>
      <c r="BI245" s="595"/>
      <c r="BJ245" s="595"/>
      <c r="BK245" s="595"/>
      <c r="BL245" s="595"/>
      <c r="BM245" s="595"/>
      <c r="BN245" s="595"/>
      <c r="BO245" s="651"/>
      <c r="BP245" s="651"/>
      <c r="BQ245" s="651"/>
      <c r="BR245" s="651"/>
      <c r="BS245" s="651"/>
      <c r="BT245" s="651"/>
    </row>
    <row r="246">
      <c r="A246" s="1360"/>
      <c r="B246" s="584"/>
      <c r="C246" s="365" t="s">
        <v>189</v>
      </c>
      <c r="D246" s="844"/>
      <c r="E246" s="845"/>
      <c r="F246" s="846"/>
      <c r="G246" s="848"/>
      <c r="H246" s="848"/>
      <c r="I246" s="369">
        <f t="shared" ref="I246:M246" si="168">I244*I243*I245</f>
        <v>0</v>
      </c>
      <c r="J246" s="369">
        <f t="shared" si="168"/>
        <v>0</v>
      </c>
      <c r="K246" s="370">
        <f t="shared" si="168"/>
        <v>0</v>
      </c>
      <c r="L246" s="371">
        <f t="shared" si="168"/>
        <v>0</v>
      </c>
      <c r="M246" s="371">
        <f t="shared" si="168"/>
        <v>0</v>
      </c>
      <c r="N246" s="849">
        <f>SUM(I246:M246)</f>
        <v>0</v>
      </c>
      <c r="O246" s="590"/>
      <c r="P246" s="1443"/>
      <c r="Q246" s="934">
        <f>COUNTA(Q247:Q359)</f>
        <v>45</v>
      </c>
      <c r="R246" s="929" t="s">
        <v>253</v>
      </c>
      <c r="S246" s="930" t="s">
        <v>251</v>
      </c>
      <c r="T246" s="488"/>
      <c r="U246" s="489">
        <f t="shared" si="158"/>
        <v>4</v>
      </c>
      <c r="V246" s="490" t="str">
        <f t="shared" si="159"/>
        <v>#REF!</v>
      </c>
      <c r="W246" s="491">
        <f>(3/6)*$X$232</f>
        <v>2</v>
      </c>
      <c r="X246" s="489">
        <f t="shared" si="169"/>
        <v>16</v>
      </c>
      <c r="Y246" s="492">
        <f t="shared" si="170"/>
        <v>0</v>
      </c>
      <c r="Z246" s="493" t="str">
        <f t="shared" si="160"/>
        <v>#REF!</v>
      </c>
      <c r="AA246" s="931" t="str">
        <f t="shared" si="171"/>
        <v/>
      </c>
      <c r="AB246" s="925" t="str">
        <f t="shared" si="172"/>
        <v/>
      </c>
      <c r="AC246" s="1441"/>
      <c r="AD246" s="1443"/>
      <c r="AE246" s="934">
        <f>COUNTA(AE247:AE274)</f>
        <v>0</v>
      </c>
      <c r="AF246" s="929" t="s">
        <v>153</v>
      </c>
      <c r="AG246" s="932" t="s">
        <v>52</v>
      </c>
      <c r="AH246" s="488">
        <f t="shared" si="173"/>
        <v>0</v>
      </c>
      <c r="AI246" s="489">
        <f t="shared" si="161"/>
        <v>4</v>
      </c>
      <c r="AJ246" s="490" t="str">
        <f t="shared" si="162"/>
        <v>#REF!</v>
      </c>
      <c r="AK246" s="935"/>
      <c r="AL246" s="935"/>
      <c r="AM246" s="935"/>
      <c r="AN246" s="936"/>
      <c r="AO246" s="931" t="str">
        <f t="shared" si="174"/>
        <v/>
      </c>
      <c r="AP246" s="925" t="str">
        <f t="shared" si="164"/>
        <v/>
      </c>
      <c r="AQ246" s="651"/>
      <c r="AR246" s="1443"/>
      <c r="AS246" s="934">
        <f>COUNTA(AS247:AS283)</f>
        <v>0</v>
      </c>
      <c r="AT246" s="929" t="s">
        <v>302</v>
      </c>
      <c r="AU246" s="487" t="s">
        <v>52</v>
      </c>
      <c r="AV246" s="488">
        <f t="shared" si="175"/>
        <v>0</v>
      </c>
      <c r="AW246" s="935"/>
      <c r="AX246" s="924"/>
      <c r="AY246" s="935"/>
      <c r="AZ246" s="935"/>
      <c r="BA246" s="935"/>
      <c r="BB246" s="936"/>
      <c r="BC246" s="494" t="str">
        <f t="shared" si="176"/>
        <v/>
      </c>
      <c r="BD246" s="595"/>
      <c r="BE246" s="595"/>
      <c r="BF246" s="595"/>
      <c r="BG246" s="595"/>
      <c r="BH246" s="595"/>
      <c r="BI246" s="595"/>
      <c r="BJ246" s="595"/>
      <c r="BK246" s="595"/>
      <c r="BL246" s="595"/>
      <c r="BM246" s="595"/>
      <c r="BN246" s="595"/>
      <c r="BO246" s="651"/>
      <c r="BP246" s="651"/>
      <c r="BQ246" s="651"/>
      <c r="BR246" s="651"/>
      <c r="BS246" s="651"/>
      <c r="BT246" s="651"/>
    </row>
    <row r="247">
      <c r="A247" s="1360"/>
      <c r="B247" s="584"/>
      <c r="C247" s="851"/>
      <c r="D247" s="609"/>
      <c r="E247" s="585"/>
      <c r="F247" s="586"/>
      <c r="G247" s="584"/>
      <c r="H247" s="584"/>
      <c r="I247" s="443"/>
      <c r="J247" s="806"/>
      <c r="K247" s="354"/>
      <c r="L247" s="588"/>
      <c r="M247" s="588"/>
      <c r="N247" s="833"/>
      <c r="O247" s="590"/>
      <c r="P247" s="937">
        <f>IFERROR(__xludf.DUMMYFUNCTION("IF(Q247="""","""",
   IF(Q247=0,0,
      IF(ISNUMBER(MATCH(Q247,FILTER(R$247:R$367,T$247:T$367&lt;&gt;0),0)),1,0)
   )
)"),0.0)</f>
        <v>0</v>
      </c>
      <c r="Q247" s="938" t="str">
        <f>IFERROR(__xludf.DUMMYFUNCTION("UNIQUE(
  FILTER(
    D15:D207,
    O15:O207&gt;0,
    D15:D207&lt;&gt;"""",
    REGEXMATCH(D15:D207,""^R-|^WR-"")
  )
)
"),"R-Sheeting")</f>
        <v>R-Sheeting</v>
      </c>
      <c r="R247" s="929" t="s">
        <v>303</v>
      </c>
      <c r="S247" s="930" t="s">
        <v>251</v>
      </c>
      <c r="T247" s="488">
        <f t="shared" ref="T247:T365" si="177">sumif($D$13:$D$207,R247,$Q$13:$Q$207)</f>
        <v>0</v>
      </c>
      <c r="U247" s="489">
        <f t="shared" si="158"/>
        <v>4</v>
      </c>
      <c r="V247" s="490" t="str">
        <f t="shared" si="159"/>
        <v>#REF!</v>
      </c>
      <c r="W247" s="491"/>
      <c r="X247" s="489"/>
      <c r="Y247" s="492"/>
      <c r="Z247" s="493"/>
      <c r="AA247" s="931" t="str">
        <f t="shared" si="171"/>
        <v/>
      </c>
      <c r="AB247" s="925" t="str">
        <f t="shared" si="172"/>
        <v/>
      </c>
      <c r="AC247" s="1441"/>
      <c r="AD247" s="939" t="str">
        <f>IFERROR(__xludf.DUMMYFUNCTION("IF(AE247="""","""",
   IF(AE247=0,0,
      IF(ISNUMBER(MATCH(AE247,FILTER(AF$245:AF$303,AH$245:AH$303&lt;&gt;0),0)),1,0)
   )
)"),"")</f>
        <v/>
      </c>
      <c r="AE247" s="940" t="str">
        <f>IFERROR(__xludf.DUMMYFUNCTION("IFERROR(
  UNIQUE(
    FILTER(
      D15:D207,
      O15:O207&gt;0,
      D15:D207&lt;&gt;"""",
      REGEXMATCH(D15:D207,""^W-"")
    )
  )
)"),"")</f>
        <v/>
      </c>
      <c r="AF247" s="929" t="s">
        <v>164</v>
      </c>
      <c r="AG247" s="932" t="s">
        <v>52</v>
      </c>
      <c r="AH247" s="488">
        <f t="shared" si="173"/>
        <v>0</v>
      </c>
      <c r="AI247" s="489">
        <f t="shared" si="161"/>
        <v>4</v>
      </c>
      <c r="AJ247" s="490" t="str">
        <f t="shared" si="162"/>
        <v>#REF!</v>
      </c>
      <c r="AK247" s="935"/>
      <c r="AL247" s="935"/>
      <c r="AM247" s="935"/>
      <c r="AN247" s="936"/>
      <c r="AO247" s="931" t="str">
        <f t="shared" si="174"/>
        <v/>
      </c>
      <c r="AP247" s="925" t="str">
        <f t="shared" si="164"/>
        <v/>
      </c>
      <c r="AQ247" s="651"/>
      <c r="AR247" s="939" t="str">
        <f>IFERROR(__xludf.DUMMYFUNCTION("IF(AS247="""","""",
   IF(AS247=0,0,
      IF(ISNUMBER(MATCH(AS247,FILTER(AT$245:AT$283,AV$245:AV$283&lt;&gt;0),0)),1,0)
   )
)"),"")</f>
        <v/>
      </c>
      <c r="AS247" s="940" t="str">
        <f>IFERROR(__xludf.DUMMYFUNCTION("iferror(UNIQUE(
  FILTER(
    D15:D207,
    O15:O207&gt;0,
    D15:D207&lt;&gt;"""",
    REGEXMATCH(D15:D207,""^S-"")
  )
)
)"),"")</f>
        <v/>
      </c>
      <c r="AT247" s="486" t="s">
        <v>304</v>
      </c>
      <c r="AU247" s="487" t="s">
        <v>52</v>
      </c>
      <c r="AV247" s="488">
        <f t="shared" si="175"/>
        <v>0</v>
      </c>
      <c r="AW247" s="935"/>
      <c r="AX247" s="924"/>
      <c r="AY247" s="935"/>
      <c r="AZ247" s="935"/>
      <c r="BA247" s="935"/>
      <c r="BB247" s="936"/>
      <c r="BC247" s="494" t="str">
        <f t="shared" si="176"/>
        <v/>
      </c>
      <c r="BD247" s="595"/>
      <c r="BE247" s="595"/>
      <c r="BF247" s="595"/>
      <c r="BG247" s="595"/>
      <c r="BH247" s="595"/>
      <c r="BI247" s="595"/>
      <c r="BJ247" s="595"/>
      <c r="BK247" s="595"/>
      <c r="BL247" s="595"/>
      <c r="BM247" s="595"/>
      <c r="BN247" s="595"/>
      <c r="BO247" s="651"/>
      <c r="BP247" s="651"/>
      <c r="BQ247" s="651"/>
      <c r="BR247" s="651"/>
      <c r="BS247" s="651"/>
      <c r="BT247" s="651"/>
    </row>
    <row r="248">
      <c r="A248" s="1360"/>
      <c r="B248" s="12" t="s">
        <v>176</v>
      </c>
      <c r="C248" s="412" t="s">
        <v>254</v>
      </c>
      <c r="D248" s="821"/>
      <c r="E248" s="822"/>
      <c r="F248" s="823"/>
      <c r="G248" s="825"/>
      <c r="H248" s="825"/>
      <c r="I248" s="333" t="s">
        <v>255</v>
      </c>
      <c r="J248" s="334" t="s">
        <v>248</v>
      </c>
      <c r="K248" s="335" t="s">
        <v>256</v>
      </c>
      <c r="L248" s="336" t="s">
        <v>26</v>
      </c>
      <c r="M248" s="878"/>
      <c r="N248" s="857" t="str">
        <f>SUM(N249:N253)</f>
        <v>#REF!</v>
      </c>
      <c r="O248" s="590"/>
      <c r="P248" s="939">
        <f>IFERROR(__xludf.DUMMYFUNCTION("IF(Q248="""","""",
   IF(Q248=0,0,
      IF(ISNUMBER(MATCH(Q248,FILTER(R$247:R$367,T$247:T$367&lt;&gt;0),0)),1,0)
   )
)"),0.0)</f>
        <v>0</v>
      </c>
      <c r="Q248" s="941" t="str">
        <f>IFERROR(__xludf.DUMMYFUNCTION("""COMPUTED_VALUE"""),"R-Fixings")</f>
        <v>R-Fixings</v>
      </c>
      <c r="R248" s="942" t="s">
        <v>51</v>
      </c>
      <c r="S248" s="930" t="s">
        <v>52</v>
      </c>
      <c r="T248" s="488">
        <f t="shared" si="177"/>
        <v>0</v>
      </c>
      <c r="U248" s="489">
        <f t="shared" si="158"/>
        <v>4</v>
      </c>
      <c r="V248" s="490" t="str">
        <f t="shared" si="159"/>
        <v>#REF!</v>
      </c>
      <c r="W248" s="491"/>
      <c r="X248" s="489"/>
      <c r="Y248" s="492"/>
      <c r="Z248" s="493"/>
      <c r="AA248" s="931" t="str">
        <f t="shared" si="171"/>
        <v/>
      </c>
      <c r="AB248" s="925" t="str">
        <f t="shared" si="172"/>
        <v/>
      </c>
      <c r="AC248" s="1441"/>
      <c r="AD248" s="939" t="str">
        <f>IFERROR(__xludf.DUMMYFUNCTION("IF(AE248="""","""",
   IF(AE248=0,0,
      IF(ISNUMBER(MATCH(AE248,FILTER(AF$245:AF$303,AH$245:AH$303&lt;&gt;0),0)),1,0)
   )
)"),"")</f>
        <v/>
      </c>
      <c r="AE248" s="943"/>
      <c r="AF248" s="929" t="s">
        <v>163</v>
      </c>
      <c r="AG248" s="932" t="s">
        <v>52</v>
      </c>
      <c r="AH248" s="488">
        <f t="shared" si="173"/>
        <v>0</v>
      </c>
      <c r="AI248" s="489">
        <f t="shared" si="161"/>
        <v>4</v>
      </c>
      <c r="AJ248" s="490" t="str">
        <f t="shared" si="162"/>
        <v>#REF!</v>
      </c>
      <c r="AK248" s="935"/>
      <c r="AL248" s="935"/>
      <c r="AM248" s="935"/>
      <c r="AN248" s="936"/>
      <c r="AO248" s="931" t="str">
        <f t="shared" si="174"/>
        <v/>
      </c>
      <c r="AP248" s="925" t="str">
        <f t="shared" si="164"/>
        <v/>
      </c>
      <c r="AQ248" s="651"/>
      <c r="AR248" s="939" t="str">
        <f>IFERROR(__xludf.DUMMYFUNCTION("IF(AS248="""","""",
   IF(AS248=0,0,
      IF(ISNUMBER(MATCH(AS248,FILTER(AT$245:AT$283,AV$245:AV$283&lt;&gt;0),0)),1,0)
   )
)"),"")</f>
        <v/>
      </c>
      <c r="AS248" s="943"/>
      <c r="AT248" s="486" t="s">
        <v>305</v>
      </c>
      <c r="AU248" s="487" t="s">
        <v>52</v>
      </c>
      <c r="AV248" s="488">
        <f t="shared" si="175"/>
        <v>0</v>
      </c>
      <c r="AW248" s="935"/>
      <c r="AX248" s="924"/>
      <c r="AY248" s="935"/>
      <c r="AZ248" s="935"/>
      <c r="BA248" s="935"/>
      <c r="BB248" s="936"/>
      <c r="BC248" s="494" t="str">
        <f t="shared" si="176"/>
        <v/>
      </c>
      <c r="BD248" s="595"/>
      <c r="BE248" s="595"/>
      <c r="BF248" s="595"/>
      <c r="BG248" s="595"/>
      <c r="BH248" s="595"/>
      <c r="BI248" s="595"/>
      <c r="BJ248" s="595"/>
      <c r="BK248" s="595"/>
      <c r="BL248" s="595"/>
      <c r="BM248" s="595"/>
      <c r="BN248" s="595"/>
      <c r="BO248" s="651"/>
      <c r="BP248" s="651"/>
      <c r="BQ248" s="651"/>
      <c r="BR248" s="651"/>
      <c r="BS248" s="651"/>
      <c r="BT248" s="651"/>
    </row>
    <row r="249">
      <c r="A249" s="1360"/>
      <c r="B249" s="584"/>
      <c r="C249" s="499" t="s">
        <v>257</v>
      </c>
      <c r="D249" s="844"/>
      <c r="E249" s="845"/>
      <c r="F249" s="846"/>
      <c r="G249" s="848"/>
      <c r="H249" s="848"/>
      <c r="I249" s="437">
        <v>1.0</v>
      </c>
      <c r="J249" s="500" t="str">
        <f>W234</f>
        <v>#REF!</v>
      </c>
      <c r="K249" s="501">
        <v>0.5</v>
      </c>
      <c r="L249" s="371">
        <v>45.0</v>
      </c>
      <c r="M249" s="870">
        <v>0.0</v>
      </c>
      <c r="N249" s="849" t="str">
        <f t="shared" ref="N249:N252" si="178">M249*L249*K249*J249*I249</f>
        <v>#REF!</v>
      </c>
      <c r="O249" s="590"/>
      <c r="P249" s="939">
        <f>IFERROR(__xludf.DUMMYFUNCTION("IF(Q249="""","""",
   IF(Q249=0,0,
      IF(ISNUMBER(MATCH(Q249,FILTER(R$247:R$367,T$247:T$367&lt;&gt;0),0)),1,0)
   )
)"),0.0)</f>
        <v>0</v>
      </c>
      <c r="Q249" s="941" t="str">
        <f>IFERROR(__xludf.DUMMYFUNCTION("""COMPUTED_VALUE"""),"R-Washer")</f>
        <v>R-Washer</v>
      </c>
      <c r="R249" s="929" t="s">
        <v>306</v>
      </c>
      <c r="S249" s="930" t="s">
        <v>55</v>
      </c>
      <c r="T249" s="488">
        <f t="shared" si="177"/>
        <v>0</v>
      </c>
      <c r="U249" s="489">
        <f t="shared" si="158"/>
        <v>4</v>
      </c>
      <c r="V249" s="490" t="str">
        <f t="shared" si="159"/>
        <v>#REF!</v>
      </c>
      <c r="W249" s="491">
        <f>(40/2)*$X$232</f>
        <v>80</v>
      </c>
      <c r="X249" s="489">
        <f t="shared" ref="X249:X250" si="179">W249*W$242</f>
        <v>640</v>
      </c>
      <c r="Y249" s="492">
        <f t="shared" ref="Y249:Y250" si="180">ROUNDUP(T249/X249,2)</f>
        <v>0</v>
      </c>
      <c r="Z249" s="493" t="str">
        <f t="shared" ref="Z249:Z250" si="181">Y249*V249*U249*W$242</f>
        <v>#REF!</v>
      </c>
      <c r="AA249" s="931" t="str">
        <f t="shared" si="171"/>
        <v/>
      </c>
      <c r="AB249" s="925" t="str">
        <f t="shared" si="172"/>
        <v/>
      </c>
      <c r="AC249" s="1441"/>
      <c r="AD249" s="939" t="str">
        <f>IFERROR(__xludf.DUMMYFUNCTION("IF(AE249="""","""",
   IF(AE249=0,0,
      IF(ISNUMBER(MATCH(AE249,FILTER(AF$245:AF$303,AH$245:AH$303&lt;&gt;0),0)),1,0)
   )
)"),"")</f>
        <v/>
      </c>
      <c r="AE249" s="943"/>
      <c r="AF249" s="929" t="s">
        <v>154</v>
      </c>
      <c r="AG249" s="932" t="s">
        <v>41</v>
      </c>
      <c r="AH249" s="488">
        <f t="shared" si="173"/>
        <v>0</v>
      </c>
      <c r="AI249" s="489">
        <f t="shared" si="161"/>
        <v>4</v>
      </c>
      <c r="AJ249" s="490" t="str">
        <f t="shared" si="162"/>
        <v>#REF!</v>
      </c>
      <c r="AK249" s="491">
        <f>(50/4)*$X$232</f>
        <v>50</v>
      </c>
      <c r="AL249" s="489">
        <f>AK249*AK$242</f>
        <v>400</v>
      </c>
      <c r="AM249" s="492">
        <f>ROUNDUP(AH249/AL249,2)</f>
        <v>0</v>
      </c>
      <c r="AN249" s="493" t="str">
        <f>AM249*AJ249*AI249*AK$242</f>
        <v>#REF!</v>
      </c>
      <c r="AO249" s="931" t="str">
        <f t="shared" si="174"/>
        <v/>
      </c>
      <c r="AP249" s="925" t="str">
        <f t="shared" si="164"/>
        <v/>
      </c>
      <c r="AQ249" s="651"/>
      <c r="AR249" s="939" t="str">
        <f>IFERROR(__xludf.DUMMYFUNCTION("IF(AS249="""","""",
   IF(AS249=0,0,
      IF(ISNUMBER(MATCH(AS249,FILTER(AT$245:AT$283,AV$245:AV$283&lt;&gt;0),0)),1,0)
   )
)"),"")</f>
        <v/>
      </c>
      <c r="AS249" s="943"/>
      <c r="AT249" s="486" t="s">
        <v>307</v>
      </c>
      <c r="AU249" s="487" t="s">
        <v>41</v>
      </c>
      <c r="AV249" s="488">
        <f t="shared" si="175"/>
        <v>0</v>
      </c>
      <c r="AW249" s="489">
        <f t="shared" ref="AW249:AW253" si="182">$X$232</f>
        <v>4</v>
      </c>
      <c r="AX249" s="924" t="str">
        <f t="shared" ref="AX249:AX253" si="183">AY$235</f>
        <v/>
      </c>
      <c r="AY249" s="491">
        <f>(50/4)*$X$232</f>
        <v>50</v>
      </c>
      <c r="AZ249" s="489">
        <f t="shared" ref="AZ249:AZ253" si="184">AY249*AY$242</f>
        <v>400</v>
      </c>
      <c r="BA249" s="492">
        <f t="shared" ref="BA249:BA253" si="185">ROUNDUP(AV249/AZ249,2)</f>
        <v>0</v>
      </c>
      <c r="BB249" s="493">
        <f t="shared" ref="BB249:BB253" si="186">BA249*AX249*AW249*AY$242</f>
        <v>0</v>
      </c>
      <c r="BC249" s="494" t="str">
        <f t="shared" si="176"/>
        <v/>
      </c>
      <c r="BD249" s="595"/>
      <c r="BE249" s="595"/>
      <c r="BF249" s="595"/>
      <c r="BG249" s="595"/>
      <c r="BH249" s="595"/>
      <c r="BI249" s="595"/>
      <c r="BJ249" s="595"/>
      <c r="BK249" s="595"/>
      <c r="BL249" s="595"/>
      <c r="BM249" s="595"/>
      <c r="BN249" s="595"/>
      <c r="BO249" s="651"/>
      <c r="BP249" s="651"/>
      <c r="BQ249" s="651"/>
      <c r="BR249" s="651"/>
      <c r="BS249" s="651"/>
      <c r="BT249" s="651"/>
    </row>
    <row r="250">
      <c r="A250" s="1360"/>
      <c r="B250" s="584"/>
      <c r="C250" s="499" t="s">
        <v>258</v>
      </c>
      <c r="D250" s="844"/>
      <c r="E250" s="845"/>
      <c r="F250" s="846"/>
      <c r="G250" s="848"/>
      <c r="H250" s="848"/>
      <c r="I250" s="437">
        <v>1.0</v>
      </c>
      <c r="J250" s="500" t="str">
        <f>J249</f>
        <v>#REF!</v>
      </c>
      <c r="K250" s="501">
        <v>0.5</v>
      </c>
      <c r="L250" s="371">
        <f>32*1.25</f>
        <v>40</v>
      </c>
      <c r="M250" s="870">
        <v>0.0</v>
      </c>
      <c r="N250" s="849" t="str">
        <f t="shared" si="178"/>
        <v>#REF!</v>
      </c>
      <c r="O250" s="590"/>
      <c r="P250" s="939">
        <f>IFERROR(__xludf.DUMMYFUNCTION("IF(Q250="""","""",
   IF(Q250=0,0,
      IF(ISNUMBER(MATCH(Q250,FILTER(R$247:R$367,T$247:T$367&lt;&gt;0),0)),1,0)
   )
)"),0.0)</f>
        <v>0</v>
      </c>
      <c r="Q250" s="941" t="str">
        <f>IFERROR(__xludf.DUMMYFUNCTION("""COMPUTED_VALUE"""),"R-TS")</f>
        <v>R-TS</v>
      </c>
      <c r="R250" s="929" t="s">
        <v>308</v>
      </c>
      <c r="S250" s="930" t="s">
        <v>55</v>
      </c>
      <c r="T250" s="488">
        <f t="shared" si="177"/>
        <v>0</v>
      </c>
      <c r="U250" s="489">
        <f t="shared" si="158"/>
        <v>4</v>
      </c>
      <c r="V250" s="490" t="str">
        <f t="shared" si="159"/>
        <v>#REF!</v>
      </c>
      <c r="W250" s="491">
        <f>(10/2)*$X$232</f>
        <v>20</v>
      </c>
      <c r="X250" s="489">
        <f t="shared" si="179"/>
        <v>160</v>
      </c>
      <c r="Y250" s="492">
        <f t="shared" si="180"/>
        <v>0</v>
      </c>
      <c r="Z250" s="493" t="str">
        <f t="shared" si="181"/>
        <v>#REF!</v>
      </c>
      <c r="AA250" s="931" t="str">
        <f t="shared" si="171"/>
        <v/>
      </c>
      <c r="AB250" s="925" t="str">
        <f t="shared" si="172"/>
        <v/>
      </c>
      <c r="AC250" s="1441"/>
      <c r="AD250" s="939" t="str">
        <f>IFERROR(__xludf.DUMMYFUNCTION("IF(AE250="""","""",
   IF(AE250=0,0,
      IF(ISNUMBER(MATCH(AE250,FILTER(AF$245:AF$303,AH$245:AH$303&lt;&gt;0),0)),1,0)
   )
)"),"")</f>
        <v/>
      </c>
      <c r="AE250" s="943"/>
      <c r="AF250" s="929" t="s">
        <v>155</v>
      </c>
      <c r="AG250" s="932" t="s">
        <v>55</v>
      </c>
      <c r="AH250" s="488">
        <f t="shared" si="173"/>
        <v>0</v>
      </c>
      <c r="AI250" s="489">
        <f t="shared" si="161"/>
        <v>4</v>
      </c>
      <c r="AJ250" s="490" t="str">
        <f t="shared" si="162"/>
        <v>#REF!</v>
      </c>
      <c r="AK250" s="491"/>
      <c r="AL250" s="489"/>
      <c r="AM250" s="492"/>
      <c r="AN250" s="493"/>
      <c r="AO250" s="931"/>
      <c r="AP250" s="925" t="str">
        <f t="shared" si="164"/>
        <v/>
      </c>
      <c r="AQ250" s="651"/>
      <c r="AR250" s="939" t="str">
        <f>IFERROR(__xludf.DUMMYFUNCTION("IF(AS250="""","""",
   IF(AS250=0,0,
      IF(ISNUMBER(MATCH(AS250,FILTER(AT$245:AT$283,AV$245:AV$283&lt;&gt;0),0)),1,0)
   )
)"),"")</f>
        <v/>
      </c>
      <c r="AS250" s="943"/>
      <c r="AT250" s="486" t="s">
        <v>309</v>
      </c>
      <c r="AU250" s="487" t="s">
        <v>55</v>
      </c>
      <c r="AV250" s="488">
        <f t="shared" si="175"/>
        <v>0</v>
      </c>
      <c r="AW250" s="489">
        <f t="shared" si="182"/>
        <v>4</v>
      </c>
      <c r="AX250" s="924" t="str">
        <f t="shared" si="183"/>
        <v/>
      </c>
      <c r="AY250" s="491">
        <f>(20/1)*$X$232</f>
        <v>80</v>
      </c>
      <c r="AZ250" s="489">
        <f t="shared" si="184"/>
        <v>640</v>
      </c>
      <c r="BA250" s="492">
        <f t="shared" si="185"/>
        <v>0</v>
      </c>
      <c r="BB250" s="493">
        <f t="shared" si="186"/>
        <v>0</v>
      </c>
      <c r="BC250" s="494" t="str">
        <f t="shared" si="176"/>
        <v/>
      </c>
      <c r="BD250" s="595"/>
      <c r="BE250" s="595"/>
      <c r="BF250" s="595"/>
      <c r="BG250" s="595"/>
      <c r="BH250" s="595"/>
      <c r="BI250" s="595"/>
      <c r="BJ250" s="595"/>
      <c r="BK250" s="595"/>
      <c r="BL250" s="595"/>
      <c r="BM250" s="595"/>
      <c r="BN250" s="595"/>
      <c r="BO250" s="651"/>
      <c r="BP250" s="651"/>
      <c r="BQ250" s="651"/>
      <c r="BR250" s="651"/>
      <c r="BS250" s="651"/>
      <c r="BT250" s="651"/>
    </row>
    <row r="251">
      <c r="A251" s="1360"/>
      <c r="B251" s="584"/>
      <c r="C251" s="499" t="s">
        <v>259</v>
      </c>
      <c r="D251" s="844"/>
      <c r="E251" s="845"/>
      <c r="F251" s="846"/>
      <c r="G251" s="848"/>
      <c r="H251" s="848"/>
      <c r="I251" s="437">
        <v>1.0</v>
      </c>
      <c r="J251" s="500">
        <v>1.0</v>
      </c>
      <c r="K251" s="944">
        <v>1.0</v>
      </c>
      <c r="L251" s="371">
        <f>72</f>
        <v>72</v>
      </c>
      <c r="M251" s="870">
        <v>0.0</v>
      </c>
      <c r="N251" s="849">
        <f t="shared" si="178"/>
        <v>0</v>
      </c>
      <c r="O251" s="590"/>
      <c r="P251" s="939">
        <f>IFERROR(__xludf.DUMMYFUNCTION("IF(Q251="""","""",
   IF(Q251=0,0,
      IF(ISNUMBER(MATCH(Q251,FILTER(R$247:R$367,T$247:T$367&lt;&gt;0),0)),1,0)
   )
)"),0.0)</f>
        <v>0</v>
      </c>
      <c r="Q251" s="941" t="str">
        <f>IFERROR(__xludf.DUMMYFUNCTION("""COMPUTED_VALUE"""),"R-TSFixing")</f>
        <v>R-TSFixing</v>
      </c>
      <c r="R251" s="929" t="s">
        <v>310</v>
      </c>
      <c r="S251" s="930" t="s">
        <v>52</v>
      </c>
      <c r="T251" s="488">
        <f t="shared" si="177"/>
        <v>0</v>
      </c>
      <c r="U251" s="489">
        <f t="shared" si="158"/>
        <v>4</v>
      </c>
      <c r="V251" s="490" t="str">
        <f t="shared" si="159"/>
        <v>#REF!</v>
      </c>
      <c r="W251" s="491"/>
      <c r="X251" s="489"/>
      <c r="Y251" s="492"/>
      <c r="Z251" s="493"/>
      <c r="AA251" s="931"/>
      <c r="AB251" s="925" t="str">
        <f t="shared" si="172"/>
        <v/>
      </c>
      <c r="AC251" s="1441"/>
      <c r="AD251" s="939" t="str">
        <f>IFERROR(__xludf.DUMMYFUNCTION("IF(AE251="""","""",
   IF(AE251=0,0,
      IF(ISNUMBER(MATCH(AE251,FILTER(AF$245:AF$303,AH$245:AH$303&lt;&gt;0),0)),1,0)
   )
)"),"")</f>
        <v/>
      </c>
      <c r="AE251" s="943"/>
      <c r="AF251" s="929" t="s">
        <v>311</v>
      </c>
      <c r="AG251" s="932" t="s">
        <v>41</v>
      </c>
      <c r="AH251" s="488">
        <f t="shared" si="173"/>
        <v>0</v>
      </c>
      <c r="AI251" s="489">
        <f t="shared" si="161"/>
        <v>4</v>
      </c>
      <c r="AJ251" s="490" t="str">
        <f t="shared" si="162"/>
        <v>#REF!</v>
      </c>
      <c r="AK251" s="491">
        <f>(50/4)*$X$232</f>
        <v>50</v>
      </c>
      <c r="AL251" s="489">
        <f t="shared" ref="AL251:AL252" si="187">AK251*AK$242</f>
        <v>400</v>
      </c>
      <c r="AM251" s="492">
        <f t="shared" ref="AM251:AM252" si="188">ROUNDUP(AH251/AL251,2)</f>
        <v>0</v>
      </c>
      <c r="AN251" s="493" t="str">
        <f t="shared" ref="AN251:AN252" si="189">AM251*AJ251*AI251*AK$242</f>
        <v>#REF!</v>
      </c>
      <c r="AO251" s="931" t="str">
        <f t="shared" ref="AO251:AO252" si="190">iferror(AN251/AH251,"")</f>
        <v/>
      </c>
      <c r="AP251" s="925" t="str">
        <f t="shared" si="164"/>
        <v/>
      </c>
      <c r="AQ251" s="651"/>
      <c r="AR251" s="939" t="str">
        <f>IFERROR(__xludf.DUMMYFUNCTION("IF(AS251="""","""",
   IF(AS251=0,0,
      IF(ISNUMBER(MATCH(AS251,FILTER(AT$245:AT$283,AV$245:AV$283&lt;&gt;0),0)),1,0)
   )
)"),"")</f>
        <v/>
      </c>
      <c r="AS251" s="943"/>
      <c r="AT251" s="486" t="s">
        <v>312</v>
      </c>
      <c r="AU251" s="487" t="s">
        <v>41</v>
      </c>
      <c r="AV251" s="488">
        <f t="shared" si="175"/>
        <v>0</v>
      </c>
      <c r="AW251" s="489">
        <f t="shared" si="182"/>
        <v>4</v>
      </c>
      <c r="AX251" s="924" t="str">
        <f t="shared" si="183"/>
        <v/>
      </c>
      <c r="AY251" s="491">
        <f>(70/4)*$X$232</f>
        <v>70</v>
      </c>
      <c r="AZ251" s="489">
        <f t="shared" si="184"/>
        <v>560</v>
      </c>
      <c r="BA251" s="492">
        <f t="shared" si="185"/>
        <v>0</v>
      </c>
      <c r="BB251" s="493">
        <f t="shared" si="186"/>
        <v>0</v>
      </c>
      <c r="BC251" s="494" t="str">
        <f t="shared" si="176"/>
        <v/>
      </c>
      <c r="BD251" s="595"/>
      <c r="BE251" s="595"/>
      <c r="BF251" s="595"/>
      <c r="BG251" s="595"/>
      <c r="BH251" s="595"/>
      <c r="BI251" s="595"/>
      <c r="BJ251" s="595"/>
      <c r="BK251" s="595"/>
      <c r="BL251" s="595"/>
      <c r="BM251" s="595"/>
      <c r="BN251" s="595"/>
      <c r="BO251" s="651"/>
      <c r="BP251" s="651"/>
      <c r="BQ251" s="651"/>
      <c r="BR251" s="651"/>
      <c r="BS251" s="651"/>
      <c r="BT251" s="651"/>
    </row>
    <row r="252">
      <c r="A252" s="1360"/>
      <c r="B252" s="584"/>
      <c r="C252" s="946"/>
      <c r="D252" s="844"/>
      <c r="E252" s="845"/>
      <c r="F252" s="846"/>
      <c r="G252" s="848"/>
      <c r="H252" s="848"/>
      <c r="I252" s="437">
        <v>1.0</v>
      </c>
      <c r="J252" s="500" t="str">
        <f>J249</f>
        <v>#REF!</v>
      </c>
      <c r="K252" s="501">
        <v>0.0</v>
      </c>
      <c r="L252" s="850"/>
      <c r="M252" s="840"/>
      <c r="N252" s="849" t="str">
        <f t="shared" si="178"/>
        <v>#REF!</v>
      </c>
      <c r="O252" s="590"/>
      <c r="P252" s="939">
        <f>IFERROR(__xludf.DUMMYFUNCTION("IF(Q252="""","""",
   IF(Q252=0,0,
      IF(ISNUMBER(MATCH(Q252,FILTER(R$247:R$367,T$247:T$367&lt;&gt;0),0)),1,0)
   )
)"),1.0)</f>
        <v>1</v>
      </c>
      <c r="Q252" s="941" t="str">
        <f>IFERROR(__xludf.DUMMYFUNCTION("""COMPUTED_VALUE"""),"R-TSLapSeal")</f>
        <v>R-TSLapSeal</v>
      </c>
      <c r="R252" s="929" t="s">
        <v>313</v>
      </c>
      <c r="S252" s="930" t="s">
        <v>52</v>
      </c>
      <c r="T252" s="488">
        <f t="shared" si="177"/>
        <v>0</v>
      </c>
      <c r="U252" s="489">
        <f t="shared" si="158"/>
        <v>4</v>
      </c>
      <c r="V252" s="490" t="str">
        <f t="shared" si="159"/>
        <v>#REF!</v>
      </c>
      <c r="W252" s="491"/>
      <c r="X252" s="489"/>
      <c r="Y252" s="492"/>
      <c r="Z252" s="493"/>
      <c r="AA252" s="931"/>
      <c r="AB252" s="925" t="str">
        <f t="shared" si="172"/>
        <v/>
      </c>
      <c r="AC252" s="1441"/>
      <c r="AD252" s="939" t="str">
        <f>IFERROR(__xludf.DUMMYFUNCTION("IF(AE252="""","""",
   IF(AE252=0,0,
      IF(ISNUMBER(MATCH(AE252,FILTER(AF$245:AF$303,AH$245:AH$303&lt;&gt;0),0)),1,0)
   )
)"),"")</f>
        <v/>
      </c>
      <c r="AE252" s="943"/>
      <c r="AF252" s="929" t="s">
        <v>314</v>
      </c>
      <c r="AG252" s="932" t="s">
        <v>41</v>
      </c>
      <c r="AH252" s="488">
        <f t="shared" si="173"/>
        <v>0</v>
      </c>
      <c r="AI252" s="489">
        <f t="shared" si="161"/>
        <v>4</v>
      </c>
      <c r="AJ252" s="490" t="str">
        <f t="shared" si="162"/>
        <v>#REF!</v>
      </c>
      <c r="AK252" s="491">
        <f>(20/4)*$X$232</f>
        <v>20</v>
      </c>
      <c r="AL252" s="489">
        <f t="shared" si="187"/>
        <v>160</v>
      </c>
      <c r="AM252" s="492">
        <f t="shared" si="188"/>
        <v>0</v>
      </c>
      <c r="AN252" s="493" t="str">
        <f t="shared" si="189"/>
        <v>#REF!</v>
      </c>
      <c r="AO252" s="931" t="str">
        <f t="shared" si="190"/>
        <v/>
      </c>
      <c r="AP252" s="925" t="str">
        <f t="shared" si="164"/>
        <v/>
      </c>
      <c r="AQ252" s="651"/>
      <c r="AR252" s="939" t="str">
        <f>IFERROR(__xludf.DUMMYFUNCTION("IF(AS252="""","""",
   IF(AS252=0,0,
      IF(ISNUMBER(MATCH(AS252,FILTER(AT$245:AT$283,AV$245:AV$283&lt;&gt;0),0)),1,0)
   )
)"),"")</f>
        <v/>
      </c>
      <c r="AS252" s="943"/>
      <c r="AT252" s="486" t="s">
        <v>315</v>
      </c>
      <c r="AU252" s="487" t="s">
        <v>41</v>
      </c>
      <c r="AV252" s="488">
        <f t="shared" si="175"/>
        <v>0</v>
      </c>
      <c r="AW252" s="489">
        <f t="shared" si="182"/>
        <v>4</v>
      </c>
      <c r="AX252" s="924" t="str">
        <f t="shared" si="183"/>
        <v/>
      </c>
      <c r="AY252" s="491">
        <f>(15/4)*$X$232</f>
        <v>15</v>
      </c>
      <c r="AZ252" s="489">
        <f t="shared" si="184"/>
        <v>120</v>
      </c>
      <c r="BA252" s="492">
        <f t="shared" si="185"/>
        <v>0</v>
      </c>
      <c r="BB252" s="493">
        <f t="shared" si="186"/>
        <v>0</v>
      </c>
      <c r="BC252" s="494" t="str">
        <f t="shared" si="176"/>
        <v/>
      </c>
      <c r="BD252" s="595"/>
      <c r="BE252" s="595"/>
      <c r="BF252" s="595"/>
      <c r="BG252" s="595"/>
      <c r="BH252" s="595"/>
      <c r="BI252" s="595"/>
      <c r="BJ252" s="595"/>
      <c r="BK252" s="595"/>
      <c r="BL252" s="595"/>
      <c r="BM252" s="595"/>
      <c r="BN252" s="595"/>
      <c r="BO252" s="651"/>
      <c r="BP252" s="651"/>
      <c r="BQ252" s="651"/>
      <c r="BR252" s="651"/>
      <c r="BS252" s="651"/>
      <c r="BT252" s="651"/>
    </row>
    <row r="253">
      <c r="A253" s="1360"/>
      <c r="B253" s="584"/>
      <c r="C253" s="851"/>
      <c r="D253" s="609"/>
      <c r="E253" s="585"/>
      <c r="F253" s="586"/>
      <c r="G253" s="584"/>
      <c r="H253" s="584"/>
      <c r="I253" s="443"/>
      <c r="J253" s="443"/>
      <c r="K253" s="354"/>
      <c r="L253" s="588"/>
      <c r="M253" s="588"/>
      <c r="N253" s="833"/>
      <c r="O253" s="590"/>
      <c r="P253" s="939">
        <f>IFERROR(__xludf.DUMMYFUNCTION("IF(Q253="""","""",
   IF(Q253=0,0,
      IF(ISNUMBER(MATCH(Q253,FILTER(R$247:R$367,T$247:T$367&lt;&gt;0),0)),1,0)
   )
)"),1.0)</f>
        <v>1</v>
      </c>
      <c r="Q253" s="941" t="str">
        <f>IFERROR(__xludf.DUMMYFUNCTION("""COMPUTED_VALUE"""),"R-TSStitching")</f>
        <v>R-TSStitching</v>
      </c>
      <c r="R253" s="929" t="s">
        <v>316</v>
      </c>
      <c r="S253" s="930" t="s">
        <v>41</v>
      </c>
      <c r="T253" s="488">
        <f t="shared" si="177"/>
        <v>0</v>
      </c>
      <c r="U253" s="489">
        <f t="shared" si="158"/>
        <v>4</v>
      </c>
      <c r="V253" s="490" t="str">
        <f t="shared" si="159"/>
        <v>#REF!</v>
      </c>
      <c r="W253" s="491">
        <f>(120/4)*$X$232</f>
        <v>120</v>
      </c>
      <c r="X253" s="489">
        <f t="shared" ref="X253:X255" si="191">W253*W$242</f>
        <v>960</v>
      </c>
      <c r="Y253" s="492">
        <f t="shared" ref="Y253:Y255" si="192">ROUNDUP(T253/X253,2)</f>
        <v>0</v>
      </c>
      <c r="Z253" s="493" t="str">
        <f t="shared" ref="Z253:Z255" si="193">Y253*V253*U253*W$242</f>
        <v>#REF!</v>
      </c>
      <c r="AA253" s="931" t="str">
        <f t="shared" ref="AA253:AA256" si="194">iferror(Z253/T253,"")</f>
        <v/>
      </c>
      <c r="AB253" s="925" t="str">
        <f t="shared" si="172"/>
        <v/>
      </c>
      <c r="AC253" s="1441"/>
      <c r="AD253" s="939" t="str">
        <f>IFERROR(__xludf.DUMMYFUNCTION("IF(AE253="""","""",
   IF(AE253=0,0,
      IF(ISNUMBER(MATCH(AE253,FILTER(AF$245:AF$303,AH$245:AH$303&lt;&gt;0),0)),1,0)
   )
)"),"")</f>
        <v/>
      </c>
      <c r="AE253" s="943"/>
      <c r="AF253" s="929" t="s">
        <v>325</v>
      </c>
      <c r="AG253" s="932" t="s">
        <v>55</v>
      </c>
      <c r="AH253" s="488">
        <f t="shared" si="173"/>
        <v>0</v>
      </c>
      <c r="AI253" s="489">
        <f t="shared" si="161"/>
        <v>4</v>
      </c>
      <c r="AJ253" s="490" t="str">
        <f t="shared" si="162"/>
        <v>#REF!</v>
      </c>
      <c r="AK253" s="491"/>
      <c r="AL253" s="489"/>
      <c r="AM253" s="492"/>
      <c r="AN253" s="493"/>
      <c r="AO253" s="494"/>
      <c r="AP253" s="925" t="str">
        <f t="shared" si="164"/>
        <v/>
      </c>
      <c r="AQ253" s="651"/>
      <c r="AR253" s="939" t="str">
        <f>IFERROR(__xludf.DUMMYFUNCTION("IF(AS253="""","""",
   IF(AS253=0,0,
      IF(ISNUMBER(MATCH(AS253,FILTER(AT$245:AT$283,AV$245:AV$283&lt;&gt;0),0)),1,0)
   )
)"),"")</f>
        <v/>
      </c>
      <c r="AS253" s="943"/>
      <c r="AT253" s="486" t="s">
        <v>318</v>
      </c>
      <c r="AU253" s="487" t="s">
        <v>55</v>
      </c>
      <c r="AV253" s="488">
        <f t="shared" si="175"/>
        <v>0</v>
      </c>
      <c r="AW253" s="489">
        <f t="shared" si="182"/>
        <v>4</v>
      </c>
      <c r="AX253" s="924" t="str">
        <f t="shared" si="183"/>
        <v/>
      </c>
      <c r="AY253" s="491">
        <f>(20/1)*$X$232</f>
        <v>80</v>
      </c>
      <c r="AZ253" s="489">
        <f t="shared" si="184"/>
        <v>640</v>
      </c>
      <c r="BA253" s="492">
        <f t="shared" si="185"/>
        <v>0</v>
      </c>
      <c r="BB253" s="493">
        <f t="shared" si="186"/>
        <v>0</v>
      </c>
      <c r="BC253" s="494" t="str">
        <f t="shared" si="176"/>
        <v/>
      </c>
      <c r="BD253" s="595"/>
      <c r="BE253" s="595"/>
      <c r="BF253" s="595"/>
      <c r="BG253" s="595"/>
      <c r="BH253" s="595"/>
      <c r="BI253" s="595"/>
      <c r="BJ253" s="595"/>
      <c r="BK253" s="595"/>
      <c r="BL253" s="595"/>
      <c r="BM253" s="595"/>
      <c r="BN253" s="595"/>
      <c r="BO253" s="651"/>
      <c r="BP253" s="651"/>
      <c r="BQ253" s="651"/>
      <c r="BR253" s="651"/>
      <c r="BS253" s="651"/>
      <c r="BT253" s="651"/>
    </row>
    <row r="254">
      <c r="A254" s="1360"/>
      <c r="B254" s="12" t="s">
        <v>176</v>
      </c>
      <c r="C254" s="329" t="s">
        <v>260</v>
      </c>
      <c r="D254" s="821"/>
      <c r="E254" s="822"/>
      <c r="F254" s="823"/>
      <c r="G254" s="825"/>
      <c r="H254" s="825"/>
      <c r="I254" s="333" t="s">
        <v>18</v>
      </c>
      <c r="J254" s="334" t="s">
        <v>15</v>
      </c>
      <c r="K254" s="335" t="s">
        <v>26</v>
      </c>
      <c r="L254" s="878"/>
      <c r="M254" s="878"/>
      <c r="N254" s="857" t="str">
        <f>SUM(N255:N265)</f>
        <v>#REF!</v>
      </c>
      <c r="O254" s="590"/>
      <c r="P254" s="939">
        <f>IFERROR(__xludf.DUMMYFUNCTION("IF(Q254="""","""",
   IF(Q254=0,0,
      IF(ISNUMBER(MATCH(Q254,FILTER(R$247:R$367,T$247:T$367&lt;&gt;0),0)),1,0)
   )
)"),1.0)</f>
        <v>1</v>
      </c>
      <c r="Q254" s="941" t="str">
        <f>IFERROR(__xludf.DUMMYFUNCTION("""COMPUTED_VALUE"""),"R-TSPurlinStrip")</f>
        <v>R-TSPurlinStrip</v>
      </c>
      <c r="R254" s="929" t="s">
        <v>130</v>
      </c>
      <c r="S254" s="930" t="s">
        <v>55</v>
      </c>
      <c r="T254" s="488">
        <f t="shared" si="177"/>
        <v>0</v>
      </c>
      <c r="U254" s="489">
        <f t="shared" si="158"/>
        <v>4</v>
      </c>
      <c r="V254" s="490" t="str">
        <f t="shared" si="159"/>
        <v>#REF!</v>
      </c>
      <c r="W254" s="491">
        <f>(10/1)*$X$232</f>
        <v>40</v>
      </c>
      <c r="X254" s="489">
        <f t="shared" si="191"/>
        <v>320</v>
      </c>
      <c r="Y254" s="492">
        <f t="shared" si="192"/>
        <v>0</v>
      </c>
      <c r="Z254" s="493" t="str">
        <f t="shared" si="193"/>
        <v>#REF!</v>
      </c>
      <c r="AA254" s="931" t="str">
        <f t="shared" si="194"/>
        <v/>
      </c>
      <c r="AB254" s="925" t="str">
        <f t="shared" si="172"/>
        <v/>
      </c>
      <c r="AC254" s="1441"/>
      <c r="AD254" s="939" t="str">
        <f>IFERROR(__xludf.DUMMYFUNCTION("IF(AE254="""","""",
   IF(AE254=0,0,
      IF(ISNUMBER(MATCH(AE254,FILTER(AF$245:AF$303,AH$245:AH$303&lt;&gt;0),0)),1,0)
   )
)"),"")</f>
        <v/>
      </c>
      <c r="AE254" s="943"/>
      <c r="AF254" s="929" t="s">
        <v>328</v>
      </c>
      <c r="AG254" s="932" t="s">
        <v>55</v>
      </c>
      <c r="AH254" s="488">
        <f t="shared" si="173"/>
        <v>0</v>
      </c>
      <c r="AI254" s="489">
        <f t="shared" si="161"/>
        <v>4</v>
      </c>
      <c r="AJ254" s="490" t="str">
        <f t="shared" si="162"/>
        <v>#REF!</v>
      </c>
      <c r="AK254" s="491"/>
      <c r="AL254" s="489"/>
      <c r="AM254" s="492"/>
      <c r="AN254" s="493"/>
      <c r="AO254" s="494"/>
      <c r="AP254" s="925" t="str">
        <f t="shared" si="164"/>
        <v/>
      </c>
      <c r="AQ254" s="651"/>
      <c r="AR254" s="939" t="str">
        <f>IFERROR(__xludf.DUMMYFUNCTION("IF(AS254="""","""",
   IF(AS254=0,0,
      IF(ISNUMBER(MATCH(AS254,FILTER(AT$245:AT$283,AV$245:AV$283&lt;&gt;0),0)),1,0)
   )
)"),"")</f>
        <v/>
      </c>
      <c r="AS254" s="943"/>
      <c r="AT254" s="486" t="s">
        <v>320</v>
      </c>
      <c r="AU254" s="487" t="s">
        <v>52</v>
      </c>
      <c r="AV254" s="488">
        <f t="shared" si="175"/>
        <v>0</v>
      </c>
      <c r="AW254" s="935"/>
      <c r="AX254" s="924"/>
      <c r="AY254" s="935"/>
      <c r="AZ254" s="935"/>
      <c r="BA254" s="935"/>
      <c r="BB254" s="936"/>
      <c r="BC254" s="494" t="str">
        <f t="shared" si="176"/>
        <v/>
      </c>
      <c r="BD254" s="595"/>
      <c r="BE254" s="595"/>
      <c r="BF254" s="595"/>
      <c r="BG254" s="595"/>
      <c r="BH254" s="595"/>
      <c r="BI254" s="595"/>
      <c r="BJ254" s="595"/>
      <c r="BK254" s="595"/>
      <c r="BL254" s="595"/>
      <c r="BM254" s="595"/>
      <c r="BN254" s="595"/>
      <c r="BO254" s="651"/>
      <c r="BP254" s="651"/>
      <c r="BQ254" s="651"/>
      <c r="BR254" s="651"/>
      <c r="BS254" s="651"/>
      <c r="BT254" s="651"/>
    </row>
    <row r="255">
      <c r="A255" s="1360"/>
      <c r="B255" s="584"/>
      <c r="C255" s="499" t="s">
        <v>261</v>
      </c>
      <c r="D255" s="844"/>
      <c r="E255" s="845"/>
      <c r="F255" s="846"/>
      <c r="G255" s="848"/>
      <c r="H255" s="848"/>
      <c r="I255" s="437">
        <f>X232</f>
        <v>4</v>
      </c>
      <c r="J255" s="504">
        <v>1.0</v>
      </c>
      <c r="K255" s="437" t="str">
        <f>X234</f>
        <v/>
      </c>
      <c r="L255" s="371" t="str">
        <f>W234</f>
        <v>#REF!</v>
      </c>
      <c r="M255" s="840"/>
      <c r="N255" s="849" t="str">
        <f t="shared" ref="N255:N257" si="195">I255*J255*K255*M255*L255</f>
        <v>#REF!</v>
      </c>
      <c r="O255" s="590"/>
      <c r="P255" s="939">
        <f>IFERROR(__xludf.DUMMYFUNCTION("IF(Q255="""","""",
   IF(Q255=0,0,
      IF(ISNUMBER(MATCH(Q255,FILTER(R$247:R$367,T$247:T$367&lt;&gt;0),0)),1,0)
   )
)"),0.0)</f>
        <v>0</v>
      </c>
      <c r="Q255" s="941" t="str">
        <f>IFERROR(__xludf.DUMMYFUNCTION("""COMPUTED_VALUE"""),"R-TPO")</f>
        <v>R-TPO</v>
      </c>
      <c r="R255" s="929" t="s">
        <v>321</v>
      </c>
      <c r="S255" s="930" t="s">
        <v>52</v>
      </c>
      <c r="T255" s="488">
        <f t="shared" si="177"/>
        <v>4</v>
      </c>
      <c r="U255" s="489">
        <f t="shared" si="158"/>
        <v>4</v>
      </c>
      <c r="V255" s="490" t="str">
        <f t="shared" si="159"/>
        <v>#REF!</v>
      </c>
      <c r="W255" s="491">
        <f>(0.5/3)*$X$232</f>
        <v>0.6666666667</v>
      </c>
      <c r="X255" s="489">
        <f t="shared" si="191"/>
        <v>5.333333333</v>
      </c>
      <c r="Y255" s="492">
        <f t="shared" si="192"/>
        <v>0.75</v>
      </c>
      <c r="Z255" s="493" t="str">
        <f t="shared" si="193"/>
        <v>#REF!</v>
      </c>
      <c r="AA255" s="931" t="str">
        <f t="shared" si="194"/>
        <v/>
      </c>
      <c r="AB255" s="925" t="str">
        <f t="shared" si="172"/>
        <v/>
      </c>
      <c r="AC255" s="1441"/>
      <c r="AD255" s="939" t="str">
        <f>IFERROR(__xludf.DUMMYFUNCTION("IF(AE255="""","""",
   IF(AE255=0,0,
      IF(ISNUMBER(MATCH(AE255,FILTER(AF$245:AF$303,AH$245:AH$303&lt;&gt;0),0)),1,0)
   )
)"),"")</f>
        <v/>
      </c>
      <c r="AE255" s="943"/>
      <c r="AF255" s="929" t="s">
        <v>330</v>
      </c>
      <c r="AG255" s="932" t="s">
        <v>55</v>
      </c>
      <c r="AH255" s="488">
        <f t="shared" si="173"/>
        <v>0</v>
      </c>
      <c r="AI255" s="489">
        <f t="shared" si="161"/>
        <v>4</v>
      </c>
      <c r="AJ255" s="490" t="str">
        <f t="shared" si="162"/>
        <v>#REF!</v>
      </c>
      <c r="AK255" s="491"/>
      <c r="AL255" s="489"/>
      <c r="AM255" s="492"/>
      <c r="AN255" s="493"/>
      <c r="AO255" s="494"/>
      <c r="AP255" s="925" t="str">
        <f t="shared" si="164"/>
        <v/>
      </c>
      <c r="AQ255" s="651"/>
      <c r="AR255" s="939" t="str">
        <f>IFERROR(__xludf.DUMMYFUNCTION("IF(AS255="""","""",
   IF(AS255=0,0,
      IF(ISNUMBER(MATCH(AS255,FILTER(AT$245:AT$283,AV$245:AV$283&lt;&gt;0),0)),1,0)
   )
)"),"")</f>
        <v/>
      </c>
      <c r="AS255" s="943"/>
      <c r="AT255" s="486" t="s">
        <v>323</v>
      </c>
      <c r="AU255" s="487" t="s">
        <v>52</v>
      </c>
      <c r="AV255" s="488">
        <f t="shared" si="175"/>
        <v>0</v>
      </c>
      <c r="AW255" s="935"/>
      <c r="AX255" s="924"/>
      <c r="AY255" s="935"/>
      <c r="AZ255" s="935"/>
      <c r="BA255" s="935"/>
      <c r="BB255" s="936"/>
      <c r="BC255" s="494" t="str">
        <f t="shared" si="176"/>
        <v/>
      </c>
      <c r="BD255" s="595"/>
      <c r="BE255" s="595"/>
      <c r="BF255" s="595"/>
      <c r="BG255" s="595"/>
      <c r="BH255" s="595"/>
      <c r="BI255" s="595"/>
      <c r="BJ255" s="595"/>
      <c r="BK255" s="595"/>
      <c r="BL255" s="595"/>
      <c r="BM255" s="595"/>
      <c r="BN255" s="595"/>
      <c r="BO255" s="651"/>
      <c r="BP255" s="651"/>
      <c r="BQ255" s="651"/>
      <c r="BR255" s="651"/>
      <c r="BS255" s="651"/>
      <c r="BT255" s="651"/>
    </row>
    <row r="256">
      <c r="A256" s="1360"/>
      <c r="B256" s="584"/>
      <c r="C256" s="499" t="s">
        <v>262</v>
      </c>
      <c r="D256" s="844"/>
      <c r="E256" s="845"/>
      <c r="F256" s="846"/>
      <c r="G256" s="848"/>
      <c r="H256" s="848"/>
      <c r="I256" s="437">
        <f>I255</f>
        <v>4</v>
      </c>
      <c r="J256" s="506">
        <v>68.0</v>
      </c>
      <c r="K256" s="370">
        <v>1.0</v>
      </c>
      <c r="L256" s="371" t="str">
        <f>L255</f>
        <v>#REF!</v>
      </c>
      <c r="M256" s="840"/>
      <c r="N256" s="849" t="str">
        <f t="shared" si="195"/>
        <v>#REF!</v>
      </c>
      <c r="O256" s="590"/>
      <c r="P256" s="939">
        <f>IFERROR(__xludf.DUMMYFUNCTION("IF(Q256="""","""",
   IF(Q256=0,0,
      IF(ISNUMBER(MATCH(Q256,FILTER(R$247:R$367,T$247:T$367&lt;&gt;0),0)),1,0)
   )
)"),0.0)</f>
        <v>0</v>
      </c>
      <c r="Q256" s="941" t="str">
        <f>IFERROR(__xludf.DUMMYFUNCTION("""COMPUTED_VALUE"""),"R-Timber m2")</f>
        <v>R-Timber m2</v>
      </c>
      <c r="R256" s="929" t="s">
        <v>324</v>
      </c>
      <c r="S256" s="930" t="s">
        <v>52</v>
      </c>
      <c r="T256" s="488">
        <f t="shared" si="177"/>
        <v>33</v>
      </c>
      <c r="U256" s="489">
        <f t="shared" si="158"/>
        <v>4</v>
      </c>
      <c r="V256" s="490" t="str">
        <f t="shared" si="159"/>
        <v>#REF!</v>
      </c>
      <c r="W256" s="935"/>
      <c r="X256" s="935"/>
      <c r="Y256" s="935"/>
      <c r="Z256" s="936"/>
      <c r="AA256" s="931">
        <f t="shared" si="194"/>
        <v>0</v>
      </c>
      <c r="AB256" s="925" t="str">
        <f t="shared" si="172"/>
        <v/>
      </c>
      <c r="AC256" s="1441"/>
      <c r="AD256" s="939" t="str">
        <f>IFERROR(__xludf.DUMMYFUNCTION("IF(AE256="""","""",
   IF(AE256=0,0,
      IF(ISNUMBER(MATCH(AE256,FILTER(AF$245:AF$303,AH$245:AH$303&lt;&gt;0),0)),1,0)
   )
)"),"")</f>
        <v/>
      </c>
      <c r="AE256" s="943"/>
      <c r="AF256" s="929" t="s">
        <v>333</v>
      </c>
      <c r="AG256" s="932" t="s">
        <v>55</v>
      </c>
      <c r="AH256" s="488">
        <f t="shared" si="173"/>
        <v>0</v>
      </c>
      <c r="AI256" s="489">
        <f t="shared" si="161"/>
        <v>4</v>
      </c>
      <c r="AJ256" s="490" t="str">
        <f t="shared" si="162"/>
        <v>#REF!</v>
      </c>
      <c r="AK256" s="491"/>
      <c r="AL256" s="489"/>
      <c r="AM256" s="492"/>
      <c r="AN256" s="493"/>
      <c r="AO256" s="494"/>
      <c r="AP256" s="925" t="str">
        <f t="shared" si="164"/>
        <v/>
      </c>
      <c r="AQ256" s="651"/>
      <c r="AR256" s="939" t="str">
        <f>IFERROR(__xludf.DUMMYFUNCTION("IF(AS256="""","""",
   IF(AS256=0,0,
      IF(ISNUMBER(MATCH(AS256,FILTER(AT$245:AT$283,AV$245:AV$283&lt;&gt;0),0)),1,0)
   )
)"),"")</f>
        <v/>
      </c>
      <c r="AS256" s="943"/>
      <c r="AT256" s="486" t="s">
        <v>326</v>
      </c>
      <c r="AU256" s="487" t="s">
        <v>55</v>
      </c>
      <c r="AV256" s="488">
        <f t="shared" si="175"/>
        <v>0</v>
      </c>
      <c r="AW256" s="489">
        <f t="shared" ref="AW256:AW260" si="196">$X$232</f>
        <v>4</v>
      </c>
      <c r="AX256" s="924" t="str">
        <f t="shared" ref="AX256:AX260" si="197">AY$235</f>
        <v/>
      </c>
      <c r="AY256" s="491">
        <f t="shared" ref="AY256:AY260" si="198">(20/1)*$X$232</f>
        <v>80</v>
      </c>
      <c r="AZ256" s="489">
        <f t="shared" ref="AZ256:AZ260" si="199">AY256*AY$242</f>
        <v>640</v>
      </c>
      <c r="BA256" s="492">
        <f t="shared" ref="BA256:BA260" si="200">ROUNDUP(AV256/AZ256,2)</f>
        <v>0</v>
      </c>
      <c r="BB256" s="493">
        <f t="shared" ref="BB256:BB260" si="201">BA256*AX256*AW256*AY$242</f>
        <v>0</v>
      </c>
      <c r="BC256" s="494" t="str">
        <f t="shared" si="176"/>
        <v/>
      </c>
      <c r="BD256" s="595"/>
      <c r="BE256" s="595"/>
      <c r="BF256" s="595"/>
      <c r="BG256" s="595"/>
      <c r="BH256" s="595"/>
      <c r="BI256" s="595"/>
      <c r="BJ256" s="595"/>
      <c r="BK256" s="595"/>
      <c r="BL256" s="595"/>
      <c r="BM256" s="595"/>
      <c r="BN256" s="595"/>
      <c r="BO256" s="651"/>
      <c r="BP256" s="651"/>
      <c r="BQ256" s="651"/>
      <c r="BR256" s="651"/>
      <c r="BS256" s="651"/>
      <c r="BT256" s="651"/>
    </row>
    <row r="257">
      <c r="A257" s="1360"/>
      <c r="B257" s="584"/>
      <c r="C257" s="499" t="s">
        <v>263</v>
      </c>
      <c r="D257" s="844"/>
      <c r="E257" s="845"/>
      <c r="F257" s="846"/>
      <c r="G257" s="848"/>
      <c r="H257" s="848"/>
      <c r="I257" s="437">
        <f>X232</f>
        <v>4</v>
      </c>
      <c r="J257" s="436">
        <v>1.0</v>
      </c>
      <c r="K257" s="370">
        <v>25.0</v>
      </c>
      <c r="L257" s="371" t="str">
        <f>L255</f>
        <v>#REF!</v>
      </c>
      <c r="M257" s="840"/>
      <c r="N257" s="849" t="str">
        <f t="shared" si="195"/>
        <v>#REF!</v>
      </c>
      <c r="O257" s="590"/>
      <c r="P257" s="939">
        <f>IFERROR(__xludf.DUMMYFUNCTION("IF(Q257="""","""",
   IF(Q257=0,0,
      IF(ISNUMBER(MATCH(Q257,FILTER(R$247:R$367,T$247:T$367&lt;&gt;0),0)),1,0)
   )
)"),0.0)</f>
        <v>0</v>
      </c>
      <c r="Q257" s="941" t="str">
        <f>IFERROR(__xludf.DUMMYFUNCTION("""COMPUTED_VALUE"""),"R-TimberLMFix")</f>
        <v>R-TimberLMFix</v>
      </c>
      <c r="R257" s="929" t="s">
        <v>327</v>
      </c>
      <c r="S257" s="930" t="s">
        <v>52</v>
      </c>
      <c r="T257" s="488">
        <f t="shared" si="177"/>
        <v>5</v>
      </c>
      <c r="U257" s="489">
        <f t="shared" si="158"/>
        <v>4</v>
      </c>
      <c r="V257" s="490" t="str">
        <f t="shared" si="159"/>
        <v>#REF!</v>
      </c>
      <c r="W257" s="491"/>
      <c r="X257" s="489"/>
      <c r="Y257" s="492"/>
      <c r="Z257" s="493"/>
      <c r="AA257" s="931"/>
      <c r="AB257" s="925" t="str">
        <f t="shared" si="172"/>
        <v/>
      </c>
      <c r="AC257" s="1441"/>
      <c r="AD257" s="939" t="str">
        <f>IFERROR(__xludf.DUMMYFUNCTION("IF(AE257="""","""",
   IF(AE257=0,0,
      IF(ISNUMBER(MATCH(AE257,FILTER(AF$245:AF$303,AH$245:AH$303&lt;&gt;0),0)),1,0)
   )
)"),"")</f>
        <v/>
      </c>
      <c r="AE257" s="943"/>
      <c r="AF257" s="929" t="s">
        <v>335</v>
      </c>
      <c r="AG257" s="932" t="s">
        <v>55</v>
      </c>
      <c r="AH257" s="488">
        <f t="shared" si="173"/>
        <v>0</v>
      </c>
      <c r="AI257" s="489">
        <f t="shared" si="161"/>
        <v>4</v>
      </c>
      <c r="AJ257" s="490" t="str">
        <f t="shared" si="162"/>
        <v>#REF!</v>
      </c>
      <c r="AK257" s="491"/>
      <c r="AL257" s="489"/>
      <c r="AM257" s="492"/>
      <c r="AN257" s="493"/>
      <c r="AO257" s="494"/>
      <c r="AP257" s="925" t="str">
        <f t="shared" si="164"/>
        <v/>
      </c>
      <c r="AQ257" s="651"/>
      <c r="AR257" s="939" t="str">
        <f>IFERROR(__xludf.DUMMYFUNCTION("IF(AS257="""","""",
   IF(AS257=0,0,
      IF(ISNUMBER(MATCH(AS257,FILTER(AT$245:AT$283,AV$245:AV$283&lt;&gt;0),0)),1,0)
   )
)"),"")</f>
        <v/>
      </c>
      <c r="AS257" s="943"/>
      <c r="AT257" s="486" t="s">
        <v>329</v>
      </c>
      <c r="AU257" s="487" t="s">
        <v>55</v>
      </c>
      <c r="AV257" s="488">
        <f t="shared" si="175"/>
        <v>0</v>
      </c>
      <c r="AW257" s="489">
        <f t="shared" si="196"/>
        <v>4</v>
      </c>
      <c r="AX257" s="924" t="str">
        <f t="shared" si="197"/>
        <v/>
      </c>
      <c r="AY257" s="491">
        <f t="shared" si="198"/>
        <v>80</v>
      </c>
      <c r="AZ257" s="489">
        <f t="shared" si="199"/>
        <v>640</v>
      </c>
      <c r="BA257" s="492">
        <f t="shared" si="200"/>
        <v>0</v>
      </c>
      <c r="BB257" s="493">
        <f t="shared" si="201"/>
        <v>0</v>
      </c>
      <c r="BC257" s="494" t="str">
        <f t="shared" si="176"/>
        <v/>
      </c>
      <c r="BD257" s="595"/>
      <c r="BE257" s="595"/>
      <c r="BF257" s="595"/>
      <c r="BG257" s="595"/>
      <c r="BH257" s="595"/>
      <c r="BI257" s="595"/>
      <c r="BJ257" s="595"/>
      <c r="BK257" s="595"/>
      <c r="BL257" s="595"/>
      <c r="BM257" s="595"/>
      <c r="BN257" s="595"/>
      <c r="BO257" s="651"/>
      <c r="BP257" s="651"/>
      <c r="BQ257" s="651"/>
      <c r="BR257" s="651"/>
      <c r="BS257" s="651"/>
      <c r="BT257" s="651"/>
    </row>
    <row r="258">
      <c r="A258" s="1360"/>
      <c r="B258" s="584"/>
      <c r="C258" s="851"/>
      <c r="D258" s="609"/>
      <c r="E258" s="585"/>
      <c r="F258" s="586"/>
      <c r="G258" s="584"/>
      <c r="H258" s="584"/>
      <c r="I258" s="443"/>
      <c r="J258" s="443"/>
      <c r="K258" s="354"/>
      <c r="L258" s="588"/>
      <c r="M258" s="588"/>
      <c r="N258" s="833"/>
      <c r="O258" s="590"/>
      <c r="P258" s="939">
        <f>IFERROR(__xludf.DUMMYFUNCTION("IF(Q258="""","""",
   IF(Q258=0,0,
      IF(ISNUMBER(MATCH(Q258,FILTER(R$247:R$367,T$247:T$367&lt;&gt;0),0)),1,0)
   )
)"),0.0)</f>
        <v>0</v>
      </c>
      <c r="Q258" s="941" t="str">
        <f>IFERROR(__xludf.DUMMYFUNCTION("""COMPUTED_VALUE"""),"R-Underlay")</f>
        <v>R-Underlay</v>
      </c>
      <c r="R258" s="929" t="s">
        <v>139</v>
      </c>
      <c r="S258" s="930" t="s">
        <v>55</v>
      </c>
      <c r="T258" s="488">
        <f t="shared" si="177"/>
        <v>4.2</v>
      </c>
      <c r="U258" s="489">
        <f t="shared" si="158"/>
        <v>4</v>
      </c>
      <c r="V258" s="490" t="str">
        <f t="shared" si="159"/>
        <v>#REF!</v>
      </c>
      <c r="W258" s="491">
        <f>(5/2)*$X$232</f>
        <v>10</v>
      </c>
      <c r="X258" s="489">
        <f t="shared" ref="X258:X260" si="202">W258*W$242</f>
        <v>80</v>
      </c>
      <c r="Y258" s="492">
        <f t="shared" ref="Y258:Y260" si="203">ROUNDUP(T258/X258,2)</f>
        <v>0.06</v>
      </c>
      <c r="Z258" s="493" t="str">
        <f t="shared" ref="Z258:Z260" si="204">Y258*V258*U258*W$242</f>
        <v>#REF!</v>
      </c>
      <c r="AA258" s="931" t="str">
        <f t="shared" ref="AA258:AA263" si="205">iferror(Z258/T258,"")</f>
        <v/>
      </c>
      <c r="AB258" s="925" t="str">
        <f t="shared" si="172"/>
        <v/>
      </c>
      <c r="AC258" s="1441"/>
      <c r="AD258" s="939" t="str">
        <f>IFERROR(__xludf.DUMMYFUNCTION("IF(AE258="""","""",
   IF(AE258=0,0,
      IF(ISNUMBER(MATCH(AE258,FILTER(AF$245:AF$303,AH$245:AH$303&lt;&gt;0),0)),1,0)
   )
)"),"")</f>
        <v/>
      </c>
      <c r="AE258" s="943"/>
      <c r="AF258" s="929" t="s">
        <v>338</v>
      </c>
      <c r="AG258" s="930" t="s">
        <v>55</v>
      </c>
      <c r="AH258" s="488">
        <f t="shared" si="173"/>
        <v>0</v>
      </c>
      <c r="AI258" s="489">
        <f t="shared" si="161"/>
        <v>4</v>
      </c>
      <c r="AJ258" s="490" t="str">
        <f t="shared" si="162"/>
        <v>#REF!</v>
      </c>
      <c r="AK258" s="935"/>
      <c r="AL258" s="935"/>
      <c r="AM258" s="935"/>
      <c r="AN258" s="936"/>
      <c r="AO258" s="494"/>
      <c r="AP258" s="925" t="str">
        <f t="shared" si="164"/>
        <v/>
      </c>
      <c r="AQ258" s="651"/>
      <c r="AR258" s="939" t="str">
        <f>IFERROR(__xludf.DUMMYFUNCTION("IF(AS258="""","""",
   IF(AS258=0,0,
      IF(ISNUMBER(MATCH(AS258,FILTER(AT$245:AT$283,AV$245:AV$283&lt;&gt;0),0)),1,0)
   )
)"),"")</f>
        <v/>
      </c>
      <c r="AS258" s="943"/>
      <c r="AT258" s="486" t="s">
        <v>331</v>
      </c>
      <c r="AU258" s="487" t="s">
        <v>55</v>
      </c>
      <c r="AV258" s="488">
        <f t="shared" si="175"/>
        <v>0</v>
      </c>
      <c r="AW258" s="489">
        <f t="shared" si="196"/>
        <v>4</v>
      </c>
      <c r="AX258" s="924" t="str">
        <f t="shared" si="197"/>
        <v/>
      </c>
      <c r="AY258" s="491">
        <f t="shared" si="198"/>
        <v>80</v>
      </c>
      <c r="AZ258" s="489">
        <f t="shared" si="199"/>
        <v>640</v>
      </c>
      <c r="BA258" s="492">
        <f t="shared" si="200"/>
        <v>0</v>
      </c>
      <c r="BB258" s="493">
        <f t="shared" si="201"/>
        <v>0</v>
      </c>
      <c r="BC258" s="494" t="str">
        <f t="shared" si="176"/>
        <v/>
      </c>
      <c r="BD258" s="595"/>
      <c r="BE258" s="595"/>
      <c r="BF258" s="595"/>
      <c r="BG258" s="595"/>
      <c r="BH258" s="595"/>
      <c r="BI258" s="595"/>
      <c r="BJ258" s="595"/>
      <c r="BK258" s="595"/>
      <c r="BL258" s="595"/>
      <c r="BM258" s="595"/>
      <c r="BN258" s="595"/>
      <c r="BO258" s="651"/>
      <c r="BP258" s="651"/>
      <c r="BQ258" s="651"/>
      <c r="BR258" s="651"/>
      <c r="BS258" s="651"/>
      <c r="BT258" s="651"/>
    </row>
    <row r="259">
      <c r="A259" s="1360"/>
      <c r="B259" s="584"/>
      <c r="C259" s="499" t="s">
        <v>264</v>
      </c>
      <c r="D259" s="844"/>
      <c r="E259" s="845"/>
      <c r="F259" s="846"/>
      <c r="G259" s="848"/>
      <c r="H259" s="848"/>
      <c r="I259" s="437">
        <f>X232</f>
        <v>4</v>
      </c>
      <c r="J259" s="500" t="str">
        <f>W234</f>
        <v>#REF!</v>
      </c>
      <c r="K259" s="948">
        <v>50.0</v>
      </c>
      <c r="L259" s="850"/>
      <c r="M259" s="870">
        <v>1.0</v>
      </c>
      <c r="N259" s="849" t="str">
        <f t="shared" ref="N259:N261" si="207">I259*J259*K259*M259</f>
        <v>#REF!</v>
      </c>
      <c r="O259" s="590"/>
      <c r="P259" s="939">
        <f>IFERROR(__xludf.DUMMYFUNCTION("IF(Q259="""","""",
   IF(Q259=0,0,
      IF(ISNUMBER(MATCH(Q259,FILTER(R$247:R$367,T$247:T$367&lt;&gt;0),0)),1,0)
   )
)"),0.0)</f>
        <v>0</v>
      </c>
      <c r="Q259" s="941" t="str">
        <f>IFERROR(__xludf.DUMMYFUNCTION("""COMPUTED_VALUE"""),"R-UTape")</f>
        <v>R-UTape</v>
      </c>
      <c r="R259" s="942" t="s">
        <v>332</v>
      </c>
      <c r="S259" s="930" t="s">
        <v>55</v>
      </c>
      <c r="T259" s="488">
        <f t="shared" si="177"/>
        <v>0</v>
      </c>
      <c r="U259" s="489">
        <f t="shared" si="158"/>
        <v>4</v>
      </c>
      <c r="V259" s="490" t="str">
        <f t="shared" si="159"/>
        <v>#REF!</v>
      </c>
      <c r="W259" s="491">
        <f>(20/1)*$X$232</f>
        <v>80</v>
      </c>
      <c r="X259" s="489">
        <f t="shared" si="202"/>
        <v>640</v>
      </c>
      <c r="Y259" s="492">
        <f t="shared" si="203"/>
        <v>0</v>
      </c>
      <c r="Z259" s="493" t="str">
        <f t="shared" si="204"/>
        <v>#REF!</v>
      </c>
      <c r="AA259" s="931" t="str">
        <f t="shared" si="205"/>
        <v/>
      </c>
      <c r="AB259" s="925" t="str">
        <f t="shared" si="172"/>
        <v/>
      </c>
      <c r="AC259" s="1441"/>
      <c r="AD259" s="939" t="str">
        <f>IFERROR(__xludf.DUMMYFUNCTION("IF(AE259="""","""",
   IF(AE259=0,0,
      IF(ISNUMBER(MATCH(AE259,FILTER(AF$245:AF$303,AH$245:AH$303&lt;&gt;0),0)),1,0)
   )
)"),"")</f>
        <v/>
      </c>
      <c r="AE259" s="943"/>
      <c r="AF259" s="929" t="s">
        <v>340</v>
      </c>
      <c r="AG259" s="932" t="s">
        <v>55</v>
      </c>
      <c r="AH259" s="488">
        <f t="shared" si="173"/>
        <v>0</v>
      </c>
      <c r="AI259" s="489">
        <f t="shared" si="161"/>
        <v>4</v>
      </c>
      <c r="AJ259" s="490" t="str">
        <f t="shared" si="162"/>
        <v>#REF!</v>
      </c>
      <c r="AK259" s="491"/>
      <c r="AL259" s="489"/>
      <c r="AM259" s="492"/>
      <c r="AN259" s="493"/>
      <c r="AO259" s="494"/>
      <c r="AP259" s="925" t="str">
        <f t="shared" si="164"/>
        <v/>
      </c>
      <c r="AQ259" s="651"/>
      <c r="AR259" s="939" t="str">
        <f>IFERROR(__xludf.DUMMYFUNCTION("IF(AS259="""","""",
   IF(AS259=0,0,
      IF(ISNUMBER(MATCH(AS259,FILTER(AT$245:AT$283,AV$245:AV$283&lt;&gt;0),0)),1,0)
   )
)"),"")</f>
        <v/>
      </c>
      <c r="AS259" s="943"/>
      <c r="AT259" s="486" t="s">
        <v>334</v>
      </c>
      <c r="AU259" s="487" t="s">
        <v>55</v>
      </c>
      <c r="AV259" s="488">
        <f t="shared" si="175"/>
        <v>0</v>
      </c>
      <c r="AW259" s="489">
        <f t="shared" si="196"/>
        <v>4</v>
      </c>
      <c r="AX259" s="924" t="str">
        <f t="shared" si="197"/>
        <v/>
      </c>
      <c r="AY259" s="491">
        <f t="shared" si="198"/>
        <v>80</v>
      </c>
      <c r="AZ259" s="489">
        <f t="shared" si="199"/>
        <v>640</v>
      </c>
      <c r="BA259" s="492">
        <f t="shared" si="200"/>
        <v>0</v>
      </c>
      <c r="BB259" s="493">
        <f t="shared" si="201"/>
        <v>0</v>
      </c>
      <c r="BC259" s="494" t="str">
        <f t="shared" si="176"/>
        <v/>
      </c>
      <c r="BD259" s="595"/>
      <c r="BE259" s="595"/>
      <c r="BF259" s="595"/>
      <c r="BG259" s="595"/>
      <c r="BH259" s="595"/>
      <c r="BI259" s="595"/>
      <c r="BJ259" s="595"/>
      <c r="BK259" s="595"/>
      <c r="BL259" s="595"/>
      <c r="BM259" s="595"/>
      <c r="BN259" s="595"/>
      <c r="BO259" s="651"/>
      <c r="BP259" s="651"/>
      <c r="BQ259" s="651"/>
      <c r="BR259" s="651"/>
      <c r="BS259" s="651"/>
      <c r="BT259" s="651"/>
    </row>
    <row r="260">
      <c r="A260" s="1360"/>
      <c r="B260" s="584"/>
      <c r="C260" s="499" t="s">
        <v>265</v>
      </c>
      <c r="D260" s="844"/>
      <c r="E260" s="845"/>
      <c r="F260" s="846"/>
      <c r="G260" s="848"/>
      <c r="H260" s="848"/>
      <c r="I260" s="437">
        <f t="shared" ref="I260:J260" si="206">I259</f>
        <v>4</v>
      </c>
      <c r="J260" s="500" t="str">
        <f t="shared" si="206"/>
        <v>#REF!</v>
      </c>
      <c r="K260" s="948">
        <v>50.0</v>
      </c>
      <c r="L260" s="850"/>
      <c r="M260" s="870">
        <v>1.0</v>
      </c>
      <c r="N260" s="849" t="str">
        <f t="shared" si="207"/>
        <v>#REF!</v>
      </c>
      <c r="O260" s="590"/>
      <c r="P260" s="939">
        <f>IFERROR(__xludf.DUMMYFUNCTION("IF(Q260="""","""",
   IF(Q260=0,0,
      IF(ISNUMBER(MATCH(Q260,FILTER(R$247:R$367,T$247:T$367&lt;&gt;0),0)),1,0)
   )
)"),0.0)</f>
        <v>0</v>
      </c>
      <c r="Q260" s="941" t="str">
        <f>IFERROR(__xludf.DUMMYFUNCTION("""COMPUTED_VALUE"""),"R-Safety Mesh")</f>
        <v>R-Safety Mesh</v>
      </c>
      <c r="R260" s="929" t="s">
        <v>141</v>
      </c>
      <c r="S260" s="930" t="s">
        <v>52</v>
      </c>
      <c r="T260" s="488">
        <f t="shared" si="177"/>
        <v>2</v>
      </c>
      <c r="U260" s="489">
        <f t="shared" si="158"/>
        <v>4</v>
      </c>
      <c r="V260" s="490" t="str">
        <f t="shared" si="159"/>
        <v>#REF!</v>
      </c>
      <c r="W260" s="491">
        <f>(80/4)*$X$232</f>
        <v>80</v>
      </c>
      <c r="X260" s="489">
        <f t="shared" si="202"/>
        <v>640</v>
      </c>
      <c r="Y260" s="492">
        <f t="shared" si="203"/>
        <v>0.01</v>
      </c>
      <c r="Z260" s="493" t="str">
        <f t="shared" si="204"/>
        <v>#REF!</v>
      </c>
      <c r="AA260" s="931" t="str">
        <f t="shared" si="205"/>
        <v/>
      </c>
      <c r="AB260" s="925" t="str">
        <f t="shared" si="172"/>
        <v/>
      </c>
      <c r="AC260" s="1441"/>
      <c r="AD260" s="939" t="str">
        <f>IFERROR(__xludf.DUMMYFUNCTION("IF(AE260="""","""",
   IF(AE260=0,0,
      IF(ISNUMBER(MATCH(AE260,FILTER(AF$245:AF$303,AH$245:AH$303&lt;&gt;0),0)),1,0)
   )
)"),"")</f>
        <v/>
      </c>
      <c r="AE260" s="943"/>
      <c r="AF260" s="929" t="s">
        <v>173</v>
      </c>
      <c r="AG260" s="932" t="s">
        <v>55</v>
      </c>
      <c r="AH260" s="488">
        <f t="shared" si="173"/>
        <v>0</v>
      </c>
      <c r="AI260" s="489">
        <f t="shared" si="161"/>
        <v>4</v>
      </c>
      <c r="AJ260" s="490" t="str">
        <f t="shared" si="162"/>
        <v>#REF!</v>
      </c>
      <c r="AK260" s="491">
        <f>(40/2)*$X$232</f>
        <v>80</v>
      </c>
      <c r="AL260" s="489">
        <f t="shared" ref="AL260:AL261" si="208">AK260*AK$242</f>
        <v>640</v>
      </c>
      <c r="AM260" s="492">
        <f t="shared" ref="AM260:AM261" si="209">ROUNDUP(AH260/AL260,2)</f>
        <v>0</v>
      </c>
      <c r="AN260" s="493" t="str">
        <f t="shared" ref="AN260:AN261" si="210">AM260*AJ260*AI260*AK$242</f>
        <v>#REF!</v>
      </c>
      <c r="AO260" s="494" t="str">
        <f t="shared" ref="AO260:AO264" si="211">iferror(AN260/AH260,"")</f>
        <v/>
      </c>
      <c r="AP260" s="925" t="str">
        <f t="shared" si="164"/>
        <v/>
      </c>
      <c r="AQ260" s="651"/>
      <c r="AR260" s="939" t="str">
        <f>IFERROR(__xludf.DUMMYFUNCTION("IF(AS260="""","""",
   IF(AS260=0,0,
      IF(ISNUMBER(MATCH(AS260,FILTER(AT$245:AT$283,AV$245:AV$283&lt;&gt;0),0)),1,0)
   )
)"),"")</f>
        <v/>
      </c>
      <c r="AS260" s="943"/>
      <c r="AT260" s="486" t="s">
        <v>336</v>
      </c>
      <c r="AU260" s="487" t="s">
        <v>55</v>
      </c>
      <c r="AV260" s="488">
        <f t="shared" si="175"/>
        <v>0</v>
      </c>
      <c r="AW260" s="489">
        <f t="shared" si="196"/>
        <v>4</v>
      </c>
      <c r="AX260" s="924" t="str">
        <f t="shared" si="197"/>
        <v/>
      </c>
      <c r="AY260" s="491">
        <f t="shared" si="198"/>
        <v>80</v>
      </c>
      <c r="AZ260" s="489">
        <f t="shared" si="199"/>
        <v>640</v>
      </c>
      <c r="BA260" s="492">
        <f t="shared" si="200"/>
        <v>0</v>
      </c>
      <c r="BB260" s="493">
        <f t="shared" si="201"/>
        <v>0</v>
      </c>
      <c r="BC260" s="494" t="str">
        <f t="shared" si="176"/>
        <v/>
      </c>
      <c r="BD260" s="595"/>
      <c r="BE260" s="595"/>
      <c r="BF260" s="595"/>
      <c r="BG260" s="595"/>
      <c r="BH260" s="595"/>
      <c r="BI260" s="595"/>
      <c r="BJ260" s="595"/>
      <c r="BK260" s="595"/>
      <c r="BL260" s="595"/>
      <c r="BM260" s="595"/>
      <c r="BN260" s="595"/>
      <c r="BO260" s="651"/>
      <c r="BP260" s="651"/>
      <c r="BQ260" s="651"/>
      <c r="BR260" s="651"/>
      <c r="BS260" s="651"/>
      <c r="BT260" s="651"/>
    </row>
    <row r="261">
      <c r="A261" s="1360"/>
      <c r="B261" s="584"/>
      <c r="C261" s="499" t="s">
        <v>266</v>
      </c>
      <c r="D261" s="844"/>
      <c r="E261" s="845"/>
      <c r="F261" s="846"/>
      <c r="G261" s="848"/>
      <c r="H261" s="848"/>
      <c r="I261" s="437">
        <f>I259</f>
        <v>4</v>
      </c>
      <c r="J261" s="507">
        <v>1.0</v>
      </c>
      <c r="K261" s="370">
        <v>0.0</v>
      </c>
      <c r="L261" s="850"/>
      <c r="M261" s="840"/>
      <c r="N261" s="849">
        <f t="shared" si="207"/>
        <v>0</v>
      </c>
      <c r="O261" s="590"/>
      <c r="P261" s="939">
        <f>IFERROR(__xludf.DUMMYFUNCTION("IF(Q261="""","""",
   IF(Q261=0,0,
      IF(ISNUMBER(MATCH(Q261,FILTER(R$247:R$367,T$247:T$367&lt;&gt;0),0)),1,0)
   )
)"),0.0)</f>
        <v>0</v>
      </c>
      <c r="Q261" s="941" t="str">
        <f>IFERROR(__xludf.DUMMYFUNCTION("""COMPUTED_VALUE"""),"R-Flashing")</f>
        <v>R-Flashing</v>
      </c>
      <c r="R261" s="929" t="s">
        <v>337</v>
      </c>
      <c r="S261" s="930" t="s">
        <v>52</v>
      </c>
      <c r="T261" s="488">
        <f t="shared" si="177"/>
        <v>0</v>
      </c>
      <c r="U261" s="489">
        <f t="shared" si="158"/>
        <v>4</v>
      </c>
      <c r="V261" s="490" t="str">
        <f t="shared" si="159"/>
        <v>#REF!</v>
      </c>
      <c r="W261" s="491"/>
      <c r="X261" s="489"/>
      <c r="Y261" s="492"/>
      <c r="Z261" s="493"/>
      <c r="AA261" s="931" t="str">
        <f t="shared" si="205"/>
        <v/>
      </c>
      <c r="AB261" s="925" t="str">
        <f t="shared" si="172"/>
        <v/>
      </c>
      <c r="AC261" s="1441"/>
      <c r="AD261" s="939" t="str">
        <f>IFERROR(__xludf.DUMMYFUNCTION("IF(AE261="""","""",
   IF(AE261=0,0,
      IF(ISNUMBER(MATCH(AE261,FILTER(AF$245:AF$303,AH$245:AH$303&lt;&gt;0),0)),1,0)
   )
)"),"")</f>
        <v/>
      </c>
      <c r="AE261" s="943"/>
      <c r="AF261" s="929" t="s">
        <v>343</v>
      </c>
      <c r="AG261" s="932" t="s">
        <v>55</v>
      </c>
      <c r="AH261" s="488">
        <f t="shared" si="173"/>
        <v>0</v>
      </c>
      <c r="AI261" s="489">
        <f t="shared" si="161"/>
        <v>4</v>
      </c>
      <c r="AJ261" s="490" t="str">
        <f t="shared" si="162"/>
        <v>#REF!</v>
      </c>
      <c r="AK261" s="491">
        <f>(6/2)*$X$232</f>
        <v>12</v>
      </c>
      <c r="AL261" s="489">
        <f t="shared" si="208"/>
        <v>96</v>
      </c>
      <c r="AM261" s="492">
        <f t="shared" si="209"/>
        <v>0</v>
      </c>
      <c r="AN261" s="493" t="str">
        <f t="shared" si="210"/>
        <v>#REF!</v>
      </c>
      <c r="AO261" s="494" t="str">
        <f t="shared" si="211"/>
        <v/>
      </c>
      <c r="AP261" s="925" t="str">
        <f t="shared" si="164"/>
        <v/>
      </c>
      <c r="AQ261" s="651"/>
      <c r="AR261" s="939" t="str">
        <f>IFERROR(__xludf.DUMMYFUNCTION("IF(AS261="""","""",
   IF(AS261=0,0,
      IF(ISNUMBER(MATCH(AS261,FILTER(AT$245:AT$283,AV$245:AV$283&lt;&gt;0),0)),1,0)
   )
)"),"")</f>
        <v/>
      </c>
      <c r="AS261" s="943"/>
      <c r="AT261" s="486" t="s">
        <v>339</v>
      </c>
      <c r="AU261" s="487" t="s">
        <v>52</v>
      </c>
      <c r="AV261" s="488">
        <f t="shared" si="175"/>
        <v>0</v>
      </c>
      <c r="AW261" s="935"/>
      <c r="AX261" s="924"/>
      <c r="AY261" s="935"/>
      <c r="AZ261" s="935"/>
      <c r="BA261" s="935"/>
      <c r="BB261" s="936"/>
      <c r="BC261" s="494" t="str">
        <f t="shared" si="176"/>
        <v/>
      </c>
      <c r="BD261" s="595"/>
      <c r="BE261" s="595"/>
      <c r="BF261" s="595"/>
      <c r="BG261" s="595"/>
      <c r="BH261" s="595"/>
      <c r="BI261" s="595"/>
      <c r="BJ261" s="595"/>
      <c r="BK261" s="595"/>
      <c r="BL261" s="595"/>
      <c r="BM261" s="595"/>
      <c r="BN261" s="595"/>
      <c r="BO261" s="651"/>
      <c r="BP261" s="651"/>
      <c r="BQ261" s="651"/>
      <c r="BR261" s="651"/>
      <c r="BS261" s="651"/>
      <c r="BT261" s="651"/>
    </row>
    <row r="262">
      <c r="A262" s="1360"/>
      <c r="B262" s="584"/>
      <c r="C262" s="499" t="s">
        <v>267</v>
      </c>
      <c r="D262" s="844"/>
      <c r="E262" s="845"/>
      <c r="F262" s="846"/>
      <c r="G262" s="848"/>
      <c r="H262" s="848"/>
      <c r="I262" s="437">
        <f>I259</f>
        <v>4</v>
      </c>
      <c r="J262" s="504">
        <v>6.0</v>
      </c>
      <c r="K262" s="370" t="str">
        <f>$AC$235</f>
        <v>#REF!</v>
      </c>
      <c r="L262" s="371">
        <v>2.0</v>
      </c>
      <c r="M262" s="870">
        <v>1.0</v>
      </c>
      <c r="N262" s="849" t="str">
        <f t="shared" ref="N262:N264" si="212">I262*J262*K262*M262*L262</f>
        <v>#REF!</v>
      </c>
      <c r="O262" s="590"/>
      <c r="P262" s="939">
        <f>IFERROR(__xludf.DUMMYFUNCTION("IF(Q262="""","""",
   IF(Q262=0,0,
      IF(ISNUMBER(MATCH(Q262,FILTER(R$247:R$367,T$247:T$367&lt;&gt;0),0)),1,0)
   )
)"),1.0)</f>
        <v>1</v>
      </c>
      <c r="Q262" s="941" t="str">
        <f>IFERROR(__xludf.DUMMYFUNCTION("""COMPUTED_VALUE"""),"R-Silicone")</f>
        <v>R-Silicone</v>
      </c>
      <c r="R262" s="929" t="s">
        <v>120</v>
      </c>
      <c r="S262" s="930" t="s">
        <v>55</v>
      </c>
      <c r="T262" s="488">
        <f t="shared" si="177"/>
        <v>0</v>
      </c>
      <c r="U262" s="489">
        <f t="shared" si="158"/>
        <v>4</v>
      </c>
      <c r="V262" s="490" t="str">
        <f t="shared" si="159"/>
        <v>#REF!</v>
      </c>
      <c r="W262" s="491">
        <f>(8/4)*$X$232</f>
        <v>8</v>
      </c>
      <c r="X262" s="489">
        <f t="shared" ref="X262:X263" si="213">W262*W$242</f>
        <v>64</v>
      </c>
      <c r="Y262" s="492">
        <f t="shared" ref="Y262:Y263" si="214">ROUNDUP(T262/X262,2)</f>
        <v>0</v>
      </c>
      <c r="Z262" s="493" t="str">
        <f t="shared" ref="Z262:Z263" si="215">Y262*V262*U262*W$242</f>
        <v>#REF!</v>
      </c>
      <c r="AA262" s="931" t="str">
        <f t="shared" si="205"/>
        <v/>
      </c>
      <c r="AB262" s="925" t="str">
        <f t="shared" si="172"/>
        <v/>
      </c>
      <c r="AC262" s="1441"/>
      <c r="AD262" s="939" t="str">
        <f>IFERROR(__xludf.DUMMYFUNCTION("IF(AE262="""","""",
   IF(AE262=0,0,
      IF(ISNUMBER(MATCH(AE262,FILTER(AF$245:AF$303,AH$245:AH$303&lt;&gt;0),0)),1,0)
   )
)"),"")</f>
        <v/>
      </c>
      <c r="AE262" s="943"/>
      <c r="AF262" s="929" t="s">
        <v>346</v>
      </c>
      <c r="AG262" s="932" t="s">
        <v>52</v>
      </c>
      <c r="AH262" s="488">
        <f t="shared" si="173"/>
        <v>0</v>
      </c>
      <c r="AI262" s="935"/>
      <c r="AJ262" s="490" t="str">
        <f t="shared" si="162"/>
        <v>#REF!</v>
      </c>
      <c r="AK262" s="935"/>
      <c r="AL262" s="935"/>
      <c r="AM262" s="935"/>
      <c r="AN262" s="936"/>
      <c r="AO262" s="494" t="str">
        <f t="shared" si="211"/>
        <v/>
      </c>
      <c r="AP262" s="925" t="str">
        <f t="shared" si="164"/>
        <v/>
      </c>
      <c r="AQ262" s="651"/>
      <c r="AR262" s="939" t="str">
        <f>IFERROR(__xludf.DUMMYFUNCTION("IF(AS262="""","""",
   IF(AS262=0,0,
      IF(ISNUMBER(MATCH(AS262,FILTER(AT$245:AT$283,AV$245:AV$283&lt;&gt;0),0)),1,0)
   )
)"),"")</f>
        <v/>
      </c>
      <c r="AS262" s="943"/>
      <c r="AT262" s="486" t="s">
        <v>341</v>
      </c>
      <c r="AU262" s="487" t="s">
        <v>55</v>
      </c>
      <c r="AV262" s="488">
        <f t="shared" si="175"/>
        <v>0</v>
      </c>
      <c r="AW262" s="489">
        <f t="shared" ref="AW262:AW264" si="216">$X$232</f>
        <v>4</v>
      </c>
      <c r="AX262" s="924" t="str">
        <f t="shared" ref="AX262:AX264" si="217">AY$235</f>
        <v/>
      </c>
      <c r="AY262" s="491">
        <f t="shared" ref="AY262:AY263" si="218">(10/2)*$X$232</f>
        <v>20</v>
      </c>
      <c r="AZ262" s="489">
        <f t="shared" ref="AZ262:AZ264" si="219">AY262*AY$242</f>
        <v>160</v>
      </c>
      <c r="BA262" s="492">
        <f t="shared" ref="BA262:BA264" si="220">ROUNDUP(AV262/AZ262,2)</f>
        <v>0</v>
      </c>
      <c r="BB262" s="493">
        <f t="shared" ref="BB262:BB264" si="221">BA262*AX262*AW262*AY$242</f>
        <v>0</v>
      </c>
      <c r="BC262" s="494" t="str">
        <f t="shared" si="176"/>
        <v/>
      </c>
      <c r="BD262" s="595"/>
      <c r="BE262" s="595"/>
      <c r="BF262" s="595"/>
      <c r="BG262" s="595"/>
      <c r="BH262" s="595"/>
      <c r="BI262" s="595"/>
      <c r="BJ262" s="595"/>
      <c r="BK262" s="595"/>
      <c r="BL262" s="595"/>
      <c r="BM262" s="595"/>
      <c r="BN262" s="595"/>
      <c r="BO262" s="651"/>
      <c r="BP262" s="651"/>
      <c r="BQ262" s="651"/>
      <c r="BR262" s="651"/>
      <c r="BS262" s="651"/>
      <c r="BT262" s="651"/>
    </row>
    <row r="263">
      <c r="A263" s="1360"/>
      <c r="B263" s="584"/>
      <c r="C263" s="499" t="s">
        <v>268</v>
      </c>
      <c r="D263" s="844"/>
      <c r="E263" s="845"/>
      <c r="F263" s="846"/>
      <c r="G263" s="848"/>
      <c r="H263" s="848"/>
      <c r="I263" s="437">
        <f t="shared" ref="I263:I264" si="222">I262</f>
        <v>4</v>
      </c>
      <c r="J263" s="504">
        <v>0.5</v>
      </c>
      <c r="K263" s="370" t="str">
        <f>K262</f>
        <v>#REF!</v>
      </c>
      <c r="L263" s="371" t="str">
        <f>L255</f>
        <v>#REF!</v>
      </c>
      <c r="M263" s="840"/>
      <c r="N263" s="849" t="str">
        <f t="shared" si="212"/>
        <v>#REF!</v>
      </c>
      <c r="O263" s="590"/>
      <c r="P263" s="939">
        <f>IFERROR(__xludf.DUMMYFUNCTION("IF(Q263="""","""",
   IF(Q263=0,0,
      IF(ISNUMBER(MATCH(Q263,FILTER(R$247:R$367,T$247:T$367&lt;&gt;0),0)),1,0)
   )
)"),1.0)</f>
        <v>1</v>
      </c>
      <c r="Q263" s="941" t="str">
        <f>IFERROR(__xludf.DUMMYFUNCTION("""COMPUTED_VALUE"""),"R-Rivets")</f>
        <v>R-Rivets</v>
      </c>
      <c r="R263" s="929" t="s">
        <v>122</v>
      </c>
      <c r="S263" s="930" t="s">
        <v>52</v>
      </c>
      <c r="T263" s="488">
        <f t="shared" si="177"/>
        <v>2</v>
      </c>
      <c r="U263" s="489">
        <f t="shared" si="158"/>
        <v>4</v>
      </c>
      <c r="V263" s="490" t="str">
        <f t="shared" si="159"/>
        <v>#REF!</v>
      </c>
      <c r="W263" s="491">
        <f>(20/1)*$X$232</f>
        <v>80</v>
      </c>
      <c r="X263" s="489">
        <f t="shared" si="213"/>
        <v>640</v>
      </c>
      <c r="Y263" s="492">
        <f t="shared" si="214"/>
        <v>0.01</v>
      </c>
      <c r="Z263" s="493" t="str">
        <f t="shared" si="215"/>
        <v>#REF!</v>
      </c>
      <c r="AA263" s="931" t="str">
        <f t="shared" si="205"/>
        <v/>
      </c>
      <c r="AB263" s="925" t="str">
        <f t="shared" si="172"/>
        <v/>
      </c>
      <c r="AC263" s="1441"/>
      <c r="AD263" s="939" t="str">
        <f>IFERROR(__xludf.DUMMYFUNCTION("IF(AE263="""","""",
   IF(AE263=0,0,
      IF(ISNUMBER(MATCH(AE263,FILTER(AF$245:AF$303,AH$245:AH$303&lt;&gt;0),0)),1,0)
   )
)"),"")</f>
        <v/>
      </c>
      <c r="AE263" s="943"/>
      <c r="AF263" s="929" t="s">
        <v>349</v>
      </c>
      <c r="AG263" s="932" t="s">
        <v>55</v>
      </c>
      <c r="AH263" s="488">
        <f t="shared" si="173"/>
        <v>0</v>
      </c>
      <c r="AI263" s="489">
        <f t="shared" ref="AI263:AI270" si="223">$X$232</f>
        <v>4</v>
      </c>
      <c r="AJ263" s="490" t="str">
        <f t="shared" si="162"/>
        <v>#REF!</v>
      </c>
      <c r="AK263" s="491">
        <f t="shared" ref="AK263:AK264" si="224">(20/1)*$X$232</f>
        <v>80</v>
      </c>
      <c r="AL263" s="489">
        <f t="shared" ref="AL263:AL264" si="225">AK263*AK$242</f>
        <v>640</v>
      </c>
      <c r="AM263" s="492">
        <f t="shared" ref="AM263:AM264" si="226">ROUNDUP(AH263/AL263,2)</f>
        <v>0</v>
      </c>
      <c r="AN263" s="493" t="str">
        <f t="shared" ref="AN263:AN264" si="227">AM263*AJ263*AI263*AK$242</f>
        <v>#REF!</v>
      </c>
      <c r="AO263" s="494" t="str">
        <f t="shared" si="211"/>
        <v/>
      </c>
      <c r="AP263" s="925" t="str">
        <f t="shared" si="164"/>
        <v/>
      </c>
      <c r="AQ263" s="651"/>
      <c r="AR263" s="939" t="str">
        <f>IFERROR(__xludf.DUMMYFUNCTION("IF(AS263="""","""",
   IF(AS263=0,0,
      IF(ISNUMBER(MATCH(AS263,FILTER(AT$245:AT$283,AV$245:AV$283&lt;&gt;0),0)),1,0)
   )
)"),"")</f>
        <v/>
      </c>
      <c r="AS263" s="943"/>
      <c r="AT263" s="486" t="s">
        <v>342</v>
      </c>
      <c r="AU263" s="487" t="s">
        <v>55</v>
      </c>
      <c r="AV263" s="488">
        <f t="shared" si="175"/>
        <v>0</v>
      </c>
      <c r="AW263" s="489">
        <f t="shared" si="216"/>
        <v>4</v>
      </c>
      <c r="AX263" s="924" t="str">
        <f t="shared" si="217"/>
        <v/>
      </c>
      <c r="AY263" s="491">
        <f t="shared" si="218"/>
        <v>20</v>
      </c>
      <c r="AZ263" s="489">
        <f t="shared" si="219"/>
        <v>160</v>
      </c>
      <c r="BA263" s="492">
        <f t="shared" si="220"/>
        <v>0</v>
      </c>
      <c r="BB263" s="493">
        <f t="shared" si="221"/>
        <v>0</v>
      </c>
      <c r="BC263" s="494" t="str">
        <f t="shared" si="176"/>
        <v/>
      </c>
      <c r="BD263" s="595"/>
      <c r="BE263" s="595"/>
      <c r="BF263" s="595"/>
      <c r="BG263" s="595"/>
      <c r="BH263" s="595"/>
      <c r="BI263" s="595"/>
      <c r="BJ263" s="595"/>
      <c r="BK263" s="595"/>
      <c r="BL263" s="595"/>
      <c r="BM263" s="595"/>
      <c r="BN263" s="595"/>
      <c r="BO263" s="651"/>
      <c r="BP263" s="651"/>
      <c r="BQ263" s="651"/>
      <c r="BR263" s="651"/>
      <c r="BS263" s="651"/>
      <c r="BT263" s="651"/>
    </row>
    <row r="264">
      <c r="A264" s="1360"/>
      <c r="B264" s="584"/>
      <c r="C264" s="499" t="s">
        <v>269</v>
      </c>
      <c r="D264" s="844"/>
      <c r="E264" s="845"/>
      <c r="F264" s="846"/>
      <c r="G264" s="848"/>
      <c r="H264" s="848"/>
      <c r="I264" s="437">
        <f t="shared" si="222"/>
        <v>4</v>
      </c>
      <c r="J264" s="949">
        <v>158.0</v>
      </c>
      <c r="K264" s="370">
        <v>0.33</v>
      </c>
      <c r="L264" s="371">
        <v>2.0</v>
      </c>
      <c r="M264" s="401">
        <f>M262</f>
        <v>1</v>
      </c>
      <c r="N264" s="849">
        <f t="shared" si="212"/>
        <v>417.12</v>
      </c>
      <c r="O264" s="590"/>
      <c r="P264" s="939">
        <f>IFERROR(__xludf.DUMMYFUNCTION("IF(Q264="""","""",
   IF(Q264=0,0,
      IF(ISNUMBER(MATCH(Q264,FILTER(R$247:R$367,T$247:T$367&lt;&gt;0),0)),1,0)
   )
)"),1.0)</f>
        <v>1</v>
      </c>
      <c r="Q264" s="941" t="str">
        <f>IFERROR(__xludf.DUMMYFUNCTION("""COMPUTED_VALUE"""),"R-GenFix")</f>
        <v>R-GenFix</v>
      </c>
      <c r="R264" s="929" t="s">
        <v>123</v>
      </c>
      <c r="S264" s="930" t="s">
        <v>52</v>
      </c>
      <c r="T264" s="488">
        <f t="shared" si="177"/>
        <v>6</v>
      </c>
      <c r="U264" s="489">
        <f t="shared" si="158"/>
        <v>4</v>
      </c>
      <c r="V264" s="490" t="str">
        <f t="shared" si="159"/>
        <v>#REF!</v>
      </c>
      <c r="W264" s="491"/>
      <c r="X264" s="489"/>
      <c r="Y264" s="492"/>
      <c r="Z264" s="493"/>
      <c r="AA264" s="931"/>
      <c r="AB264" s="925" t="str">
        <f t="shared" si="172"/>
        <v/>
      </c>
      <c r="AC264" s="1441"/>
      <c r="AD264" s="939" t="str">
        <f>IFERROR(__xludf.DUMMYFUNCTION("IF(AE264="""","""",
   IF(AE264=0,0,
      IF(ISNUMBER(MATCH(AE264,FILTER(AF$245:AF$303,AH$245:AH$303&lt;&gt;0),0)),1,0)
   )
)"),"")</f>
        <v/>
      </c>
      <c r="AE264" s="943"/>
      <c r="AF264" s="929" t="s">
        <v>352</v>
      </c>
      <c r="AG264" s="932" t="s">
        <v>55</v>
      </c>
      <c r="AH264" s="488">
        <f t="shared" si="173"/>
        <v>0</v>
      </c>
      <c r="AI264" s="489">
        <f t="shared" si="223"/>
        <v>4</v>
      </c>
      <c r="AJ264" s="490" t="str">
        <f t="shared" si="162"/>
        <v>#REF!</v>
      </c>
      <c r="AK264" s="491">
        <f t="shared" si="224"/>
        <v>80</v>
      </c>
      <c r="AL264" s="489">
        <f t="shared" si="225"/>
        <v>640</v>
      </c>
      <c r="AM264" s="492">
        <f t="shared" si="226"/>
        <v>0</v>
      </c>
      <c r="AN264" s="493" t="str">
        <f t="shared" si="227"/>
        <v>#REF!</v>
      </c>
      <c r="AO264" s="494" t="str">
        <f t="shared" si="211"/>
        <v/>
      </c>
      <c r="AP264" s="925" t="str">
        <f t="shared" si="164"/>
        <v/>
      </c>
      <c r="AQ264" s="651"/>
      <c r="AR264" s="939" t="str">
        <f>IFERROR(__xludf.DUMMYFUNCTION("IF(AS264="""","""",
   IF(AS264=0,0,
      IF(ISNUMBER(MATCH(AS264,FILTER(AT$245:AT$283,AV$245:AV$283&lt;&gt;0),0)),1,0)
   )
)"),"")</f>
        <v/>
      </c>
      <c r="AS264" s="943"/>
      <c r="AT264" s="486" t="s">
        <v>344</v>
      </c>
      <c r="AU264" s="487" t="s">
        <v>55</v>
      </c>
      <c r="AV264" s="488">
        <f t="shared" si="175"/>
        <v>0</v>
      </c>
      <c r="AW264" s="489">
        <f t="shared" si="216"/>
        <v>4</v>
      </c>
      <c r="AX264" s="924" t="str">
        <f t="shared" si="217"/>
        <v/>
      </c>
      <c r="AY264" s="491">
        <f>(3/2)*$X$232</f>
        <v>6</v>
      </c>
      <c r="AZ264" s="489">
        <f t="shared" si="219"/>
        <v>48</v>
      </c>
      <c r="BA264" s="492">
        <f t="shared" si="220"/>
        <v>0</v>
      </c>
      <c r="BB264" s="493">
        <f t="shared" si="221"/>
        <v>0</v>
      </c>
      <c r="BC264" s="494" t="str">
        <f t="shared" si="176"/>
        <v/>
      </c>
      <c r="BD264" s="595"/>
      <c r="BE264" s="595"/>
      <c r="BF264" s="595"/>
      <c r="BG264" s="595"/>
      <c r="BH264" s="595"/>
      <c r="BI264" s="595"/>
      <c r="BJ264" s="595"/>
      <c r="BK264" s="595"/>
      <c r="BL264" s="595"/>
      <c r="BM264" s="595"/>
      <c r="BN264" s="595"/>
      <c r="BO264" s="651"/>
      <c r="BP264" s="651"/>
      <c r="BQ264" s="651"/>
      <c r="BR264" s="651"/>
      <c r="BS264" s="651"/>
      <c r="BT264" s="651"/>
    </row>
    <row r="265">
      <c r="A265" s="1360"/>
      <c r="B265" s="584"/>
      <c r="C265" s="851"/>
      <c r="D265" s="609"/>
      <c r="E265" s="585"/>
      <c r="F265" s="586"/>
      <c r="G265" s="584"/>
      <c r="H265" s="584"/>
      <c r="I265" s="584"/>
      <c r="J265" s="584"/>
      <c r="K265" s="383"/>
      <c r="L265" s="588"/>
      <c r="M265" s="588"/>
      <c r="N265" s="833"/>
      <c r="O265" s="590"/>
      <c r="P265" s="939">
        <f>IFERROR(__xludf.DUMMYFUNCTION("IF(Q265="""","""",
   IF(Q265=0,0,
      IF(ISNUMBER(MATCH(Q265,FILTER(R$247:R$367,T$247:T$367&lt;&gt;0),0)),1,0)
   )
)"),1.0)</f>
        <v>1</v>
      </c>
      <c r="Q265" s="941" t="str">
        <f>IFERROR(__xludf.DUMMYFUNCTION("""COMPUTED_VALUE"""),"R-FFTop")</f>
        <v>R-FFTop</v>
      </c>
      <c r="R265" s="929" t="s">
        <v>345</v>
      </c>
      <c r="S265" s="930" t="s">
        <v>591</v>
      </c>
      <c r="T265" s="488">
        <f t="shared" si="177"/>
        <v>0</v>
      </c>
      <c r="U265" s="489">
        <f t="shared" si="158"/>
        <v>4</v>
      </c>
      <c r="V265" s="490" t="str">
        <f t="shared" si="159"/>
        <v>#REF!</v>
      </c>
      <c r="W265" s="491"/>
      <c r="X265" s="489"/>
      <c r="Y265" s="492"/>
      <c r="Z265" s="493"/>
      <c r="AA265" s="931"/>
      <c r="AB265" s="925" t="str">
        <f t="shared" si="172"/>
        <v/>
      </c>
      <c r="AC265" s="1441"/>
      <c r="AD265" s="939" t="str">
        <f>IFERROR(__xludf.DUMMYFUNCTION("IF(AE265="""","""",
   IF(AE265=0,0,
      IF(ISNUMBER(MATCH(AE265,FILTER(AF$245:AF$303,AH$245:AH$303&lt;&gt;0),0)),1,0)
   )
)"),"")</f>
        <v/>
      </c>
      <c r="AE265" s="943"/>
      <c r="AF265" s="929" t="s">
        <v>162</v>
      </c>
      <c r="AG265" s="932" t="s">
        <v>52</v>
      </c>
      <c r="AH265" s="488">
        <f t="shared" si="173"/>
        <v>0</v>
      </c>
      <c r="AI265" s="489">
        <f t="shared" si="223"/>
        <v>4</v>
      </c>
      <c r="AJ265" s="490" t="str">
        <f t="shared" si="162"/>
        <v>#REF!</v>
      </c>
      <c r="AK265" s="491"/>
      <c r="AL265" s="489"/>
      <c r="AM265" s="492"/>
      <c r="AN265" s="493"/>
      <c r="AO265" s="494"/>
      <c r="AP265" s="925" t="str">
        <f t="shared" si="164"/>
        <v/>
      </c>
      <c r="AQ265" s="651"/>
      <c r="AR265" s="939" t="str">
        <f>IFERROR(__xludf.DUMMYFUNCTION("IF(AS265="""","""",
   IF(AS265=0,0,
      IF(ISNUMBER(MATCH(AS265,FILTER(AT$245:AT$283,AV$245:AV$283&lt;&gt;0),0)),1,0)
   )
)"),"")</f>
        <v/>
      </c>
      <c r="AS265" s="943"/>
      <c r="AT265" s="486" t="s">
        <v>347</v>
      </c>
      <c r="AU265" s="487" t="s">
        <v>52</v>
      </c>
      <c r="AV265" s="488">
        <f t="shared" si="175"/>
        <v>0</v>
      </c>
      <c r="AW265" s="935"/>
      <c r="AX265" s="924"/>
      <c r="AY265" s="935"/>
      <c r="AZ265" s="935"/>
      <c r="BA265" s="935"/>
      <c r="BB265" s="936"/>
      <c r="BC265" s="494" t="str">
        <f t="shared" si="176"/>
        <v/>
      </c>
      <c r="BD265" s="595"/>
      <c r="BE265" s="595"/>
      <c r="BF265" s="595"/>
      <c r="BG265" s="595"/>
      <c r="BH265" s="595"/>
      <c r="BI265" s="595"/>
      <c r="BJ265" s="595"/>
      <c r="BK265" s="595"/>
      <c r="BL265" s="595"/>
      <c r="BM265" s="595"/>
      <c r="BN265" s="595"/>
      <c r="BO265" s="651"/>
      <c r="BP265" s="651"/>
      <c r="BQ265" s="651"/>
      <c r="BR265" s="651"/>
      <c r="BS265" s="651"/>
      <c r="BT265" s="651"/>
    </row>
    <row r="266">
      <c r="A266" s="1360"/>
      <c r="B266" s="12" t="s">
        <v>176</v>
      </c>
      <c r="C266" s="329" t="s">
        <v>270</v>
      </c>
      <c r="D266" s="821"/>
      <c r="E266" s="822"/>
      <c r="F266" s="823"/>
      <c r="G266" s="825"/>
      <c r="H266" s="825"/>
      <c r="I266" s="333" t="s">
        <v>18</v>
      </c>
      <c r="J266" s="334" t="s">
        <v>15</v>
      </c>
      <c r="K266" s="335" t="s">
        <v>26</v>
      </c>
      <c r="L266" s="878"/>
      <c r="M266" s="878"/>
      <c r="N266" s="857">
        <f>SUM(N267:N281)</f>
        <v>0</v>
      </c>
      <c r="O266" s="950"/>
      <c r="P266" s="939">
        <f>IFERROR(__xludf.DUMMYFUNCTION("IF(Q266="""","""",
   IF(Q266=0,0,
      IF(ISNUMBER(MATCH(Q266,FILTER(R$247:R$367,T$247:T$367&lt;&gt;0),0)),1,0)
   )
)"),1.0)</f>
        <v>1</v>
      </c>
      <c r="Q266" s="941" t="str">
        <f>IFERROR(__xludf.DUMMYFUNCTION("""COMPUTED_VALUE"""),"R-TU/TD")</f>
        <v>R-TU/TD</v>
      </c>
      <c r="R266" s="929" t="s">
        <v>348</v>
      </c>
      <c r="S266" s="930" t="s">
        <v>55</v>
      </c>
      <c r="T266" s="488">
        <f t="shared" si="177"/>
        <v>0</v>
      </c>
      <c r="U266" s="489">
        <f t="shared" si="158"/>
        <v>4</v>
      </c>
      <c r="V266" s="490" t="str">
        <f t="shared" si="159"/>
        <v>#REF!</v>
      </c>
      <c r="W266" s="491">
        <f>(20/9)*$X$232</f>
        <v>8.888888889</v>
      </c>
      <c r="X266" s="489">
        <f t="shared" ref="X266:X267" si="228">W266*W$242</f>
        <v>71.11111111</v>
      </c>
      <c r="Y266" s="492">
        <f t="shared" ref="Y266:Y267" si="229">ROUNDUP(T266/X266,2)</f>
        <v>0</v>
      </c>
      <c r="Z266" s="493" t="str">
        <f t="shared" ref="Z266:Z267" si="230">Y266*V266*U266*W$242</f>
        <v>#REF!</v>
      </c>
      <c r="AA266" s="931" t="str">
        <f t="shared" ref="AA266:AA267" si="231">iferror(Z266/T266,"")</f>
        <v/>
      </c>
      <c r="AB266" s="925" t="str">
        <f t="shared" si="172"/>
        <v/>
      </c>
      <c r="AC266" s="1441"/>
      <c r="AD266" s="939" t="str">
        <f>IFERROR(__xludf.DUMMYFUNCTION("IF(AE266="""","""",
   IF(AE266=0,0,
      IF(ISNUMBER(MATCH(AE266,FILTER(AF$245:AF$303,AH$245:AH$303&lt;&gt;0),0)),1,0)
   )
)"),"")</f>
        <v/>
      </c>
      <c r="AE266" s="943"/>
      <c r="AF266" s="929" t="s">
        <v>355</v>
      </c>
      <c r="AG266" s="930" t="s">
        <v>55</v>
      </c>
      <c r="AH266" s="488">
        <f t="shared" si="173"/>
        <v>0</v>
      </c>
      <c r="AI266" s="489">
        <f t="shared" si="223"/>
        <v>4</v>
      </c>
      <c r="AJ266" s="490" t="str">
        <f t="shared" si="162"/>
        <v>#REF!</v>
      </c>
      <c r="AK266" s="491">
        <f>(40/2)*$X$232</f>
        <v>80</v>
      </c>
      <c r="AL266" s="489">
        <f t="shared" ref="AL266:AL270" si="232">AK266*AK$242</f>
        <v>640</v>
      </c>
      <c r="AM266" s="492">
        <f t="shared" ref="AM266:AM270" si="233">ROUNDUP(AH266/AL266,2)</f>
        <v>0</v>
      </c>
      <c r="AN266" s="493" t="str">
        <f t="shared" ref="AN266:AN270" si="234">AM266*AJ266*AI266*AK$242</f>
        <v>#REF!</v>
      </c>
      <c r="AO266" s="494" t="str">
        <f t="shared" ref="AO266:AO303" si="235">iferror(AN266/AH266,"")</f>
        <v/>
      </c>
      <c r="AP266" s="925" t="str">
        <f t="shared" si="164"/>
        <v/>
      </c>
      <c r="AQ266" s="651"/>
      <c r="AR266" s="939" t="str">
        <f>IFERROR(__xludf.DUMMYFUNCTION("IF(AS266="""","""",
   IF(AS266=0,0,
      IF(ISNUMBER(MATCH(AS266,FILTER(AT$245:AT$283,AV$245:AV$283&lt;&gt;0),0)),1,0)
   )
)"),"")</f>
        <v/>
      </c>
      <c r="AS266" s="943"/>
      <c r="AT266" s="486" t="s">
        <v>350</v>
      </c>
      <c r="AU266" s="487" t="s">
        <v>55</v>
      </c>
      <c r="AV266" s="488">
        <f t="shared" si="175"/>
        <v>0</v>
      </c>
      <c r="AW266" s="489">
        <f t="shared" ref="AW266:AW274" si="236">$X$232</f>
        <v>4</v>
      </c>
      <c r="AX266" s="924" t="str">
        <f t="shared" ref="AX266:AX274" si="237">AY$235</f>
        <v/>
      </c>
      <c r="AY266" s="491">
        <f t="shared" ref="AY266:AY267" si="238">(20/1)*$X$232</f>
        <v>80</v>
      </c>
      <c r="AZ266" s="489">
        <f t="shared" ref="AZ266:AZ274" si="239">AY266*AY$242</f>
        <v>640</v>
      </c>
      <c r="BA266" s="492">
        <f t="shared" ref="BA266:BA274" si="240">ROUNDUP(AV266/AZ266,2)</f>
        <v>0</v>
      </c>
      <c r="BB266" s="493">
        <f t="shared" ref="BB266:BB274" si="241">BA266*AX266*AW266*AY$242</f>
        <v>0</v>
      </c>
      <c r="BC266" s="494" t="str">
        <f t="shared" si="176"/>
        <v/>
      </c>
      <c r="BD266" s="595"/>
      <c r="BE266" s="595"/>
      <c r="BF266" s="595"/>
      <c r="BG266" s="595"/>
      <c r="BH266" s="595"/>
      <c r="BI266" s="595"/>
      <c r="BJ266" s="595"/>
      <c r="BK266" s="595"/>
      <c r="BL266" s="595"/>
      <c r="BM266" s="595"/>
      <c r="BN266" s="595"/>
      <c r="BO266" s="651"/>
      <c r="BP266" s="651"/>
      <c r="BQ266" s="651"/>
      <c r="BR266" s="651"/>
      <c r="BS266" s="651"/>
      <c r="BT266" s="651"/>
    </row>
    <row r="267">
      <c r="A267" s="1360"/>
      <c r="B267" s="584"/>
      <c r="C267" s="499" t="s">
        <v>271</v>
      </c>
      <c r="D267" s="844"/>
      <c r="E267" s="845"/>
      <c r="F267" s="846"/>
      <c r="G267" s="848"/>
      <c r="H267" s="848"/>
      <c r="I267" s="437">
        <v>2.0</v>
      </c>
      <c r="J267" s="504">
        <v>3.0</v>
      </c>
      <c r="K267" s="370">
        <v>750.0</v>
      </c>
      <c r="L267" s="850"/>
      <c r="M267" s="401">
        <v>0.0</v>
      </c>
      <c r="N267" s="849">
        <f t="shared" ref="N267:N270" si="242">M267*K267*J267*I267</f>
        <v>0</v>
      </c>
      <c r="O267" s="590"/>
      <c r="P267" s="939">
        <f>IFERROR(__xludf.DUMMYFUNCTION("IF(Q267="""","""",
   IF(Q267=0,0,
      IF(ISNUMBER(MATCH(Q267,FILTER(R$247:R$367,T$247:T$367&lt;&gt;0),0)),1,0)
   )
)"),0.0)</f>
        <v>0</v>
      </c>
      <c r="Q267" s="941" t="str">
        <f>IFERROR(__xludf.DUMMYFUNCTION("""COMPUTED_VALUE"""),"R-Tape")</f>
        <v>R-Tape</v>
      </c>
      <c r="R267" s="929" t="s">
        <v>351</v>
      </c>
      <c r="S267" s="930" t="s">
        <v>52</v>
      </c>
      <c r="T267" s="488">
        <f t="shared" si="177"/>
        <v>1</v>
      </c>
      <c r="U267" s="489">
        <f t="shared" si="158"/>
        <v>4</v>
      </c>
      <c r="V267" s="490" t="str">
        <f t="shared" si="159"/>
        <v>#REF!</v>
      </c>
      <c r="W267" s="491">
        <f>(20/1)*$X$232</f>
        <v>80</v>
      </c>
      <c r="X267" s="489">
        <f t="shared" si="228"/>
        <v>640</v>
      </c>
      <c r="Y267" s="492">
        <f t="shared" si="229"/>
        <v>0.01</v>
      </c>
      <c r="Z267" s="493" t="str">
        <f t="shared" si="230"/>
        <v>#REF!</v>
      </c>
      <c r="AA267" s="931" t="str">
        <f t="shared" si="231"/>
        <v/>
      </c>
      <c r="AB267" s="925" t="str">
        <f t="shared" si="172"/>
        <v/>
      </c>
      <c r="AC267" s="1441"/>
      <c r="AD267" s="939" t="str">
        <f>IFERROR(__xludf.DUMMYFUNCTION("IF(AE267="""","""",
   IF(AE267=0,0,
      IF(ISNUMBER(MATCH(AE267,FILTER(AF$245:AF$303,AH$245:AH$303&lt;&gt;0),0)),1,0)
   )
)"),"")</f>
        <v/>
      </c>
      <c r="AE267" s="943"/>
      <c r="AF267" s="929" t="s">
        <v>358</v>
      </c>
      <c r="AG267" s="930" t="s">
        <v>52</v>
      </c>
      <c r="AH267" s="488">
        <f t="shared" si="173"/>
        <v>0</v>
      </c>
      <c r="AI267" s="489">
        <f t="shared" si="223"/>
        <v>4</v>
      </c>
      <c r="AJ267" s="924" t="str">
        <f t="shared" ref="AJ267:AJ270" si="243">AN$235</f>
        <v/>
      </c>
      <c r="AK267" s="491">
        <f>(10/4)*$X$232</f>
        <v>10</v>
      </c>
      <c r="AL267" s="489">
        <f t="shared" si="232"/>
        <v>80</v>
      </c>
      <c r="AM267" s="492">
        <f t="shared" si="233"/>
        <v>0</v>
      </c>
      <c r="AN267" s="493">
        <f t="shared" si="234"/>
        <v>0</v>
      </c>
      <c r="AO267" s="494" t="str">
        <f t="shared" si="235"/>
        <v/>
      </c>
      <c r="AP267" s="925" t="str">
        <f t="shared" si="164"/>
        <v/>
      </c>
      <c r="AQ267" s="651"/>
      <c r="AR267" s="939" t="str">
        <f>IFERROR(__xludf.DUMMYFUNCTION("IF(AS267="""","""",
   IF(AS267=0,0,
      IF(ISNUMBER(MATCH(AS267,FILTER(AT$245:AT$283,AV$245:AV$283&lt;&gt;0),0)),1,0)
   )
)"),"")</f>
        <v/>
      </c>
      <c r="AS267" s="943"/>
      <c r="AT267" s="486" t="s">
        <v>336</v>
      </c>
      <c r="AU267" s="487" t="s">
        <v>55</v>
      </c>
      <c r="AV267" s="488">
        <f t="shared" si="175"/>
        <v>0</v>
      </c>
      <c r="AW267" s="489">
        <f t="shared" si="236"/>
        <v>4</v>
      </c>
      <c r="AX267" s="924" t="str">
        <f t="shared" si="237"/>
        <v/>
      </c>
      <c r="AY267" s="491">
        <f t="shared" si="238"/>
        <v>80</v>
      </c>
      <c r="AZ267" s="489">
        <f t="shared" si="239"/>
        <v>640</v>
      </c>
      <c r="BA267" s="492">
        <f t="shared" si="240"/>
        <v>0</v>
      </c>
      <c r="BB267" s="493">
        <f t="shared" si="241"/>
        <v>0</v>
      </c>
      <c r="BC267" s="494" t="str">
        <f t="shared" si="176"/>
        <v/>
      </c>
      <c r="BD267" s="595"/>
      <c r="BE267" s="595"/>
      <c r="BF267" s="595"/>
      <c r="BG267" s="595"/>
      <c r="BH267" s="595"/>
      <c r="BI267" s="595"/>
      <c r="BJ267" s="595"/>
      <c r="BK267" s="595"/>
      <c r="BL267" s="595"/>
      <c r="BM267" s="595"/>
      <c r="BN267" s="595"/>
      <c r="BO267" s="651"/>
      <c r="BP267" s="651"/>
      <c r="BQ267" s="651"/>
      <c r="BR267" s="651"/>
      <c r="BS267" s="651"/>
      <c r="BT267" s="651"/>
    </row>
    <row r="268">
      <c r="A268" s="1360"/>
      <c r="B268" s="584"/>
      <c r="C268" s="499" t="s">
        <v>272</v>
      </c>
      <c r="D268" s="844"/>
      <c r="E268" s="845"/>
      <c r="F268" s="846"/>
      <c r="G268" s="848"/>
      <c r="H268" s="848"/>
      <c r="I268" s="437">
        <v>1.0</v>
      </c>
      <c r="J268" s="504">
        <v>10.0</v>
      </c>
      <c r="K268" s="370">
        <v>750.0</v>
      </c>
      <c r="L268" s="850"/>
      <c r="M268" s="401">
        <v>0.0</v>
      </c>
      <c r="N268" s="849">
        <f t="shared" si="242"/>
        <v>0</v>
      </c>
      <c r="O268" s="590"/>
      <c r="P268" s="939">
        <f>IFERROR(__xludf.DUMMYFUNCTION("IF(Q268="""","""",
   IF(Q268=0,0,
      IF(ISNUMBER(MATCH(Q268,FILTER(R$247:R$367,T$247:T$367&lt;&gt;0),0)),1,0)
   )
)"),0.0)</f>
        <v>0</v>
      </c>
      <c r="Q268" s="941" t="str">
        <f>IFERROR(__xludf.DUMMYFUNCTION("""COMPUTED_VALUE"""),"R-Timber LM")</f>
        <v>R-Timber LM</v>
      </c>
      <c r="R268" s="929" t="s">
        <v>353</v>
      </c>
      <c r="S268" s="930" t="s">
        <v>52</v>
      </c>
      <c r="T268" s="488">
        <f t="shared" si="177"/>
        <v>3</v>
      </c>
      <c r="U268" s="489">
        <f t="shared" si="158"/>
        <v>4</v>
      </c>
      <c r="V268" s="490" t="str">
        <f t="shared" si="159"/>
        <v>#REF!</v>
      </c>
      <c r="W268" s="491"/>
      <c r="X268" s="489"/>
      <c r="Y268" s="492"/>
      <c r="Z268" s="493"/>
      <c r="AA268" s="931"/>
      <c r="AB268" s="925" t="str">
        <f t="shared" si="172"/>
        <v/>
      </c>
      <c r="AC268" s="1441"/>
      <c r="AD268" s="939" t="str">
        <f>IFERROR(__xludf.DUMMYFUNCTION("IF(AE268="""","""",
   IF(AE268=0,0,
      IF(ISNUMBER(MATCH(AE268,FILTER(AF$245:AF$303,AH$245:AH$303&lt;&gt;0),0)),1,0)
   )
)"),"")</f>
        <v/>
      </c>
      <c r="AE268" s="943"/>
      <c r="AF268" s="929" t="s">
        <v>361</v>
      </c>
      <c r="AG268" s="930" t="s">
        <v>52</v>
      </c>
      <c r="AH268" s="488">
        <f t="shared" si="173"/>
        <v>0</v>
      </c>
      <c r="AI268" s="489">
        <f t="shared" si="223"/>
        <v>4</v>
      </c>
      <c r="AJ268" s="924" t="str">
        <f t="shared" si="243"/>
        <v/>
      </c>
      <c r="AK268" s="491">
        <f>(20/1)*$X$232</f>
        <v>80</v>
      </c>
      <c r="AL268" s="489">
        <f t="shared" si="232"/>
        <v>640</v>
      </c>
      <c r="AM268" s="492">
        <f t="shared" si="233"/>
        <v>0</v>
      </c>
      <c r="AN268" s="493">
        <f t="shared" si="234"/>
        <v>0</v>
      </c>
      <c r="AO268" s="494" t="str">
        <f t="shared" si="235"/>
        <v/>
      </c>
      <c r="AP268" s="925" t="str">
        <f t="shared" si="164"/>
        <v/>
      </c>
      <c r="AQ268" s="651"/>
      <c r="AR268" s="939" t="str">
        <f>IFERROR(__xludf.DUMMYFUNCTION("IF(AS268="""","""",
   IF(AS268=0,0,
      IF(ISNUMBER(MATCH(AS268,FILTER(AT$245:AT$283,AV$245:AV$283&lt;&gt;0),0)),1,0)
   )
)"),"")</f>
        <v/>
      </c>
      <c r="AS268" s="943"/>
      <c r="AT268" s="486" t="s">
        <v>354</v>
      </c>
      <c r="AU268" s="487" t="s">
        <v>52</v>
      </c>
      <c r="AV268" s="488">
        <f t="shared" si="175"/>
        <v>0</v>
      </c>
      <c r="AW268" s="489">
        <f t="shared" si="236"/>
        <v>4</v>
      </c>
      <c r="AX268" s="924" t="str">
        <f t="shared" si="237"/>
        <v/>
      </c>
      <c r="AY268" s="491">
        <f>(1/2)*$X$232</f>
        <v>2</v>
      </c>
      <c r="AZ268" s="489">
        <f t="shared" si="239"/>
        <v>16</v>
      </c>
      <c r="BA268" s="492">
        <f t="shared" si="240"/>
        <v>0</v>
      </c>
      <c r="BB268" s="493">
        <f t="shared" si="241"/>
        <v>0</v>
      </c>
      <c r="BC268" s="494" t="str">
        <f t="shared" si="176"/>
        <v/>
      </c>
      <c r="BD268" s="595"/>
      <c r="BE268" s="595"/>
      <c r="BF268" s="595"/>
      <c r="BG268" s="595"/>
      <c r="BH268" s="595"/>
      <c r="BI268" s="595"/>
      <c r="BJ268" s="595"/>
      <c r="BK268" s="595"/>
      <c r="BL268" s="595"/>
      <c r="BM268" s="595"/>
      <c r="BN268" s="595"/>
      <c r="BO268" s="651"/>
      <c r="BP268" s="651"/>
      <c r="BQ268" s="651"/>
      <c r="BR268" s="651"/>
      <c r="BS268" s="651"/>
      <c r="BT268" s="651"/>
    </row>
    <row r="269">
      <c r="A269" s="1360"/>
      <c r="B269" s="584"/>
      <c r="C269" s="499" t="s">
        <v>273</v>
      </c>
      <c r="D269" s="844"/>
      <c r="E269" s="845"/>
      <c r="F269" s="846"/>
      <c r="G269" s="848"/>
      <c r="H269" s="848"/>
      <c r="I269" s="437">
        <v>1.0</v>
      </c>
      <c r="J269" s="504">
        <f>J268</f>
        <v>10</v>
      </c>
      <c r="K269" s="370">
        <v>95.0</v>
      </c>
      <c r="L269" s="850"/>
      <c r="M269" s="401">
        <v>0.0</v>
      </c>
      <c r="N269" s="849">
        <f t="shared" si="242"/>
        <v>0</v>
      </c>
      <c r="O269" s="590"/>
      <c r="P269" s="939">
        <f>IFERROR(__xludf.DUMMYFUNCTION("IF(Q269="""","""",
   IF(Q269=0,0,
      IF(ISNUMBER(MATCH(Q269,FILTER(R$247:R$367,T$247:T$367&lt;&gt;0),0)),1,0)
   )
)"),0.0)</f>
        <v>0</v>
      </c>
      <c r="Q269" s="941" t="str">
        <f>IFERROR(__xludf.DUMMYFUNCTION("""COMPUTED_VALUE"""),"R-DPC")</f>
        <v>R-DPC</v>
      </c>
      <c r="R269" s="929" t="s">
        <v>126</v>
      </c>
      <c r="S269" s="930" t="s">
        <v>55</v>
      </c>
      <c r="T269" s="488">
        <f t="shared" si="177"/>
        <v>0</v>
      </c>
      <c r="U269" s="489">
        <f t="shared" si="158"/>
        <v>4</v>
      </c>
      <c r="V269" s="490" t="str">
        <f t="shared" si="159"/>
        <v>#REF!</v>
      </c>
      <c r="W269" s="491">
        <f>(20/1)*$X$232</f>
        <v>80</v>
      </c>
      <c r="X269" s="489">
        <f>W269*W$242</f>
        <v>640</v>
      </c>
      <c r="Y269" s="492">
        <f>ROUNDUP(T269/X269,2)</f>
        <v>0</v>
      </c>
      <c r="Z269" s="493" t="str">
        <f>Y269*V269*U269*W$242</f>
        <v>#REF!</v>
      </c>
      <c r="AA269" s="931" t="str">
        <f>iferror(Z269/T269,"")</f>
        <v/>
      </c>
      <c r="AB269" s="925" t="str">
        <f t="shared" si="172"/>
        <v/>
      </c>
      <c r="AC269" s="1441"/>
      <c r="AD269" s="939" t="str">
        <f>IFERROR(__xludf.DUMMYFUNCTION("IF(AE269="""","""",
   IF(AE269=0,0,
      IF(ISNUMBER(MATCH(AE269,FILTER(AF$245:AF$303,AH$245:AH$303&lt;&gt;0),0)),1,0)
   )
)"),"")</f>
        <v/>
      </c>
      <c r="AE269" s="943"/>
      <c r="AF269" s="929" t="s">
        <v>363</v>
      </c>
      <c r="AG269" s="930" t="s">
        <v>52</v>
      </c>
      <c r="AH269" s="488">
        <f t="shared" si="173"/>
        <v>0</v>
      </c>
      <c r="AI269" s="489">
        <f t="shared" si="223"/>
        <v>4</v>
      </c>
      <c r="AJ269" s="924" t="str">
        <f t="shared" si="243"/>
        <v/>
      </c>
      <c r="AK269" s="491">
        <f>(5/4)*$X$232</f>
        <v>5</v>
      </c>
      <c r="AL269" s="489">
        <f t="shared" si="232"/>
        <v>40</v>
      </c>
      <c r="AM269" s="492">
        <f t="shared" si="233"/>
        <v>0</v>
      </c>
      <c r="AN269" s="493">
        <f t="shared" si="234"/>
        <v>0</v>
      </c>
      <c r="AO269" s="494" t="str">
        <f t="shared" si="235"/>
        <v/>
      </c>
      <c r="AP269" s="925" t="str">
        <f t="shared" si="164"/>
        <v/>
      </c>
      <c r="AQ269" s="651"/>
      <c r="AR269" s="939" t="str">
        <f>IFERROR(__xludf.DUMMYFUNCTION("IF(AS269="""","""",
   IF(AS269=0,0,
      IF(ISNUMBER(MATCH(AS269,FILTER(AT$245:AT$283,AV$245:AV$283&lt;&gt;0),0)),1,0)
   )
)"),"")</f>
        <v/>
      </c>
      <c r="AS269" s="943"/>
      <c r="AT269" s="486" t="s">
        <v>356</v>
      </c>
      <c r="AU269" s="487" t="s">
        <v>52</v>
      </c>
      <c r="AV269" s="488">
        <f t="shared" si="175"/>
        <v>0</v>
      </c>
      <c r="AW269" s="489">
        <f t="shared" si="236"/>
        <v>4</v>
      </c>
      <c r="AX269" s="924" t="str">
        <f t="shared" si="237"/>
        <v/>
      </c>
      <c r="AY269" s="491">
        <f>(0.5/2)*$X$232</f>
        <v>1</v>
      </c>
      <c r="AZ269" s="489">
        <f t="shared" si="239"/>
        <v>8</v>
      </c>
      <c r="BA269" s="492">
        <f t="shared" si="240"/>
        <v>0</v>
      </c>
      <c r="BB269" s="493">
        <f t="shared" si="241"/>
        <v>0</v>
      </c>
      <c r="BC269" s="494" t="str">
        <f t="shared" si="176"/>
        <v/>
      </c>
      <c r="BD269" s="595"/>
      <c r="BE269" s="595"/>
      <c r="BF269" s="595"/>
      <c r="BG269" s="595"/>
      <c r="BH269" s="595"/>
      <c r="BI269" s="595"/>
      <c r="BJ269" s="595"/>
      <c r="BK269" s="595"/>
      <c r="BL269" s="595"/>
      <c r="BM269" s="595"/>
      <c r="BN269" s="595"/>
      <c r="BO269" s="651"/>
      <c r="BP269" s="651"/>
      <c r="BQ269" s="651"/>
      <c r="BR269" s="651"/>
      <c r="BS269" s="651"/>
      <c r="BT269" s="651"/>
    </row>
    <row r="270">
      <c r="A270" s="1360"/>
      <c r="B270" s="584"/>
      <c r="C270" s="499" t="s">
        <v>274</v>
      </c>
      <c r="D270" s="844"/>
      <c r="E270" s="845"/>
      <c r="F270" s="846"/>
      <c r="G270" s="848"/>
      <c r="H270" s="848"/>
      <c r="I270" s="437">
        <v>5.0</v>
      </c>
      <c r="J270" s="436">
        <v>2.0</v>
      </c>
      <c r="K270" s="370">
        <v>1000.0</v>
      </c>
      <c r="L270" s="850"/>
      <c r="M270" s="401">
        <v>0.0</v>
      </c>
      <c r="N270" s="849">
        <f t="shared" si="242"/>
        <v>0</v>
      </c>
      <c r="O270" s="590"/>
      <c r="P270" s="939">
        <f>IFERROR(__xludf.DUMMYFUNCTION("IF(Q270="""","""",
   IF(Q270=0,0,
      IF(ISNUMBER(MATCH(Q270,FILTER(R$247:R$367,T$247:T$367&lt;&gt;0),0)),1,0)
   )
)"),0.0)</f>
        <v>0</v>
      </c>
      <c r="Q270" s="941" t="str">
        <f>IFERROR(__xludf.DUMMYFUNCTION("""COMPUTED_VALUE"""),"R-Fascia")</f>
        <v>R-Fascia</v>
      </c>
      <c r="R270" s="929" t="s">
        <v>111</v>
      </c>
      <c r="S270" s="930" t="s">
        <v>55</v>
      </c>
      <c r="T270" s="488">
        <f t="shared" si="177"/>
        <v>0</v>
      </c>
      <c r="U270" s="489">
        <f t="shared" si="158"/>
        <v>4</v>
      </c>
      <c r="V270" s="490" t="str">
        <f t="shared" si="159"/>
        <v>#REF!</v>
      </c>
      <c r="W270" s="491"/>
      <c r="X270" s="489"/>
      <c r="Y270" s="492"/>
      <c r="Z270" s="493"/>
      <c r="AA270" s="931"/>
      <c r="AB270" s="925" t="str">
        <f t="shared" si="172"/>
        <v/>
      </c>
      <c r="AC270" s="1441"/>
      <c r="AD270" s="939" t="str">
        <f>IFERROR(__xludf.DUMMYFUNCTION("IF(AE270="""","""",
   IF(AE270=0,0,
      IF(ISNUMBER(MATCH(AE270,FILTER(AF$245:AF$303,AH$245:AH$303&lt;&gt;0),0)),1,0)
   )
)"),"")</f>
        <v/>
      </c>
      <c r="AE270" s="943"/>
      <c r="AF270" s="929" t="s">
        <v>366</v>
      </c>
      <c r="AG270" s="930" t="s">
        <v>41</v>
      </c>
      <c r="AH270" s="488">
        <f t="shared" si="173"/>
        <v>0</v>
      </c>
      <c r="AI270" s="489">
        <f t="shared" si="223"/>
        <v>4</v>
      </c>
      <c r="AJ270" s="924" t="str">
        <f t="shared" si="243"/>
        <v/>
      </c>
      <c r="AK270" s="491">
        <f>(100/4)*$X$232</f>
        <v>100</v>
      </c>
      <c r="AL270" s="489">
        <f t="shared" si="232"/>
        <v>800</v>
      </c>
      <c r="AM270" s="492">
        <f t="shared" si="233"/>
        <v>0</v>
      </c>
      <c r="AN270" s="493">
        <f t="shared" si="234"/>
        <v>0</v>
      </c>
      <c r="AO270" s="494" t="str">
        <f t="shared" si="235"/>
        <v/>
      </c>
      <c r="AP270" s="925" t="str">
        <f t="shared" si="164"/>
        <v/>
      </c>
      <c r="AQ270" s="651"/>
      <c r="AR270" s="939" t="str">
        <f>IFERROR(__xludf.DUMMYFUNCTION("IF(AS270="""","""",
   IF(AS270=0,0,
      IF(ISNUMBER(MATCH(AS270,FILTER(AT$245:AT$283,AV$245:AV$283&lt;&gt;0),0)),1,0)
   )
)"),"")</f>
        <v/>
      </c>
      <c r="AS270" s="943"/>
      <c r="AT270" s="486" t="s">
        <v>357</v>
      </c>
      <c r="AU270" s="487" t="s">
        <v>52</v>
      </c>
      <c r="AV270" s="488">
        <f t="shared" si="175"/>
        <v>0</v>
      </c>
      <c r="AW270" s="489">
        <f t="shared" si="236"/>
        <v>4</v>
      </c>
      <c r="AX270" s="924" t="str">
        <f t="shared" si="237"/>
        <v/>
      </c>
      <c r="AY270" s="491">
        <f>(2/2)*$X$232</f>
        <v>4</v>
      </c>
      <c r="AZ270" s="489">
        <f t="shared" si="239"/>
        <v>32</v>
      </c>
      <c r="BA270" s="492">
        <f t="shared" si="240"/>
        <v>0</v>
      </c>
      <c r="BB270" s="493">
        <f t="shared" si="241"/>
        <v>0</v>
      </c>
      <c r="BC270" s="494" t="str">
        <f t="shared" si="176"/>
        <v/>
      </c>
      <c r="BD270" s="595"/>
      <c r="BE270" s="595"/>
      <c r="BF270" s="595"/>
      <c r="BG270" s="595"/>
      <c r="BH270" s="595"/>
      <c r="BI270" s="595"/>
      <c r="BJ270" s="595"/>
      <c r="BK270" s="595"/>
      <c r="BL270" s="595"/>
      <c r="BM270" s="595"/>
      <c r="BN270" s="595"/>
      <c r="BO270" s="651"/>
      <c r="BP270" s="651"/>
      <c r="BQ270" s="651"/>
      <c r="BR270" s="651"/>
      <c r="BS270" s="651"/>
      <c r="BT270" s="651"/>
    </row>
    <row r="271">
      <c r="A271" s="1360"/>
      <c r="B271" s="584"/>
      <c r="C271" s="851"/>
      <c r="D271" s="609"/>
      <c r="E271" s="585"/>
      <c r="F271" s="586"/>
      <c r="G271" s="584"/>
      <c r="H271" s="584"/>
      <c r="I271" s="443"/>
      <c r="J271" s="443"/>
      <c r="K271" s="349"/>
      <c r="L271" s="588"/>
      <c r="M271" s="951"/>
      <c r="N271" s="833"/>
      <c r="O271" s="590"/>
      <c r="P271" s="939">
        <f>IFERROR(__xludf.DUMMYFUNCTION("IF(Q271="""","""",
   IF(Q271=0,0,
      IF(ISNUMBER(MATCH(Q271,FILTER(R$247:R$367,T$247:T$367&lt;&gt;0),0)),1,0)
   )
)"),1.0)</f>
        <v>1</v>
      </c>
      <c r="Q271" s="941" t="str">
        <f>IFERROR(__xludf.DUMMYFUNCTION("""COMPUTED_VALUE"""),"R-PanFlash Fix")</f>
        <v>R-PanFlash Fix</v>
      </c>
      <c r="R271" s="929" t="s">
        <v>105</v>
      </c>
      <c r="S271" s="930" t="s">
        <v>55</v>
      </c>
      <c r="T271" s="488">
        <f t="shared" si="177"/>
        <v>4.18</v>
      </c>
      <c r="U271" s="489">
        <f t="shared" si="158"/>
        <v>4</v>
      </c>
      <c r="V271" s="490" t="str">
        <f t="shared" si="159"/>
        <v>#REF!</v>
      </c>
      <c r="W271" s="491">
        <f>(20/1)*$X$232</f>
        <v>80</v>
      </c>
      <c r="X271" s="489">
        <f>W271*W$242</f>
        <v>640</v>
      </c>
      <c r="Y271" s="492">
        <f>ROUNDUP(T271/X271,2)</f>
        <v>0.01</v>
      </c>
      <c r="Z271" s="493" t="str">
        <f>Y271*V271*U271*W$242</f>
        <v>#REF!</v>
      </c>
      <c r="AA271" s="931" t="str">
        <f>iferror(Z271/T271,"")</f>
        <v/>
      </c>
      <c r="AB271" s="925" t="str">
        <f t="shared" si="172"/>
        <v/>
      </c>
      <c r="AC271" s="1441"/>
      <c r="AD271" s="939" t="str">
        <f>IFERROR(__xludf.DUMMYFUNCTION("IF(AE271="""","""",
   IF(AE271=0,0,
      IF(ISNUMBER(MATCH(AE271,FILTER(AF$245:AF$303,AH$245:AH$303&lt;&gt;0),0)),1,0)
   )
)"),"")</f>
        <v/>
      </c>
      <c r="AE271" s="943"/>
      <c r="AF271" s="929" t="s">
        <v>368</v>
      </c>
      <c r="AG271" s="930" t="s">
        <v>41</v>
      </c>
      <c r="AH271" s="488">
        <f t="shared" si="173"/>
        <v>0</v>
      </c>
      <c r="AI271" s="935"/>
      <c r="AJ271" s="924"/>
      <c r="AK271" s="935"/>
      <c r="AL271" s="935"/>
      <c r="AM271" s="935"/>
      <c r="AN271" s="936"/>
      <c r="AO271" s="494" t="str">
        <f t="shared" si="235"/>
        <v/>
      </c>
      <c r="AP271" s="925" t="str">
        <f t="shared" si="164"/>
        <v/>
      </c>
      <c r="AQ271" s="651"/>
      <c r="AR271" s="939" t="str">
        <f>IFERROR(__xludf.DUMMYFUNCTION("IF(AS271="""","""",
   IF(AS271=0,0,
      IF(ISNUMBER(MATCH(AS271,FILTER(AT$245:AT$283,AV$245:AV$283&lt;&gt;0),0)),1,0)
   )
)"),"")</f>
        <v/>
      </c>
      <c r="AS271" s="943"/>
      <c r="AT271" s="486" t="s">
        <v>359</v>
      </c>
      <c r="AU271" s="487" t="s">
        <v>41</v>
      </c>
      <c r="AV271" s="488">
        <f t="shared" si="175"/>
        <v>0</v>
      </c>
      <c r="AW271" s="489">
        <f t="shared" si="236"/>
        <v>4</v>
      </c>
      <c r="AX271" s="924" t="str">
        <f t="shared" si="237"/>
        <v/>
      </c>
      <c r="AY271" s="491">
        <f>(5/4)*$X$232</f>
        <v>5</v>
      </c>
      <c r="AZ271" s="489">
        <f t="shared" si="239"/>
        <v>40</v>
      </c>
      <c r="BA271" s="492">
        <f t="shared" si="240"/>
        <v>0</v>
      </c>
      <c r="BB271" s="493">
        <f t="shared" si="241"/>
        <v>0</v>
      </c>
      <c r="BC271" s="494" t="str">
        <f t="shared" si="176"/>
        <v/>
      </c>
      <c r="BD271" s="595"/>
      <c r="BE271" s="595"/>
      <c r="BF271" s="595"/>
      <c r="BG271" s="595"/>
      <c r="BH271" s="595"/>
      <c r="BI271" s="595"/>
      <c r="BJ271" s="595"/>
      <c r="BK271" s="595"/>
      <c r="BL271" s="595"/>
      <c r="BM271" s="595"/>
      <c r="BN271" s="595"/>
      <c r="BO271" s="651"/>
      <c r="BP271" s="651"/>
      <c r="BQ271" s="651"/>
      <c r="BR271" s="651"/>
      <c r="BS271" s="651"/>
      <c r="BT271" s="651"/>
    </row>
    <row r="272">
      <c r="A272" s="1360"/>
      <c r="B272" s="584"/>
      <c r="C272" s="952" t="s">
        <v>592</v>
      </c>
      <c r="D272" s="844"/>
      <c r="E272" s="845"/>
      <c r="F272" s="846"/>
      <c r="G272" s="848"/>
      <c r="H272" s="848"/>
      <c r="I272" s="953">
        <v>1.0</v>
      </c>
      <c r="J272" s="504">
        <v>1.0</v>
      </c>
      <c r="K272" s="948">
        <v>260.0</v>
      </c>
      <c r="L272" s="850"/>
      <c r="M272" s="870">
        <v>0.0</v>
      </c>
      <c r="N272" s="849">
        <f t="shared" ref="N272:N275" si="244">M272*K272*J272*I272</f>
        <v>0</v>
      </c>
      <c r="O272" s="590"/>
      <c r="P272" s="939">
        <f>IFERROR(__xludf.DUMMYFUNCTION("IF(Q272="""","""",
   IF(Q272=0,0,
      IF(ISNUMBER(MATCH(Q272,FILTER(R$247:R$367,T$247:T$367&lt;&gt;0),0)),1,0)
   )
)"),0.0)</f>
        <v>0</v>
      </c>
      <c r="Q272" s="941" t="str">
        <f>IFERROR(__xludf.DUMMYFUNCTION("""COMPUTED_VALUE"""),"R-FFSide")</f>
        <v>R-FFSide</v>
      </c>
      <c r="R272" s="929" t="s">
        <v>360</v>
      </c>
      <c r="S272" s="930" t="s">
        <v>52</v>
      </c>
      <c r="T272" s="488" t="str">
        <f t="shared" si="177"/>
        <v>#REF!</v>
      </c>
      <c r="U272" s="489">
        <f t="shared" si="158"/>
        <v>4</v>
      </c>
      <c r="V272" s="490" t="str">
        <f t="shared" si="159"/>
        <v>#REF!</v>
      </c>
      <c r="W272" s="491"/>
      <c r="X272" s="489"/>
      <c r="Y272" s="492"/>
      <c r="Z272" s="493"/>
      <c r="AA272" s="931"/>
      <c r="AB272" s="925" t="str">
        <f t="shared" si="172"/>
        <v/>
      </c>
      <c r="AC272" s="1441"/>
      <c r="AD272" s="939" t="str">
        <f>IFERROR(__xludf.DUMMYFUNCTION("IF(AE272="""","""",
   IF(AE272=0,0,
      IF(ISNUMBER(MATCH(AE272,FILTER(AF$245:AF$303,AH$245:AH$303&lt;&gt;0),0)),1,0)
   )
)"),"")</f>
        <v/>
      </c>
      <c r="AE272" s="943"/>
      <c r="AF272" s="929" t="s">
        <v>371</v>
      </c>
      <c r="AG272" s="930" t="s">
        <v>41</v>
      </c>
      <c r="AH272" s="488">
        <f t="shared" si="173"/>
        <v>0</v>
      </c>
      <c r="AI272" s="489">
        <f t="shared" ref="AI272:AI303" si="245">$X$232</f>
        <v>4</v>
      </c>
      <c r="AJ272" s="924" t="str">
        <f t="shared" ref="AJ272:AJ274" si="246">AN$235</f>
        <v/>
      </c>
      <c r="AK272" s="491">
        <f>(6/3)*$X$232</f>
        <v>8</v>
      </c>
      <c r="AL272" s="489">
        <f t="shared" ref="AL272:AL303" si="247">AK272*AK$242</f>
        <v>64</v>
      </c>
      <c r="AM272" s="492">
        <f t="shared" ref="AM272:AM303" si="248">ROUNDUP(AH272/AL272,2)</f>
        <v>0</v>
      </c>
      <c r="AN272" s="493">
        <f t="shared" ref="AN272:AN303" si="249">AM272*AJ272*AI272*AK$242</f>
        <v>0</v>
      </c>
      <c r="AO272" s="494" t="str">
        <f t="shared" si="235"/>
        <v/>
      </c>
      <c r="AP272" s="925" t="str">
        <f t="shared" si="164"/>
        <v/>
      </c>
      <c r="AQ272" s="651"/>
      <c r="AR272" s="939" t="str">
        <f>IFERROR(__xludf.DUMMYFUNCTION("IF(AS272="""","""",
   IF(AS272=0,0,
      IF(ISNUMBER(MATCH(AS272,FILTER(AT$245:AT$283,AV$245:AV$283&lt;&gt;0),0)),1,0)
   )
)"),"")</f>
        <v/>
      </c>
      <c r="AS272" s="943"/>
      <c r="AT272" s="486" t="s">
        <v>362</v>
      </c>
      <c r="AU272" s="487" t="s">
        <v>55</v>
      </c>
      <c r="AV272" s="488">
        <f t="shared" si="175"/>
        <v>0</v>
      </c>
      <c r="AW272" s="489">
        <f t="shared" si="236"/>
        <v>4</v>
      </c>
      <c r="AX272" s="924" t="str">
        <f t="shared" si="237"/>
        <v/>
      </c>
      <c r="AY272" s="491">
        <f>(20/1)*$X$232</f>
        <v>80</v>
      </c>
      <c r="AZ272" s="489">
        <f t="shared" si="239"/>
        <v>640</v>
      </c>
      <c r="BA272" s="492">
        <f t="shared" si="240"/>
        <v>0</v>
      </c>
      <c r="BB272" s="493">
        <f t="shared" si="241"/>
        <v>0</v>
      </c>
      <c r="BC272" s="494" t="str">
        <f t="shared" si="176"/>
        <v/>
      </c>
      <c r="BD272" s="595"/>
      <c r="BE272" s="595"/>
      <c r="BF272" s="595"/>
      <c r="BG272" s="595"/>
      <c r="BH272" s="595"/>
      <c r="BI272" s="595"/>
      <c r="BJ272" s="595"/>
      <c r="BK272" s="595"/>
      <c r="BL272" s="595"/>
      <c r="BM272" s="595"/>
      <c r="BN272" s="595"/>
      <c r="BO272" s="651"/>
      <c r="BP272" s="651"/>
      <c r="BQ272" s="651"/>
      <c r="BR272" s="651"/>
      <c r="BS272" s="651"/>
      <c r="BT272" s="651"/>
    </row>
    <row r="273">
      <c r="A273" s="1360"/>
      <c r="B273" s="584"/>
      <c r="C273" s="499" t="s">
        <v>272</v>
      </c>
      <c r="D273" s="844"/>
      <c r="E273" s="845"/>
      <c r="F273" s="846"/>
      <c r="G273" s="848"/>
      <c r="H273" s="848"/>
      <c r="I273" s="437">
        <v>1.0</v>
      </c>
      <c r="J273" s="954">
        <v>4.0</v>
      </c>
      <c r="K273" s="948">
        <v>260.0</v>
      </c>
      <c r="L273" s="850"/>
      <c r="M273" s="870">
        <v>0.0</v>
      </c>
      <c r="N273" s="849">
        <f t="shared" si="244"/>
        <v>0</v>
      </c>
      <c r="O273" s="590"/>
      <c r="P273" s="939">
        <f>IFERROR(__xludf.DUMMYFUNCTION("IF(Q273="""","""",
   IF(Q273=0,0,
      IF(ISNUMBER(MATCH(Q273,FILTER(R$247:R$367,T$247:T$367&lt;&gt;0),0)),1,0)
   )
)"),1.0)</f>
        <v>1</v>
      </c>
      <c r="Q273" s="941" t="str">
        <f>IFERROR(__xludf.DUMMYFUNCTION("""COMPUTED_VALUE"""),"R-PenoSmall")</f>
        <v>R-PenoSmall</v>
      </c>
      <c r="R273" s="929" t="s">
        <v>96</v>
      </c>
      <c r="S273" s="930" t="s">
        <v>55</v>
      </c>
      <c r="T273" s="488">
        <f t="shared" si="177"/>
        <v>0</v>
      </c>
      <c r="U273" s="489">
        <f t="shared" si="158"/>
        <v>4</v>
      </c>
      <c r="V273" s="490" t="str">
        <f t="shared" si="159"/>
        <v>#REF!</v>
      </c>
      <c r="W273" s="491">
        <f>(10/2)*$X$232</f>
        <v>20</v>
      </c>
      <c r="X273" s="489">
        <f>W273*W$242</f>
        <v>160</v>
      </c>
      <c r="Y273" s="492">
        <f>ROUNDUP(T273/X273,2)</f>
        <v>0</v>
      </c>
      <c r="Z273" s="493" t="str">
        <f>Y273*V273*U273*W$242</f>
        <v>#REF!</v>
      </c>
      <c r="AA273" s="931" t="str">
        <f t="shared" ref="AA273:AA274" si="250">iferror(Z273/T273,"")</f>
        <v/>
      </c>
      <c r="AB273" s="925" t="str">
        <f t="shared" si="172"/>
        <v/>
      </c>
      <c r="AC273" s="1441"/>
      <c r="AD273" s="939" t="str">
        <f>IFERROR(__xludf.DUMMYFUNCTION("IF(AE273="""","""",
   IF(AE273=0,0,
      IF(ISNUMBER(MATCH(AE273,FILTER(AF$245:AF$303,AH$245:AH$303&lt;&gt;0),0)),1,0)
   )
)"),"")</f>
        <v/>
      </c>
      <c r="AE273" s="943"/>
      <c r="AF273" s="929" t="s">
        <v>373</v>
      </c>
      <c r="AG273" s="930" t="s">
        <v>55</v>
      </c>
      <c r="AH273" s="488">
        <f t="shared" si="173"/>
        <v>0</v>
      </c>
      <c r="AI273" s="489">
        <f t="shared" si="245"/>
        <v>4</v>
      </c>
      <c r="AJ273" s="924" t="str">
        <f t="shared" si="246"/>
        <v/>
      </c>
      <c r="AK273" s="491">
        <f>(10/1)*$X$232</f>
        <v>40</v>
      </c>
      <c r="AL273" s="489">
        <f t="shared" si="247"/>
        <v>320</v>
      </c>
      <c r="AM273" s="492">
        <f t="shared" si="248"/>
        <v>0</v>
      </c>
      <c r="AN273" s="493">
        <f t="shared" si="249"/>
        <v>0</v>
      </c>
      <c r="AO273" s="494" t="str">
        <f t="shared" si="235"/>
        <v/>
      </c>
      <c r="AP273" s="925" t="str">
        <f t="shared" si="164"/>
        <v/>
      </c>
      <c r="AQ273" s="651"/>
      <c r="AR273" s="939" t="str">
        <f>IFERROR(__xludf.DUMMYFUNCTION("IF(AS273="""","""",
   IF(AS273=0,0,
      IF(ISNUMBER(MATCH(AS273,FILTER(AT$245:AT$283,AV$245:AV$283&lt;&gt;0),0)),1,0)
   )
)"),"")</f>
        <v/>
      </c>
      <c r="AS273" s="943"/>
      <c r="AT273" s="486" t="s">
        <v>364</v>
      </c>
      <c r="AU273" s="487" t="s">
        <v>41</v>
      </c>
      <c r="AV273" s="488">
        <f t="shared" si="175"/>
        <v>0</v>
      </c>
      <c r="AW273" s="489">
        <f t="shared" si="236"/>
        <v>4</v>
      </c>
      <c r="AX273" s="924" t="str">
        <f t="shared" si="237"/>
        <v/>
      </c>
      <c r="AY273" s="491">
        <f>(3/4)*$X$232</f>
        <v>3</v>
      </c>
      <c r="AZ273" s="489">
        <f t="shared" si="239"/>
        <v>24</v>
      </c>
      <c r="BA273" s="492">
        <f t="shared" si="240"/>
        <v>0</v>
      </c>
      <c r="BB273" s="493">
        <f t="shared" si="241"/>
        <v>0</v>
      </c>
      <c r="BC273" s="494" t="str">
        <f t="shared" si="176"/>
        <v/>
      </c>
      <c r="BD273" s="595"/>
      <c r="BE273" s="595"/>
      <c r="BF273" s="595"/>
      <c r="BG273" s="595"/>
      <c r="BH273" s="595"/>
      <c r="BI273" s="595"/>
      <c r="BJ273" s="595"/>
      <c r="BK273" s="595"/>
      <c r="BL273" s="595"/>
      <c r="BM273" s="595"/>
      <c r="BN273" s="595"/>
      <c r="BO273" s="651"/>
      <c r="BP273" s="651"/>
      <c r="BQ273" s="651"/>
      <c r="BR273" s="651"/>
      <c r="BS273" s="651"/>
      <c r="BT273" s="651"/>
    </row>
    <row r="274">
      <c r="A274" s="1360"/>
      <c r="B274" s="584"/>
      <c r="C274" s="499" t="s">
        <v>273</v>
      </c>
      <c r="D274" s="844"/>
      <c r="E274" s="845"/>
      <c r="F274" s="846"/>
      <c r="G274" s="848"/>
      <c r="H274" s="848"/>
      <c r="I274" s="437">
        <v>1.0</v>
      </c>
      <c r="J274" s="954">
        <v>4.0</v>
      </c>
      <c r="K274" s="370">
        <v>95.0</v>
      </c>
      <c r="L274" s="850"/>
      <c r="M274" s="870">
        <v>0.0</v>
      </c>
      <c r="N274" s="849">
        <f t="shared" si="244"/>
        <v>0</v>
      </c>
      <c r="O274" s="590"/>
      <c r="P274" s="939">
        <f>IFERROR(__xludf.DUMMYFUNCTION("IF(Q274="""","""",
   IF(Q274=0,0,
      IF(ISNUMBER(MATCH(Q274,FILTER(R$247:R$367,T$247:T$367&lt;&gt;0),0)),1,0)
   )
)"),1.0)</f>
        <v>1</v>
      </c>
      <c r="Q274" s="941" t="str">
        <f>IFERROR(__xludf.DUMMYFUNCTION("""COMPUTED_VALUE"""),"R-Dektite")</f>
        <v>R-Dektite</v>
      </c>
      <c r="R274" s="929" t="s">
        <v>365</v>
      </c>
      <c r="S274" s="930" t="s">
        <v>55</v>
      </c>
      <c r="T274" s="488">
        <f t="shared" si="177"/>
        <v>0</v>
      </c>
      <c r="U274" s="489">
        <f t="shared" si="158"/>
        <v>4</v>
      </c>
      <c r="V274" s="490" t="str">
        <f t="shared" si="159"/>
        <v>#REF!</v>
      </c>
      <c r="W274" s="491"/>
      <c r="X274" s="489"/>
      <c r="Y274" s="492"/>
      <c r="Z274" s="493"/>
      <c r="AA274" s="931" t="str">
        <f t="shared" si="250"/>
        <v/>
      </c>
      <c r="AB274" s="925" t="str">
        <f t="shared" si="172"/>
        <v/>
      </c>
      <c r="AC274" s="1441"/>
      <c r="AD274" s="939" t="str">
        <f>IFERROR(__xludf.DUMMYFUNCTION("IF(AE274="""","""",
   IF(AE274=0,0,
      IF(ISNUMBER(MATCH(AE274,FILTER(AF$245:AF$303,AH$245:AH$303&lt;&gt;0),0)),1,0)
   )
)"),"")</f>
        <v/>
      </c>
      <c r="AE274" s="943"/>
      <c r="AF274" s="929" t="s">
        <v>376</v>
      </c>
      <c r="AG274" s="932" t="s">
        <v>52</v>
      </c>
      <c r="AH274" s="488">
        <f t="shared" si="173"/>
        <v>0</v>
      </c>
      <c r="AI274" s="489">
        <f t="shared" si="245"/>
        <v>4</v>
      </c>
      <c r="AJ274" s="924" t="str">
        <f t="shared" si="246"/>
        <v/>
      </c>
      <c r="AK274" s="491">
        <f>(30/4)*$X$232</f>
        <v>30</v>
      </c>
      <c r="AL274" s="489">
        <f t="shared" si="247"/>
        <v>240</v>
      </c>
      <c r="AM274" s="492">
        <f t="shared" si="248"/>
        <v>0</v>
      </c>
      <c r="AN274" s="493">
        <f t="shared" si="249"/>
        <v>0</v>
      </c>
      <c r="AO274" s="494" t="str">
        <f t="shared" si="235"/>
        <v/>
      </c>
      <c r="AP274" s="925" t="str">
        <f t="shared" si="164"/>
        <v/>
      </c>
      <c r="AQ274" s="651"/>
      <c r="AR274" s="939" t="str">
        <f>IFERROR(__xludf.DUMMYFUNCTION("IF(AS274="""","""",
   IF(AS274=0,0,
      IF(ISNUMBER(MATCH(AS274,FILTER(AT$245:AT$283,AV$245:AV$283&lt;&gt;0),0)),1,0)
   )
)"),"")</f>
        <v/>
      </c>
      <c r="AS274" s="943"/>
      <c r="AT274" s="486" t="s">
        <v>367</v>
      </c>
      <c r="AU274" s="487" t="s">
        <v>52</v>
      </c>
      <c r="AV274" s="488">
        <f t="shared" si="175"/>
        <v>0</v>
      </c>
      <c r="AW274" s="489">
        <f t="shared" si="236"/>
        <v>4</v>
      </c>
      <c r="AX274" s="924" t="str">
        <f t="shared" si="237"/>
        <v/>
      </c>
      <c r="AY274" s="491">
        <f>(100/4)*$X$232</f>
        <v>100</v>
      </c>
      <c r="AZ274" s="489">
        <f t="shared" si="239"/>
        <v>800</v>
      </c>
      <c r="BA274" s="492">
        <f t="shared" si="240"/>
        <v>0</v>
      </c>
      <c r="BB274" s="493">
        <f t="shared" si="241"/>
        <v>0</v>
      </c>
      <c r="BC274" s="494" t="str">
        <f t="shared" si="176"/>
        <v/>
      </c>
      <c r="BD274" s="595"/>
      <c r="BE274" s="595"/>
      <c r="BF274" s="595"/>
      <c r="BG274" s="595"/>
      <c r="BH274" s="595"/>
      <c r="BI274" s="595"/>
      <c r="BJ274" s="595"/>
      <c r="BK274" s="595"/>
      <c r="BL274" s="595"/>
      <c r="BM274" s="595"/>
      <c r="BN274" s="595"/>
      <c r="BO274" s="651"/>
      <c r="BP274" s="651"/>
      <c r="BQ274" s="651"/>
      <c r="BR274" s="651"/>
      <c r="BS274" s="651"/>
      <c r="BT274" s="651"/>
    </row>
    <row r="275">
      <c r="A275" s="1360"/>
      <c r="B275" s="12" t="s">
        <v>176</v>
      </c>
      <c r="C275" s="499" t="s">
        <v>274</v>
      </c>
      <c r="D275" s="844"/>
      <c r="E275" s="845"/>
      <c r="F275" s="846"/>
      <c r="G275" s="848"/>
      <c r="H275" s="848"/>
      <c r="I275" s="437">
        <v>1.0</v>
      </c>
      <c r="J275" s="436">
        <v>2.0</v>
      </c>
      <c r="K275" s="370">
        <v>600.0</v>
      </c>
      <c r="L275" s="850"/>
      <c r="M275" s="401">
        <v>0.0</v>
      </c>
      <c r="N275" s="849">
        <f t="shared" si="244"/>
        <v>0</v>
      </c>
      <c r="O275" s="590"/>
      <c r="P275" s="939">
        <f>IFERROR(__xludf.DUMMYFUNCTION("IF(Q275="""","""",
   IF(Q275=0,0,
      IF(ISNUMBER(MATCH(Q275,FILTER(R$247:R$367,T$247:T$367&lt;&gt;0),0)),1,0)
   )
)"),1.0)</f>
        <v>1</v>
      </c>
      <c r="Q275" s="941" t="str">
        <f>IFERROR(__xludf.DUMMYFUNCTION("""COMPUTED_VALUE"""),"R-Dektite Seal")</f>
        <v>R-Dektite Seal</v>
      </c>
      <c r="R275" s="929" t="s">
        <v>103</v>
      </c>
      <c r="S275" s="930" t="s">
        <v>52</v>
      </c>
      <c r="T275" s="488">
        <f t="shared" si="177"/>
        <v>19.00823408</v>
      </c>
      <c r="U275" s="489">
        <f t="shared" si="158"/>
        <v>4</v>
      </c>
      <c r="V275" s="490" t="str">
        <f t="shared" si="159"/>
        <v>#REF!</v>
      </c>
      <c r="W275" s="491"/>
      <c r="X275" s="489"/>
      <c r="Y275" s="492"/>
      <c r="Z275" s="493"/>
      <c r="AA275" s="931"/>
      <c r="AB275" s="925" t="str">
        <f t="shared" si="172"/>
        <v/>
      </c>
      <c r="AC275" s="1441"/>
      <c r="AD275" s="939" t="str">
        <f>IFERROR(__xludf.DUMMYFUNCTION("IF(AE275="""","""",
   IF(AE275=0,0,
      IF(ISNUMBER(MATCH(AE275,FILTER(AF$245:AF$303,AH$245:AH$303&lt;&gt;0),0)),1,0)
   )
)"),"")</f>
        <v/>
      </c>
      <c r="AE275" s="943"/>
      <c r="AF275" s="929" t="s">
        <v>161</v>
      </c>
      <c r="AG275" s="932" t="s">
        <v>55</v>
      </c>
      <c r="AH275" s="488">
        <f t="shared" si="173"/>
        <v>0</v>
      </c>
      <c r="AI275" s="489">
        <f t="shared" si="245"/>
        <v>4</v>
      </c>
      <c r="AJ275" s="490" t="str">
        <f>AC$235</f>
        <v>#REF!</v>
      </c>
      <c r="AK275" s="491">
        <f>(8/2)*$X$232</f>
        <v>16</v>
      </c>
      <c r="AL275" s="489">
        <f t="shared" si="247"/>
        <v>128</v>
      </c>
      <c r="AM275" s="492">
        <f t="shared" si="248"/>
        <v>0</v>
      </c>
      <c r="AN275" s="493" t="str">
        <f t="shared" si="249"/>
        <v>#REF!</v>
      </c>
      <c r="AO275" s="494" t="str">
        <f t="shared" si="235"/>
        <v/>
      </c>
      <c r="AP275" s="925" t="str">
        <f t="shared" si="164"/>
        <v/>
      </c>
      <c r="AQ275" s="651"/>
      <c r="AR275" s="939" t="str">
        <f>IFERROR(__xludf.DUMMYFUNCTION("IF(AS275="""","""",
   IF(AS275=0,0,
      IF(ISNUMBER(MATCH(AS275,FILTER(AT$245:AT$283,AV$245:AV$283&lt;&gt;0),0)),1,0)
   )
)"),"")</f>
        <v/>
      </c>
      <c r="AS275" s="943"/>
      <c r="AT275" s="486" t="s">
        <v>369</v>
      </c>
      <c r="AU275" s="487" t="s">
        <v>52</v>
      </c>
      <c r="AV275" s="488">
        <f t="shared" si="175"/>
        <v>0</v>
      </c>
      <c r="AW275" s="935"/>
      <c r="AX275" s="924"/>
      <c r="AY275" s="935"/>
      <c r="AZ275" s="935"/>
      <c r="BA275" s="935"/>
      <c r="BB275" s="936"/>
      <c r="BC275" s="494" t="str">
        <f t="shared" si="176"/>
        <v/>
      </c>
      <c r="BD275" s="595"/>
      <c r="BE275" s="595"/>
      <c r="BF275" s="595"/>
      <c r="BG275" s="595"/>
      <c r="BH275" s="595"/>
      <c r="BI275" s="595"/>
      <c r="BJ275" s="595"/>
      <c r="BK275" s="595"/>
      <c r="BL275" s="595"/>
      <c r="BM275" s="595"/>
      <c r="BN275" s="595"/>
      <c r="BO275" s="651"/>
      <c r="BP275" s="651"/>
      <c r="BQ275" s="651"/>
      <c r="BR275" s="651"/>
      <c r="BS275" s="651"/>
      <c r="BT275" s="651"/>
    </row>
    <row r="276">
      <c r="A276" s="1360"/>
      <c r="B276" s="584"/>
      <c r="C276" s="851"/>
      <c r="D276" s="609"/>
      <c r="E276" s="585"/>
      <c r="F276" s="586"/>
      <c r="G276" s="584"/>
      <c r="H276" s="584"/>
      <c r="I276" s="443"/>
      <c r="J276" s="443"/>
      <c r="K276" s="349"/>
      <c r="L276" s="588"/>
      <c r="M276" s="588"/>
      <c r="N276" s="833"/>
      <c r="O276" s="590"/>
      <c r="P276" s="939">
        <f>IFERROR(__xludf.DUMMYFUNCTION("IF(Q276="""","""",
   IF(Q276=0,0,
      IF(ISNUMBER(MATCH(Q276,FILTER(R$247:R$367,T$247:T$367&lt;&gt;0),0)),1,0)
   )
)"),1.0)</f>
        <v>1</v>
      </c>
      <c r="Q276" s="941" t="str">
        <f>IFERROR(__xludf.DUMMYFUNCTION("""COMPUTED_VALUE"""),"R-Dektite Fix")</f>
        <v>R-Dektite Fix</v>
      </c>
      <c r="R276" s="929" t="s">
        <v>370</v>
      </c>
      <c r="S276" s="930" t="s">
        <v>41</v>
      </c>
      <c r="T276" s="488">
        <f t="shared" si="177"/>
        <v>0</v>
      </c>
      <c r="U276" s="489">
        <f t="shared" si="158"/>
        <v>4</v>
      </c>
      <c r="V276" s="490" t="str">
        <f t="shared" si="159"/>
        <v>#REF!</v>
      </c>
      <c r="W276" s="491">
        <f t="shared" ref="W276:W277" si="251">(15/1)*$X$232</f>
        <v>60</v>
      </c>
      <c r="X276" s="489">
        <f t="shared" ref="X276:X278" si="252">W276*W$242</f>
        <v>480</v>
      </c>
      <c r="Y276" s="492">
        <f t="shared" ref="Y276:Y278" si="253">ROUNDUP(T276/X276,2)</f>
        <v>0</v>
      </c>
      <c r="Z276" s="493" t="str">
        <f t="shared" ref="Z276:Z278" si="254">Y276*V276*U276*W$242</f>
        <v>#REF!</v>
      </c>
      <c r="AA276" s="931" t="str">
        <f t="shared" ref="AA276:AA279" si="255">iferror(Z276/T276,"")</f>
        <v/>
      </c>
      <c r="AB276" s="925" t="str">
        <f t="shared" si="172"/>
        <v/>
      </c>
      <c r="AC276" s="1441"/>
      <c r="AD276" s="939" t="str">
        <f>IFERROR(__xludf.DUMMYFUNCTION("IF(AE276="""","""",
   IF(AE276=0,0,
      IF(ISNUMBER(MATCH(AE276,FILTER(AF$245:AF$303,AH$245:AH$303&lt;&gt;0),0)),1,0)
   )
)"),"")</f>
        <v/>
      </c>
      <c r="AE276" s="943"/>
      <c r="AF276" s="929" t="s">
        <v>379</v>
      </c>
      <c r="AG276" s="932" t="s">
        <v>52</v>
      </c>
      <c r="AH276" s="488">
        <f t="shared" si="173"/>
        <v>0</v>
      </c>
      <c r="AI276" s="489">
        <f t="shared" si="245"/>
        <v>4</v>
      </c>
      <c r="AJ276" s="490" t="str">
        <f t="shared" ref="AJ276:AJ277" si="256">AN$235</f>
        <v/>
      </c>
      <c r="AK276" s="491">
        <f t="shared" ref="AK276:AK277" si="257">(30/4)*$X$232</f>
        <v>30</v>
      </c>
      <c r="AL276" s="489">
        <f t="shared" si="247"/>
        <v>240</v>
      </c>
      <c r="AM276" s="492">
        <f t="shared" si="248"/>
        <v>0</v>
      </c>
      <c r="AN276" s="493">
        <f t="shared" si="249"/>
        <v>0</v>
      </c>
      <c r="AO276" s="494" t="str">
        <f t="shared" si="235"/>
        <v/>
      </c>
      <c r="AP276" s="925" t="str">
        <f t="shared" si="164"/>
        <v/>
      </c>
      <c r="AQ276" s="651"/>
      <c r="AR276" s="939" t="str">
        <f>IFERROR(__xludf.DUMMYFUNCTION("IF(AS276="""","""",
   IF(AS276=0,0,
      IF(ISNUMBER(MATCH(AS276,FILTER(AT$245:AT$283,AV$245:AV$283&lt;&gt;0),0)),1,0)
   )
)"),"")</f>
        <v/>
      </c>
      <c r="AS276" s="943"/>
      <c r="AT276" s="486" t="s">
        <v>372</v>
      </c>
      <c r="AU276" s="487" t="s">
        <v>55</v>
      </c>
      <c r="AV276" s="488">
        <f t="shared" si="175"/>
        <v>0</v>
      </c>
      <c r="AW276" s="489">
        <f t="shared" ref="AW276:AW283" si="258">$X$232</f>
        <v>4</v>
      </c>
      <c r="AX276" s="924" t="str">
        <f t="shared" ref="AX276:AX283" si="259">AY$235</f>
        <v/>
      </c>
      <c r="AY276" s="491">
        <f>(3/3)*$X$232</f>
        <v>4</v>
      </c>
      <c r="AZ276" s="489">
        <f t="shared" ref="AZ276:AZ283" si="260">AY276*AY$242</f>
        <v>32</v>
      </c>
      <c r="BA276" s="492">
        <f t="shared" ref="BA276:BA283" si="261">ROUNDUP(AV276/AZ276,2)</f>
        <v>0</v>
      </c>
      <c r="BB276" s="493">
        <f t="shared" ref="BB276:BB283" si="262">BA276*AX276*AW276*AY$242</f>
        <v>0</v>
      </c>
      <c r="BC276" s="494" t="str">
        <f t="shared" si="176"/>
        <v/>
      </c>
      <c r="BD276" s="595"/>
      <c r="BE276" s="595"/>
      <c r="BF276" s="595"/>
      <c r="BG276" s="595"/>
      <c r="BH276" s="595"/>
      <c r="BI276" s="595"/>
      <c r="BJ276" s="595"/>
      <c r="BK276" s="595"/>
      <c r="BL276" s="595"/>
      <c r="BM276" s="595"/>
      <c r="BN276" s="595"/>
      <c r="BO276" s="651"/>
      <c r="BP276" s="651"/>
      <c r="BQ276" s="651"/>
      <c r="BR276" s="651"/>
      <c r="BS276" s="651"/>
      <c r="BT276" s="651"/>
    </row>
    <row r="277">
      <c r="A277" s="1360"/>
      <c r="B277" s="584"/>
      <c r="C277" s="499" t="s">
        <v>275</v>
      </c>
      <c r="D277" s="844"/>
      <c r="E277" s="845"/>
      <c r="F277" s="846"/>
      <c r="G277" s="848"/>
      <c r="H277" s="848"/>
      <c r="I277" s="437">
        <v>2.0</v>
      </c>
      <c r="J277" s="954">
        <v>2.0</v>
      </c>
      <c r="K277" s="370">
        <v>350.0</v>
      </c>
      <c r="L277" s="850"/>
      <c r="M277" s="401">
        <v>0.0</v>
      </c>
      <c r="N277" s="849">
        <f t="shared" ref="N277:N280" si="263">M277*K277*J277*I277</f>
        <v>0</v>
      </c>
      <c r="O277" s="590"/>
      <c r="P277" s="939">
        <f>IFERROR(__xludf.DUMMYFUNCTION("IF(Q277="""","""",
   IF(Q277=0,0,
      IF(ISNUMBER(MATCH(Q277,FILTER(R$247:R$367,T$247:T$367&lt;&gt;0),0)),1,0)
   )
)"),1.0)</f>
        <v>1</v>
      </c>
      <c r="Q277" s="941" t="str">
        <f>IFERROR(__xludf.DUMMYFUNCTION("""COMPUTED_VALUE"""),"R-FasciaBracket")</f>
        <v>R-FasciaBracket</v>
      </c>
      <c r="R277" s="942" t="s">
        <v>45</v>
      </c>
      <c r="S277" s="930" t="s">
        <v>41</v>
      </c>
      <c r="T277" s="488">
        <f t="shared" si="177"/>
        <v>0</v>
      </c>
      <c r="U277" s="489">
        <f t="shared" si="158"/>
        <v>4</v>
      </c>
      <c r="V277" s="490" t="str">
        <f t="shared" si="159"/>
        <v>#REF!</v>
      </c>
      <c r="W277" s="491">
        <f t="shared" si="251"/>
        <v>60</v>
      </c>
      <c r="X277" s="489">
        <f t="shared" si="252"/>
        <v>480</v>
      </c>
      <c r="Y277" s="492">
        <f t="shared" si="253"/>
        <v>0</v>
      </c>
      <c r="Z277" s="493" t="str">
        <f t="shared" si="254"/>
        <v>#REF!</v>
      </c>
      <c r="AA277" s="931" t="str">
        <f t="shared" si="255"/>
        <v/>
      </c>
      <c r="AB277" s="925" t="str">
        <f t="shared" si="172"/>
        <v/>
      </c>
      <c r="AC277" s="1441"/>
      <c r="AD277" s="939" t="str">
        <f>IFERROR(__xludf.DUMMYFUNCTION("IF(AE277="""","""",
   IF(AE277=0,0,
      IF(ISNUMBER(MATCH(AE277,FILTER(AF$245:AF$303,AH$245:AH$303&lt;&gt;0),0)),1,0)
   )
)"),"")</f>
        <v/>
      </c>
      <c r="AE277" s="943"/>
      <c r="AF277" s="929" t="s">
        <v>381</v>
      </c>
      <c r="AG277" s="932" t="s">
        <v>52</v>
      </c>
      <c r="AH277" s="488">
        <f t="shared" si="173"/>
        <v>0</v>
      </c>
      <c r="AI277" s="489">
        <f t="shared" si="245"/>
        <v>4</v>
      </c>
      <c r="AJ277" s="490" t="str">
        <f t="shared" si="256"/>
        <v/>
      </c>
      <c r="AK277" s="491">
        <f t="shared" si="257"/>
        <v>30</v>
      </c>
      <c r="AL277" s="489">
        <f t="shared" si="247"/>
        <v>240</v>
      </c>
      <c r="AM277" s="492">
        <f t="shared" si="248"/>
        <v>0</v>
      </c>
      <c r="AN277" s="493">
        <f t="shared" si="249"/>
        <v>0</v>
      </c>
      <c r="AO277" s="494" t="str">
        <f t="shared" si="235"/>
        <v/>
      </c>
      <c r="AP277" s="925" t="str">
        <f t="shared" si="164"/>
        <v/>
      </c>
      <c r="AQ277" s="651"/>
      <c r="AR277" s="939" t="str">
        <f>IFERROR(__xludf.DUMMYFUNCTION("IF(AS277="""","""",
   IF(AS277=0,0,
      IF(ISNUMBER(MATCH(AS277,FILTER(AT$245:AT$283,AV$245:AV$283&lt;&gt;0),0)),1,0)
   )
)"),"")</f>
        <v/>
      </c>
      <c r="AS277" s="943"/>
      <c r="AT277" s="486" t="s">
        <v>374</v>
      </c>
      <c r="AU277" s="487" t="s">
        <v>52</v>
      </c>
      <c r="AV277" s="488">
        <f t="shared" si="175"/>
        <v>0</v>
      </c>
      <c r="AW277" s="489">
        <f t="shared" si="258"/>
        <v>4</v>
      </c>
      <c r="AX277" s="924" t="str">
        <f t="shared" si="259"/>
        <v/>
      </c>
      <c r="AY277" s="491">
        <f>(10/1)*$X$232</f>
        <v>40</v>
      </c>
      <c r="AZ277" s="489">
        <f t="shared" si="260"/>
        <v>320</v>
      </c>
      <c r="BA277" s="492">
        <f t="shared" si="261"/>
        <v>0</v>
      </c>
      <c r="BB277" s="493">
        <f t="shared" si="262"/>
        <v>0</v>
      </c>
      <c r="BC277" s="494" t="str">
        <f t="shared" si="176"/>
        <v/>
      </c>
      <c r="BD277" s="595"/>
      <c r="BE277" s="595"/>
      <c r="BF277" s="595"/>
      <c r="BG277" s="595"/>
      <c r="BH277" s="595"/>
      <c r="BI277" s="595"/>
      <c r="BJ277" s="595"/>
      <c r="BK277" s="595"/>
      <c r="BL277" s="595"/>
      <c r="BM277" s="595"/>
      <c r="BN277" s="595"/>
      <c r="BO277" s="651"/>
      <c r="BP277" s="651"/>
      <c r="BQ277" s="651"/>
      <c r="BR277" s="651"/>
      <c r="BS277" s="651"/>
      <c r="BT277" s="651"/>
    </row>
    <row r="278">
      <c r="A278" s="1360"/>
      <c r="B278" s="584"/>
      <c r="C278" s="499" t="s">
        <v>272</v>
      </c>
      <c r="D278" s="844"/>
      <c r="E278" s="845"/>
      <c r="F278" s="846"/>
      <c r="G278" s="848"/>
      <c r="H278" s="848"/>
      <c r="I278" s="437">
        <v>1.0</v>
      </c>
      <c r="J278" s="504">
        <v>10.0</v>
      </c>
      <c r="K278" s="370">
        <v>350.0</v>
      </c>
      <c r="L278" s="850"/>
      <c r="M278" s="401">
        <v>0.0</v>
      </c>
      <c r="N278" s="849">
        <f t="shared" si="263"/>
        <v>0</v>
      </c>
      <c r="O278" s="590"/>
      <c r="P278" s="939">
        <f>IFERROR(__xludf.DUMMYFUNCTION("IF(Q278="""","""",
   IF(Q278=0,0,
      IF(ISNUMBER(MATCH(Q278,FILTER(R$247:R$367,T$247:T$367&lt;&gt;0),0)),1,0)
   )
)"),1.0)</f>
        <v>1</v>
      </c>
      <c r="Q278" s="941" t="str">
        <f>IFERROR(__xludf.DUMMYFUNCTION("""COMPUTED_VALUE"""),"R-FasciaBracketFixing")</f>
        <v>R-FasciaBracketFixing</v>
      </c>
      <c r="R278" s="929" t="s">
        <v>375</v>
      </c>
      <c r="S278" s="930" t="s">
        <v>41</v>
      </c>
      <c r="T278" s="488">
        <f t="shared" si="177"/>
        <v>0</v>
      </c>
      <c r="U278" s="489">
        <f t="shared" si="158"/>
        <v>4</v>
      </c>
      <c r="V278" s="490" t="str">
        <f t="shared" si="159"/>
        <v>#REF!</v>
      </c>
      <c r="W278" s="491">
        <f>(10/4)*$X$232</f>
        <v>10</v>
      </c>
      <c r="X278" s="489">
        <f t="shared" si="252"/>
        <v>80</v>
      </c>
      <c r="Y278" s="492">
        <f t="shared" si="253"/>
        <v>0</v>
      </c>
      <c r="Z278" s="493" t="str">
        <f t="shared" si="254"/>
        <v>#REF!</v>
      </c>
      <c r="AA278" s="931" t="str">
        <f t="shared" si="255"/>
        <v/>
      </c>
      <c r="AB278" s="925" t="str">
        <f t="shared" si="172"/>
        <v/>
      </c>
      <c r="AC278" s="1441"/>
      <c r="AD278" s="939" t="str">
        <f>IFERROR(__xludf.DUMMYFUNCTION("IF(AE278="""","""",
   IF(AE278=0,0,
      IF(ISNUMBER(MATCH(AE278,FILTER(AF$245:AF$303,AH$245:AH$303&lt;&gt;0),0)),1,0)
   )
)"),"")</f>
        <v/>
      </c>
      <c r="AE278" s="943"/>
      <c r="AF278" s="929" t="s">
        <v>584</v>
      </c>
      <c r="AG278" s="932" t="s">
        <v>55</v>
      </c>
      <c r="AH278" s="488">
        <f t="shared" si="173"/>
        <v>0</v>
      </c>
      <c r="AI278" s="489">
        <f t="shared" si="245"/>
        <v>4</v>
      </c>
      <c r="AJ278" s="490" t="str">
        <f t="shared" ref="AJ278:AJ279" si="264">AC$235</f>
        <v>#REF!</v>
      </c>
      <c r="AK278" s="491">
        <f t="shared" ref="AK278:AK279" si="265">(30/2)*$X$232</f>
        <v>60</v>
      </c>
      <c r="AL278" s="489">
        <f t="shared" si="247"/>
        <v>480</v>
      </c>
      <c r="AM278" s="492">
        <f t="shared" si="248"/>
        <v>0</v>
      </c>
      <c r="AN278" s="493" t="str">
        <f t="shared" si="249"/>
        <v>#REF!</v>
      </c>
      <c r="AO278" s="494" t="str">
        <f t="shared" si="235"/>
        <v/>
      </c>
      <c r="AP278" s="925" t="str">
        <f t="shared" si="164"/>
        <v/>
      </c>
      <c r="AQ278" s="651"/>
      <c r="AR278" s="939" t="str">
        <f>IFERROR(__xludf.DUMMYFUNCTION("IF(AS278="""","""",
   IF(AS278=0,0,
      IF(ISNUMBER(MATCH(AS278,FILTER(AT$245:AT$283,AV$245:AV$283&lt;&gt;0),0)),1,0)
   )
)"),"")</f>
        <v/>
      </c>
      <c r="AS278" s="943"/>
      <c r="AT278" s="955" t="str">
        <f>'Audit Check'!S36</f>
        <v/>
      </c>
      <c r="AU278" s="924"/>
      <c r="AV278" s="488">
        <f t="shared" si="175"/>
        <v>0</v>
      </c>
      <c r="AW278" s="489">
        <f t="shared" si="258"/>
        <v>4</v>
      </c>
      <c r="AX278" s="924" t="str">
        <f t="shared" si="259"/>
        <v/>
      </c>
      <c r="AY278" s="491">
        <f t="shared" ref="AY278:AY283" si="266">(30/4)*$X$232</f>
        <v>30</v>
      </c>
      <c r="AZ278" s="489">
        <f t="shared" si="260"/>
        <v>240</v>
      </c>
      <c r="BA278" s="492">
        <f t="shared" si="261"/>
        <v>0</v>
      </c>
      <c r="BB278" s="493">
        <f t="shared" si="262"/>
        <v>0</v>
      </c>
      <c r="BC278" s="494" t="str">
        <f t="shared" si="176"/>
        <v/>
      </c>
      <c r="BD278" s="595"/>
      <c r="BE278" s="595"/>
      <c r="BF278" s="595"/>
      <c r="BG278" s="595"/>
      <c r="BH278" s="595"/>
      <c r="BI278" s="595"/>
      <c r="BJ278" s="595"/>
      <c r="BK278" s="595"/>
      <c r="BL278" s="595"/>
      <c r="BM278" s="595"/>
      <c r="BN278" s="595"/>
      <c r="BO278" s="651"/>
      <c r="BP278" s="651"/>
      <c r="BQ278" s="651"/>
      <c r="BR278" s="651"/>
      <c r="BS278" s="651"/>
      <c r="BT278" s="651"/>
    </row>
    <row r="279">
      <c r="A279" s="1360"/>
      <c r="B279" s="584"/>
      <c r="C279" s="499" t="s">
        <v>273</v>
      </c>
      <c r="D279" s="844"/>
      <c r="E279" s="845"/>
      <c r="F279" s="846"/>
      <c r="G279" s="848"/>
      <c r="H279" s="848"/>
      <c r="I279" s="437">
        <v>1.0</v>
      </c>
      <c r="J279" s="504">
        <f>J278</f>
        <v>10</v>
      </c>
      <c r="K279" s="370">
        <v>95.0</v>
      </c>
      <c r="L279" s="850"/>
      <c r="M279" s="401">
        <v>0.0</v>
      </c>
      <c r="N279" s="849">
        <f t="shared" si="263"/>
        <v>0</v>
      </c>
      <c r="O279" s="590"/>
      <c r="P279" s="939">
        <f>IFERROR(__xludf.DUMMYFUNCTION("IF(Q279="""","""",
   IF(Q279=0,0,
      IF(ISNUMBER(MATCH(Q279,FILTER(R$247:R$367,T$247:T$367&lt;&gt;0),0)),1,0)
   )
)"),0.0)</f>
        <v>0</v>
      </c>
      <c r="Q279" s="941" t="str">
        <f>IFERROR(__xludf.DUMMYFUNCTION("""COMPUTED_VALUE"""),"R-EavesGut")</f>
        <v>R-EavesGut</v>
      </c>
      <c r="R279" s="929" t="s">
        <v>377</v>
      </c>
      <c r="S279" s="930" t="s">
        <v>52</v>
      </c>
      <c r="T279" s="488">
        <f t="shared" si="177"/>
        <v>0</v>
      </c>
      <c r="U279" s="489">
        <f t="shared" si="158"/>
        <v>4</v>
      </c>
      <c r="V279" s="490" t="str">
        <f t="shared" si="159"/>
        <v>#REF!</v>
      </c>
      <c r="W279" s="935"/>
      <c r="X279" s="935"/>
      <c r="Y279" s="935"/>
      <c r="Z279" s="936"/>
      <c r="AA279" s="931" t="str">
        <f t="shared" si="255"/>
        <v/>
      </c>
      <c r="AB279" s="925" t="str">
        <f t="shared" si="172"/>
        <v/>
      </c>
      <c r="AC279" s="1441"/>
      <c r="AD279" s="939" t="str">
        <f>IFERROR(__xludf.DUMMYFUNCTION("IF(AE279="""","""",
   IF(AE279=0,0,
      IF(ISNUMBER(MATCH(AE279,FILTER(AF$245:AF$303,AH$245:AH$303&lt;&gt;0),0)),1,0)
   )
)"),"")</f>
        <v/>
      </c>
      <c r="AE279" s="943"/>
      <c r="AF279" s="929" t="s">
        <v>168</v>
      </c>
      <c r="AG279" s="932" t="s">
        <v>55</v>
      </c>
      <c r="AH279" s="488">
        <f t="shared" si="173"/>
        <v>0</v>
      </c>
      <c r="AI279" s="489">
        <f t="shared" si="245"/>
        <v>4</v>
      </c>
      <c r="AJ279" s="490" t="str">
        <f t="shared" si="264"/>
        <v>#REF!</v>
      </c>
      <c r="AK279" s="491">
        <f t="shared" si="265"/>
        <v>60</v>
      </c>
      <c r="AL279" s="489">
        <f t="shared" si="247"/>
        <v>480</v>
      </c>
      <c r="AM279" s="492">
        <f t="shared" si="248"/>
        <v>0</v>
      </c>
      <c r="AN279" s="493" t="str">
        <f t="shared" si="249"/>
        <v>#REF!</v>
      </c>
      <c r="AO279" s="494" t="str">
        <f t="shared" si="235"/>
        <v/>
      </c>
      <c r="AP279" s="925" t="str">
        <f t="shared" si="164"/>
        <v/>
      </c>
      <c r="AQ279" s="651"/>
      <c r="AR279" s="939" t="str">
        <f>IFERROR(__xludf.DUMMYFUNCTION("IF(AS279="""","""",
   IF(AS279=0,0,
      IF(ISNUMBER(MATCH(AS279,FILTER(AT$245:AT$283,AV$245:AV$283&lt;&gt;0),0)),1,0)
   )
)"),"")</f>
        <v/>
      </c>
      <c r="AS279" s="943"/>
      <c r="AT279" s="955" t="str">
        <f>'Audit Check'!S37</f>
        <v/>
      </c>
      <c r="AU279" s="924"/>
      <c r="AV279" s="488">
        <f t="shared" si="175"/>
        <v>0</v>
      </c>
      <c r="AW279" s="489">
        <f t="shared" si="258"/>
        <v>4</v>
      </c>
      <c r="AX279" s="924" t="str">
        <f t="shared" si="259"/>
        <v/>
      </c>
      <c r="AY279" s="491">
        <f t="shared" si="266"/>
        <v>30</v>
      </c>
      <c r="AZ279" s="489">
        <f t="shared" si="260"/>
        <v>240</v>
      </c>
      <c r="BA279" s="492">
        <f t="shared" si="261"/>
        <v>0</v>
      </c>
      <c r="BB279" s="493">
        <f t="shared" si="262"/>
        <v>0</v>
      </c>
      <c r="BC279" s="494" t="str">
        <f t="shared" si="176"/>
        <v/>
      </c>
      <c r="BD279" s="595"/>
      <c r="BE279" s="595"/>
      <c r="BF279" s="595"/>
      <c r="BG279" s="595"/>
      <c r="BH279" s="595"/>
      <c r="BI279" s="595"/>
      <c r="BJ279" s="595"/>
      <c r="BK279" s="595"/>
      <c r="BL279" s="595"/>
      <c r="BM279" s="595"/>
      <c r="BN279" s="595"/>
      <c r="BO279" s="651"/>
      <c r="BP279" s="651"/>
      <c r="BQ279" s="651"/>
      <c r="BR279" s="651"/>
      <c r="BS279" s="651"/>
      <c r="BT279" s="651"/>
    </row>
    <row r="280">
      <c r="A280" s="1360"/>
      <c r="B280" s="584"/>
      <c r="C280" s="499" t="s">
        <v>274</v>
      </c>
      <c r="D280" s="844"/>
      <c r="E280" s="845"/>
      <c r="F280" s="846"/>
      <c r="G280" s="848"/>
      <c r="H280" s="848"/>
      <c r="I280" s="437">
        <v>1.0</v>
      </c>
      <c r="J280" s="436">
        <v>2.0</v>
      </c>
      <c r="K280" s="370">
        <v>600.0</v>
      </c>
      <c r="L280" s="850"/>
      <c r="M280" s="401">
        <v>0.0</v>
      </c>
      <c r="N280" s="849">
        <f t="shared" si="263"/>
        <v>0</v>
      </c>
      <c r="O280" s="590"/>
      <c r="P280" s="939">
        <f>IFERROR(__xludf.DUMMYFUNCTION("IF(Q280="""","""",
   IF(Q280=0,0,
      IF(ISNUMBER(MATCH(Q280,FILTER(R$247:R$367,T$247:T$367&lt;&gt;0),0)),1,0)
   )
)"),1.0)</f>
        <v>1</v>
      </c>
      <c r="Q280" s="941" t="str">
        <f>IFERROR(__xludf.DUMMYFUNCTION("""COMPUTED_VALUE"""),"R-EGBracket")</f>
        <v>R-EGBracket</v>
      </c>
      <c r="R280" s="929" t="s">
        <v>378</v>
      </c>
      <c r="S280" s="930" t="s">
        <v>52</v>
      </c>
      <c r="T280" s="488">
        <f t="shared" si="177"/>
        <v>0</v>
      </c>
      <c r="U280" s="489">
        <f t="shared" si="158"/>
        <v>4</v>
      </c>
      <c r="V280" s="490" t="str">
        <f t="shared" si="159"/>
        <v>#REF!</v>
      </c>
      <c r="W280" s="491"/>
      <c r="X280" s="489"/>
      <c r="Y280" s="492"/>
      <c r="Z280" s="493"/>
      <c r="AA280" s="931"/>
      <c r="AB280" s="925" t="str">
        <f t="shared" si="172"/>
        <v/>
      </c>
      <c r="AC280" s="1441"/>
      <c r="AD280" s="939" t="str">
        <f>IFERROR(__xludf.DUMMYFUNCTION("IF(AE280="""","""",
   IF(AE280=0,0,
      IF(ISNUMBER(MATCH(AE280,FILTER(AF$245:AF$303,AH$245:AH$303&lt;&gt;0),0)),1,0)
   )
)"),"")</f>
        <v/>
      </c>
      <c r="AE280" s="943"/>
      <c r="AF280" s="929" t="s">
        <v>385</v>
      </c>
      <c r="AG280" s="932" t="s">
        <v>41</v>
      </c>
      <c r="AH280" s="488">
        <f t="shared" si="173"/>
        <v>0</v>
      </c>
      <c r="AI280" s="489">
        <f t="shared" si="245"/>
        <v>4</v>
      </c>
      <c r="AJ280" s="490" t="str">
        <f t="shared" ref="AJ280:AJ283" si="267">AN$235</f>
        <v/>
      </c>
      <c r="AK280" s="491">
        <f t="shared" ref="AK280:AK283" si="268">(30/4)*$X$232</f>
        <v>30</v>
      </c>
      <c r="AL280" s="489">
        <f t="shared" si="247"/>
        <v>240</v>
      </c>
      <c r="AM280" s="492">
        <f t="shared" si="248"/>
        <v>0</v>
      </c>
      <c r="AN280" s="493">
        <f t="shared" si="249"/>
        <v>0</v>
      </c>
      <c r="AO280" s="494" t="str">
        <f t="shared" si="235"/>
        <v/>
      </c>
      <c r="AP280" s="925" t="str">
        <f t="shared" si="164"/>
        <v/>
      </c>
      <c r="AQ280" s="651"/>
      <c r="AR280" s="939" t="str">
        <f>IFERROR(__xludf.DUMMYFUNCTION("IF(AS280="""","""",
   IF(AS280=0,0,
      IF(ISNUMBER(MATCH(AS280,FILTER(AT$245:AT$283,AV$245:AV$283&lt;&gt;0),0)),1,0)
   )
)"),"")</f>
        <v/>
      </c>
      <c r="AS280" s="943"/>
      <c r="AT280" s="955" t="str">
        <f>'Audit Check'!S38</f>
        <v/>
      </c>
      <c r="AU280" s="924"/>
      <c r="AV280" s="488">
        <f t="shared" si="175"/>
        <v>0</v>
      </c>
      <c r="AW280" s="489">
        <f t="shared" si="258"/>
        <v>4</v>
      </c>
      <c r="AX280" s="924" t="str">
        <f t="shared" si="259"/>
        <v/>
      </c>
      <c r="AY280" s="491">
        <f t="shared" si="266"/>
        <v>30</v>
      </c>
      <c r="AZ280" s="489">
        <f t="shared" si="260"/>
        <v>240</v>
      </c>
      <c r="BA280" s="492">
        <f t="shared" si="261"/>
        <v>0</v>
      </c>
      <c r="BB280" s="493">
        <f t="shared" si="262"/>
        <v>0</v>
      </c>
      <c r="BC280" s="494" t="str">
        <f t="shared" si="176"/>
        <v/>
      </c>
      <c r="BD280" s="595"/>
      <c r="BE280" s="595"/>
      <c r="BF280" s="595"/>
      <c r="BG280" s="595"/>
      <c r="BH280" s="595"/>
      <c r="BI280" s="595"/>
      <c r="BJ280" s="595"/>
      <c r="BK280" s="595"/>
      <c r="BL280" s="595"/>
      <c r="BM280" s="595"/>
      <c r="BN280" s="595"/>
      <c r="BO280" s="651"/>
      <c r="BP280" s="651"/>
      <c r="BQ280" s="651"/>
      <c r="BR280" s="651"/>
      <c r="BS280" s="651"/>
      <c r="BT280" s="651"/>
    </row>
    <row r="281">
      <c r="A281" s="1360"/>
      <c r="B281" s="584"/>
      <c r="C281" s="851"/>
      <c r="D281" s="609"/>
      <c r="E281" s="585"/>
      <c r="F281" s="586"/>
      <c r="G281" s="584"/>
      <c r="H281" s="584"/>
      <c r="I281" s="584"/>
      <c r="J281" s="584"/>
      <c r="K281" s="586"/>
      <c r="L281" s="588"/>
      <c r="M281" s="588"/>
      <c r="N281" s="833"/>
      <c r="O281" s="590"/>
      <c r="P281" s="939">
        <f>IFERROR(__xludf.DUMMYFUNCTION("IF(Q281="""","""",
   IF(Q281=0,0,
      IF(ISNUMBER(MATCH(Q281,FILTER(R$247:R$367,T$247:T$367&lt;&gt;0),0)),1,0)
   )
)"),1.0)</f>
        <v>1</v>
      </c>
      <c r="Q281" s="941" t="str">
        <f>IFERROR(__xludf.DUMMYFUNCTION("""COMPUTED_VALUE"""),"R-EGBracketFixing")</f>
        <v>R-EGBracketFixing</v>
      </c>
      <c r="R281" s="929" t="s">
        <v>380</v>
      </c>
      <c r="S281" s="930" t="s">
        <v>55</v>
      </c>
      <c r="T281" s="488">
        <f t="shared" si="177"/>
        <v>0</v>
      </c>
      <c r="U281" s="489">
        <f t="shared" si="158"/>
        <v>4</v>
      </c>
      <c r="V281" s="490" t="str">
        <f t="shared" si="159"/>
        <v>#REF!</v>
      </c>
      <c r="W281" s="491"/>
      <c r="X281" s="489"/>
      <c r="Y281" s="492"/>
      <c r="Z281" s="493"/>
      <c r="AA281" s="931"/>
      <c r="AB281" s="925" t="str">
        <f t="shared" si="172"/>
        <v/>
      </c>
      <c r="AC281" s="1441"/>
      <c r="AD281" s="939" t="str">
        <f>IFERROR(__xludf.DUMMYFUNCTION("IF(AE281="""","""",
   IF(AE281=0,0,
      IF(ISNUMBER(MATCH(AE281,FILTER(AF$245:AF$303,AH$245:AH$303&lt;&gt;0),0)),1,0)
   )
)"),"")</f>
        <v/>
      </c>
      <c r="AE281" s="943"/>
      <c r="AF281" s="929" t="s">
        <v>386</v>
      </c>
      <c r="AG281" s="932" t="s">
        <v>52</v>
      </c>
      <c r="AH281" s="488">
        <f t="shared" si="173"/>
        <v>0</v>
      </c>
      <c r="AI281" s="489">
        <f t="shared" si="245"/>
        <v>4</v>
      </c>
      <c r="AJ281" s="490" t="str">
        <f t="shared" si="267"/>
        <v/>
      </c>
      <c r="AK281" s="491">
        <f t="shared" si="268"/>
        <v>30</v>
      </c>
      <c r="AL281" s="489">
        <f t="shared" si="247"/>
        <v>240</v>
      </c>
      <c r="AM281" s="492">
        <f t="shared" si="248"/>
        <v>0</v>
      </c>
      <c r="AN281" s="493">
        <f t="shared" si="249"/>
        <v>0</v>
      </c>
      <c r="AO281" s="494" t="str">
        <f t="shared" si="235"/>
        <v/>
      </c>
      <c r="AP281" s="925" t="str">
        <f t="shared" si="164"/>
        <v/>
      </c>
      <c r="AQ281" s="651"/>
      <c r="AR281" s="939" t="str">
        <f>IFERROR(__xludf.DUMMYFUNCTION("IF(AS281="""","""",
   IF(AS281=0,0,
      IF(ISNUMBER(MATCH(AS281,FILTER(AT$245:AT$283,AV$245:AV$283&lt;&gt;0),0)),1,0)
   )
)"),"")</f>
        <v/>
      </c>
      <c r="AS281" s="943"/>
      <c r="AT281" s="955" t="str">
        <f>'Audit Check'!S39</f>
        <v/>
      </c>
      <c r="AU281" s="924"/>
      <c r="AV281" s="488">
        <f t="shared" si="175"/>
        <v>0</v>
      </c>
      <c r="AW281" s="489">
        <f t="shared" si="258"/>
        <v>4</v>
      </c>
      <c r="AX281" s="924" t="str">
        <f t="shared" si="259"/>
        <v/>
      </c>
      <c r="AY281" s="491">
        <f t="shared" si="266"/>
        <v>30</v>
      </c>
      <c r="AZ281" s="489">
        <f t="shared" si="260"/>
        <v>240</v>
      </c>
      <c r="BA281" s="492">
        <f t="shared" si="261"/>
        <v>0</v>
      </c>
      <c r="BB281" s="493">
        <f t="shared" si="262"/>
        <v>0</v>
      </c>
      <c r="BC281" s="494" t="str">
        <f t="shared" si="176"/>
        <v/>
      </c>
      <c r="BD281" s="595"/>
      <c r="BE281" s="595"/>
      <c r="BF281" s="595"/>
      <c r="BG281" s="595"/>
      <c r="BH281" s="595"/>
      <c r="BI281" s="595"/>
      <c r="BJ281" s="595"/>
      <c r="BK281" s="595"/>
      <c r="BL281" s="595"/>
      <c r="BM281" s="595"/>
      <c r="BN281" s="595"/>
      <c r="BO281" s="651"/>
      <c r="BP281" s="651"/>
      <c r="BQ281" s="651"/>
      <c r="BR281" s="651"/>
      <c r="BS281" s="651"/>
      <c r="BT281" s="651"/>
    </row>
    <row r="282">
      <c r="A282" s="1360"/>
      <c r="B282" s="584"/>
      <c r="C282" s="329" t="s">
        <v>276</v>
      </c>
      <c r="D282" s="821"/>
      <c r="E282" s="822"/>
      <c r="F282" s="823"/>
      <c r="G282" s="825"/>
      <c r="H282" s="825"/>
      <c r="I282" s="333" t="s">
        <v>18</v>
      </c>
      <c r="J282" s="334" t="s">
        <v>15</v>
      </c>
      <c r="K282" s="335" t="s">
        <v>26</v>
      </c>
      <c r="L282" s="878"/>
      <c r="M282" s="878"/>
      <c r="N282" s="857" t="str">
        <f>SUM(N284:N304)</f>
        <v>#REF!</v>
      </c>
      <c r="O282" s="590"/>
      <c r="P282" s="939">
        <f>IFERROR(__xludf.DUMMYFUNCTION("IF(Q282="""","""",
   IF(Q282=0,0,
      IF(ISNUMBER(MATCH(Q282,FILTER(R$247:R$367,T$247:T$367&lt;&gt;0),0)),1,0)
   )
)"),0.0)</f>
        <v>0</v>
      </c>
      <c r="Q282" s="941" t="str">
        <f>IFERROR(__xludf.DUMMYFUNCTION("""COMPUTED_VALUE"""),"R-FFBottom")</f>
        <v>R-FFBottom</v>
      </c>
      <c r="R282" s="929" t="s">
        <v>382</v>
      </c>
      <c r="S282" s="930" t="s">
        <v>41</v>
      </c>
      <c r="T282" s="488">
        <f t="shared" si="177"/>
        <v>0</v>
      </c>
      <c r="U282" s="489">
        <f t="shared" si="158"/>
        <v>4</v>
      </c>
      <c r="V282" s="490" t="str">
        <f t="shared" si="159"/>
        <v>#REF!</v>
      </c>
      <c r="W282" s="491"/>
      <c r="X282" s="489"/>
      <c r="Y282" s="492"/>
      <c r="Z282" s="493"/>
      <c r="AA282" s="931"/>
      <c r="AB282" s="925" t="str">
        <f t="shared" si="172"/>
        <v/>
      </c>
      <c r="AC282" s="1441"/>
      <c r="AD282" s="939" t="str">
        <f>IFERROR(__xludf.DUMMYFUNCTION("IF(AE282="""","""",
   IF(AE282=0,0,
      IF(ISNUMBER(MATCH(AE282,FILTER(AF$245:AF$303,AH$245:AH$303&lt;&gt;0),0)),1,0)
   )
)"),"")</f>
        <v/>
      </c>
      <c r="AE282" s="943"/>
      <c r="AF282" s="929" t="s">
        <v>387</v>
      </c>
      <c r="AG282" s="932" t="s">
        <v>52</v>
      </c>
      <c r="AH282" s="488">
        <f t="shared" si="173"/>
        <v>0</v>
      </c>
      <c r="AI282" s="489">
        <f t="shared" si="245"/>
        <v>4</v>
      </c>
      <c r="AJ282" s="490" t="str">
        <f t="shared" si="267"/>
        <v/>
      </c>
      <c r="AK282" s="491">
        <f t="shared" si="268"/>
        <v>30</v>
      </c>
      <c r="AL282" s="489">
        <f t="shared" si="247"/>
        <v>240</v>
      </c>
      <c r="AM282" s="492">
        <f t="shared" si="248"/>
        <v>0</v>
      </c>
      <c r="AN282" s="493">
        <f t="shared" si="249"/>
        <v>0</v>
      </c>
      <c r="AO282" s="494" t="str">
        <f t="shared" si="235"/>
        <v/>
      </c>
      <c r="AP282" s="925" t="str">
        <f t="shared" si="164"/>
        <v/>
      </c>
      <c r="AQ282" s="651"/>
      <c r="AR282" s="939" t="str">
        <f>IFERROR(__xludf.DUMMYFUNCTION("IF(AS282="""","""",
   IF(AS282=0,0,
      IF(ISNUMBER(MATCH(AS282,FILTER(AT$245:AT$283,AV$245:AV$283&lt;&gt;0),0)),1,0)
   )
)"),"")</f>
        <v/>
      </c>
      <c r="AS282" s="943"/>
      <c r="AT282" s="955" t="str">
        <f>'Audit Check'!S40</f>
        <v/>
      </c>
      <c r="AU282" s="924"/>
      <c r="AV282" s="488">
        <f t="shared" si="175"/>
        <v>0</v>
      </c>
      <c r="AW282" s="489">
        <f t="shared" si="258"/>
        <v>4</v>
      </c>
      <c r="AX282" s="924" t="str">
        <f t="shared" si="259"/>
        <v/>
      </c>
      <c r="AY282" s="491">
        <f t="shared" si="266"/>
        <v>30</v>
      </c>
      <c r="AZ282" s="489">
        <f t="shared" si="260"/>
        <v>240</v>
      </c>
      <c r="BA282" s="492">
        <f t="shared" si="261"/>
        <v>0</v>
      </c>
      <c r="BB282" s="493">
        <f t="shared" si="262"/>
        <v>0</v>
      </c>
      <c r="BC282" s="494" t="str">
        <f t="shared" si="176"/>
        <v/>
      </c>
      <c r="BD282" s="595"/>
      <c r="BE282" s="595"/>
      <c r="BF282" s="595"/>
      <c r="BG282" s="595"/>
      <c r="BH282" s="595"/>
      <c r="BI282" s="595"/>
      <c r="BJ282" s="595"/>
      <c r="BK282" s="595"/>
      <c r="BL282" s="595"/>
      <c r="BM282" s="595"/>
      <c r="BN282" s="595"/>
      <c r="BO282" s="651"/>
      <c r="BP282" s="651"/>
      <c r="BQ282" s="651"/>
      <c r="BR282" s="651"/>
      <c r="BS282" s="651"/>
      <c r="BT282" s="651"/>
    </row>
    <row r="283">
      <c r="A283" s="1360"/>
      <c r="B283" s="584"/>
      <c r="C283" s="510" t="s">
        <v>277</v>
      </c>
      <c r="D283" s="609"/>
      <c r="E283" s="585"/>
      <c r="F283" s="586"/>
      <c r="G283" s="584"/>
      <c r="H283" s="584"/>
      <c r="I283" s="820"/>
      <c r="J283" s="595"/>
      <c r="K283" s="383"/>
      <c r="L283" s="588"/>
      <c r="M283" s="588"/>
      <c r="N283" s="833"/>
      <c r="O283" s="590"/>
      <c r="P283" s="939">
        <f>IFERROR(__xludf.DUMMYFUNCTION("IF(Q283="""","""",
   IF(Q283=0,0,
      IF(ISNUMBER(MATCH(Q283,FILTER(R$247:R$367,T$247:T$367&lt;&gt;0),0)),1,0)
   )
)"),1.0)</f>
        <v>1</v>
      </c>
      <c r="Q283" s="941" t="str">
        <f>IFERROR(__xludf.DUMMYFUNCTION("""COMPUTED_VALUE"""),"R-SE")</f>
        <v>R-SE</v>
      </c>
      <c r="R283" s="929" t="s">
        <v>383</v>
      </c>
      <c r="S283" s="930" t="s">
        <v>52</v>
      </c>
      <c r="T283" s="488">
        <f t="shared" si="177"/>
        <v>0</v>
      </c>
      <c r="U283" s="489">
        <f t="shared" si="158"/>
        <v>4</v>
      </c>
      <c r="V283" s="490" t="str">
        <f t="shared" si="159"/>
        <v>#REF!</v>
      </c>
      <c r="W283" s="491"/>
      <c r="X283" s="489"/>
      <c r="Y283" s="492"/>
      <c r="Z283" s="493"/>
      <c r="AA283" s="931"/>
      <c r="AB283" s="925" t="str">
        <f t="shared" si="172"/>
        <v/>
      </c>
      <c r="AC283" s="1441"/>
      <c r="AD283" s="939" t="str">
        <f>IFERROR(__xludf.DUMMYFUNCTION("IF(AE283="""","""",
   IF(AE283=0,0,
      IF(ISNUMBER(MATCH(AE283,FILTER(AF$245:AF$303,AH$245:AH$303&lt;&gt;0),0)),1,0)
   )
)"),"")</f>
        <v/>
      </c>
      <c r="AE283" s="943"/>
      <c r="AF283" s="929" t="s">
        <v>346</v>
      </c>
      <c r="AG283" s="932" t="s">
        <v>55</v>
      </c>
      <c r="AH283" s="488">
        <f t="shared" si="173"/>
        <v>0</v>
      </c>
      <c r="AI283" s="489">
        <f t="shared" si="245"/>
        <v>4</v>
      </c>
      <c r="AJ283" s="490" t="str">
        <f t="shared" si="267"/>
        <v/>
      </c>
      <c r="AK283" s="491">
        <f t="shared" si="268"/>
        <v>30</v>
      </c>
      <c r="AL283" s="489">
        <f t="shared" si="247"/>
        <v>240</v>
      </c>
      <c r="AM283" s="492">
        <f t="shared" si="248"/>
        <v>0</v>
      </c>
      <c r="AN283" s="493">
        <f t="shared" si="249"/>
        <v>0</v>
      </c>
      <c r="AO283" s="494" t="str">
        <f t="shared" si="235"/>
        <v/>
      </c>
      <c r="AP283" s="925" t="str">
        <f t="shared" si="164"/>
        <v/>
      </c>
      <c r="AQ283" s="651"/>
      <c r="AR283" s="939" t="str">
        <f>IFERROR(__xludf.DUMMYFUNCTION("IF(AS283="""","""",
   IF(AS283=0,0,
      IF(ISNUMBER(MATCH(AS283,FILTER(AT$245:AT$283,AV$245:AV$283&lt;&gt;0),0)),1,0)
   )
)"),"")</f>
        <v/>
      </c>
      <c r="AS283" s="956"/>
      <c r="AT283" s="957" t="str">
        <f>'Audit Check'!S83</f>
        <v/>
      </c>
      <c r="AU283" s="924"/>
      <c r="AV283" s="488">
        <f t="shared" si="175"/>
        <v>0</v>
      </c>
      <c r="AW283" s="489">
        <f t="shared" si="258"/>
        <v>4</v>
      </c>
      <c r="AX283" s="924" t="str">
        <f t="shared" si="259"/>
        <v/>
      </c>
      <c r="AY283" s="491">
        <f t="shared" si="266"/>
        <v>30</v>
      </c>
      <c r="AZ283" s="489">
        <f t="shared" si="260"/>
        <v>240</v>
      </c>
      <c r="BA283" s="492">
        <f t="shared" si="261"/>
        <v>0</v>
      </c>
      <c r="BB283" s="493">
        <f t="shared" si="262"/>
        <v>0</v>
      </c>
      <c r="BC283" s="494" t="str">
        <f t="shared" si="176"/>
        <v/>
      </c>
      <c r="BD283" s="595"/>
      <c r="BE283" s="595"/>
      <c r="BF283" s="595"/>
      <c r="BG283" s="595"/>
      <c r="BH283" s="595"/>
      <c r="BI283" s="595"/>
      <c r="BJ283" s="595"/>
      <c r="BK283" s="595"/>
      <c r="BL283" s="595"/>
      <c r="BM283" s="595"/>
      <c r="BN283" s="595"/>
      <c r="BO283" s="651"/>
      <c r="BP283" s="651"/>
      <c r="BQ283" s="651"/>
      <c r="BR283" s="651"/>
      <c r="BS283" s="651"/>
      <c r="BT283" s="651"/>
    </row>
    <row r="284">
      <c r="A284" s="1360"/>
      <c r="B284" s="584"/>
      <c r="C284" s="499" t="s">
        <v>278</v>
      </c>
      <c r="D284" s="844"/>
      <c r="E284" s="845"/>
      <c r="F284" s="846"/>
      <c r="G284" s="848"/>
      <c r="H284" s="848"/>
      <c r="I284" s="437">
        <v>1.0</v>
      </c>
      <c r="J284" s="436">
        <v>2.0</v>
      </c>
      <c r="K284" s="370">
        <v>750.0</v>
      </c>
      <c r="L284" s="850"/>
      <c r="M284" s="401">
        <v>0.0</v>
      </c>
      <c r="N284" s="849">
        <f t="shared" ref="N284:N286" si="270">M284*K284*J284*I284</f>
        <v>0</v>
      </c>
      <c r="O284" s="590"/>
      <c r="P284" s="939">
        <f>IFERROR(__xludf.DUMMYFUNCTION("IF(Q284="""","""",
   IF(Q284=0,0,
      IF(ISNUMBER(MATCH(Q284,FILTER(R$247:R$367,T$247:T$367&lt;&gt;0),0)),1,0)
   )
)"),0.0)</f>
        <v>0</v>
      </c>
      <c r="Q284" s="941" t="str">
        <f>IFERROR(__xludf.DUMMYFUNCTION("""COMPUTED_VALUE"""),"R-Angle")</f>
        <v>R-Angle</v>
      </c>
      <c r="R284" s="929" t="s">
        <v>384</v>
      </c>
      <c r="S284" s="930" t="s">
        <v>52</v>
      </c>
      <c r="T284" s="488">
        <f t="shared" si="177"/>
        <v>0</v>
      </c>
      <c r="U284" s="489">
        <f t="shared" si="158"/>
        <v>4</v>
      </c>
      <c r="V284" s="490" t="str">
        <f t="shared" si="159"/>
        <v>#REF!</v>
      </c>
      <c r="W284" s="491">
        <f>(10/1)*$X$232</f>
        <v>40</v>
      </c>
      <c r="X284" s="489">
        <f t="shared" ref="X284:X286" si="271">W284*W$242</f>
        <v>320</v>
      </c>
      <c r="Y284" s="492">
        <f>ROUNDUP(T284/X284,2)</f>
        <v>0</v>
      </c>
      <c r="Z284" s="493" t="str">
        <f t="shared" ref="Z284:Z286" si="272">Y284*V284*U284*W$242</f>
        <v>#REF!</v>
      </c>
      <c r="AA284" s="931" t="str">
        <f t="shared" ref="AA284:AA286" si="273">iferror(Z284/T284,"")</f>
        <v/>
      </c>
      <c r="AB284" s="925" t="str">
        <f t="shared" si="172"/>
        <v/>
      </c>
      <c r="AC284" s="1441"/>
      <c r="AD284" s="939" t="str">
        <f>IFERROR(__xludf.DUMMYFUNCTION("IF(AE284="""","""",
   IF(AE284=0,0,
      IF(ISNUMBER(MATCH(AE284,FILTER(AF$245:AF$303,AH$245:AH$303&lt;&gt;0),0)),1,0)
   )
)"),"")</f>
        <v/>
      </c>
      <c r="AE284" s="943"/>
      <c r="AF284" s="929" t="s">
        <v>170</v>
      </c>
      <c r="AG284" s="932" t="s">
        <v>55</v>
      </c>
      <c r="AH284" s="488">
        <f t="shared" si="173"/>
        <v>0</v>
      </c>
      <c r="AI284" s="489">
        <f t="shared" si="245"/>
        <v>4</v>
      </c>
      <c r="AJ284" s="490" t="str">
        <f>AC$235</f>
        <v>#REF!</v>
      </c>
      <c r="AK284" s="491">
        <f>(20/1)*$X$232</f>
        <v>80</v>
      </c>
      <c r="AL284" s="489">
        <f t="shared" si="247"/>
        <v>640</v>
      </c>
      <c r="AM284" s="492">
        <f t="shared" si="248"/>
        <v>0</v>
      </c>
      <c r="AN284" s="493" t="str">
        <f t="shared" si="249"/>
        <v>#REF!</v>
      </c>
      <c r="AO284" s="494" t="str">
        <f t="shared" si="235"/>
        <v/>
      </c>
      <c r="AP284" s="925" t="str">
        <f t="shared" si="164"/>
        <v/>
      </c>
      <c r="AQ284" s="651"/>
      <c r="AR284" s="958"/>
      <c r="AS284" s="959"/>
      <c r="AT284" s="960"/>
      <c r="AU284" s="471"/>
      <c r="AV284" s="473"/>
      <c r="AW284" s="549">
        <f>AVERAGE(AW244:AW269)</f>
        <v>4</v>
      </c>
      <c r="AX284" s="471"/>
      <c r="AY284" s="961"/>
      <c r="AZ284" s="962">
        <f>X232</f>
        <v>4</v>
      </c>
      <c r="BA284" s="552">
        <f t="shared" ref="BA284:BB284" si="269">SUM(BA244:BA283)</f>
        <v>0</v>
      </c>
      <c r="BB284" s="553">
        <f t="shared" si="269"/>
        <v>0</v>
      </c>
      <c r="BC284" s="554" t="str">
        <f>BB284/BA284/AZ284</f>
        <v>#DIV/0!</v>
      </c>
      <c r="BD284" s="595"/>
      <c r="BE284" s="595"/>
      <c r="BF284" s="595"/>
      <c r="BG284" s="595"/>
      <c r="BH284" s="595"/>
      <c r="BI284" s="595"/>
      <c r="BJ284" s="595"/>
      <c r="BK284" s="595"/>
      <c r="BL284" s="595"/>
      <c r="BM284" s="595"/>
      <c r="BN284" s="595"/>
      <c r="BO284" s="651"/>
      <c r="BP284" s="651"/>
      <c r="BQ284" s="651"/>
      <c r="BR284" s="651"/>
      <c r="BS284" s="651"/>
      <c r="BT284" s="651"/>
    </row>
    <row r="285">
      <c r="A285" s="1360"/>
      <c r="B285" s="584"/>
      <c r="C285" s="499" t="s">
        <v>279</v>
      </c>
      <c r="D285" s="844"/>
      <c r="E285" s="845"/>
      <c r="F285" s="846"/>
      <c r="G285" s="848"/>
      <c r="H285" s="848"/>
      <c r="I285" s="437">
        <f t="shared" ref="I285:I286" si="274">I284</f>
        <v>1</v>
      </c>
      <c r="J285" s="436">
        <v>0.0</v>
      </c>
      <c r="K285" s="370">
        <v>3000.0</v>
      </c>
      <c r="L285" s="850"/>
      <c r="M285" s="401">
        <v>0.0</v>
      </c>
      <c r="N285" s="849">
        <f t="shared" si="270"/>
        <v>0</v>
      </c>
      <c r="O285" s="590"/>
      <c r="P285" s="939">
        <f>IFERROR(__xludf.DUMMYFUNCTION("IF(Q285="""","""",
   IF(Q285=0,0,
      IF(ISNUMBER(MATCH(Q285,FILTER(R$247:R$367,T$247:T$367&lt;&gt;0),0)),1,0)
   )
)"),1.0)</f>
        <v>1</v>
      </c>
      <c r="Q285" s="941" t="str">
        <f>IFERROR(__xludf.DUMMYFUNCTION("""COMPUTED_VALUE"""),"R-Timberm2Fix")</f>
        <v>R-Timberm2Fix</v>
      </c>
      <c r="R285" s="942" t="s">
        <v>612</v>
      </c>
      <c r="S285" s="932" t="s">
        <v>52</v>
      </c>
      <c r="T285" s="488">
        <f t="shared" si="177"/>
        <v>0</v>
      </c>
      <c r="U285" s="489">
        <f t="shared" si="158"/>
        <v>4</v>
      </c>
      <c r="V285" s="490" t="str">
        <f t="shared" si="159"/>
        <v>#REF!</v>
      </c>
      <c r="W285" s="491">
        <f>(1/1)*$X$232</f>
        <v>4</v>
      </c>
      <c r="X285" s="489">
        <f t="shared" si="271"/>
        <v>32</v>
      </c>
      <c r="Y285" s="492">
        <f>ROUNDUP(T285/X285,2)</f>
        <v>0</v>
      </c>
      <c r="Z285" s="493" t="str">
        <f t="shared" si="272"/>
        <v>#REF!</v>
      </c>
      <c r="AA285" s="931" t="str">
        <f t="shared" si="273"/>
        <v/>
      </c>
      <c r="AB285" s="925" t="str">
        <f t="shared" si="172"/>
        <v/>
      </c>
      <c r="AC285" s="1441"/>
      <c r="AD285" s="939" t="str">
        <f>IFERROR(__xludf.DUMMYFUNCTION("IF(AE285="""","""",
   IF(AE285=0,0,
      IF(ISNUMBER(MATCH(AE285,FILTER(AF$245:AF$303,AH$245:AH$303&lt;&gt;0),0)),1,0)
   )
)"),"")</f>
        <v/>
      </c>
      <c r="AE285" s="943"/>
      <c r="AF285" s="929" t="s">
        <v>586</v>
      </c>
      <c r="AG285" s="932" t="s">
        <v>55</v>
      </c>
      <c r="AH285" s="488">
        <f t="shared" si="173"/>
        <v>0</v>
      </c>
      <c r="AI285" s="489">
        <f t="shared" si="245"/>
        <v>4</v>
      </c>
      <c r="AJ285" s="490" t="str">
        <f t="shared" ref="AJ285:AJ303" si="275">AN$235</f>
        <v/>
      </c>
      <c r="AK285" s="491">
        <f t="shared" ref="AK285:AK303" si="276">(30/4)*$X$232</f>
        <v>30</v>
      </c>
      <c r="AL285" s="489">
        <f t="shared" si="247"/>
        <v>240</v>
      </c>
      <c r="AM285" s="492">
        <f t="shared" si="248"/>
        <v>0</v>
      </c>
      <c r="AN285" s="493">
        <f t="shared" si="249"/>
        <v>0</v>
      </c>
      <c r="AO285" s="494" t="str">
        <f t="shared" si="235"/>
        <v/>
      </c>
      <c r="AP285" s="925" t="str">
        <f t="shared" si="164"/>
        <v/>
      </c>
      <c r="AQ285" s="651"/>
      <c r="AR285" s="963"/>
      <c r="AS285" s="963"/>
      <c r="AT285" s="963"/>
      <c r="AU285" s="595"/>
      <c r="AV285" s="443"/>
      <c r="AW285" s="595"/>
      <c r="AX285" s="595"/>
      <c r="AY285" s="443"/>
      <c r="AZ285" s="551">
        <v>8.0</v>
      </c>
      <c r="BA285" s="552">
        <f>AZ284/AZ285*BA284</f>
        <v>0</v>
      </c>
      <c r="BB285" s="553" t="str">
        <f>BC284*BA285*AZ285</f>
        <v>#DIV/0!</v>
      </c>
      <c r="BC285" s="595"/>
      <c r="BD285" s="595"/>
      <c r="BE285" s="595"/>
      <c r="BF285" s="595"/>
      <c r="BG285" s="595"/>
      <c r="BH285" s="595"/>
      <c r="BI285" s="595"/>
      <c r="BJ285" s="595"/>
      <c r="BK285" s="595"/>
      <c r="BL285" s="595"/>
      <c r="BM285" s="595"/>
      <c r="BN285" s="595"/>
      <c r="BO285" s="651"/>
      <c r="BP285" s="651"/>
      <c r="BQ285" s="651"/>
      <c r="BR285" s="651"/>
      <c r="BS285" s="651"/>
      <c r="BT285" s="651"/>
    </row>
    <row r="286">
      <c r="A286" s="1360"/>
      <c r="B286" s="584"/>
      <c r="C286" s="499" t="s">
        <v>280</v>
      </c>
      <c r="D286" s="844"/>
      <c r="E286" s="845"/>
      <c r="F286" s="846"/>
      <c r="G286" s="848"/>
      <c r="H286" s="848"/>
      <c r="I286" s="437">
        <f t="shared" si="274"/>
        <v>1</v>
      </c>
      <c r="J286" s="436">
        <f>J285</f>
        <v>0</v>
      </c>
      <c r="K286" s="370">
        <v>95.0</v>
      </c>
      <c r="L286" s="850"/>
      <c r="M286" s="840"/>
      <c r="N286" s="849">
        <f t="shared" si="270"/>
        <v>0</v>
      </c>
      <c r="O286" s="590"/>
      <c r="P286" s="939">
        <f>IFERROR(__xludf.DUMMYFUNCTION("IF(Q286="""","""",
   IF(Q286=0,0,
      IF(ISNUMBER(MATCH(Q286,FILTER(R$247:R$367,T$247:T$367&lt;&gt;0),0)),1,0)
   )
)"),1.0)</f>
        <v>1</v>
      </c>
      <c r="Q286" s="941" t="str">
        <f>IFERROR(__xludf.DUMMYFUNCTION("""COMPUTED_VALUE"""),"R-DP")</f>
        <v>R-DP</v>
      </c>
      <c r="R286" s="929" t="s">
        <v>143</v>
      </c>
      <c r="S286" s="930" t="s">
        <v>52</v>
      </c>
      <c r="T286" s="488">
        <f t="shared" si="177"/>
        <v>7</v>
      </c>
      <c r="U286" s="489">
        <f t="shared" si="158"/>
        <v>4</v>
      </c>
      <c r="V286" s="490" t="str">
        <f t="shared" si="159"/>
        <v>#REF!</v>
      </c>
      <c r="W286" s="491">
        <f>(5/1)*$X$232</f>
        <v>20</v>
      </c>
      <c r="X286" s="489">
        <f t="shared" si="271"/>
        <v>160</v>
      </c>
      <c r="Y286" s="492">
        <f>ROUNDUP(T286/X286,2)</f>
        <v>0.05</v>
      </c>
      <c r="Z286" s="493" t="str">
        <f t="shared" si="272"/>
        <v>#REF!</v>
      </c>
      <c r="AA286" s="931" t="str">
        <f t="shared" si="273"/>
        <v/>
      </c>
      <c r="AB286" s="925" t="str">
        <f t="shared" si="172"/>
        <v/>
      </c>
      <c r="AC286" s="1441"/>
      <c r="AD286" s="939" t="str">
        <f>IFERROR(__xludf.DUMMYFUNCTION("IF(AE286="""","""",
   IF(AE286=0,0,
      IF(ISNUMBER(MATCH(AE286,FILTER(AF$245:AF$303,AH$245:AH$303&lt;&gt;0),0)),1,0)
   )
)"),"")</f>
        <v/>
      </c>
      <c r="AE286" s="943"/>
      <c r="AF286" s="929" t="s">
        <v>597</v>
      </c>
      <c r="AG286" s="932" t="s">
        <v>52</v>
      </c>
      <c r="AH286" s="488">
        <f t="shared" si="173"/>
        <v>0</v>
      </c>
      <c r="AI286" s="489">
        <f t="shared" si="245"/>
        <v>4</v>
      </c>
      <c r="AJ286" s="490" t="str">
        <f t="shared" si="275"/>
        <v/>
      </c>
      <c r="AK286" s="491">
        <f t="shared" si="276"/>
        <v>30</v>
      </c>
      <c r="AL286" s="489">
        <f t="shared" si="247"/>
        <v>240</v>
      </c>
      <c r="AM286" s="492">
        <f t="shared" si="248"/>
        <v>0</v>
      </c>
      <c r="AN286" s="493">
        <f t="shared" si="249"/>
        <v>0</v>
      </c>
      <c r="AO286" s="494" t="str">
        <f t="shared" si="235"/>
        <v/>
      </c>
      <c r="AP286" s="925" t="str">
        <f t="shared" si="164"/>
        <v/>
      </c>
      <c r="AQ286" s="651"/>
      <c r="AR286" s="595"/>
      <c r="AS286" s="595"/>
      <c r="AT286" s="595"/>
      <c r="AU286" s="595"/>
      <c r="AV286" s="595"/>
      <c r="AW286" s="595"/>
      <c r="AX286" s="595"/>
      <c r="AY286" s="595"/>
      <c r="AZ286" s="595"/>
      <c r="BA286" s="595"/>
      <c r="BB286" s="595"/>
      <c r="BC286" s="595"/>
      <c r="BD286" s="595"/>
      <c r="BE286" s="595"/>
      <c r="BF286" s="595"/>
      <c r="BG286" s="595"/>
      <c r="BH286" s="595"/>
      <c r="BI286" s="595"/>
      <c r="BJ286" s="595"/>
      <c r="BK286" s="595"/>
      <c r="BL286" s="595"/>
      <c r="BM286" s="595"/>
      <c r="BN286" s="595"/>
      <c r="BO286" s="651"/>
      <c r="BP286" s="651"/>
      <c r="BQ286" s="651"/>
      <c r="BR286" s="651"/>
      <c r="BS286" s="651"/>
      <c r="BT286" s="651"/>
    </row>
    <row r="287">
      <c r="A287" s="1360"/>
      <c r="B287" s="584"/>
      <c r="C287" s="499" t="s">
        <v>281</v>
      </c>
      <c r="D287" s="844"/>
      <c r="E287" s="845"/>
      <c r="F287" s="846"/>
      <c r="G287" s="848"/>
      <c r="H287" s="848"/>
      <c r="I287" s="964"/>
      <c r="J287" s="964"/>
      <c r="K287" s="370"/>
      <c r="L287" s="850"/>
      <c r="M287" s="840"/>
      <c r="N287" s="849">
        <f>SUM(N285)*0.3</f>
        <v>0</v>
      </c>
      <c r="O287" s="590"/>
      <c r="P287" s="939">
        <f>IFERROR(__xludf.DUMMYFUNCTION("IF(Q287="""","""",
   IF(Q287=0,0,
      IF(ISNUMBER(MATCH(Q287,FILTER(R$247:R$367,T$247:T$367&lt;&gt;0),0)),1,0)
   )
)"),1.0)</f>
        <v>1</v>
      </c>
      <c r="Q287" s="941" t="str">
        <f>IFERROR(__xludf.DUMMYFUNCTION("""COMPUTED_VALUE"""),"R-DPBracket")</f>
        <v>R-DPBracket</v>
      </c>
      <c r="R287" s="929" t="s">
        <v>144</v>
      </c>
      <c r="S287" s="930" t="s">
        <v>52</v>
      </c>
      <c r="T287" s="488">
        <f t="shared" si="177"/>
        <v>140</v>
      </c>
      <c r="U287" s="489">
        <f t="shared" si="158"/>
        <v>4</v>
      </c>
      <c r="V287" s="490" t="str">
        <f t="shared" si="159"/>
        <v>#REF!</v>
      </c>
      <c r="W287" s="491"/>
      <c r="X287" s="489"/>
      <c r="Y287" s="492"/>
      <c r="Z287" s="493"/>
      <c r="AA287" s="931"/>
      <c r="AB287" s="925" t="str">
        <f t="shared" si="172"/>
        <v/>
      </c>
      <c r="AC287" s="1441"/>
      <c r="AD287" s="939" t="str">
        <f>IFERROR(__xludf.DUMMYFUNCTION("IF(AE287="""","""",
   IF(AE287=0,0,
      IF(ISNUMBER(MATCH(AE287,FILTER(AF$245:AF$303,AH$245:AH$303&lt;&gt;0),0)),1,0)
   )
)"),"")</f>
        <v/>
      </c>
      <c r="AE287" s="943"/>
      <c r="AF287" s="929" t="s">
        <v>588</v>
      </c>
      <c r="AG287" s="932" t="s">
        <v>55</v>
      </c>
      <c r="AH287" s="488">
        <f t="shared" si="173"/>
        <v>0</v>
      </c>
      <c r="AI287" s="489">
        <f t="shared" si="245"/>
        <v>4</v>
      </c>
      <c r="AJ287" s="490" t="str">
        <f t="shared" si="275"/>
        <v/>
      </c>
      <c r="AK287" s="491">
        <f t="shared" si="276"/>
        <v>30</v>
      </c>
      <c r="AL287" s="489">
        <f t="shared" si="247"/>
        <v>240</v>
      </c>
      <c r="AM287" s="492">
        <f t="shared" si="248"/>
        <v>0</v>
      </c>
      <c r="AN287" s="493">
        <f t="shared" si="249"/>
        <v>0</v>
      </c>
      <c r="AO287" s="494" t="str">
        <f t="shared" si="235"/>
        <v/>
      </c>
      <c r="AP287" s="925" t="str">
        <f t="shared" si="164"/>
        <v/>
      </c>
      <c r="AQ287" s="651"/>
      <c r="AR287" s="595"/>
      <c r="AS287" s="595"/>
      <c r="AT287" s="595"/>
      <c r="AU287" s="595"/>
      <c r="AV287" s="595"/>
      <c r="AW287" s="595"/>
      <c r="AX287" s="595"/>
      <c r="AY287" s="595"/>
      <c r="AZ287" s="595"/>
      <c r="BA287" s="595"/>
      <c r="BB287" s="595"/>
      <c r="BC287" s="595"/>
      <c r="BD287" s="595"/>
      <c r="BE287" s="595"/>
      <c r="BF287" s="595"/>
      <c r="BG287" s="595"/>
      <c r="BH287" s="595"/>
      <c r="BI287" s="595"/>
      <c r="BJ287" s="595"/>
      <c r="BK287" s="595"/>
      <c r="BL287" s="595"/>
      <c r="BM287" s="595"/>
      <c r="BN287" s="595"/>
      <c r="BO287" s="651"/>
      <c r="BP287" s="651"/>
      <c r="BQ287" s="651"/>
      <c r="BR287" s="651"/>
      <c r="BS287" s="651"/>
      <c r="BT287" s="651"/>
    </row>
    <row r="288">
      <c r="A288" s="1360"/>
      <c r="B288" s="584"/>
      <c r="C288" s="946"/>
      <c r="D288" s="844"/>
      <c r="E288" s="845"/>
      <c r="F288" s="846"/>
      <c r="G288" s="848"/>
      <c r="H288" s="848"/>
      <c r="I288" s="964"/>
      <c r="J288" s="964"/>
      <c r="K288" s="370"/>
      <c r="L288" s="850"/>
      <c r="M288" s="840"/>
      <c r="N288" s="965"/>
      <c r="O288" s="590"/>
      <c r="P288" s="939">
        <f>IFERROR(__xludf.DUMMYFUNCTION("IF(Q288="""","""",
   IF(Q288=0,0,
      IF(ISNUMBER(MATCH(Q288,FILTER(R$247:R$367,T$247:T$367&lt;&gt;0),0)),1,0)
   )
)"),1.0)</f>
        <v>1</v>
      </c>
      <c r="Q288" s="941" t="str">
        <f>IFERROR(__xludf.DUMMYFUNCTION("""COMPUTED_VALUE"""),"R-OP")</f>
        <v>R-OP</v>
      </c>
      <c r="R288" s="929" t="s">
        <v>388</v>
      </c>
      <c r="S288" s="930" t="s">
        <v>52</v>
      </c>
      <c r="T288" s="488">
        <f t="shared" si="177"/>
        <v>0.875</v>
      </c>
      <c r="U288" s="489">
        <f t="shared" si="158"/>
        <v>4</v>
      </c>
      <c r="V288" s="490" t="str">
        <f t="shared" si="159"/>
        <v>#REF!</v>
      </c>
      <c r="W288" s="491"/>
      <c r="X288" s="489"/>
      <c r="Y288" s="492"/>
      <c r="Z288" s="493"/>
      <c r="AA288" s="931"/>
      <c r="AB288" s="925" t="str">
        <f t="shared" si="172"/>
        <v/>
      </c>
      <c r="AC288" s="1441"/>
      <c r="AD288" s="939" t="str">
        <f>IFERROR(__xludf.DUMMYFUNCTION("IF(AE288="""","""",
   IF(AE288=0,0,
      IF(ISNUMBER(MATCH(AE288,FILTER(AF$245:AF$303,AH$245:AH$303&lt;&gt;0),0)),1,0)
   )
)"),"")</f>
        <v/>
      </c>
      <c r="AE288" s="943"/>
      <c r="AF288" s="929" t="s">
        <v>583</v>
      </c>
      <c r="AG288" s="932" t="s">
        <v>55</v>
      </c>
      <c r="AH288" s="488">
        <f t="shared" si="173"/>
        <v>0</v>
      </c>
      <c r="AI288" s="489">
        <f t="shared" si="245"/>
        <v>4</v>
      </c>
      <c r="AJ288" s="490" t="str">
        <f t="shared" si="275"/>
        <v/>
      </c>
      <c r="AK288" s="491">
        <f t="shared" si="276"/>
        <v>30</v>
      </c>
      <c r="AL288" s="489">
        <f t="shared" si="247"/>
        <v>240</v>
      </c>
      <c r="AM288" s="492">
        <f t="shared" si="248"/>
        <v>0</v>
      </c>
      <c r="AN288" s="493">
        <f t="shared" si="249"/>
        <v>0</v>
      </c>
      <c r="AO288" s="494" t="str">
        <f t="shared" si="235"/>
        <v/>
      </c>
      <c r="AP288" s="925" t="str">
        <f t="shared" si="164"/>
        <v/>
      </c>
      <c r="AQ288" s="651"/>
      <c r="AR288" s="595"/>
      <c r="AS288" s="595"/>
      <c r="AT288" s="595"/>
      <c r="AU288" s="595"/>
      <c r="AV288" s="595"/>
      <c r="AW288" s="595"/>
      <c r="AX288" s="595"/>
      <c r="AY288" s="595"/>
      <c r="AZ288" s="595"/>
      <c r="BA288" s="595"/>
      <c r="BB288" s="595"/>
      <c r="BC288" s="595"/>
      <c r="BD288" s="595"/>
      <c r="BE288" s="595"/>
      <c r="BF288" s="595"/>
      <c r="BG288" s="595"/>
      <c r="BH288" s="595"/>
      <c r="BI288" s="595"/>
      <c r="BJ288" s="595"/>
      <c r="BK288" s="595"/>
      <c r="BL288" s="595"/>
      <c r="BM288" s="595"/>
      <c r="BN288" s="595"/>
      <c r="BO288" s="651"/>
      <c r="BP288" s="651"/>
      <c r="BQ288" s="651"/>
      <c r="BR288" s="651"/>
      <c r="BS288" s="651"/>
      <c r="BT288" s="651"/>
    </row>
    <row r="289">
      <c r="A289" s="1360"/>
      <c r="B289" s="584"/>
      <c r="C289" s="966" t="s">
        <v>283</v>
      </c>
      <c r="D289" s="609"/>
      <c r="E289" s="585"/>
      <c r="F289" s="586"/>
      <c r="G289" s="584"/>
      <c r="H289" s="584"/>
      <c r="I289" s="595"/>
      <c r="J289" s="595"/>
      <c r="K289" s="383"/>
      <c r="L289" s="588"/>
      <c r="M289" s="588"/>
      <c r="N289" s="833"/>
      <c r="O289" s="590"/>
      <c r="P289" s="939">
        <f>IFERROR(__xludf.DUMMYFUNCTION("IF(Q289="""","""",
   IF(Q289=0,0,
      IF(ISNUMBER(MATCH(Q289,FILTER(R$247:R$367,T$247:T$367&lt;&gt;0),0)),1,0)
   )
)"),1.0)</f>
        <v>1</v>
      </c>
      <c r="Q289" s="941" t="str">
        <f>IFERROR(__xludf.DUMMYFUNCTION("""COMPUTED_VALUE"""),"R-OPSeal")</f>
        <v>R-OPSeal</v>
      </c>
      <c r="R289" s="929" t="s">
        <v>389</v>
      </c>
      <c r="S289" s="930" t="s">
        <v>52</v>
      </c>
      <c r="T289" s="488">
        <f t="shared" si="177"/>
        <v>1.001372346</v>
      </c>
      <c r="U289" s="489">
        <f t="shared" si="158"/>
        <v>4</v>
      </c>
      <c r="V289" s="490" t="str">
        <f t="shared" si="159"/>
        <v>#REF!</v>
      </c>
      <c r="W289" s="491"/>
      <c r="X289" s="489"/>
      <c r="Y289" s="492"/>
      <c r="Z289" s="493"/>
      <c r="AA289" s="931"/>
      <c r="AB289" s="925" t="str">
        <f t="shared" si="172"/>
        <v/>
      </c>
      <c r="AC289" s="1441"/>
      <c r="AD289" s="939" t="str">
        <f>IFERROR(__xludf.DUMMYFUNCTION("IF(AE289="""","""",
   IF(AE289=0,0,
      IF(ISNUMBER(MATCH(AE289,FILTER(AF$245:AF$303,AH$245:AH$303&lt;&gt;0),0)),1,0)
   )
)"),"")</f>
        <v/>
      </c>
      <c r="AE289" s="943"/>
      <c r="AF289" s="942" t="s">
        <v>595</v>
      </c>
      <c r="AG289" s="932" t="s">
        <v>52</v>
      </c>
      <c r="AH289" s="488">
        <f t="shared" si="173"/>
        <v>0</v>
      </c>
      <c r="AI289" s="489">
        <f t="shared" si="245"/>
        <v>4</v>
      </c>
      <c r="AJ289" s="490" t="str">
        <f t="shared" si="275"/>
        <v/>
      </c>
      <c r="AK289" s="491">
        <f t="shared" si="276"/>
        <v>30</v>
      </c>
      <c r="AL289" s="489">
        <f t="shared" si="247"/>
        <v>240</v>
      </c>
      <c r="AM289" s="492">
        <f t="shared" si="248"/>
        <v>0</v>
      </c>
      <c r="AN289" s="493">
        <f t="shared" si="249"/>
        <v>0</v>
      </c>
      <c r="AO289" s="494" t="str">
        <f t="shared" si="235"/>
        <v/>
      </c>
      <c r="AP289" s="925" t="str">
        <f t="shared" si="164"/>
        <v/>
      </c>
      <c r="AQ289" s="651"/>
      <c r="AR289" s="595"/>
      <c r="AS289" s="595"/>
      <c r="AT289" s="595"/>
      <c r="AU289" s="595"/>
      <c r="AV289" s="595"/>
      <c r="AW289" s="595"/>
      <c r="AX289" s="595"/>
      <c r="AY289" s="595"/>
      <c r="AZ289" s="595"/>
      <c r="BA289" s="595"/>
      <c r="BB289" s="595"/>
      <c r="BC289" s="595"/>
      <c r="BD289" s="595"/>
      <c r="BE289" s="595"/>
      <c r="BF289" s="595"/>
      <c r="BG289" s="595"/>
      <c r="BH289" s="595"/>
      <c r="BI289" s="595"/>
      <c r="BJ289" s="595"/>
      <c r="BK289" s="595"/>
      <c r="BL289" s="595"/>
      <c r="BM289" s="595"/>
      <c r="BN289" s="595"/>
      <c r="BO289" s="651"/>
      <c r="BP289" s="651"/>
      <c r="BQ289" s="651"/>
      <c r="BR289" s="651"/>
      <c r="BS289" s="651"/>
      <c r="BT289" s="651"/>
    </row>
    <row r="290">
      <c r="A290" s="1360"/>
      <c r="B290" s="584"/>
      <c r="C290" s="499" t="s">
        <v>278</v>
      </c>
      <c r="D290" s="844"/>
      <c r="E290" s="845"/>
      <c r="F290" s="846"/>
      <c r="G290" s="848"/>
      <c r="H290" s="848"/>
      <c r="I290" s="437">
        <v>2.0</v>
      </c>
      <c r="J290" s="436" t="str">
        <f>W235</f>
        <v>#REF!</v>
      </c>
      <c r="K290" s="948">
        <v>150.0</v>
      </c>
      <c r="L290" s="850"/>
      <c r="M290" s="870">
        <v>0.0</v>
      </c>
      <c r="N290" s="849" t="str">
        <f t="shared" ref="N290:N292" si="278">M290*K290*J290*I290</f>
        <v>#REF!</v>
      </c>
      <c r="O290" s="590"/>
      <c r="P290" s="939">
        <f>IFERROR(__xludf.DUMMYFUNCTION("IF(Q290="""","""",
   IF(Q290=0,0,
      IF(ISNUMBER(MATCH(Q290,FILTER(R$247:R$367,T$247:T$367&lt;&gt;0),0)),1,0)
   )
)"),1.0)</f>
        <v>1</v>
      </c>
      <c r="Q290" s="941" t="str">
        <f>IFERROR(__xludf.DUMMYFUNCTION("""COMPUTED_VALUE"""),"R-OPFixing")</f>
        <v>R-OPFixing</v>
      </c>
      <c r="R290" s="929" t="s">
        <v>390</v>
      </c>
      <c r="S290" s="930" t="s">
        <v>52</v>
      </c>
      <c r="T290" s="488">
        <f t="shared" si="177"/>
        <v>0</v>
      </c>
      <c r="U290" s="489">
        <f t="shared" si="158"/>
        <v>4</v>
      </c>
      <c r="V290" s="490" t="str">
        <f t="shared" si="159"/>
        <v>#REF!</v>
      </c>
      <c r="W290" s="491">
        <f>(1/5.4)*$X$232</f>
        <v>0.7407407407</v>
      </c>
      <c r="X290" s="489">
        <f t="shared" ref="X290:X292" si="279">W290*W$242</f>
        <v>5.925925926</v>
      </c>
      <c r="Y290" s="492">
        <f t="shared" ref="Y290:Y292" si="280">ROUNDUP(T290/X290,2)</f>
        <v>0</v>
      </c>
      <c r="Z290" s="493" t="str">
        <f t="shared" ref="Z290:Z292" si="281">Y290*V290*U290*W$242</f>
        <v>#REF!</v>
      </c>
      <c r="AA290" s="931" t="str">
        <f t="shared" ref="AA290:AA292" si="282">iferror(Z290/T290,"")</f>
        <v/>
      </c>
      <c r="AB290" s="925" t="str">
        <f t="shared" si="172"/>
        <v/>
      </c>
      <c r="AC290" s="1441"/>
      <c r="AD290" s="939" t="str">
        <f>IFERROR(__xludf.DUMMYFUNCTION("IF(AE290="""","""",
   IF(AE290=0,0,
      IF(ISNUMBER(MATCH(AE290,FILTER(AF$245:AF$303,AH$245:AH$303&lt;&gt;0),0)),1,0)
   )
)"),"")</f>
        <v/>
      </c>
      <c r="AE290" s="943"/>
      <c r="AF290" s="942" t="s">
        <v>602</v>
      </c>
      <c r="AG290" s="932" t="s">
        <v>52</v>
      </c>
      <c r="AH290" s="488">
        <f t="shared" si="173"/>
        <v>0</v>
      </c>
      <c r="AI290" s="489">
        <f t="shared" si="245"/>
        <v>4</v>
      </c>
      <c r="AJ290" s="490" t="str">
        <f t="shared" si="275"/>
        <v/>
      </c>
      <c r="AK290" s="491">
        <f t="shared" si="276"/>
        <v>30</v>
      </c>
      <c r="AL290" s="489">
        <f t="shared" si="247"/>
        <v>240</v>
      </c>
      <c r="AM290" s="492">
        <f t="shared" si="248"/>
        <v>0</v>
      </c>
      <c r="AN290" s="493">
        <f t="shared" si="249"/>
        <v>0</v>
      </c>
      <c r="AO290" s="494" t="str">
        <f t="shared" si="235"/>
        <v/>
      </c>
      <c r="AP290" s="925" t="str">
        <f t="shared" si="164"/>
        <v/>
      </c>
      <c r="AQ290" s="651"/>
      <c r="AR290" s="595"/>
      <c r="AS290" s="595"/>
      <c r="AT290" s="595"/>
      <c r="AU290" s="595"/>
      <c r="AV290" s="595"/>
      <c r="AW290" s="595"/>
      <c r="AX290" s="595"/>
      <c r="AY290" s="595"/>
      <c r="AZ290" s="595"/>
      <c r="BA290" s="595"/>
      <c r="BB290" s="595"/>
      <c r="BC290" s="595"/>
      <c r="BD290" s="595"/>
      <c r="BE290" s="595"/>
      <c r="BF290" s="595"/>
      <c r="BG290" s="595"/>
      <c r="BH290" s="595"/>
      <c r="BI290" s="595"/>
      <c r="BJ290" s="595"/>
      <c r="BK290" s="595"/>
      <c r="BL290" s="595"/>
      <c r="BM290" s="595"/>
      <c r="BN290" s="595"/>
      <c r="BO290" s="651"/>
      <c r="BP290" s="651"/>
      <c r="BQ290" s="651"/>
      <c r="BR290" s="651"/>
      <c r="BS290" s="651"/>
      <c r="BT290" s="651"/>
    </row>
    <row r="291">
      <c r="A291" s="1360"/>
      <c r="B291" s="584"/>
      <c r="C291" s="499" t="s">
        <v>279</v>
      </c>
      <c r="D291" s="844"/>
      <c r="E291" s="845"/>
      <c r="F291" s="846"/>
      <c r="G291" s="848"/>
      <c r="H291" s="848"/>
      <c r="I291" s="437">
        <f t="shared" ref="I291:J291" si="277">I290</f>
        <v>2</v>
      </c>
      <c r="J291" s="436" t="str">
        <f t="shared" si="277"/>
        <v>#REF!</v>
      </c>
      <c r="K291" s="948">
        <v>300.0</v>
      </c>
      <c r="L291" s="850"/>
      <c r="M291" s="870">
        <v>0.0</v>
      </c>
      <c r="N291" s="849" t="str">
        <f t="shared" si="278"/>
        <v>#REF!</v>
      </c>
      <c r="O291" s="590"/>
      <c r="P291" s="939">
        <f>IFERROR(__xludf.DUMMYFUNCTION("IF(Q291="""","""",
   IF(Q291=0,0,
      IF(ISNUMBER(MATCH(Q291,FILTER(R$247:R$367,T$247:T$367&lt;&gt;0),0)),1,0)
   )
)"),1.0)</f>
        <v>1</v>
      </c>
      <c r="Q291" s="941" t="str">
        <f>IFERROR(__xludf.DUMMYFUNCTION("""COMPUTED_VALUE"""),"R-OPSoffitCover")</f>
        <v>R-OPSoffitCover</v>
      </c>
      <c r="R291" s="929" t="s">
        <v>391</v>
      </c>
      <c r="S291" s="930" t="s">
        <v>52</v>
      </c>
      <c r="T291" s="488">
        <f t="shared" si="177"/>
        <v>4</v>
      </c>
      <c r="U291" s="489">
        <f t="shared" si="158"/>
        <v>4</v>
      </c>
      <c r="V291" s="490" t="str">
        <f t="shared" si="159"/>
        <v>#REF!</v>
      </c>
      <c r="W291" s="491">
        <f t="shared" ref="W291:W292" si="284">(8/2)*$X$232</f>
        <v>16</v>
      </c>
      <c r="X291" s="489">
        <f t="shared" si="279"/>
        <v>128</v>
      </c>
      <c r="Y291" s="492">
        <f t="shared" si="280"/>
        <v>0.04</v>
      </c>
      <c r="Z291" s="493" t="str">
        <f t="shared" si="281"/>
        <v>#REF!</v>
      </c>
      <c r="AA291" s="931" t="str">
        <f t="shared" si="282"/>
        <v/>
      </c>
      <c r="AB291" s="925" t="str">
        <f t="shared" si="172"/>
        <v/>
      </c>
      <c r="AC291" s="1441"/>
      <c r="AD291" s="939" t="str">
        <f>IFERROR(__xludf.DUMMYFUNCTION("IF(AE291="""","""",
   IF(AE291=0,0,
      IF(ISNUMBER(MATCH(AE291,FILTER(AF$245:AF$303,AH$245:AH$303&lt;&gt;0),0)),1,0)
   )
)"),"")</f>
        <v/>
      </c>
      <c r="AE291" s="943"/>
      <c r="AF291" s="929"/>
      <c r="AG291" s="968"/>
      <c r="AH291" s="488">
        <f t="shared" si="173"/>
        <v>0</v>
      </c>
      <c r="AI291" s="489">
        <f t="shared" si="245"/>
        <v>4</v>
      </c>
      <c r="AJ291" s="490" t="str">
        <f t="shared" si="275"/>
        <v/>
      </c>
      <c r="AK291" s="491">
        <f t="shared" si="276"/>
        <v>30</v>
      </c>
      <c r="AL291" s="489">
        <f t="shared" si="247"/>
        <v>240</v>
      </c>
      <c r="AM291" s="492">
        <f t="shared" si="248"/>
        <v>0</v>
      </c>
      <c r="AN291" s="493">
        <f t="shared" si="249"/>
        <v>0</v>
      </c>
      <c r="AO291" s="494" t="str">
        <f t="shared" si="235"/>
        <v/>
      </c>
      <c r="AP291" s="925" t="str">
        <f t="shared" si="164"/>
        <v/>
      </c>
      <c r="AQ291" s="651"/>
      <c r="AR291" s="595"/>
      <c r="AS291" s="595"/>
      <c r="AT291" s="595"/>
      <c r="AU291" s="595"/>
      <c r="AV291" s="595"/>
      <c r="AW291" s="595"/>
      <c r="AX291" s="595"/>
      <c r="AY291" s="595"/>
      <c r="AZ291" s="595"/>
      <c r="BA291" s="595"/>
      <c r="BB291" s="595"/>
      <c r="BC291" s="595"/>
      <c r="BD291" s="595"/>
      <c r="BE291" s="595"/>
      <c r="BF291" s="595"/>
      <c r="BG291" s="595"/>
      <c r="BH291" s="595"/>
      <c r="BI291" s="595"/>
      <c r="BJ291" s="595"/>
      <c r="BK291" s="595"/>
      <c r="BL291" s="595"/>
      <c r="BM291" s="595"/>
      <c r="BN291" s="595"/>
      <c r="BO291" s="651"/>
      <c r="BP291" s="651"/>
      <c r="BQ291" s="651"/>
      <c r="BR291" s="651"/>
      <c r="BS291" s="651"/>
      <c r="BT291" s="651"/>
    </row>
    <row r="292">
      <c r="A292" s="1360"/>
      <c r="B292" s="584"/>
      <c r="C292" s="499" t="s">
        <v>280</v>
      </c>
      <c r="D292" s="844"/>
      <c r="E292" s="845"/>
      <c r="F292" s="846"/>
      <c r="G292" s="848"/>
      <c r="H292" s="848"/>
      <c r="I292" s="437">
        <f t="shared" ref="I292:J292" si="283">I291</f>
        <v>2</v>
      </c>
      <c r="J292" s="436" t="str">
        <f t="shared" si="283"/>
        <v>#REF!</v>
      </c>
      <c r="K292" s="370">
        <v>95.0</v>
      </c>
      <c r="L292" s="850"/>
      <c r="M292" s="840"/>
      <c r="N292" s="849" t="str">
        <f t="shared" si="278"/>
        <v>#REF!</v>
      </c>
      <c r="O292" s="590"/>
      <c r="P292" s="939" t="str">
        <f>IFERROR(__xludf.DUMMYFUNCTION("IF(Q292="""","""",
   IF(Q292=0,0,
      IF(ISNUMBER(MATCH(Q292,FILTER(R$247:R$367,T$247:T$367&lt;&gt;0),0)),1,0)
   )
)"),"")</f>
        <v/>
      </c>
      <c r="Q292" s="941"/>
      <c r="R292" s="942" t="s">
        <v>63</v>
      </c>
      <c r="S292" s="930" t="s">
        <v>52</v>
      </c>
      <c r="T292" s="488">
        <f t="shared" si="177"/>
        <v>0</v>
      </c>
      <c r="U292" s="489">
        <f t="shared" si="158"/>
        <v>4</v>
      </c>
      <c r="V292" s="490" t="str">
        <f t="shared" si="159"/>
        <v>#REF!</v>
      </c>
      <c r="W292" s="491">
        <f t="shared" si="284"/>
        <v>16</v>
      </c>
      <c r="X292" s="489">
        <f t="shared" si="279"/>
        <v>128</v>
      </c>
      <c r="Y292" s="492">
        <f t="shared" si="280"/>
        <v>0</v>
      </c>
      <c r="Z292" s="493" t="str">
        <f t="shared" si="281"/>
        <v>#REF!</v>
      </c>
      <c r="AA292" s="931" t="str">
        <f t="shared" si="282"/>
        <v/>
      </c>
      <c r="AB292" s="925" t="str">
        <f t="shared" si="172"/>
        <v/>
      </c>
      <c r="AC292" s="1441"/>
      <c r="AD292" s="939" t="str">
        <f>IFERROR(__xludf.DUMMYFUNCTION("IF(AE292="""","""",
   IF(AE292=0,0,
      IF(ISNUMBER(MATCH(AE292,FILTER(AF$245:AF$303,AH$245:AH$303&lt;&gt;0),0)),1,0)
   )
)"),"")</f>
        <v/>
      </c>
      <c r="AE292" s="943"/>
      <c r="AF292" s="929"/>
      <c r="AG292" s="968"/>
      <c r="AH292" s="488">
        <f t="shared" si="173"/>
        <v>0</v>
      </c>
      <c r="AI292" s="489">
        <f t="shared" si="245"/>
        <v>4</v>
      </c>
      <c r="AJ292" s="490" t="str">
        <f t="shared" si="275"/>
        <v/>
      </c>
      <c r="AK292" s="491">
        <f t="shared" si="276"/>
        <v>30</v>
      </c>
      <c r="AL292" s="489">
        <f t="shared" si="247"/>
        <v>240</v>
      </c>
      <c r="AM292" s="492">
        <f t="shared" si="248"/>
        <v>0</v>
      </c>
      <c r="AN292" s="493">
        <f t="shared" si="249"/>
        <v>0</v>
      </c>
      <c r="AO292" s="494" t="str">
        <f t="shared" si="235"/>
        <v/>
      </c>
      <c r="AP292" s="925" t="str">
        <f t="shared" si="164"/>
        <v/>
      </c>
      <c r="AQ292" s="651"/>
      <c r="AR292" s="595"/>
      <c r="AS292" s="595"/>
      <c r="AT292" s="595"/>
      <c r="AU292" s="595"/>
      <c r="AV292" s="595"/>
      <c r="AW292" s="595"/>
      <c r="AX292" s="595"/>
      <c r="AY292" s="595"/>
      <c r="AZ292" s="595"/>
      <c r="BA292" s="595"/>
      <c r="BB292" s="595"/>
      <c r="BC292" s="595"/>
      <c r="BD292" s="595"/>
      <c r="BE292" s="595"/>
      <c r="BF292" s="595"/>
      <c r="BG292" s="595"/>
      <c r="BH292" s="595"/>
      <c r="BI292" s="595"/>
      <c r="BJ292" s="595"/>
      <c r="BK292" s="595"/>
      <c r="BL292" s="595"/>
      <c r="BM292" s="595"/>
      <c r="BN292" s="595"/>
      <c r="BO292" s="651"/>
      <c r="BP292" s="651"/>
      <c r="BQ292" s="651"/>
      <c r="BR292" s="651"/>
      <c r="BS292" s="651"/>
      <c r="BT292" s="651"/>
    </row>
    <row r="293">
      <c r="A293" s="1360"/>
      <c r="B293" s="584"/>
      <c r="C293" s="499" t="s">
        <v>281</v>
      </c>
      <c r="D293" s="844"/>
      <c r="E293" s="845"/>
      <c r="F293" s="846"/>
      <c r="G293" s="848"/>
      <c r="H293" s="848"/>
      <c r="I293" s="964"/>
      <c r="J293" s="964"/>
      <c r="K293" s="370"/>
      <c r="L293" s="850"/>
      <c r="M293" s="840"/>
      <c r="N293" s="849" t="str">
        <f>SUM(N291)*0.3</f>
        <v>#REF!</v>
      </c>
      <c r="O293" s="590"/>
      <c r="P293" s="939" t="str">
        <f>IFERROR(__xludf.DUMMYFUNCTION("IF(Q293="""","""",
   IF(Q293=0,0,
      IF(ISNUMBER(MATCH(Q293,FILTER(R$247:R$367,T$247:T$367&lt;&gt;0),0)),1,0)
   )
)"),"")</f>
        <v/>
      </c>
      <c r="Q293" s="941"/>
      <c r="R293" s="942" t="s">
        <v>66</v>
      </c>
      <c r="S293" s="930" t="s">
        <v>52</v>
      </c>
      <c r="T293" s="488">
        <f t="shared" si="177"/>
        <v>0</v>
      </c>
      <c r="U293" s="489">
        <f t="shared" si="158"/>
        <v>4</v>
      </c>
      <c r="V293" s="490" t="str">
        <f t="shared" si="159"/>
        <v>#REF!</v>
      </c>
      <c r="W293" s="491"/>
      <c r="X293" s="489"/>
      <c r="Y293" s="492"/>
      <c r="Z293" s="493"/>
      <c r="AA293" s="931"/>
      <c r="AB293" s="925" t="str">
        <f t="shared" si="172"/>
        <v/>
      </c>
      <c r="AC293" s="1441"/>
      <c r="AD293" s="939" t="str">
        <f>IFERROR(__xludf.DUMMYFUNCTION("IF(AE293="""","""",
   IF(AE293=0,0,
      IF(ISNUMBER(MATCH(AE293,FILTER(AF$245:AF$303,AH$245:AH$303&lt;&gt;0),0)),1,0)
   )
)"),"")</f>
        <v/>
      </c>
      <c r="AE293" s="943"/>
      <c r="AF293" s="929"/>
      <c r="AG293" s="968"/>
      <c r="AH293" s="488">
        <f t="shared" si="173"/>
        <v>0</v>
      </c>
      <c r="AI293" s="489">
        <f t="shared" si="245"/>
        <v>4</v>
      </c>
      <c r="AJ293" s="490" t="str">
        <f t="shared" si="275"/>
        <v/>
      </c>
      <c r="AK293" s="491">
        <f t="shared" si="276"/>
        <v>30</v>
      </c>
      <c r="AL293" s="489">
        <f t="shared" si="247"/>
        <v>240</v>
      </c>
      <c r="AM293" s="492">
        <f t="shared" si="248"/>
        <v>0</v>
      </c>
      <c r="AN293" s="493">
        <f t="shared" si="249"/>
        <v>0</v>
      </c>
      <c r="AO293" s="494" t="str">
        <f t="shared" si="235"/>
        <v/>
      </c>
      <c r="AP293" s="925" t="str">
        <f t="shared" si="164"/>
        <v/>
      </c>
      <c r="AQ293" s="651"/>
      <c r="AR293" s="595"/>
      <c r="AS293" s="595"/>
      <c r="AT293" s="595"/>
      <c r="AU293" s="595"/>
      <c r="AV293" s="595"/>
      <c r="AW293" s="595"/>
      <c r="AX293" s="595"/>
      <c r="AY293" s="595"/>
      <c r="AZ293" s="595"/>
      <c r="BA293" s="595"/>
      <c r="BB293" s="595"/>
      <c r="BC293" s="595"/>
      <c r="BD293" s="595"/>
      <c r="BE293" s="595"/>
      <c r="BF293" s="595"/>
      <c r="BG293" s="595"/>
      <c r="BH293" s="595"/>
      <c r="BI293" s="595"/>
      <c r="BJ293" s="595"/>
      <c r="BK293" s="595"/>
      <c r="BL293" s="595"/>
      <c r="BM293" s="595"/>
      <c r="BN293" s="595"/>
      <c r="BO293" s="651"/>
      <c r="BP293" s="651"/>
      <c r="BQ293" s="651"/>
      <c r="BR293" s="651"/>
      <c r="BS293" s="651"/>
      <c r="BT293" s="651"/>
    </row>
    <row r="294">
      <c r="A294" s="1360"/>
      <c r="B294" s="584"/>
      <c r="C294" s="946"/>
      <c r="D294" s="844"/>
      <c r="E294" s="845"/>
      <c r="F294" s="846"/>
      <c r="G294" s="848"/>
      <c r="H294" s="848"/>
      <c r="I294" s="964"/>
      <c r="J294" s="967"/>
      <c r="K294" s="370"/>
      <c r="L294" s="850"/>
      <c r="M294" s="840"/>
      <c r="N294" s="965"/>
      <c r="O294" s="590"/>
      <c r="P294" s="939" t="str">
        <f>IFERROR(__xludf.DUMMYFUNCTION("IF(Q294="""","""",
   IF(Q294=0,0,
      IF(ISNUMBER(MATCH(Q294,FILTER(R$247:R$367,T$247:T$367&lt;&gt;0),0)),1,0)
   )
)"),"")</f>
        <v/>
      </c>
      <c r="Q294" s="941"/>
      <c r="R294" s="929" t="s">
        <v>392</v>
      </c>
      <c r="S294" s="930" t="s">
        <v>52</v>
      </c>
      <c r="T294" s="488">
        <f t="shared" si="177"/>
        <v>0</v>
      </c>
      <c r="U294" s="489">
        <f t="shared" si="158"/>
        <v>4</v>
      </c>
      <c r="V294" s="490" t="str">
        <f t="shared" si="159"/>
        <v>#REF!</v>
      </c>
      <c r="W294" s="491">
        <f>(6/3)*$X$232</f>
        <v>8</v>
      </c>
      <c r="X294" s="489">
        <f t="shared" ref="X294:X298" si="285">W294*W$242</f>
        <v>64</v>
      </c>
      <c r="Y294" s="492">
        <f t="shared" ref="Y294:Y298" si="286">ROUNDUP(T294/X294,2)</f>
        <v>0</v>
      </c>
      <c r="Z294" s="493" t="str">
        <f t="shared" ref="Z294:Z298" si="287">Y294*V294*U294*W$242</f>
        <v>#REF!</v>
      </c>
      <c r="AA294" s="931" t="str">
        <f t="shared" ref="AA294:AA298" si="288">iferror(Z294/T294,"")</f>
        <v/>
      </c>
      <c r="AB294" s="925" t="str">
        <f t="shared" si="172"/>
        <v/>
      </c>
      <c r="AC294" s="1441"/>
      <c r="AD294" s="939" t="str">
        <f>IFERROR(__xludf.DUMMYFUNCTION("IF(AE294="""","""",
   IF(AE294=0,0,
      IF(ISNUMBER(MATCH(AE294,FILTER(AF$245:AF$303,AH$245:AH$303&lt;&gt;0),0)),1,0)
   )
)"),"")</f>
        <v/>
      </c>
      <c r="AE294" s="943"/>
      <c r="AF294" s="929"/>
      <c r="AG294" s="968"/>
      <c r="AH294" s="488">
        <f t="shared" si="173"/>
        <v>0</v>
      </c>
      <c r="AI294" s="489">
        <f t="shared" si="245"/>
        <v>4</v>
      </c>
      <c r="AJ294" s="490" t="str">
        <f t="shared" si="275"/>
        <v/>
      </c>
      <c r="AK294" s="491">
        <f t="shared" si="276"/>
        <v>30</v>
      </c>
      <c r="AL294" s="489">
        <f t="shared" si="247"/>
        <v>240</v>
      </c>
      <c r="AM294" s="492">
        <f t="shared" si="248"/>
        <v>0</v>
      </c>
      <c r="AN294" s="493">
        <f t="shared" si="249"/>
        <v>0</v>
      </c>
      <c r="AO294" s="494" t="str">
        <f t="shared" si="235"/>
        <v/>
      </c>
      <c r="AP294" s="925" t="str">
        <f t="shared" si="164"/>
        <v/>
      </c>
      <c r="AQ294" s="651"/>
      <c r="AR294" s="595"/>
      <c r="AS294" s="595"/>
      <c r="AT294" s="595"/>
      <c r="AU294" s="595"/>
      <c r="AV294" s="595"/>
      <c r="AW294" s="595"/>
      <c r="AX294" s="595"/>
      <c r="AY294" s="595"/>
      <c r="AZ294" s="595"/>
      <c r="BA294" s="595"/>
      <c r="BB294" s="595"/>
      <c r="BC294" s="595"/>
      <c r="BD294" s="595"/>
      <c r="BE294" s="595"/>
      <c r="BF294" s="595"/>
      <c r="BG294" s="595"/>
      <c r="BH294" s="595"/>
      <c r="BI294" s="595"/>
      <c r="BJ294" s="595"/>
      <c r="BK294" s="595"/>
      <c r="BL294" s="595"/>
      <c r="BM294" s="595"/>
      <c r="BN294" s="595"/>
      <c r="BO294" s="651"/>
      <c r="BP294" s="651"/>
      <c r="BQ294" s="651"/>
      <c r="BR294" s="651"/>
      <c r="BS294" s="651"/>
      <c r="BT294" s="651"/>
    </row>
    <row r="295">
      <c r="A295" s="1360"/>
      <c r="B295" s="584"/>
      <c r="C295" s="946"/>
      <c r="D295" s="844"/>
      <c r="E295" s="845"/>
      <c r="F295" s="846"/>
      <c r="G295" s="848"/>
      <c r="H295" s="848"/>
      <c r="I295" s="964"/>
      <c r="J295" s="964"/>
      <c r="K295" s="437"/>
      <c r="L295" s="850"/>
      <c r="M295" s="850"/>
      <c r="N295" s="965"/>
      <c r="O295" s="590"/>
      <c r="P295" s="939" t="str">
        <f>IFERROR(__xludf.DUMMYFUNCTION("IF(Q295="""","""",
   IF(Q295=0,0,
      IF(ISNUMBER(MATCH(Q295,FILTER(R$247:R$367,T$247:T$367&lt;&gt;0),0)),1,0)
   )
)"),"")</f>
        <v/>
      </c>
      <c r="Q295" s="941"/>
      <c r="R295" s="929" t="s">
        <v>393</v>
      </c>
      <c r="S295" s="930" t="s">
        <v>52</v>
      </c>
      <c r="T295" s="488">
        <f t="shared" si="177"/>
        <v>0</v>
      </c>
      <c r="U295" s="489">
        <f t="shared" si="158"/>
        <v>4</v>
      </c>
      <c r="V295" s="490" t="str">
        <f t="shared" si="159"/>
        <v>#REF!</v>
      </c>
      <c r="W295" s="491">
        <f>(1/2)*$X$232</f>
        <v>2</v>
      </c>
      <c r="X295" s="489">
        <f t="shared" si="285"/>
        <v>16</v>
      </c>
      <c r="Y295" s="492">
        <f t="shared" si="286"/>
        <v>0</v>
      </c>
      <c r="Z295" s="493" t="str">
        <f t="shared" si="287"/>
        <v>#REF!</v>
      </c>
      <c r="AA295" s="931" t="str">
        <f t="shared" si="288"/>
        <v/>
      </c>
      <c r="AB295" s="925" t="str">
        <f t="shared" si="172"/>
        <v/>
      </c>
      <c r="AC295" s="1441"/>
      <c r="AD295" s="939" t="str">
        <f>IFERROR(__xludf.DUMMYFUNCTION("IF(AE295="""","""",
   IF(AE295=0,0,
      IF(ISNUMBER(MATCH(AE295,FILTER(AF$245:AF$303,AH$245:AH$303&lt;&gt;0),0)),1,0)
   )
)"),"")</f>
        <v/>
      </c>
      <c r="AE295" s="943"/>
      <c r="AF295" s="929"/>
      <c r="AG295" s="968"/>
      <c r="AH295" s="488">
        <f t="shared" si="173"/>
        <v>0</v>
      </c>
      <c r="AI295" s="489">
        <f t="shared" si="245"/>
        <v>4</v>
      </c>
      <c r="AJ295" s="490" t="str">
        <f t="shared" si="275"/>
        <v/>
      </c>
      <c r="AK295" s="491">
        <f t="shared" si="276"/>
        <v>30</v>
      </c>
      <c r="AL295" s="489">
        <f t="shared" si="247"/>
        <v>240</v>
      </c>
      <c r="AM295" s="492">
        <f t="shared" si="248"/>
        <v>0</v>
      </c>
      <c r="AN295" s="493">
        <f t="shared" si="249"/>
        <v>0</v>
      </c>
      <c r="AO295" s="494" t="str">
        <f t="shared" si="235"/>
        <v/>
      </c>
      <c r="AP295" s="925" t="str">
        <f t="shared" si="164"/>
        <v/>
      </c>
      <c r="AQ295" s="651"/>
      <c r="AR295" s="595"/>
      <c r="AS295" s="595"/>
      <c r="AT295" s="595"/>
      <c r="AU295" s="595"/>
      <c r="AV295" s="595"/>
      <c r="AW295" s="595"/>
      <c r="AX295" s="595"/>
      <c r="AY295" s="595"/>
      <c r="AZ295" s="595"/>
      <c r="BA295" s="595"/>
      <c r="BB295" s="595"/>
      <c r="BC295" s="595"/>
      <c r="BD295" s="595"/>
      <c r="BE295" s="595"/>
      <c r="BF295" s="595"/>
      <c r="BG295" s="595"/>
      <c r="BH295" s="595"/>
      <c r="BI295" s="595"/>
      <c r="BJ295" s="595"/>
      <c r="BK295" s="595"/>
      <c r="BL295" s="595"/>
      <c r="BM295" s="595"/>
      <c r="BN295" s="595"/>
      <c r="BO295" s="651"/>
      <c r="BP295" s="651"/>
      <c r="BQ295" s="651"/>
      <c r="BR295" s="651"/>
      <c r="BS295" s="651"/>
      <c r="BT295" s="651"/>
    </row>
    <row r="296">
      <c r="A296" s="1360"/>
      <c r="B296" s="584"/>
      <c r="C296" s="584"/>
      <c r="D296" s="584"/>
      <c r="E296" s="585"/>
      <c r="F296" s="586"/>
      <c r="G296" s="584"/>
      <c r="H296" s="584"/>
      <c r="I296" s="595"/>
      <c r="J296" s="595"/>
      <c r="K296" s="354"/>
      <c r="L296" s="588"/>
      <c r="M296" s="588"/>
      <c r="N296" s="1444"/>
      <c r="O296" s="590"/>
      <c r="P296" s="939" t="str">
        <f>IFERROR(__xludf.DUMMYFUNCTION("IF(Q296="""","""",
   IF(Q296=0,0,
      IF(ISNUMBER(MATCH(Q296,FILTER(R$247:R$367,T$247:T$367&lt;&gt;0),0)),1,0)
   )
)"),"")</f>
        <v/>
      </c>
      <c r="Q296" s="941"/>
      <c r="R296" s="942" t="s">
        <v>60</v>
      </c>
      <c r="S296" s="930" t="s">
        <v>55</v>
      </c>
      <c r="T296" s="488">
        <f t="shared" si="177"/>
        <v>0</v>
      </c>
      <c r="U296" s="489">
        <f t="shared" si="158"/>
        <v>4</v>
      </c>
      <c r="V296" s="490" t="str">
        <f t="shared" si="159"/>
        <v>#REF!</v>
      </c>
      <c r="W296" s="491">
        <f t="shared" ref="W296:W298" si="289">(15/1)*$X$232</f>
        <v>60</v>
      </c>
      <c r="X296" s="489">
        <f t="shared" si="285"/>
        <v>480</v>
      </c>
      <c r="Y296" s="492">
        <f t="shared" si="286"/>
        <v>0</v>
      </c>
      <c r="Z296" s="493" t="str">
        <f t="shared" si="287"/>
        <v>#REF!</v>
      </c>
      <c r="AA296" s="931" t="str">
        <f t="shared" si="288"/>
        <v/>
      </c>
      <c r="AB296" s="925" t="str">
        <f t="shared" si="172"/>
        <v/>
      </c>
      <c r="AC296" s="1441"/>
      <c r="AD296" s="939" t="str">
        <f>IFERROR(__xludf.DUMMYFUNCTION("IF(AE296="""","""",
   IF(AE296=0,0,
      IF(ISNUMBER(MATCH(AE296,FILTER(AF$245:AF$303,AH$245:AH$303&lt;&gt;0),0)),1,0)
   )
)"),"")</f>
        <v/>
      </c>
      <c r="AE296" s="943"/>
      <c r="AF296" s="929"/>
      <c r="AG296" s="968"/>
      <c r="AH296" s="488">
        <f t="shared" si="173"/>
        <v>0</v>
      </c>
      <c r="AI296" s="489">
        <f t="shared" si="245"/>
        <v>4</v>
      </c>
      <c r="AJ296" s="490" t="str">
        <f t="shared" si="275"/>
        <v/>
      </c>
      <c r="AK296" s="491">
        <f t="shared" si="276"/>
        <v>30</v>
      </c>
      <c r="AL296" s="489">
        <f t="shared" si="247"/>
        <v>240</v>
      </c>
      <c r="AM296" s="492">
        <f t="shared" si="248"/>
        <v>0</v>
      </c>
      <c r="AN296" s="493">
        <f t="shared" si="249"/>
        <v>0</v>
      </c>
      <c r="AO296" s="494" t="str">
        <f t="shared" si="235"/>
        <v/>
      </c>
      <c r="AP296" s="925" t="str">
        <f t="shared" si="164"/>
        <v/>
      </c>
      <c r="AQ296" s="651"/>
      <c r="AR296" s="595"/>
      <c r="AS296" s="595"/>
      <c r="AT296" s="595"/>
      <c r="AU296" s="595"/>
      <c r="AV296" s="595"/>
      <c r="AW296" s="595"/>
      <c r="AX296" s="595"/>
      <c r="AY296" s="595"/>
      <c r="AZ296" s="595"/>
      <c r="BA296" s="595"/>
      <c r="BB296" s="595"/>
      <c r="BC296" s="595"/>
      <c r="BD296" s="595"/>
      <c r="BE296" s="595"/>
      <c r="BF296" s="595"/>
      <c r="BG296" s="595"/>
      <c r="BH296" s="595"/>
      <c r="BI296" s="595"/>
      <c r="BJ296" s="595"/>
      <c r="BK296" s="595"/>
      <c r="BL296" s="595"/>
      <c r="BM296" s="595"/>
      <c r="BN296" s="595"/>
      <c r="BO296" s="651"/>
      <c r="BP296" s="651"/>
      <c r="BQ296" s="651"/>
      <c r="BR296" s="651"/>
      <c r="BS296" s="651"/>
      <c r="BT296" s="651"/>
    </row>
    <row r="297">
      <c r="A297" s="1360"/>
      <c r="B297" s="584"/>
      <c r="C297" s="510" t="s">
        <v>283</v>
      </c>
      <c r="D297" s="609"/>
      <c r="E297" s="585"/>
      <c r="F297" s="586"/>
      <c r="G297" s="584"/>
      <c r="H297" s="584"/>
      <c r="I297" s="595"/>
      <c r="J297" s="820"/>
      <c r="K297" s="383"/>
      <c r="L297" s="588"/>
      <c r="M297" s="588"/>
      <c r="N297" s="833"/>
      <c r="O297" s="590"/>
      <c r="P297" s="939" t="str">
        <f>IFERROR(__xludf.DUMMYFUNCTION("IF(Q297="""","""",
   IF(Q297=0,0,
      IF(ISNUMBER(MATCH(Q297,FILTER(R$247:R$367,T$247:T$367&lt;&gt;0),0)),1,0)
   )
)"),"")</f>
        <v/>
      </c>
      <c r="Q297" s="941"/>
      <c r="R297" s="929" t="s">
        <v>394</v>
      </c>
      <c r="S297" s="930" t="s">
        <v>55</v>
      </c>
      <c r="T297" s="488">
        <f t="shared" si="177"/>
        <v>0</v>
      </c>
      <c r="U297" s="489">
        <f t="shared" si="158"/>
        <v>4</v>
      </c>
      <c r="V297" s="490" t="str">
        <f t="shared" si="159"/>
        <v>#REF!</v>
      </c>
      <c r="W297" s="491">
        <f t="shared" si="289"/>
        <v>60</v>
      </c>
      <c r="X297" s="489">
        <f t="shared" si="285"/>
        <v>480</v>
      </c>
      <c r="Y297" s="492">
        <f t="shared" si="286"/>
        <v>0</v>
      </c>
      <c r="Z297" s="493" t="str">
        <f t="shared" si="287"/>
        <v>#REF!</v>
      </c>
      <c r="AA297" s="931" t="str">
        <f t="shared" si="288"/>
        <v/>
      </c>
      <c r="AB297" s="925" t="str">
        <f t="shared" si="172"/>
        <v/>
      </c>
      <c r="AC297" s="1441"/>
      <c r="AD297" s="939" t="str">
        <f>IFERROR(__xludf.DUMMYFUNCTION("IF(AE297="""","""",
   IF(AE297=0,0,
      IF(ISNUMBER(MATCH(AE297,FILTER(AF$245:AF$303,AH$245:AH$303&lt;&gt;0),0)),1,0)
   )
)"),"")</f>
        <v/>
      </c>
      <c r="AE297" s="943"/>
      <c r="AF297" s="929"/>
      <c r="AG297" s="968"/>
      <c r="AH297" s="488">
        <f t="shared" si="173"/>
        <v>0</v>
      </c>
      <c r="AI297" s="489">
        <f t="shared" si="245"/>
        <v>4</v>
      </c>
      <c r="AJ297" s="490" t="str">
        <f t="shared" si="275"/>
        <v/>
      </c>
      <c r="AK297" s="491">
        <f t="shared" si="276"/>
        <v>30</v>
      </c>
      <c r="AL297" s="489">
        <f t="shared" si="247"/>
        <v>240</v>
      </c>
      <c r="AM297" s="492">
        <f t="shared" si="248"/>
        <v>0</v>
      </c>
      <c r="AN297" s="493">
        <f t="shared" si="249"/>
        <v>0</v>
      </c>
      <c r="AO297" s="494" t="str">
        <f t="shared" si="235"/>
        <v/>
      </c>
      <c r="AP297" s="925" t="str">
        <f t="shared" si="164"/>
        <v/>
      </c>
      <c r="AQ297" s="651"/>
      <c r="AR297" s="595"/>
      <c r="AS297" s="595"/>
      <c r="AT297" s="595"/>
      <c r="AU297" s="595"/>
      <c r="AV297" s="595"/>
      <c r="AW297" s="595"/>
      <c r="AX297" s="595"/>
      <c r="AY297" s="595"/>
      <c r="AZ297" s="595"/>
      <c r="BA297" s="595"/>
      <c r="BB297" s="595"/>
      <c r="BC297" s="595"/>
      <c r="BD297" s="595"/>
      <c r="BE297" s="595"/>
      <c r="BF297" s="595"/>
      <c r="BG297" s="595"/>
      <c r="BH297" s="595"/>
      <c r="BI297" s="595"/>
      <c r="BJ297" s="595"/>
      <c r="BK297" s="595"/>
      <c r="BL297" s="595"/>
      <c r="BM297" s="595"/>
      <c r="BN297" s="595"/>
      <c r="BO297" s="651"/>
      <c r="BP297" s="651"/>
      <c r="BQ297" s="651"/>
      <c r="BR297" s="651"/>
      <c r="BS297" s="651"/>
      <c r="BT297" s="651"/>
    </row>
    <row r="298">
      <c r="A298" s="1360"/>
      <c r="B298" s="12" t="s">
        <v>176</v>
      </c>
      <c r="C298" s="499" t="s">
        <v>278</v>
      </c>
      <c r="D298" s="844"/>
      <c r="E298" s="845"/>
      <c r="F298" s="846"/>
      <c r="G298" s="848"/>
      <c r="H298" s="848"/>
      <c r="I298" s="437">
        <v>1.0</v>
      </c>
      <c r="J298" s="436" t="str">
        <f t="shared" ref="J298:J299" si="290">J290</f>
        <v>#REF!</v>
      </c>
      <c r="K298" s="370">
        <v>225.0</v>
      </c>
      <c r="L298" s="850"/>
      <c r="M298" s="401">
        <v>0.0</v>
      </c>
      <c r="N298" s="849" t="str">
        <f t="shared" ref="N298:N300" si="291">M298*K298*J298*I298</f>
        <v>#REF!</v>
      </c>
      <c r="O298" s="950"/>
      <c r="P298" s="939" t="str">
        <f>IFERROR(__xludf.DUMMYFUNCTION("IF(Q298="""","""",
   IF(Q298=0,0,
      IF(ISNUMBER(MATCH(Q298,FILTER(R$247:R$367,T$247:T$367&lt;&gt;0),0)),1,0)
   )
)"),"")</f>
        <v/>
      </c>
      <c r="Q298" s="941"/>
      <c r="R298" s="929" t="s">
        <v>395</v>
      </c>
      <c r="S298" s="930" t="s">
        <v>55</v>
      </c>
      <c r="T298" s="488">
        <f t="shared" si="177"/>
        <v>0</v>
      </c>
      <c r="U298" s="489">
        <f t="shared" si="158"/>
        <v>4</v>
      </c>
      <c r="V298" s="490" t="str">
        <f t="shared" si="159"/>
        <v>#REF!</v>
      </c>
      <c r="W298" s="491">
        <f t="shared" si="289"/>
        <v>60</v>
      </c>
      <c r="X298" s="489">
        <f t="shared" si="285"/>
        <v>480</v>
      </c>
      <c r="Y298" s="492">
        <f t="shared" si="286"/>
        <v>0</v>
      </c>
      <c r="Z298" s="493" t="str">
        <f t="shared" si="287"/>
        <v>#REF!</v>
      </c>
      <c r="AA298" s="931" t="str">
        <f t="shared" si="288"/>
        <v/>
      </c>
      <c r="AB298" s="925" t="str">
        <f t="shared" si="172"/>
        <v/>
      </c>
      <c r="AC298" s="1441"/>
      <c r="AD298" s="939" t="str">
        <f>IFERROR(__xludf.DUMMYFUNCTION("IF(AE298="""","""",
   IF(AE298=0,0,
      IF(ISNUMBER(MATCH(AE298,FILTER(AF$245:AF$303,AH$245:AH$303&lt;&gt;0),0)),1,0)
   )
)"),"")</f>
        <v/>
      </c>
      <c r="AE298" s="943"/>
      <c r="AF298" s="929"/>
      <c r="AG298" s="968"/>
      <c r="AH298" s="488">
        <f t="shared" si="173"/>
        <v>0</v>
      </c>
      <c r="AI298" s="489">
        <f t="shared" si="245"/>
        <v>4</v>
      </c>
      <c r="AJ298" s="490" t="str">
        <f t="shared" si="275"/>
        <v/>
      </c>
      <c r="AK298" s="491">
        <f t="shared" si="276"/>
        <v>30</v>
      </c>
      <c r="AL298" s="489">
        <f t="shared" si="247"/>
        <v>240</v>
      </c>
      <c r="AM298" s="492">
        <f t="shared" si="248"/>
        <v>0</v>
      </c>
      <c r="AN298" s="493">
        <f t="shared" si="249"/>
        <v>0</v>
      </c>
      <c r="AO298" s="494" t="str">
        <f t="shared" si="235"/>
        <v/>
      </c>
      <c r="AP298" s="925" t="str">
        <f t="shared" si="164"/>
        <v/>
      </c>
      <c r="AQ298" s="651"/>
      <c r="AR298" s="595"/>
      <c r="AS298" s="595"/>
      <c r="AT298" s="595"/>
      <c r="AU298" s="595"/>
      <c r="AV298" s="595"/>
      <c r="AW298" s="595"/>
      <c r="AX298" s="595"/>
      <c r="AY298" s="595"/>
      <c r="AZ298" s="595"/>
      <c r="BA298" s="595"/>
      <c r="BB298" s="595"/>
      <c r="BC298" s="595"/>
      <c r="BD298" s="595"/>
      <c r="BE298" s="595"/>
      <c r="BF298" s="595"/>
      <c r="BG298" s="595"/>
      <c r="BH298" s="595"/>
      <c r="BI298" s="595"/>
      <c r="BJ298" s="595"/>
      <c r="BK298" s="595"/>
      <c r="BL298" s="595"/>
      <c r="BM298" s="595"/>
      <c r="BN298" s="595"/>
      <c r="BO298" s="651"/>
      <c r="BP298" s="651"/>
      <c r="BQ298" s="651"/>
      <c r="BR298" s="651"/>
      <c r="BS298" s="651"/>
      <c r="BT298" s="651"/>
    </row>
    <row r="299">
      <c r="A299" s="1360"/>
      <c r="B299" s="584"/>
      <c r="C299" s="499" t="s">
        <v>279</v>
      </c>
      <c r="D299" s="844"/>
      <c r="E299" s="845"/>
      <c r="F299" s="846"/>
      <c r="G299" s="848"/>
      <c r="H299" s="848"/>
      <c r="I299" s="437">
        <f t="shared" ref="I299:I300" si="292">I298</f>
        <v>1</v>
      </c>
      <c r="J299" s="436" t="str">
        <f t="shared" si="290"/>
        <v>#REF!</v>
      </c>
      <c r="K299" s="370">
        <v>285.0</v>
      </c>
      <c r="L299" s="850"/>
      <c r="M299" s="401">
        <v>0.0</v>
      </c>
      <c r="N299" s="849" t="str">
        <f t="shared" si="291"/>
        <v>#REF!</v>
      </c>
      <c r="O299" s="590"/>
      <c r="P299" s="939" t="str">
        <f>IFERROR(__xludf.DUMMYFUNCTION("IF(Q299="""","""",
   IF(Q299=0,0,
      IF(ISNUMBER(MATCH(Q299,FILTER(R$247:R$367,T$247:T$367&lt;&gt;0),0)),1,0)
   )
)"),"")</f>
        <v/>
      </c>
      <c r="Q299" s="941"/>
      <c r="R299" s="929" t="s">
        <v>101</v>
      </c>
      <c r="S299" s="930" t="s">
        <v>52</v>
      </c>
      <c r="T299" s="488">
        <f t="shared" si="177"/>
        <v>185.1139047</v>
      </c>
      <c r="U299" s="489">
        <f t="shared" si="158"/>
        <v>4</v>
      </c>
      <c r="V299" s="490" t="str">
        <f t="shared" si="159"/>
        <v>#REF!</v>
      </c>
      <c r="W299" s="491"/>
      <c r="X299" s="489"/>
      <c r="Y299" s="492"/>
      <c r="Z299" s="493"/>
      <c r="AA299" s="931"/>
      <c r="AB299" s="925" t="str">
        <f t="shared" si="172"/>
        <v/>
      </c>
      <c r="AC299" s="1441"/>
      <c r="AD299" s="939" t="str">
        <f>IFERROR(__xludf.DUMMYFUNCTION("IF(AE299="""","""",
   IF(AE299=0,0,
      IF(ISNUMBER(MATCH(AE299,FILTER(AF$245:AF$303,AH$245:AH$303&lt;&gt;0),0)),1,0)
   )
)"),"")</f>
        <v/>
      </c>
      <c r="AE299" s="943"/>
      <c r="AF299" s="929"/>
      <c r="AG299" s="968"/>
      <c r="AH299" s="488">
        <f t="shared" si="173"/>
        <v>0</v>
      </c>
      <c r="AI299" s="489">
        <f t="shared" si="245"/>
        <v>4</v>
      </c>
      <c r="AJ299" s="490" t="str">
        <f t="shared" si="275"/>
        <v/>
      </c>
      <c r="AK299" s="491">
        <f t="shared" si="276"/>
        <v>30</v>
      </c>
      <c r="AL299" s="489">
        <f t="shared" si="247"/>
        <v>240</v>
      </c>
      <c r="AM299" s="492">
        <f t="shared" si="248"/>
        <v>0</v>
      </c>
      <c r="AN299" s="493">
        <f t="shared" si="249"/>
        <v>0</v>
      </c>
      <c r="AO299" s="494" t="str">
        <f t="shared" si="235"/>
        <v/>
      </c>
      <c r="AP299" s="925" t="str">
        <f t="shared" si="164"/>
        <v/>
      </c>
      <c r="AQ299" s="651"/>
      <c r="AR299" s="595"/>
      <c r="AS299" s="595"/>
      <c r="AT299" s="595"/>
      <c r="AU299" s="595"/>
      <c r="AV299" s="595"/>
      <c r="AW299" s="595"/>
      <c r="AX299" s="595"/>
      <c r="AY299" s="595"/>
      <c r="AZ299" s="595"/>
      <c r="BA299" s="595"/>
      <c r="BB299" s="595"/>
      <c r="BC299" s="595"/>
      <c r="BD299" s="595"/>
      <c r="BE299" s="595"/>
      <c r="BF299" s="595"/>
      <c r="BG299" s="595"/>
      <c r="BH299" s="595"/>
      <c r="BI299" s="595"/>
      <c r="BJ299" s="595"/>
      <c r="BK299" s="595"/>
      <c r="BL299" s="595"/>
      <c r="BM299" s="595"/>
      <c r="BN299" s="595"/>
      <c r="BO299" s="651"/>
      <c r="BP299" s="651"/>
      <c r="BQ299" s="651"/>
      <c r="BR299" s="651"/>
      <c r="BS299" s="651"/>
      <c r="BT299" s="651"/>
    </row>
    <row r="300">
      <c r="A300" s="1360"/>
      <c r="B300" s="584"/>
      <c r="C300" s="499" t="s">
        <v>280</v>
      </c>
      <c r="D300" s="844"/>
      <c r="E300" s="845"/>
      <c r="F300" s="846"/>
      <c r="G300" s="848"/>
      <c r="H300" s="848"/>
      <c r="I300" s="437">
        <f t="shared" si="292"/>
        <v>1</v>
      </c>
      <c r="J300" s="964"/>
      <c r="K300" s="370">
        <v>95.0</v>
      </c>
      <c r="L300" s="850"/>
      <c r="M300" s="840"/>
      <c r="N300" s="849">
        <f t="shared" si="291"/>
        <v>0</v>
      </c>
      <c r="O300" s="590"/>
      <c r="P300" s="939" t="str">
        <f>IFERROR(__xludf.DUMMYFUNCTION("IF(Q300="""","""",
   IF(Q300=0,0,
      IF(ISNUMBER(MATCH(Q300,FILTER(R$247:R$367,T$247:T$367&lt;&gt;0),0)),1,0)
   )
)"),"")</f>
        <v/>
      </c>
      <c r="Q300" s="941"/>
      <c r="R300" s="942" t="s">
        <v>124</v>
      </c>
      <c r="S300" s="930" t="s">
        <v>52</v>
      </c>
      <c r="T300" s="488">
        <f t="shared" si="177"/>
        <v>0</v>
      </c>
      <c r="U300" s="489">
        <f t="shared" si="158"/>
        <v>4</v>
      </c>
      <c r="V300" s="490" t="str">
        <f t="shared" si="159"/>
        <v>#REF!</v>
      </c>
      <c r="W300" s="491"/>
      <c r="X300" s="489"/>
      <c r="Y300" s="492"/>
      <c r="Z300" s="493"/>
      <c r="AA300" s="931"/>
      <c r="AB300" s="925" t="str">
        <f t="shared" si="172"/>
        <v/>
      </c>
      <c r="AC300" s="1441"/>
      <c r="AD300" s="939" t="str">
        <f>IFERROR(__xludf.DUMMYFUNCTION("IF(AE300="""","""",
   IF(AE300=0,0,
      IF(ISNUMBER(MATCH(AE300,FILTER(AF$245:AF$303,AH$245:AH$303&lt;&gt;0),0)),1,0)
   )
)"),"")</f>
        <v/>
      </c>
      <c r="AE300" s="943"/>
      <c r="AF300" s="929"/>
      <c r="AG300" s="968"/>
      <c r="AH300" s="488">
        <f t="shared" si="173"/>
        <v>0</v>
      </c>
      <c r="AI300" s="489">
        <f t="shared" si="245"/>
        <v>4</v>
      </c>
      <c r="AJ300" s="490" t="str">
        <f t="shared" si="275"/>
        <v/>
      </c>
      <c r="AK300" s="491">
        <f t="shared" si="276"/>
        <v>30</v>
      </c>
      <c r="AL300" s="489">
        <f t="shared" si="247"/>
        <v>240</v>
      </c>
      <c r="AM300" s="492">
        <f t="shared" si="248"/>
        <v>0</v>
      </c>
      <c r="AN300" s="493">
        <f t="shared" si="249"/>
        <v>0</v>
      </c>
      <c r="AO300" s="494" t="str">
        <f t="shared" si="235"/>
        <v/>
      </c>
      <c r="AP300" s="925" t="str">
        <f t="shared" si="164"/>
        <v/>
      </c>
      <c r="AQ300" s="651"/>
      <c r="AR300" s="595"/>
      <c r="AS300" s="595"/>
      <c r="AT300" s="595"/>
      <c r="AU300" s="595"/>
      <c r="AV300" s="595"/>
      <c r="AW300" s="595"/>
      <c r="AX300" s="595"/>
      <c r="AY300" s="595"/>
      <c r="AZ300" s="595"/>
      <c r="BA300" s="595"/>
      <c r="BB300" s="595"/>
      <c r="BC300" s="595"/>
      <c r="BD300" s="595"/>
      <c r="BE300" s="595"/>
      <c r="BF300" s="595"/>
      <c r="BG300" s="595"/>
      <c r="BH300" s="595"/>
      <c r="BI300" s="595"/>
      <c r="BJ300" s="595"/>
      <c r="BK300" s="595"/>
      <c r="BL300" s="595"/>
      <c r="BM300" s="595"/>
      <c r="BN300" s="595"/>
      <c r="BO300" s="651"/>
      <c r="BP300" s="651"/>
      <c r="BQ300" s="651"/>
      <c r="BR300" s="651"/>
      <c r="BS300" s="651"/>
      <c r="BT300" s="651"/>
    </row>
    <row r="301">
      <c r="A301" s="1360"/>
      <c r="B301" s="584"/>
      <c r="C301" s="499" t="s">
        <v>281</v>
      </c>
      <c r="D301" s="844"/>
      <c r="E301" s="845"/>
      <c r="F301" s="846"/>
      <c r="G301" s="848"/>
      <c r="H301" s="848"/>
      <c r="I301" s="964"/>
      <c r="J301" s="964"/>
      <c r="K301" s="370"/>
      <c r="L301" s="850"/>
      <c r="M301" s="840"/>
      <c r="N301" s="849" t="str">
        <f>SUM(N299)*0.3</f>
        <v>#REF!</v>
      </c>
      <c r="O301" s="590"/>
      <c r="P301" s="939" t="str">
        <f>IFERROR(__xludf.DUMMYFUNCTION("IF(Q301="""","""",
   IF(Q301=0,0,
      IF(ISNUMBER(MATCH(Q301,FILTER(R$247:R$367,T$247:T$367&lt;&gt;0),0)),1,0)
   )
)"),"")</f>
        <v/>
      </c>
      <c r="Q301" s="941"/>
      <c r="R301" s="929" t="s">
        <v>92</v>
      </c>
      <c r="S301" s="930" t="s">
        <v>41</v>
      </c>
      <c r="T301" s="488" t="str">
        <f t="shared" si="177"/>
        <v>#REF!</v>
      </c>
      <c r="U301" s="489">
        <f t="shared" si="158"/>
        <v>4</v>
      </c>
      <c r="V301" s="490" t="str">
        <f t="shared" si="159"/>
        <v>#REF!</v>
      </c>
      <c r="W301" s="491">
        <f>(60/4)*$X$232</f>
        <v>60</v>
      </c>
      <c r="X301" s="489">
        <f t="shared" ref="X301:X304" si="293">W301*W$242</f>
        <v>480</v>
      </c>
      <c r="Y301" s="492" t="str">
        <f t="shared" ref="Y301:Y304" si="294">ROUNDUP(T301/X301,2)</f>
        <v>#REF!</v>
      </c>
      <c r="Z301" s="493" t="str">
        <f t="shared" ref="Z301:Z304" si="295">Y301*V301*U301*W$242</f>
        <v>#REF!</v>
      </c>
      <c r="AA301" s="931" t="str">
        <f t="shared" ref="AA301:AA304" si="296">iferror(Z301/T301,"")</f>
        <v/>
      </c>
      <c r="AB301" s="925" t="str">
        <f t="shared" si="172"/>
        <v/>
      </c>
      <c r="AC301" s="1441"/>
      <c r="AD301" s="939" t="str">
        <f>IFERROR(__xludf.DUMMYFUNCTION("IF(AE301="""","""",
   IF(AE301=0,0,
      IF(ISNUMBER(MATCH(AE301,FILTER(AF$245:AF$303,AH$245:AH$303&lt;&gt;0),0)),1,0)
   )
)"),"")</f>
        <v/>
      </c>
      <c r="AE301" s="943"/>
      <c r="AF301" s="929"/>
      <c r="AG301" s="968"/>
      <c r="AH301" s="488">
        <f t="shared" si="173"/>
        <v>0</v>
      </c>
      <c r="AI301" s="489">
        <f t="shared" si="245"/>
        <v>4</v>
      </c>
      <c r="AJ301" s="490" t="str">
        <f t="shared" si="275"/>
        <v/>
      </c>
      <c r="AK301" s="491">
        <f t="shared" si="276"/>
        <v>30</v>
      </c>
      <c r="AL301" s="489">
        <f t="shared" si="247"/>
        <v>240</v>
      </c>
      <c r="AM301" s="492">
        <f t="shared" si="248"/>
        <v>0</v>
      </c>
      <c r="AN301" s="493">
        <f t="shared" si="249"/>
        <v>0</v>
      </c>
      <c r="AO301" s="494" t="str">
        <f t="shared" si="235"/>
        <v/>
      </c>
      <c r="AP301" s="925" t="str">
        <f t="shared" si="164"/>
        <v/>
      </c>
      <c r="AQ301" s="651"/>
      <c r="AR301" s="595"/>
      <c r="AS301" s="595"/>
      <c r="AT301" s="595"/>
      <c r="AU301" s="595"/>
      <c r="AV301" s="595"/>
      <c r="AW301" s="595"/>
      <c r="AX301" s="595"/>
      <c r="AY301" s="595"/>
      <c r="AZ301" s="595"/>
      <c r="BA301" s="595"/>
      <c r="BB301" s="595"/>
      <c r="BC301" s="595"/>
      <c r="BD301" s="595"/>
      <c r="BE301" s="595"/>
      <c r="BF301" s="595"/>
      <c r="BG301" s="595"/>
      <c r="BH301" s="595"/>
      <c r="BI301" s="595"/>
      <c r="BJ301" s="595"/>
      <c r="BK301" s="595"/>
      <c r="BL301" s="595"/>
      <c r="BM301" s="595"/>
      <c r="BN301" s="595"/>
      <c r="BO301" s="651"/>
      <c r="BP301" s="651"/>
      <c r="BQ301" s="651"/>
      <c r="BR301" s="651"/>
      <c r="BS301" s="651"/>
      <c r="BT301" s="651"/>
    </row>
    <row r="302">
      <c r="A302" s="1360"/>
      <c r="B302" s="584"/>
      <c r="C302" s="946"/>
      <c r="D302" s="844"/>
      <c r="E302" s="845"/>
      <c r="F302" s="846"/>
      <c r="G302" s="848"/>
      <c r="H302" s="848"/>
      <c r="I302" s="964"/>
      <c r="J302" s="967"/>
      <c r="K302" s="370"/>
      <c r="L302" s="850"/>
      <c r="M302" s="840"/>
      <c r="N302" s="965"/>
      <c r="O302" s="590"/>
      <c r="P302" s="939" t="str">
        <f>IFERROR(__xludf.DUMMYFUNCTION("IF(Q302="""","""",
   IF(Q302=0,0,
      IF(ISNUMBER(MATCH(Q302,FILTER(R$247:R$367,T$247:T$367&lt;&gt;0),0)),1,0)
   )
)"),"")</f>
        <v/>
      </c>
      <c r="Q302" s="941"/>
      <c r="R302" s="929" t="s">
        <v>396</v>
      </c>
      <c r="S302" s="930" t="s">
        <v>41</v>
      </c>
      <c r="T302" s="488">
        <f t="shared" si="177"/>
        <v>0</v>
      </c>
      <c r="U302" s="489">
        <f t="shared" si="158"/>
        <v>4</v>
      </c>
      <c r="V302" s="490" t="str">
        <f t="shared" si="159"/>
        <v>#REF!</v>
      </c>
      <c r="W302" s="491">
        <f>(100/4)*$X$232</f>
        <v>100</v>
      </c>
      <c r="X302" s="489">
        <f t="shared" si="293"/>
        <v>800</v>
      </c>
      <c r="Y302" s="492">
        <f t="shared" si="294"/>
        <v>0</v>
      </c>
      <c r="Z302" s="493" t="str">
        <f t="shared" si="295"/>
        <v>#REF!</v>
      </c>
      <c r="AA302" s="931" t="str">
        <f t="shared" si="296"/>
        <v/>
      </c>
      <c r="AB302" s="925" t="str">
        <f t="shared" si="172"/>
        <v/>
      </c>
      <c r="AC302" s="1441"/>
      <c r="AD302" s="939" t="str">
        <f>IFERROR(__xludf.DUMMYFUNCTION("IF(AE302="""","""",
   IF(AE302=0,0,
      IF(ISNUMBER(MATCH(AE302,FILTER(AF$245:AF$303,AH$245:AH$303&lt;&gt;0),0)),1,0)
   )
)"),"")</f>
        <v/>
      </c>
      <c r="AE302" s="943"/>
      <c r="AF302" s="929" t="str">
        <f>'Audit Check'!R82</f>
        <v/>
      </c>
      <c r="AG302" s="968"/>
      <c r="AH302" s="488">
        <f t="shared" si="173"/>
        <v>0</v>
      </c>
      <c r="AI302" s="489">
        <f t="shared" si="245"/>
        <v>4</v>
      </c>
      <c r="AJ302" s="490" t="str">
        <f t="shared" si="275"/>
        <v/>
      </c>
      <c r="AK302" s="491">
        <f t="shared" si="276"/>
        <v>30</v>
      </c>
      <c r="AL302" s="489">
        <f t="shared" si="247"/>
        <v>240</v>
      </c>
      <c r="AM302" s="492">
        <f t="shared" si="248"/>
        <v>0</v>
      </c>
      <c r="AN302" s="493">
        <f t="shared" si="249"/>
        <v>0</v>
      </c>
      <c r="AO302" s="494" t="str">
        <f t="shared" si="235"/>
        <v/>
      </c>
      <c r="AP302" s="925" t="str">
        <f t="shared" si="164"/>
        <v/>
      </c>
      <c r="AQ302" s="651"/>
      <c r="AR302" s="595"/>
      <c r="AS302" s="595"/>
      <c r="AT302" s="595"/>
      <c r="AU302" s="595"/>
      <c r="AV302" s="595"/>
      <c r="AW302" s="595"/>
      <c r="AX302" s="595"/>
      <c r="AY302" s="595"/>
      <c r="AZ302" s="595"/>
      <c r="BA302" s="595"/>
      <c r="BB302" s="595"/>
      <c r="BC302" s="595"/>
      <c r="BD302" s="595"/>
      <c r="BE302" s="595"/>
      <c r="BF302" s="595"/>
      <c r="BG302" s="595"/>
      <c r="BH302" s="595"/>
      <c r="BI302" s="595"/>
      <c r="BJ302" s="595"/>
      <c r="BK302" s="595"/>
      <c r="BL302" s="595"/>
      <c r="BM302" s="595"/>
      <c r="BN302" s="595"/>
      <c r="BO302" s="651"/>
      <c r="BP302" s="651"/>
      <c r="BQ302" s="651"/>
      <c r="BR302" s="651"/>
      <c r="BS302" s="651"/>
      <c r="BT302" s="651"/>
    </row>
    <row r="303">
      <c r="A303" s="1360"/>
      <c r="B303" s="584"/>
      <c r="C303" s="969"/>
      <c r="D303" s="970"/>
      <c r="E303" s="845"/>
      <c r="F303" s="971"/>
      <c r="G303" s="973"/>
      <c r="H303" s="973"/>
      <c r="I303" s="964"/>
      <c r="J303" s="964"/>
      <c r="K303" s="437"/>
      <c r="L303" s="850"/>
      <c r="M303" s="850"/>
      <c r="N303" s="965"/>
      <c r="O303" s="590"/>
      <c r="P303" s="939" t="str">
        <f>IFERROR(__xludf.DUMMYFUNCTION("IF(Q303="""","""",
   IF(Q303=0,0,
      IF(ISNUMBER(MATCH(Q303,FILTER(R$247:R$367,T$247:T$367&lt;&gt;0),0)),1,0)
   )
)"),"")</f>
        <v/>
      </c>
      <c r="Q303" s="941"/>
      <c r="R303" s="929" t="s">
        <v>397</v>
      </c>
      <c r="S303" s="930" t="s">
        <v>52</v>
      </c>
      <c r="T303" s="488">
        <f t="shared" si="177"/>
        <v>0</v>
      </c>
      <c r="U303" s="489">
        <f t="shared" si="158"/>
        <v>4</v>
      </c>
      <c r="V303" s="490" t="str">
        <f t="shared" si="159"/>
        <v>#REF!</v>
      </c>
      <c r="W303" s="491">
        <f>(1/2)*$X$232</f>
        <v>2</v>
      </c>
      <c r="X303" s="489">
        <f t="shared" si="293"/>
        <v>16</v>
      </c>
      <c r="Y303" s="492">
        <f t="shared" si="294"/>
        <v>0</v>
      </c>
      <c r="Z303" s="493" t="str">
        <f t="shared" si="295"/>
        <v>#REF!</v>
      </c>
      <c r="AA303" s="931" t="str">
        <f t="shared" si="296"/>
        <v/>
      </c>
      <c r="AB303" s="925" t="str">
        <f t="shared" si="172"/>
        <v/>
      </c>
      <c r="AC303" s="1441"/>
      <c r="AD303" s="939" t="str">
        <f>IFERROR(__xludf.DUMMYFUNCTION("IF(AE303="""","""",
   IF(AE303=0,0,
      IF(ISNUMBER(MATCH(AE303,FILTER(AF$245:AF$303,AH$245:AH$303&lt;&gt;0),0)),1,0)
   )
)"),"")</f>
        <v/>
      </c>
      <c r="AE303" s="943"/>
      <c r="AF303" s="929" t="str">
        <f>'Audit Check'!R83</f>
        <v/>
      </c>
      <c r="AG303" s="968"/>
      <c r="AH303" s="488">
        <f t="shared" si="173"/>
        <v>0</v>
      </c>
      <c r="AI303" s="489">
        <f t="shared" si="245"/>
        <v>4</v>
      </c>
      <c r="AJ303" s="490" t="str">
        <f t="shared" si="275"/>
        <v/>
      </c>
      <c r="AK303" s="491">
        <f t="shared" si="276"/>
        <v>30</v>
      </c>
      <c r="AL303" s="489">
        <f t="shared" si="247"/>
        <v>240</v>
      </c>
      <c r="AM303" s="492">
        <f t="shared" si="248"/>
        <v>0</v>
      </c>
      <c r="AN303" s="493">
        <f t="shared" si="249"/>
        <v>0</v>
      </c>
      <c r="AO303" s="494" t="str">
        <f t="shared" si="235"/>
        <v/>
      </c>
      <c r="AP303" s="925" t="str">
        <f t="shared" si="164"/>
        <v/>
      </c>
      <c r="AQ303" s="651"/>
      <c r="AR303" s="595"/>
      <c r="AS303" s="595"/>
      <c r="AT303" s="595"/>
      <c r="AU303" s="595"/>
      <c r="AV303" s="595"/>
      <c r="AW303" s="595"/>
      <c r="AX303" s="595"/>
      <c r="AY303" s="595"/>
      <c r="AZ303" s="595"/>
      <c r="BA303" s="595"/>
      <c r="BB303" s="595"/>
      <c r="BC303" s="595"/>
      <c r="BD303" s="595"/>
      <c r="BE303" s="595"/>
      <c r="BF303" s="595"/>
      <c r="BG303" s="595"/>
      <c r="BH303" s="595"/>
      <c r="BI303" s="595"/>
      <c r="BJ303" s="595"/>
      <c r="BK303" s="595"/>
      <c r="BL303" s="595"/>
      <c r="BM303" s="595"/>
      <c r="BN303" s="595"/>
      <c r="BO303" s="651"/>
      <c r="BP303" s="651"/>
      <c r="BQ303" s="651"/>
      <c r="BR303" s="651"/>
      <c r="BS303" s="651"/>
      <c r="BT303" s="651"/>
    </row>
    <row r="304">
      <c r="A304" s="1360"/>
      <c r="B304" s="584"/>
      <c r="C304" s="851"/>
      <c r="D304" s="609"/>
      <c r="E304" s="585"/>
      <c r="F304" s="586"/>
      <c r="G304" s="584"/>
      <c r="H304" s="584"/>
      <c r="I304" s="584"/>
      <c r="J304" s="584"/>
      <c r="K304" s="383"/>
      <c r="L304" s="588"/>
      <c r="M304" s="588"/>
      <c r="N304" s="833"/>
      <c r="O304" s="590"/>
      <c r="P304" s="939" t="str">
        <f>IFERROR(__xludf.DUMMYFUNCTION("IF(Q304="""","""",
   IF(Q304=0,0,
      IF(ISNUMBER(MATCH(Q304,FILTER(R$247:R$367,T$247:T$367&lt;&gt;0),0)),1,0)
   )
)"),"")</f>
        <v/>
      </c>
      <c r="Q304" s="941"/>
      <c r="R304" s="929" t="s">
        <v>40</v>
      </c>
      <c r="S304" s="930" t="s">
        <v>41</v>
      </c>
      <c r="T304" s="488" t="str">
        <f t="shared" si="177"/>
        <v>#REF!</v>
      </c>
      <c r="U304" s="489">
        <f t="shared" si="158"/>
        <v>4</v>
      </c>
      <c r="V304" s="490" t="str">
        <f t="shared" si="159"/>
        <v>#REF!</v>
      </c>
      <c r="W304" s="491">
        <f>(30/4)*$X$232</f>
        <v>30</v>
      </c>
      <c r="X304" s="489">
        <f t="shared" si="293"/>
        <v>240</v>
      </c>
      <c r="Y304" s="492" t="str">
        <f t="shared" si="294"/>
        <v>#REF!</v>
      </c>
      <c r="Z304" s="493" t="str">
        <f t="shared" si="295"/>
        <v>#REF!</v>
      </c>
      <c r="AA304" s="931" t="str">
        <f t="shared" si="296"/>
        <v/>
      </c>
      <c r="AB304" s="925" t="str">
        <f t="shared" si="172"/>
        <v/>
      </c>
      <c r="AC304" s="1441"/>
      <c r="AD304" s="939" t="str">
        <f>IFERROR(__xludf.DUMMYFUNCTION("IF(AE304="""","""",
   IF(AE304=0,0,
      IF(ISNUMBER(MATCH(AE304,FILTER(AF$245:AF$303,AH$245:AH$303&lt;&gt;0),0)),1,0)
   )
)"),"")</f>
        <v/>
      </c>
      <c r="AE304" s="943"/>
      <c r="AF304" s="960"/>
      <c r="AG304" s="912"/>
      <c r="AH304" s="473"/>
      <c r="AI304" s="549">
        <f>AVERAGE(AI244:AI266)</f>
        <v>4</v>
      </c>
      <c r="AJ304" s="471"/>
      <c r="AK304" s="961"/>
      <c r="AL304" s="962">
        <f>X232</f>
        <v>4</v>
      </c>
      <c r="AM304" s="552">
        <f t="shared" ref="AM304:AN304" si="297">SUM(AM244:AM303)</f>
        <v>0</v>
      </c>
      <c r="AN304" s="553" t="str">
        <f t="shared" si="297"/>
        <v>#REF!</v>
      </c>
      <c r="AO304" s="554" t="str">
        <f>AN304/AM304/AL304</f>
        <v>#REF!</v>
      </c>
      <c r="AP304" s="651"/>
      <c r="AQ304" s="651"/>
      <c r="AR304" s="595"/>
      <c r="AS304" s="595"/>
      <c r="AT304" s="595"/>
      <c r="AU304" s="595"/>
      <c r="AV304" s="595"/>
      <c r="AW304" s="595"/>
      <c r="AX304" s="595"/>
      <c r="AY304" s="595"/>
      <c r="AZ304" s="595"/>
      <c r="BA304" s="595"/>
      <c r="BB304" s="595"/>
      <c r="BC304" s="595"/>
      <c r="BD304" s="595"/>
      <c r="BE304" s="595"/>
      <c r="BF304" s="595"/>
      <c r="BG304" s="595"/>
      <c r="BH304" s="595"/>
      <c r="BI304" s="595"/>
      <c r="BJ304" s="595"/>
      <c r="BK304" s="595"/>
      <c r="BL304" s="595"/>
      <c r="BM304" s="595"/>
      <c r="BN304" s="595"/>
      <c r="BO304" s="651"/>
      <c r="BP304" s="651"/>
      <c r="BQ304" s="651"/>
      <c r="BR304" s="651"/>
      <c r="BS304" s="651"/>
      <c r="BT304" s="651"/>
    </row>
    <row r="305">
      <c r="A305" s="1361"/>
      <c r="B305" s="587"/>
      <c r="C305" s="329" t="s">
        <v>284</v>
      </c>
      <c r="D305" s="974" t="s">
        <v>605</v>
      </c>
      <c r="E305" s="975" t="s">
        <v>606</v>
      </c>
      <c r="F305" s="976" t="s">
        <v>607</v>
      </c>
      <c r="G305" s="976" t="s">
        <v>608</v>
      </c>
      <c r="H305" s="976" t="s">
        <v>609</v>
      </c>
      <c r="I305" s="977"/>
      <c r="J305" s="824"/>
      <c r="K305" s="978"/>
      <c r="L305" s="979"/>
      <c r="M305" s="980">
        <f t="shared" ref="M305:N305" si="298">SUM(M306:M312)</f>
        <v>0</v>
      </c>
      <c r="N305" s="981" t="str">
        <f t="shared" si="298"/>
        <v>#REF!</v>
      </c>
      <c r="O305" s="982"/>
      <c r="P305" s="983" t="str">
        <f>IFERROR(__xludf.DUMMYFUNCTION("IF(Q305="""","""",
   IF(Q305=0,0,
      IF(ISNUMBER(MATCH(Q305,FILTER(R$247:R$367,T$247:T$367&lt;&gt;0),0)),1,0)
   )
)"),"")</f>
        <v/>
      </c>
      <c r="Q305" s="941"/>
      <c r="R305" s="929" t="s">
        <v>99</v>
      </c>
      <c r="S305" s="930" t="s">
        <v>52</v>
      </c>
      <c r="T305" s="488">
        <f t="shared" si="177"/>
        <v>2.228886069</v>
      </c>
      <c r="U305" s="489">
        <f t="shared" si="158"/>
        <v>4</v>
      </c>
      <c r="V305" s="487" t="str">
        <f t="shared" si="159"/>
        <v>#REF!</v>
      </c>
      <c r="W305" s="1017"/>
      <c r="X305" s="489"/>
      <c r="Y305" s="489"/>
      <c r="Z305" s="1018"/>
      <c r="AA305" s="931"/>
      <c r="AB305" s="925" t="str">
        <f t="shared" si="172"/>
        <v/>
      </c>
      <c r="AC305" s="1445"/>
      <c r="AD305" s="983" t="str">
        <f>IFERROR(__xludf.DUMMYFUNCTION("IF(AE305="""","""",
   IF(AE305=0,0,
      IF(ISNUMBER(MATCH(AE305,FILTER(AF$245:AF$303,AH$245:AH$303&lt;&gt;0),0)),1,0)
   )
)"),"")</f>
        <v/>
      </c>
      <c r="AE305" s="943"/>
      <c r="AF305" s="984"/>
      <c r="AG305" s="466"/>
      <c r="AH305" s="985"/>
      <c r="AI305" s="985"/>
      <c r="AJ305" s="603"/>
      <c r="AK305" s="985"/>
      <c r="AL305" s="986">
        <v>8.0</v>
      </c>
      <c r="AM305" s="987">
        <f>AL304/AL305*AM304</f>
        <v>0</v>
      </c>
      <c r="AN305" s="988" t="str">
        <f>AN304</f>
        <v>#REF!</v>
      </c>
      <c r="AO305" s="603"/>
      <c r="AP305" s="989"/>
      <c r="AQ305" s="989"/>
      <c r="AR305" s="603"/>
      <c r="AS305" s="603"/>
      <c r="AT305" s="603"/>
      <c r="AU305" s="603"/>
      <c r="AV305" s="603"/>
      <c r="AW305" s="603"/>
      <c r="AX305" s="603"/>
      <c r="AY305" s="603"/>
      <c r="AZ305" s="603"/>
      <c r="BA305" s="603"/>
      <c r="BB305" s="603"/>
      <c r="BC305" s="603"/>
      <c r="BD305" s="603"/>
      <c r="BE305" s="603"/>
      <c r="BF305" s="603"/>
      <c r="BG305" s="603"/>
      <c r="BH305" s="603"/>
      <c r="BI305" s="603"/>
      <c r="BJ305" s="603"/>
      <c r="BK305" s="603"/>
      <c r="BL305" s="603"/>
      <c r="BM305" s="603"/>
      <c r="BN305" s="603"/>
      <c r="BO305" s="989"/>
      <c r="BP305" s="989"/>
      <c r="BQ305" s="989"/>
      <c r="BR305" s="989"/>
      <c r="BS305" s="989"/>
      <c r="BT305" s="989"/>
    </row>
    <row r="306">
      <c r="A306" s="1360"/>
      <c r="B306" s="584"/>
      <c r="C306" s="990" t="s">
        <v>285</v>
      </c>
      <c r="D306" s="991"/>
      <c r="E306" s="845"/>
      <c r="F306" s="992"/>
      <c r="G306" s="994"/>
      <c r="H306" s="994"/>
      <c r="I306" s="964" t="str">
        <f t="shared" ref="I306:I307" si="299">T245</f>
        <v/>
      </c>
      <c r="J306" s="964"/>
      <c r="K306" s="964"/>
      <c r="L306" s="401">
        <v>0.0</v>
      </c>
      <c r="M306" s="840"/>
      <c r="N306" s="849">
        <f t="shared" ref="N306:N307" si="300">J306*I306*L306</f>
        <v>0</v>
      </c>
      <c r="O306" s="590"/>
      <c r="P306" s="939" t="str">
        <f>IFERROR(__xludf.DUMMYFUNCTION("IF(Q306="""","""",
   IF(Q306=0,0,
      IF(ISNUMBER(MATCH(Q306,FILTER(R$247:R$367,T$247:T$367&lt;&gt;0),0)),1,0)
   )
)"),"")</f>
        <v/>
      </c>
      <c r="Q306" s="941"/>
      <c r="R306" s="929" t="s">
        <v>398</v>
      </c>
      <c r="S306" s="930" t="s">
        <v>52</v>
      </c>
      <c r="T306" s="488">
        <f t="shared" si="177"/>
        <v>0</v>
      </c>
      <c r="U306" s="489">
        <f t="shared" si="158"/>
        <v>4</v>
      </c>
      <c r="V306" s="490" t="str">
        <f t="shared" si="159"/>
        <v>#REF!</v>
      </c>
      <c r="W306" s="491"/>
      <c r="X306" s="489"/>
      <c r="Y306" s="492"/>
      <c r="Z306" s="493"/>
      <c r="AA306" s="931"/>
      <c r="AB306" s="925" t="str">
        <f t="shared" si="172"/>
        <v/>
      </c>
      <c r="AC306" s="1441"/>
      <c r="AD306" s="939" t="str">
        <f>IFERROR(__xludf.DUMMYFUNCTION("IF(AE306="""","""",
   IF(AE306=0,0,
      IF(ISNUMBER(MATCH(AE306,FILTER(AF$245:AF$303,AH$245:AH$303&lt;&gt;0),0)),1,0)
   )
)"),"")</f>
        <v/>
      </c>
      <c r="AE306" s="956"/>
      <c r="AF306" s="584"/>
      <c r="AG306" s="354"/>
      <c r="AH306" s="595"/>
      <c r="AI306" s="443"/>
      <c r="AJ306" s="595"/>
      <c r="AK306" s="595"/>
      <c r="AL306" s="595"/>
      <c r="AM306" s="595"/>
      <c r="AN306" s="595"/>
      <c r="AO306" s="584"/>
      <c r="AP306" s="1446"/>
      <c r="AQ306" s="651"/>
      <c r="AR306" s="595"/>
      <c r="AS306" s="595"/>
      <c r="AT306" s="595"/>
      <c r="AU306" s="595"/>
      <c r="AV306" s="595"/>
      <c r="AW306" s="595"/>
      <c r="AX306" s="595"/>
      <c r="AY306" s="595"/>
      <c r="AZ306" s="595"/>
      <c r="BA306" s="595"/>
      <c r="BB306" s="595"/>
      <c r="BC306" s="595"/>
      <c r="BD306" s="595"/>
      <c r="BE306" s="595"/>
      <c r="BF306" s="595"/>
      <c r="BG306" s="595"/>
      <c r="BH306" s="595"/>
      <c r="BI306" s="595"/>
      <c r="BJ306" s="595"/>
      <c r="BK306" s="595"/>
      <c r="BL306" s="595"/>
      <c r="BM306" s="595"/>
      <c r="BN306" s="595"/>
      <c r="BO306" s="651"/>
      <c r="BP306" s="651"/>
      <c r="BQ306" s="651"/>
      <c r="BR306" s="651"/>
      <c r="BS306" s="651"/>
      <c r="BT306" s="651"/>
    </row>
    <row r="307">
      <c r="A307" s="1360"/>
      <c r="B307" s="584"/>
      <c r="C307" s="990" t="s">
        <v>286</v>
      </c>
      <c r="D307" s="991"/>
      <c r="E307" s="845"/>
      <c r="F307" s="992"/>
      <c r="G307" s="994"/>
      <c r="H307" s="994"/>
      <c r="I307" s="964" t="str">
        <f t="shared" si="299"/>
        <v/>
      </c>
      <c r="J307" s="964"/>
      <c r="K307" s="964"/>
      <c r="L307" s="401">
        <v>0.0</v>
      </c>
      <c r="M307" s="840"/>
      <c r="N307" s="849">
        <f t="shared" si="300"/>
        <v>0</v>
      </c>
      <c r="O307" s="590"/>
      <c r="P307" s="939" t="str">
        <f>IFERROR(__xludf.DUMMYFUNCTION("IF(Q307="""","""",
   IF(Q307=0,0,
      IF(ISNUMBER(MATCH(Q307,FILTER(R$247:R$367,T$247:T$367&lt;&gt;0),0)),1,0)
   )
)"),"")</f>
        <v/>
      </c>
      <c r="Q307" s="941"/>
      <c r="R307" s="929" t="s">
        <v>399</v>
      </c>
      <c r="S307" s="930" t="s">
        <v>52</v>
      </c>
      <c r="T307" s="488">
        <f t="shared" si="177"/>
        <v>0</v>
      </c>
      <c r="U307" s="489">
        <f t="shared" si="158"/>
        <v>4</v>
      </c>
      <c r="V307" s="490" t="str">
        <f t="shared" si="159"/>
        <v>#REF!</v>
      </c>
      <c r="W307" s="491">
        <f t="shared" ref="W307:W309" si="301">(10/1)*$X$232</f>
        <v>40</v>
      </c>
      <c r="X307" s="489">
        <f t="shared" ref="X307:X312" si="302">W307*W$242</f>
        <v>320</v>
      </c>
      <c r="Y307" s="492">
        <f t="shared" ref="Y307:Y312" si="303">ROUNDUP(T307/X307,2)</f>
        <v>0</v>
      </c>
      <c r="Z307" s="493" t="str">
        <f t="shared" ref="Z307:Z312" si="304">Y307*V307*U307*W$242</f>
        <v>#REF!</v>
      </c>
      <c r="AA307" s="931" t="str">
        <f t="shared" ref="AA307:AA312" si="305">iferror(Z307/T307,"")</f>
        <v/>
      </c>
      <c r="AB307" s="925" t="str">
        <f t="shared" si="172"/>
        <v/>
      </c>
      <c r="AC307" s="1441"/>
      <c r="AD307" s="958"/>
      <c r="AE307" s="995"/>
      <c r="AF307" s="584"/>
      <c r="AG307" s="354"/>
      <c r="AH307" s="595"/>
      <c r="AI307" s="443"/>
      <c r="AJ307" s="595"/>
      <c r="AK307" s="595"/>
      <c r="AL307" s="595"/>
      <c r="AM307" s="595"/>
      <c r="AN307" s="595"/>
      <c r="AO307" s="584"/>
      <c r="AP307" s="595"/>
      <c r="AQ307" s="651"/>
      <c r="AR307" s="595"/>
      <c r="AS307" s="595"/>
      <c r="AT307" s="595"/>
      <c r="AU307" s="595"/>
      <c r="AV307" s="595"/>
      <c r="AW307" s="595"/>
      <c r="AX307" s="595"/>
      <c r="AY307" s="595"/>
      <c r="AZ307" s="595"/>
      <c r="BA307" s="595"/>
      <c r="BB307" s="595"/>
      <c r="BC307" s="595"/>
      <c r="BD307" s="595"/>
      <c r="BE307" s="595"/>
      <c r="BF307" s="595"/>
      <c r="BG307" s="595"/>
      <c r="BH307" s="595"/>
      <c r="BI307" s="595"/>
      <c r="BJ307" s="595"/>
      <c r="BK307" s="595"/>
      <c r="BL307" s="595"/>
      <c r="BM307" s="595"/>
      <c r="BN307" s="595"/>
      <c r="BO307" s="651"/>
      <c r="BP307" s="651"/>
      <c r="BQ307" s="651"/>
      <c r="BR307" s="651"/>
      <c r="BS307" s="651"/>
      <c r="BT307" s="651"/>
    </row>
    <row r="308">
      <c r="A308" s="1360"/>
      <c r="B308" s="584"/>
      <c r="C308" s="522" t="s">
        <v>287</v>
      </c>
      <c r="D308" s="996"/>
      <c r="E308" s="845"/>
      <c r="F308" s="997"/>
      <c r="G308" s="999"/>
      <c r="H308" s="999"/>
      <c r="I308" s="964" t="str">
        <f t="shared" ref="I308:I309" si="306">I306</f>
        <v/>
      </c>
      <c r="J308" s="437" t="str">
        <f>W235</f>
        <v>#REF!</v>
      </c>
      <c r="K308" s="437">
        <v>3.0</v>
      </c>
      <c r="L308" s="401">
        <v>0.0</v>
      </c>
      <c r="M308" s="840"/>
      <c r="N308" s="849" t="str">
        <f t="shared" ref="N308:N309" si="307">K308*J308*I308*L308</f>
        <v>#REF!</v>
      </c>
      <c r="O308" s="590"/>
      <c r="P308" s="939" t="str">
        <f>IFERROR(__xludf.DUMMYFUNCTION("IF(Q308="""","""",
   IF(Q308=0,0,
      IF(ISNUMBER(MATCH(Q308,FILTER(R$247:R$367,T$247:T$367&lt;&gt;0),0)),1,0)
   )
)"),"")</f>
        <v/>
      </c>
      <c r="Q308" s="941"/>
      <c r="R308" s="929" t="s">
        <v>400</v>
      </c>
      <c r="S308" s="930" t="s">
        <v>52</v>
      </c>
      <c r="T308" s="488">
        <f t="shared" si="177"/>
        <v>0</v>
      </c>
      <c r="U308" s="489">
        <f t="shared" si="158"/>
        <v>4</v>
      </c>
      <c r="V308" s="490" t="str">
        <f t="shared" si="159"/>
        <v>#REF!</v>
      </c>
      <c r="W308" s="491">
        <f t="shared" si="301"/>
        <v>40</v>
      </c>
      <c r="X308" s="489">
        <f t="shared" si="302"/>
        <v>320</v>
      </c>
      <c r="Y308" s="492">
        <f t="shared" si="303"/>
        <v>0</v>
      </c>
      <c r="Z308" s="493" t="str">
        <f t="shared" si="304"/>
        <v>#REF!</v>
      </c>
      <c r="AA308" s="931" t="str">
        <f t="shared" si="305"/>
        <v/>
      </c>
      <c r="AB308" s="925" t="str">
        <f t="shared" si="172"/>
        <v/>
      </c>
      <c r="AC308" s="1441"/>
      <c r="AD308" s="1447"/>
      <c r="AE308" s="1021"/>
      <c r="AF308" s="584"/>
      <c r="AG308" s="354"/>
      <c r="AH308" s="595"/>
      <c r="AI308" s="443"/>
      <c r="AJ308" s="595"/>
      <c r="AK308" s="595"/>
      <c r="AL308" s="595"/>
      <c r="AM308" s="595"/>
      <c r="AN308" s="595"/>
      <c r="AO308" s="584"/>
      <c r="AP308" s="595"/>
      <c r="AQ308" s="651"/>
      <c r="AR308" s="595"/>
      <c r="AS308" s="595"/>
      <c r="AT308" s="595"/>
      <c r="AU308" s="595"/>
      <c r="AV308" s="595"/>
      <c r="AW308" s="595"/>
      <c r="AX308" s="595"/>
      <c r="AY308" s="595"/>
      <c r="AZ308" s="595"/>
      <c r="BA308" s="595"/>
      <c r="BB308" s="595"/>
      <c r="BC308" s="595"/>
      <c r="BD308" s="595"/>
      <c r="BE308" s="595"/>
      <c r="BF308" s="595"/>
      <c r="BG308" s="595"/>
      <c r="BH308" s="595"/>
      <c r="BI308" s="595"/>
      <c r="BJ308" s="595"/>
      <c r="BK308" s="595"/>
      <c r="BL308" s="595"/>
      <c r="BM308" s="595"/>
      <c r="BN308" s="595"/>
      <c r="BO308" s="651"/>
      <c r="BP308" s="651"/>
      <c r="BQ308" s="651"/>
      <c r="BR308" s="651"/>
      <c r="BS308" s="651"/>
      <c r="BT308" s="651"/>
    </row>
    <row r="309">
      <c r="A309" s="1360"/>
      <c r="B309" s="584"/>
      <c r="C309" s="522" t="s">
        <v>288</v>
      </c>
      <c r="D309" s="996"/>
      <c r="E309" s="845"/>
      <c r="F309" s="997"/>
      <c r="G309" s="999"/>
      <c r="H309" s="999"/>
      <c r="I309" s="964" t="str">
        <f t="shared" si="306"/>
        <v/>
      </c>
      <c r="J309" s="437" t="str">
        <f>J308</f>
        <v>#REF!</v>
      </c>
      <c r="K309" s="437">
        <v>10.0</v>
      </c>
      <c r="L309" s="401">
        <v>0.0</v>
      </c>
      <c r="M309" s="840"/>
      <c r="N309" s="849" t="str">
        <f t="shared" si="307"/>
        <v>#REF!</v>
      </c>
      <c r="O309" s="590"/>
      <c r="P309" s="939" t="str">
        <f>IFERROR(__xludf.DUMMYFUNCTION("IF(Q309="""","""",
   IF(Q309=0,0,
      IF(ISNUMBER(MATCH(Q309,FILTER(R$247:R$367,T$247:T$367&lt;&gt;0),0)),1,0)
   )
)"),"")</f>
        <v/>
      </c>
      <c r="Q309" s="941"/>
      <c r="R309" s="929" t="s">
        <v>401</v>
      </c>
      <c r="S309" s="930" t="s">
        <v>52</v>
      </c>
      <c r="T309" s="488">
        <f t="shared" si="177"/>
        <v>0</v>
      </c>
      <c r="U309" s="489">
        <f t="shared" si="158"/>
        <v>4</v>
      </c>
      <c r="V309" s="490" t="str">
        <f t="shared" si="159"/>
        <v>#REF!</v>
      </c>
      <c r="W309" s="491">
        <f t="shared" si="301"/>
        <v>40</v>
      </c>
      <c r="X309" s="489">
        <f t="shared" si="302"/>
        <v>320</v>
      </c>
      <c r="Y309" s="492">
        <f t="shared" si="303"/>
        <v>0</v>
      </c>
      <c r="Z309" s="493" t="str">
        <f t="shared" si="304"/>
        <v>#REF!</v>
      </c>
      <c r="AA309" s="931" t="str">
        <f t="shared" si="305"/>
        <v/>
      </c>
      <c r="AB309" s="925" t="str">
        <f t="shared" si="172"/>
        <v/>
      </c>
      <c r="AC309" s="1441"/>
      <c r="AD309" s="594"/>
      <c r="AE309" s="595"/>
      <c r="AF309" s="584"/>
      <c r="AG309" s="354"/>
      <c r="AH309" s="595"/>
      <c r="AI309" s="443"/>
      <c r="AJ309" s="595"/>
      <c r="AK309" s="595"/>
      <c r="AL309" s="595"/>
      <c r="AM309" s="595"/>
      <c r="AN309" s="595"/>
      <c r="AO309" s="584"/>
      <c r="AP309" s="595"/>
      <c r="AQ309" s="1446"/>
      <c r="AR309" s="595"/>
      <c r="AS309" s="595"/>
      <c r="AT309" s="595"/>
      <c r="AU309" s="595"/>
      <c r="AV309" s="595"/>
      <c r="AW309" s="595"/>
      <c r="AX309" s="595"/>
      <c r="AY309" s="595"/>
      <c r="AZ309" s="595"/>
      <c r="BA309" s="595"/>
      <c r="BB309" s="595"/>
      <c r="BC309" s="595"/>
      <c r="BD309" s="595"/>
      <c r="BE309" s="595"/>
      <c r="BF309" s="595"/>
      <c r="BG309" s="595"/>
      <c r="BH309" s="595"/>
      <c r="BI309" s="595"/>
      <c r="BJ309" s="595"/>
      <c r="BK309" s="595"/>
      <c r="BL309" s="595"/>
      <c r="BM309" s="595"/>
      <c r="BN309" s="595"/>
      <c r="BO309" s="651"/>
      <c r="BP309" s="651"/>
      <c r="BQ309" s="651"/>
      <c r="BR309" s="651"/>
      <c r="BS309" s="651"/>
      <c r="BT309" s="651"/>
    </row>
    <row r="310">
      <c r="A310" s="1360"/>
      <c r="B310" s="584"/>
      <c r="C310" s="1000"/>
      <c r="D310" s="996"/>
      <c r="E310" s="845"/>
      <c r="F310" s="437"/>
      <c r="G310" s="964"/>
      <c r="H310" s="964"/>
      <c r="I310" s="964"/>
      <c r="J310" s="964"/>
      <c r="K310" s="964"/>
      <c r="L310" s="840"/>
      <c r="M310" s="840"/>
      <c r="N310" s="965"/>
      <c r="O310" s="590"/>
      <c r="P310" s="939" t="str">
        <f>IFERROR(__xludf.DUMMYFUNCTION("IF(Q310="""","""",
   IF(Q310=0,0,
      IF(ISNUMBER(MATCH(Q310,FILTER(R$247:R$367,T$247:T$367&lt;&gt;0),0)),1,0)
   )
)"),"")</f>
        <v/>
      </c>
      <c r="Q310" s="941"/>
      <c r="R310" s="942" t="s">
        <v>484</v>
      </c>
      <c r="S310" s="930" t="s">
        <v>52</v>
      </c>
      <c r="T310" s="488">
        <f t="shared" si="177"/>
        <v>4</v>
      </c>
      <c r="U310" s="489">
        <f t="shared" si="158"/>
        <v>4</v>
      </c>
      <c r="V310" s="490" t="str">
        <f t="shared" si="159"/>
        <v>#REF!</v>
      </c>
      <c r="W310" s="491">
        <f t="shared" ref="W310:W311" si="308">(5/1)*$X$232</f>
        <v>20</v>
      </c>
      <c r="X310" s="489">
        <f t="shared" si="302"/>
        <v>160</v>
      </c>
      <c r="Y310" s="492">
        <f t="shared" si="303"/>
        <v>0.03</v>
      </c>
      <c r="Z310" s="493" t="str">
        <f t="shared" si="304"/>
        <v>#REF!</v>
      </c>
      <c r="AA310" s="931" t="str">
        <f t="shared" si="305"/>
        <v/>
      </c>
      <c r="AB310" s="925" t="str">
        <f t="shared" si="172"/>
        <v/>
      </c>
      <c r="AC310" s="1441"/>
      <c r="AD310" s="594"/>
      <c r="AE310" s="595"/>
      <c r="AF310" s="584"/>
      <c r="AG310" s="354"/>
      <c r="AH310" s="595"/>
      <c r="AI310" s="443"/>
      <c r="AJ310" s="595"/>
      <c r="AK310" s="595"/>
      <c r="AL310" s="595"/>
      <c r="AM310" s="595"/>
      <c r="AN310" s="595"/>
      <c r="AO310" s="584"/>
      <c r="AP310" s="595"/>
      <c r="AQ310" s="595"/>
      <c r="AR310" s="595"/>
      <c r="AS310" s="595"/>
      <c r="AT310" s="595"/>
      <c r="AU310" s="595"/>
      <c r="AV310" s="595"/>
      <c r="AW310" s="595"/>
      <c r="AX310" s="595"/>
      <c r="AY310" s="595"/>
      <c r="AZ310" s="595"/>
      <c r="BA310" s="595"/>
      <c r="BB310" s="595"/>
      <c r="BC310" s="595"/>
      <c r="BD310" s="595"/>
      <c r="BE310" s="595"/>
      <c r="BF310" s="595"/>
      <c r="BG310" s="595"/>
      <c r="BH310" s="595"/>
      <c r="BI310" s="595"/>
      <c r="BJ310" s="595"/>
      <c r="BK310" s="595"/>
      <c r="BL310" s="595"/>
      <c r="BM310" s="595"/>
      <c r="BN310" s="595"/>
      <c r="BO310" s="651"/>
      <c r="BP310" s="651"/>
      <c r="BQ310" s="651"/>
      <c r="BR310" s="651"/>
      <c r="BS310" s="651"/>
      <c r="BT310" s="651"/>
    </row>
    <row r="311">
      <c r="A311" s="1360"/>
      <c r="B311" s="584"/>
      <c r="C311" s="1000"/>
      <c r="D311" s="996"/>
      <c r="E311" s="845"/>
      <c r="F311" s="437"/>
      <c r="G311" s="964"/>
      <c r="H311" s="964"/>
      <c r="I311" s="964"/>
      <c r="J311" s="964"/>
      <c r="K311" s="964"/>
      <c r="L311" s="840"/>
      <c r="M311" s="840"/>
      <c r="N311" s="965"/>
      <c r="O311" s="590"/>
      <c r="P311" s="939" t="str">
        <f>IFERROR(__xludf.DUMMYFUNCTION("IF(Q311="""","""",
   IF(Q311=0,0,
      IF(ISNUMBER(MATCH(Q311,FILTER(R$247:R$367,T$247:T$367&lt;&gt;0),0)),1,0)
   )
)"),"")</f>
        <v/>
      </c>
      <c r="Q311" s="941"/>
      <c r="R311" s="929" t="s">
        <v>404</v>
      </c>
      <c r="S311" s="930" t="s">
        <v>55</v>
      </c>
      <c r="T311" s="488">
        <f t="shared" si="177"/>
        <v>0</v>
      </c>
      <c r="U311" s="489">
        <f t="shared" si="158"/>
        <v>4</v>
      </c>
      <c r="V311" s="490" t="str">
        <f t="shared" si="159"/>
        <v>#REF!</v>
      </c>
      <c r="W311" s="491">
        <f t="shared" si="308"/>
        <v>20</v>
      </c>
      <c r="X311" s="489">
        <f t="shared" si="302"/>
        <v>160</v>
      </c>
      <c r="Y311" s="492">
        <f t="shared" si="303"/>
        <v>0</v>
      </c>
      <c r="Z311" s="493" t="str">
        <f t="shared" si="304"/>
        <v>#REF!</v>
      </c>
      <c r="AA311" s="931" t="str">
        <f t="shared" si="305"/>
        <v/>
      </c>
      <c r="AB311" s="925" t="str">
        <f t="shared" si="172"/>
        <v/>
      </c>
      <c r="AC311" s="1441"/>
      <c r="AD311" s="594"/>
      <c r="AE311" s="595"/>
      <c r="AF311" s="584"/>
      <c r="AG311" s="354"/>
      <c r="AH311" s="595"/>
      <c r="AI311" s="443"/>
      <c r="AJ311" s="595"/>
      <c r="AK311" s="595"/>
      <c r="AL311" s="595"/>
      <c r="AM311" s="595"/>
      <c r="AN311" s="595"/>
      <c r="AO311" s="584"/>
      <c r="AP311" s="595"/>
      <c r="AQ311" s="595"/>
      <c r="AR311" s="595"/>
      <c r="AS311" s="595"/>
      <c r="AT311" s="595"/>
      <c r="AU311" s="595"/>
      <c r="AV311" s="595"/>
      <c r="AW311" s="595"/>
      <c r="AX311" s="595"/>
      <c r="AY311" s="595"/>
      <c r="AZ311" s="595"/>
      <c r="BA311" s="595"/>
      <c r="BB311" s="595"/>
      <c r="BC311" s="595"/>
      <c r="BD311" s="595"/>
      <c r="BE311" s="595"/>
      <c r="BF311" s="595"/>
      <c r="BG311" s="595"/>
      <c r="BH311" s="595"/>
      <c r="BI311" s="595"/>
      <c r="BJ311" s="595"/>
      <c r="BK311" s="595"/>
      <c r="BL311" s="595"/>
      <c r="BM311" s="595"/>
      <c r="BN311" s="595"/>
      <c r="BO311" s="651"/>
      <c r="BP311" s="651"/>
      <c r="BQ311" s="651"/>
      <c r="BR311" s="651"/>
      <c r="BS311" s="651"/>
      <c r="BT311" s="651"/>
    </row>
    <row r="312">
      <c r="A312" s="1360"/>
      <c r="B312" s="584"/>
      <c r="C312" s="1002"/>
      <c r="D312" s="991"/>
      <c r="E312" s="994"/>
      <c r="F312" s="992"/>
      <c r="G312" s="994"/>
      <c r="H312" s="994"/>
      <c r="I312" s="964"/>
      <c r="J312" s="964"/>
      <c r="K312" s="1003"/>
      <c r="L312" s="1004"/>
      <c r="M312" s="840"/>
      <c r="N312" s="965"/>
      <c r="O312" s="590"/>
      <c r="P312" s="939" t="str">
        <f>IFERROR(__xludf.DUMMYFUNCTION("IF(Q312="""","""",
   IF(Q312=0,0,
      IF(ISNUMBER(MATCH(Q312,FILTER(R$247:R$367,T$247:T$367&lt;&gt;0),0)),1,0)
   )
)"),"")</f>
        <v/>
      </c>
      <c r="Q312" s="941"/>
      <c r="R312" s="929" t="s">
        <v>405</v>
      </c>
      <c r="S312" s="930" t="s">
        <v>41</v>
      </c>
      <c r="T312" s="488" t="str">
        <f t="shared" si="177"/>
        <v>#REF!</v>
      </c>
      <c r="U312" s="489">
        <f t="shared" si="158"/>
        <v>4</v>
      </c>
      <c r="V312" s="490" t="str">
        <f t="shared" si="159"/>
        <v>#REF!</v>
      </c>
      <c r="W312" s="491">
        <f>(10/1)*$X$232</f>
        <v>40</v>
      </c>
      <c r="X312" s="489">
        <f t="shared" si="302"/>
        <v>320</v>
      </c>
      <c r="Y312" s="492" t="str">
        <f t="shared" si="303"/>
        <v>#REF!</v>
      </c>
      <c r="Z312" s="493" t="str">
        <f t="shared" si="304"/>
        <v>#REF!</v>
      </c>
      <c r="AA312" s="931" t="str">
        <f t="shared" si="305"/>
        <v/>
      </c>
      <c r="AB312" s="925" t="str">
        <f t="shared" si="172"/>
        <v/>
      </c>
      <c r="AC312" s="1441"/>
      <c r="AD312" s="594"/>
      <c r="AE312" s="595"/>
      <c r="AF312" s="584"/>
      <c r="AG312" s="354"/>
      <c r="AH312" s="595"/>
      <c r="AI312" s="443"/>
      <c r="AJ312" s="595"/>
      <c r="AK312" s="595"/>
      <c r="AL312" s="595"/>
      <c r="AM312" s="595"/>
      <c r="AN312" s="595"/>
      <c r="AO312" s="584"/>
      <c r="AP312" s="595"/>
      <c r="AQ312" s="595"/>
      <c r="AR312" s="595"/>
      <c r="AS312" s="595"/>
      <c r="AT312" s="595"/>
      <c r="AU312" s="595"/>
      <c r="AV312" s="595"/>
      <c r="AW312" s="595"/>
      <c r="AX312" s="595"/>
      <c r="AY312" s="595"/>
      <c r="AZ312" s="595"/>
      <c r="BA312" s="595"/>
      <c r="BB312" s="595"/>
      <c r="BC312" s="595"/>
      <c r="BD312" s="595"/>
      <c r="BE312" s="595"/>
      <c r="BF312" s="595"/>
      <c r="BG312" s="595"/>
      <c r="BH312" s="595"/>
      <c r="BI312" s="595"/>
      <c r="BJ312" s="595"/>
      <c r="BK312" s="595"/>
      <c r="BL312" s="595"/>
      <c r="BM312" s="595"/>
      <c r="BN312" s="595"/>
      <c r="BO312" s="651"/>
      <c r="BP312" s="651"/>
      <c r="BQ312" s="651"/>
      <c r="BR312" s="651"/>
      <c r="BS312" s="651"/>
      <c r="BT312" s="651"/>
    </row>
    <row r="313">
      <c r="A313" s="1360"/>
      <c r="B313" s="584"/>
      <c r="C313" s="526" t="s">
        <v>193</v>
      </c>
      <c r="D313" s="1005"/>
      <c r="E313" s="1006"/>
      <c r="F313" s="1007"/>
      <c r="G313" s="1009"/>
      <c r="H313" s="1009"/>
      <c r="I313" s="1010"/>
      <c r="J313" s="1011"/>
      <c r="K313" s="1012"/>
      <c r="L313" s="1013"/>
      <c r="M313" s="1013"/>
      <c r="N313" s="1014" t="str">
        <f>+N305+N282+N266+N254+N248+N242+N237+N227+N221+N213</f>
        <v>#REF!</v>
      </c>
      <c r="O313" s="590"/>
      <c r="P313" s="939" t="str">
        <f>IFERROR(__xludf.DUMMYFUNCTION("IF(Q313="""","""",
   IF(Q313=0,0,
      IF(ISNUMBER(MATCH(Q313,FILTER(R$247:R$367,T$247:T$367&lt;&gt;0),0)),1,0)
   )
)"),"")</f>
        <v/>
      </c>
      <c r="Q313" s="941"/>
      <c r="R313" s="929" t="s">
        <v>406</v>
      </c>
      <c r="S313" s="930" t="s">
        <v>52</v>
      </c>
      <c r="T313" s="488" t="str">
        <f t="shared" si="177"/>
        <v>#REF!</v>
      </c>
      <c r="U313" s="489">
        <f t="shared" si="158"/>
        <v>4</v>
      </c>
      <c r="V313" s="490" t="str">
        <f t="shared" si="159"/>
        <v>#REF!</v>
      </c>
      <c r="W313" s="491"/>
      <c r="X313" s="489"/>
      <c r="Y313" s="492"/>
      <c r="Z313" s="493"/>
      <c r="AA313" s="931"/>
      <c r="AB313" s="925" t="str">
        <f t="shared" si="172"/>
        <v/>
      </c>
      <c r="AC313" s="1441"/>
      <c r="AD313" s="594"/>
      <c r="AE313" s="595"/>
      <c r="AF313" s="584"/>
      <c r="AG313" s="354"/>
      <c r="AH313" s="595"/>
      <c r="AI313" s="443"/>
      <c r="AJ313" s="595"/>
      <c r="AK313" s="595"/>
      <c r="AL313" s="595"/>
      <c r="AM313" s="595"/>
      <c r="AN313" s="595"/>
      <c r="AO313" s="584"/>
      <c r="AP313" s="595"/>
      <c r="AQ313" s="595"/>
      <c r="AR313" s="595"/>
      <c r="AS313" s="595"/>
      <c r="AT313" s="595"/>
      <c r="AU313" s="595"/>
      <c r="AV313" s="595"/>
      <c r="AW313" s="595"/>
      <c r="AX313" s="595"/>
      <c r="AY313" s="595"/>
      <c r="AZ313" s="595"/>
      <c r="BA313" s="595"/>
      <c r="BB313" s="595"/>
      <c r="BC313" s="595"/>
      <c r="BD313" s="595"/>
      <c r="BE313" s="595"/>
      <c r="BF313" s="595"/>
      <c r="BG313" s="595"/>
      <c r="BH313" s="595"/>
      <c r="BI313" s="595"/>
      <c r="BJ313" s="595"/>
      <c r="BK313" s="595"/>
      <c r="BL313" s="595"/>
      <c r="BM313" s="595"/>
      <c r="BN313" s="595"/>
      <c r="BO313" s="651"/>
      <c r="BP313" s="651"/>
      <c r="BQ313" s="651"/>
      <c r="BR313" s="651"/>
      <c r="BS313" s="651"/>
      <c r="BT313" s="651"/>
    </row>
    <row r="314">
      <c r="A314" s="1360"/>
      <c r="B314" s="584"/>
      <c r="C314" s="443"/>
      <c r="D314" s="443"/>
      <c r="E314" s="585"/>
      <c r="F314" s="349"/>
      <c r="G314" s="443"/>
      <c r="H314" s="443"/>
      <c r="I314" s="595"/>
      <c r="J314" s="584"/>
      <c r="K314" s="354"/>
      <c r="L314" s="588"/>
      <c r="M314" s="588"/>
      <c r="N314" s="589"/>
      <c r="O314" s="590"/>
      <c r="P314" s="939" t="str">
        <f>IFERROR(__xludf.DUMMYFUNCTION("IF(Q314="""","""",
   IF(Q314=0,0,
      IF(ISNUMBER(MATCH(Q314,FILTER(R$247:R$367,T$247:T$367&lt;&gt;0),0)),1,0)
   )
)"),"")</f>
        <v/>
      </c>
      <c r="Q314" s="941"/>
      <c r="R314" s="929" t="s">
        <v>407</v>
      </c>
      <c r="S314" s="930" t="s">
        <v>52</v>
      </c>
      <c r="T314" s="488">
        <f t="shared" si="177"/>
        <v>3</v>
      </c>
      <c r="U314" s="489">
        <f t="shared" si="158"/>
        <v>4</v>
      </c>
      <c r="V314" s="490" t="str">
        <f t="shared" si="159"/>
        <v>#REF!</v>
      </c>
      <c r="W314" s="491"/>
      <c r="X314" s="489"/>
      <c r="Y314" s="492"/>
      <c r="Z314" s="493"/>
      <c r="AA314" s="931"/>
      <c r="AB314" s="925" t="str">
        <f t="shared" si="172"/>
        <v/>
      </c>
      <c r="AC314" s="1441"/>
      <c r="AD314" s="594"/>
      <c r="AE314" s="595"/>
      <c r="AF314" s="584"/>
      <c r="AG314" s="354"/>
      <c r="AH314" s="595"/>
      <c r="AI314" s="443"/>
      <c r="AJ314" s="595"/>
      <c r="AK314" s="595"/>
      <c r="AL314" s="595"/>
      <c r="AM314" s="595"/>
      <c r="AN314" s="595"/>
      <c r="AO314" s="584"/>
      <c r="AP314" s="595"/>
      <c r="AQ314" s="595"/>
      <c r="AR314" s="595"/>
      <c r="AS314" s="595"/>
      <c r="AT314" s="595"/>
      <c r="AU314" s="595"/>
      <c r="AV314" s="595"/>
      <c r="AW314" s="595"/>
      <c r="AX314" s="595"/>
      <c r="AY314" s="595"/>
      <c r="AZ314" s="595"/>
      <c r="BA314" s="595"/>
      <c r="BB314" s="595"/>
      <c r="BC314" s="595"/>
      <c r="BD314" s="595"/>
      <c r="BE314" s="595"/>
      <c r="BF314" s="595"/>
      <c r="BG314" s="595"/>
      <c r="BH314" s="595"/>
      <c r="BI314" s="595"/>
      <c r="BJ314" s="595"/>
      <c r="BK314" s="595"/>
      <c r="BL314" s="595"/>
      <c r="BM314" s="595"/>
      <c r="BN314" s="595"/>
      <c r="BO314" s="651"/>
      <c r="BP314" s="651"/>
      <c r="BQ314" s="651"/>
      <c r="BR314" s="651"/>
      <c r="BS314" s="651"/>
      <c r="BT314" s="651"/>
    </row>
    <row r="315">
      <c r="A315" s="1360"/>
      <c r="B315" s="584"/>
      <c r="C315" s="700"/>
      <c r="D315" s="700"/>
      <c r="E315" s="722"/>
      <c r="F315" s="128"/>
      <c r="G315" s="700"/>
      <c r="H315" s="700"/>
      <c r="I315" s="534" t="s">
        <v>175</v>
      </c>
      <c r="J315" s="1015"/>
      <c r="K315" s="1016"/>
      <c r="L315" s="588"/>
      <c r="M315" s="588"/>
      <c r="N315" s="589"/>
      <c r="O315" s="590"/>
      <c r="P315" s="939" t="str">
        <f>IFERROR(__xludf.DUMMYFUNCTION("IF(Q315="""","""",
   IF(Q315=0,0,
      IF(ISNUMBER(MATCH(Q315,FILTER(R$247:R$367,T$247:T$367&lt;&gt;0),0)),1,0)
   )
)"),"")</f>
        <v/>
      </c>
      <c r="Q315" s="941"/>
      <c r="R315" s="929" t="s">
        <v>408</v>
      </c>
      <c r="S315" s="930" t="s">
        <v>55</v>
      </c>
      <c r="T315" s="488">
        <f t="shared" si="177"/>
        <v>0</v>
      </c>
      <c r="U315" s="489">
        <f t="shared" si="158"/>
        <v>4</v>
      </c>
      <c r="V315" s="490" t="str">
        <f t="shared" si="159"/>
        <v>#REF!</v>
      </c>
      <c r="W315" s="491">
        <f>(10/1)*$X$232</f>
        <v>40</v>
      </c>
      <c r="X315" s="489">
        <f t="shared" ref="X315:X327" si="309">W315*W$242</f>
        <v>320</v>
      </c>
      <c r="Y315" s="492">
        <f t="shared" ref="Y315:Y327" si="310">ROUNDUP(T315/X315,2)</f>
        <v>0</v>
      </c>
      <c r="Z315" s="493" t="str">
        <f t="shared" ref="Z315:Z327" si="311">Y315*V315*U315*W$242</f>
        <v>#REF!</v>
      </c>
      <c r="AA315" s="931" t="str">
        <f t="shared" ref="AA315:AA327" si="312">iferror(Z315/T315,"")</f>
        <v/>
      </c>
      <c r="AB315" s="925" t="str">
        <f t="shared" si="172"/>
        <v/>
      </c>
      <c r="AC315" s="1441"/>
      <c r="AD315" s="594"/>
      <c r="AE315" s="1021"/>
      <c r="AF315" s="595"/>
      <c r="AG315" s="354"/>
      <c r="AH315" s="443"/>
      <c r="AI315" s="595"/>
      <c r="AJ315" s="595"/>
      <c r="AK315" s="595"/>
      <c r="AL315" s="595"/>
      <c r="AM315" s="595"/>
      <c r="AN315" s="584"/>
      <c r="AO315" s="595"/>
      <c r="AP315" s="595"/>
      <c r="AQ315" s="595"/>
      <c r="AR315" s="595"/>
      <c r="AS315" s="595"/>
      <c r="AT315" s="595"/>
      <c r="AU315" s="595"/>
      <c r="AV315" s="595"/>
      <c r="AW315" s="595"/>
      <c r="AX315" s="595"/>
      <c r="AY315" s="595"/>
      <c r="AZ315" s="595"/>
      <c r="BA315" s="595"/>
      <c r="BB315" s="595"/>
      <c r="BC315" s="595"/>
      <c r="BD315" s="595"/>
      <c r="BE315" s="595"/>
      <c r="BF315" s="595"/>
      <c r="BG315" s="595"/>
      <c r="BH315" s="595"/>
      <c r="BI315" s="595"/>
      <c r="BJ315" s="595"/>
      <c r="BK315" s="595"/>
      <c r="BL315" s="595"/>
      <c r="BM315" s="595"/>
      <c r="BN315" s="595"/>
      <c r="BO315" s="651"/>
      <c r="BP315" s="651"/>
      <c r="BQ315" s="651"/>
      <c r="BR315" s="651"/>
      <c r="BS315" s="651"/>
      <c r="BT315" s="651"/>
    </row>
    <row r="316">
      <c r="A316" s="1360"/>
      <c r="B316" s="584"/>
      <c r="C316" s="537" t="s">
        <v>289</v>
      </c>
      <c r="D316" s="700"/>
      <c r="E316" s="722"/>
      <c r="F316" s="128"/>
      <c r="G316" s="700"/>
      <c r="H316" s="700"/>
      <c r="I316" s="1019"/>
      <c r="J316" s="924"/>
      <c r="K316" s="1020"/>
      <c r="L316" s="588"/>
      <c r="M316" s="588"/>
      <c r="N316" s="589"/>
      <c r="O316" s="590"/>
      <c r="P316" s="939" t="str">
        <f>IFERROR(__xludf.DUMMYFUNCTION("IF(Q316="""","""",
   IF(Q316=0,0,
      IF(ISNUMBER(MATCH(Q316,FILTER(R$247:R$367,T$247:T$367&lt;&gt;0),0)),1,0)
   )
)"),"")</f>
        <v/>
      </c>
      <c r="Q316" s="941"/>
      <c r="R316" s="929" t="s">
        <v>409</v>
      </c>
      <c r="S316" s="930" t="s">
        <v>41</v>
      </c>
      <c r="T316" s="488" t="str">
        <f t="shared" si="177"/>
        <v>#REF!</v>
      </c>
      <c r="U316" s="489">
        <f t="shared" si="158"/>
        <v>4</v>
      </c>
      <c r="V316" s="490" t="str">
        <f t="shared" si="159"/>
        <v>#REF!</v>
      </c>
      <c r="W316" s="491">
        <f>(5/4)*$X$232</f>
        <v>5</v>
      </c>
      <c r="X316" s="489">
        <f t="shared" si="309"/>
        <v>40</v>
      </c>
      <c r="Y316" s="492" t="str">
        <f t="shared" si="310"/>
        <v>#REF!</v>
      </c>
      <c r="Z316" s="493" t="str">
        <f t="shared" si="311"/>
        <v>#REF!</v>
      </c>
      <c r="AA316" s="931" t="str">
        <f t="shared" si="312"/>
        <v/>
      </c>
      <c r="AB316" s="925" t="str">
        <f t="shared" si="172"/>
        <v/>
      </c>
      <c r="AC316" s="1441"/>
      <c r="AD316" s="594"/>
      <c r="AE316" s="1021"/>
      <c r="AF316" s="595"/>
      <c r="AG316" s="354"/>
      <c r="AH316" s="443"/>
      <c r="AI316" s="595"/>
      <c r="AJ316" s="595"/>
      <c r="AK316" s="595"/>
      <c r="AL316" s="595"/>
      <c r="AM316" s="595"/>
      <c r="AN316" s="584"/>
      <c r="AO316" s="595"/>
      <c r="AP316" s="595"/>
      <c r="AQ316" s="595"/>
      <c r="AR316" s="595"/>
      <c r="AS316" s="595"/>
      <c r="AT316" s="595"/>
      <c r="AU316" s="595"/>
      <c r="AV316" s="595"/>
      <c r="AW316" s="595"/>
      <c r="AX316" s="595"/>
      <c r="AY316" s="595"/>
      <c r="AZ316" s="595"/>
      <c r="BA316" s="595"/>
      <c r="BB316" s="595"/>
      <c r="BC316" s="595"/>
      <c r="BD316" s="595"/>
      <c r="BE316" s="595"/>
      <c r="BF316" s="595"/>
      <c r="BG316" s="595"/>
      <c r="BH316" s="595"/>
      <c r="BI316" s="595"/>
      <c r="BJ316" s="595"/>
      <c r="BK316" s="595"/>
      <c r="BL316" s="595"/>
      <c r="BM316" s="595"/>
      <c r="BN316" s="595"/>
      <c r="BO316" s="651"/>
      <c r="BP316" s="651"/>
      <c r="BQ316" s="651"/>
      <c r="BR316" s="651"/>
      <c r="BS316" s="651"/>
      <c r="BT316" s="651"/>
    </row>
    <row r="317">
      <c r="A317" s="1360"/>
      <c r="B317" s="584"/>
      <c r="C317" s="540" t="s">
        <v>290</v>
      </c>
      <c r="D317" s="700"/>
      <c r="E317" s="722"/>
      <c r="F317" s="128"/>
      <c r="G317" s="700"/>
      <c r="H317" s="700"/>
      <c r="I317" s="541" t="str">
        <f>+T220</f>
        <v>#REF!</v>
      </c>
      <c r="J317" s="924"/>
      <c r="K317" s="1020"/>
      <c r="L317" s="375" t="str">
        <f>I317/I319</f>
        <v>#REF!</v>
      </c>
      <c r="M317" s="588"/>
      <c r="N317" s="589"/>
      <c r="O317" s="590"/>
      <c r="P317" s="939" t="str">
        <f>IFERROR(__xludf.DUMMYFUNCTION("IF(Q317="""","""",
   IF(Q317=0,0,
      IF(ISNUMBER(MATCH(Q317,FILTER(R$247:R$367,T$247:T$367&lt;&gt;0),0)),1,0)
   )
)"),"")</f>
        <v/>
      </c>
      <c r="Q317" s="941"/>
      <c r="R317" s="929" t="s">
        <v>410</v>
      </c>
      <c r="S317" s="930" t="s">
        <v>41</v>
      </c>
      <c r="T317" s="488">
        <f t="shared" si="177"/>
        <v>0</v>
      </c>
      <c r="U317" s="489">
        <f t="shared" si="158"/>
        <v>4</v>
      </c>
      <c r="V317" s="490" t="str">
        <f t="shared" si="159"/>
        <v>#REF!</v>
      </c>
      <c r="W317" s="491">
        <f>(4.5/5)*$X$232</f>
        <v>3.6</v>
      </c>
      <c r="X317" s="489">
        <f t="shared" si="309"/>
        <v>28.8</v>
      </c>
      <c r="Y317" s="492">
        <f t="shared" si="310"/>
        <v>0</v>
      </c>
      <c r="Z317" s="493" t="str">
        <f t="shared" si="311"/>
        <v>#REF!</v>
      </c>
      <c r="AA317" s="931" t="str">
        <f t="shared" si="312"/>
        <v/>
      </c>
      <c r="AB317" s="925" t="str">
        <f t="shared" si="172"/>
        <v/>
      </c>
      <c r="AC317" s="1441"/>
      <c r="AD317" s="594"/>
      <c r="AE317" s="595"/>
      <c r="AF317" s="595"/>
      <c r="AG317" s="354"/>
      <c r="AH317" s="443"/>
      <c r="AI317" s="595"/>
      <c r="AJ317" s="595"/>
      <c r="AK317" s="595"/>
      <c r="AL317" s="595"/>
      <c r="AM317" s="595"/>
      <c r="AN317" s="584"/>
      <c r="AO317" s="595"/>
      <c r="AP317" s="595"/>
      <c r="AQ317" s="595"/>
      <c r="AR317" s="595"/>
      <c r="AS317" s="595"/>
      <c r="AT317" s="595"/>
      <c r="AU317" s="595"/>
      <c r="AV317" s="595"/>
      <c r="AW317" s="595"/>
      <c r="AX317" s="595"/>
      <c r="AY317" s="595"/>
      <c r="AZ317" s="595"/>
      <c r="BA317" s="595"/>
      <c r="BB317" s="595"/>
      <c r="BC317" s="595"/>
      <c r="BD317" s="595"/>
      <c r="BE317" s="595"/>
      <c r="BF317" s="595"/>
      <c r="BG317" s="595"/>
      <c r="BH317" s="595"/>
      <c r="BI317" s="595"/>
      <c r="BJ317" s="595"/>
      <c r="BK317" s="595"/>
      <c r="BL317" s="595"/>
      <c r="BM317" s="595"/>
      <c r="BN317" s="595"/>
      <c r="BO317" s="651"/>
      <c r="BP317" s="651"/>
      <c r="BQ317" s="651"/>
      <c r="BR317" s="651"/>
      <c r="BS317" s="651"/>
      <c r="BT317" s="651"/>
    </row>
    <row r="318">
      <c r="A318" s="1360"/>
      <c r="B318" s="584"/>
      <c r="C318" s="540" t="s">
        <v>185</v>
      </c>
      <c r="D318" s="700"/>
      <c r="E318" s="722"/>
      <c r="F318" s="128"/>
      <c r="G318" s="700"/>
      <c r="H318" s="700"/>
      <c r="I318" s="542" t="str">
        <f>+W220</f>
        <v>#REF!</v>
      </c>
      <c r="J318" s="924"/>
      <c r="K318" s="1020"/>
      <c r="L318" s="375" t="str">
        <f>I318/I319</f>
        <v>#REF!</v>
      </c>
      <c r="M318" s="588"/>
      <c r="N318" s="589"/>
      <c r="O318" s="590"/>
      <c r="P318" s="939" t="str">
        <f>IFERROR(__xludf.DUMMYFUNCTION("IF(Q318="""","""",
   IF(Q318=0,0,
      IF(ISNUMBER(MATCH(Q318,FILTER(R$247:R$367,T$247:T$367&lt;&gt;0),0)),1,0)
   )
)"),"")</f>
        <v/>
      </c>
      <c r="Q318" s="941"/>
      <c r="R318" s="929" t="s">
        <v>411</v>
      </c>
      <c r="S318" s="930" t="s">
        <v>55</v>
      </c>
      <c r="T318" s="488">
        <f t="shared" si="177"/>
        <v>0</v>
      </c>
      <c r="U318" s="489">
        <f t="shared" si="158"/>
        <v>4</v>
      </c>
      <c r="V318" s="490" t="str">
        <f t="shared" si="159"/>
        <v>#REF!</v>
      </c>
      <c r="W318" s="491">
        <f>(10/1)*$X$232</f>
        <v>40</v>
      </c>
      <c r="X318" s="489">
        <f t="shared" si="309"/>
        <v>320</v>
      </c>
      <c r="Y318" s="492">
        <f t="shared" si="310"/>
        <v>0</v>
      </c>
      <c r="Z318" s="493" t="str">
        <f t="shared" si="311"/>
        <v>#REF!</v>
      </c>
      <c r="AA318" s="931" t="str">
        <f t="shared" si="312"/>
        <v/>
      </c>
      <c r="AB318" s="925" t="str">
        <f t="shared" si="172"/>
        <v/>
      </c>
      <c r="AC318" s="1441"/>
      <c r="AD318" s="595"/>
      <c r="AE318" s="584"/>
      <c r="AF318" s="595"/>
      <c r="AG318" s="354"/>
      <c r="AH318" s="443"/>
      <c r="AI318" s="595"/>
      <c r="AJ318" s="595"/>
      <c r="AK318" s="595"/>
      <c r="AL318" s="595"/>
      <c r="AM318" s="595"/>
      <c r="AN318" s="584"/>
      <c r="AO318" s="595"/>
      <c r="AP318" s="595"/>
      <c r="AQ318" s="595"/>
      <c r="AR318" s="595"/>
      <c r="AS318" s="595"/>
      <c r="AT318" s="595"/>
      <c r="AU318" s="595"/>
      <c r="AV318" s="595"/>
      <c r="AW318" s="595"/>
      <c r="AX318" s="595"/>
      <c r="AY318" s="595"/>
      <c r="AZ318" s="595"/>
      <c r="BA318" s="595"/>
      <c r="BB318" s="595"/>
      <c r="BC318" s="595"/>
      <c r="BD318" s="595"/>
      <c r="BE318" s="595"/>
      <c r="BF318" s="595"/>
      <c r="BG318" s="595"/>
      <c r="BH318" s="595"/>
      <c r="BI318" s="595"/>
      <c r="BJ318" s="595"/>
      <c r="BK318" s="595"/>
      <c r="BL318" s="595"/>
      <c r="BM318" s="595"/>
      <c r="BN318" s="651"/>
      <c r="BO318" s="651"/>
      <c r="BP318" s="651"/>
      <c r="BQ318" s="651"/>
      <c r="BR318" s="651"/>
      <c r="BS318" s="651"/>
      <c r="BT318" s="651"/>
    </row>
    <row r="319">
      <c r="A319" s="1360"/>
      <c r="B319" s="584"/>
      <c r="C319" s="543" t="s">
        <v>291</v>
      </c>
      <c r="D319" s="1022"/>
      <c r="E319" s="1023"/>
      <c r="F319" s="1024"/>
      <c r="G319" s="1022"/>
      <c r="H319" s="1022"/>
      <c r="I319" s="546" t="str">
        <f>SUM(I317:I318)</f>
        <v>#REF!</v>
      </c>
      <c r="J319" s="1026"/>
      <c r="K319" s="1027"/>
      <c r="L319" s="588"/>
      <c r="M319" s="588"/>
      <c r="N319" s="589"/>
      <c r="O319" s="590"/>
      <c r="P319" s="939" t="str">
        <f>IFERROR(__xludf.DUMMYFUNCTION("IF(Q319="""","""",
   IF(Q319=0,0,
      IF(ISNUMBER(MATCH(Q319,FILTER(R$247:R$367,T$247:T$367&lt;&gt;0),0)),1,0)
   )
)"),"")</f>
        <v/>
      </c>
      <c r="Q319" s="941"/>
      <c r="R319" s="929" t="s">
        <v>412</v>
      </c>
      <c r="S319" s="930" t="s">
        <v>41</v>
      </c>
      <c r="T319" s="488" t="str">
        <f t="shared" si="177"/>
        <v>#REF!</v>
      </c>
      <c r="U319" s="489">
        <f t="shared" si="158"/>
        <v>4</v>
      </c>
      <c r="V319" s="490" t="str">
        <f t="shared" si="159"/>
        <v>#REF!</v>
      </c>
      <c r="W319" s="491">
        <f>(5/1)*$X$232</f>
        <v>20</v>
      </c>
      <c r="X319" s="489">
        <f t="shared" si="309"/>
        <v>160</v>
      </c>
      <c r="Y319" s="492" t="str">
        <f t="shared" si="310"/>
        <v>#REF!</v>
      </c>
      <c r="Z319" s="493" t="str">
        <f t="shared" si="311"/>
        <v>#REF!</v>
      </c>
      <c r="AA319" s="931" t="str">
        <f t="shared" si="312"/>
        <v/>
      </c>
      <c r="AB319" s="925" t="str">
        <f t="shared" si="172"/>
        <v/>
      </c>
      <c r="AC319" s="594"/>
      <c r="AD319" s="595"/>
      <c r="AE319" s="584"/>
      <c r="AF319" s="595"/>
      <c r="AG319" s="354"/>
      <c r="AH319" s="443"/>
      <c r="AI319" s="595"/>
      <c r="AJ319" s="595"/>
      <c r="AK319" s="595"/>
      <c r="AL319" s="595"/>
      <c r="AM319" s="595"/>
      <c r="AN319" s="584"/>
      <c r="AO319" s="595"/>
      <c r="AP319" s="595"/>
      <c r="AQ319" s="595"/>
      <c r="AR319" s="595"/>
      <c r="AS319" s="595"/>
      <c r="AT319" s="595"/>
      <c r="AU319" s="595"/>
      <c r="AV319" s="595"/>
      <c r="AW319" s="595"/>
      <c r="AX319" s="595"/>
      <c r="AY319" s="595"/>
      <c r="AZ319" s="595"/>
      <c r="BA319" s="595"/>
      <c r="BB319" s="595"/>
      <c r="BC319" s="595"/>
      <c r="BD319" s="595"/>
      <c r="BE319" s="595"/>
      <c r="BF319" s="595"/>
      <c r="BG319" s="595"/>
      <c r="BH319" s="595"/>
      <c r="BI319" s="595"/>
      <c r="BJ319" s="595"/>
      <c r="BK319" s="595"/>
      <c r="BL319" s="595"/>
      <c r="BM319" s="651"/>
      <c r="BN319" s="651"/>
      <c r="BO319" s="651"/>
      <c r="BP319" s="651"/>
      <c r="BQ319" s="651"/>
      <c r="BR319" s="651"/>
      <c r="BS319" s="651"/>
      <c r="BT319" s="651"/>
    </row>
    <row r="320">
      <c r="A320" s="1360"/>
      <c r="B320" s="584"/>
      <c r="C320" s="584"/>
      <c r="D320" s="584"/>
      <c r="E320" s="585"/>
      <c r="F320" s="586"/>
      <c r="G320" s="584"/>
      <c r="H320" s="584"/>
      <c r="I320" s="584"/>
      <c r="J320" s="584"/>
      <c r="K320" s="586"/>
      <c r="L320" s="588"/>
      <c r="M320" s="588"/>
      <c r="N320" s="589"/>
      <c r="O320" s="590"/>
      <c r="P320" s="939" t="str">
        <f>IFERROR(__xludf.DUMMYFUNCTION("IF(Q320="""","""",
   IF(Q320=0,0,
      IF(ISNUMBER(MATCH(Q320,FILTER(R$247:R$367,T$247:T$367&lt;&gt;0),0)),1,0)
   )
)"),"")</f>
        <v/>
      </c>
      <c r="Q320" s="941"/>
      <c r="R320" s="929" t="s">
        <v>413</v>
      </c>
      <c r="S320" s="930" t="s">
        <v>52</v>
      </c>
      <c r="T320" s="488" t="str">
        <f t="shared" si="177"/>
        <v>#REF!</v>
      </c>
      <c r="U320" s="489">
        <f t="shared" si="158"/>
        <v>4</v>
      </c>
      <c r="V320" s="490" t="str">
        <f t="shared" si="159"/>
        <v>#REF!</v>
      </c>
      <c r="W320" s="491">
        <f t="shared" ref="W320:W323" si="313">(10/1)*$X$232</f>
        <v>40</v>
      </c>
      <c r="X320" s="489">
        <f t="shared" si="309"/>
        <v>320</v>
      </c>
      <c r="Y320" s="492" t="str">
        <f t="shared" si="310"/>
        <v>#REF!</v>
      </c>
      <c r="Z320" s="493" t="str">
        <f t="shared" si="311"/>
        <v>#REF!</v>
      </c>
      <c r="AA320" s="931" t="str">
        <f t="shared" si="312"/>
        <v/>
      </c>
      <c r="AB320" s="925" t="str">
        <f t="shared" si="172"/>
        <v/>
      </c>
      <c r="AC320" s="594"/>
      <c r="AD320" s="595"/>
      <c r="AE320" s="584"/>
      <c r="AF320" s="595"/>
      <c r="AG320" s="354"/>
      <c r="AH320" s="443"/>
      <c r="AI320" s="595"/>
      <c r="AJ320" s="595"/>
      <c r="AK320" s="595"/>
      <c r="AL320" s="595"/>
      <c r="AM320" s="595"/>
      <c r="AN320" s="584"/>
      <c r="AO320" s="595"/>
      <c r="AP320" s="595"/>
      <c r="AQ320" s="595"/>
      <c r="AR320" s="595"/>
      <c r="AS320" s="595"/>
      <c r="AT320" s="595"/>
      <c r="AU320" s="595"/>
      <c r="AV320" s="595"/>
      <c r="AW320" s="595"/>
      <c r="AX320" s="595"/>
      <c r="AY320" s="595"/>
      <c r="AZ320" s="595"/>
      <c r="BA320" s="595"/>
      <c r="BB320" s="595"/>
      <c r="BC320" s="595"/>
      <c r="BD320" s="595"/>
      <c r="BE320" s="595"/>
      <c r="BF320" s="595"/>
      <c r="BG320" s="595"/>
      <c r="BH320" s="595"/>
      <c r="BI320" s="595"/>
      <c r="BJ320" s="595"/>
      <c r="BK320" s="595"/>
      <c r="BL320" s="595"/>
      <c r="BM320" s="651"/>
      <c r="BN320" s="651"/>
      <c r="BO320" s="651"/>
      <c r="BP320" s="651"/>
      <c r="BQ320" s="651"/>
      <c r="BR320" s="651"/>
      <c r="BS320" s="651"/>
      <c r="BT320" s="651"/>
    </row>
    <row r="321">
      <c r="A321" s="1360"/>
      <c r="B321" s="584"/>
      <c r="C321" s="537" t="s">
        <v>292</v>
      </c>
      <c r="D321" s="700"/>
      <c r="E321" s="722"/>
      <c r="F321" s="128"/>
      <c r="G321" s="700"/>
      <c r="H321" s="700"/>
      <c r="I321" s="1019"/>
      <c r="J321" s="924"/>
      <c r="K321" s="1020"/>
      <c r="L321" s="588"/>
      <c r="M321" s="588"/>
      <c r="N321" s="589"/>
      <c r="O321" s="590"/>
      <c r="P321" s="939" t="str">
        <f>IFERROR(__xludf.DUMMYFUNCTION("IF(Q321="""","""",
   IF(Q321=0,0,
      IF(ISNUMBER(MATCH(Q321,FILTER(R$247:R$367,T$247:T$367&lt;&gt;0),0)),1,0)
   )
)"),"")</f>
        <v/>
      </c>
      <c r="Q321" s="941"/>
      <c r="R321" s="929" t="s">
        <v>414</v>
      </c>
      <c r="S321" s="930" t="s">
        <v>52</v>
      </c>
      <c r="T321" s="488">
        <f t="shared" si="177"/>
        <v>115.1578198</v>
      </c>
      <c r="U321" s="489">
        <f t="shared" si="158"/>
        <v>4</v>
      </c>
      <c r="V321" s="490" t="str">
        <f t="shared" si="159"/>
        <v>#REF!</v>
      </c>
      <c r="W321" s="491">
        <f t="shared" si="313"/>
        <v>40</v>
      </c>
      <c r="X321" s="489">
        <f t="shared" si="309"/>
        <v>320</v>
      </c>
      <c r="Y321" s="492">
        <f t="shared" si="310"/>
        <v>0.36</v>
      </c>
      <c r="Z321" s="493" t="str">
        <f t="shared" si="311"/>
        <v>#REF!</v>
      </c>
      <c r="AA321" s="931" t="str">
        <f t="shared" si="312"/>
        <v/>
      </c>
      <c r="AB321" s="925" t="str">
        <f t="shared" si="172"/>
        <v/>
      </c>
      <c r="AC321" s="594"/>
      <c r="AD321" s="595"/>
      <c r="AE321" s="584"/>
      <c r="AF321" s="595"/>
      <c r="AG321" s="354"/>
      <c r="AH321" s="443"/>
      <c r="AI321" s="595"/>
      <c r="AJ321" s="595"/>
      <c r="AK321" s="595"/>
      <c r="AL321" s="595"/>
      <c r="AM321" s="595"/>
      <c r="AN321" s="584"/>
      <c r="AO321" s="595"/>
      <c r="AP321" s="595"/>
      <c r="AQ321" s="595"/>
      <c r="AR321" s="595"/>
      <c r="AS321" s="595"/>
      <c r="AT321" s="595"/>
      <c r="AU321" s="595"/>
      <c r="AV321" s="595"/>
      <c r="AW321" s="595"/>
      <c r="AX321" s="595"/>
      <c r="AY321" s="595"/>
      <c r="AZ321" s="595"/>
      <c r="BA321" s="595"/>
      <c r="BB321" s="595"/>
      <c r="BC321" s="595"/>
      <c r="BD321" s="595"/>
      <c r="BE321" s="595"/>
      <c r="BF321" s="595"/>
      <c r="BG321" s="595"/>
      <c r="BH321" s="595"/>
      <c r="BI321" s="595"/>
      <c r="BJ321" s="595"/>
      <c r="BK321" s="595"/>
      <c r="BL321" s="595"/>
      <c r="BM321" s="651"/>
      <c r="BN321" s="651"/>
      <c r="BO321" s="651"/>
      <c r="BP321" s="651"/>
      <c r="BQ321" s="651"/>
      <c r="BR321" s="651"/>
      <c r="BS321" s="651"/>
      <c r="BT321" s="651"/>
    </row>
    <row r="322">
      <c r="A322" s="1360"/>
      <c r="B322" s="584"/>
      <c r="C322" s="540" t="str">
        <f>C213</f>
        <v>Pre-mobilisation documents</v>
      </c>
      <c r="D322" s="700"/>
      <c r="E322" s="722"/>
      <c r="F322" s="128"/>
      <c r="G322" s="700"/>
      <c r="H322" s="700"/>
      <c r="I322" s="541">
        <f>N213</f>
        <v>0</v>
      </c>
      <c r="J322" s="924"/>
      <c r="K322" s="1020"/>
      <c r="L322" s="588"/>
      <c r="M322" s="588"/>
      <c r="N322" s="589"/>
      <c r="O322" s="590"/>
      <c r="P322" s="939" t="str">
        <f>IFERROR(__xludf.DUMMYFUNCTION("IF(Q322="""","""",
   IF(Q322=0,0,
      IF(ISNUMBER(MATCH(Q322,FILTER(R$247:R$367,T$247:T$367&lt;&gt;0),0)),1,0)
   )
)"),"")</f>
        <v/>
      </c>
      <c r="Q322" s="941"/>
      <c r="R322" s="929" t="s">
        <v>415</v>
      </c>
      <c r="S322" s="930" t="s">
        <v>55</v>
      </c>
      <c r="T322" s="488">
        <f t="shared" si="177"/>
        <v>52.07136199</v>
      </c>
      <c r="U322" s="489">
        <f t="shared" si="158"/>
        <v>4</v>
      </c>
      <c r="V322" s="490" t="str">
        <f t="shared" si="159"/>
        <v>#REF!</v>
      </c>
      <c r="W322" s="491">
        <f t="shared" si="313"/>
        <v>40</v>
      </c>
      <c r="X322" s="489">
        <f t="shared" si="309"/>
        <v>320</v>
      </c>
      <c r="Y322" s="492">
        <f t="shared" si="310"/>
        <v>0.17</v>
      </c>
      <c r="Z322" s="493" t="str">
        <f t="shared" si="311"/>
        <v>#REF!</v>
      </c>
      <c r="AA322" s="931" t="str">
        <f t="shared" si="312"/>
        <v/>
      </c>
      <c r="AB322" s="925" t="str">
        <f t="shared" si="172"/>
        <v/>
      </c>
      <c r="AC322" s="594"/>
      <c r="AD322" s="595"/>
      <c r="AE322" s="584"/>
      <c r="AF322" s="595"/>
      <c r="AG322" s="354"/>
      <c r="AH322" s="443"/>
      <c r="AI322" s="595"/>
      <c r="AJ322" s="595"/>
      <c r="AK322" s="595"/>
      <c r="AL322" s="595"/>
      <c r="AM322" s="595"/>
      <c r="AN322" s="584"/>
      <c r="AO322" s="595"/>
      <c r="AP322" s="595"/>
      <c r="AQ322" s="595"/>
      <c r="AR322" s="595"/>
      <c r="AS322" s="595"/>
      <c r="AT322" s="595"/>
      <c r="AU322" s="595"/>
      <c r="AV322" s="595"/>
      <c r="AW322" s="595"/>
      <c r="AX322" s="595"/>
      <c r="AY322" s="595"/>
      <c r="AZ322" s="595"/>
      <c r="BA322" s="595"/>
      <c r="BB322" s="595"/>
      <c r="BC322" s="595"/>
      <c r="BD322" s="595"/>
      <c r="BE322" s="595"/>
      <c r="BF322" s="595"/>
      <c r="BG322" s="595"/>
      <c r="BH322" s="595"/>
      <c r="BI322" s="595"/>
      <c r="BJ322" s="595"/>
      <c r="BK322" s="595"/>
      <c r="BL322" s="595"/>
      <c r="BM322" s="651"/>
      <c r="BN322" s="651"/>
      <c r="BO322" s="651"/>
      <c r="BP322" s="651"/>
      <c r="BQ322" s="651"/>
      <c r="BR322" s="651"/>
      <c r="BS322" s="651"/>
      <c r="BT322" s="651"/>
    </row>
    <row r="323">
      <c r="A323" s="1360"/>
      <c r="B323" s="584"/>
      <c r="C323" s="540" t="str">
        <f>C221</f>
        <v>Site Measure &amp; Order Materials</v>
      </c>
      <c r="D323" s="700"/>
      <c r="E323" s="722"/>
      <c r="F323" s="128"/>
      <c r="G323" s="700"/>
      <c r="H323" s="700"/>
      <c r="I323" s="541" t="str">
        <f>N221</f>
        <v>#REF!</v>
      </c>
      <c r="J323" s="924"/>
      <c r="K323" s="1020"/>
      <c r="L323" s="588"/>
      <c r="M323" s="588"/>
      <c r="N323" s="589"/>
      <c r="O323" s="590"/>
      <c r="P323" s="939" t="str">
        <f>IFERROR(__xludf.DUMMYFUNCTION("IF(Q323="""","""",
   IF(Q323=0,0,
      IF(ISNUMBER(MATCH(Q323,FILTER(R$247:R$367,T$247:T$367&lt;&gt;0),0)),1,0)
   )
)"),"")</f>
        <v/>
      </c>
      <c r="Q323" s="941"/>
      <c r="R323" s="929" t="s">
        <v>416</v>
      </c>
      <c r="S323" s="930" t="s">
        <v>52</v>
      </c>
      <c r="T323" s="488">
        <f t="shared" si="177"/>
        <v>193.2648628</v>
      </c>
      <c r="U323" s="489">
        <f t="shared" si="158"/>
        <v>4</v>
      </c>
      <c r="V323" s="490" t="str">
        <f t="shared" si="159"/>
        <v>#REF!</v>
      </c>
      <c r="W323" s="491">
        <f t="shared" si="313"/>
        <v>40</v>
      </c>
      <c r="X323" s="489">
        <f t="shared" si="309"/>
        <v>320</v>
      </c>
      <c r="Y323" s="492">
        <f t="shared" si="310"/>
        <v>0.61</v>
      </c>
      <c r="Z323" s="493" t="str">
        <f t="shared" si="311"/>
        <v>#REF!</v>
      </c>
      <c r="AA323" s="931" t="str">
        <f t="shared" si="312"/>
        <v/>
      </c>
      <c r="AB323" s="925" t="str">
        <f t="shared" si="172"/>
        <v/>
      </c>
      <c r="AC323" s="594"/>
      <c r="AD323" s="595"/>
      <c r="AE323" s="584"/>
      <c r="AF323" s="595"/>
      <c r="AG323" s="354"/>
      <c r="AH323" s="443"/>
      <c r="AI323" s="595"/>
      <c r="AJ323" s="595"/>
      <c r="AK323" s="595"/>
      <c r="AL323" s="595"/>
      <c r="AM323" s="595"/>
      <c r="AN323" s="584"/>
      <c r="AO323" s="595"/>
      <c r="AP323" s="595"/>
      <c r="AQ323" s="595"/>
      <c r="AR323" s="595"/>
      <c r="AS323" s="595"/>
      <c r="AT323" s="595"/>
      <c r="AU323" s="595"/>
      <c r="AV323" s="595"/>
      <c r="AW323" s="595"/>
      <c r="AX323" s="595"/>
      <c r="AY323" s="595"/>
      <c r="AZ323" s="595"/>
      <c r="BA323" s="595"/>
      <c r="BB323" s="595"/>
      <c r="BC323" s="595"/>
      <c r="BD323" s="595"/>
      <c r="BE323" s="595"/>
      <c r="BF323" s="595"/>
      <c r="BG323" s="595"/>
      <c r="BH323" s="595"/>
      <c r="BI323" s="595"/>
      <c r="BJ323" s="595"/>
      <c r="BK323" s="595"/>
      <c r="BL323" s="595"/>
      <c r="BM323" s="651"/>
      <c r="BN323" s="651"/>
      <c r="BO323" s="651"/>
      <c r="BP323" s="651"/>
      <c r="BQ323" s="651"/>
      <c r="BR323" s="651"/>
      <c r="BS323" s="651"/>
      <c r="BT323" s="651"/>
    </row>
    <row r="324">
      <c r="A324" s="1360"/>
      <c r="B324" s="584"/>
      <c r="C324" s="540" t="str">
        <f>C227</f>
        <v>Freight materials to site</v>
      </c>
      <c r="D324" s="700"/>
      <c r="E324" s="722"/>
      <c r="F324" s="128"/>
      <c r="G324" s="700"/>
      <c r="H324" s="700"/>
      <c r="I324" s="541">
        <f>N227</f>
        <v>1800</v>
      </c>
      <c r="J324" s="924"/>
      <c r="K324" s="1020"/>
      <c r="L324" s="588"/>
      <c r="M324" s="588"/>
      <c r="N324" s="589"/>
      <c r="O324" s="590"/>
      <c r="P324" s="939" t="str">
        <f>IFERROR(__xludf.DUMMYFUNCTION("IF(Q324="""","""",
   IF(Q324=0,0,
      IF(ISNUMBER(MATCH(Q324,FILTER(R$247:R$367,T$247:T$367&lt;&gt;0),0)),1,0)
   )
)"),"")</f>
        <v/>
      </c>
      <c r="Q324" s="941"/>
      <c r="R324" s="929" t="s">
        <v>107</v>
      </c>
      <c r="S324" s="930" t="s">
        <v>55</v>
      </c>
      <c r="T324" s="488">
        <f t="shared" si="177"/>
        <v>2.09</v>
      </c>
      <c r="U324" s="489">
        <f t="shared" si="158"/>
        <v>4</v>
      </c>
      <c r="V324" s="490" t="str">
        <f t="shared" si="159"/>
        <v>#REF!</v>
      </c>
      <c r="W324" s="491">
        <f>(15/1)*$X$232</f>
        <v>60</v>
      </c>
      <c r="X324" s="489">
        <f t="shared" si="309"/>
        <v>480</v>
      </c>
      <c r="Y324" s="492">
        <f t="shared" si="310"/>
        <v>0.01</v>
      </c>
      <c r="Z324" s="493" t="str">
        <f t="shared" si="311"/>
        <v>#REF!</v>
      </c>
      <c r="AA324" s="931" t="str">
        <f t="shared" si="312"/>
        <v/>
      </c>
      <c r="AB324" s="925" t="str">
        <f t="shared" si="172"/>
        <v/>
      </c>
      <c r="AC324" s="594"/>
      <c r="AD324" s="595"/>
      <c r="AE324" s="584"/>
      <c r="AF324" s="595"/>
      <c r="AG324" s="354"/>
      <c r="AH324" s="443"/>
      <c r="AI324" s="595"/>
      <c r="AJ324" s="595"/>
      <c r="AK324" s="595"/>
      <c r="AL324" s="595"/>
      <c r="AM324" s="595"/>
      <c r="AN324" s="584"/>
      <c r="AO324" s="595"/>
      <c r="AP324" s="595"/>
      <c r="AQ324" s="595"/>
      <c r="AR324" s="595"/>
      <c r="AS324" s="595"/>
      <c r="AT324" s="595"/>
      <c r="AU324" s="595"/>
      <c r="AV324" s="595"/>
      <c r="AW324" s="595"/>
      <c r="AX324" s="595"/>
      <c r="AY324" s="595"/>
      <c r="AZ324" s="595"/>
      <c r="BA324" s="595"/>
      <c r="BB324" s="595"/>
      <c r="BC324" s="595"/>
      <c r="BD324" s="595"/>
      <c r="BE324" s="595"/>
      <c r="BF324" s="595"/>
      <c r="BG324" s="595"/>
      <c r="BH324" s="595"/>
      <c r="BI324" s="595"/>
      <c r="BJ324" s="595"/>
      <c r="BK324" s="595"/>
      <c r="BL324" s="595"/>
      <c r="BM324" s="651"/>
      <c r="BN324" s="651"/>
      <c r="BO324" s="651"/>
      <c r="BP324" s="651"/>
      <c r="BQ324" s="651"/>
      <c r="BR324" s="651"/>
      <c r="BS324" s="651"/>
      <c r="BT324" s="651"/>
    </row>
    <row r="325">
      <c r="A325" s="1360"/>
      <c r="B325" s="584"/>
      <c r="C325" s="540" t="str">
        <f>C237</f>
        <v>Samples, warranties, maintenance manuals</v>
      </c>
      <c r="D325" s="700"/>
      <c r="E325" s="722"/>
      <c r="F325" s="128"/>
      <c r="G325" s="700"/>
      <c r="H325" s="700"/>
      <c r="I325" s="541">
        <f>N237</f>
        <v>0</v>
      </c>
      <c r="J325" s="924"/>
      <c r="K325" s="1020"/>
      <c r="L325" s="588"/>
      <c r="M325" s="588"/>
      <c r="N325" s="589"/>
      <c r="O325" s="590"/>
      <c r="P325" s="939" t="str">
        <f>IFERROR(__xludf.DUMMYFUNCTION("IF(Q325="""","""",
   IF(Q325=0,0,
      IF(ISNUMBER(MATCH(Q325,FILTER(R$247:R$367,T$247:T$367&lt;&gt;0),0)),1,0)
   )
)"),"")</f>
        <v/>
      </c>
      <c r="Q325" s="941"/>
      <c r="R325" s="929" t="s">
        <v>417</v>
      </c>
      <c r="S325" s="930" t="s">
        <v>52</v>
      </c>
      <c r="T325" s="488">
        <f t="shared" si="177"/>
        <v>0</v>
      </c>
      <c r="U325" s="489">
        <f t="shared" si="158"/>
        <v>4</v>
      </c>
      <c r="V325" s="490" t="str">
        <f t="shared" si="159"/>
        <v>#REF!</v>
      </c>
      <c r="W325" s="491">
        <f t="shared" ref="W325:W326" si="314">(10/1)*$X$232</f>
        <v>40</v>
      </c>
      <c r="X325" s="489">
        <f t="shared" si="309"/>
        <v>320</v>
      </c>
      <c r="Y325" s="492">
        <f t="shared" si="310"/>
        <v>0</v>
      </c>
      <c r="Z325" s="493" t="str">
        <f t="shared" si="311"/>
        <v>#REF!</v>
      </c>
      <c r="AA325" s="931" t="str">
        <f t="shared" si="312"/>
        <v/>
      </c>
      <c r="AB325" s="925" t="str">
        <f t="shared" si="172"/>
        <v/>
      </c>
      <c r="AC325" s="594"/>
      <c r="AD325" s="595"/>
      <c r="AE325" s="584"/>
      <c r="AF325" s="595"/>
      <c r="AG325" s="354"/>
      <c r="AH325" s="443"/>
      <c r="AI325" s="595"/>
      <c r="AJ325" s="595"/>
      <c r="AK325" s="595"/>
      <c r="AL325" s="595"/>
      <c r="AM325" s="595"/>
      <c r="AN325" s="584"/>
      <c r="AO325" s="595"/>
      <c r="AP325" s="595"/>
      <c r="AQ325" s="595"/>
      <c r="AR325" s="595"/>
      <c r="AS325" s="595"/>
      <c r="AT325" s="595"/>
      <c r="AU325" s="595"/>
      <c r="AV325" s="595"/>
      <c r="AW325" s="595"/>
      <c r="AX325" s="595"/>
      <c r="AY325" s="595"/>
      <c r="AZ325" s="595"/>
      <c r="BA325" s="595"/>
      <c r="BB325" s="595"/>
      <c r="BC325" s="595"/>
      <c r="BD325" s="595"/>
      <c r="BE325" s="595"/>
      <c r="BF325" s="595"/>
      <c r="BG325" s="595"/>
      <c r="BH325" s="595"/>
      <c r="BI325" s="595"/>
      <c r="BJ325" s="595"/>
      <c r="BK325" s="595"/>
      <c r="BL325" s="595"/>
      <c r="BM325" s="651"/>
      <c r="BN325" s="651"/>
      <c r="BO325" s="651"/>
      <c r="BP325" s="651"/>
      <c r="BQ325" s="651"/>
      <c r="BR325" s="651"/>
      <c r="BS325" s="651"/>
      <c r="BT325" s="651"/>
    </row>
    <row r="326">
      <c r="A326" s="1360"/>
      <c r="B326" s="584"/>
      <c r="C326" s="540" t="str">
        <f>C242</f>
        <v>Site IndUCtions, PPE and safety meetings</v>
      </c>
      <c r="D326" s="700"/>
      <c r="E326" s="722"/>
      <c r="F326" s="128"/>
      <c r="G326" s="700"/>
      <c r="H326" s="700"/>
      <c r="I326" s="541">
        <f>N242</f>
        <v>0</v>
      </c>
      <c r="J326" s="924"/>
      <c r="K326" s="1020"/>
      <c r="L326" s="588"/>
      <c r="M326" s="588"/>
      <c r="N326" s="589"/>
      <c r="O326" s="590"/>
      <c r="P326" s="939" t="str">
        <f>IFERROR(__xludf.DUMMYFUNCTION("IF(Q326="""","""",
   IF(Q326=0,0,
      IF(ISNUMBER(MATCH(Q326,FILTER(R$247:R$367,T$247:T$367&lt;&gt;0),0)),1,0)
   )
)"),"")</f>
        <v/>
      </c>
      <c r="Q326" s="941"/>
      <c r="R326" s="929" t="s">
        <v>418</v>
      </c>
      <c r="S326" s="930" t="s">
        <v>52</v>
      </c>
      <c r="T326" s="488">
        <f t="shared" si="177"/>
        <v>0</v>
      </c>
      <c r="U326" s="489">
        <f t="shared" si="158"/>
        <v>4</v>
      </c>
      <c r="V326" s="490" t="str">
        <f t="shared" si="159"/>
        <v>#REF!</v>
      </c>
      <c r="W326" s="491">
        <f t="shared" si="314"/>
        <v>40</v>
      </c>
      <c r="X326" s="489">
        <f t="shared" si="309"/>
        <v>320</v>
      </c>
      <c r="Y326" s="492">
        <f t="shared" si="310"/>
        <v>0</v>
      </c>
      <c r="Z326" s="493" t="str">
        <f t="shared" si="311"/>
        <v>#REF!</v>
      </c>
      <c r="AA326" s="931" t="str">
        <f t="shared" si="312"/>
        <v/>
      </c>
      <c r="AB326" s="925" t="str">
        <f t="shared" si="172"/>
        <v/>
      </c>
      <c r="AC326" s="594"/>
      <c r="AD326" s="595"/>
      <c r="AE326" s="584"/>
      <c r="AF326" s="595"/>
      <c r="AG326" s="354"/>
      <c r="AH326" s="443"/>
      <c r="AI326" s="595"/>
      <c r="AJ326" s="595"/>
      <c r="AK326" s="595"/>
      <c r="AL326" s="595"/>
      <c r="AM326" s="595"/>
      <c r="AN326" s="584"/>
      <c r="AO326" s="595"/>
      <c r="AP326" s="595"/>
      <c r="AQ326" s="595"/>
      <c r="AR326" s="595"/>
      <c r="AS326" s="595"/>
      <c r="AT326" s="595"/>
      <c r="AU326" s="595"/>
      <c r="AV326" s="595"/>
      <c r="AW326" s="595"/>
      <c r="AX326" s="595"/>
      <c r="AY326" s="595"/>
      <c r="AZ326" s="595"/>
      <c r="BA326" s="595"/>
      <c r="BB326" s="595"/>
      <c r="BC326" s="595"/>
      <c r="BD326" s="595"/>
      <c r="BE326" s="595"/>
      <c r="BF326" s="595"/>
      <c r="BG326" s="595"/>
      <c r="BH326" s="595"/>
      <c r="BI326" s="595"/>
      <c r="BJ326" s="595"/>
      <c r="BK326" s="595"/>
      <c r="BL326" s="595"/>
      <c r="BM326" s="651"/>
      <c r="BN326" s="651"/>
      <c r="BO326" s="651"/>
      <c r="BP326" s="651"/>
      <c r="BQ326" s="651"/>
      <c r="BR326" s="651"/>
      <c r="BS326" s="651"/>
      <c r="BT326" s="651"/>
    </row>
    <row r="327">
      <c r="A327" s="1360"/>
      <c r="B327" s="584"/>
      <c r="C327" s="540" t="str">
        <f>C248</f>
        <v>Administration</v>
      </c>
      <c r="D327" s="700"/>
      <c r="E327" s="722"/>
      <c r="F327" s="128"/>
      <c r="G327" s="700"/>
      <c r="H327" s="700"/>
      <c r="I327" s="541" t="str">
        <f>N248</f>
        <v>#REF!</v>
      </c>
      <c r="J327" s="924"/>
      <c r="K327" s="1020"/>
      <c r="L327" s="588"/>
      <c r="M327" s="588"/>
      <c r="N327" s="589"/>
      <c r="O327" s="590"/>
      <c r="P327" s="939" t="str">
        <f>IFERROR(__xludf.DUMMYFUNCTION("IF(Q327="""","""",
   IF(Q327=0,0,
      IF(ISNUMBER(MATCH(Q327,FILTER(R$247:R$367,T$247:T$367&lt;&gt;0),0)),1,0)
   )
)"),"")</f>
        <v/>
      </c>
      <c r="Q327" s="941"/>
      <c r="R327" s="929" t="s">
        <v>82</v>
      </c>
      <c r="S327" s="930" t="s">
        <v>41</v>
      </c>
      <c r="T327" s="488" t="str">
        <f t="shared" si="177"/>
        <v>#REF!</v>
      </c>
      <c r="U327" s="489">
        <f t="shared" si="158"/>
        <v>4</v>
      </c>
      <c r="V327" s="490" t="str">
        <f t="shared" si="159"/>
        <v>#REF!</v>
      </c>
      <c r="W327" s="491">
        <f>(50/4)*$X$232</f>
        <v>50</v>
      </c>
      <c r="X327" s="489">
        <f t="shared" si="309"/>
        <v>400</v>
      </c>
      <c r="Y327" s="492" t="str">
        <f t="shared" si="310"/>
        <v>#REF!</v>
      </c>
      <c r="Z327" s="493" t="str">
        <f t="shared" si="311"/>
        <v>#REF!</v>
      </c>
      <c r="AA327" s="931" t="str">
        <f t="shared" si="312"/>
        <v/>
      </c>
      <c r="AB327" s="925" t="str">
        <f t="shared" si="172"/>
        <v/>
      </c>
      <c r="AC327" s="594"/>
      <c r="AD327" s="595"/>
      <c r="AE327" s="584"/>
      <c r="AF327" s="595"/>
      <c r="AG327" s="354"/>
      <c r="AH327" s="443"/>
      <c r="AI327" s="595"/>
      <c r="AJ327" s="595"/>
      <c r="AK327" s="595"/>
      <c r="AL327" s="595"/>
      <c r="AM327" s="595"/>
      <c r="AN327" s="584"/>
      <c r="AO327" s="595"/>
      <c r="AP327" s="595"/>
      <c r="AQ327" s="595"/>
      <c r="AR327" s="595"/>
      <c r="AS327" s="595"/>
      <c r="AT327" s="595"/>
      <c r="AU327" s="595"/>
      <c r="AV327" s="595"/>
      <c r="AW327" s="595"/>
      <c r="AX327" s="595"/>
      <c r="AY327" s="595"/>
      <c r="AZ327" s="595"/>
      <c r="BA327" s="595"/>
      <c r="BB327" s="595"/>
      <c r="BC327" s="595"/>
      <c r="BD327" s="595"/>
      <c r="BE327" s="595"/>
      <c r="BF327" s="595"/>
      <c r="BG327" s="595"/>
      <c r="BH327" s="595"/>
      <c r="BI327" s="595"/>
      <c r="BJ327" s="595"/>
      <c r="BK327" s="595"/>
      <c r="BL327" s="595"/>
      <c r="BM327" s="651"/>
      <c r="BN327" s="651"/>
      <c r="BO327" s="651"/>
      <c r="BP327" s="651"/>
      <c r="BQ327" s="651"/>
      <c r="BR327" s="651"/>
      <c r="BS327" s="651"/>
      <c r="BT327" s="651"/>
    </row>
    <row r="328">
      <c r="A328" s="1360"/>
      <c r="B328" s="584"/>
      <c r="C328" s="540" t="str">
        <f>C254</f>
        <v>Site Prelims</v>
      </c>
      <c r="D328" s="700"/>
      <c r="E328" s="722"/>
      <c r="F328" s="128"/>
      <c r="G328" s="700"/>
      <c r="H328" s="700"/>
      <c r="I328" s="541" t="str">
        <f>N254</f>
        <v>#REF!</v>
      </c>
      <c r="J328" s="924"/>
      <c r="K328" s="1020"/>
      <c r="L328" s="588"/>
      <c r="M328" s="588"/>
      <c r="N328" s="589"/>
      <c r="O328" s="590"/>
      <c r="P328" s="939" t="str">
        <f>IFERROR(__xludf.DUMMYFUNCTION("IF(Q328="""","""",
   IF(Q328=0,0,
      IF(ISNUMBER(MATCH(Q328,FILTER(R$247:R$367,T$247:T$367&lt;&gt;0),0)),1,0)
   )
)"),"")</f>
        <v/>
      </c>
      <c r="Q328" s="941"/>
      <c r="R328" s="929" t="s">
        <v>86</v>
      </c>
      <c r="S328" s="930" t="s">
        <v>52</v>
      </c>
      <c r="T328" s="488" t="str">
        <f t="shared" si="177"/>
        <v>#REF!</v>
      </c>
      <c r="U328" s="489">
        <f t="shared" si="158"/>
        <v>4</v>
      </c>
      <c r="V328" s="490" t="str">
        <f t="shared" si="159"/>
        <v>#REF!</v>
      </c>
      <c r="W328" s="491"/>
      <c r="X328" s="489"/>
      <c r="Y328" s="492"/>
      <c r="Z328" s="493"/>
      <c r="AA328" s="931"/>
      <c r="AB328" s="925" t="str">
        <f t="shared" si="172"/>
        <v/>
      </c>
      <c r="AC328" s="594"/>
      <c r="AD328" s="595"/>
      <c r="AE328" s="584"/>
      <c r="AF328" s="595"/>
      <c r="AG328" s="354"/>
      <c r="AH328" s="443"/>
      <c r="AI328" s="595"/>
      <c r="AJ328" s="595"/>
      <c r="AK328" s="595"/>
      <c r="AL328" s="595"/>
      <c r="AM328" s="595"/>
      <c r="AN328" s="584"/>
      <c r="AO328" s="595"/>
      <c r="AP328" s="595"/>
      <c r="AQ328" s="595"/>
      <c r="AR328" s="595"/>
      <c r="AS328" s="595"/>
      <c r="AT328" s="595"/>
      <c r="AU328" s="595"/>
      <c r="AV328" s="595"/>
      <c r="AW328" s="595"/>
      <c r="AX328" s="595"/>
      <c r="AY328" s="595"/>
      <c r="AZ328" s="595"/>
      <c r="BA328" s="595"/>
      <c r="BB328" s="595"/>
      <c r="BC328" s="595"/>
      <c r="BD328" s="595"/>
      <c r="BE328" s="595"/>
      <c r="BF328" s="595"/>
      <c r="BG328" s="595"/>
      <c r="BH328" s="595"/>
      <c r="BI328" s="595"/>
      <c r="BJ328" s="595"/>
      <c r="BK328" s="595"/>
      <c r="BL328" s="595"/>
      <c r="BM328" s="651"/>
      <c r="BN328" s="651"/>
      <c r="BO328" s="651"/>
      <c r="BP328" s="651"/>
      <c r="BQ328" s="651"/>
      <c r="BR328" s="651"/>
      <c r="BS328" s="651"/>
      <c r="BT328" s="651"/>
    </row>
    <row r="329">
      <c r="A329" s="1360"/>
      <c r="B329" s="584"/>
      <c r="C329" s="540" t="str">
        <f>C266</f>
        <v>Crane/Dogman/Handlift </v>
      </c>
      <c r="D329" s="700"/>
      <c r="E329" s="722"/>
      <c r="F329" s="128"/>
      <c r="G329" s="700"/>
      <c r="H329" s="700"/>
      <c r="I329" s="556">
        <f>N266</f>
        <v>0</v>
      </c>
      <c r="J329" s="924"/>
      <c r="K329" s="1020"/>
      <c r="L329" s="588"/>
      <c r="M329" s="588"/>
      <c r="N329" s="589"/>
      <c r="O329" s="590"/>
      <c r="P329" s="939" t="str">
        <f>IFERROR(__xludf.DUMMYFUNCTION("IF(Q329="""","""",
   IF(Q329=0,0,
      IF(ISNUMBER(MATCH(Q329,FILTER(R$247:R$367,T$247:T$367&lt;&gt;0),0)),1,0)
   )
)"),"")</f>
        <v/>
      </c>
      <c r="Q329" s="941"/>
      <c r="R329" s="929" t="s">
        <v>419</v>
      </c>
      <c r="S329" s="930" t="s">
        <v>55</v>
      </c>
      <c r="T329" s="488">
        <f t="shared" si="177"/>
        <v>0</v>
      </c>
      <c r="U329" s="489">
        <f t="shared" si="158"/>
        <v>4</v>
      </c>
      <c r="V329" s="490" t="str">
        <f t="shared" si="159"/>
        <v>#REF!</v>
      </c>
      <c r="W329" s="491">
        <f>(10/1)*$X$232</f>
        <v>40</v>
      </c>
      <c r="X329" s="489">
        <f t="shared" ref="X329:X332" si="315">W329*W$242</f>
        <v>320</v>
      </c>
      <c r="Y329" s="492">
        <f t="shared" ref="Y329:Y332" si="316">ROUNDUP(T329/X329,2)</f>
        <v>0</v>
      </c>
      <c r="Z329" s="493" t="str">
        <f t="shared" ref="Z329:Z332" si="317">Y329*V329*U329*W$242</f>
        <v>#REF!</v>
      </c>
      <c r="AA329" s="931" t="str">
        <f t="shared" ref="AA329:AA332" si="318">iferror(Z329/T329,"")</f>
        <v/>
      </c>
      <c r="AB329" s="925" t="str">
        <f t="shared" si="172"/>
        <v/>
      </c>
      <c r="AC329" s="594"/>
      <c r="AD329" s="595"/>
      <c r="AE329" s="584"/>
      <c r="AF329" s="595"/>
      <c r="AG329" s="354"/>
      <c r="AH329" s="443"/>
      <c r="AI329" s="595"/>
      <c r="AJ329" s="595"/>
      <c r="AK329" s="595"/>
      <c r="AL329" s="595"/>
      <c r="AM329" s="595"/>
      <c r="AN329" s="584"/>
      <c r="AO329" s="595"/>
      <c r="AP329" s="595"/>
      <c r="AQ329" s="595"/>
      <c r="AR329" s="595"/>
      <c r="AS329" s="595"/>
      <c r="AT329" s="595"/>
      <c r="AU329" s="595"/>
      <c r="AV329" s="595"/>
      <c r="AW329" s="595"/>
      <c r="AX329" s="595"/>
      <c r="AY329" s="595"/>
      <c r="AZ329" s="595"/>
      <c r="BA329" s="595"/>
      <c r="BB329" s="595"/>
      <c r="BC329" s="595"/>
      <c r="BD329" s="595"/>
      <c r="BE329" s="595"/>
      <c r="BF329" s="595"/>
      <c r="BG329" s="595"/>
      <c r="BH329" s="595"/>
      <c r="BI329" s="595"/>
      <c r="BJ329" s="595"/>
      <c r="BK329" s="595"/>
      <c r="BL329" s="595"/>
      <c r="BM329" s="651"/>
      <c r="BN329" s="651"/>
      <c r="BO329" s="651"/>
      <c r="BP329" s="651"/>
      <c r="BQ329" s="651"/>
      <c r="BR329" s="651"/>
      <c r="BS329" s="651"/>
      <c r="BT329" s="651"/>
    </row>
    <row r="330">
      <c r="A330" s="1360"/>
      <c r="B330" s="584"/>
      <c r="C330" s="540" t="str">
        <f>C282</f>
        <v>Access Machine</v>
      </c>
      <c r="D330" s="700"/>
      <c r="E330" s="722"/>
      <c r="F330" s="128"/>
      <c r="G330" s="700"/>
      <c r="H330" s="700"/>
      <c r="I330" s="556" t="str">
        <f>N282</f>
        <v>#REF!</v>
      </c>
      <c r="J330" s="936"/>
      <c r="K330" s="1020"/>
      <c r="L330" s="588"/>
      <c r="M330" s="588"/>
      <c r="N330" s="589"/>
      <c r="O330" s="950"/>
      <c r="P330" s="939" t="str">
        <f>IFERROR(__xludf.DUMMYFUNCTION("IF(Q330="""","""",
   IF(Q330=0,0,
      IF(ISNUMBER(MATCH(Q330,FILTER(R$247:R$367,T$247:T$367&lt;&gt;0),0)),1,0)
   )
)"),"")</f>
        <v/>
      </c>
      <c r="Q330" s="941"/>
      <c r="R330" s="929" t="s">
        <v>420</v>
      </c>
      <c r="S330" s="930" t="s">
        <v>55</v>
      </c>
      <c r="T330" s="488">
        <f t="shared" si="177"/>
        <v>0</v>
      </c>
      <c r="U330" s="489">
        <f t="shared" si="158"/>
        <v>4</v>
      </c>
      <c r="V330" s="490" t="str">
        <f t="shared" si="159"/>
        <v>#REF!</v>
      </c>
      <c r="W330" s="491">
        <f>(5/1)*$X$232</f>
        <v>20</v>
      </c>
      <c r="X330" s="489">
        <f t="shared" si="315"/>
        <v>160</v>
      </c>
      <c r="Y330" s="492">
        <f t="shared" si="316"/>
        <v>0</v>
      </c>
      <c r="Z330" s="493" t="str">
        <f t="shared" si="317"/>
        <v>#REF!</v>
      </c>
      <c r="AA330" s="931" t="str">
        <f t="shared" si="318"/>
        <v/>
      </c>
      <c r="AB330" s="925" t="str">
        <f t="shared" si="172"/>
        <v/>
      </c>
      <c r="AC330" s="594"/>
      <c r="AD330" s="595"/>
      <c r="AE330" s="584"/>
      <c r="AF330" s="595"/>
      <c r="AG330" s="354"/>
      <c r="AH330" s="443"/>
      <c r="AI330" s="595"/>
      <c r="AJ330" s="595"/>
      <c r="AK330" s="595"/>
      <c r="AL330" s="595"/>
      <c r="AM330" s="595"/>
      <c r="AN330" s="584"/>
      <c r="AO330" s="595"/>
      <c r="AP330" s="595"/>
      <c r="AQ330" s="595"/>
      <c r="AR330" s="595"/>
      <c r="AS330" s="595"/>
      <c r="AT330" s="595"/>
      <c r="AU330" s="595"/>
      <c r="AV330" s="595"/>
      <c r="AW330" s="595"/>
      <c r="AX330" s="595"/>
      <c r="AY330" s="595"/>
      <c r="AZ330" s="595"/>
      <c r="BA330" s="595"/>
      <c r="BB330" s="595"/>
      <c r="BC330" s="595"/>
      <c r="BD330" s="595"/>
      <c r="BE330" s="595"/>
      <c r="BF330" s="595"/>
      <c r="BG330" s="595"/>
      <c r="BH330" s="595"/>
      <c r="BI330" s="595"/>
      <c r="BJ330" s="595"/>
      <c r="BK330" s="595"/>
      <c r="BL330" s="595"/>
      <c r="BM330" s="651"/>
      <c r="BN330" s="651"/>
      <c r="BO330" s="651"/>
      <c r="BP330" s="651"/>
      <c r="BQ330" s="651"/>
      <c r="BR330" s="651"/>
      <c r="BS330" s="651"/>
      <c r="BT330" s="651"/>
    </row>
    <row r="331">
      <c r="A331" s="1360"/>
      <c r="B331" s="584"/>
      <c r="C331" s="700"/>
      <c r="D331" s="700"/>
      <c r="E331" s="722"/>
      <c r="F331" s="128"/>
      <c r="G331" s="700"/>
      <c r="H331" s="700"/>
      <c r="I331" s="691"/>
      <c r="J331" s="924"/>
      <c r="K331" s="1020"/>
      <c r="L331" s="588"/>
      <c r="M331" s="588"/>
      <c r="N331" s="589"/>
      <c r="O331" s="950"/>
      <c r="P331" s="939" t="str">
        <f>IFERROR(__xludf.DUMMYFUNCTION("IF(Q331="""","""",
   IF(Q331=0,0,
      IF(ISNUMBER(MATCH(Q331,FILTER(R$247:R$367,T$247:T$367&lt;&gt;0),0)),1,0)
   )
)"),"")</f>
        <v/>
      </c>
      <c r="Q331" s="941"/>
      <c r="R331" s="929" t="s">
        <v>421</v>
      </c>
      <c r="S331" s="930" t="s">
        <v>52</v>
      </c>
      <c r="T331" s="488">
        <f t="shared" si="177"/>
        <v>0</v>
      </c>
      <c r="U331" s="489">
        <f t="shared" si="158"/>
        <v>4</v>
      </c>
      <c r="V331" s="490" t="str">
        <f t="shared" si="159"/>
        <v>#REF!</v>
      </c>
      <c r="W331" s="491">
        <f>(10/1)*$X$232</f>
        <v>40</v>
      </c>
      <c r="X331" s="489">
        <f t="shared" si="315"/>
        <v>320</v>
      </c>
      <c r="Y331" s="492">
        <f t="shared" si="316"/>
        <v>0</v>
      </c>
      <c r="Z331" s="493" t="str">
        <f t="shared" si="317"/>
        <v>#REF!</v>
      </c>
      <c r="AA331" s="931" t="str">
        <f t="shared" si="318"/>
        <v/>
      </c>
      <c r="AB331" s="925" t="str">
        <f t="shared" si="172"/>
        <v/>
      </c>
      <c r="AC331" s="594"/>
      <c r="AD331" s="595"/>
      <c r="AE331" s="584"/>
      <c r="AF331" s="595"/>
      <c r="AG331" s="354"/>
      <c r="AH331" s="443"/>
      <c r="AI331" s="595"/>
      <c r="AJ331" s="595"/>
      <c r="AK331" s="595"/>
      <c r="AL331" s="595"/>
      <c r="AM331" s="595"/>
      <c r="AN331" s="584"/>
      <c r="AO331" s="595"/>
      <c r="AP331" s="595"/>
      <c r="AQ331" s="595"/>
      <c r="AR331" s="595"/>
      <c r="AS331" s="595"/>
      <c r="AT331" s="595"/>
      <c r="AU331" s="595"/>
      <c r="AV331" s="595"/>
      <c r="AW331" s="595"/>
      <c r="AX331" s="595"/>
      <c r="AY331" s="595"/>
      <c r="AZ331" s="595"/>
      <c r="BA331" s="595"/>
      <c r="BB331" s="595"/>
      <c r="BC331" s="595"/>
      <c r="BD331" s="595"/>
      <c r="BE331" s="595"/>
      <c r="BF331" s="595"/>
      <c r="BG331" s="595"/>
      <c r="BH331" s="595"/>
      <c r="BI331" s="595"/>
      <c r="BJ331" s="595"/>
      <c r="BK331" s="595"/>
      <c r="BL331" s="595"/>
      <c r="BM331" s="651"/>
      <c r="BN331" s="651"/>
      <c r="BO331" s="651"/>
      <c r="BP331" s="651"/>
      <c r="BQ331" s="651"/>
      <c r="BR331" s="651"/>
      <c r="BS331" s="651"/>
      <c r="BT331" s="651"/>
    </row>
    <row r="332">
      <c r="A332" s="1360"/>
      <c r="B332" s="584"/>
      <c r="C332" s="540" t="s">
        <v>284</v>
      </c>
      <c r="D332" s="700"/>
      <c r="E332" s="722"/>
      <c r="F332" s="128"/>
      <c r="G332" s="700"/>
      <c r="H332" s="700"/>
      <c r="I332" s="542" t="str">
        <f>N305</f>
        <v>#REF!</v>
      </c>
      <c r="J332" s="936" t="str">
        <f>L305</f>
        <v/>
      </c>
      <c r="K332" s="1020"/>
      <c r="L332" s="588"/>
      <c r="M332" s="588"/>
      <c r="N332" s="589"/>
      <c r="O332" s="950"/>
      <c r="P332" s="939" t="str">
        <f>IFERROR(__xludf.DUMMYFUNCTION("IF(Q332="""","""",
   IF(Q332=0,0,
      IF(ISNUMBER(MATCH(Q332,FILTER(R$247:R$367,T$247:T$367&lt;&gt;0),0)),1,0)
   )
)"),"")</f>
        <v/>
      </c>
      <c r="Q332" s="941"/>
      <c r="R332" s="942" t="s">
        <v>1250</v>
      </c>
      <c r="S332" s="932" t="s">
        <v>52</v>
      </c>
      <c r="T332" s="488">
        <f t="shared" si="177"/>
        <v>0</v>
      </c>
      <c r="U332" s="489">
        <f t="shared" si="158"/>
        <v>4</v>
      </c>
      <c r="V332" s="490" t="str">
        <f t="shared" si="159"/>
        <v>#REF!</v>
      </c>
      <c r="W332" s="491">
        <f>(40/4)*$X$232</f>
        <v>40</v>
      </c>
      <c r="X332" s="489">
        <f t="shared" si="315"/>
        <v>320</v>
      </c>
      <c r="Y332" s="492">
        <f t="shared" si="316"/>
        <v>0</v>
      </c>
      <c r="Z332" s="493" t="str">
        <f t="shared" si="317"/>
        <v>#REF!</v>
      </c>
      <c r="AA332" s="931" t="str">
        <f t="shared" si="318"/>
        <v/>
      </c>
      <c r="AB332" s="925" t="str">
        <f t="shared" si="172"/>
        <v/>
      </c>
      <c r="AC332" s="594"/>
      <c r="AD332" s="595"/>
      <c r="AE332" s="584"/>
      <c r="AF332" s="595"/>
      <c r="AG332" s="354"/>
      <c r="AH332" s="443"/>
      <c r="AI332" s="595"/>
      <c r="AJ332" s="595"/>
      <c r="AK332" s="595"/>
      <c r="AL332" s="595"/>
      <c r="AM332" s="595"/>
      <c r="AN332" s="584"/>
      <c r="AO332" s="595"/>
      <c r="AP332" s="595"/>
      <c r="AQ332" s="595"/>
      <c r="AR332" s="595"/>
      <c r="AS332" s="595"/>
      <c r="AT332" s="595"/>
      <c r="AU332" s="595"/>
      <c r="AV332" s="595"/>
      <c r="AW332" s="595"/>
      <c r="AX332" s="595"/>
      <c r="AY332" s="595"/>
      <c r="AZ332" s="595"/>
      <c r="BA332" s="595"/>
      <c r="BB332" s="595"/>
      <c r="BC332" s="595"/>
      <c r="BD332" s="595"/>
      <c r="BE332" s="595"/>
      <c r="BF332" s="595"/>
      <c r="BG332" s="595"/>
      <c r="BH332" s="595"/>
      <c r="BI332" s="595"/>
      <c r="BJ332" s="595"/>
      <c r="BK332" s="595"/>
      <c r="BL332" s="595"/>
      <c r="BM332" s="651"/>
      <c r="BN332" s="651"/>
      <c r="BO332" s="651"/>
      <c r="BP332" s="651"/>
      <c r="BQ332" s="651"/>
      <c r="BR332" s="651"/>
      <c r="BS332" s="651"/>
      <c r="BT332" s="651"/>
    </row>
    <row r="333">
      <c r="A333" s="1360"/>
      <c r="B333" s="584"/>
      <c r="C333" s="543" t="s">
        <v>293</v>
      </c>
      <c r="D333" s="1022"/>
      <c r="E333" s="1023"/>
      <c r="F333" s="1024"/>
      <c r="G333" s="1022"/>
      <c r="H333" s="1022"/>
      <c r="I333" s="546" t="str">
        <f>SUM(I322:I332)</f>
        <v>#REF!</v>
      </c>
      <c r="J333" s="1026"/>
      <c r="K333" s="1027"/>
      <c r="L333" s="375" t="str">
        <f>I333/I319</f>
        <v>#REF!</v>
      </c>
      <c r="M333" s="588"/>
      <c r="N333" s="589"/>
      <c r="O333" s="950"/>
      <c r="P333" s="939" t="str">
        <f>IFERROR(__xludf.DUMMYFUNCTION("IF(Q333="""","""",
   IF(Q333=0,0,
      IF(ISNUMBER(MATCH(Q333,FILTER(R$247:R$367,T$247:T$367&lt;&gt;0),0)),1,0)
   )
)"),"")</f>
        <v/>
      </c>
      <c r="Q333" s="941"/>
      <c r="R333" s="942" t="s">
        <v>1251</v>
      </c>
      <c r="S333" s="932" t="s">
        <v>52</v>
      </c>
      <c r="T333" s="488">
        <f t="shared" si="177"/>
        <v>0</v>
      </c>
      <c r="U333" s="489">
        <f t="shared" si="158"/>
        <v>4</v>
      </c>
      <c r="V333" s="490" t="str">
        <f t="shared" si="159"/>
        <v>#REF!</v>
      </c>
      <c r="W333" s="491"/>
      <c r="X333" s="489"/>
      <c r="Y333" s="492"/>
      <c r="Z333" s="493"/>
      <c r="AA333" s="931"/>
      <c r="AB333" s="925" t="str">
        <f t="shared" si="172"/>
        <v/>
      </c>
      <c r="AC333" s="594"/>
      <c r="AD333" s="595"/>
      <c r="AE333" s="584"/>
      <c r="AF333" s="595"/>
      <c r="AG333" s="354"/>
      <c r="AH333" s="443"/>
      <c r="AI333" s="595"/>
      <c r="AJ333" s="595"/>
      <c r="AK333" s="595"/>
      <c r="AL333" s="595"/>
      <c r="AM333" s="595"/>
      <c r="AN333" s="584"/>
      <c r="AO333" s="595"/>
      <c r="AP333" s="595"/>
      <c r="AQ333" s="595"/>
      <c r="AR333" s="595"/>
      <c r="AS333" s="595"/>
      <c r="AT333" s="595"/>
      <c r="AU333" s="595"/>
      <c r="AV333" s="595"/>
      <c r="AW333" s="595"/>
      <c r="AX333" s="595"/>
      <c r="AY333" s="595"/>
      <c r="AZ333" s="595"/>
      <c r="BA333" s="595"/>
      <c r="BB333" s="595"/>
      <c r="BC333" s="595"/>
      <c r="BD333" s="595"/>
      <c r="BE333" s="595"/>
      <c r="BF333" s="595"/>
      <c r="BG333" s="595"/>
      <c r="BH333" s="595"/>
      <c r="BI333" s="595"/>
      <c r="BJ333" s="595"/>
      <c r="BK333" s="595"/>
      <c r="BL333" s="595"/>
      <c r="BM333" s="651"/>
      <c r="BN333" s="651"/>
      <c r="BO333" s="651"/>
      <c r="BP333" s="651"/>
      <c r="BQ333" s="651"/>
      <c r="BR333" s="651"/>
      <c r="BS333" s="651"/>
      <c r="BT333" s="651"/>
    </row>
    <row r="334">
      <c r="A334" s="1360"/>
      <c r="B334" s="584"/>
      <c r="C334" s="584"/>
      <c r="D334" s="584"/>
      <c r="E334" s="585"/>
      <c r="F334" s="586"/>
      <c r="G334" s="584"/>
      <c r="H334" s="584"/>
      <c r="I334" s="584"/>
      <c r="J334" s="584"/>
      <c r="K334" s="586"/>
      <c r="L334" s="588"/>
      <c r="M334" s="588"/>
      <c r="N334" s="589"/>
      <c r="O334" s="950"/>
      <c r="P334" s="939" t="str">
        <f>IFERROR(__xludf.DUMMYFUNCTION("IF(Q334="""","""",
   IF(Q334=0,0,
      IF(ISNUMBER(MATCH(Q334,FILTER(R$247:R$367,T$247:T$367&lt;&gt;0),0)),1,0)
   )
)"),"")</f>
        <v/>
      </c>
      <c r="Q334" s="941"/>
      <c r="R334" s="942" t="s">
        <v>1252</v>
      </c>
      <c r="S334" s="930" t="s">
        <v>52</v>
      </c>
      <c r="T334" s="488">
        <f t="shared" si="177"/>
        <v>0</v>
      </c>
      <c r="U334" s="489">
        <f t="shared" si="158"/>
        <v>4</v>
      </c>
      <c r="V334" s="490" t="str">
        <f t="shared" si="159"/>
        <v>#REF!</v>
      </c>
      <c r="W334" s="491">
        <f>(20/1)*$X$232</f>
        <v>80</v>
      </c>
      <c r="X334" s="489">
        <f t="shared" ref="X334:X339" si="319">W334*W$242</f>
        <v>640</v>
      </c>
      <c r="Y334" s="492">
        <f t="shared" ref="Y334:Y339" si="320">ROUNDUP(T334/X334,2)</f>
        <v>0</v>
      </c>
      <c r="Z334" s="493" t="str">
        <f t="shared" ref="Z334:Z339" si="321">Y334*V334*U334*W$242</f>
        <v>#REF!</v>
      </c>
      <c r="AA334" s="931" t="str">
        <f t="shared" ref="AA334:AA339" si="322">iferror(Z334/T334,"")</f>
        <v/>
      </c>
      <c r="AB334" s="925" t="str">
        <f t="shared" si="172"/>
        <v/>
      </c>
      <c r="AC334" s="594"/>
      <c r="AD334" s="595"/>
      <c r="AE334" s="584"/>
      <c r="AF334" s="595"/>
      <c r="AG334" s="354"/>
      <c r="AH334" s="443"/>
      <c r="AI334" s="595"/>
      <c r="AJ334" s="595"/>
      <c r="AK334" s="595"/>
      <c r="AL334" s="595"/>
      <c r="AM334" s="595"/>
      <c r="AN334" s="584"/>
      <c r="AO334" s="595"/>
      <c r="AP334" s="595"/>
      <c r="AQ334" s="595"/>
      <c r="AR334" s="595"/>
      <c r="AS334" s="595"/>
      <c r="AT334" s="595"/>
      <c r="AU334" s="595"/>
      <c r="AV334" s="595"/>
      <c r="AW334" s="595"/>
      <c r="AX334" s="595"/>
      <c r="AY334" s="595"/>
      <c r="AZ334" s="595"/>
      <c r="BA334" s="595"/>
      <c r="BB334" s="595"/>
      <c r="BC334" s="595"/>
      <c r="BD334" s="595"/>
      <c r="BE334" s="595"/>
      <c r="BF334" s="595"/>
      <c r="BG334" s="595"/>
      <c r="BH334" s="595"/>
      <c r="BI334" s="595"/>
      <c r="BJ334" s="595"/>
      <c r="BK334" s="595"/>
      <c r="BL334" s="595"/>
      <c r="BM334" s="651"/>
      <c r="BN334" s="651"/>
      <c r="BO334" s="651"/>
      <c r="BP334" s="651"/>
      <c r="BQ334" s="651"/>
      <c r="BR334" s="651"/>
      <c r="BS334" s="651"/>
      <c r="BT334" s="651"/>
    </row>
    <row r="335">
      <c r="A335" s="1360"/>
      <c r="B335" s="584"/>
      <c r="C335" s="537" t="s">
        <v>294</v>
      </c>
      <c r="D335" s="700"/>
      <c r="E335" s="722"/>
      <c r="F335" s="128"/>
      <c r="G335" s="700"/>
      <c r="H335" s="700"/>
      <c r="I335" s="691"/>
      <c r="J335" s="924"/>
      <c r="K335" s="1020"/>
      <c r="L335" s="588"/>
      <c r="M335" s="588"/>
      <c r="N335" s="589"/>
      <c r="O335" s="950"/>
      <c r="P335" s="939" t="str">
        <f>IFERROR(__xludf.DUMMYFUNCTION("IF(Q335="""","""",
   IF(Q335=0,0,
      IF(ISNUMBER(MATCH(Q335,FILTER(R$247:R$367,T$247:T$367&lt;&gt;0),0)),1,0)
   )
)"),"")</f>
        <v/>
      </c>
      <c r="Q335" s="941"/>
      <c r="R335" s="942" t="s">
        <v>1253</v>
      </c>
      <c r="S335" s="930" t="s">
        <v>52</v>
      </c>
      <c r="T335" s="488">
        <f t="shared" si="177"/>
        <v>0</v>
      </c>
      <c r="U335" s="489">
        <f t="shared" si="158"/>
        <v>4</v>
      </c>
      <c r="V335" s="490" t="str">
        <f t="shared" si="159"/>
        <v>#REF!</v>
      </c>
      <c r="W335" s="491">
        <f>(15/1)*$X$232</f>
        <v>60</v>
      </c>
      <c r="X335" s="489">
        <f t="shared" si="319"/>
        <v>480</v>
      </c>
      <c r="Y335" s="492">
        <f t="shared" si="320"/>
        <v>0</v>
      </c>
      <c r="Z335" s="493" t="str">
        <f t="shared" si="321"/>
        <v>#REF!</v>
      </c>
      <c r="AA335" s="931" t="str">
        <f t="shared" si="322"/>
        <v/>
      </c>
      <c r="AB335" s="925" t="str">
        <f t="shared" si="172"/>
        <v/>
      </c>
      <c r="AC335" s="594"/>
      <c r="AD335" s="595"/>
      <c r="AE335" s="584"/>
      <c r="AF335" s="595"/>
      <c r="AG335" s="354"/>
      <c r="AH335" s="443"/>
      <c r="AI335" s="595"/>
      <c r="AJ335" s="595"/>
      <c r="AK335" s="595"/>
      <c r="AL335" s="595"/>
      <c r="AM335" s="595"/>
      <c r="AN335" s="584"/>
      <c r="AO335" s="595"/>
      <c r="AP335" s="595"/>
      <c r="AQ335" s="595"/>
      <c r="AR335" s="595"/>
      <c r="AS335" s="595"/>
      <c r="AT335" s="595"/>
      <c r="AU335" s="595"/>
      <c r="AV335" s="595"/>
      <c r="AW335" s="595"/>
      <c r="AX335" s="595"/>
      <c r="AY335" s="595"/>
      <c r="AZ335" s="595"/>
      <c r="BA335" s="595"/>
      <c r="BB335" s="595"/>
      <c r="BC335" s="595"/>
      <c r="BD335" s="595"/>
      <c r="BE335" s="595"/>
      <c r="BF335" s="595"/>
      <c r="BG335" s="595"/>
      <c r="BH335" s="595"/>
      <c r="BI335" s="595"/>
      <c r="BJ335" s="595"/>
      <c r="BK335" s="595"/>
      <c r="BL335" s="595"/>
      <c r="BM335" s="651"/>
      <c r="BN335" s="651"/>
      <c r="BO335" s="651"/>
      <c r="BP335" s="651"/>
      <c r="BQ335" s="651"/>
      <c r="BR335" s="651"/>
      <c r="BS335" s="651"/>
      <c r="BT335" s="651"/>
    </row>
    <row r="336">
      <c r="A336" s="1360"/>
      <c r="B336" s="584"/>
      <c r="C336" s="1028">
        <v>0.23</v>
      </c>
      <c r="D336" s="1029"/>
      <c r="E336" s="722"/>
      <c r="F336" s="1030"/>
      <c r="G336" s="1029"/>
      <c r="H336" s="1029"/>
      <c r="I336" s="559" t="str">
        <f>C336*I319</f>
        <v>#REF!</v>
      </c>
      <c r="J336" s="924"/>
      <c r="K336" s="1020"/>
      <c r="L336" s="588"/>
      <c r="M336" s="588"/>
      <c r="N336" s="589"/>
      <c r="O336" s="950"/>
      <c r="P336" s="939" t="str">
        <f>IFERROR(__xludf.DUMMYFUNCTION("IF(Q336="""","""",
   IF(Q336=0,0,
      IF(ISNUMBER(MATCH(Q336,FILTER(R$247:R$367,T$247:T$367&lt;&gt;0),0)),1,0)
   )
)"),"")</f>
        <v/>
      </c>
      <c r="Q336" s="941"/>
      <c r="R336" s="942" t="s">
        <v>1254</v>
      </c>
      <c r="S336" s="930" t="s">
        <v>41</v>
      </c>
      <c r="T336" s="488">
        <f t="shared" si="177"/>
        <v>0</v>
      </c>
      <c r="U336" s="489">
        <f t="shared" si="158"/>
        <v>4</v>
      </c>
      <c r="V336" s="490" t="str">
        <f t="shared" si="159"/>
        <v>#REF!</v>
      </c>
      <c r="W336" s="491">
        <f t="shared" ref="W336:W338" si="323">(90/3)*$X$232</f>
        <v>120</v>
      </c>
      <c r="X336" s="489">
        <f t="shared" si="319"/>
        <v>960</v>
      </c>
      <c r="Y336" s="492">
        <f t="shared" si="320"/>
        <v>0</v>
      </c>
      <c r="Z336" s="493" t="str">
        <f t="shared" si="321"/>
        <v>#REF!</v>
      </c>
      <c r="AA336" s="931" t="str">
        <f t="shared" si="322"/>
        <v/>
      </c>
      <c r="AB336" s="925" t="str">
        <f t="shared" si="172"/>
        <v/>
      </c>
      <c r="AC336" s="594"/>
      <c r="AD336" s="595"/>
      <c r="AE336" s="584"/>
      <c r="AF336" s="595"/>
      <c r="AG336" s="354"/>
      <c r="AH336" s="443"/>
      <c r="AI336" s="595"/>
      <c r="AJ336" s="595"/>
      <c r="AK336" s="595"/>
      <c r="AL336" s="595"/>
      <c r="AM336" s="595"/>
      <c r="AN336" s="584"/>
      <c r="AO336" s="595"/>
      <c r="AP336" s="595"/>
      <c r="AQ336" s="595"/>
      <c r="AR336" s="595"/>
      <c r="AS336" s="595"/>
      <c r="AT336" s="595"/>
      <c r="AU336" s="595"/>
      <c r="AV336" s="595"/>
      <c r="AW336" s="595"/>
      <c r="AX336" s="595"/>
      <c r="AY336" s="595"/>
      <c r="AZ336" s="595"/>
      <c r="BA336" s="595"/>
      <c r="BB336" s="595"/>
      <c r="BC336" s="595"/>
      <c r="BD336" s="595"/>
      <c r="BE336" s="595"/>
      <c r="BF336" s="595"/>
      <c r="BG336" s="595"/>
      <c r="BH336" s="595"/>
      <c r="BI336" s="595"/>
      <c r="BJ336" s="595"/>
      <c r="BK336" s="595"/>
      <c r="BL336" s="595"/>
      <c r="BM336" s="651"/>
      <c r="BN336" s="651"/>
      <c r="BO336" s="651"/>
      <c r="BP336" s="651"/>
      <c r="BQ336" s="651"/>
      <c r="BR336" s="651"/>
      <c r="BS336" s="651"/>
      <c r="BT336" s="651"/>
    </row>
    <row r="337">
      <c r="A337" s="1360"/>
      <c r="B337" s="584"/>
      <c r="C337" s="584"/>
      <c r="D337" s="584"/>
      <c r="E337" s="585"/>
      <c r="F337" s="586"/>
      <c r="G337" s="584"/>
      <c r="H337" s="584"/>
      <c r="I337" s="584"/>
      <c r="J337" s="584"/>
      <c r="K337" s="586"/>
      <c r="L337" s="588"/>
      <c r="M337" s="588"/>
      <c r="N337" s="589"/>
      <c r="O337" s="950"/>
      <c r="P337" s="939" t="str">
        <f>IFERROR(__xludf.DUMMYFUNCTION("IF(Q337="""","""",
   IF(Q337=0,0,
      IF(ISNUMBER(MATCH(Q337,FILTER(R$247:R$367,T$247:T$367&lt;&gt;0),0)),1,0)
   )
)"),"")</f>
        <v/>
      </c>
      <c r="Q337" s="941"/>
      <c r="R337" s="942" t="s">
        <v>1255</v>
      </c>
      <c r="S337" s="930"/>
      <c r="T337" s="488">
        <f t="shared" si="177"/>
        <v>0</v>
      </c>
      <c r="U337" s="489">
        <f t="shared" si="158"/>
        <v>4</v>
      </c>
      <c r="V337" s="490" t="str">
        <f t="shared" si="159"/>
        <v>#REF!</v>
      </c>
      <c r="W337" s="491">
        <f t="shared" si="323"/>
        <v>120</v>
      </c>
      <c r="X337" s="489">
        <f t="shared" si="319"/>
        <v>960</v>
      </c>
      <c r="Y337" s="492">
        <f t="shared" si="320"/>
        <v>0</v>
      </c>
      <c r="Z337" s="493" t="str">
        <f t="shared" si="321"/>
        <v>#REF!</v>
      </c>
      <c r="AA337" s="931" t="str">
        <f t="shared" si="322"/>
        <v/>
      </c>
      <c r="AB337" s="925" t="str">
        <f t="shared" si="172"/>
        <v/>
      </c>
      <c r="AC337" s="594"/>
      <c r="AD337" s="595"/>
      <c r="AE337" s="584"/>
      <c r="AF337" s="595"/>
      <c r="AG337" s="354"/>
      <c r="AH337" s="443"/>
      <c r="AI337" s="595"/>
      <c r="AJ337" s="595"/>
      <c r="AK337" s="595"/>
      <c r="AL337" s="595"/>
      <c r="AM337" s="595"/>
      <c r="AN337" s="584"/>
      <c r="AO337" s="595"/>
      <c r="AP337" s="595"/>
      <c r="AQ337" s="595"/>
      <c r="AR337" s="595"/>
      <c r="AS337" s="595"/>
      <c r="AT337" s="595"/>
      <c r="AU337" s="595"/>
      <c r="AV337" s="595"/>
      <c r="AW337" s="595"/>
      <c r="AX337" s="595"/>
      <c r="AY337" s="595"/>
      <c r="AZ337" s="595"/>
      <c r="BA337" s="595"/>
      <c r="BB337" s="595"/>
      <c r="BC337" s="595"/>
      <c r="BD337" s="595"/>
      <c r="BE337" s="595"/>
      <c r="BF337" s="595"/>
      <c r="BG337" s="595"/>
      <c r="BH337" s="595"/>
      <c r="BI337" s="595"/>
      <c r="BJ337" s="595"/>
      <c r="BK337" s="595"/>
      <c r="BL337" s="595"/>
      <c r="BM337" s="651"/>
      <c r="BN337" s="651"/>
      <c r="BO337" s="651"/>
      <c r="BP337" s="651"/>
      <c r="BQ337" s="651"/>
      <c r="BR337" s="651"/>
      <c r="BS337" s="651"/>
      <c r="BT337" s="651"/>
    </row>
    <row r="338">
      <c r="A338" s="1360"/>
      <c r="B338" s="584"/>
      <c r="C338" s="560" t="s">
        <v>295</v>
      </c>
      <c r="D338" s="1032"/>
      <c r="E338" s="1033"/>
      <c r="F338" s="1034"/>
      <c r="G338" s="1032"/>
      <c r="H338" s="1032"/>
      <c r="I338" s="563" t="str">
        <f>+I336+I333+I319</f>
        <v>#REF!</v>
      </c>
      <c r="J338" s="1032"/>
      <c r="K338" s="1034"/>
      <c r="L338" s="588"/>
      <c r="M338" s="588"/>
      <c r="N338" s="589"/>
      <c r="O338" s="950"/>
      <c r="P338" s="939" t="str">
        <f>IFERROR(__xludf.DUMMYFUNCTION("IF(Q338="""","""",
   IF(Q338=0,0,
      IF(ISNUMBER(MATCH(Q338,FILTER(R$247:R$367,T$247:T$367&lt;&gt;0),0)),1,0)
   )
)"),"")</f>
        <v/>
      </c>
      <c r="Q338" s="941"/>
      <c r="R338" s="942" t="s">
        <v>1256</v>
      </c>
      <c r="S338" s="930"/>
      <c r="T338" s="488">
        <f t="shared" si="177"/>
        <v>0</v>
      </c>
      <c r="U338" s="489">
        <f t="shared" si="158"/>
        <v>4</v>
      </c>
      <c r="V338" s="490" t="str">
        <f t="shared" si="159"/>
        <v>#REF!</v>
      </c>
      <c r="W338" s="491">
        <f t="shared" si="323"/>
        <v>120</v>
      </c>
      <c r="X338" s="489">
        <f t="shared" si="319"/>
        <v>960</v>
      </c>
      <c r="Y338" s="492">
        <f t="shared" si="320"/>
        <v>0</v>
      </c>
      <c r="Z338" s="493" t="str">
        <f t="shared" si="321"/>
        <v>#REF!</v>
      </c>
      <c r="AA338" s="931" t="str">
        <f t="shared" si="322"/>
        <v/>
      </c>
      <c r="AB338" s="925" t="str">
        <f t="shared" si="172"/>
        <v/>
      </c>
      <c r="AC338" s="594"/>
      <c r="AD338" s="595"/>
      <c r="AE338" s="584"/>
      <c r="AF338" s="595"/>
      <c r="AG338" s="354"/>
      <c r="AH338" s="443"/>
      <c r="AI338" s="595"/>
      <c r="AJ338" s="595"/>
      <c r="AK338" s="595"/>
      <c r="AL338" s="595"/>
      <c r="AM338" s="595"/>
      <c r="AN338" s="584"/>
      <c r="AO338" s="595"/>
      <c r="AP338" s="595"/>
      <c r="AQ338" s="595"/>
      <c r="AR338" s="595"/>
      <c r="AS338" s="595"/>
      <c r="AT338" s="595"/>
      <c r="AU338" s="595"/>
      <c r="AV338" s="595"/>
      <c r="AW338" s="595"/>
      <c r="AX338" s="595"/>
      <c r="AY338" s="595"/>
      <c r="AZ338" s="595"/>
      <c r="BA338" s="595"/>
      <c r="BB338" s="595"/>
      <c r="BC338" s="595"/>
      <c r="BD338" s="595"/>
      <c r="BE338" s="595"/>
      <c r="BF338" s="595"/>
      <c r="BG338" s="595"/>
      <c r="BH338" s="595"/>
      <c r="BI338" s="595"/>
      <c r="BJ338" s="595"/>
      <c r="BK338" s="595"/>
      <c r="BL338" s="595"/>
      <c r="BM338" s="651"/>
      <c r="BN338" s="651"/>
      <c r="BO338" s="651"/>
      <c r="BP338" s="651"/>
      <c r="BQ338" s="651"/>
      <c r="BR338" s="651"/>
      <c r="BS338" s="651"/>
      <c r="BT338" s="651"/>
    </row>
    <row r="339">
      <c r="A339" s="1360"/>
      <c r="B339" s="584"/>
      <c r="C339" s="584"/>
      <c r="D339" s="584"/>
      <c r="E339" s="585"/>
      <c r="F339" s="586"/>
      <c r="G339" s="584"/>
      <c r="H339" s="584"/>
      <c r="I339" s="584"/>
      <c r="J339" s="584"/>
      <c r="K339" s="586"/>
      <c r="L339" s="588"/>
      <c r="M339" s="588"/>
      <c r="N339" s="589"/>
      <c r="O339" s="950"/>
      <c r="P339" s="939" t="str">
        <f>IFERROR(__xludf.DUMMYFUNCTION("IF(Q339="""","""",
   IF(Q339=0,0,
      IF(ISNUMBER(MATCH(Q339,FILTER(R$247:R$367,T$247:T$367&lt;&gt;0),0)),1,0)
   )
)"),"")</f>
        <v/>
      </c>
      <c r="Q339" s="941"/>
      <c r="R339" s="942" t="s">
        <v>1257</v>
      </c>
      <c r="S339" s="930"/>
      <c r="T339" s="488">
        <f t="shared" si="177"/>
        <v>0</v>
      </c>
      <c r="U339" s="489">
        <f t="shared" si="158"/>
        <v>4</v>
      </c>
      <c r="V339" s="490" t="str">
        <f t="shared" si="159"/>
        <v>#REF!</v>
      </c>
      <c r="W339" s="491">
        <f>(40/4)*$X$232</f>
        <v>40</v>
      </c>
      <c r="X339" s="489">
        <f t="shared" si="319"/>
        <v>320</v>
      </c>
      <c r="Y339" s="492">
        <f t="shared" si="320"/>
        <v>0</v>
      </c>
      <c r="Z339" s="493" t="str">
        <f t="shared" si="321"/>
        <v>#REF!</v>
      </c>
      <c r="AA339" s="931" t="str">
        <f t="shared" si="322"/>
        <v/>
      </c>
      <c r="AB339" s="925" t="str">
        <f t="shared" si="172"/>
        <v/>
      </c>
      <c r="AC339" s="594"/>
      <c r="AD339" s="595"/>
      <c r="AE339" s="584"/>
      <c r="AF339" s="595"/>
      <c r="AG339" s="354"/>
      <c r="AH339" s="443"/>
      <c r="AI339" s="595"/>
      <c r="AJ339" s="595"/>
      <c r="AK339" s="595"/>
      <c r="AL339" s="595"/>
      <c r="AM339" s="595"/>
      <c r="AN339" s="584"/>
      <c r="AO339" s="595"/>
      <c r="AP339" s="595"/>
      <c r="AQ339" s="595"/>
      <c r="AR339" s="595"/>
      <c r="AS339" s="595"/>
      <c r="AT339" s="595"/>
      <c r="AU339" s="595"/>
      <c r="AV339" s="595"/>
      <c r="AW339" s="595"/>
      <c r="AX339" s="595"/>
      <c r="AY339" s="595"/>
      <c r="AZ339" s="595"/>
      <c r="BA339" s="595"/>
      <c r="BB339" s="595"/>
      <c r="BC339" s="595"/>
      <c r="BD339" s="595"/>
      <c r="BE339" s="595"/>
      <c r="BF339" s="595"/>
      <c r="BG339" s="595"/>
      <c r="BH339" s="595"/>
      <c r="BI339" s="595"/>
      <c r="BJ339" s="595"/>
      <c r="BK339" s="595"/>
      <c r="BL339" s="651"/>
      <c r="BM339" s="651"/>
      <c r="BN339" s="651"/>
      <c r="BO339" s="651"/>
      <c r="BP339" s="651"/>
      <c r="BQ339" s="651"/>
      <c r="BR339" s="651"/>
      <c r="BS339" s="651"/>
      <c r="BT339" s="651"/>
    </row>
    <row r="340">
      <c r="A340" s="1360"/>
      <c r="B340" s="584"/>
      <c r="C340" s="584"/>
      <c r="D340" s="584"/>
      <c r="E340" s="585"/>
      <c r="F340" s="586"/>
      <c r="G340" s="584"/>
      <c r="H340" s="584"/>
      <c r="I340" s="443"/>
      <c r="J340" s="443"/>
      <c r="K340" s="354"/>
      <c r="L340" s="588"/>
      <c r="M340" s="588"/>
      <c r="N340" s="589"/>
      <c r="O340" s="950"/>
      <c r="P340" s="939" t="str">
        <f>IFERROR(__xludf.DUMMYFUNCTION("IF(Q340="""","""",
   IF(Q340=0,0,
      IF(ISNUMBER(MATCH(Q340,FILTER(R$247:R$367,T$247:T$367&lt;&gt;0),0)),1,0)
   )
)"),"")</f>
        <v/>
      </c>
      <c r="Q340" s="941"/>
      <c r="R340" s="942" t="s">
        <v>1258</v>
      </c>
      <c r="S340" s="930"/>
      <c r="T340" s="488">
        <f t="shared" si="177"/>
        <v>0</v>
      </c>
      <c r="U340" s="489">
        <f t="shared" si="158"/>
        <v>4</v>
      </c>
      <c r="V340" s="490" t="str">
        <f t="shared" si="159"/>
        <v>#REF!</v>
      </c>
      <c r="W340" s="491"/>
      <c r="X340" s="489"/>
      <c r="Y340" s="492"/>
      <c r="Z340" s="493"/>
      <c r="AA340" s="931"/>
      <c r="AB340" s="925" t="str">
        <f t="shared" si="172"/>
        <v/>
      </c>
      <c r="AC340" s="594"/>
      <c r="AD340" s="595"/>
      <c r="AE340" s="584"/>
      <c r="AF340" s="595"/>
      <c r="AG340" s="354"/>
      <c r="AH340" s="443"/>
      <c r="AI340" s="595"/>
      <c r="AJ340" s="595"/>
      <c r="AK340" s="595"/>
      <c r="AL340" s="595"/>
      <c r="AM340" s="595"/>
      <c r="AN340" s="584"/>
      <c r="AO340" s="595"/>
      <c r="AP340" s="595"/>
      <c r="AQ340" s="595"/>
      <c r="AR340" s="595"/>
      <c r="AS340" s="595"/>
      <c r="AT340" s="595"/>
      <c r="AU340" s="595"/>
      <c r="AV340" s="595"/>
      <c r="AW340" s="595"/>
      <c r="AX340" s="595"/>
      <c r="AY340" s="595"/>
      <c r="AZ340" s="595"/>
      <c r="BA340" s="595"/>
      <c r="BB340" s="595"/>
      <c r="BC340" s="595"/>
      <c r="BD340" s="595"/>
      <c r="BE340" s="595"/>
      <c r="BF340" s="595"/>
      <c r="BG340" s="595"/>
      <c r="BH340" s="595"/>
      <c r="BI340" s="595"/>
      <c r="BJ340" s="595"/>
      <c r="BK340" s="595"/>
      <c r="BL340" s="651"/>
      <c r="BM340" s="651"/>
      <c r="BN340" s="651"/>
      <c r="BO340" s="651"/>
      <c r="BP340" s="651"/>
      <c r="BQ340" s="651"/>
      <c r="BR340" s="651"/>
      <c r="BS340" s="651"/>
      <c r="BT340" s="651"/>
    </row>
    <row r="341">
      <c r="A341" s="1360"/>
      <c r="B341" s="584"/>
      <c r="C341" s="564" t="s">
        <v>290</v>
      </c>
      <c r="D341" s="1019"/>
      <c r="E341" s="722"/>
      <c r="F341" s="1036"/>
      <c r="G341" s="1019"/>
      <c r="H341" s="1019"/>
      <c r="I341" s="152" t="str">
        <f>I317</f>
        <v>#REF!</v>
      </c>
      <c r="J341" s="565" t="str">
        <f>I341/I346</f>
        <v>#REF!</v>
      </c>
      <c r="K341" s="466" t="str">
        <f t="shared" ref="K341:K345" si="324">I341/$I$348</f>
        <v>#REF!</v>
      </c>
      <c r="L341" s="588"/>
      <c r="M341" s="588"/>
      <c r="N341" s="589"/>
      <c r="O341" s="950"/>
      <c r="P341" s="939" t="str">
        <f>IFERROR(__xludf.DUMMYFUNCTION("IF(Q341="""","""",
   IF(Q341=0,0,
      IF(ISNUMBER(MATCH(Q341,FILTER(R$247:R$367,T$247:T$367&lt;&gt;0),0)),1,0)
   )
)"),"")</f>
        <v/>
      </c>
      <c r="Q341" s="941"/>
      <c r="R341" s="942" t="s">
        <v>1259</v>
      </c>
      <c r="S341" s="930"/>
      <c r="T341" s="488">
        <f t="shared" si="177"/>
        <v>0</v>
      </c>
      <c r="U341" s="489">
        <f t="shared" si="158"/>
        <v>4</v>
      </c>
      <c r="V341" s="490" t="str">
        <f t="shared" si="159"/>
        <v>#REF!</v>
      </c>
      <c r="W341" s="491"/>
      <c r="X341" s="489"/>
      <c r="Y341" s="492"/>
      <c r="Z341" s="493"/>
      <c r="AA341" s="931"/>
      <c r="AB341" s="925" t="str">
        <f t="shared" si="172"/>
        <v/>
      </c>
      <c r="AC341" s="594"/>
      <c r="AD341" s="595"/>
      <c r="AE341" s="584"/>
      <c r="AF341" s="595"/>
      <c r="AG341" s="354"/>
      <c r="AH341" s="443"/>
      <c r="AI341" s="595"/>
      <c r="AJ341" s="595"/>
      <c r="AK341" s="595"/>
      <c r="AL341" s="595"/>
      <c r="AM341" s="595"/>
      <c r="AN341" s="584"/>
      <c r="AO341" s="595"/>
      <c r="AP341" s="595"/>
      <c r="AQ341" s="595"/>
      <c r="AR341" s="595"/>
      <c r="AS341" s="595"/>
      <c r="AT341" s="595"/>
      <c r="AU341" s="595"/>
      <c r="AV341" s="595"/>
      <c r="AW341" s="595"/>
      <c r="AX341" s="595"/>
      <c r="AY341" s="595"/>
      <c r="AZ341" s="595"/>
      <c r="BA341" s="595"/>
      <c r="BB341" s="595"/>
      <c r="BC341" s="595"/>
      <c r="BD341" s="595"/>
      <c r="BE341" s="595"/>
      <c r="BF341" s="595"/>
      <c r="BG341" s="595"/>
      <c r="BH341" s="595"/>
      <c r="BI341" s="595"/>
      <c r="BJ341" s="595"/>
      <c r="BK341" s="595"/>
      <c r="BL341" s="651"/>
      <c r="BM341" s="651"/>
      <c r="BN341" s="651"/>
      <c r="BO341" s="651"/>
      <c r="BP341" s="651"/>
      <c r="BQ341" s="651"/>
      <c r="BR341" s="651"/>
      <c r="BS341" s="651"/>
      <c r="BT341" s="651"/>
    </row>
    <row r="342">
      <c r="A342" s="1360"/>
      <c r="B342" s="584"/>
      <c r="C342" s="564" t="s">
        <v>185</v>
      </c>
      <c r="D342" s="1019"/>
      <c r="E342" s="722"/>
      <c r="F342" s="1036"/>
      <c r="G342" s="1019"/>
      <c r="H342" s="1019"/>
      <c r="I342" s="152" t="str">
        <f>+I318</f>
        <v>#REF!</v>
      </c>
      <c r="J342" s="565" t="str">
        <f>I342/I346</f>
        <v>#REF!</v>
      </c>
      <c r="K342" s="466" t="str">
        <f t="shared" si="324"/>
        <v>#REF!</v>
      </c>
      <c r="L342" s="588"/>
      <c r="M342" s="588"/>
      <c r="N342" s="589"/>
      <c r="O342" s="950"/>
      <c r="P342" s="939" t="str">
        <f>IFERROR(__xludf.DUMMYFUNCTION("IF(Q342="""","""",
   IF(Q342=0,0,
      IF(ISNUMBER(MATCH(Q342,FILTER(R$247:R$367,T$247:T$367&lt;&gt;0),0)),1,0)
   )
)"),"")</f>
        <v/>
      </c>
      <c r="Q342" s="941"/>
      <c r="R342" s="942" t="s">
        <v>1260</v>
      </c>
      <c r="S342" s="930"/>
      <c r="T342" s="488">
        <f t="shared" si="177"/>
        <v>0</v>
      </c>
      <c r="U342" s="489">
        <f t="shared" si="158"/>
        <v>4</v>
      </c>
      <c r="V342" s="490" t="str">
        <f t="shared" si="159"/>
        <v>#REF!</v>
      </c>
      <c r="W342" s="491"/>
      <c r="X342" s="489"/>
      <c r="Y342" s="492"/>
      <c r="Z342" s="493"/>
      <c r="AA342" s="931"/>
      <c r="AB342" s="925" t="str">
        <f t="shared" si="172"/>
        <v/>
      </c>
      <c r="AC342" s="594"/>
      <c r="AD342" s="595"/>
      <c r="AE342" s="584"/>
      <c r="AF342" s="595"/>
      <c r="AG342" s="354"/>
      <c r="AH342" s="443"/>
      <c r="AI342" s="595"/>
      <c r="AJ342" s="595"/>
      <c r="AK342" s="595"/>
      <c r="AL342" s="595"/>
      <c r="AM342" s="595"/>
      <c r="AN342" s="584"/>
      <c r="AO342" s="595"/>
      <c r="AP342" s="595"/>
      <c r="AQ342" s="595"/>
      <c r="AR342" s="595"/>
      <c r="AS342" s="595"/>
      <c r="AT342" s="595"/>
      <c r="AU342" s="595"/>
      <c r="AV342" s="595"/>
      <c r="AW342" s="595"/>
      <c r="AX342" s="595"/>
      <c r="AY342" s="595"/>
      <c r="AZ342" s="595"/>
      <c r="BA342" s="595"/>
      <c r="BB342" s="595"/>
      <c r="BC342" s="595"/>
      <c r="BD342" s="595"/>
      <c r="BE342" s="595"/>
      <c r="BF342" s="595"/>
      <c r="BG342" s="595"/>
      <c r="BH342" s="595"/>
      <c r="BI342" s="595"/>
      <c r="BJ342" s="595"/>
      <c r="BK342" s="595"/>
      <c r="BL342" s="651"/>
      <c r="BM342" s="651"/>
      <c r="BN342" s="651"/>
      <c r="BO342" s="651"/>
      <c r="BP342" s="651"/>
      <c r="BQ342" s="651"/>
      <c r="BR342" s="651"/>
      <c r="BS342" s="651"/>
      <c r="BT342" s="651"/>
    </row>
    <row r="343">
      <c r="A343" s="1360"/>
      <c r="B343" s="584"/>
      <c r="C343" s="564" t="s">
        <v>296</v>
      </c>
      <c r="D343" s="1019"/>
      <c r="E343" s="722"/>
      <c r="F343" s="1038"/>
      <c r="G343" s="690"/>
      <c r="H343" s="690"/>
      <c r="I343" s="152" t="str">
        <f>+I332+I330+I329</f>
        <v>#REF!</v>
      </c>
      <c r="J343" s="565" t="str">
        <f>I343/I346</f>
        <v>#REF!</v>
      </c>
      <c r="K343" s="466" t="str">
        <f t="shared" si="324"/>
        <v>#REF!</v>
      </c>
      <c r="L343" s="588"/>
      <c r="M343" s="588"/>
      <c r="N343" s="589"/>
      <c r="O343" s="950"/>
      <c r="P343" s="939" t="str">
        <f>IFERROR(__xludf.DUMMYFUNCTION("IF(Q343="""","""",
   IF(Q343=0,0,
      IF(ISNUMBER(MATCH(Q343,FILTER(R$247:R$367,T$247:T$367&lt;&gt;0),0)),1,0)
   )
)"),"")</f>
        <v/>
      </c>
      <c r="Q343" s="941"/>
      <c r="R343" s="942" t="s">
        <v>1261</v>
      </c>
      <c r="S343" s="930"/>
      <c r="T343" s="488">
        <f t="shared" si="177"/>
        <v>0</v>
      </c>
      <c r="U343" s="489">
        <f t="shared" si="158"/>
        <v>4</v>
      </c>
      <c r="V343" s="490" t="str">
        <f t="shared" si="159"/>
        <v>#REF!</v>
      </c>
      <c r="W343" s="491"/>
      <c r="X343" s="489"/>
      <c r="Y343" s="492"/>
      <c r="Z343" s="493"/>
      <c r="AA343" s="931"/>
      <c r="AB343" s="925" t="str">
        <f t="shared" si="172"/>
        <v/>
      </c>
      <c r="AC343" s="594"/>
      <c r="AD343" s="595"/>
      <c r="AE343" s="584"/>
      <c r="AF343" s="595"/>
      <c r="AG343" s="354"/>
      <c r="AH343" s="443"/>
      <c r="AI343" s="595"/>
      <c r="AJ343" s="595"/>
      <c r="AK343" s="595"/>
      <c r="AL343" s="595"/>
      <c r="AM343" s="595"/>
      <c r="AN343" s="584"/>
      <c r="AO343" s="595"/>
      <c r="AP343" s="595"/>
      <c r="AQ343" s="595"/>
      <c r="AR343" s="595"/>
      <c r="AS343" s="595"/>
      <c r="AT343" s="595"/>
      <c r="AU343" s="595"/>
      <c r="AV343" s="595"/>
      <c r="AW343" s="595"/>
      <c r="AX343" s="595"/>
      <c r="AY343" s="595"/>
      <c r="AZ343" s="595"/>
      <c r="BA343" s="595"/>
      <c r="BB343" s="595"/>
      <c r="BC343" s="595"/>
      <c r="BD343" s="595"/>
      <c r="BE343" s="595"/>
      <c r="BF343" s="595"/>
      <c r="BG343" s="595"/>
      <c r="BH343" s="595"/>
      <c r="BI343" s="595"/>
      <c r="BJ343" s="595"/>
      <c r="BK343" s="595"/>
      <c r="BL343" s="651"/>
      <c r="BM343" s="651"/>
      <c r="BN343" s="651"/>
      <c r="BO343" s="651"/>
      <c r="BP343" s="651"/>
      <c r="BQ343" s="651"/>
      <c r="BR343" s="651"/>
      <c r="BS343" s="651"/>
      <c r="BT343" s="651"/>
    </row>
    <row r="344">
      <c r="A344" s="1360"/>
      <c r="B344" s="584"/>
      <c r="C344" s="564" t="s">
        <v>24</v>
      </c>
      <c r="D344" s="1019"/>
      <c r="E344" s="722"/>
      <c r="F344" s="1038"/>
      <c r="G344" s="690"/>
      <c r="H344" s="690"/>
      <c r="I344" s="152" t="str">
        <f>+I328+I327+I326+I325+I324+I323+I322</f>
        <v>#REF!</v>
      </c>
      <c r="J344" s="565" t="str">
        <f>I344/I346</f>
        <v>#REF!</v>
      </c>
      <c r="K344" s="466" t="str">
        <f t="shared" si="324"/>
        <v>#REF!</v>
      </c>
      <c r="L344" s="588"/>
      <c r="M344" s="588"/>
      <c r="N344" s="589"/>
      <c r="O344" s="950"/>
      <c r="P344" s="939" t="str">
        <f>IFERROR(__xludf.DUMMYFUNCTION("IF(Q344="""","""",
   IF(Q344=0,0,
      IF(ISNUMBER(MATCH(Q344,FILTER(R$247:R$367,T$247:T$367&lt;&gt;0),0)),1,0)
   )
)"),"")</f>
        <v/>
      </c>
      <c r="Q344" s="941"/>
      <c r="R344" s="942" t="s">
        <v>1262</v>
      </c>
      <c r="S344" s="930"/>
      <c r="T344" s="488">
        <f t="shared" si="177"/>
        <v>0</v>
      </c>
      <c r="U344" s="489">
        <f t="shared" si="158"/>
        <v>4</v>
      </c>
      <c r="V344" s="490" t="str">
        <f t="shared" si="159"/>
        <v>#REF!</v>
      </c>
      <c r="W344" s="491"/>
      <c r="X344" s="489"/>
      <c r="Y344" s="492"/>
      <c r="Z344" s="493"/>
      <c r="AA344" s="931"/>
      <c r="AB344" s="925" t="str">
        <f t="shared" si="172"/>
        <v/>
      </c>
      <c r="AC344" s="594"/>
      <c r="AD344" s="595"/>
      <c r="AE344" s="584"/>
      <c r="AF344" s="595"/>
      <c r="AG344" s="354"/>
      <c r="AH344" s="443"/>
      <c r="AI344" s="595"/>
      <c r="AJ344" s="595"/>
      <c r="AK344" s="595"/>
      <c r="AL344" s="595"/>
      <c r="AM344" s="595"/>
      <c r="AN344" s="584"/>
      <c r="AO344" s="595"/>
      <c r="AP344" s="595"/>
      <c r="AQ344" s="595"/>
      <c r="AR344" s="595"/>
      <c r="AS344" s="595"/>
      <c r="AT344" s="595"/>
      <c r="AU344" s="595"/>
      <c r="AV344" s="595"/>
      <c r="AW344" s="595"/>
      <c r="AX344" s="595"/>
      <c r="AY344" s="595"/>
      <c r="AZ344" s="595"/>
      <c r="BA344" s="595"/>
      <c r="BB344" s="595"/>
      <c r="BC344" s="595"/>
      <c r="BD344" s="595"/>
      <c r="BE344" s="595"/>
      <c r="BF344" s="595"/>
      <c r="BG344" s="595"/>
      <c r="BH344" s="595"/>
      <c r="BI344" s="595"/>
      <c r="BJ344" s="595"/>
      <c r="BK344" s="595"/>
      <c r="BL344" s="651"/>
      <c r="BM344" s="651"/>
      <c r="BN344" s="651"/>
      <c r="BO344" s="651"/>
      <c r="BP344" s="651"/>
      <c r="BQ344" s="651"/>
      <c r="BR344" s="651"/>
      <c r="BS344" s="651"/>
      <c r="BT344" s="651"/>
    </row>
    <row r="345">
      <c r="A345" s="1360"/>
      <c r="B345" s="584"/>
      <c r="C345" s="564" t="s">
        <v>25</v>
      </c>
      <c r="D345" s="1019"/>
      <c r="E345" s="722"/>
      <c r="F345" s="1038"/>
      <c r="G345" s="690"/>
      <c r="H345" s="690"/>
      <c r="I345" s="566" t="str">
        <f>I336</f>
        <v>#REF!</v>
      </c>
      <c r="J345" s="565" t="str">
        <f>I345/I346</f>
        <v>#REF!</v>
      </c>
      <c r="K345" s="466" t="str">
        <f t="shared" si="324"/>
        <v>#REF!</v>
      </c>
      <c r="L345" s="588"/>
      <c r="M345" s="588"/>
      <c r="N345" s="589"/>
      <c r="O345" s="950"/>
      <c r="P345" s="939" t="str">
        <f>IFERROR(__xludf.DUMMYFUNCTION("IF(Q345="""","""",
   IF(Q345=0,0,
      IF(ISNUMBER(MATCH(Q345,FILTER(R$247:R$367,T$247:T$367&lt;&gt;0),0)),1,0)
   )
)"),"")</f>
        <v/>
      </c>
      <c r="Q345" s="941"/>
      <c r="R345" s="942" t="s">
        <v>1263</v>
      </c>
      <c r="S345" s="930"/>
      <c r="T345" s="488">
        <f t="shared" si="177"/>
        <v>0</v>
      </c>
      <c r="U345" s="489">
        <f t="shared" si="158"/>
        <v>4</v>
      </c>
      <c r="V345" s="490" t="str">
        <f t="shared" si="159"/>
        <v>#REF!</v>
      </c>
      <c r="W345" s="491"/>
      <c r="X345" s="489"/>
      <c r="Y345" s="492"/>
      <c r="Z345" s="493"/>
      <c r="AA345" s="931"/>
      <c r="AB345" s="925" t="str">
        <f t="shared" si="172"/>
        <v/>
      </c>
      <c r="AC345" s="594"/>
      <c r="AD345" s="595"/>
      <c r="AE345" s="584"/>
      <c r="AF345" s="595"/>
      <c r="AG345" s="354"/>
      <c r="AH345" s="443"/>
      <c r="AI345" s="595"/>
      <c r="AJ345" s="595"/>
      <c r="AK345" s="595"/>
      <c r="AL345" s="595"/>
      <c r="AM345" s="595"/>
      <c r="AN345" s="584"/>
      <c r="AO345" s="595"/>
      <c r="AP345" s="595"/>
      <c r="AQ345" s="595"/>
      <c r="AR345" s="595"/>
      <c r="AS345" s="595"/>
      <c r="AT345" s="595"/>
      <c r="AU345" s="595"/>
      <c r="AV345" s="595"/>
      <c r="AW345" s="595"/>
      <c r="AX345" s="595"/>
      <c r="AY345" s="595"/>
      <c r="AZ345" s="595"/>
      <c r="BA345" s="595"/>
      <c r="BB345" s="595"/>
      <c r="BC345" s="595"/>
      <c r="BD345" s="595"/>
      <c r="BE345" s="595"/>
      <c r="BF345" s="595"/>
      <c r="BG345" s="595"/>
      <c r="BH345" s="595"/>
      <c r="BI345" s="595"/>
      <c r="BJ345" s="595"/>
      <c r="BK345" s="595"/>
      <c r="BL345" s="651"/>
      <c r="BM345" s="651"/>
      <c r="BN345" s="651"/>
      <c r="BO345" s="651"/>
      <c r="BP345" s="651"/>
      <c r="BQ345" s="651"/>
      <c r="BR345" s="651"/>
      <c r="BS345" s="651"/>
      <c r="BT345" s="651"/>
    </row>
    <row r="346">
      <c r="A346" s="1360"/>
      <c r="B346" s="584"/>
      <c r="C346" s="567" t="s">
        <v>297</v>
      </c>
      <c r="D346" s="1040"/>
      <c r="E346" s="1041"/>
      <c r="F346" s="1042"/>
      <c r="G346" s="1040"/>
      <c r="H346" s="1040"/>
      <c r="I346" s="570" t="str">
        <f>SUM(I341:I345)</f>
        <v>#REF!</v>
      </c>
      <c r="J346" s="571" t="str">
        <f>I346=T233</f>
        <v>#REF!</v>
      </c>
      <c r="K346" s="354"/>
      <c r="L346" s="375" t="str">
        <f>I346-L343</f>
        <v>#REF!</v>
      </c>
      <c r="M346" s="588"/>
      <c r="N346" s="589"/>
      <c r="O346" s="950"/>
      <c r="P346" s="939" t="str">
        <f>IFERROR(__xludf.DUMMYFUNCTION("IF(Q346="""","""",
   IF(Q346=0,0,
      IF(ISNUMBER(MATCH(Q346,FILTER(R$247:R$367,T$247:T$367&lt;&gt;0),0)),1,0)
   )
)"),"")</f>
        <v/>
      </c>
      <c r="Q346" s="941"/>
      <c r="R346" s="942" t="s">
        <v>1264</v>
      </c>
      <c r="S346" s="930"/>
      <c r="T346" s="488">
        <f t="shared" si="177"/>
        <v>0</v>
      </c>
      <c r="U346" s="489">
        <f t="shared" si="158"/>
        <v>4</v>
      </c>
      <c r="V346" s="490" t="str">
        <f t="shared" si="159"/>
        <v>#REF!</v>
      </c>
      <c r="W346" s="491"/>
      <c r="X346" s="489"/>
      <c r="Y346" s="492"/>
      <c r="Z346" s="493"/>
      <c r="AA346" s="931"/>
      <c r="AB346" s="925" t="str">
        <f t="shared" si="172"/>
        <v/>
      </c>
      <c r="AC346" s="594"/>
      <c r="AD346" s="595"/>
      <c r="AE346" s="584"/>
      <c r="AF346" s="595"/>
      <c r="AG346" s="354"/>
      <c r="AH346" s="443"/>
      <c r="AI346" s="595"/>
      <c r="AJ346" s="595"/>
      <c r="AK346" s="595"/>
      <c r="AL346" s="595"/>
      <c r="AM346" s="595"/>
      <c r="AN346" s="584"/>
      <c r="AO346" s="595"/>
      <c r="AP346" s="595"/>
      <c r="AQ346" s="595"/>
      <c r="AR346" s="595"/>
      <c r="AS346" s="595"/>
      <c r="AT346" s="595"/>
      <c r="AU346" s="595"/>
      <c r="AV346" s="595"/>
      <c r="AW346" s="595"/>
      <c r="AX346" s="595"/>
      <c r="AY346" s="595"/>
      <c r="AZ346" s="595"/>
      <c r="BA346" s="595"/>
      <c r="BB346" s="595"/>
      <c r="BC346" s="595"/>
      <c r="BD346" s="595"/>
      <c r="BE346" s="595"/>
      <c r="BF346" s="595"/>
      <c r="BG346" s="595"/>
      <c r="BH346" s="595"/>
      <c r="BI346" s="595"/>
      <c r="BJ346" s="595"/>
      <c r="BK346" s="595"/>
      <c r="BL346" s="651"/>
      <c r="BM346" s="651"/>
      <c r="BN346" s="651"/>
      <c r="BO346" s="651"/>
      <c r="BP346" s="651"/>
      <c r="BQ346" s="651"/>
      <c r="BR346" s="651"/>
      <c r="BS346" s="651"/>
      <c r="BT346" s="651"/>
    </row>
    <row r="347">
      <c r="A347" s="1360"/>
      <c r="B347" s="584"/>
      <c r="C347" s="584"/>
      <c r="D347" s="584"/>
      <c r="E347" s="585"/>
      <c r="F347" s="586"/>
      <c r="G347" s="584"/>
      <c r="H347" s="584"/>
      <c r="I347" s="443"/>
      <c r="J347" s="443"/>
      <c r="K347" s="354"/>
      <c r="L347" s="588"/>
      <c r="M347" s="588"/>
      <c r="N347" s="589"/>
      <c r="O347" s="950"/>
      <c r="P347" s="939" t="str">
        <f>IFERROR(__xludf.DUMMYFUNCTION("IF(Q347="""","""",
   IF(Q347=0,0,
      IF(ISNUMBER(MATCH(Q347,FILTER(R$247:R$367,T$247:T$367&lt;&gt;0),0)),1,0)
   )
)"),"")</f>
        <v/>
      </c>
      <c r="Q347" s="941"/>
      <c r="R347" s="942" t="s">
        <v>1265</v>
      </c>
      <c r="S347" s="930"/>
      <c r="T347" s="488">
        <f t="shared" si="177"/>
        <v>0</v>
      </c>
      <c r="U347" s="489">
        <f t="shared" si="158"/>
        <v>4</v>
      </c>
      <c r="V347" s="490" t="str">
        <f t="shared" si="159"/>
        <v>#REF!</v>
      </c>
      <c r="W347" s="491"/>
      <c r="X347" s="489"/>
      <c r="Y347" s="492"/>
      <c r="Z347" s="493"/>
      <c r="AA347" s="931"/>
      <c r="AB347" s="925" t="str">
        <f t="shared" si="172"/>
        <v/>
      </c>
      <c r="AC347" s="594"/>
      <c r="AD347" s="595"/>
      <c r="AE347" s="584"/>
      <c r="AF347" s="595"/>
      <c r="AG347" s="354"/>
      <c r="AH347" s="443"/>
      <c r="AI347" s="595"/>
      <c r="AJ347" s="595"/>
      <c r="AK347" s="595"/>
      <c r="AL347" s="595"/>
      <c r="AM347" s="595"/>
      <c r="AN347" s="584"/>
      <c r="AO347" s="595"/>
      <c r="AP347" s="595"/>
      <c r="AQ347" s="595"/>
      <c r="AR347" s="595"/>
      <c r="AS347" s="595"/>
      <c r="AT347" s="595"/>
      <c r="AU347" s="595"/>
      <c r="AV347" s="595"/>
      <c r="AW347" s="595"/>
      <c r="AX347" s="595"/>
      <c r="AY347" s="595"/>
      <c r="AZ347" s="595"/>
      <c r="BA347" s="595"/>
      <c r="BB347" s="595"/>
      <c r="BC347" s="595"/>
      <c r="BD347" s="595"/>
      <c r="BE347" s="595"/>
      <c r="BF347" s="595"/>
      <c r="BG347" s="595"/>
      <c r="BH347" s="595"/>
      <c r="BI347" s="595"/>
      <c r="BJ347" s="595"/>
      <c r="BK347" s="595"/>
      <c r="BL347" s="651"/>
      <c r="BM347" s="651"/>
      <c r="BN347" s="651"/>
      <c r="BO347" s="651"/>
      <c r="BP347" s="651"/>
      <c r="BQ347" s="651"/>
      <c r="BR347" s="651"/>
      <c r="BS347" s="651"/>
      <c r="BT347" s="651"/>
    </row>
    <row r="348">
      <c r="A348" s="1360"/>
      <c r="B348" s="584"/>
      <c r="C348" s="540" t="s">
        <v>298</v>
      </c>
      <c r="D348" s="700"/>
      <c r="E348" s="722"/>
      <c r="F348" s="128"/>
      <c r="G348" s="700"/>
      <c r="H348" s="700"/>
      <c r="I348" s="572" t="str">
        <f>S239</f>
        <v>#REF!</v>
      </c>
      <c r="J348" s="443"/>
      <c r="K348" s="354"/>
      <c r="L348" s="588"/>
      <c r="M348" s="588"/>
      <c r="N348" s="589"/>
      <c r="O348" s="950"/>
      <c r="P348" s="939" t="str">
        <f>IFERROR(__xludf.DUMMYFUNCTION("IF(Q348="""","""",
   IF(Q348=0,0,
      IF(ISNUMBER(MATCH(Q348,FILTER(R$247:R$367,T$247:T$367&lt;&gt;0),0)),1,0)
   )
)"),"")</f>
        <v/>
      </c>
      <c r="Q348" s="941"/>
      <c r="R348" s="942" t="s">
        <v>1266</v>
      </c>
      <c r="S348" s="930"/>
      <c r="T348" s="488">
        <f t="shared" si="177"/>
        <v>0</v>
      </c>
      <c r="U348" s="489">
        <f t="shared" si="158"/>
        <v>4</v>
      </c>
      <c r="V348" s="490" t="str">
        <f t="shared" si="159"/>
        <v>#REF!</v>
      </c>
      <c r="W348" s="491"/>
      <c r="X348" s="489"/>
      <c r="Y348" s="492"/>
      <c r="Z348" s="493"/>
      <c r="AA348" s="931" t="str">
        <f t="shared" ref="AA348:AA349" si="325">iferror(Z348/T348,"")</f>
        <v/>
      </c>
      <c r="AB348" s="925" t="str">
        <f t="shared" si="172"/>
        <v/>
      </c>
      <c r="AC348" s="594"/>
      <c r="AD348" s="595"/>
      <c r="AE348" s="584"/>
      <c r="AF348" s="595"/>
      <c r="AG348" s="354"/>
      <c r="AH348" s="443"/>
      <c r="AI348" s="595"/>
      <c r="AJ348" s="595"/>
      <c r="AK348" s="595"/>
      <c r="AL348" s="595"/>
      <c r="AM348" s="595"/>
      <c r="AN348" s="584"/>
      <c r="AO348" s="595"/>
      <c r="AP348" s="595"/>
      <c r="AQ348" s="595"/>
      <c r="AR348" s="595"/>
      <c r="AS348" s="595"/>
      <c r="AT348" s="595"/>
      <c r="AU348" s="595"/>
      <c r="AV348" s="595"/>
      <c r="AW348" s="595"/>
      <c r="AX348" s="595"/>
      <c r="AY348" s="595"/>
      <c r="AZ348" s="595"/>
      <c r="BA348" s="595"/>
      <c r="BB348" s="595"/>
      <c r="BC348" s="595"/>
      <c r="BD348" s="595"/>
      <c r="BE348" s="595"/>
      <c r="BF348" s="595"/>
      <c r="BG348" s="595"/>
      <c r="BH348" s="595"/>
      <c r="BI348" s="595"/>
      <c r="BJ348" s="595"/>
      <c r="BK348" s="595"/>
      <c r="BL348" s="651"/>
      <c r="BM348" s="651"/>
      <c r="BN348" s="651"/>
      <c r="BO348" s="651"/>
      <c r="BP348" s="651"/>
      <c r="BQ348" s="651"/>
      <c r="BR348" s="651"/>
      <c r="BS348" s="651"/>
      <c r="BT348" s="651"/>
    </row>
    <row r="349">
      <c r="A349" s="1360"/>
      <c r="B349" s="584"/>
      <c r="C349" s="540" t="s">
        <v>299</v>
      </c>
      <c r="D349" s="700"/>
      <c r="E349" s="722"/>
      <c r="F349" s="128"/>
      <c r="G349" s="700"/>
      <c r="H349" s="700"/>
      <c r="I349" s="573" t="str">
        <f>W236</f>
        <v>#REF!</v>
      </c>
      <c r="J349" s="574">
        <f>X232</f>
        <v>4</v>
      </c>
      <c r="K349" s="354"/>
      <c r="L349" s="588"/>
      <c r="M349" s="588"/>
      <c r="N349" s="589"/>
      <c r="O349" s="950"/>
      <c r="P349" s="939" t="str">
        <f>IFERROR(__xludf.DUMMYFUNCTION("IF(Q349="""","""",
   IF(Q349=0,0,
      IF(ISNUMBER(MATCH(Q349,FILTER(R$247:R$367,T$247:T$367&lt;&gt;0),0)),1,0)
   )
)"),"")</f>
        <v/>
      </c>
      <c r="Q349" s="941"/>
      <c r="R349" s="942" t="s">
        <v>585</v>
      </c>
      <c r="S349" s="930" t="s">
        <v>55</v>
      </c>
      <c r="T349" s="488">
        <f t="shared" si="177"/>
        <v>0</v>
      </c>
      <c r="U349" s="489">
        <f t="shared" si="158"/>
        <v>4</v>
      </c>
      <c r="V349" s="490" t="str">
        <f t="shared" si="159"/>
        <v>#REF!</v>
      </c>
      <c r="W349" s="491">
        <f>(10/1)*$X$232</f>
        <v>40</v>
      </c>
      <c r="X349" s="489">
        <f>W349*W$242</f>
        <v>320</v>
      </c>
      <c r="Y349" s="492">
        <f>ROUNDUP(T349/X349,2)</f>
        <v>0</v>
      </c>
      <c r="Z349" s="493" t="str">
        <f>Y349*V349*U349*W$242</f>
        <v>#REF!</v>
      </c>
      <c r="AA349" s="931" t="str">
        <f t="shared" si="325"/>
        <v/>
      </c>
      <c r="AB349" s="925" t="str">
        <f t="shared" si="172"/>
        <v/>
      </c>
      <c r="AC349" s="594"/>
      <c r="AD349" s="595"/>
      <c r="AE349" s="584"/>
      <c r="AF349" s="595"/>
      <c r="AG349" s="354"/>
      <c r="AH349" s="443"/>
      <c r="AI349" s="595"/>
      <c r="AJ349" s="595"/>
      <c r="AK349" s="595"/>
      <c r="AL349" s="595"/>
      <c r="AM349" s="595"/>
      <c r="AN349" s="584"/>
      <c r="AO349" s="595"/>
      <c r="AP349" s="595"/>
      <c r="AQ349" s="595"/>
      <c r="AR349" s="595"/>
      <c r="AS349" s="595"/>
      <c r="AT349" s="595"/>
      <c r="AU349" s="595"/>
      <c r="AV349" s="595"/>
      <c r="AW349" s="595"/>
      <c r="AX349" s="595"/>
      <c r="AY349" s="595"/>
      <c r="AZ349" s="595"/>
      <c r="BA349" s="595"/>
      <c r="BB349" s="595"/>
      <c r="BC349" s="595"/>
      <c r="BD349" s="595"/>
      <c r="BE349" s="595"/>
      <c r="BF349" s="595"/>
      <c r="BG349" s="595"/>
      <c r="BH349" s="595"/>
      <c r="BI349" s="595"/>
      <c r="BJ349" s="595"/>
      <c r="BK349" s="595"/>
      <c r="BL349" s="651"/>
      <c r="BM349" s="651"/>
      <c r="BN349" s="651"/>
      <c r="BO349" s="651"/>
      <c r="BP349" s="651"/>
      <c r="BQ349" s="651"/>
      <c r="BR349" s="651"/>
      <c r="BS349" s="651"/>
      <c r="BT349" s="651"/>
    </row>
    <row r="350">
      <c r="A350" s="1360"/>
      <c r="B350" s="584"/>
      <c r="C350" s="537" t="s">
        <v>26</v>
      </c>
      <c r="D350" s="700"/>
      <c r="E350" s="722"/>
      <c r="F350" s="128"/>
      <c r="G350" s="700"/>
      <c r="H350" s="700"/>
      <c r="I350" s="575" t="str">
        <f>I346/I348</f>
        <v>#REF!</v>
      </c>
      <c r="J350" s="576" t="str">
        <f>W235</f>
        <v>#REF!</v>
      </c>
      <c r="K350" s="354"/>
      <c r="L350" s="588"/>
      <c r="M350" s="588"/>
      <c r="N350" s="589"/>
      <c r="O350" s="950"/>
      <c r="P350" s="939" t="str">
        <f>IFERROR(__xludf.DUMMYFUNCTION("IF(Q350="""","""",
   IF(Q350=0,0,
      IF(ISNUMBER(MATCH(Q350,FILTER(R$247:R$367,T$247:T$367&lt;&gt;0),0)),1,0)
   )
)"),"")</f>
        <v/>
      </c>
      <c r="Q350" s="941"/>
      <c r="R350" s="942" t="s">
        <v>615</v>
      </c>
      <c r="S350" s="930" t="s">
        <v>52</v>
      </c>
      <c r="T350" s="488" t="str">
        <f t="shared" si="177"/>
        <v>#REF!</v>
      </c>
      <c r="U350" s="489">
        <f t="shared" si="158"/>
        <v>4</v>
      </c>
      <c r="V350" s="490" t="str">
        <f t="shared" si="159"/>
        <v>#REF!</v>
      </c>
      <c r="W350" s="491"/>
      <c r="X350" s="489"/>
      <c r="Y350" s="492"/>
      <c r="Z350" s="493"/>
      <c r="AA350" s="931"/>
      <c r="AB350" s="925" t="str">
        <f t="shared" si="172"/>
        <v/>
      </c>
      <c r="AC350" s="594"/>
      <c r="AD350" s="595"/>
      <c r="AE350" s="584"/>
      <c r="AF350" s="595"/>
      <c r="AG350" s="354"/>
      <c r="AH350" s="443"/>
      <c r="AI350" s="595"/>
      <c r="AJ350" s="595"/>
      <c r="AK350" s="595"/>
      <c r="AL350" s="595"/>
      <c r="AM350" s="595"/>
      <c r="AN350" s="584"/>
      <c r="AO350" s="595"/>
      <c r="AP350" s="595"/>
      <c r="AQ350" s="595"/>
      <c r="AR350" s="595"/>
      <c r="AS350" s="595"/>
      <c r="AT350" s="595"/>
      <c r="AU350" s="595"/>
      <c r="AV350" s="595"/>
      <c r="AW350" s="595"/>
      <c r="AX350" s="595"/>
      <c r="AY350" s="595"/>
      <c r="AZ350" s="595"/>
      <c r="BA350" s="595"/>
      <c r="BB350" s="595"/>
      <c r="BC350" s="595"/>
      <c r="BD350" s="595"/>
      <c r="BE350" s="595"/>
      <c r="BF350" s="595"/>
      <c r="BG350" s="595"/>
      <c r="BH350" s="595"/>
      <c r="BI350" s="595"/>
      <c r="BJ350" s="595"/>
      <c r="BK350" s="595"/>
      <c r="BL350" s="651"/>
      <c r="BM350" s="651"/>
      <c r="BN350" s="651"/>
      <c r="BO350" s="651"/>
      <c r="BP350" s="651"/>
      <c r="BQ350" s="651"/>
      <c r="BR350" s="651"/>
      <c r="BS350" s="651"/>
      <c r="BT350" s="651"/>
    </row>
    <row r="351">
      <c r="A351" s="1360"/>
      <c r="B351" s="584"/>
      <c r="C351" s="584"/>
      <c r="D351" s="584"/>
      <c r="E351" s="585"/>
      <c r="F351" s="586"/>
      <c r="G351" s="584"/>
      <c r="H351" s="584"/>
      <c r="I351" s="443"/>
      <c r="J351" s="443"/>
      <c r="K351" s="354"/>
      <c r="L351" s="588"/>
      <c r="M351" s="588"/>
      <c r="N351" s="589"/>
      <c r="O351" s="950"/>
      <c r="P351" s="939" t="str">
        <f>IFERROR(__xludf.DUMMYFUNCTION("IF(Q351="""","""",
   IF(Q351=0,0,
      IF(ISNUMBER(MATCH(Q351,FILTER(R$247:R$367,T$247:T$367&lt;&gt;0),0)),1,0)
   )
)"),"")</f>
        <v/>
      </c>
      <c r="Q351" s="941"/>
      <c r="R351" s="942" t="s">
        <v>611</v>
      </c>
      <c r="S351" s="930" t="s">
        <v>55</v>
      </c>
      <c r="T351" s="488">
        <f t="shared" si="177"/>
        <v>0</v>
      </c>
      <c r="U351" s="489">
        <f t="shared" si="158"/>
        <v>4</v>
      </c>
      <c r="V351" s="490" t="str">
        <f t="shared" si="159"/>
        <v>#REF!</v>
      </c>
      <c r="W351" s="491"/>
      <c r="X351" s="489"/>
      <c r="Y351" s="492"/>
      <c r="Z351" s="493"/>
      <c r="AA351" s="931"/>
      <c r="AB351" s="925" t="str">
        <f t="shared" si="172"/>
        <v/>
      </c>
      <c r="AC351" s="594"/>
      <c r="AD351" s="595"/>
      <c r="AE351" s="584"/>
      <c r="AF351" s="595"/>
      <c r="AG351" s="354"/>
      <c r="AH351" s="443"/>
      <c r="AI351" s="595"/>
      <c r="AJ351" s="595"/>
      <c r="AK351" s="595"/>
      <c r="AL351" s="595"/>
      <c r="AM351" s="595"/>
      <c r="AN351" s="584"/>
      <c r="AO351" s="595"/>
      <c r="AP351" s="595"/>
      <c r="AQ351" s="595"/>
      <c r="AR351" s="595"/>
      <c r="AS351" s="595"/>
      <c r="AT351" s="595"/>
      <c r="AU351" s="595"/>
      <c r="AV351" s="595"/>
      <c r="AW351" s="595"/>
      <c r="AX351" s="595"/>
      <c r="AY351" s="595"/>
      <c r="AZ351" s="595"/>
      <c r="BA351" s="595"/>
      <c r="BB351" s="595"/>
      <c r="BC351" s="595"/>
      <c r="BD351" s="595"/>
      <c r="BE351" s="595"/>
      <c r="BF351" s="595"/>
      <c r="BG351" s="595"/>
      <c r="BH351" s="595"/>
      <c r="BI351" s="595"/>
      <c r="BJ351" s="595"/>
      <c r="BK351" s="595"/>
      <c r="BL351" s="651"/>
      <c r="BM351" s="651"/>
      <c r="BN351" s="651"/>
      <c r="BO351" s="651"/>
      <c r="BP351" s="651"/>
      <c r="BQ351" s="651"/>
      <c r="BR351" s="651"/>
      <c r="BS351" s="651"/>
      <c r="BT351" s="651"/>
    </row>
    <row r="352">
      <c r="A352" s="1360"/>
      <c r="B352" s="584"/>
      <c r="C352" s="584"/>
      <c r="D352" s="584"/>
      <c r="E352" s="585"/>
      <c r="F352" s="586"/>
      <c r="G352" s="584"/>
      <c r="H352" s="584"/>
      <c r="I352" s="443"/>
      <c r="J352" s="443"/>
      <c r="K352" s="354"/>
      <c r="L352" s="588"/>
      <c r="M352" s="588"/>
      <c r="N352" s="589"/>
      <c r="O352" s="950"/>
      <c r="P352" s="939" t="str">
        <f>IFERROR(__xludf.DUMMYFUNCTION("IF(Q352="""","""",
   IF(Q352=0,0,
      IF(ISNUMBER(MATCH(Q352,FILTER(R$247:R$367,T$247:T$367&lt;&gt;0),0)),1,0)
   )
)"),"")</f>
        <v/>
      </c>
      <c r="Q352" s="941"/>
      <c r="R352" s="942" t="s">
        <v>596</v>
      </c>
      <c r="S352" s="930" t="s">
        <v>52</v>
      </c>
      <c r="T352" s="488">
        <f t="shared" si="177"/>
        <v>0</v>
      </c>
      <c r="U352" s="489">
        <f t="shared" si="158"/>
        <v>4</v>
      </c>
      <c r="V352" s="490" t="str">
        <f t="shared" si="159"/>
        <v>#REF!</v>
      </c>
      <c r="W352" s="491"/>
      <c r="X352" s="489"/>
      <c r="Y352" s="492"/>
      <c r="Z352" s="493"/>
      <c r="AA352" s="931" t="str">
        <f t="shared" ref="AA352:AA355" si="326">iferror(Z352/T352,"")</f>
        <v/>
      </c>
      <c r="AB352" s="925" t="str">
        <f t="shared" si="172"/>
        <v/>
      </c>
      <c r="AC352" s="594"/>
      <c r="AD352" s="595"/>
      <c r="AE352" s="584"/>
      <c r="AF352" s="595"/>
      <c r="AG352" s="354"/>
      <c r="AH352" s="443"/>
      <c r="AI352" s="595"/>
      <c r="AJ352" s="595"/>
      <c r="AK352" s="595"/>
      <c r="AL352" s="595"/>
      <c r="AM352" s="595"/>
      <c r="AN352" s="584"/>
      <c r="AO352" s="595"/>
      <c r="AP352" s="595"/>
      <c r="AQ352" s="595"/>
      <c r="AR352" s="595"/>
      <c r="AS352" s="595"/>
      <c r="AT352" s="595"/>
      <c r="AU352" s="595"/>
      <c r="AV352" s="595"/>
      <c r="AW352" s="595"/>
      <c r="AX352" s="595"/>
      <c r="AY352" s="595"/>
      <c r="AZ352" s="595"/>
      <c r="BA352" s="595"/>
      <c r="BB352" s="595"/>
      <c r="BC352" s="595"/>
      <c r="BD352" s="595"/>
      <c r="BE352" s="595"/>
      <c r="BF352" s="595"/>
      <c r="BG352" s="595"/>
      <c r="BH352" s="595"/>
      <c r="BI352" s="595"/>
      <c r="BJ352" s="595"/>
      <c r="BK352" s="595"/>
      <c r="BL352" s="651"/>
      <c r="BM352" s="651"/>
      <c r="BN352" s="651"/>
      <c r="BO352" s="651"/>
      <c r="BP352" s="651"/>
      <c r="BQ352" s="651"/>
      <c r="BR352" s="651"/>
      <c r="BS352" s="651"/>
      <c r="BT352" s="651"/>
    </row>
    <row r="353">
      <c r="A353" s="1360"/>
      <c r="B353" s="584"/>
      <c r="C353" s="584"/>
      <c r="D353" s="584"/>
      <c r="E353" s="585"/>
      <c r="F353" s="586"/>
      <c r="G353" s="584"/>
      <c r="H353" s="584"/>
      <c r="I353" s="443"/>
      <c r="J353" s="443"/>
      <c r="K353" s="354"/>
      <c r="L353" s="588"/>
      <c r="M353" s="588"/>
      <c r="N353" s="589"/>
      <c r="O353" s="950"/>
      <c r="P353" s="939" t="str">
        <f>IFERROR(__xludf.DUMMYFUNCTION("IF(Q353="""","""",
   IF(Q353=0,0,
      IF(ISNUMBER(MATCH(Q353,FILTER(R$247:R$367,T$247:T$367&lt;&gt;0),0)),1,0)
   )
)"),"")</f>
        <v/>
      </c>
      <c r="Q353" s="941"/>
      <c r="R353" s="942" t="s">
        <v>598</v>
      </c>
      <c r="S353" s="930" t="s">
        <v>55</v>
      </c>
      <c r="T353" s="488">
        <f t="shared" si="177"/>
        <v>0</v>
      </c>
      <c r="U353" s="489">
        <f t="shared" si="158"/>
        <v>4</v>
      </c>
      <c r="V353" s="490" t="str">
        <f t="shared" si="159"/>
        <v>#REF!</v>
      </c>
      <c r="W353" s="491">
        <f t="shared" ref="W353:W358" si="327">(5/1)*$X$232</f>
        <v>20</v>
      </c>
      <c r="X353" s="489">
        <f t="shared" ref="X353:X362" si="328">W353*W$242</f>
        <v>160</v>
      </c>
      <c r="Y353" s="492">
        <f t="shared" ref="Y353:Y362" si="329">ROUNDUP(T353/X353,2)</f>
        <v>0</v>
      </c>
      <c r="Z353" s="493" t="str">
        <f t="shared" ref="Z353:Z362" si="330">Y353*V353*U353*W$242</f>
        <v>#REF!</v>
      </c>
      <c r="AA353" s="931" t="str">
        <f t="shared" si="326"/>
        <v/>
      </c>
      <c r="AB353" s="925" t="str">
        <f t="shared" si="172"/>
        <v/>
      </c>
      <c r="AC353" s="595"/>
      <c r="AD353" s="595"/>
      <c r="AE353" s="584"/>
      <c r="AF353" s="595"/>
      <c r="AG353" s="354"/>
      <c r="AH353" s="443"/>
      <c r="AI353" s="595"/>
      <c r="AJ353" s="595"/>
      <c r="AK353" s="595"/>
      <c r="AL353" s="595"/>
      <c r="AM353" s="595"/>
      <c r="AN353" s="584"/>
      <c r="AO353" s="595"/>
      <c r="AP353" s="595"/>
      <c r="AQ353" s="595"/>
      <c r="AR353" s="595"/>
      <c r="AS353" s="595"/>
      <c r="AT353" s="595"/>
      <c r="AU353" s="595"/>
      <c r="AV353" s="595"/>
      <c r="AW353" s="595"/>
      <c r="AX353" s="595"/>
      <c r="AY353" s="595"/>
      <c r="AZ353" s="595"/>
      <c r="BA353" s="595"/>
      <c r="BB353" s="595"/>
      <c r="BC353" s="595"/>
      <c r="BD353" s="595"/>
      <c r="BE353" s="595"/>
      <c r="BF353" s="595"/>
      <c r="BG353" s="595"/>
      <c r="BH353" s="595"/>
      <c r="BI353" s="595"/>
      <c r="BJ353" s="595"/>
      <c r="BK353" s="595"/>
      <c r="BL353" s="651"/>
      <c r="BM353" s="651"/>
      <c r="BN353" s="651"/>
      <c r="BO353" s="651"/>
      <c r="BP353" s="651"/>
      <c r="BQ353" s="651"/>
      <c r="BR353" s="651"/>
      <c r="BS353" s="651"/>
      <c r="BT353" s="651"/>
    </row>
    <row r="354">
      <c r="A354" s="1360"/>
      <c r="B354" s="584"/>
      <c r="C354" s="584"/>
      <c r="D354" s="584"/>
      <c r="E354" s="585"/>
      <c r="F354" s="586"/>
      <c r="G354" s="584"/>
      <c r="H354" s="584"/>
      <c r="I354" s="443"/>
      <c r="J354" s="443"/>
      <c r="K354" s="354"/>
      <c r="L354" s="588"/>
      <c r="M354" s="588"/>
      <c r="N354" s="589"/>
      <c r="O354" s="590"/>
      <c r="P354" s="939" t="str">
        <f>IFERROR(__xludf.DUMMYFUNCTION("IF(Q354="""","""",
   IF(Q354=0,0,
      IF(ISNUMBER(MATCH(Q354,FILTER(R$247:R$367,T$247:T$367&lt;&gt;0),0)),1,0)
   )
)"),"")</f>
        <v/>
      </c>
      <c r="Q354" s="941"/>
      <c r="R354" s="942" t="s">
        <v>589</v>
      </c>
      <c r="S354" s="930" t="s">
        <v>52</v>
      </c>
      <c r="T354" s="488">
        <f t="shared" si="177"/>
        <v>0</v>
      </c>
      <c r="U354" s="489">
        <f t="shared" si="158"/>
        <v>4</v>
      </c>
      <c r="V354" s="490" t="str">
        <f t="shared" si="159"/>
        <v>#REF!</v>
      </c>
      <c r="W354" s="491">
        <f t="shared" si="327"/>
        <v>20</v>
      </c>
      <c r="X354" s="489">
        <f t="shared" si="328"/>
        <v>160</v>
      </c>
      <c r="Y354" s="492">
        <f t="shared" si="329"/>
        <v>0</v>
      </c>
      <c r="Z354" s="493" t="str">
        <f t="shared" si="330"/>
        <v>#REF!</v>
      </c>
      <c r="AA354" s="931" t="str">
        <f t="shared" si="326"/>
        <v/>
      </c>
      <c r="AB354" s="925" t="str">
        <f t="shared" si="172"/>
        <v/>
      </c>
      <c r="AC354" s="595"/>
      <c r="AD354" s="595"/>
      <c r="AE354" s="584"/>
      <c r="AF354" s="595"/>
      <c r="AG354" s="354"/>
      <c r="AH354" s="443"/>
      <c r="AI354" s="595"/>
      <c r="AJ354" s="595"/>
      <c r="AK354" s="595"/>
      <c r="AL354" s="595"/>
      <c r="AM354" s="595"/>
      <c r="AN354" s="584"/>
      <c r="AO354" s="595"/>
      <c r="AP354" s="595"/>
      <c r="AQ354" s="595"/>
      <c r="AR354" s="595"/>
      <c r="AS354" s="595"/>
      <c r="AT354" s="595"/>
      <c r="AU354" s="595"/>
      <c r="AV354" s="595"/>
      <c r="AW354" s="595"/>
      <c r="AX354" s="595"/>
      <c r="AY354" s="595"/>
      <c r="AZ354" s="595"/>
      <c r="BA354" s="595"/>
      <c r="BB354" s="595"/>
      <c r="BC354" s="595"/>
      <c r="BD354" s="595"/>
      <c r="BE354" s="595"/>
      <c r="BF354" s="595"/>
      <c r="BG354" s="595"/>
      <c r="BH354" s="595"/>
      <c r="BI354" s="595"/>
      <c r="BJ354" s="595"/>
      <c r="BK354" s="595"/>
      <c r="BL354" s="651"/>
      <c r="BM354" s="651"/>
      <c r="BN354" s="651"/>
      <c r="BO354" s="651"/>
      <c r="BP354" s="651"/>
      <c r="BQ354" s="651"/>
      <c r="BR354" s="651"/>
      <c r="BS354" s="651"/>
      <c r="BT354" s="651"/>
    </row>
    <row r="355">
      <c r="A355" s="1360"/>
      <c r="B355" s="584"/>
      <c r="C355" s="584"/>
      <c r="D355" s="584"/>
      <c r="E355" s="585"/>
      <c r="F355" s="586"/>
      <c r="G355" s="584"/>
      <c r="H355" s="584"/>
      <c r="I355" s="584"/>
      <c r="J355" s="584"/>
      <c r="K355" s="586"/>
      <c r="L355" s="588"/>
      <c r="M355" s="588"/>
      <c r="N355" s="589"/>
      <c r="O355" s="590"/>
      <c r="P355" s="939" t="str">
        <f>IFERROR(__xludf.DUMMYFUNCTION("IF(Q355="""","""",
   IF(Q355=0,0,
      IF(ISNUMBER(MATCH(Q355,FILTER(R$247:R$367,T$247:T$367&lt;&gt;0),0)),1,0)
   )
)"),"")</f>
        <v/>
      </c>
      <c r="Q355" s="941"/>
      <c r="R355" s="942" t="s">
        <v>594</v>
      </c>
      <c r="S355" s="930" t="s">
        <v>55</v>
      </c>
      <c r="T355" s="488">
        <f t="shared" si="177"/>
        <v>0</v>
      </c>
      <c r="U355" s="489">
        <f t="shared" si="158"/>
        <v>4</v>
      </c>
      <c r="V355" s="490" t="str">
        <f t="shared" si="159"/>
        <v>#REF!</v>
      </c>
      <c r="W355" s="491">
        <f t="shared" si="327"/>
        <v>20</v>
      </c>
      <c r="X355" s="489">
        <f t="shared" si="328"/>
        <v>160</v>
      </c>
      <c r="Y355" s="492">
        <f t="shared" si="329"/>
        <v>0</v>
      </c>
      <c r="Z355" s="493" t="str">
        <f t="shared" si="330"/>
        <v>#REF!</v>
      </c>
      <c r="AA355" s="931" t="str">
        <f t="shared" si="326"/>
        <v/>
      </c>
      <c r="AB355" s="925" t="str">
        <f t="shared" si="172"/>
        <v/>
      </c>
      <c r="AC355" s="595"/>
      <c r="AD355" s="595"/>
      <c r="AE355" s="584"/>
      <c r="AF355" s="595"/>
      <c r="AG355" s="354"/>
      <c r="AH355" s="443"/>
      <c r="AI355" s="595"/>
      <c r="AJ355" s="595"/>
      <c r="AK355" s="595"/>
      <c r="AL355" s="595"/>
      <c r="AM355" s="595"/>
      <c r="AN355" s="584"/>
      <c r="AO355" s="595"/>
      <c r="AP355" s="595"/>
      <c r="AQ355" s="595"/>
      <c r="AR355" s="595"/>
      <c r="AS355" s="595"/>
      <c r="AT355" s="595"/>
      <c r="AU355" s="595"/>
      <c r="AV355" s="595"/>
      <c r="AW355" s="595"/>
      <c r="AX355" s="595"/>
      <c r="AY355" s="595"/>
      <c r="AZ355" s="595"/>
      <c r="BA355" s="595"/>
      <c r="BB355" s="595"/>
      <c r="BC355" s="595"/>
      <c r="BD355" s="595"/>
      <c r="BE355" s="595"/>
      <c r="BF355" s="595"/>
      <c r="BG355" s="595"/>
      <c r="BH355" s="595"/>
      <c r="BI355" s="595"/>
      <c r="BJ355" s="595"/>
      <c r="BK355" s="595"/>
      <c r="BL355" s="651"/>
      <c r="BM355" s="651"/>
      <c r="BN355" s="651"/>
      <c r="BO355" s="651"/>
      <c r="BP355" s="651"/>
      <c r="BQ355" s="651"/>
      <c r="BR355" s="651"/>
      <c r="BS355" s="651"/>
      <c r="BT355" s="651"/>
    </row>
    <row r="356">
      <c r="A356" s="1360"/>
      <c r="B356" s="584"/>
      <c r="C356" s="584"/>
      <c r="D356" s="584"/>
      <c r="E356" s="585"/>
      <c r="F356" s="586"/>
      <c r="G356" s="584"/>
      <c r="H356" s="584"/>
      <c r="I356" s="443"/>
      <c r="J356" s="584"/>
      <c r="K356" s="354"/>
      <c r="L356" s="588"/>
      <c r="M356" s="588"/>
      <c r="N356" s="589"/>
      <c r="O356" s="950"/>
      <c r="P356" s="939" t="str">
        <f>IFERROR(__xludf.DUMMYFUNCTION("IF(Q356="""","""",
   IF(Q356=0,0,
      IF(ISNUMBER(MATCH(Q356,FILTER(R$247:R$367,T$247:T$367&lt;&gt;0),0)),1,0)
   )
)"),"")</f>
        <v/>
      </c>
      <c r="Q356" s="941"/>
      <c r="R356" s="942" t="s">
        <v>600</v>
      </c>
      <c r="S356" s="930" t="s">
        <v>52</v>
      </c>
      <c r="T356" s="488">
        <f t="shared" si="177"/>
        <v>0</v>
      </c>
      <c r="U356" s="489">
        <f t="shared" si="158"/>
        <v>4</v>
      </c>
      <c r="V356" s="490" t="str">
        <f t="shared" si="159"/>
        <v>#REF!</v>
      </c>
      <c r="W356" s="491">
        <f t="shared" si="327"/>
        <v>20</v>
      </c>
      <c r="X356" s="489">
        <f t="shared" si="328"/>
        <v>160</v>
      </c>
      <c r="Y356" s="492">
        <f t="shared" si="329"/>
        <v>0</v>
      </c>
      <c r="Z356" s="493" t="str">
        <f t="shared" si="330"/>
        <v>#REF!</v>
      </c>
      <c r="AA356" s="1044"/>
      <c r="AB356" s="925" t="str">
        <f t="shared" si="172"/>
        <v/>
      </c>
      <c r="AC356" s="595"/>
      <c r="AD356" s="595"/>
      <c r="AE356" s="584"/>
      <c r="AF356" s="595"/>
      <c r="AG356" s="354"/>
      <c r="AH356" s="443"/>
      <c r="AI356" s="595"/>
      <c r="AJ356" s="595"/>
      <c r="AK356" s="595"/>
      <c r="AL356" s="595"/>
      <c r="AM356" s="595"/>
      <c r="AN356" s="584"/>
      <c r="AO356" s="595"/>
      <c r="AP356" s="595"/>
      <c r="AQ356" s="595"/>
      <c r="AR356" s="595"/>
      <c r="AS356" s="595"/>
      <c r="AT356" s="595"/>
      <c r="AU356" s="595"/>
      <c r="AV356" s="595"/>
      <c r="AW356" s="595"/>
      <c r="AX356" s="595"/>
      <c r="AY356" s="595"/>
      <c r="AZ356" s="595"/>
      <c r="BA356" s="595"/>
      <c r="BB356" s="595"/>
      <c r="BC356" s="595"/>
      <c r="BD356" s="595"/>
      <c r="BE356" s="595"/>
      <c r="BF356" s="595"/>
      <c r="BG356" s="595"/>
      <c r="BH356" s="595"/>
      <c r="BI356" s="595"/>
      <c r="BJ356" s="595"/>
      <c r="BK356" s="595"/>
      <c r="BL356" s="651"/>
      <c r="BM356" s="651"/>
      <c r="BN356" s="651"/>
      <c r="BO356" s="651"/>
      <c r="BP356" s="651"/>
      <c r="BQ356" s="651"/>
      <c r="BR356" s="651"/>
      <c r="BS356" s="651"/>
      <c r="BT356" s="651"/>
    </row>
    <row r="357">
      <c r="A357" s="1360"/>
      <c r="B357" s="584"/>
      <c r="C357" s="584"/>
      <c r="D357" s="584"/>
      <c r="E357" s="585"/>
      <c r="F357" s="586"/>
      <c r="G357" s="584"/>
      <c r="H357" s="584"/>
      <c r="I357" s="443"/>
      <c r="J357" s="584"/>
      <c r="K357" s="354"/>
      <c r="L357" s="588"/>
      <c r="M357" s="588"/>
      <c r="N357" s="589"/>
      <c r="O357" s="590"/>
      <c r="P357" s="939" t="str">
        <f>IFERROR(__xludf.DUMMYFUNCTION("IF(Q357="""","""",
   IF(Q357=0,0,
      IF(ISNUMBER(MATCH(Q357,FILTER(R$247:R$367,T$247:T$367&lt;&gt;0),0)),1,0)
   )
)"),"")</f>
        <v/>
      </c>
      <c r="Q357" s="941"/>
      <c r="R357" s="942" t="s">
        <v>613</v>
      </c>
      <c r="S357" s="930" t="s">
        <v>52</v>
      </c>
      <c r="T357" s="488">
        <f t="shared" si="177"/>
        <v>0</v>
      </c>
      <c r="U357" s="489">
        <f t="shared" si="158"/>
        <v>4</v>
      </c>
      <c r="V357" s="490" t="str">
        <f t="shared" si="159"/>
        <v>#REF!</v>
      </c>
      <c r="W357" s="491">
        <f t="shared" si="327"/>
        <v>20</v>
      </c>
      <c r="X357" s="489">
        <f t="shared" si="328"/>
        <v>160</v>
      </c>
      <c r="Y357" s="492">
        <f t="shared" si="329"/>
        <v>0</v>
      </c>
      <c r="Z357" s="493" t="str">
        <f t="shared" si="330"/>
        <v>#REF!</v>
      </c>
      <c r="AA357" s="1044"/>
      <c r="AB357" s="925" t="str">
        <f t="shared" si="172"/>
        <v/>
      </c>
      <c r="AC357" s="595"/>
      <c r="AD357" s="595"/>
      <c r="AE357" s="584"/>
      <c r="AF357" s="595"/>
      <c r="AG357" s="354"/>
      <c r="AH357" s="443"/>
      <c r="AI357" s="595"/>
      <c r="AJ357" s="595"/>
      <c r="AK357" s="595"/>
      <c r="AL357" s="595"/>
      <c r="AM357" s="595"/>
      <c r="AN357" s="584"/>
      <c r="AO357" s="595"/>
      <c r="AP357" s="595"/>
      <c r="AQ357" s="595"/>
      <c r="AR357" s="595"/>
      <c r="AS357" s="595"/>
      <c r="AT357" s="595"/>
      <c r="AU357" s="595"/>
      <c r="AV357" s="595"/>
      <c r="AW357" s="595"/>
      <c r="AX357" s="595"/>
      <c r="AY357" s="595"/>
      <c r="AZ357" s="595"/>
      <c r="BA357" s="595"/>
      <c r="BB357" s="595"/>
      <c r="BC357" s="595"/>
      <c r="BD357" s="595"/>
      <c r="BE357" s="595"/>
      <c r="BF357" s="595"/>
      <c r="BG357" s="595"/>
      <c r="BH357" s="595"/>
      <c r="BI357" s="595"/>
      <c r="BJ357" s="595"/>
      <c r="BK357" s="595"/>
      <c r="BL357" s="651"/>
      <c r="BM357" s="651"/>
      <c r="BN357" s="651"/>
      <c r="BO357" s="651"/>
      <c r="BP357" s="651"/>
      <c r="BQ357" s="651"/>
      <c r="BR357" s="651"/>
      <c r="BS357" s="651"/>
      <c r="BT357" s="651"/>
    </row>
    <row r="358">
      <c r="A358" s="1360"/>
      <c r="B358" s="584"/>
      <c r="C358" s="584"/>
      <c r="D358" s="584"/>
      <c r="E358" s="585"/>
      <c r="F358" s="586"/>
      <c r="G358" s="584"/>
      <c r="H358" s="584"/>
      <c r="I358" s="584"/>
      <c r="J358" s="584"/>
      <c r="K358" s="586"/>
      <c r="L358" s="588"/>
      <c r="M358" s="588"/>
      <c r="N358" s="589"/>
      <c r="O358" s="590"/>
      <c r="P358" s="939" t="str">
        <f>IFERROR(__xludf.DUMMYFUNCTION("IF(Q358="""","""",
   IF(Q358=0,0,
      IF(ISNUMBER(MATCH(Q358,FILTER(R$247:R$367,T$247:T$367&lt;&gt;0),0)),1,0)
   )
)"),"")</f>
        <v/>
      </c>
      <c r="Q358" s="941"/>
      <c r="R358" s="942" t="s">
        <v>599</v>
      </c>
      <c r="S358" s="930" t="s">
        <v>52</v>
      </c>
      <c r="T358" s="488">
        <f t="shared" si="177"/>
        <v>0</v>
      </c>
      <c r="U358" s="489">
        <f t="shared" si="158"/>
        <v>4</v>
      </c>
      <c r="V358" s="490" t="str">
        <f t="shared" si="159"/>
        <v>#REF!</v>
      </c>
      <c r="W358" s="491">
        <f t="shared" si="327"/>
        <v>20</v>
      </c>
      <c r="X358" s="489">
        <f t="shared" si="328"/>
        <v>160</v>
      </c>
      <c r="Y358" s="492">
        <f t="shared" si="329"/>
        <v>0</v>
      </c>
      <c r="Z358" s="493" t="str">
        <f t="shared" si="330"/>
        <v>#REF!</v>
      </c>
      <c r="AA358" s="1044"/>
      <c r="AB358" s="925" t="str">
        <f t="shared" si="172"/>
        <v/>
      </c>
      <c r="AC358" s="595"/>
      <c r="AD358" s="595"/>
      <c r="AE358" s="584"/>
      <c r="AF358" s="595"/>
      <c r="AG358" s="354"/>
      <c r="AH358" s="443"/>
      <c r="AI358" s="595"/>
      <c r="AJ358" s="595"/>
      <c r="AK358" s="595"/>
      <c r="AL358" s="595"/>
      <c r="AM358" s="595"/>
      <c r="AN358" s="584"/>
      <c r="AO358" s="595"/>
      <c r="AP358" s="595"/>
      <c r="AQ358" s="595"/>
      <c r="AR358" s="595"/>
      <c r="AS358" s="595"/>
      <c r="AT358" s="595"/>
      <c r="AU358" s="595"/>
      <c r="AV358" s="595"/>
      <c r="AW358" s="595"/>
      <c r="AX358" s="595"/>
      <c r="AY358" s="595"/>
      <c r="AZ358" s="595"/>
      <c r="BA358" s="595"/>
      <c r="BB358" s="595"/>
      <c r="BC358" s="595"/>
      <c r="BD358" s="595"/>
      <c r="BE358" s="595"/>
      <c r="BF358" s="595"/>
      <c r="BG358" s="595"/>
      <c r="BH358" s="595"/>
      <c r="BI358" s="595"/>
      <c r="BJ358" s="595"/>
      <c r="BK358" s="595"/>
      <c r="BL358" s="651"/>
      <c r="BM358" s="651"/>
      <c r="BN358" s="651"/>
      <c r="BO358" s="651"/>
      <c r="BP358" s="651"/>
      <c r="BQ358" s="651"/>
      <c r="BR358" s="651"/>
      <c r="BS358" s="651"/>
      <c r="BT358" s="651"/>
    </row>
    <row r="359">
      <c r="A359" s="1360"/>
      <c r="B359" s="584"/>
      <c r="C359" s="584"/>
      <c r="D359" s="584"/>
      <c r="E359" s="585"/>
      <c r="F359" s="586"/>
      <c r="G359" s="584"/>
      <c r="H359" s="584"/>
      <c r="I359" s="584"/>
      <c r="J359" s="584"/>
      <c r="K359" s="586"/>
      <c r="L359" s="588"/>
      <c r="M359" s="588"/>
      <c r="N359" s="589"/>
      <c r="O359" s="950"/>
      <c r="P359" s="939" t="str">
        <f>IFERROR(__xludf.DUMMYFUNCTION("IF(Q359="""","""",
   IF(Q359=0,0,
      IF(ISNUMBER(MATCH(Q359,FILTER(R$247:R$367,T$247:T$367&lt;&gt;0),0)),1,0)
   )
)"),"")</f>
        <v/>
      </c>
      <c r="Q359" s="941"/>
      <c r="R359" s="942" t="s">
        <v>610</v>
      </c>
      <c r="S359" s="930" t="s">
        <v>52</v>
      </c>
      <c r="T359" s="488">
        <f t="shared" si="177"/>
        <v>0</v>
      </c>
      <c r="U359" s="489">
        <f t="shared" si="158"/>
        <v>4</v>
      </c>
      <c r="V359" s="490" t="str">
        <f t="shared" si="159"/>
        <v>#REF!</v>
      </c>
      <c r="W359" s="491">
        <f>(0.1/2)*$X$232</f>
        <v>0.2</v>
      </c>
      <c r="X359" s="489">
        <f t="shared" si="328"/>
        <v>1.6</v>
      </c>
      <c r="Y359" s="492">
        <f t="shared" si="329"/>
        <v>0</v>
      </c>
      <c r="Z359" s="493" t="str">
        <f t="shared" si="330"/>
        <v>#REF!</v>
      </c>
      <c r="AA359" s="931" t="str">
        <f>iferror(Z359/T359,"")</f>
        <v/>
      </c>
      <c r="AB359" s="925" t="str">
        <f t="shared" si="172"/>
        <v/>
      </c>
      <c r="AC359" s="595"/>
      <c r="AD359" s="595"/>
      <c r="AE359" s="584"/>
      <c r="AF359" s="595"/>
      <c r="AG359" s="354"/>
      <c r="AH359" s="443"/>
      <c r="AI359" s="595"/>
      <c r="AJ359" s="595"/>
      <c r="AK359" s="595"/>
      <c r="AL359" s="595"/>
      <c r="AM359" s="595"/>
      <c r="AN359" s="584"/>
      <c r="AO359" s="595"/>
      <c r="AP359" s="595"/>
      <c r="AQ359" s="595"/>
      <c r="AR359" s="595"/>
      <c r="AS359" s="595"/>
      <c r="AT359" s="595"/>
      <c r="AU359" s="595"/>
      <c r="AV359" s="595"/>
      <c r="AW359" s="595"/>
      <c r="AX359" s="595"/>
      <c r="AY359" s="595"/>
      <c r="AZ359" s="595"/>
      <c r="BA359" s="595"/>
      <c r="BB359" s="595"/>
      <c r="BC359" s="595"/>
      <c r="BD359" s="595"/>
      <c r="BE359" s="595"/>
      <c r="BF359" s="595"/>
      <c r="BG359" s="595"/>
      <c r="BH359" s="595"/>
      <c r="BI359" s="595"/>
      <c r="BJ359" s="595"/>
      <c r="BK359" s="595"/>
      <c r="BL359" s="651"/>
      <c r="BM359" s="651"/>
      <c r="BN359" s="651"/>
      <c r="BO359" s="651"/>
      <c r="BP359" s="651"/>
      <c r="BQ359" s="651"/>
      <c r="BR359" s="651"/>
      <c r="BS359" s="651"/>
      <c r="BT359" s="651"/>
    </row>
    <row r="360">
      <c r="A360" s="1360"/>
      <c r="B360" s="584"/>
      <c r="C360" s="584"/>
      <c r="D360" s="584"/>
      <c r="E360" s="585"/>
      <c r="F360" s="586"/>
      <c r="G360" s="584"/>
      <c r="H360" s="584"/>
      <c r="I360" s="443"/>
      <c r="J360" s="443"/>
      <c r="K360" s="354"/>
      <c r="L360" s="588"/>
      <c r="M360" s="588"/>
      <c r="N360" s="589"/>
      <c r="O360" s="950"/>
      <c r="P360" s="939"/>
      <c r="Q360" s="941"/>
      <c r="R360" s="942" t="s">
        <v>614</v>
      </c>
      <c r="S360" s="930" t="s">
        <v>55</v>
      </c>
      <c r="T360" s="488">
        <f t="shared" si="177"/>
        <v>0</v>
      </c>
      <c r="U360" s="489">
        <f t="shared" si="158"/>
        <v>4</v>
      </c>
      <c r="V360" s="490" t="str">
        <f t="shared" si="159"/>
        <v>#REF!</v>
      </c>
      <c r="W360" s="491">
        <f t="shared" ref="W360:W361" si="331">(5/1)*$X$232</f>
        <v>20</v>
      </c>
      <c r="X360" s="489">
        <f t="shared" si="328"/>
        <v>160</v>
      </c>
      <c r="Y360" s="492">
        <f t="shared" si="329"/>
        <v>0</v>
      </c>
      <c r="Z360" s="493" t="str">
        <f t="shared" si="330"/>
        <v>#REF!</v>
      </c>
      <c r="AA360" s="1044"/>
      <c r="AB360" s="925" t="str">
        <f t="shared" si="172"/>
        <v/>
      </c>
      <c r="AC360" s="595"/>
      <c r="AD360" s="595"/>
      <c r="AE360" s="584"/>
      <c r="AF360" s="595"/>
      <c r="AG360" s="354"/>
      <c r="AH360" s="443"/>
      <c r="AI360" s="595"/>
      <c r="AJ360" s="595"/>
      <c r="AK360" s="595"/>
      <c r="AL360" s="595"/>
      <c r="AM360" s="595"/>
      <c r="AN360" s="584"/>
      <c r="AO360" s="595"/>
      <c r="AP360" s="595"/>
      <c r="AQ360" s="595"/>
      <c r="AR360" s="595"/>
      <c r="AS360" s="595"/>
      <c r="AT360" s="595"/>
      <c r="AU360" s="595"/>
      <c r="AV360" s="595"/>
      <c r="AW360" s="595"/>
      <c r="AX360" s="595"/>
      <c r="AY360" s="595"/>
      <c r="AZ360" s="595"/>
      <c r="BA360" s="595"/>
      <c r="BB360" s="595"/>
      <c r="BC360" s="595"/>
      <c r="BD360" s="595"/>
      <c r="BE360" s="595"/>
      <c r="BF360" s="595"/>
      <c r="BG360" s="595"/>
      <c r="BH360" s="595"/>
      <c r="BI360" s="595"/>
      <c r="BJ360" s="595"/>
      <c r="BK360" s="595"/>
      <c r="BL360" s="651"/>
      <c r="BM360" s="651"/>
      <c r="BN360" s="651"/>
      <c r="BO360" s="651"/>
      <c r="BP360" s="651"/>
      <c r="BQ360" s="651"/>
      <c r="BR360" s="651"/>
      <c r="BS360" s="651"/>
      <c r="BT360" s="651"/>
    </row>
    <row r="361">
      <c r="A361" s="1360"/>
      <c r="B361" s="584"/>
      <c r="C361" s="584"/>
      <c r="D361" s="584"/>
      <c r="E361" s="585"/>
      <c r="F361" s="586"/>
      <c r="G361" s="584"/>
      <c r="H361" s="584"/>
      <c r="I361" s="443"/>
      <c r="J361" s="443"/>
      <c r="K361" s="354"/>
      <c r="L361" s="588"/>
      <c r="M361" s="588"/>
      <c r="N361" s="589"/>
      <c r="O361" s="595"/>
      <c r="P361" s="939"/>
      <c r="Q361" s="941"/>
      <c r="R361" s="942" t="s">
        <v>601</v>
      </c>
      <c r="S361" s="930" t="s">
        <v>52</v>
      </c>
      <c r="T361" s="488">
        <f t="shared" si="177"/>
        <v>0</v>
      </c>
      <c r="U361" s="489">
        <f t="shared" si="158"/>
        <v>4</v>
      </c>
      <c r="V361" s="490" t="str">
        <f t="shared" si="159"/>
        <v>#REF!</v>
      </c>
      <c r="W361" s="491">
        <f t="shared" si="331"/>
        <v>20</v>
      </c>
      <c r="X361" s="489">
        <f t="shared" si="328"/>
        <v>160</v>
      </c>
      <c r="Y361" s="492">
        <f t="shared" si="329"/>
        <v>0</v>
      </c>
      <c r="Z361" s="493" t="str">
        <f t="shared" si="330"/>
        <v>#REF!</v>
      </c>
      <c r="AA361" s="931" t="str">
        <f t="shared" ref="AA361:AA362" si="332">iferror(Z361/T361,"")</f>
        <v/>
      </c>
      <c r="AB361" s="925" t="str">
        <f t="shared" si="172"/>
        <v/>
      </c>
      <c r="AC361" s="595"/>
      <c r="AD361" s="595"/>
      <c r="AE361" s="584"/>
      <c r="AF361" s="595"/>
      <c r="AG361" s="354"/>
      <c r="AH361" s="443"/>
      <c r="AI361" s="595"/>
      <c r="AJ361" s="595"/>
      <c r="AK361" s="595"/>
      <c r="AL361" s="595"/>
      <c r="AM361" s="595"/>
      <c r="AN361" s="584"/>
      <c r="AO361" s="595"/>
      <c r="AP361" s="595"/>
      <c r="AQ361" s="595"/>
      <c r="AR361" s="595"/>
      <c r="AS361" s="595"/>
      <c r="AT361" s="595"/>
      <c r="AU361" s="595"/>
      <c r="AV361" s="595"/>
      <c r="AW361" s="595"/>
      <c r="AX361" s="595"/>
      <c r="AY361" s="595"/>
      <c r="AZ361" s="595"/>
      <c r="BA361" s="595"/>
      <c r="BB361" s="595"/>
      <c r="BC361" s="595"/>
      <c r="BD361" s="595"/>
      <c r="BE361" s="595"/>
      <c r="BF361" s="595"/>
      <c r="BG361" s="595"/>
      <c r="BH361" s="595"/>
      <c r="BI361" s="595"/>
      <c r="BJ361" s="595"/>
      <c r="BK361" s="595"/>
      <c r="BL361" s="651"/>
      <c r="BM361" s="651"/>
      <c r="BN361" s="651"/>
      <c r="BO361" s="651"/>
      <c r="BP361" s="651"/>
      <c r="BQ361" s="651"/>
      <c r="BR361" s="651"/>
      <c r="BS361" s="651"/>
      <c r="BT361" s="651"/>
    </row>
    <row r="362">
      <c r="A362" s="1360"/>
      <c r="B362" s="584"/>
      <c r="C362" s="584"/>
      <c r="D362" s="584"/>
      <c r="E362" s="585"/>
      <c r="F362" s="586"/>
      <c r="G362" s="584"/>
      <c r="H362" s="584"/>
      <c r="I362" s="443"/>
      <c r="J362" s="443"/>
      <c r="K362" s="354"/>
      <c r="L362" s="588"/>
      <c r="M362" s="588"/>
      <c r="N362" s="589"/>
      <c r="O362" s="595"/>
      <c r="P362" s="939"/>
      <c r="Q362" s="941"/>
      <c r="R362" s="942" t="s">
        <v>603</v>
      </c>
      <c r="S362" s="930" t="s">
        <v>52</v>
      </c>
      <c r="T362" s="488">
        <f t="shared" si="177"/>
        <v>1</v>
      </c>
      <c r="U362" s="489">
        <f t="shared" si="158"/>
        <v>4</v>
      </c>
      <c r="V362" s="490" t="str">
        <f t="shared" si="159"/>
        <v>#REF!</v>
      </c>
      <c r="W362" s="491">
        <f>(3/1)*$X$232</f>
        <v>12</v>
      </c>
      <c r="X362" s="489">
        <f t="shared" si="328"/>
        <v>96</v>
      </c>
      <c r="Y362" s="492">
        <f t="shared" si="329"/>
        <v>0.02</v>
      </c>
      <c r="Z362" s="493" t="str">
        <f t="shared" si="330"/>
        <v>#REF!</v>
      </c>
      <c r="AA362" s="931" t="str">
        <f t="shared" si="332"/>
        <v/>
      </c>
      <c r="AB362" s="925" t="str">
        <f t="shared" si="172"/>
        <v/>
      </c>
      <c r="AC362" s="595"/>
      <c r="AD362" s="595"/>
      <c r="AE362" s="584"/>
      <c r="AF362" s="595"/>
      <c r="AG362" s="354"/>
      <c r="AH362" s="443"/>
      <c r="AI362" s="595"/>
      <c r="AJ362" s="595"/>
      <c r="AK362" s="595"/>
      <c r="AL362" s="595"/>
      <c r="AM362" s="595"/>
      <c r="AN362" s="584"/>
      <c r="AO362" s="595"/>
      <c r="AP362" s="595"/>
      <c r="AQ362" s="595"/>
      <c r="AR362" s="595"/>
      <c r="AS362" s="595"/>
      <c r="AT362" s="595"/>
      <c r="AU362" s="595"/>
      <c r="AV362" s="595"/>
      <c r="AW362" s="595"/>
      <c r="AX362" s="595"/>
      <c r="AY362" s="595"/>
      <c r="AZ362" s="595"/>
      <c r="BA362" s="595"/>
      <c r="BB362" s="595"/>
      <c r="BC362" s="595"/>
      <c r="BD362" s="595"/>
      <c r="BE362" s="595"/>
      <c r="BF362" s="595"/>
      <c r="BG362" s="595"/>
      <c r="BH362" s="595"/>
      <c r="BI362" s="595"/>
      <c r="BJ362" s="595"/>
      <c r="BK362" s="595"/>
      <c r="BL362" s="651"/>
      <c r="BM362" s="651"/>
      <c r="BN362" s="651"/>
      <c r="BO362" s="651"/>
      <c r="BP362" s="651"/>
      <c r="BQ362" s="651"/>
      <c r="BR362" s="651"/>
      <c r="BS362" s="651"/>
      <c r="BT362" s="651"/>
    </row>
    <row r="363">
      <c r="A363" s="1360"/>
      <c r="B363" s="584"/>
      <c r="C363" s="584"/>
      <c r="D363" s="584"/>
      <c r="E363" s="585"/>
      <c r="F363" s="586"/>
      <c r="G363" s="584"/>
      <c r="H363" s="584"/>
      <c r="I363" s="443"/>
      <c r="J363" s="443"/>
      <c r="K363" s="354"/>
      <c r="L363" s="588"/>
      <c r="M363" s="588"/>
      <c r="N363" s="589"/>
      <c r="O363" s="595"/>
      <c r="P363" s="939"/>
      <c r="Q363" s="941"/>
      <c r="R363" s="929"/>
      <c r="S363" s="930"/>
      <c r="T363" s="488">
        <f t="shared" si="177"/>
        <v>0</v>
      </c>
      <c r="U363" s="489"/>
      <c r="V363" s="490"/>
      <c r="W363" s="491"/>
      <c r="X363" s="489"/>
      <c r="Y363" s="492"/>
      <c r="Z363" s="493"/>
      <c r="AA363" s="1044"/>
      <c r="AB363" s="925" t="str">
        <f t="shared" si="172"/>
        <v/>
      </c>
      <c r="AC363" s="595"/>
      <c r="AD363" s="595"/>
      <c r="AE363" s="584"/>
      <c r="AF363" s="595"/>
      <c r="AG363" s="354"/>
      <c r="AH363" s="443"/>
      <c r="AI363" s="595"/>
      <c r="AJ363" s="595"/>
      <c r="AK363" s="595"/>
      <c r="AL363" s="595"/>
      <c r="AM363" s="595"/>
      <c r="AN363" s="584"/>
      <c r="AO363" s="595"/>
      <c r="AP363" s="595"/>
      <c r="AQ363" s="584"/>
      <c r="AR363" s="584"/>
      <c r="AS363" s="584"/>
      <c r="AT363" s="584"/>
      <c r="AU363" s="584"/>
      <c r="AV363" s="584"/>
      <c r="AW363" s="584"/>
      <c r="AX363" s="584"/>
      <c r="AY363" s="584"/>
      <c r="AZ363" s="584"/>
      <c r="BA363" s="584"/>
      <c r="BB363" s="595"/>
      <c r="BC363" s="595"/>
      <c r="BD363" s="595"/>
      <c r="BE363" s="595"/>
      <c r="BF363" s="595"/>
      <c r="BG363" s="595"/>
      <c r="BH363" s="595"/>
      <c r="BI363" s="595"/>
      <c r="BJ363" s="595"/>
      <c r="BK363" s="595"/>
      <c r="BL363" s="651"/>
      <c r="BM363" s="651"/>
      <c r="BN363" s="651"/>
      <c r="BO363" s="651"/>
      <c r="BP363" s="651"/>
      <c r="BQ363" s="651"/>
      <c r="BR363" s="651"/>
      <c r="BS363" s="651"/>
      <c r="BT363" s="651"/>
    </row>
    <row r="364">
      <c r="A364" s="1360"/>
      <c r="B364" s="584"/>
      <c r="C364" s="584"/>
      <c r="D364" s="584"/>
      <c r="E364" s="585"/>
      <c r="F364" s="586"/>
      <c r="G364" s="584"/>
      <c r="H364" s="584"/>
      <c r="I364" s="443"/>
      <c r="J364" s="443"/>
      <c r="K364" s="354"/>
      <c r="L364" s="588"/>
      <c r="M364" s="588"/>
      <c r="N364" s="589"/>
      <c r="O364" s="595"/>
      <c r="P364" s="939"/>
      <c r="Q364" s="941"/>
      <c r="R364" s="929"/>
      <c r="S364" s="930"/>
      <c r="T364" s="488">
        <f t="shared" si="177"/>
        <v>0</v>
      </c>
      <c r="U364" s="489"/>
      <c r="V364" s="490"/>
      <c r="W364" s="491"/>
      <c r="X364" s="489"/>
      <c r="Y364" s="492"/>
      <c r="Z364" s="493"/>
      <c r="AA364" s="1044"/>
      <c r="AB364" s="925" t="str">
        <f t="shared" si="172"/>
        <v/>
      </c>
      <c r="AC364" s="595"/>
      <c r="AD364" s="595"/>
      <c r="AE364" s="584"/>
      <c r="AF364" s="595"/>
      <c r="AG364" s="354"/>
      <c r="AH364" s="443"/>
      <c r="AI364" s="595"/>
      <c r="AJ364" s="595"/>
      <c r="AK364" s="595"/>
      <c r="AL364" s="595"/>
      <c r="AM364" s="595"/>
      <c r="AN364" s="584"/>
      <c r="AO364" s="595"/>
      <c r="AP364" s="595"/>
      <c r="AQ364" s="584"/>
      <c r="AR364" s="584"/>
      <c r="AS364" s="584"/>
      <c r="AT364" s="584"/>
      <c r="AU364" s="584"/>
      <c r="AV364" s="584"/>
      <c r="AW364" s="584"/>
      <c r="AX364" s="584"/>
      <c r="AY364" s="584"/>
      <c r="AZ364" s="584"/>
      <c r="BA364" s="584"/>
      <c r="BB364" s="595"/>
      <c r="BC364" s="595"/>
      <c r="BD364" s="595"/>
      <c r="BE364" s="595"/>
      <c r="BF364" s="595"/>
      <c r="BG364" s="595"/>
      <c r="BH364" s="595"/>
      <c r="BI364" s="595"/>
      <c r="BJ364" s="595"/>
      <c r="BK364" s="595"/>
      <c r="BL364" s="651"/>
      <c r="BM364" s="651"/>
      <c r="BN364" s="651"/>
      <c r="BO364" s="651"/>
      <c r="BP364" s="651"/>
      <c r="BQ364" s="651"/>
      <c r="BR364" s="651"/>
      <c r="BS364" s="651"/>
      <c r="BT364" s="651"/>
    </row>
    <row r="365">
      <c r="A365" s="1360"/>
      <c r="B365" s="584"/>
      <c r="C365" s="584"/>
      <c r="D365" s="584"/>
      <c r="E365" s="585"/>
      <c r="F365" s="586"/>
      <c r="G365" s="584"/>
      <c r="H365" s="584"/>
      <c r="I365" s="443"/>
      <c r="J365" s="443"/>
      <c r="K365" s="354"/>
      <c r="L365" s="588"/>
      <c r="M365" s="588"/>
      <c r="N365" s="589"/>
      <c r="O365" s="595"/>
      <c r="P365" s="939"/>
      <c r="Q365" s="941"/>
      <c r="R365" s="929"/>
      <c r="S365" s="930"/>
      <c r="T365" s="488">
        <f t="shared" si="177"/>
        <v>0</v>
      </c>
      <c r="U365" s="489"/>
      <c r="V365" s="490"/>
      <c r="W365" s="491"/>
      <c r="X365" s="489"/>
      <c r="Y365" s="492"/>
      <c r="Z365" s="493"/>
      <c r="AA365" s="1044"/>
      <c r="AB365" s="925" t="str">
        <f t="shared" si="172"/>
        <v/>
      </c>
      <c r="AC365" s="595"/>
      <c r="AD365" s="595"/>
      <c r="AE365" s="584"/>
      <c r="AF365" s="595"/>
      <c r="AG365" s="354"/>
      <c r="AH365" s="443"/>
      <c r="AI365" s="595"/>
      <c r="AJ365" s="595"/>
      <c r="AK365" s="595"/>
      <c r="AL365" s="595"/>
      <c r="AM365" s="595"/>
      <c r="AN365" s="584"/>
      <c r="AO365" s="595"/>
      <c r="AP365" s="595"/>
      <c r="AQ365" s="584"/>
      <c r="AR365" s="584"/>
      <c r="AS365" s="584"/>
      <c r="AT365" s="584"/>
      <c r="AU365" s="584"/>
      <c r="AV365" s="584"/>
      <c r="AW365" s="584"/>
      <c r="AX365" s="584"/>
      <c r="AY365" s="584"/>
      <c r="AZ365" s="584"/>
      <c r="BA365" s="584"/>
      <c r="BB365" s="595"/>
      <c r="BC365" s="595"/>
      <c r="BD365" s="595"/>
      <c r="BE365" s="595"/>
      <c r="BF365" s="595"/>
      <c r="BG365" s="595"/>
      <c r="BH365" s="595"/>
      <c r="BI365" s="595"/>
      <c r="BJ365" s="595"/>
      <c r="BK365" s="595"/>
      <c r="BL365" s="651"/>
      <c r="BM365" s="651"/>
      <c r="BN365" s="651"/>
      <c r="BO365" s="651"/>
      <c r="BP365" s="651"/>
      <c r="BQ365" s="651"/>
      <c r="BR365" s="651"/>
      <c r="BS365" s="651"/>
      <c r="BT365" s="651"/>
    </row>
    <row r="366">
      <c r="A366" s="1360"/>
      <c r="B366" s="584"/>
      <c r="C366" s="584"/>
      <c r="D366" s="584"/>
      <c r="E366" s="585"/>
      <c r="F366" s="586"/>
      <c r="G366" s="584"/>
      <c r="H366" s="584"/>
      <c r="I366" s="443"/>
      <c r="J366" s="443"/>
      <c r="K366" s="354"/>
      <c r="L366" s="588"/>
      <c r="M366" s="588"/>
      <c r="N366" s="589"/>
      <c r="O366" s="595"/>
      <c r="P366" s="939"/>
      <c r="Q366" s="941"/>
      <c r="R366" s="1045" t="s">
        <v>618</v>
      </c>
      <c r="S366" s="918" t="s">
        <v>251</v>
      </c>
      <c r="T366" s="919"/>
      <c r="U366" s="480">
        <f t="shared" ref="U366:U367" si="333">$X$232</f>
        <v>4</v>
      </c>
      <c r="V366" s="481" t="str">
        <f t="shared" ref="V366:V367" si="334">AC$235</f>
        <v>#REF!</v>
      </c>
      <c r="W366" s="919"/>
      <c r="X366" s="919"/>
      <c r="Y366" s="1046"/>
      <c r="Z366" s="483" t="str">
        <f t="shared" ref="Z366:Z367" si="335">Y366*V366*U366*W$242</f>
        <v>#REF!</v>
      </c>
      <c r="AA366" s="921"/>
      <c r="AB366" s="921"/>
      <c r="AC366" s="595"/>
      <c r="AD366" s="595"/>
      <c r="AE366" s="584"/>
      <c r="AF366" s="595"/>
      <c r="AG366" s="354"/>
      <c r="AH366" s="443"/>
      <c r="AI366" s="595"/>
      <c r="AJ366" s="595"/>
      <c r="AK366" s="595"/>
      <c r="AL366" s="595"/>
      <c r="AM366" s="595"/>
      <c r="AN366" s="584"/>
      <c r="AO366" s="595"/>
      <c r="AP366" s="595"/>
      <c r="AQ366" s="584"/>
      <c r="AR366" s="584"/>
      <c r="AS366" s="584"/>
      <c r="AT366" s="584"/>
      <c r="AU366" s="584"/>
      <c r="AV366" s="584"/>
      <c r="AW366" s="584"/>
      <c r="AX366" s="584"/>
      <c r="AY366" s="584"/>
      <c r="AZ366" s="584"/>
      <c r="BA366" s="584"/>
      <c r="BB366" s="595"/>
      <c r="BC366" s="595"/>
      <c r="BD366" s="595"/>
      <c r="BE366" s="595"/>
      <c r="BF366" s="595"/>
      <c r="BG366" s="595"/>
      <c r="BH366" s="595"/>
      <c r="BI366" s="595"/>
      <c r="BJ366" s="595"/>
      <c r="BK366" s="595"/>
      <c r="BL366" s="651"/>
      <c r="BM366" s="651"/>
      <c r="BN366" s="651"/>
      <c r="BO366" s="651"/>
      <c r="BP366" s="651"/>
      <c r="BQ366" s="651"/>
      <c r="BR366" s="651"/>
      <c r="BS366" s="651"/>
      <c r="BT366" s="651"/>
    </row>
    <row r="367">
      <c r="A367" s="1360"/>
      <c r="B367" s="584"/>
      <c r="C367" s="584"/>
      <c r="D367" s="584"/>
      <c r="E367" s="585"/>
      <c r="F367" s="586"/>
      <c r="G367" s="584"/>
      <c r="H367" s="584"/>
      <c r="I367" s="443"/>
      <c r="J367" s="443"/>
      <c r="K367" s="354"/>
      <c r="L367" s="588"/>
      <c r="M367" s="588"/>
      <c r="N367" s="589"/>
      <c r="O367" s="595"/>
      <c r="P367" s="939"/>
      <c r="Q367" s="941"/>
      <c r="R367" s="917" t="s">
        <v>250</v>
      </c>
      <c r="S367" s="918" t="s">
        <v>251</v>
      </c>
      <c r="T367" s="919"/>
      <c r="U367" s="480">
        <f t="shared" si="333"/>
        <v>4</v>
      </c>
      <c r="V367" s="481" t="str">
        <f t="shared" si="334"/>
        <v>#REF!</v>
      </c>
      <c r="W367" s="919"/>
      <c r="X367" s="919"/>
      <c r="Y367" s="920"/>
      <c r="Z367" s="483" t="str">
        <f t="shared" si="335"/>
        <v>#REF!</v>
      </c>
      <c r="AA367" s="921"/>
      <c r="AB367" s="921"/>
      <c r="AC367" s="595"/>
      <c r="AD367" s="595"/>
      <c r="AE367" s="584"/>
      <c r="AF367" s="595"/>
      <c r="AG367" s="354"/>
      <c r="AH367" s="443"/>
      <c r="AI367" s="595"/>
      <c r="AJ367" s="595"/>
      <c r="AK367" s="595"/>
      <c r="AL367" s="595"/>
      <c r="AM367" s="595"/>
      <c r="AN367" s="584"/>
      <c r="AO367" s="595"/>
      <c r="AP367" s="595"/>
      <c r="AQ367" s="584"/>
      <c r="AR367" s="584"/>
      <c r="AS367" s="584"/>
      <c r="AT367" s="584"/>
      <c r="AU367" s="584"/>
      <c r="AV367" s="584"/>
      <c r="AW367" s="584"/>
      <c r="AX367" s="584"/>
      <c r="AY367" s="584"/>
      <c r="AZ367" s="584"/>
      <c r="BA367" s="584"/>
      <c r="BB367" s="595"/>
      <c r="BC367" s="595"/>
      <c r="BD367" s="595"/>
      <c r="BE367" s="595"/>
      <c r="BF367" s="595"/>
      <c r="BG367" s="595"/>
      <c r="BH367" s="595"/>
      <c r="BI367" s="595"/>
      <c r="BJ367" s="595"/>
      <c r="BK367" s="595"/>
      <c r="BL367" s="651"/>
      <c r="BM367" s="651"/>
      <c r="BN367" s="651"/>
      <c r="BO367" s="651"/>
      <c r="BP367" s="651"/>
      <c r="BQ367" s="651"/>
      <c r="BR367" s="651"/>
      <c r="BS367" s="651"/>
      <c r="BT367" s="651"/>
    </row>
    <row r="368">
      <c r="A368" s="1360"/>
      <c r="B368" s="584"/>
      <c r="C368" s="584"/>
      <c r="D368" s="584"/>
      <c r="E368" s="585"/>
      <c r="F368" s="586"/>
      <c r="G368" s="584"/>
      <c r="H368" s="584"/>
      <c r="I368" s="443"/>
      <c r="J368" s="443"/>
      <c r="K368" s="354"/>
      <c r="L368" s="588"/>
      <c r="M368" s="588"/>
      <c r="N368" s="589"/>
      <c r="O368" s="950"/>
      <c r="P368" s="1047"/>
      <c r="Q368" s="1048"/>
      <c r="R368" s="1049"/>
      <c r="S368" s="1050"/>
      <c r="T368" s="1051"/>
      <c r="U368" s="1052">
        <f>AVERAGE(U244:U268)</f>
        <v>4</v>
      </c>
      <c r="V368" s="1053"/>
      <c r="W368" s="1054"/>
      <c r="X368" s="1055">
        <f>X232</f>
        <v>4</v>
      </c>
      <c r="Y368" s="1056" t="str">
        <f t="shared" ref="Y368:Z368" si="336">SUM(Y244:Y367)</f>
        <v>#REF!</v>
      </c>
      <c r="Z368" s="1057" t="str">
        <f t="shared" si="336"/>
        <v>#REF!</v>
      </c>
      <c r="AA368" s="1058" t="str">
        <f>Z368/Y368/X368</f>
        <v>#REF!</v>
      </c>
      <c r="AB368" s="1058"/>
      <c r="AC368" s="595"/>
      <c r="AD368" s="595"/>
      <c r="AE368" s="584"/>
      <c r="AF368" s="595"/>
      <c r="AG368" s="354"/>
      <c r="AH368" s="443"/>
      <c r="AI368" s="595"/>
      <c r="AJ368" s="595"/>
      <c r="AK368" s="595"/>
      <c r="AL368" s="595"/>
      <c r="AM368" s="595"/>
      <c r="AN368" s="584"/>
      <c r="AO368" s="595"/>
      <c r="AP368" s="595"/>
      <c r="AQ368" s="584"/>
      <c r="AR368" s="584"/>
      <c r="AS368" s="584"/>
      <c r="AT368" s="584"/>
      <c r="AU368" s="584"/>
      <c r="AV368" s="584"/>
      <c r="AW368" s="584"/>
      <c r="AX368" s="584"/>
      <c r="AY368" s="584"/>
      <c r="AZ368" s="584"/>
      <c r="BA368" s="584"/>
      <c r="BB368" s="595"/>
      <c r="BC368" s="595"/>
      <c r="BD368" s="595"/>
      <c r="BE368" s="595"/>
      <c r="BF368" s="595"/>
      <c r="BG368" s="595"/>
      <c r="BH368" s="595"/>
      <c r="BI368" s="595"/>
      <c r="BJ368" s="595"/>
      <c r="BK368" s="595"/>
      <c r="BL368" s="651"/>
      <c r="BM368" s="651"/>
      <c r="BN368" s="651"/>
      <c r="BO368" s="651"/>
      <c r="BP368" s="651"/>
      <c r="BQ368" s="651"/>
      <c r="BR368" s="651"/>
      <c r="BS368" s="651"/>
      <c r="BT368" s="651"/>
    </row>
    <row r="369" ht="12.75" customHeight="1">
      <c r="A369" s="1360"/>
      <c r="B369" s="584"/>
      <c r="C369" s="584"/>
      <c r="D369" s="584"/>
      <c r="E369" s="585"/>
      <c r="F369" s="586"/>
      <c r="G369" s="584"/>
      <c r="H369" s="584"/>
      <c r="I369" s="443"/>
      <c r="J369" s="443"/>
      <c r="K369" s="354"/>
      <c r="L369" s="588"/>
      <c r="M369" s="588"/>
      <c r="N369" s="589"/>
      <c r="O369" s="595"/>
      <c r="P369" s="1059"/>
      <c r="Q369" s="1060"/>
      <c r="R369" s="984"/>
      <c r="S369" s="1061"/>
      <c r="T369" s="1062"/>
      <c r="U369" s="963"/>
      <c r="V369" s="963"/>
      <c r="W369" s="1062"/>
      <c r="X369" s="1063">
        <v>8.0</v>
      </c>
      <c r="Y369" s="1064" t="str">
        <f>X368/X369*Y368</f>
        <v>#REF!</v>
      </c>
      <c r="Z369" s="1065" t="str">
        <f>AA368*Y369*X369</f>
        <v>#REF!</v>
      </c>
      <c r="AA369" s="963"/>
      <c r="AB369" s="1061"/>
      <c r="AC369" s="595"/>
      <c r="AD369" s="595"/>
      <c r="AE369" s="584"/>
      <c r="AF369" s="595"/>
      <c r="AG369" s="354"/>
      <c r="AH369" s="443"/>
      <c r="AI369" s="595"/>
      <c r="AJ369" s="595"/>
      <c r="AK369" s="595"/>
      <c r="AL369" s="595"/>
      <c r="AM369" s="595"/>
      <c r="AN369" s="584"/>
      <c r="AO369" s="595"/>
      <c r="AP369" s="595"/>
      <c r="AQ369" s="584"/>
      <c r="AR369" s="584"/>
      <c r="AS369" s="584"/>
      <c r="AT369" s="584"/>
      <c r="AU369" s="584"/>
      <c r="AV369" s="584"/>
      <c r="AW369" s="584"/>
      <c r="AX369" s="584"/>
      <c r="AY369" s="584"/>
      <c r="AZ369" s="584"/>
      <c r="BA369" s="584"/>
      <c r="BB369" s="595"/>
      <c r="BC369" s="595"/>
      <c r="BD369" s="595"/>
      <c r="BE369" s="595"/>
      <c r="BF369" s="595"/>
      <c r="BG369" s="595"/>
      <c r="BH369" s="595"/>
      <c r="BI369" s="595"/>
      <c r="BJ369" s="595"/>
      <c r="BK369" s="595"/>
      <c r="BL369" s="651"/>
      <c r="BM369" s="651"/>
      <c r="BN369" s="651"/>
      <c r="BO369" s="651"/>
      <c r="BP369" s="651"/>
      <c r="BQ369" s="651"/>
      <c r="BR369" s="651"/>
      <c r="BS369" s="651"/>
      <c r="BT369" s="651"/>
    </row>
    <row r="370" ht="12.75" customHeight="1">
      <c r="A370" s="1360"/>
      <c r="B370" s="584"/>
      <c r="C370" s="584"/>
      <c r="D370" s="584"/>
      <c r="E370" s="585"/>
      <c r="F370" s="586"/>
      <c r="G370" s="584"/>
      <c r="H370" s="584"/>
      <c r="I370" s="443"/>
      <c r="J370" s="443"/>
      <c r="K370" s="354"/>
      <c r="L370" s="588"/>
      <c r="M370" s="588"/>
      <c r="N370" s="589"/>
      <c r="O370" s="595"/>
      <c r="P370" s="392"/>
      <c r="Q370" s="807"/>
      <c r="R370" s="603"/>
      <c r="S370" s="354"/>
      <c r="T370" s="584"/>
      <c r="U370" s="595"/>
      <c r="V370" s="595"/>
      <c r="W370" s="595"/>
      <c r="X370" s="443"/>
      <c r="Y370" s="595"/>
      <c r="Z370" s="595"/>
      <c r="AA370" s="595"/>
      <c r="AB370" s="354"/>
      <c r="AC370" s="595"/>
      <c r="AD370" s="595"/>
      <c r="AE370" s="584"/>
      <c r="AF370" s="595"/>
      <c r="AG370" s="354"/>
      <c r="AH370" s="443"/>
      <c r="AI370" s="595"/>
      <c r="AJ370" s="595"/>
      <c r="AK370" s="595"/>
      <c r="AL370" s="595"/>
      <c r="AM370" s="595"/>
      <c r="AN370" s="584"/>
      <c r="AO370" s="595"/>
      <c r="AP370" s="595"/>
      <c r="AQ370" s="584"/>
      <c r="AR370" s="584"/>
      <c r="AS370" s="584"/>
      <c r="AT370" s="584"/>
      <c r="AU370" s="584"/>
      <c r="AV370" s="584"/>
      <c r="AW370" s="584"/>
      <c r="AX370" s="584"/>
      <c r="AY370" s="584"/>
      <c r="AZ370" s="584"/>
      <c r="BA370" s="584"/>
      <c r="BB370" s="595"/>
      <c r="BC370" s="595"/>
      <c r="BD370" s="595"/>
      <c r="BE370" s="595"/>
      <c r="BF370" s="595"/>
      <c r="BG370" s="595"/>
      <c r="BH370" s="595"/>
      <c r="BI370" s="595"/>
      <c r="BJ370" s="595"/>
      <c r="BK370" s="595"/>
      <c r="BL370" s="651"/>
      <c r="BM370" s="651"/>
      <c r="BN370" s="651"/>
      <c r="BO370" s="651"/>
      <c r="BP370" s="651"/>
      <c r="BQ370" s="651"/>
      <c r="BR370" s="651"/>
      <c r="BS370" s="651"/>
      <c r="BT370" s="651"/>
    </row>
    <row r="371" ht="12.75" customHeight="1">
      <c r="A371" s="1360"/>
      <c r="B371" s="584"/>
      <c r="C371" s="584"/>
      <c r="D371" s="584"/>
      <c r="E371" s="585"/>
      <c r="F371" s="586"/>
      <c r="G371" s="584"/>
      <c r="H371" s="584"/>
      <c r="I371" s="443"/>
      <c r="J371" s="443"/>
      <c r="K371" s="354"/>
      <c r="L371" s="588"/>
      <c r="M371" s="588"/>
      <c r="N371" s="589"/>
      <c r="O371" s="595"/>
      <c r="P371" s="392"/>
      <c r="Q371" s="807"/>
      <c r="R371" s="603"/>
      <c r="S371" s="354"/>
      <c r="T371" s="584"/>
      <c r="U371" s="595"/>
      <c r="V371" s="595"/>
      <c r="W371" s="595"/>
      <c r="X371" s="443"/>
      <c r="Y371" s="595"/>
      <c r="Z371" s="595"/>
      <c r="AA371" s="595"/>
      <c r="AB371" s="354"/>
      <c r="AC371" s="595"/>
      <c r="AD371" s="595"/>
      <c r="AE371" s="584"/>
      <c r="AF371" s="595"/>
      <c r="AG371" s="354"/>
      <c r="AH371" s="443"/>
      <c r="AI371" s="595"/>
      <c r="AJ371" s="595"/>
      <c r="AK371" s="595"/>
      <c r="AL371" s="595"/>
      <c r="AM371" s="595"/>
      <c r="AN371" s="584"/>
      <c r="AO371" s="595"/>
      <c r="AP371" s="595"/>
      <c r="AQ371" s="584"/>
      <c r="AR371" s="584"/>
      <c r="AS371" s="584"/>
      <c r="AT371" s="584"/>
      <c r="AU371" s="584"/>
      <c r="AV371" s="584"/>
      <c r="AW371" s="584"/>
      <c r="AX371" s="584"/>
      <c r="AY371" s="584"/>
      <c r="AZ371" s="584"/>
      <c r="BA371" s="584"/>
      <c r="BB371" s="595"/>
      <c r="BC371" s="595"/>
      <c r="BD371" s="595"/>
      <c r="BE371" s="595"/>
      <c r="BF371" s="595"/>
      <c r="BG371" s="595"/>
      <c r="BH371" s="595"/>
      <c r="BI371" s="595"/>
      <c r="BJ371" s="595"/>
      <c r="BK371" s="595"/>
      <c r="BL371" s="651"/>
      <c r="BM371" s="651"/>
      <c r="BN371" s="651"/>
      <c r="BO371" s="651"/>
      <c r="BP371" s="651"/>
      <c r="BQ371" s="651"/>
      <c r="BR371" s="651"/>
      <c r="BS371" s="651"/>
      <c r="BT371" s="651"/>
    </row>
    <row r="372" ht="12.75" customHeight="1">
      <c r="A372" s="1360"/>
      <c r="B372" s="584"/>
      <c r="C372" s="584"/>
      <c r="D372" s="584"/>
      <c r="E372" s="585"/>
      <c r="F372" s="586"/>
      <c r="G372" s="584"/>
      <c r="H372" s="584"/>
      <c r="I372" s="443"/>
      <c r="J372" s="443"/>
      <c r="K372" s="354"/>
      <c r="L372" s="588"/>
      <c r="M372" s="588"/>
      <c r="N372" s="589"/>
      <c r="O372" s="595"/>
      <c r="P372" s="392"/>
      <c r="Q372" s="807"/>
      <c r="R372" s="603"/>
      <c r="S372" s="354"/>
      <c r="T372" s="584"/>
      <c r="U372" s="595"/>
      <c r="V372" s="595"/>
      <c r="W372" s="595"/>
      <c r="X372" s="443"/>
      <c r="Y372" s="595"/>
      <c r="Z372" s="595"/>
      <c r="AA372" s="595"/>
      <c r="AB372" s="354"/>
      <c r="AC372" s="595"/>
      <c r="AD372" s="595"/>
      <c r="AE372" s="584"/>
      <c r="AF372" s="595"/>
      <c r="AG372" s="354"/>
      <c r="AH372" s="443"/>
      <c r="AI372" s="595"/>
      <c r="AJ372" s="595"/>
      <c r="AK372" s="595"/>
      <c r="AL372" s="595"/>
      <c r="AM372" s="595"/>
      <c r="AN372" s="584"/>
      <c r="AO372" s="595"/>
      <c r="AP372" s="595"/>
      <c r="AQ372" s="584"/>
      <c r="AR372" s="584"/>
      <c r="AS372" s="584"/>
      <c r="AT372" s="584"/>
      <c r="AU372" s="584"/>
      <c r="AV372" s="584"/>
      <c r="AW372" s="584"/>
      <c r="AX372" s="584"/>
      <c r="AY372" s="584"/>
      <c r="AZ372" s="584"/>
      <c r="BA372" s="584"/>
      <c r="BB372" s="595"/>
      <c r="BC372" s="595"/>
      <c r="BD372" s="595"/>
      <c r="BE372" s="595"/>
      <c r="BF372" s="595"/>
      <c r="BG372" s="595"/>
      <c r="BH372" s="595"/>
      <c r="BI372" s="595"/>
      <c r="BJ372" s="595"/>
      <c r="BK372" s="595"/>
      <c r="BL372" s="651"/>
      <c r="BM372" s="651"/>
      <c r="BN372" s="651"/>
      <c r="BO372" s="651"/>
      <c r="BP372" s="651"/>
      <c r="BQ372" s="651"/>
      <c r="BR372" s="651"/>
      <c r="BS372" s="651"/>
      <c r="BT372" s="651"/>
    </row>
    <row r="373" ht="12.75" customHeight="1">
      <c r="A373" s="1360"/>
      <c r="B373" s="584"/>
      <c r="C373" s="584"/>
      <c r="D373" s="584"/>
      <c r="E373" s="585"/>
      <c r="F373" s="586"/>
      <c r="G373" s="584"/>
      <c r="H373" s="584"/>
      <c r="I373" s="443"/>
      <c r="J373" s="443"/>
      <c r="K373" s="354"/>
      <c r="L373" s="588"/>
      <c r="M373" s="588"/>
      <c r="N373" s="589"/>
      <c r="O373" s="595"/>
      <c r="P373" s="392"/>
      <c r="Q373" s="807"/>
      <c r="R373" s="603"/>
      <c r="S373" s="354"/>
      <c r="T373" s="584"/>
      <c r="U373" s="595"/>
      <c r="V373" s="595"/>
      <c r="W373" s="595"/>
      <c r="X373" s="443"/>
      <c r="Y373" s="595"/>
      <c r="Z373" s="595"/>
      <c r="AA373" s="595"/>
      <c r="AB373" s="354"/>
      <c r="AC373" s="595"/>
      <c r="AD373" s="595"/>
      <c r="AE373" s="584"/>
      <c r="AF373" s="595"/>
      <c r="AG373" s="354"/>
      <c r="AH373" s="443"/>
      <c r="AI373" s="595"/>
      <c r="AJ373" s="595"/>
      <c r="AK373" s="595"/>
      <c r="AL373" s="595"/>
      <c r="AM373" s="595"/>
      <c r="AN373" s="584"/>
      <c r="AO373" s="595"/>
      <c r="AP373" s="595"/>
      <c r="AQ373" s="584"/>
      <c r="AR373" s="584"/>
      <c r="AS373" s="584"/>
      <c r="AT373" s="584"/>
      <c r="AU373" s="584"/>
      <c r="AV373" s="584"/>
      <c r="AW373" s="584"/>
      <c r="AX373" s="584"/>
      <c r="AY373" s="584"/>
      <c r="AZ373" s="584"/>
      <c r="BA373" s="584"/>
      <c r="BB373" s="595"/>
      <c r="BC373" s="595"/>
      <c r="BD373" s="595"/>
      <c r="BE373" s="595"/>
      <c r="BF373" s="595"/>
      <c r="BG373" s="595"/>
      <c r="BH373" s="595"/>
      <c r="BI373" s="595"/>
      <c r="BJ373" s="595"/>
      <c r="BK373" s="651"/>
      <c r="BL373" s="651"/>
      <c r="BM373" s="651"/>
      <c r="BN373" s="651"/>
      <c r="BO373" s="651"/>
      <c r="BP373" s="651"/>
      <c r="BQ373" s="651"/>
      <c r="BR373" s="651"/>
      <c r="BS373" s="651"/>
      <c r="BT373" s="651"/>
    </row>
    <row r="374" ht="12.75" customHeight="1">
      <c r="A374" s="1360"/>
      <c r="B374" s="584"/>
      <c r="C374" s="584"/>
      <c r="D374" s="584"/>
      <c r="E374" s="585"/>
      <c r="F374" s="586"/>
      <c r="G374" s="584"/>
      <c r="H374" s="584"/>
      <c r="I374" s="443"/>
      <c r="J374" s="443"/>
      <c r="K374" s="354"/>
      <c r="L374" s="588"/>
      <c r="M374" s="588"/>
      <c r="N374" s="589"/>
      <c r="O374" s="595"/>
      <c r="P374" s="392"/>
      <c r="Q374" s="807"/>
      <c r="R374" s="603"/>
      <c r="S374" s="354"/>
      <c r="T374" s="584"/>
      <c r="U374" s="595"/>
      <c r="V374" s="595"/>
      <c r="W374" s="595"/>
      <c r="X374" s="443"/>
      <c r="Y374" s="595"/>
      <c r="Z374" s="595"/>
      <c r="AA374" s="595"/>
      <c r="AB374" s="354"/>
      <c r="AC374" s="595"/>
      <c r="AD374" s="595"/>
      <c r="AE374" s="584"/>
      <c r="AF374" s="595"/>
      <c r="AG374" s="354"/>
      <c r="AH374" s="443"/>
      <c r="AI374" s="595"/>
      <c r="AJ374" s="595"/>
      <c r="AK374" s="595"/>
      <c r="AL374" s="595"/>
      <c r="AM374" s="595"/>
      <c r="AN374" s="584"/>
      <c r="AO374" s="595"/>
      <c r="AP374" s="595"/>
      <c r="AQ374" s="584"/>
      <c r="AR374" s="584"/>
      <c r="AS374" s="584"/>
      <c r="AT374" s="584"/>
      <c r="AU374" s="584"/>
      <c r="AV374" s="584"/>
      <c r="AW374" s="584"/>
      <c r="AX374" s="584"/>
      <c r="AY374" s="584"/>
      <c r="AZ374" s="584"/>
      <c r="BA374" s="584"/>
      <c r="BB374" s="595"/>
      <c r="BC374" s="595"/>
      <c r="BD374" s="595"/>
      <c r="BE374" s="595"/>
      <c r="BF374" s="595"/>
      <c r="BG374" s="595"/>
      <c r="BH374" s="595"/>
      <c r="BI374" s="595"/>
      <c r="BJ374" s="595"/>
      <c r="BK374" s="651"/>
      <c r="BL374" s="651"/>
      <c r="BM374" s="651"/>
      <c r="BN374" s="651"/>
      <c r="BO374" s="651"/>
      <c r="BP374" s="651"/>
      <c r="BQ374" s="651"/>
      <c r="BR374" s="651"/>
      <c r="BS374" s="651"/>
      <c r="BT374" s="651"/>
    </row>
    <row r="375" ht="12.75" customHeight="1">
      <c r="A375" s="1360"/>
      <c r="B375" s="584"/>
      <c r="C375" s="584"/>
      <c r="D375" s="584"/>
      <c r="E375" s="585"/>
      <c r="F375" s="586"/>
      <c r="G375" s="584"/>
      <c r="H375" s="584"/>
      <c r="I375" s="443"/>
      <c r="J375" s="443"/>
      <c r="K375" s="354"/>
      <c r="L375" s="588"/>
      <c r="M375" s="588"/>
      <c r="N375" s="589"/>
      <c r="O375" s="595"/>
      <c r="P375" s="392"/>
      <c r="Q375" s="807"/>
      <c r="R375" s="603"/>
      <c r="S375" s="354"/>
      <c r="T375" s="584"/>
      <c r="U375" s="595"/>
      <c r="V375" s="595"/>
      <c r="W375" s="595"/>
      <c r="X375" s="443"/>
      <c r="Y375" s="595"/>
      <c r="Z375" s="595"/>
      <c r="AA375" s="595"/>
      <c r="AB375" s="354"/>
      <c r="AC375" s="595"/>
      <c r="AD375" s="595"/>
      <c r="AE375" s="584"/>
      <c r="AF375" s="595"/>
      <c r="AG375" s="354"/>
      <c r="AH375" s="443"/>
      <c r="AI375" s="595"/>
      <c r="AJ375" s="595"/>
      <c r="AK375" s="595"/>
      <c r="AL375" s="595"/>
      <c r="AM375" s="595"/>
      <c r="AN375" s="584"/>
      <c r="AO375" s="595"/>
      <c r="AP375" s="595"/>
      <c r="AQ375" s="584"/>
      <c r="AR375" s="584"/>
      <c r="AS375" s="584"/>
      <c r="AT375" s="584"/>
      <c r="AU375" s="584"/>
      <c r="AV375" s="584"/>
      <c r="AW375" s="584"/>
      <c r="AX375" s="584"/>
      <c r="AY375" s="584"/>
      <c r="AZ375" s="584"/>
      <c r="BA375" s="584"/>
      <c r="BB375" s="595"/>
      <c r="BC375" s="595"/>
      <c r="BD375" s="595"/>
      <c r="BE375" s="595"/>
      <c r="BF375" s="595"/>
      <c r="BG375" s="595"/>
      <c r="BH375" s="595"/>
      <c r="BI375" s="595"/>
      <c r="BJ375" s="595"/>
      <c r="BK375" s="651"/>
      <c r="BL375" s="651"/>
      <c r="BM375" s="651"/>
      <c r="BN375" s="651"/>
      <c r="BO375" s="651"/>
      <c r="BP375" s="651"/>
      <c r="BQ375" s="651"/>
      <c r="BR375" s="651"/>
      <c r="BS375" s="651"/>
      <c r="BT375" s="651"/>
    </row>
    <row r="376" ht="12.75" customHeight="1">
      <c r="A376" s="1360"/>
      <c r="B376" s="584"/>
      <c r="C376" s="584"/>
      <c r="D376" s="584"/>
      <c r="E376" s="585"/>
      <c r="F376" s="586"/>
      <c r="G376" s="584"/>
      <c r="H376" s="584"/>
      <c r="I376" s="443"/>
      <c r="J376" s="443"/>
      <c r="K376" s="354"/>
      <c r="L376" s="588"/>
      <c r="M376" s="588"/>
      <c r="N376" s="589"/>
      <c r="O376" s="595"/>
      <c r="P376" s="392"/>
      <c r="Q376" s="807"/>
      <c r="R376" s="603"/>
      <c r="S376" s="354"/>
      <c r="T376" s="584"/>
      <c r="U376" s="595"/>
      <c r="V376" s="595"/>
      <c r="W376" s="595"/>
      <c r="X376" s="443"/>
      <c r="Y376" s="595"/>
      <c r="Z376" s="595"/>
      <c r="AA376" s="595"/>
      <c r="AB376" s="354"/>
      <c r="AC376" s="595"/>
      <c r="AD376" s="595"/>
      <c r="AE376" s="584"/>
      <c r="AF376" s="595"/>
      <c r="AG376" s="354"/>
      <c r="AH376" s="443"/>
      <c r="AI376" s="595"/>
      <c r="AJ376" s="595"/>
      <c r="AK376" s="595"/>
      <c r="AL376" s="595"/>
      <c r="AM376" s="595"/>
      <c r="AN376" s="584"/>
      <c r="AO376" s="595"/>
      <c r="AP376" s="595"/>
      <c r="AQ376" s="584"/>
      <c r="AR376" s="584"/>
      <c r="AS376" s="584"/>
      <c r="AT376" s="584"/>
      <c r="AU376" s="584"/>
      <c r="AV376" s="584"/>
      <c r="AW376" s="584"/>
      <c r="AX376" s="584"/>
      <c r="AY376" s="584"/>
      <c r="AZ376" s="584"/>
      <c r="BA376" s="584"/>
      <c r="BB376" s="595"/>
      <c r="BC376" s="595"/>
      <c r="BD376" s="595"/>
      <c r="BE376" s="595"/>
      <c r="BF376" s="595"/>
      <c r="BG376" s="595"/>
      <c r="BH376" s="595"/>
      <c r="BI376" s="595"/>
      <c r="BJ376" s="595"/>
      <c r="BK376" s="651"/>
      <c r="BL376" s="651"/>
      <c r="BM376" s="651"/>
      <c r="BN376" s="651"/>
      <c r="BO376" s="651"/>
      <c r="BP376" s="651"/>
      <c r="BQ376" s="651"/>
      <c r="BR376" s="651"/>
      <c r="BS376" s="651"/>
      <c r="BT376" s="651"/>
    </row>
    <row r="377" ht="12.75" customHeight="1">
      <c r="A377" s="1360"/>
      <c r="B377" s="584"/>
      <c r="C377" s="584"/>
      <c r="D377" s="584"/>
      <c r="E377" s="585"/>
      <c r="F377" s="586"/>
      <c r="G377" s="584"/>
      <c r="H377" s="584"/>
      <c r="I377" s="443"/>
      <c r="J377" s="443"/>
      <c r="K377" s="354"/>
      <c r="L377" s="588"/>
      <c r="M377" s="588"/>
      <c r="N377" s="589"/>
      <c r="O377" s="595"/>
      <c r="P377" s="392"/>
      <c r="Q377" s="807"/>
      <c r="R377" s="603"/>
      <c r="S377" s="354"/>
      <c r="T377" s="584"/>
      <c r="U377" s="595"/>
      <c r="V377" s="595"/>
      <c r="W377" s="595"/>
      <c r="X377" s="443"/>
      <c r="Y377" s="595"/>
      <c r="Z377" s="595"/>
      <c r="AA377" s="595"/>
      <c r="AB377" s="354"/>
      <c r="AC377" s="595"/>
      <c r="AD377" s="595"/>
      <c r="AE377" s="584"/>
      <c r="AF377" s="595"/>
      <c r="AG377" s="354"/>
      <c r="AH377" s="443"/>
      <c r="AI377" s="595"/>
      <c r="AJ377" s="595"/>
      <c r="AK377" s="595"/>
      <c r="AL377" s="595"/>
      <c r="AM377" s="595"/>
      <c r="AN377" s="584"/>
      <c r="AO377" s="595"/>
      <c r="AP377" s="595"/>
      <c r="AQ377" s="584"/>
      <c r="AR377" s="584"/>
      <c r="AS377" s="584"/>
      <c r="AT377" s="584"/>
      <c r="AU377" s="584"/>
      <c r="AV377" s="584"/>
      <c r="AW377" s="584"/>
      <c r="AX377" s="584"/>
      <c r="AY377" s="584"/>
      <c r="AZ377" s="584"/>
      <c r="BA377" s="584"/>
      <c r="BB377" s="595"/>
      <c r="BC377" s="595"/>
      <c r="BD377" s="595"/>
      <c r="BE377" s="595"/>
      <c r="BF377" s="595"/>
      <c r="BG377" s="595"/>
      <c r="BH377" s="595"/>
      <c r="BI377" s="595"/>
      <c r="BJ377" s="595"/>
      <c r="BK377" s="651"/>
      <c r="BL377" s="651"/>
      <c r="BM377" s="651"/>
      <c r="BN377" s="651"/>
      <c r="BO377" s="651"/>
      <c r="BP377" s="651"/>
      <c r="BQ377" s="651"/>
      <c r="BR377" s="651"/>
      <c r="BS377" s="651"/>
      <c r="BT377" s="651"/>
    </row>
    <row r="378" ht="12.75" customHeight="1">
      <c r="A378" s="1360"/>
      <c r="B378" s="584"/>
      <c r="C378" s="584"/>
      <c r="D378" s="584"/>
      <c r="E378" s="585"/>
      <c r="F378" s="586"/>
      <c r="G378" s="584"/>
      <c r="H378" s="584"/>
      <c r="I378" s="443"/>
      <c r="J378" s="443"/>
      <c r="K378" s="354"/>
      <c r="L378" s="588"/>
      <c r="M378" s="588"/>
      <c r="N378" s="589"/>
      <c r="O378" s="595"/>
      <c r="P378" s="392"/>
      <c r="Q378" s="807"/>
      <c r="R378" s="603"/>
      <c r="S378" s="354"/>
      <c r="T378" s="584"/>
      <c r="U378" s="595"/>
      <c r="V378" s="595"/>
      <c r="W378" s="595"/>
      <c r="X378" s="443"/>
      <c r="Y378" s="595"/>
      <c r="Z378" s="595"/>
      <c r="AA378" s="595"/>
      <c r="AB378" s="354"/>
      <c r="AC378" s="595"/>
      <c r="AD378" s="595"/>
      <c r="AE378" s="584"/>
      <c r="AF378" s="595"/>
      <c r="AG378" s="354"/>
      <c r="AH378" s="443"/>
      <c r="AI378" s="595"/>
      <c r="AJ378" s="595"/>
      <c r="AK378" s="595"/>
      <c r="AL378" s="595"/>
      <c r="AM378" s="595"/>
      <c r="AN378" s="584"/>
      <c r="AO378" s="595"/>
      <c r="AP378" s="595"/>
      <c r="AQ378" s="595"/>
      <c r="AR378" s="595"/>
      <c r="AS378" s="595"/>
      <c r="AT378" s="595"/>
      <c r="AU378" s="595"/>
      <c r="AV378" s="595"/>
      <c r="AW378" s="595"/>
      <c r="AX378" s="595"/>
      <c r="AY378" s="595"/>
      <c r="AZ378" s="595"/>
      <c r="BA378" s="595"/>
      <c r="BB378" s="595"/>
      <c r="BC378" s="595"/>
      <c r="BD378" s="595"/>
      <c r="BE378" s="595"/>
      <c r="BF378" s="595"/>
      <c r="BG378" s="595"/>
      <c r="BH378" s="595"/>
      <c r="BI378" s="595"/>
      <c r="BJ378" s="595"/>
      <c r="BK378" s="651"/>
      <c r="BL378" s="651"/>
      <c r="BM378" s="651"/>
      <c r="BN378" s="651"/>
      <c r="BO378" s="651"/>
      <c r="BP378" s="651"/>
      <c r="BQ378" s="651"/>
      <c r="BR378" s="651"/>
      <c r="BS378" s="651"/>
      <c r="BT378" s="651"/>
    </row>
    <row r="379" ht="12.75" customHeight="1">
      <c r="A379" s="1360"/>
      <c r="B379" s="584"/>
      <c r="C379" s="584"/>
      <c r="D379" s="584"/>
      <c r="E379" s="585"/>
      <c r="F379" s="586"/>
      <c r="G379" s="584"/>
      <c r="H379" s="584"/>
      <c r="I379" s="443"/>
      <c r="J379" s="443"/>
      <c r="K379" s="354"/>
      <c r="L379" s="588"/>
      <c r="M379" s="588"/>
      <c r="N379" s="589"/>
      <c r="O379" s="595"/>
      <c r="P379" s="392"/>
      <c r="Q379" s="807"/>
      <c r="R379" s="603"/>
      <c r="S379" s="354"/>
      <c r="T379" s="584"/>
      <c r="U379" s="595"/>
      <c r="V379" s="595"/>
      <c r="W379" s="595"/>
      <c r="X379" s="443"/>
      <c r="Y379" s="595"/>
      <c r="Z379" s="595"/>
      <c r="AA379" s="595"/>
      <c r="AB379" s="354"/>
      <c r="AC379" s="595"/>
      <c r="AD379" s="595"/>
      <c r="AE379" s="584"/>
      <c r="AF379" s="595"/>
      <c r="AG379" s="354"/>
      <c r="AH379" s="443"/>
      <c r="AI379" s="595"/>
      <c r="AJ379" s="595"/>
      <c r="AK379" s="595"/>
      <c r="AL379" s="595"/>
      <c r="AM379" s="595"/>
      <c r="AN379" s="584"/>
      <c r="AO379" s="595"/>
      <c r="AP379" s="595"/>
      <c r="AQ379" s="595"/>
      <c r="AR379" s="595"/>
      <c r="AS379" s="595"/>
      <c r="AT379" s="595"/>
      <c r="AU379" s="595"/>
      <c r="AV379" s="595"/>
      <c r="AW379" s="595"/>
      <c r="AX379" s="595"/>
      <c r="AY379" s="595"/>
      <c r="AZ379" s="595"/>
      <c r="BA379" s="595"/>
      <c r="BB379" s="595"/>
      <c r="BC379" s="595"/>
      <c r="BD379" s="595"/>
      <c r="BE379" s="595"/>
      <c r="BF379" s="595"/>
      <c r="BG379" s="595"/>
      <c r="BH379" s="595"/>
      <c r="BI379" s="595"/>
      <c r="BJ379" s="595"/>
      <c r="BK379" s="651"/>
      <c r="BL379" s="651"/>
      <c r="BM379" s="651"/>
      <c r="BN379" s="651"/>
      <c r="BO379" s="651"/>
      <c r="BP379" s="651"/>
      <c r="BQ379" s="651"/>
      <c r="BR379" s="651"/>
      <c r="BS379" s="651"/>
      <c r="BT379" s="651"/>
    </row>
    <row r="380" ht="12.75" customHeight="1">
      <c r="A380" s="1360"/>
      <c r="B380" s="584"/>
      <c r="C380" s="584"/>
      <c r="D380" s="584"/>
      <c r="E380" s="585"/>
      <c r="F380" s="586"/>
      <c r="G380" s="584"/>
      <c r="H380" s="584"/>
      <c r="I380" s="443"/>
      <c r="J380" s="443"/>
      <c r="K380" s="354"/>
      <c r="L380" s="588"/>
      <c r="M380" s="588"/>
      <c r="N380" s="589"/>
      <c r="O380" s="595"/>
      <c r="P380" s="392"/>
      <c r="Q380" s="807"/>
      <c r="R380" s="603"/>
      <c r="S380" s="354"/>
      <c r="T380" s="584"/>
      <c r="U380" s="595"/>
      <c r="V380" s="595"/>
      <c r="W380" s="595"/>
      <c r="X380" s="443"/>
      <c r="Y380" s="595"/>
      <c r="Z380" s="595"/>
      <c r="AA380" s="595"/>
      <c r="AB380" s="354"/>
      <c r="AC380" s="595"/>
      <c r="AD380" s="595"/>
      <c r="AE380" s="584"/>
      <c r="AF380" s="595"/>
      <c r="AG380" s="354"/>
      <c r="AH380" s="443"/>
      <c r="AI380" s="595"/>
      <c r="AJ380" s="595"/>
      <c r="AK380" s="595"/>
      <c r="AL380" s="595"/>
      <c r="AM380" s="595"/>
      <c r="AN380" s="584"/>
      <c r="AO380" s="595"/>
      <c r="AP380" s="595"/>
      <c r="AQ380" s="595"/>
      <c r="AR380" s="595"/>
      <c r="AS380" s="595"/>
      <c r="AT380" s="595"/>
      <c r="AU380" s="595"/>
      <c r="AV380" s="595"/>
      <c r="AW380" s="595"/>
      <c r="AX380" s="595"/>
      <c r="AY380" s="595"/>
      <c r="AZ380" s="595"/>
      <c r="BA380" s="595"/>
      <c r="BB380" s="595"/>
      <c r="BC380" s="595"/>
      <c r="BD380" s="595"/>
      <c r="BE380" s="595"/>
      <c r="BF380" s="595"/>
      <c r="BG380" s="595"/>
      <c r="BH380" s="595"/>
      <c r="BI380" s="595"/>
      <c r="BJ380" s="595"/>
      <c r="BK380" s="651"/>
      <c r="BL380" s="651"/>
      <c r="BM380" s="651"/>
      <c r="BN380" s="651"/>
      <c r="BO380" s="651"/>
      <c r="BP380" s="651"/>
      <c r="BQ380" s="651"/>
      <c r="BR380" s="651"/>
      <c r="BS380" s="651"/>
      <c r="BT380" s="651"/>
    </row>
    <row r="381" ht="12.75" customHeight="1">
      <c r="A381" s="1360"/>
      <c r="B381" s="584"/>
      <c r="C381" s="584"/>
      <c r="D381" s="584"/>
      <c r="E381" s="585"/>
      <c r="F381" s="586"/>
      <c r="G381" s="584"/>
      <c r="H381" s="584"/>
      <c r="I381" s="443"/>
      <c r="J381" s="443"/>
      <c r="K381" s="354"/>
      <c r="L381" s="588"/>
      <c r="M381" s="588"/>
      <c r="N381" s="589"/>
      <c r="O381" s="595"/>
      <c r="P381" s="392"/>
      <c r="Q381" s="807"/>
      <c r="R381" s="603"/>
      <c r="S381" s="354"/>
      <c r="T381" s="584"/>
      <c r="U381" s="595"/>
      <c r="V381" s="595"/>
      <c r="W381" s="595"/>
      <c r="X381" s="443"/>
      <c r="Y381" s="595"/>
      <c r="Z381" s="595"/>
      <c r="AA381" s="595"/>
      <c r="AB381" s="354"/>
      <c r="AC381" s="595"/>
      <c r="AD381" s="595"/>
      <c r="AE381" s="584"/>
      <c r="AF381" s="595"/>
      <c r="AG381" s="354"/>
      <c r="AH381" s="443"/>
      <c r="AI381" s="595"/>
      <c r="AJ381" s="595"/>
      <c r="AK381" s="595"/>
      <c r="AL381" s="595"/>
      <c r="AM381" s="595"/>
      <c r="AN381" s="584"/>
      <c r="AO381" s="595"/>
      <c r="AP381" s="595"/>
      <c r="AQ381" s="595"/>
      <c r="AR381" s="595"/>
      <c r="AS381" s="595"/>
      <c r="AT381" s="595"/>
      <c r="AU381" s="595"/>
      <c r="AV381" s="595"/>
      <c r="AW381" s="595"/>
      <c r="AX381" s="595"/>
      <c r="AY381" s="595"/>
      <c r="AZ381" s="595"/>
      <c r="BA381" s="595"/>
      <c r="BB381" s="595"/>
      <c r="BC381" s="595"/>
      <c r="BD381" s="595"/>
      <c r="BE381" s="595"/>
      <c r="BF381" s="595"/>
      <c r="BG381" s="595"/>
      <c r="BH381" s="595"/>
      <c r="BI381" s="595"/>
      <c r="BJ381" s="595"/>
      <c r="BK381" s="651"/>
      <c r="BL381" s="651"/>
      <c r="BM381" s="651"/>
      <c r="BN381" s="651"/>
      <c r="BO381" s="651"/>
      <c r="BP381" s="651"/>
      <c r="BQ381" s="651"/>
      <c r="BR381" s="651"/>
      <c r="BS381" s="651"/>
      <c r="BT381" s="651"/>
    </row>
    <row r="382" ht="12.75" customHeight="1">
      <c r="A382" s="1360"/>
      <c r="B382" s="584"/>
      <c r="C382" s="584"/>
      <c r="D382" s="584"/>
      <c r="E382" s="585"/>
      <c r="F382" s="586"/>
      <c r="G382" s="584"/>
      <c r="H382" s="584"/>
      <c r="I382" s="443"/>
      <c r="J382" s="443"/>
      <c r="K382" s="354"/>
      <c r="L382" s="588"/>
      <c r="M382" s="588"/>
      <c r="N382" s="589"/>
      <c r="O382" s="595"/>
      <c r="P382" s="392"/>
      <c r="Q382" s="807"/>
      <c r="R382" s="603"/>
      <c r="S382" s="354"/>
      <c r="T382" s="584"/>
      <c r="U382" s="595"/>
      <c r="V382" s="595"/>
      <c r="W382" s="595"/>
      <c r="X382" s="443"/>
      <c r="Y382" s="595"/>
      <c r="Z382" s="595"/>
      <c r="AA382" s="595"/>
      <c r="AB382" s="354"/>
      <c r="AC382" s="595"/>
      <c r="AD382" s="595"/>
      <c r="AE382" s="584"/>
      <c r="AF382" s="595"/>
      <c r="AG382" s="354"/>
      <c r="AH382" s="443"/>
      <c r="AI382" s="595"/>
      <c r="AJ382" s="595"/>
      <c r="AK382" s="595"/>
      <c r="AL382" s="595"/>
      <c r="AM382" s="595"/>
      <c r="AN382" s="584"/>
      <c r="AO382" s="595"/>
      <c r="AP382" s="595"/>
      <c r="AQ382" s="595"/>
      <c r="AR382" s="595"/>
      <c r="AS382" s="595"/>
      <c r="AT382" s="595"/>
      <c r="AU382" s="595"/>
      <c r="AV382" s="595"/>
      <c r="AW382" s="595"/>
      <c r="AX382" s="595"/>
      <c r="AY382" s="595"/>
      <c r="AZ382" s="595"/>
      <c r="BA382" s="595"/>
      <c r="BB382" s="595"/>
      <c r="BC382" s="595"/>
      <c r="BD382" s="595"/>
      <c r="BE382" s="595"/>
      <c r="BF382" s="595"/>
      <c r="BG382" s="595"/>
      <c r="BH382" s="595"/>
      <c r="BI382" s="595"/>
      <c r="BJ382" s="595"/>
      <c r="BK382" s="651"/>
      <c r="BL382" s="651"/>
      <c r="BM382" s="651"/>
      <c r="BN382" s="651"/>
      <c r="BO382" s="651"/>
      <c r="BP382" s="651"/>
      <c r="BQ382" s="651"/>
      <c r="BR382" s="651"/>
      <c r="BS382" s="651"/>
      <c r="BT382" s="651"/>
    </row>
    <row r="383" ht="12.75" customHeight="1">
      <c r="A383" s="1360"/>
      <c r="B383" s="584"/>
      <c r="C383" s="584"/>
      <c r="D383" s="584"/>
      <c r="E383" s="585"/>
      <c r="F383" s="586"/>
      <c r="G383" s="584"/>
      <c r="H383" s="584"/>
      <c r="I383" s="443"/>
      <c r="J383" s="443"/>
      <c r="K383" s="354"/>
      <c r="L383" s="588"/>
      <c r="M383" s="588"/>
      <c r="N383" s="589"/>
      <c r="O383" s="595"/>
      <c r="P383" s="392"/>
      <c r="Q383" s="807"/>
      <c r="R383" s="603"/>
      <c r="S383" s="354"/>
      <c r="T383" s="584"/>
      <c r="U383" s="595"/>
      <c r="V383" s="595"/>
      <c r="W383" s="595"/>
      <c r="X383" s="443"/>
      <c r="Y383" s="595"/>
      <c r="Z383" s="595"/>
      <c r="AA383" s="595"/>
      <c r="AB383" s="354"/>
      <c r="AC383" s="595"/>
      <c r="AD383" s="595"/>
      <c r="AE383" s="584"/>
      <c r="AF383" s="595"/>
      <c r="AG383" s="354"/>
      <c r="AH383" s="443"/>
      <c r="AI383" s="595"/>
      <c r="AJ383" s="595"/>
      <c r="AK383" s="595"/>
      <c r="AL383" s="595"/>
      <c r="AM383" s="595"/>
      <c r="AN383" s="584"/>
      <c r="AO383" s="595"/>
      <c r="AP383" s="595"/>
      <c r="AQ383" s="595"/>
      <c r="AR383" s="595"/>
      <c r="AS383" s="595"/>
      <c r="AT383" s="595"/>
      <c r="AU383" s="595"/>
      <c r="AV383" s="595"/>
      <c r="AW383" s="595"/>
      <c r="AX383" s="595"/>
      <c r="AY383" s="595"/>
      <c r="AZ383" s="595"/>
      <c r="BA383" s="595"/>
      <c r="BB383" s="595"/>
      <c r="BC383" s="595"/>
      <c r="BD383" s="595"/>
      <c r="BE383" s="595"/>
      <c r="BF383" s="595"/>
      <c r="BG383" s="595"/>
      <c r="BH383" s="595"/>
      <c r="BI383" s="595"/>
      <c r="BJ383" s="595"/>
      <c r="BK383" s="651"/>
      <c r="BL383" s="651"/>
      <c r="BM383" s="651"/>
      <c r="BN383" s="651"/>
      <c r="BO383" s="651"/>
      <c r="BP383" s="651"/>
      <c r="BQ383" s="651"/>
      <c r="BR383" s="651"/>
      <c r="BS383" s="651"/>
      <c r="BT383" s="651"/>
    </row>
    <row r="384" ht="12.75" customHeight="1">
      <c r="A384" s="1360"/>
      <c r="B384" s="584"/>
      <c r="C384" s="584"/>
      <c r="D384" s="584"/>
      <c r="E384" s="585"/>
      <c r="F384" s="586"/>
      <c r="G384" s="584"/>
      <c r="H384" s="584"/>
      <c r="I384" s="443"/>
      <c r="J384" s="443"/>
      <c r="K384" s="354"/>
      <c r="L384" s="588"/>
      <c r="M384" s="588"/>
      <c r="N384" s="589"/>
      <c r="O384" s="595"/>
      <c r="P384" s="392"/>
      <c r="Q384" s="807"/>
      <c r="R384" s="603"/>
      <c r="S384" s="354"/>
      <c r="T384" s="584"/>
      <c r="U384" s="595"/>
      <c r="V384" s="595"/>
      <c r="W384" s="595"/>
      <c r="X384" s="443"/>
      <c r="Y384" s="595"/>
      <c r="Z384" s="595"/>
      <c r="AA384" s="595"/>
      <c r="AB384" s="354"/>
      <c r="AC384" s="595"/>
      <c r="AD384" s="595"/>
      <c r="AE384" s="584"/>
      <c r="AF384" s="595"/>
      <c r="AG384" s="354"/>
      <c r="AH384" s="443"/>
      <c r="AI384" s="595"/>
      <c r="AJ384" s="595"/>
      <c r="AK384" s="595"/>
      <c r="AL384" s="595"/>
      <c r="AM384" s="595"/>
      <c r="AN384" s="584"/>
      <c r="AO384" s="595"/>
      <c r="AP384" s="595"/>
      <c r="AQ384" s="595"/>
      <c r="AR384" s="595"/>
      <c r="AS384" s="595"/>
      <c r="AT384" s="595"/>
      <c r="AU384" s="595"/>
      <c r="AV384" s="595"/>
      <c r="AW384" s="595"/>
      <c r="AX384" s="595"/>
      <c r="AY384" s="595"/>
      <c r="AZ384" s="595"/>
      <c r="BA384" s="595"/>
      <c r="BB384" s="595"/>
      <c r="BC384" s="595"/>
      <c r="BD384" s="595"/>
      <c r="BE384" s="595"/>
      <c r="BF384" s="595"/>
      <c r="BG384" s="595"/>
      <c r="BH384" s="595"/>
      <c r="BI384" s="595"/>
      <c r="BJ384" s="595"/>
      <c r="BK384" s="651"/>
      <c r="BL384" s="651"/>
      <c r="BM384" s="651"/>
      <c r="BN384" s="651"/>
      <c r="BO384" s="651"/>
      <c r="BP384" s="651"/>
      <c r="BQ384" s="651"/>
      <c r="BR384" s="651"/>
      <c r="BS384" s="651"/>
      <c r="BT384" s="651"/>
    </row>
    <row r="385" ht="12.75" customHeight="1">
      <c r="A385" s="1360"/>
      <c r="B385" s="584"/>
      <c r="C385" s="584"/>
      <c r="D385" s="584"/>
      <c r="E385" s="585"/>
      <c r="F385" s="586"/>
      <c r="G385" s="584"/>
      <c r="H385" s="584"/>
      <c r="I385" s="443"/>
      <c r="J385" s="443"/>
      <c r="K385" s="354"/>
      <c r="L385" s="588"/>
      <c r="M385" s="588"/>
      <c r="N385" s="589"/>
      <c r="O385" s="595"/>
      <c r="P385" s="392"/>
      <c r="Q385" s="807"/>
      <c r="R385" s="603"/>
      <c r="S385" s="354"/>
      <c r="T385" s="584"/>
      <c r="U385" s="595"/>
      <c r="V385" s="595"/>
      <c r="W385" s="595"/>
      <c r="X385" s="443"/>
      <c r="Y385" s="595"/>
      <c r="Z385" s="595"/>
      <c r="AA385" s="595"/>
      <c r="AB385" s="354"/>
      <c r="AC385" s="595"/>
      <c r="AD385" s="595"/>
      <c r="AE385" s="584"/>
      <c r="AF385" s="595"/>
      <c r="AG385" s="354"/>
      <c r="AH385" s="443"/>
      <c r="AI385" s="595"/>
      <c r="AJ385" s="595"/>
      <c r="AK385" s="595"/>
      <c r="AL385" s="595"/>
      <c r="AM385" s="595"/>
      <c r="AN385" s="584"/>
      <c r="AO385" s="595"/>
      <c r="AP385" s="595"/>
      <c r="AQ385" s="595"/>
      <c r="AR385" s="595"/>
      <c r="AS385" s="595"/>
      <c r="AT385" s="595"/>
      <c r="AU385" s="595"/>
      <c r="AV385" s="595"/>
      <c r="AW385" s="595"/>
      <c r="AX385" s="595"/>
      <c r="AY385" s="595"/>
      <c r="AZ385" s="595"/>
      <c r="BA385" s="595"/>
      <c r="BB385" s="595"/>
      <c r="BC385" s="595"/>
      <c r="BD385" s="595"/>
      <c r="BE385" s="595"/>
      <c r="BF385" s="595"/>
      <c r="BG385" s="595"/>
      <c r="BH385" s="595"/>
      <c r="BI385" s="595"/>
      <c r="BJ385" s="651"/>
      <c r="BK385" s="651"/>
      <c r="BL385" s="651"/>
      <c r="BM385" s="651"/>
      <c r="BN385" s="651"/>
      <c r="BO385" s="651"/>
      <c r="BP385" s="651"/>
      <c r="BQ385" s="651"/>
      <c r="BR385" s="651"/>
      <c r="BS385" s="651"/>
      <c r="BT385" s="651"/>
    </row>
    <row r="386" ht="12.75" customHeight="1">
      <c r="A386" s="1360"/>
      <c r="B386" s="584"/>
      <c r="C386" s="584"/>
      <c r="D386" s="584"/>
      <c r="E386" s="585"/>
      <c r="F386" s="586"/>
      <c r="G386" s="584"/>
      <c r="H386" s="584"/>
      <c r="I386" s="443"/>
      <c r="J386" s="443"/>
      <c r="K386" s="354"/>
      <c r="L386" s="588"/>
      <c r="M386" s="588"/>
      <c r="N386" s="589"/>
      <c r="O386" s="595"/>
      <c r="P386" s="392"/>
      <c r="Q386" s="807"/>
      <c r="R386" s="603"/>
      <c r="S386" s="354"/>
      <c r="T386" s="584"/>
      <c r="U386" s="595"/>
      <c r="V386" s="595"/>
      <c r="W386" s="595"/>
      <c r="X386" s="443"/>
      <c r="Y386" s="595"/>
      <c r="Z386" s="595"/>
      <c r="AA386" s="595"/>
      <c r="AB386" s="354"/>
      <c r="AC386" s="595"/>
      <c r="AD386" s="595"/>
      <c r="AE386" s="584"/>
      <c r="AF386" s="595"/>
      <c r="AG386" s="354"/>
      <c r="AH386" s="443"/>
      <c r="AI386" s="595"/>
      <c r="AJ386" s="595"/>
      <c r="AK386" s="595"/>
      <c r="AL386" s="595"/>
      <c r="AM386" s="595"/>
      <c r="AN386" s="584"/>
      <c r="AO386" s="595"/>
      <c r="AP386" s="595"/>
      <c r="AQ386" s="595"/>
      <c r="AR386" s="595"/>
      <c r="AS386" s="595"/>
      <c r="AT386" s="595"/>
      <c r="AU386" s="595"/>
      <c r="AV386" s="595"/>
      <c r="AW386" s="595"/>
      <c r="AX386" s="595"/>
      <c r="AY386" s="595"/>
      <c r="AZ386" s="595"/>
      <c r="BA386" s="595"/>
      <c r="BB386" s="595"/>
      <c r="BC386" s="595"/>
      <c r="BD386" s="595"/>
      <c r="BE386" s="595"/>
      <c r="BF386" s="595"/>
      <c r="BG386" s="595"/>
      <c r="BH386" s="595"/>
      <c r="BI386" s="595"/>
      <c r="BJ386" s="651"/>
      <c r="BK386" s="651"/>
      <c r="BL386" s="651"/>
      <c r="BM386" s="651"/>
      <c r="BN386" s="651"/>
      <c r="BO386" s="651"/>
      <c r="BP386" s="651"/>
      <c r="BQ386" s="651"/>
      <c r="BR386" s="651"/>
      <c r="BS386" s="651"/>
      <c r="BT386" s="651"/>
    </row>
    <row r="387" ht="12.75" customHeight="1">
      <c r="A387" s="1360"/>
      <c r="B387" s="584"/>
      <c r="C387" s="584"/>
      <c r="D387" s="584"/>
      <c r="E387" s="585"/>
      <c r="F387" s="586"/>
      <c r="G387" s="584"/>
      <c r="H387" s="584"/>
      <c r="I387" s="443"/>
      <c r="J387" s="443"/>
      <c r="K387" s="354"/>
      <c r="L387" s="588"/>
      <c r="M387" s="588"/>
      <c r="N387" s="589"/>
      <c r="O387" s="595"/>
      <c r="P387" s="392"/>
      <c r="Q387" s="807"/>
      <c r="R387" s="603"/>
      <c r="S387" s="354"/>
      <c r="T387" s="584"/>
      <c r="U387" s="595"/>
      <c r="V387" s="595"/>
      <c r="W387" s="595"/>
      <c r="X387" s="443"/>
      <c r="Y387" s="595"/>
      <c r="Z387" s="595"/>
      <c r="AA387" s="595"/>
      <c r="AB387" s="354"/>
      <c r="AC387" s="595"/>
      <c r="AD387" s="595"/>
      <c r="AE387" s="584"/>
      <c r="AF387" s="595"/>
      <c r="AG387" s="354"/>
      <c r="AH387" s="443"/>
      <c r="AI387" s="595"/>
      <c r="AJ387" s="595"/>
      <c r="AK387" s="595"/>
      <c r="AL387" s="595"/>
      <c r="AM387" s="595"/>
      <c r="AN387" s="584"/>
      <c r="AO387" s="595"/>
      <c r="AP387" s="595"/>
      <c r="AQ387" s="595"/>
      <c r="AR387" s="595"/>
      <c r="AS387" s="595"/>
      <c r="AT387" s="595"/>
      <c r="AU387" s="595"/>
      <c r="AV387" s="595"/>
      <c r="AW387" s="595"/>
      <c r="AX387" s="595"/>
      <c r="AY387" s="595"/>
      <c r="AZ387" s="595"/>
      <c r="BA387" s="595"/>
      <c r="BB387" s="595"/>
      <c r="BC387" s="595"/>
      <c r="BD387" s="595"/>
      <c r="BE387" s="595"/>
      <c r="BF387" s="595"/>
      <c r="BG387" s="595"/>
      <c r="BH387" s="595"/>
      <c r="BI387" s="595"/>
      <c r="BJ387" s="651"/>
      <c r="BK387" s="651"/>
      <c r="BL387" s="651"/>
      <c r="BM387" s="651"/>
      <c r="BN387" s="651"/>
      <c r="BO387" s="651"/>
      <c r="BP387" s="651"/>
      <c r="BQ387" s="651"/>
      <c r="BR387" s="651"/>
      <c r="BS387" s="651"/>
      <c r="BT387" s="651"/>
    </row>
    <row r="388" ht="12.75" customHeight="1">
      <c r="A388" s="1360"/>
      <c r="B388" s="584"/>
      <c r="C388" s="584"/>
      <c r="D388" s="584"/>
      <c r="E388" s="585"/>
      <c r="F388" s="586"/>
      <c r="G388" s="584"/>
      <c r="H388" s="584"/>
      <c r="I388" s="443"/>
      <c r="J388" s="443"/>
      <c r="K388" s="354"/>
      <c r="L388" s="588"/>
      <c r="M388" s="588"/>
      <c r="N388" s="589"/>
      <c r="O388" s="595"/>
      <c r="P388" s="392"/>
      <c r="Q388" s="807"/>
      <c r="R388" s="603"/>
      <c r="S388" s="354"/>
      <c r="T388" s="584"/>
      <c r="U388" s="595"/>
      <c r="V388" s="595"/>
      <c r="W388" s="595"/>
      <c r="X388" s="443"/>
      <c r="Y388" s="595"/>
      <c r="Z388" s="595"/>
      <c r="AA388" s="595"/>
      <c r="AB388" s="354"/>
      <c r="AC388" s="595"/>
      <c r="AD388" s="595"/>
      <c r="AE388" s="584"/>
      <c r="AF388" s="595"/>
      <c r="AG388" s="354"/>
      <c r="AH388" s="443"/>
      <c r="AI388" s="595"/>
      <c r="AJ388" s="595"/>
      <c r="AK388" s="595"/>
      <c r="AL388" s="595"/>
      <c r="AM388" s="595"/>
      <c r="AN388" s="584"/>
      <c r="AO388" s="595"/>
      <c r="AP388" s="595"/>
      <c r="AQ388" s="595"/>
      <c r="AR388" s="595"/>
      <c r="AS388" s="595"/>
      <c r="AT388" s="595"/>
      <c r="AU388" s="595"/>
      <c r="AV388" s="595"/>
      <c r="AW388" s="595"/>
      <c r="AX388" s="595"/>
      <c r="AY388" s="595"/>
      <c r="AZ388" s="595"/>
      <c r="BA388" s="595"/>
      <c r="BB388" s="595"/>
      <c r="BC388" s="595"/>
      <c r="BD388" s="595"/>
      <c r="BE388" s="595"/>
      <c r="BF388" s="595"/>
      <c r="BG388" s="595"/>
      <c r="BH388" s="595"/>
      <c r="BI388" s="595"/>
      <c r="BJ388" s="651"/>
      <c r="BK388" s="651"/>
      <c r="BL388" s="651"/>
      <c r="BM388" s="651"/>
      <c r="BN388" s="651"/>
      <c r="BO388" s="651"/>
      <c r="BP388" s="651"/>
      <c r="BQ388" s="651"/>
      <c r="BR388" s="651"/>
      <c r="BS388" s="651"/>
      <c r="BT388" s="651"/>
    </row>
    <row r="389" ht="12.75" customHeight="1">
      <c r="A389" s="1360"/>
      <c r="B389" s="584"/>
      <c r="C389" s="584"/>
      <c r="D389" s="584"/>
      <c r="E389" s="585"/>
      <c r="F389" s="586"/>
      <c r="G389" s="584"/>
      <c r="H389" s="584"/>
      <c r="I389" s="443"/>
      <c r="J389" s="443"/>
      <c r="K389" s="354"/>
      <c r="L389" s="588"/>
      <c r="M389" s="588"/>
      <c r="N389" s="589"/>
      <c r="O389" s="595"/>
      <c r="P389" s="392"/>
      <c r="Q389" s="807"/>
      <c r="R389" s="603"/>
      <c r="S389" s="354"/>
      <c r="T389" s="584"/>
      <c r="U389" s="595"/>
      <c r="V389" s="595"/>
      <c r="W389" s="595"/>
      <c r="X389" s="443"/>
      <c r="Y389" s="595"/>
      <c r="Z389" s="595"/>
      <c r="AA389" s="595"/>
      <c r="AB389" s="354"/>
      <c r="AC389" s="595"/>
      <c r="AD389" s="595"/>
      <c r="AE389" s="584"/>
      <c r="AF389" s="595"/>
      <c r="AG389" s="354"/>
      <c r="AH389" s="443"/>
      <c r="AI389" s="595"/>
      <c r="AJ389" s="595"/>
      <c r="AK389" s="595"/>
      <c r="AL389" s="595"/>
      <c r="AM389" s="595"/>
      <c r="AN389" s="584"/>
      <c r="AO389" s="595"/>
      <c r="AP389" s="595"/>
      <c r="AQ389" s="595"/>
      <c r="AR389" s="595"/>
      <c r="AS389" s="595"/>
      <c r="AT389" s="595"/>
      <c r="AU389" s="595"/>
      <c r="AV389" s="595"/>
      <c r="AW389" s="595"/>
      <c r="AX389" s="595"/>
      <c r="AY389" s="595"/>
      <c r="AZ389" s="595"/>
      <c r="BA389" s="595"/>
      <c r="BB389" s="595"/>
      <c r="BC389" s="595"/>
      <c r="BD389" s="595"/>
      <c r="BE389" s="595"/>
      <c r="BF389" s="595"/>
      <c r="BG389" s="595"/>
      <c r="BH389" s="595"/>
      <c r="BI389" s="595"/>
      <c r="BJ389" s="651"/>
      <c r="BK389" s="651"/>
      <c r="BL389" s="651"/>
      <c r="BM389" s="651"/>
      <c r="BN389" s="651"/>
      <c r="BO389" s="651"/>
      <c r="BP389" s="651"/>
      <c r="BQ389" s="651"/>
      <c r="BR389" s="651"/>
      <c r="BS389" s="651"/>
      <c r="BT389" s="651"/>
    </row>
    <row r="390" ht="12.75" customHeight="1">
      <c r="A390" s="1360"/>
      <c r="B390" s="584"/>
      <c r="C390" s="584"/>
      <c r="D390" s="584"/>
      <c r="E390" s="585"/>
      <c r="F390" s="586"/>
      <c r="G390" s="584"/>
      <c r="H390" s="584"/>
      <c r="I390" s="443"/>
      <c r="J390" s="443"/>
      <c r="K390" s="354"/>
      <c r="L390" s="588"/>
      <c r="M390" s="588"/>
      <c r="N390" s="589"/>
      <c r="O390" s="595"/>
      <c r="P390" s="392"/>
      <c r="Q390" s="807"/>
      <c r="R390" s="603"/>
      <c r="S390" s="354"/>
      <c r="T390" s="584"/>
      <c r="U390" s="595"/>
      <c r="V390" s="595"/>
      <c r="W390" s="595"/>
      <c r="X390" s="443"/>
      <c r="Y390" s="595"/>
      <c r="Z390" s="595"/>
      <c r="AA390" s="595"/>
      <c r="AB390" s="354"/>
      <c r="AC390" s="595"/>
      <c r="AD390" s="595"/>
      <c r="AE390" s="584"/>
      <c r="AF390" s="595"/>
      <c r="AG390" s="354"/>
      <c r="AH390" s="443"/>
      <c r="AI390" s="595"/>
      <c r="AJ390" s="595"/>
      <c r="AK390" s="595"/>
      <c r="AL390" s="595"/>
      <c r="AM390" s="595"/>
      <c r="AN390" s="584"/>
      <c r="AO390" s="595"/>
      <c r="AP390" s="595"/>
      <c r="AQ390" s="595"/>
      <c r="AR390" s="595"/>
      <c r="AS390" s="595"/>
      <c r="AT390" s="595"/>
      <c r="AU390" s="595"/>
      <c r="AV390" s="595"/>
      <c r="AW390" s="595"/>
      <c r="AX390" s="595"/>
      <c r="AY390" s="595"/>
      <c r="AZ390" s="595"/>
      <c r="BA390" s="595"/>
      <c r="BB390" s="595"/>
      <c r="BC390" s="595"/>
      <c r="BD390" s="595"/>
      <c r="BE390" s="595"/>
      <c r="BF390" s="595"/>
      <c r="BG390" s="595"/>
      <c r="BH390" s="595"/>
      <c r="BI390" s="595"/>
      <c r="BJ390" s="651"/>
      <c r="BK390" s="651"/>
      <c r="BL390" s="651"/>
      <c r="BM390" s="651"/>
      <c r="BN390" s="651"/>
      <c r="BO390" s="651"/>
      <c r="BP390" s="651"/>
      <c r="BQ390" s="651"/>
      <c r="BR390" s="651"/>
      <c r="BS390" s="651"/>
      <c r="BT390" s="651"/>
    </row>
    <row r="391" ht="12.75" customHeight="1">
      <c r="A391" s="1360"/>
      <c r="B391" s="584"/>
      <c r="C391" s="584"/>
      <c r="D391" s="584"/>
      <c r="E391" s="585"/>
      <c r="F391" s="586"/>
      <c r="G391" s="584"/>
      <c r="H391" s="584"/>
      <c r="I391" s="443"/>
      <c r="J391" s="443"/>
      <c r="K391" s="354"/>
      <c r="L391" s="588"/>
      <c r="M391" s="588"/>
      <c r="N391" s="589"/>
      <c r="O391" s="595"/>
      <c r="P391" s="392"/>
      <c r="Q391" s="807"/>
      <c r="R391" s="603"/>
      <c r="S391" s="354"/>
      <c r="T391" s="584"/>
      <c r="U391" s="595"/>
      <c r="V391" s="595"/>
      <c r="W391" s="595"/>
      <c r="X391" s="443"/>
      <c r="Y391" s="595"/>
      <c r="Z391" s="595"/>
      <c r="AA391" s="595"/>
      <c r="AB391" s="354"/>
      <c r="AC391" s="595"/>
      <c r="AD391" s="595"/>
      <c r="AE391" s="584"/>
      <c r="AF391" s="595"/>
      <c r="AG391" s="354"/>
      <c r="AH391" s="443"/>
      <c r="AI391" s="595"/>
      <c r="AJ391" s="595"/>
      <c r="AK391" s="595"/>
      <c r="AL391" s="595"/>
      <c r="AM391" s="595"/>
      <c r="AN391" s="584"/>
      <c r="AO391" s="595"/>
      <c r="AP391" s="595"/>
      <c r="AQ391" s="595"/>
      <c r="AR391" s="595"/>
      <c r="AS391" s="595"/>
      <c r="AT391" s="595"/>
      <c r="AU391" s="595"/>
      <c r="AV391" s="595"/>
      <c r="AW391" s="595"/>
      <c r="AX391" s="595"/>
      <c r="AY391" s="595"/>
      <c r="AZ391" s="595"/>
      <c r="BA391" s="595"/>
      <c r="BB391" s="595"/>
      <c r="BC391" s="595"/>
      <c r="BD391" s="595"/>
      <c r="BE391" s="595"/>
      <c r="BF391" s="595"/>
      <c r="BG391" s="595"/>
      <c r="BH391" s="595"/>
      <c r="BI391" s="595"/>
      <c r="BJ391" s="651"/>
      <c r="BK391" s="651"/>
      <c r="BL391" s="651"/>
      <c r="BM391" s="651"/>
      <c r="BN391" s="651"/>
      <c r="BO391" s="651"/>
      <c r="BP391" s="651"/>
      <c r="BQ391" s="651"/>
      <c r="BR391" s="651"/>
      <c r="BS391" s="651"/>
      <c r="BT391" s="651"/>
    </row>
    <row r="392" ht="12.75" customHeight="1">
      <c r="A392" s="1360"/>
      <c r="B392" s="584"/>
      <c r="C392" s="584"/>
      <c r="D392" s="584"/>
      <c r="E392" s="585"/>
      <c r="F392" s="586"/>
      <c r="G392" s="584"/>
      <c r="H392" s="584"/>
      <c r="I392" s="443"/>
      <c r="J392" s="443"/>
      <c r="K392" s="354"/>
      <c r="L392" s="588"/>
      <c r="M392" s="588"/>
      <c r="N392" s="589"/>
      <c r="O392" s="595"/>
      <c r="P392" s="392"/>
      <c r="Q392" s="807"/>
      <c r="R392" s="603"/>
      <c r="S392" s="354"/>
      <c r="T392" s="584"/>
      <c r="U392" s="595"/>
      <c r="V392" s="595"/>
      <c r="W392" s="595"/>
      <c r="X392" s="443"/>
      <c r="Y392" s="595"/>
      <c r="Z392" s="595"/>
      <c r="AA392" s="595"/>
      <c r="AB392" s="354"/>
      <c r="AC392" s="595"/>
      <c r="AD392" s="595"/>
      <c r="AE392" s="584"/>
      <c r="AF392" s="595"/>
      <c r="AG392" s="354"/>
      <c r="AH392" s="443"/>
      <c r="AI392" s="595"/>
      <c r="AJ392" s="595"/>
      <c r="AK392" s="595"/>
      <c r="AL392" s="595"/>
      <c r="AM392" s="595"/>
      <c r="AN392" s="584"/>
      <c r="AO392" s="595"/>
      <c r="AP392" s="595"/>
      <c r="AQ392" s="595"/>
      <c r="AR392" s="595"/>
      <c r="AS392" s="595"/>
      <c r="AT392" s="595"/>
      <c r="AU392" s="595"/>
      <c r="AV392" s="595"/>
      <c r="AW392" s="595"/>
      <c r="AX392" s="595"/>
      <c r="AY392" s="595"/>
      <c r="AZ392" s="595"/>
      <c r="BA392" s="595"/>
      <c r="BB392" s="595"/>
      <c r="BC392" s="595"/>
      <c r="BD392" s="595"/>
      <c r="BE392" s="595"/>
      <c r="BF392" s="595"/>
      <c r="BG392" s="595"/>
      <c r="BH392" s="595"/>
      <c r="BI392" s="595"/>
      <c r="BJ392" s="651"/>
      <c r="BK392" s="651"/>
      <c r="BL392" s="651"/>
      <c r="BM392" s="651"/>
      <c r="BN392" s="651"/>
      <c r="BO392" s="651"/>
      <c r="BP392" s="651"/>
      <c r="BQ392" s="651"/>
      <c r="BR392" s="651"/>
      <c r="BS392" s="651"/>
      <c r="BT392" s="651"/>
    </row>
    <row r="393" ht="12.75" customHeight="1">
      <c r="A393" s="1360"/>
      <c r="B393" s="584"/>
      <c r="C393" s="584"/>
      <c r="D393" s="584"/>
      <c r="E393" s="585"/>
      <c r="F393" s="586"/>
      <c r="G393" s="584"/>
      <c r="H393" s="584"/>
      <c r="I393" s="443"/>
      <c r="J393" s="443"/>
      <c r="K393" s="354"/>
      <c r="L393" s="588"/>
      <c r="M393" s="588"/>
      <c r="N393" s="589"/>
      <c r="O393" s="595"/>
      <c r="P393" s="392"/>
      <c r="Q393" s="807"/>
      <c r="R393" s="603"/>
      <c r="S393" s="354"/>
      <c r="T393" s="584"/>
      <c r="U393" s="595"/>
      <c r="V393" s="595"/>
      <c r="W393" s="595"/>
      <c r="X393" s="443"/>
      <c r="Y393" s="595"/>
      <c r="Z393" s="595"/>
      <c r="AA393" s="595"/>
      <c r="AB393" s="354"/>
      <c r="AC393" s="595"/>
      <c r="AD393" s="595"/>
      <c r="AE393" s="584"/>
      <c r="AF393" s="595"/>
      <c r="AG393" s="354"/>
      <c r="AH393" s="443"/>
      <c r="AI393" s="595"/>
      <c r="AJ393" s="595"/>
      <c r="AK393" s="595"/>
      <c r="AL393" s="595"/>
      <c r="AM393" s="595"/>
      <c r="AN393" s="584"/>
      <c r="AO393" s="595"/>
      <c r="AP393" s="595"/>
      <c r="AQ393" s="595"/>
      <c r="AR393" s="595"/>
      <c r="AS393" s="595"/>
      <c r="AT393" s="595"/>
      <c r="AU393" s="595"/>
      <c r="AV393" s="595"/>
      <c r="AW393" s="595"/>
      <c r="AX393" s="595"/>
      <c r="AY393" s="595"/>
      <c r="AZ393" s="595"/>
      <c r="BA393" s="595"/>
      <c r="BB393" s="595"/>
      <c r="BC393" s="595"/>
      <c r="BD393" s="595"/>
      <c r="BE393" s="595"/>
      <c r="BF393" s="595"/>
      <c r="BG393" s="595"/>
      <c r="BH393" s="595"/>
      <c r="BI393" s="595"/>
      <c r="BJ393" s="651"/>
      <c r="BK393" s="651"/>
      <c r="BL393" s="651"/>
      <c r="BM393" s="651"/>
      <c r="BN393" s="651"/>
      <c r="BO393" s="651"/>
      <c r="BP393" s="651"/>
      <c r="BQ393" s="651"/>
      <c r="BR393" s="651"/>
      <c r="BS393" s="651"/>
      <c r="BT393" s="651"/>
    </row>
    <row r="394" ht="12.75" customHeight="1">
      <c r="A394" s="1360"/>
      <c r="B394" s="584"/>
      <c r="C394" s="584"/>
      <c r="D394" s="584"/>
      <c r="E394" s="585"/>
      <c r="F394" s="586"/>
      <c r="G394" s="584"/>
      <c r="H394" s="584"/>
      <c r="I394" s="443"/>
      <c r="J394" s="443"/>
      <c r="K394" s="354"/>
      <c r="L394" s="588"/>
      <c r="M394" s="588"/>
      <c r="N394" s="589"/>
      <c r="O394" s="595"/>
      <c r="P394" s="392"/>
      <c r="Q394" s="807"/>
      <c r="R394" s="603"/>
      <c r="S394" s="354"/>
      <c r="T394" s="584"/>
      <c r="U394" s="595"/>
      <c r="V394" s="595"/>
      <c r="W394" s="595"/>
      <c r="X394" s="443"/>
      <c r="Y394" s="595"/>
      <c r="Z394" s="595"/>
      <c r="AA394" s="595"/>
      <c r="AB394" s="354"/>
      <c r="AC394" s="595"/>
      <c r="AD394" s="595"/>
      <c r="AE394" s="584"/>
      <c r="AF394" s="595"/>
      <c r="AG394" s="349"/>
      <c r="AH394" s="595"/>
      <c r="AI394" s="595"/>
      <c r="AJ394" s="595"/>
      <c r="AK394" s="595"/>
      <c r="AL394" s="595"/>
      <c r="AM394" s="584"/>
      <c r="AN394" s="595"/>
      <c r="AO394" s="595"/>
      <c r="AP394" s="595"/>
      <c r="AQ394" s="595"/>
      <c r="AR394" s="595"/>
      <c r="AS394" s="595"/>
      <c r="AT394" s="595"/>
      <c r="AU394" s="595"/>
      <c r="AV394" s="595"/>
      <c r="AW394" s="595"/>
      <c r="AX394" s="595"/>
      <c r="AY394" s="595"/>
      <c r="AZ394" s="595"/>
      <c r="BA394" s="595"/>
      <c r="BB394" s="595"/>
      <c r="BC394" s="595"/>
      <c r="BD394" s="595"/>
      <c r="BE394" s="595"/>
      <c r="BF394" s="595"/>
      <c r="BG394" s="595"/>
      <c r="BH394" s="595"/>
      <c r="BI394" s="595"/>
      <c r="BJ394" s="651"/>
      <c r="BK394" s="651"/>
      <c r="BL394" s="651"/>
      <c r="BM394" s="651"/>
      <c r="BN394" s="651"/>
      <c r="BO394" s="651"/>
      <c r="BP394" s="651"/>
      <c r="BQ394" s="651"/>
      <c r="BR394" s="651"/>
      <c r="BS394" s="651"/>
      <c r="BT394" s="651"/>
    </row>
    <row r="395" ht="12.75" customHeight="1">
      <c r="A395" s="1360"/>
      <c r="B395" s="584"/>
      <c r="C395" s="584"/>
      <c r="D395" s="584"/>
      <c r="E395" s="585"/>
      <c r="F395" s="586"/>
      <c r="G395" s="584"/>
      <c r="H395" s="584"/>
      <c r="I395" s="443"/>
      <c r="J395" s="443"/>
      <c r="K395" s="354"/>
      <c r="L395" s="588"/>
      <c r="M395" s="588"/>
      <c r="N395" s="589"/>
      <c r="O395" s="595"/>
      <c r="P395" s="392"/>
      <c r="Q395" s="807"/>
      <c r="R395" s="603"/>
      <c r="S395" s="354"/>
      <c r="T395" s="584"/>
      <c r="U395" s="595"/>
      <c r="V395" s="595"/>
      <c r="W395" s="595"/>
      <c r="X395" s="443"/>
      <c r="Y395" s="595"/>
      <c r="Z395" s="595"/>
      <c r="AA395" s="595"/>
      <c r="AB395" s="354"/>
      <c r="AC395" s="595"/>
      <c r="AD395" s="595"/>
      <c r="AE395" s="584"/>
      <c r="AF395" s="595"/>
      <c r="AG395" s="349"/>
      <c r="AH395" s="595"/>
      <c r="AI395" s="595"/>
      <c r="AJ395" s="595"/>
      <c r="AK395" s="595"/>
      <c r="AL395" s="595"/>
      <c r="AM395" s="584"/>
      <c r="AN395" s="595"/>
      <c r="AO395" s="595"/>
      <c r="AP395" s="595"/>
      <c r="AQ395" s="584"/>
      <c r="AR395" s="584"/>
      <c r="AS395" s="584"/>
      <c r="AT395" s="584"/>
      <c r="AU395" s="584"/>
      <c r="AV395" s="584"/>
      <c r="AW395" s="584"/>
      <c r="AX395" s="584"/>
      <c r="AY395" s="584"/>
      <c r="AZ395" s="584"/>
      <c r="BA395" s="584"/>
      <c r="BB395" s="595"/>
      <c r="BC395" s="595"/>
      <c r="BD395" s="595"/>
      <c r="BE395" s="595"/>
      <c r="BF395" s="595"/>
      <c r="BG395" s="595"/>
      <c r="BH395" s="595"/>
      <c r="BI395" s="595"/>
      <c r="BJ395" s="651"/>
      <c r="BK395" s="651"/>
      <c r="BL395" s="651"/>
      <c r="BM395" s="651"/>
      <c r="BN395" s="651"/>
      <c r="BO395" s="651"/>
      <c r="BP395" s="651"/>
      <c r="BQ395" s="651"/>
      <c r="BR395" s="651"/>
      <c r="BS395" s="651"/>
      <c r="BT395" s="651"/>
    </row>
    <row r="396" ht="12.75" customHeight="1">
      <c r="A396" s="1360"/>
      <c r="B396" s="584"/>
      <c r="C396" s="584"/>
      <c r="D396" s="584"/>
      <c r="E396" s="585"/>
      <c r="F396" s="586"/>
      <c r="G396" s="584"/>
      <c r="H396" s="584"/>
      <c r="I396" s="443"/>
      <c r="J396" s="443"/>
      <c r="K396" s="354"/>
      <c r="L396" s="588"/>
      <c r="M396" s="588"/>
      <c r="N396" s="589"/>
      <c r="O396" s="595"/>
      <c r="P396" s="392"/>
      <c r="Q396" s="807"/>
      <c r="R396" s="603"/>
      <c r="S396" s="354"/>
      <c r="T396" s="584"/>
      <c r="U396" s="595"/>
      <c r="V396" s="595"/>
      <c r="W396" s="595"/>
      <c r="X396" s="443"/>
      <c r="Y396" s="595"/>
      <c r="Z396" s="595"/>
      <c r="AA396" s="595"/>
      <c r="AB396" s="354"/>
      <c r="AC396" s="595"/>
      <c r="AD396" s="595"/>
      <c r="AE396" s="584"/>
      <c r="AF396" s="595"/>
      <c r="AG396" s="349"/>
      <c r="AH396" s="595"/>
      <c r="AI396" s="595"/>
      <c r="AJ396" s="595"/>
      <c r="AK396" s="595"/>
      <c r="AL396" s="595"/>
      <c r="AM396" s="584"/>
      <c r="AN396" s="595"/>
      <c r="AO396" s="595"/>
      <c r="AP396" s="595"/>
      <c r="AQ396" s="584"/>
      <c r="AR396" s="584"/>
      <c r="AS396" s="584"/>
      <c r="AT396" s="584"/>
      <c r="AU396" s="584"/>
      <c r="AV396" s="584"/>
      <c r="AW396" s="584"/>
      <c r="AX396" s="584"/>
      <c r="AY396" s="584"/>
      <c r="AZ396" s="584"/>
      <c r="BA396" s="584"/>
      <c r="BB396" s="595"/>
      <c r="BC396" s="595"/>
      <c r="BD396" s="595"/>
      <c r="BE396" s="595"/>
      <c r="BF396" s="595"/>
      <c r="BG396" s="595"/>
      <c r="BH396" s="595"/>
      <c r="BI396" s="595"/>
      <c r="BJ396" s="651"/>
      <c r="BK396" s="651"/>
      <c r="BL396" s="651"/>
      <c r="BM396" s="651"/>
      <c r="BN396" s="651"/>
      <c r="BO396" s="651"/>
      <c r="BP396" s="651"/>
      <c r="BQ396" s="651"/>
      <c r="BR396" s="651"/>
      <c r="BS396" s="651"/>
      <c r="BT396" s="651"/>
    </row>
    <row r="397" ht="12.75" customHeight="1">
      <c r="A397" s="1360"/>
      <c r="B397" s="584"/>
      <c r="C397" s="584"/>
      <c r="D397" s="584"/>
      <c r="E397" s="585"/>
      <c r="F397" s="586"/>
      <c r="G397" s="584"/>
      <c r="H397" s="584"/>
      <c r="I397" s="443"/>
      <c r="J397" s="443"/>
      <c r="K397" s="354"/>
      <c r="L397" s="588"/>
      <c r="M397" s="588"/>
      <c r="N397" s="589"/>
      <c r="O397" s="595"/>
      <c r="P397" s="392"/>
      <c r="Q397" s="807"/>
      <c r="R397" s="603"/>
      <c r="S397" s="354"/>
      <c r="T397" s="584"/>
      <c r="U397" s="595"/>
      <c r="V397" s="595"/>
      <c r="W397" s="595"/>
      <c r="X397" s="443"/>
      <c r="Y397" s="595"/>
      <c r="Z397" s="595"/>
      <c r="AA397" s="595"/>
      <c r="AB397" s="354"/>
      <c r="AC397" s="595"/>
      <c r="AD397" s="584"/>
      <c r="AE397" s="595"/>
      <c r="AF397" s="595"/>
      <c r="AG397" s="349"/>
      <c r="AH397" s="595"/>
      <c r="AI397" s="595"/>
      <c r="AJ397" s="595"/>
      <c r="AK397" s="595"/>
      <c r="AL397" s="595"/>
      <c r="AM397" s="584"/>
      <c r="AN397" s="595"/>
      <c r="AO397" s="595"/>
      <c r="AP397" s="595"/>
      <c r="AQ397" s="597"/>
      <c r="AR397" s="597"/>
      <c r="AS397" s="597"/>
      <c r="AT397" s="597"/>
      <c r="AU397" s="597"/>
      <c r="AV397" s="597"/>
      <c r="AW397" s="597"/>
      <c r="AX397" s="597"/>
      <c r="AY397" s="597"/>
      <c r="AZ397" s="597"/>
      <c r="BA397" s="597"/>
      <c r="BB397" s="595"/>
      <c r="BC397" s="595"/>
      <c r="BD397" s="595"/>
      <c r="BE397" s="595"/>
      <c r="BF397" s="595"/>
      <c r="BG397" s="595"/>
      <c r="BH397" s="595"/>
      <c r="BI397" s="595"/>
      <c r="BJ397" s="651"/>
      <c r="BK397" s="651"/>
      <c r="BL397" s="651"/>
      <c r="BM397" s="651"/>
      <c r="BN397" s="651"/>
      <c r="BO397" s="651"/>
      <c r="BP397" s="651"/>
      <c r="BQ397" s="651"/>
      <c r="BR397" s="651"/>
      <c r="BS397" s="651"/>
      <c r="BT397" s="651"/>
    </row>
    <row r="398" ht="12.75" customHeight="1">
      <c r="A398" s="1360"/>
      <c r="B398" s="584"/>
      <c r="C398" s="584"/>
      <c r="D398" s="584"/>
      <c r="E398" s="585"/>
      <c r="F398" s="586"/>
      <c r="G398" s="584"/>
      <c r="H398" s="584"/>
      <c r="I398" s="443"/>
      <c r="J398" s="443"/>
      <c r="K398" s="354"/>
      <c r="L398" s="588"/>
      <c r="M398" s="588"/>
      <c r="N398" s="589"/>
      <c r="O398" s="595"/>
      <c r="P398" s="392"/>
      <c r="Q398" s="807"/>
      <c r="R398" s="603"/>
      <c r="S398" s="354"/>
      <c r="T398" s="584"/>
      <c r="U398" s="595"/>
      <c r="V398" s="595"/>
      <c r="W398" s="595"/>
      <c r="X398" s="443"/>
      <c r="Y398" s="595"/>
      <c r="Z398" s="595"/>
      <c r="AA398" s="595"/>
      <c r="AB398" s="354"/>
      <c r="AC398" s="595"/>
      <c r="AD398" s="584"/>
      <c r="AE398" s="595"/>
      <c r="AF398" s="595"/>
      <c r="AG398" s="349"/>
      <c r="AH398" s="595"/>
      <c r="AI398" s="595"/>
      <c r="AJ398" s="595"/>
      <c r="AK398" s="595"/>
      <c r="AL398" s="595"/>
      <c r="AM398" s="584"/>
      <c r="AN398" s="595"/>
      <c r="AO398" s="595"/>
      <c r="AP398" s="595"/>
      <c r="AQ398" s="597"/>
      <c r="AR398" s="597"/>
      <c r="AS398" s="597"/>
      <c r="AT398" s="597"/>
      <c r="AU398" s="597"/>
      <c r="AV398" s="597"/>
      <c r="AW398" s="597"/>
      <c r="AX398" s="597"/>
      <c r="AY398" s="597"/>
      <c r="AZ398" s="597"/>
      <c r="BA398" s="597"/>
      <c r="BB398" s="595"/>
      <c r="BC398" s="595"/>
      <c r="BD398" s="595"/>
      <c r="BE398" s="595"/>
      <c r="BF398" s="595"/>
      <c r="BG398" s="595"/>
      <c r="BH398" s="595"/>
      <c r="BI398" s="595"/>
      <c r="BJ398" s="651"/>
      <c r="BK398" s="651"/>
      <c r="BL398" s="651"/>
      <c r="BM398" s="651"/>
      <c r="BN398" s="651"/>
      <c r="BO398" s="651"/>
      <c r="BP398" s="651"/>
      <c r="BQ398" s="651"/>
      <c r="BR398" s="651"/>
      <c r="BS398" s="651"/>
      <c r="BT398" s="651"/>
    </row>
    <row r="399" ht="12.75" customHeight="1">
      <c r="A399" s="1360"/>
      <c r="B399" s="584"/>
      <c r="C399" s="584"/>
      <c r="D399" s="584"/>
      <c r="E399" s="585"/>
      <c r="F399" s="586"/>
      <c r="G399" s="584"/>
      <c r="H399" s="584"/>
      <c r="I399" s="443"/>
      <c r="J399" s="443"/>
      <c r="K399" s="354"/>
      <c r="L399" s="588"/>
      <c r="M399" s="588"/>
      <c r="N399" s="589"/>
      <c r="O399" s="595"/>
      <c r="P399" s="392"/>
      <c r="Q399" s="807"/>
      <c r="R399" s="603"/>
      <c r="S399" s="354"/>
      <c r="T399" s="584"/>
      <c r="U399" s="595"/>
      <c r="V399" s="595"/>
      <c r="W399" s="595"/>
      <c r="X399" s="443"/>
      <c r="Y399" s="595"/>
      <c r="Z399" s="595"/>
      <c r="AA399" s="595"/>
      <c r="AB399" s="354"/>
      <c r="AC399" s="595"/>
      <c r="AD399" s="584"/>
      <c r="AE399" s="595"/>
      <c r="AF399" s="595"/>
      <c r="AG399" s="349"/>
      <c r="AH399" s="595"/>
      <c r="AI399" s="595"/>
      <c r="AJ399" s="595"/>
      <c r="AK399" s="595"/>
      <c r="AL399" s="595"/>
      <c r="AM399" s="584"/>
      <c r="AN399" s="595"/>
      <c r="AO399" s="595"/>
      <c r="AP399" s="595"/>
      <c r="AQ399" s="597"/>
      <c r="AR399" s="597"/>
      <c r="AS399" s="597"/>
      <c r="AT399" s="597"/>
      <c r="AU399" s="597"/>
      <c r="AV399" s="597"/>
      <c r="AW399" s="597"/>
      <c r="AX399" s="597"/>
      <c r="AY399" s="597"/>
      <c r="AZ399" s="597"/>
      <c r="BA399" s="597"/>
      <c r="BB399" s="595"/>
      <c r="BC399" s="595"/>
      <c r="BD399" s="595"/>
      <c r="BE399" s="595"/>
      <c r="BF399" s="595"/>
      <c r="BG399" s="595"/>
      <c r="BH399" s="595"/>
      <c r="BI399" s="595"/>
      <c r="BJ399" s="651"/>
      <c r="BK399" s="651"/>
      <c r="BL399" s="651"/>
      <c r="BM399" s="651"/>
      <c r="BN399" s="651"/>
      <c r="BO399" s="651"/>
      <c r="BP399" s="651"/>
      <c r="BQ399" s="651"/>
      <c r="BR399" s="651"/>
      <c r="BS399" s="651"/>
      <c r="BT399" s="651"/>
    </row>
    <row r="400" ht="12.75" customHeight="1">
      <c r="A400" s="1360"/>
      <c r="B400" s="584"/>
      <c r="C400" s="584"/>
      <c r="D400" s="584"/>
      <c r="E400" s="585"/>
      <c r="F400" s="586"/>
      <c r="G400" s="584"/>
      <c r="H400" s="584"/>
      <c r="I400" s="443"/>
      <c r="J400" s="443"/>
      <c r="K400" s="354"/>
      <c r="L400" s="588"/>
      <c r="M400" s="588"/>
      <c r="N400" s="589"/>
      <c r="O400" s="595"/>
      <c r="P400" s="392"/>
      <c r="Q400" s="807"/>
      <c r="R400" s="603"/>
      <c r="S400" s="354"/>
      <c r="T400" s="584"/>
      <c r="U400" s="595"/>
      <c r="V400" s="595"/>
      <c r="W400" s="595"/>
      <c r="X400" s="443"/>
      <c r="Y400" s="595"/>
      <c r="Z400" s="595"/>
      <c r="AA400" s="595"/>
      <c r="AB400" s="354"/>
      <c r="AC400" s="595"/>
      <c r="AD400" s="584"/>
      <c r="AE400" s="595"/>
      <c r="AF400" s="595"/>
      <c r="AG400" s="349"/>
      <c r="AH400" s="595"/>
      <c r="AI400" s="595"/>
      <c r="AJ400" s="595"/>
      <c r="AK400" s="595"/>
      <c r="AL400" s="595"/>
      <c r="AM400" s="584"/>
      <c r="AN400" s="595"/>
      <c r="AO400" s="595"/>
      <c r="AP400" s="595"/>
      <c r="AQ400" s="597"/>
      <c r="AR400" s="597"/>
      <c r="AS400" s="597"/>
      <c r="AT400" s="597"/>
      <c r="AU400" s="597"/>
      <c r="AV400" s="597"/>
      <c r="AW400" s="597"/>
      <c r="AX400" s="597"/>
      <c r="AY400" s="597"/>
      <c r="AZ400" s="597"/>
      <c r="BA400" s="597"/>
      <c r="BB400" s="595"/>
      <c r="BC400" s="595"/>
      <c r="BD400" s="595"/>
      <c r="BE400" s="595"/>
      <c r="BF400" s="595"/>
      <c r="BG400" s="595"/>
      <c r="BH400" s="595"/>
      <c r="BI400" s="595"/>
      <c r="BJ400" s="651"/>
      <c r="BK400" s="651"/>
      <c r="BL400" s="651"/>
      <c r="BM400" s="651"/>
      <c r="BN400" s="651"/>
      <c r="BO400" s="651"/>
      <c r="BP400" s="651"/>
      <c r="BQ400" s="651"/>
      <c r="BR400" s="651"/>
      <c r="BS400" s="651"/>
      <c r="BT400" s="651"/>
    </row>
    <row r="401" ht="12.75" customHeight="1">
      <c r="A401" s="1360"/>
      <c r="B401" s="584"/>
      <c r="C401" s="584"/>
      <c r="D401" s="584"/>
      <c r="E401" s="585"/>
      <c r="F401" s="586"/>
      <c r="G401" s="584"/>
      <c r="H401" s="584"/>
      <c r="I401" s="443"/>
      <c r="J401" s="443"/>
      <c r="K401" s="354"/>
      <c r="L401" s="588"/>
      <c r="M401" s="588"/>
      <c r="N401" s="589"/>
      <c r="O401" s="595"/>
      <c r="P401" s="392"/>
      <c r="Q401" s="807"/>
      <c r="R401" s="603"/>
      <c r="S401" s="354"/>
      <c r="T401" s="584"/>
      <c r="U401" s="595"/>
      <c r="V401" s="595"/>
      <c r="W401" s="595"/>
      <c r="X401" s="443"/>
      <c r="Y401" s="595"/>
      <c r="Z401" s="595"/>
      <c r="AA401" s="595"/>
      <c r="AB401" s="354"/>
      <c r="AC401" s="595"/>
      <c r="AD401" s="584"/>
      <c r="AE401" s="595"/>
      <c r="AF401" s="595"/>
      <c r="AG401" s="349"/>
      <c r="AH401" s="595"/>
      <c r="AI401" s="595"/>
      <c r="AJ401" s="595"/>
      <c r="AK401" s="595"/>
      <c r="AL401" s="595"/>
      <c r="AM401" s="584"/>
      <c r="AN401" s="595"/>
      <c r="AO401" s="595"/>
      <c r="AP401" s="595"/>
      <c r="AQ401" s="597"/>
      <c r="AR401" s="597"/>
      <c r="AS401" s="597"/>
      <c r="AT401" s="597"/>
      <c r="AU401" s="597"/>
      <c r="AV401" s="597"/>
      <c r="AW401" s="597"/>
      <c r="AX401" s="597"/>
      <c r="AY401" s="597"/>
      <c r="AZ401" s="597"/>
      <c r="BA401" s="597"/>
      <c r="BB401" s="595"/>
      <c r="BC401" s="595"/>
      <c r="BD401" s="595"/>
      <c r="BE401" s="595"/>
      <c r="BF401" s="595"/>
      <c r="BG401" s="595"/>
      <c r="BH401" s="595"/>
      <c r="BI401" s="595"/>
      <c r="BJ401" s="651"/>
      <c r="BK401" s="651"/>
      <c r="BL401" s="651"/>
      <c r="BM401" s="651"/>
      <c r="BN401" s="651"/>
      <c r="BO401" s="651"/>
      <c r="BP401" s="651"/>
      <c r="BQ401" s="651"/>
      <c r="BR401" s="651"/>
      <c r="BS401" s="651"/>
      <c r="BT401" s="651"/>
    </row>
    <row r="402" ht="12.75" customHeight="1">
      <c r="A402" s="1360"/>
      <c r="B402" s="584"/>
      <c r="C402" s="584"/>
      <c r="D402" s="584"/>
      <c r="E402" s="585"/>
      <c r="F402" s="586"/>
      <c r="G402" s="584"/>
      <c r="H402" s="584"/>
      <c r="I402" s="443"/>
      <c r="J402" s="443"/>
      <c r="K402" s="354"/>
      <c r="L402" s="588"/>
      <c r="M402" s="588"/>
      <c r="N402" s="589"/>
      <c r="O402" s="595"/>
      <c r="P402" s="392"/>
      <c r="Q402" s="807"/>
      <c r="R402" s="603"/>
      <c r="S402" s="354"/>
      <c r="T402" s="584"/>
      <c r="U402" s="595"/>
      <c r="V402" s="595"/>
      <c r="W402" s="595"/>
      <c r="X402" s="443"/>
      <c r="Y402" s="595"/>
      <c r="Z402" s="595"/>
      <c r="AA402" s="595"/>
      <c r="AB402" s="354"/>
      <c r="AC402" s="595"/>
      <c r="AD402" s="584"/>
      <c r="AE402" s="595"/>
      <c r="AF402" s="595"/>
      <c r="AG402" s="349"/>
      <c r="AH402" s="595"/>
      <c r="AI402" s="595"/>
      <c r="AJ402" s="595"/>
      <c r="AK402" s="595"/>
      <c r="AL402" s="595"/>
      <c r="AM402" s="584"/>
      <c r="AN402" s="595"/>
      <c r="AO402" s="595"/>
      <c r="AP402" s="584"/>
      <c r="AQ402" s="597"/>
      <c r="AR402" s="597"/>
      <c r="AS402" s="597"/>
      <c r="AT402" s="597"/>
      <c r="AU402" s="597"/>
      <c r="AV402" s="597"/>
      <c r="AW402" s="597"/>
      <c r="AX402" s="597"/>
      <c r="AY402" s="597"/>
      <c r="AZ402" s="597"/>
      <c r="BA402" s="597"/>
      <c r="BB402" s="595"/>
      <c r="BC402" s="595"/>
      <c r="BD402" s="595"/>
      <c r="BE402" s="595"/>
      <c r="BF402" s="595"/>
      <c r="BG402" s="595"/>
      <c r="BH402" s="595"/>
      <c r="BI402" s="595"/>
      <c r="BJ402" s="651"/>
      <c r="BK402" s="651"/>
      <c r="BL402" s="651"/>
      <c r="BM402" s="651"/>
      <c r="BN402" s="651"/>
      <c r="BO402" s="651"/>
      <c r="BP402" s="651"/>
      <c r="BQ402" s="651"/>
      <c r="BR402" s="651"/>
      <c r="BS402" s="651"/>
      <c r="BT402" s="651"/>
    </row>
    <row r="403" ht="12.75" customHeight="1">
      <c r="A403" s="1360"/>
      <c r="B403" s="584"/>
      <c r="C403" s="584"/>
      <c r="D403" s="584"/>
      <c r="E403" s="585"/>
      <c r="F403" s="586"/>
      <c r="G403" s="584"/>
      <c r="H403" s="584"/>
      <c r="I403" s="443"/>
      <c r="J403" s="443"/>
      <c r="K403" s="354"/>
      <c r="L403" s="588"/>
      <c r="M403" s="588"/>
      <c r="N403" s="589"/>
      <c r="O403" s="595"/>
      <c r="P403" s="392"/>
      <c r="Q403" s="807"/>
      <c r="R403" s="603"/>
      <c r="S403" s="354"/>
      <c r="T403" s="584"/>
      <c r="U403" s="595"/>
      <c r="V403" s="595"/>
      <c r="W403" s="595"/>
      <c r="X403" s="443"/>
      <c r="Y403" s="595"/>
      <c r="Z403" s="595"/>
      <c r="AA403" s="595"/>
      <c r="AB403" s="354"/>
      <c r="AC403" s="595"/>
      <c r="AD403" s="584"/>
      <c r="AE403" s="595"/>
      <c r="AF403" s="595"/>
      <c r="AG403" s="349"/>
      <c r="AH403" s="595"/>
      <c r="AI403" s="595"/>
      <c r="AJ403" s="595"/>
      <c r="AK403" s="595"/>
      <c r="AL403" s="595"/>
      <c r="AM403" s="584"/>
      <c r="AN403" s="595"/>
      <c r="AO403" s="595"/>
      <c r="AP403" s="584"/>
      <c r="AQ403" s="597"/>
      <c r="AR403" s="597"/>
      <c r="AS403" s="597"/>
      <c r="AT403" s="597"/>
      <c r="AU403" s="597"/>
      <c r="AV403" s="597"/>
      <c r="AW403" s="597"/>
      <c r="AX403" s="597"/>
      <c r="AY403" s="597"/>
      <c r="AZ403" s="597"/>
      <c r="BA403" s="597"/>
      <c r="BB403" s="595"/>
      <c r="BC403" s="595"/>
      <c r="BD403" s="595"/>
      <c r="BE403" s="595"/>
      <c r="BF403" s="595"/>
      <c r="BG403" s="595"/>
      <c r="BH403" s="595"/>
      <c r="BI403" s="595"/>
      <c r="BJ403" s="651"/>
      <c r="BK403" s="651"/>
      <c r="BL403" s="651"/>
      <c r="BM403" s="651"/>
      <c r="BN403" s="651"/>
      <c r="BO403" s="651"/>
      <c r="BP403" s="651"/>
      <c r="BQ403" s="651"/>
      <c r="BR403" s="651"/>
      <c r="BS403" s="651"/>
      <c r="BT403" s="651"/>
    </row>
    <row r="404" ht="12.75" customHeight="1">
      <c r="A404" s="1360"/>
      <c r="B404" s="584"/>
      <c r="C404" s="584"/>
      <c r="D404" s="584"/>
      <c r="E404" s="585"/>
      <c r="F404" s="586"/>
      <c r="G404" s="584"/>
      <c r="H404" s="584"/>
      <c r="I404" s="443"/>
      <c r="J404" s="443"/>
      <c r="K404" s="354"/>
      <c r="L404" s="588"/>
      <c r="M404" s="588"/>
      <c r="N404" s="589"/>
      <c r="O404" s="595"/>
      <c r="P404" s="392"/>
      <c r="Q404" s="807"/>
      <c r="R404" s="603"/>
      <c r="S404" s="354"/>
      <c r="T404" s="584"/>
      <c r="U404" s="595"/>
      <c r="V404" s="595"/>
      <c r="W404" s="595"/>
      <c r="X404" s="443"/>
      <c r="Y404" s="595"/>
      <c r="Z404" s="595"/>
      <c r="AA404" s="595"/>
      <c r="AB404" s="354"/>
      <c r="AC404" s="595"/>
      <c r="AD404" s="584"/>
      <c r="AE404" s="595"/>
      <c r="AF404" s="595"/>
      <c r="AG404" s="349"/>
      <c r="AH404" s="595"/>
      <c r="AI404" s="595"/>
      <c r="AJ404" s="595"/>
      <c r="AK404" s="595"/>
      <c r="AL404" s="595"/>
      <c r="AM404" s="584"/>
      <c r="AN404" s="595"/>
      <c r="AO404" s="595"/>
      <c r="AP404" s="584"/>
      <c r="AQ404" s="597"/>
      <c r="AR404" s="597"/>
      <c r="AS404" s="597"/>
      <c r="AT404" s="597"/>
      <c r="AU404" s="597"/>
      <c r="AV404" s="597"/>
      <c r="AW404" s="597"/>
      <c r="AX404" s="597"/>
      <c r="AY404" s="597"/>
      <c r="AZ404" s="597"/>
      <c r="BA404" s="597"/>
      <c r="BB404" s="595"/>
      <c r="BC404" s="595"/>
      <c r="BD404" s="595"/>
      <c r="BE404" s="595"/>
      <c r="BF404" s="595"/>
      <c r="BG404" s="595"/>
      <c r="BH404" s="595"/>
      <c r="BI404" s="595"/>
      <c r="BJ404" s="651"/>
      <c r="BK404" s="651"/>
      <c r="BL404" s="651"/>
      <c r="BM404" s="651"/>
      <c r="BN404" s="651"/>
      <c r="BO404" s="651"/>
      <c r="BP404" s="651"/>
      <c r="BQ404" s="651"/>
      <c r="BR404" s="651"/>
      <c r="BS404" s="651"/>
      <c r="BT404" s="651"/>
    </row>
    <row r="405" ht="12.75" customHeight="1">
      <c r="A405" s="1360"/>
      <c r="B405" s="584"/>
      <c r="C405" s="584"/>
      <c r="D405" s="584"/>
      <c r="E405" s="585"/>
      <c r="F405" s="586"/>
      <c r="G405" s="584"/>
      <c r="H405" s="584"/>
      <c r="I405" s="443"/>
      <c r="J405" s="443"/>
      <c r="K405" s="354"/>
      <c r="L405" s="588"/>
      <c r="M405" s="588"/>
      <c r="N405" s="589"/>
      <c r="O405" s="595"/>
      <c r="P405" s="392"/>
      <c r="Q405" s="807"/>
      <c r="R405" s="603"/>
      <c r="S405" s="354"/>
      <c r="T405" s="584"/>
      <c r="U405" s="595"/>
      <c r="V405" s="595"/>
      <c r="W405" s="595"/>
      <c r="X405" s="443"/>
      <c r="Y405" s="595"/>
      <c r="Z405" s="595"/>
      <c r="AA405" s="595"/>
      <c r="AB405" s="354"/>
      <c r="AC405" s="595"/>
      <c r="AD405" s="584"/>
      <c r="AE405" s="595"/>
      <c r="AF405" s="595"/>
      <c r="AG405" s="349"/>
      <c r="AH405" s="595"/>
      <c r="AI405" s="595"/>
      <c r="AJ405" s="595"/>
      <c r="AK405" s="595"/>
      <c r="AL405" s="595"/>
      <c r="AM405" s="584"/>
      <c r="AN405" s="595"/>
      <c r="AO405" s="595"/>
      <c r="AP405" s="584"/>
      <c r="AQ405" s="597"/>
      <c r="AR405" s="597"/>
      <c r="AS405" s="597"/>
      <c r="AT405" s="597"/>
      <c r="AU405" s="597"/>
      <c r="AV405" s="597"/>
      <c r="AW405" s="597"/>
      <c r="AX405" s="597"/>
      <c r="AY405" s="597"/>
      <c r="AZ405" s="597"/>
      <c r="BA405" s="597"/>
      <c r="BB405" s="584"/>
      <c r="BC405" s="584"/>
      <c r="BD405" s="584"/>
      <c r="BE405" s="584"/>
      <c r="BF405" s="584"/>
      <c r="BG405" s="584"/>
      <c r="BH405" s="584"/>
      <c r="BI405" s="584"/>
      <c r="BJ405" s="597"/>
      <c r="BK405" s="597"/>
      <c r="BL405" s="597"/>
      <c r="BM405" s="597"/>
      <c r="BN405" s="597"/>
      <c r="BO405" s="597"/>
      <c r="BP405" s="597"/>
      <c r="BQ405" s="597"/>
      <c r="BR405" s="597"/>
      <c r="BS405" s="597"/>
      <c r="BT405" s="597"/>
    </row>
    <row r="406" ht="12.75" customHeight="1">
      <c r="A406" s="1360"/>
      <c r="B406" s="584"/>
      <c r="C406" s="584"/>
      <c r="D406" s="584"/>
      <c r="E406" s="585"/>
      <c r="F406" s="586"/>
      <c r="G406" s="584"/>
      <c r="H406" s="584"/>
      <c r="I406" s="443"/>
      <c r="J406" s="443"/>
      <c r="K406" s="354"/>
      <c r="L406" s="588"/>
      <c r="M406" s="588"/>
      <c r="N406" s="589"/>
      <c r="O406" s="595"/>
      <c r="P406" s="392"/>
      <c r="Q406" s="807"/>
      <c r="R406" s="603"/>
      <c r="S406" s="354"/>
      <c r="T406" s="584"/>
      <c r="U406" s="595"/>
      <c r="V406" s="595"/>
      <c r="W406" s="595"/>
      <c r="X406" s="443"/>
      <c r="Y406" s="595"/>
      <c r="Z406" s="595"/>
      <c r="AA406" s="595"/>
      <c r="AB406" s="354"/>
      <c r="AC406" s="595"/>
      <c r="AD406" s="584"/>
      <c r="AE406" s="595"/>
      <c r="AF406" s="595"/>
      <c r="AG406" s="349"/>
      <c r="AH406" s="595"/>
      <c r="AI406" s="595"/>
      <c r="AJ406" s="595"/>
      <c r="AK406" s="595"/>
      <c r="AL406" s="595"/>
      <c r="AM406" s="584"/>
      <c r="AN406" s="595"/>
      <c r="AO406" s="595"/>
      <c r="AP406" s="584"/>
      <c r="AQ406" s="597"/>
      <c r="AR406" s="597"/>
      <c r="AS406" s="597"/>
      <c r="AT406" s="597"/>
      <c r="AU406" s="597"/>
      <c r="AV406" s="597"/>
      <c r="AW406" s="597"/>
      <c r="AX406" s="597"/>
      <c r="AY406" s="597"/>
      <c r="AZ406" s="597"/>
      <c r="BA406" s="597"/>
      <c r="BB406" s="584"/>
      <c r="BC406" s="584"/>
      <c r="BD406" s="584"/>
      <c r="BE406" s="584"/>
      <c r="BF406" s="584"/>
      <c r="BG406" s="584"/>
      <c r="BH406" s="584"/>
      <c r="BI406" s="584"/>
      <c r="BJ406" s="597"/>
      <c r="BK406" s="597"/>
      <c r="BL406" s="597"/>
      <c r="BM406" s="597"/>
      <c r="BN406" s="597"/>
      <c r="BO406" s="597"/>
      <c r="BP406" s="597"/>
      <c r="BQ406" s="597"/>
      <c r="BR406" s="597"/>
      <c r="BS406" s="597"/>
      <c r="BT406" s="597"/>
    </row>
    <row r="407" ht="12.75" customHeight="1">
      <c r="A407" s="1360"/>
      <c r="B407" s="584"/>
      <c r="C407" s="584"/>
      <c r="D407" s="584"/>
      <c r="E407" s="585"/>
      <c r="F407" s="586"/>
      <c r="G407" s="584"/>
      <c r="H407" s="584"/>
      <c r="I407" s="443"/>
      <c r="J407" s="443"/>
      <c r="K407" s="354"/>
      <c r="L407" s="588"/>
      <c r="M407" s="588"/>
      <c r="N407" s="589"/>
      <c r="O407" s="595"/>
      <c r="P407" s="392"/>
      <c r="Q407" s="807"/>
      <c r="R407" s="603"/>
      <c r="S407" s="354"/>
      <c r="T407" s="584"/>
      <c r="U407" s="595"/>
      <c r="V407" s="595"/>
      <c r="W407" s="595"/>
      <c r="X407" s="443"/>
      <c r="Y407" s="595"/>
      <c r="Z407" s="595"/>
      <c r="AA407" s="595"/>
      <c r="AB407" s="354"/>
      <c r="AC407" s="595"/>
      <c r="AD407" s="584"/>
      <c r="AE407" s="595"/>
      <c r="AF407" s="595"/>
      <c r="AG407" s="349"/>
      <c r="AH407" s="595"/>
      <c r="AI407" s="595"/>
      <c r="AJ407" s="595"/>
      <c r="AK407" s="595"/>
      <c r="AL407" s="595"/>
      <c r="AM407" s="584"/>
      <c r="AN407" s="595"/>
      <c r="AO407" s="595"/>
      <c r="AP407" s="584"/>
      <c r="AQ407" s="597"/>
      <c r="AR407" s="597"/>
      <c r="AS407" s="597"/>
      <c r="AT407" s="597"/>
      <c r="AU407" s="597"/>
      <c r="AV407" s="597"/>
      <c r="AW407" s="597"/>
      <c r="AX407" s="597"/>
      <c r="AY407" s="597"/>
      <c r="AZ407" s="597"/>
      <c r="BA407" s="597"/>
      <c r="BB407" s="584"/>
      <c r="BC407" s="584"/>
      <c r="BD407" s="584"/>
      <c r="BE407" s="584"/>
      <c r="BF407" s="584"/>
      <c r="BG407" s="584"/>
      <c r="BH407" s="584"/>
      <c r="BI407" s="584"/>
      <c r="BJ407" s="597"/>
      <c r="BK407" s="597"/>
      <c r="BL407" s="597"/>
      <c r="BM407" s="597"/>
      <c r="BN407" s="597"/>
      <c r="BO407" s="597"/>
      <c r="BP407" s="597"/>
      <c r="BQ407" s="597"/>
      <c r="BR407" s="597"/>
      <c r="BS407" s="597"/>
      <c r="BT407" s="597"/>
    </row>
    <row r="408" ht="12.75" customHeight="1">
      <c r="A408" s="1360"/>
      <c r="B408" s="584"/>
      <c r="C408" s="584"/>
      <c r="D408" s="584"/>
      <c r="E408" s="585"/>
      <c r="F408" s="586"/>
      <c r="G408" s="584"/>
      <c r="H408" s="584"/>
      <c r="I408" s="443"/>
      <c r="J408" s="443"/>
      <c r="K408" s="354"/>
      <c r="L408" s="588"/>
      <c r="M408" s="588"/>
      <c r="N408" s="589"/>
      <c r="O408" s="595"/>
      <c r="P408" s="392"/>
      <c r="Q408" s="807"/>
      <c r="R408" s="603"/>
      <c r="S408" s="354"/>
      <c r="T408" s="584"/>
      <c r="U408" s="595"/>
      <c r="V408" s="595"/>
      <c r="W408" s="595"/>
      <c r="X408" s="443"/>
      <c r="Y408" s="595"/>
      <c r="Z408" s="595"/>
      <c r="AA408" s="595"/>
      <c r="AB408" s="354"/>
      <c r="AC408" s="595"/>
      <c r="AD408" s="584"/>
      <c r="AE408" s="595"/>
      <c r="AF408" s="595"/>
      <c r="AG408" s="349"/>
      <c r="AH408" s="595"/>
      <c r="AI408" s="595"/>
      <c r="AJ408" s="595"/>
      <c r="AK408" s="595"/>
      <c r="AL408" s="595"/>
      <c r="AM408" s="584"/>
      <c r="AN408" s="595"/>
      <c r="AO408" s="595"/>
      <c r="AP408" s="584"/>
      <c r="AQ408" s="597"/>
      <c r="AR408" s="597"/>
      <c r="AS408" s="597"/>
      <c r="AT408" s="597"/>
      <c r="AU408" s="597"/>
      <c r="AV408" s="597"/>
      <c r="AW408" s="597"/>
      <c r="AX408" s="597"/>
      <c r="AY408" s="597"/>
      <c r="AZ408" s="597"/>
      <c r="BA408" s="597"/>
      <c r="BB408" s="584"/>
      <c r="BC408" s="584"/>
      <c r="BD408" s="584"/>
      <c r="BE408" s="584"/>
      <c r="BF408" s="584"/>
      <c r="BG408" s="584"/>
      <c r="BH408" s="584"/>
      <c r="BI408" s="584"/>
      <c r="BJ408" s="597"/>
      <c r="BK408" s="597"/>
      <c r="BL408" s="597"/>
      <c r="BM408" s="597"/>
      <c r="BN408" s="597"/>
      <c r="BO408" s="597"/>
      <c r="BP408" s="597"/>
      <c r="BQ408" s="597"/>
      <c r="BR408" s="597"/>
      <c r="BS408" s="597"/>
      <c r="BT408" s="597"/>
    </row>
    <row r="409" ht="12.75" customHeight="1">
      <c r="A409" s="1360"/>
      <c r="B409" s="584"/>
      <c r="C409" s="584"/>
      <c r="D409" s="584"/>
      <c r="E409" s="585"/>
      <c r="F409" s="586"/>
      <c r="G409" s="584"/>
      <c r="H409" s="584"/>
      <c r="I409" s="443"/>
      <c r="J409" s="443"/>
      <c r="K409" s="354"/>
      <c r="L409" s="588"/>
      <c r="M409" s="588"/>
      <c r="N409" s="589"/>
      <c r="O409" s="595"/>
      <c r="P409" s="392"/>
      <c r="Q409" s="807"/>
      <c r="R409" s="603"/>
      <c r="S409" s="354"/>
      <c r="T409" s="584"/>
      <c r="U409" s="595"/>
      <c r="V409" s="595"/>
      <c r="W409" s="595"/>
      <c r="X409" s="443"/>
      <c r="Y409" s="595"/>
      <c r="Z409" s="595"/>
      <c r="AA409" s="595"/>
      <c r="AB409" s="354"/>
      <c r="AC409" s="595"/>
      <c r="AD409" s="584"/>
      <c r="AE409" s="595"/>
      <c r="AF409" s="595"/>
      <c r="AG409" s="349"/>
      <c r="AH409" s="595"/>
      <c r="AI409" s="595"/>
      <c r="AJ409" s="595"/>
      <c r="AK409" s="595"/>
      <c r="AL409" s="595"/>
      <c r="AM409" s="584"/>
      <c r="AN409" s="595"/>
      <c r="AO409" s="595"/>
      <c r="AP409" s="584"/>
      <c r="AQ409" s="597"/>
      <c r="AR409" s="597"/>
      <c r="AS409" s="597"/>
      <c r="AT409" s="597"/>
      <c r="AU409" s="597"/>
      <c r="AV409" s="597"/>
      <c r="AW409" s="597"/>
      <c r="AX409" s="597"/>
      <c r="AY409" s="597"/>
      <c r="AZ409" s="597"/>
      <c r="BA409" s="597"/>
      <c r="BB409" s="584"/>
      <c r="BC409" s="584"/>
      <c r="BD409" s="584"/>
      <c r="BE409" s="584"/>
      <c r="BF409" s="584"/>
      <c r="BG409" s="584"/>
      <c r="BH409" s="584"/>
      <c r="BI409" s="584"/>
      <c r="BJ409" s="597"/>
      <c r="BK409" s="597"/>
      <c r="BL409" s="597"/>
      <c r="BM409" s="597"/>
      <c r="BN409" s="597"/>
      <c r="BO409" s="597"/>
      <c r="BP409" s="597"/>
      <c r="BQ409" s="597"/>
      <c r="BR409" s="597"/>
      <c r="BS409" s="597"/>
      <c r="BT409" s="597"/>
    </row>
    <row r="410" ht="12.75" customHeight="1">
      <c r="A410" s="1360"/>
      <c r="B410" s="584"/>
      <c r="C410" s="584"/>
      <c r="D410" s="584"/>
      <c r="E410" s="585"/>
      <c r="F410" s="586"/>
      <c r="G410" s="584"/>
      <c r="H410" s="584"/>
      <c r="I410" s="443"/>
      <c r="J410" s="443"/>
      <c r="K410" s="354"/>
      <c r="L410" s="588"/>
      <c r="M410" s="588"/>
      <c r="N410" s="589"/>
      <c r="O410" s="595"/>
      <c r="P410" s="392"/>
      <c r="Q410" s="807"/>
      <c r="R410" s="603"/>
      <c r="S410" s="354"/>
      <c r="T410" s="584"/>
      <c r="U410" s="595"/>
      <c r="V410" s="595"/>
      <c r="W410" s="595"/>
      <c r="X410" s="443"/>
      <c r="Y410" s="595"/>
      <c r="Z410" s="595"/>
      <c r="AA410" s="595"/>
      <c r="AB410" s="354"/>
      <c r="AC410" s="595"/>
      <c r="AD410" s="584"/>
      <c r="AE410" s="595"/>
      <c r="AF410" s="595"/>
      <c r="AG410" s="349"/>
      <c r="AH410" s="595"/>
      <c r="AI410" s="595"/>
      <c r="AJ410" s="595"/>
      <c r="AK410" s="595"/>
      <c r="AL410" s="595"/>
      <c r="AM410" s="584"/>
      <c r="AN410" s="595"/>
      <c r="AO410" s="595"/>
      <c r="AP410" s="584"/>
      <c r="AQ410" s="597"/>
      <c r="AR410" s="597"/>
      <c r="AS410" s="597"/>
      <c r="AT410" s="597"/>
      <c r="AU410" s="597"/>
      <c r="AV410" s="597"/>
      <c r="AW410" s="597"/>
      <c r="AX410" s="597"/>
      <c r="AY410" s="597"/>
      <c r="AZ410" s="597"/>
      <c r="BA410" s="597"/>
      <c r="BB410" s="584"/>
      <c r="BC410" s="584"/>
      <c r="BD410" s="584"/>
      <c r="BE410" s="584"/>
      <c r="BF410" s="584"/>
      <c r="BG410" s="584"/>
      <c r="BH410" s="584"/>
      <c r="BI410" s="584"/>
      <c r="BJ410" s="597"/>
      <c r="BK410" s="597"/>
      <c r="BL410" s="597"/>
      <c r="BM410" s="597"/>
      <c r="BN410" s="597"/>
      <c r="BO410" s="597"/>
      <c r="BP410" s="597"/>
      <c r="BQ410" s="597"/>
      <c r="BR410" s="597"/>
      <c r="BS410" s="597"/>
      <c r="BT410" s="597"/>
    </row>
    <row r="411" ht="12.75" customHeight="1">
      <c r="A411" s="1360"/>
      <c r="B411" s="584"/>
      <c r="C411" s="584"/>
      <c r="D411" s="584"/>
      <c r="E411" s="585"/>
      <c r="F411" s="586"/>
      <c r="G411" s="584"/>
      <c r="H411" s="584"/>
      <c r="I411" s="443"/>
      <c r="J411" s="443"/>
      <c r="K411" s="354"/>
      <c r="L411" s="588"/>
      <c r="M411" s="588"/>
      <c r="N411" s="589"/>
      <c r="O411" s="595"/>
      <c r="P411" s="392"/>
      <c r="Q411" s="807"/>
      <c r="R411" s="603"/>
      <c r="S411" s="354"/>
      <c r="T411" s="584"/>
      <c r="U411" s="595"/>
      <c r="V411" s="595"/>
      <c r="W411" s="595"/>
      <c r="X411" s="443"/>
      <c r="Y411" s="595"/>
      <c r="Z411" s="595"/>
      <c r="AA411" s="595"/>
      <c r="AB411" s="354"/>
      <c r="AC411" s="595"/>
      <c r="AD411" s="584"/>
      <c r="AE411" s="595"/>
      <c r="AF411" s="595"/>
      <c r="AG411" s="349"/>
      <c r="AH411" s="595"/>
      <c r="AI411" s="595"/>
      <c r="AJ411" s="595"/>
      <c r="AK411" s="595"/>
      <c r="AL411" s="595"/>
      <c r="AM411" s="584"/>
      <c r="AN411" s="595"/>
      <c r="AO411" s="595"/>
      <c r="AP411" s="584"/>
      <c r="AQ411" s="597"/>
      <c r="AR411" s="597"/>
      <c r="AS411" s="597"/>
      <c r="AT411" s="597"/>
      <c r="AU411" s="597"/>
      <c r="AV411" s="597"/>
      <c r="AW411" s="597"/>
      <c r="AX411" s="597"/>
      <c r="AY411" s="597"/>
      <c r="AZ411" s="597"/>
      <c r="BA411" s="597"/>
      <c r="BB411" s="584"/>
      <c r="BC411" s="584"/>
      <c r="BD411" s="584"/>
      <c r="BE411" s="584"/>
      <c r="BF411" s="584"/>
      <c r="BG411" s="584"/>
      <c r="BH411" s="584"/>
      <c r="BI411" s="584"/>
      <c r="BJ411" s="597"/>
      <c r="BK411" s="597"/>
      <c r="BL411" s="597"/>
      <c r="BM411" s="597"/>
      <c r="BN411" s="597"/>
      <c r="BO411" s="597"/>
      <c r="BP411" s="597"/>
      <c r="BQ411" s="597"/>
      <c r="BR411" s="597"/>
      <c r="BS411" s="597"/>
      <c r="BT411" s="597"/>
    </row>
    <row r="412" ht="12.75" customHeight="1">
      <c r="A412" s="1360"/>
      <c r="B412" s="584"/>
      <c r="C412" s="584"/>
      <c r="D412" s="584"/>
      <c r="E412" s="585"/>
      <c r="F412" s="586"/>
      <c r="G412" s="584"/>
      <c r="H412" s="584"/>
      <c r="I412" s="443"/>
      <c r="J412" s="443"/>
      <c r="K412" s="354"/>
      <c r="L412" s="588"/>
      <c r="M412" s="588"/>
      <c r="N412" s="589"/>
      <c r="O412" s="595"/>
      <c r="P412" s="392"/>
      <c r="Q412" s="807"/>
      <c r="R412" s="603"/>
      <c r="S412" s="354"/>
      <c r="T412" s="584"/>
      <c r="U412" s="595"/>
      <c r="V412" s="595"/>
      <c r="W412" s="595"/>
      <c r="X412" s="443"/>
      <c r="Y412" s="595"/>
      <c r="Z412" s="595"/>
      <c r="AA412" s="595"/>
      <c r="AB412" s="354"/>
      <c r="AC412" s="595"/>
      <c r="AD412" s="584"/>
      <c r="AE412" s="595"/>
      <c r="AF412" s="595"/>
      <c r="AG412" s="349"/>
      <c r="AH412" s="595"/>
      <c r="AI412" s="595"/>
      <c r="AJ412" s="595"/>
      <c r="AK412" s="595"/>
      <c r="AL412" s="595"/>
      <c r="AM412" s="584"/>
      <c r="AN412" s="595"/>
      <c r="AO412" s="595"/>
      <c r="AP412" s="584"/>
      <c r="AQ412" s="597"/>
      <c r="AR412" s="597"/>
      <c r="AS412" s="597"/>
      <c r="AT412" s="597"/>
      <c r="AU412" s="597"/>
      <c r="AV412" s="597"/>
      <c r="AW412" s="597"/>
      <c r="AX412" s="597"/>
      <c r="AY412" s="597"/>
      <c r="AZ412" s="597"/>
      <c r="BA412" s="597"/>
      <c r="BB412" s="584"/>
      <c r="BC412" s="584"/>
      <c r="BD412" s="584"/>
      <c r="BE412" s="584"/>
      <c r="BF412" s="584"/>
      <c r="BG412" s="584"/>
      <c r="BH412" s="584"/>
      <c r="BI412" s="584"/>
      <c r="BJ412" s="597"/>
      <c r="BK412" s="597"/>
      <c r="BL412" s="597"/>
      <c r="BM412" s="597"/>
      <c r="BN412" s="597"/>
      <c r="BO412" s="597"/>
      <c r="BP412" s="597"/>
      <c r="BQ412" s="597"/>
      <c r="BR412" s="597"/>
      <c r="BS412" s="597"/>
      <c r="BT412" s="597"/>
    </row>
    <row r="413" ht="12.75" customHeight="1">
      <c r="A413" s="1360"/>
      <c r="B413" s="584"/>
      <c r="C413" s="584"/>
      <c r="D413" s="584"/>
      <c r="E413" s="585"/>
      <c r="F413" s="586"/>
      <c r="G413" s="584"/>
      <c r="H413" s="584"/>
      <c r="I413" s="443"/>
      <c r="J413" s="443"/>
      <c r="K413" s="354"/>
      <c r="L413" s="588"/>
      <c r="M413" s="588"/>
      <c r="N413" s="589"/>
      <c r="O413" s="595"/>
      <c r="P413" s="392"/>
      <c r="Q413" s="807"/>
      <c r="R413" s="603"/>
      <c r="S413" s="354"/>
      <c r="T413" s="584"/>
      <c r="U413" s="595"/>
      <c r="V413" s="595"/>
      <c r="W413" s="595"/>
      <c r="X413" s="443"/>
      <c r="Y413" s="595"/>
      <c r="Z413" s="595"/>
      <c r="AA413" s="595"/>
      <c r="AB413" s="354"/>
      <c r="AC413" s="595"/>
      <c r="AD413" s="584"/>
      <c r="AE413" s="595"/>
      <c r="AF413" s="595"/>
      <c r="AG413" s="349"/>
      <c r="AH413" s="595"/>
      <c r="AI413" s="595"/>
      <c r="AJ413" s="595"/>
      <c r="AK413" s="595"/>
      <c r="AL413" s="595"/>
      <c r="AM413" s="584"/>
      <c r="AN413" s="595"/>
      <c r="AO413" s="595"/>
      <c r="AP413" s="584"/>
      <c r="AQ413" s="597"/>
      <c r="AR413" s="597"/>
      <c r="AS413" s="597"/>
      <c r="AT413" s="597"/>
      <c r="AU413" s="597"/>
      <c r="AV413" s="597"/>
      <c r="AW413" s="597"/>
      <c r="AX413" s="597"/>
      <c r="AY413" s="597"/>
      <c r="AZ413" s="597"/>
      <c r="BA413" s="597"/>
      <c r="BB413" s="584"/>
      <c r="BC413" s="584"/>
      <c r="BD413" s="584"/>
      <c r="BE413" s="584"/>
      <c r="BF413" s="584"/>
      <c r="BG413" s="584"/>
      <c r="BH413" s="584"/>
      <c r="BI413" s="584"/>
      <c r="BJ413" s="597"/>
      <c r="BK413" s="597"/>
      <c r="BL413" s="597"/>
      <c r="BM413" s="597"/>
      <c r="BN413" s="597"/>
      <c r="BO413" s="597"/>
      <c r="BP413" s="597"/>
      <c r="BQ413" s="597"/>
      <c r="BR413" s="597"/>
      <c r="BS413" s="597"/>
      <c r="BT413" s="597"/>
    </row>
    <row r="414" ht="12.75" customHeight="1">
      <c r="A414" s="1360"/>
      <c r="B414" s="584"/>
      <c r="C414" s="584"/>
      <c r="D414" s="584"/>
      <c r="E414" s="585"/>
      <c r="F414" s="586"/>
      <c r="G414" s="584"/>
      <c r="H414" s="584"/>
      <c r="I414" s="443"/>
      <c r="J414" s="443"/>
      <c r="K414" s="354"/>
      <c r="L414" s="588"/>
      <c r="M414" s="588"/>
      <c r="N414" s="589"/>
      <c r="O414" s="595"/>
      <c r="P414" s="392"/>
      <c r="Q414" s="807"/>
      <c r="R414" s="603"/>
      <c r="S414" s="354"/>
      <c r="T414" s="584"/>
      <c r="U414" s="595"/>
      <c r="V414" s="595"/>
      <c r="W414" s="595"/>
      <c r="X414" s="443"/>
      <c r="Y414" s="595"/>
      <c r="Z414" s="595"/>
      <c r="AA414" s="595"/>
      <c r="AB414" s="354"/>
      <c r="AC414" s="595"/>
      <c r="AD414" s="584"/>
      <c r="AE414" s="595"/>
      <c r="AF414" s="595"/>
      <c r="AG414" s="349"/>
      <c r="AH414" s="595"/>
      <c r="AI414" s="595"/>
      <c r="AJ414" s="595"/>
      <c r="AK414" s="595"/>
      <c r="AL414" s="595"/>
      <c r="AM414" s="584"/>
      <c r="AN414" s="595"/>
      <c r="AO414" s="595"/>
      <c r="AP414" s="584"/>
      <c r="AQ414" s="597"/>
      <c r="AR414" s="597"/>
      <c r="AS414" s="597"/>
      <c r="AT414" s="597"/>
      <c r="AU414" s="597"/>
      <c r="AV414" s="597"/>
      <c r="AW414" s="597"/>
      <c r="AX414" s="597"/>
      <c r="AY414" s="597"/>
      <c r="AZ414" s="597"/>
      <c r="BA414" s="597"/>
      <c r="BB414" s="584"/>
      <c r="BC414" s="584"/>
      <c r="BD414" s="584"/>
      <c r="BE414" s="584"/>
      <c r="BF414" s="584"/>
      <c r="BG414" s="584"/>
      <c r="BH414" s="584"/>
      <c r="BI414" s="584"/>
      <c r="BJ414" s="597"/>
      <c r="BK414" s="597"/>
      <c r="BL414" s="597"/>
      <c r="BM414" s="597"/>
      <c r="BN414" s="597"/>
      <c r="BO414" s="597"/>
      <c r="BP414" s="597"/>
      <c r="BQ414" s="597"/>
      <c r="BR414" s="597"/>
      <c r="BS414" s="597"/>
      <c r="BT414" s="597"/>
    </row>
    <row r="415" ht="12.75" customHeight="1">
      <c r="A415" s="1360"/>
      <c r="B415" s="584"/>
      <c r="C415" s="584"/>
      <c r="D415" s="584"/>
      <c r="E415" s="585"/>
      <c r="F415" s="586"/>
      <c r="G415" s="584"/>
      <c r="H415" s="584"/>
      <c r="I415" s="443"/>
      <c r="J415" s="443"/>
      <c r="K415" s="354"/>
      <c r="L415" s="588"/>
      <c r="M415" s="588"/>
      <c r="N415" s="589"/>
      <c r="O415" s="595"/>
      <c r="P415" s="392"/>
      <c r="Q415" s="807"/>
      <c r="R415" s="603"/>
      <c r="S415" s="354"/>
      <c r="T415" s="584"/>
      <c r="U415" s="595"/>
      <c r="V415" s="595"/>
      <c r="W415" s="595"/>
      <c r="X415" s="443"/>
      <c r="Y415" s="595"/>
      <c r="Z415" s="595"/>
      <c r="AA415" s="595"/>
      <c r="AB415" s="354"/>
      <c r="AC415" s="595"/>
      <c r="AD415" s="584"/>
      <c r="AE415" s="595"/>
      <c r="AF415" s="595"/>
      <c r="AG415" s="349"/>
      <c r="AH415" s="595"/>
      <c r="AI415" s="595"/>
      <c r="AJ415" s="595"/>
      <c r="AK415" s="595"/>
      <c r="AL415" s="595"/>
      <c r="AM415" s="584"/>
      <c r="AN415" s="595"/>
      <c r="AO415" s="595"/>
      <c r="AP415" s="584"/>
      <c r="AQ415" s="597"/>
      <c r="AR415" s="597"/>
      <c r="AS415" s="597"/>
      <c r="AT415" s="597"/>
      <c r="AU415" s="597"/>
      <c r="AV415" s="597"/>
      <c r="AW415" s="597"/>
      <c r="AX415" s="597"/>
      <c r="AY415" s="597"/>
      <c r="AZ415" s="597"/>
      <c r="BA415" s="597"/>
      <c r="BB415" s="584"/>
      <c r="BC415" s="584"/>
      <c r="BD415" s="584"/>
      <c r="BE415" s="584"/>
      <c r="BF415" s="584"/>
      <c r="BG415" s="584"/>
      <c r="BH415" s="584"/>
      <c r="BI415" s="584"/>
      <c r="BJ415" s="597"/>
      <c r="BK415" s="597"/>
      <c r="BL415" s="597"/>
      <c r="BM415" s="597"/>
      <c r="BN415" s="597"/>
      <c r="BO415" s="597"/>
      <c r="BP415" s="597"/>
      <c r="BQ415" s="597"/>
      <c r="BR415" s="597"/>
      <c r="BS415" s="597"/>
      <c r="BT415" s="597"/>
    </row>
    <row r="416" ht="12.75" customHeight="1">
      <c r="A416" s="1360"/>
      <c r="B416" s="584"/>
      <c r="C416" s="584"/>
      <c r="D416" s="584"/>
      <c r="E416" s="585"/>
      <c r="F416" s="586"/>
      <c r="G416" s="584"/>
      <c r="H416" s="584"/>
      <c r="I416" s="443"/>
      <c r="J416" s="443"/>
      <c r="K416" s="354"/>
      <c r="L416" s="588"/>
      <c r="M416" s="588"/>
      <c r="N416" s="589"/>
      <c r="O416" s="595"/>
      <c r="P416" s="392"/>
      <c r="Q416" s="807"/>
      <c r="R416" s="603"/>
      <c r="S416" s="354"/>
      <c r="T416" s="584"/>
      <c r="U416" s="595"/>
      <c r="V416" s="595"/>
      <c r="W416" s="595"/>
      <c r="X416" s="443"/>
      <c r="Y416" s="595"/>
      <c r="Z416" s="595"/>
      <c r="AA416" s="595"/>
      <c r="AB416" s="354"/>
      <c r="AC416" s="595"/>
      <c r="AD416" s="584"/>
      <c r="AE416" s="595"/>
      <c r="AF416" s="595"/>
      <c r="AG416" s="349"/>
      <c r="AH416" s="595"/>
      <c r="AI416" s="595"/>
      <c r="AJ416" s="595"/>
      <c r="AK416" s="595"/>
      <c r="AL416" s="595"/>
      <c r="AM416" s="584"/>
      <c r="AN416" s="595"/>
      <c r="AO416" s="595"/>
      <c r="AP416" s="584"/>
      <c r="AQ416" s="597"/>
      <c r="AR416" s="597"/>
      <c r="AS416" s="597"/>
      <c r="AT416" s="597"/>
      <c r="AU416" s="597"/>
      <c r="AV416" s="597"/>
      <c r="AW416" s="597"/>
      <c r="AX416" s="597"/>
      <c r="AY416" s="597"/>
      <c r="AZ416" s="597"/>
      <c r="BA416" s="597"/>
      <c r="BB416" s="584"/>
      <c r="BC416" s="584"/>
      <c r="BD416" s="584"/>
      <c r="BE416" s="584"/>
      <c r="BF416" s="584"/>
      <c r="BG416" s="584"/>
      <c r="BH416" s="584"/>
      <c r="BI416" s="584"/>
      <c r="BJ416" s="597"/>
      <c r="BK416" s="597"/>
      <c r="BL416" s="597"/>
      <c r="BM416" s="597"/>
      <c r="BN416" s="597"/>
      <c r="BO416" s="597"/>
      <c r="BP416" s="597"/>
      <c r="BQ416" s="597"/>
      <c r="BR416" s="597"/>
      <c r="BS416" s="597"/>
      <c r="BT416" s="597"/>
    </row>
    <row r="417" ht="12.75" customHeight="1">
      <c r="A417" s="1360"/>
      <c r="B417" s="584"/>
      <c r="C417" s="584"/>
      <c r="D417" s="584"/>
      <c r="E417" s="585"/>
      <c r="F417" s="586"/>
      <c r="G417" s="584"/>
      <c r="H417" s="584"/>
      <c r="I417" s="443"/>
      <c r="J417" s="443"/>
      <c r="K417" s="354"/>
      <c r="L417" s="588"/>
      <c r="M417" s="588"/>
      <c r="N417" s="589"/>
      <c r="O417" s="595"/>
      <c r="P417" s="392"/>
      <c r="Q417" s="807"/>
      <c r="R417" s="603"/>
      <c r="S417" s="354"/>
      <c r="T417" s="584"/>
      <c r="U417" s="595"/>
      <c r="V417" s="595"/>
      <c r="W417" s="595"/>
      <c r="X417" s="443"/>
      <c r="Y417" s="595"/>
      <c r="Z417" s="595"/>
      <c r="AA417" s="595"/>
      <c r="AB417" s="354"/>
      <c r="AC417" s="595"/>
      <c r="AD417" s="584"/>
      <c r="AE417" s="595"/>
      <c r="AF417" s="1448"/>
      <c r="AG417" s="1449"/>
      <c r="AH417" s="1448"/>
      <c r="AI417" s="1448"/>
      <c r="AJ417" s="1448"/>
      <c r="AK417" s="1448"/>
      <c r="AL417" s="1448"/>
      <c r="AM417" s="1448"/>
      <c r="AN417" s="595"/>
      <c r="AO417" s="595"/>
      <c r="AP417" s="595"/>
      <c r="AQ417" s="597"/>
      <c r="AR417" s="597"/>
      <c r="AS417" s="597"/>
      <c r="AT417" s="597"/>
      <c r="AU417" s="597"/>
      <c r="AV417" s="597"/>
      <c r="AW417" s="597"/>
      <c r="AX417" s="597"/>
      <c r="AY417" s="597"/>
      <c r="AZ417" s="597"/>
      <c r="BA417" s="597"/>
      <c r="BB417" s="584"/>
      <c r="BC417" s="584"/>
      <c r="BD417" s="584"/>
      <c r="BE417" s="584"/>
      <c r="BF417" s="584"/>
      <c r="BG417" s="584"/>
      <c r="BH417" s="584"/>
      <c r="BI417" s="584"/>
      <c r="BJ417" s="597"/>
      <c r="BK417" s="597"/>
      <c r="BL417" s="597"/>
      <c r="BM417" s="597"/>
      <c r="BN417" s="597"/>
      <c r="BO417" s="597"/>
      <c r="BP417" s="597"/>
      <c r="BQ417" s="597"/>
      <c r="BR417" s="597"/>
      <c r="BS417" s="597"/>
      <c r="BT417" s="597"/>
    </row>
    <row r="418" ht="12.75" customHeight="1">
      <c r="A418" s="1360"/>
      <c r="B418" s="584"/>
      <c r="C418" s="584"/>
      <c r="D418" s="584"/>
      <c r="E418" s="585"/>
      <c r="F418" s="586"/>
      <c r="G418" s="584"/>
      <c r="H418" s="584"/>
      <c r="I418" s="443"/>
      <c r="J418" s="443"/>
      <c r="K418" s="354"/>
      <c r="L418" s="588"/>
      <c r="M418" s="588"/>
      <c r="N418" s="589"/>
      <c r="O418" s="595"/>
      <c r="P418" s="392"/>
      <c r="Q418" s="807"/>
      <c r="R418" s="603"/>
      <c r="S418" s="354"/>
      <c r="T418" s="584"/>
      <c r="U418" s="595"/>
      <c r="V418" s="595"/>
      <c r="W418" s="595"/>
      <c r="X418" s="443"/>
      <c r="Y418" s="595"/>
      <c r="Z418" s="595"/>
      <c r="AA418" s="595"/>
      <c r="AB418" s="354"/>
      <c r="AC418" s="595"/>
      <c r="AD418" s="584"/>
      <c r="AE418" s="595"/>
      <c r="AF418" s="1448"/>
      <c r="AG418" s="1449"/>
      <c r="AH418" s="1448"/>
      <c r="AI418" s="1448"/>
      <c r="AJ418" s="1448"/>
      <c r="AK418" s="1448"/>
      <c r="AL418" s="1448"/>
      <c r="AM418" s="1448"/>
      <c r="AN418" s="595"/>
      <c r="AO418" s="595"/>
      <c r="AP418" s="595"/>
      <c r="AQ418" s="597"/>
      <c r="AR418" s="597"/>
      <c r="AS418" s="597"/>
      <c r="AT418" s="597"/>
      <c r="AU418" s="597"/>
      <c r="AV418" s="597"/>
      <c r="AW418" s="597"/>
      <c r="AX418" s="597"/>
      <c r="AY418" s="597"/>
      <c r="AZ418" s="597"/>
      <c r="BA418" s="597"/>
      <c r="BB418" s="584"/>
      <c r="BC418" s="584"/>
      <c r="BD418" s="584"/>
      <c r="BE418" s="584"/>
      <c r="BF418" s="584"/>
      <c r="BG418" s="584"/>
      <c r="BH418" s="584"/>
      <c r="BI418" s="584"/>
      <c r="BJ418" s="597"/>
      <c r="BK418" s="597"/>
      <c r="BL418" s="597"/>
      <c r="BM418" s="597"/>
      <c r="BN418" s="597"/>
      <c r="BO418" s="597"/>
      <c r="BP418" s="597"/>
      <c r="BQ418" s="597"/>
      <c r="BR418" s="597"/>
      <c r="BS418" s="597"/>
      <c r="BT418" s="597"/>
    </row>
    <row r="419" ht="12.75" customHeight="1">
      <c r="A419" s="1360"/>
      <c r="B419" s="584"/>
      <c r="C419" s="584"/>
      <c r="D419" s="584"/>
      <c r="E419" s="585"/>
      <c r="F419" s="586"/>
      <c r="G419" s="584"/>
      <c r="H419" s="584"/>
      <c r="I419" s="443"/>
      <c r="J419" s="443"/>
      <c r="K419" s="354"/>
      <c r="L419" s="588"/>
      <c r="M419" s="588"/>
      <c r="N419" s="589"/>
      <c r="O419" s="595"/>
      <c r="P419" s="392"/>
      <c r="Q419" s="807"/>
      <c r="R419" s="603"/>
      <c r="S419" s="354"/>
      <c r="T419" s="584"/>
      <c r="U419" s="595"/>
      <c r="V419" s="595"/>
      <c r="W419" s="595"/>
      <c r="X419" s="443"/>
      <c r="Y419" s="595"/>
      <c r="Z419" s="595"/>
      <c r="AA419" s="595"/>
      <c r="AB419" s="354"/>
      <c r="AC419" s="595"/>
      <c r="AD419" s="584"/>
      <c r="AE419" s="595"/>
      <c r="AF419" s="1448"/>
      <c r="AG419" s="1449"/>
      <c r="AH419" s="1448"/>
      <c r="AI419" s="1448"/>
      <c r="AJ419" s="1448"/>
      <c r="AK419" s="1448"/>
      <c r="AL419" s="1448"/>
      <c r="AM419" s="1448"/>
      <c r="AN419" s="595"/>
      <c r="AO419" s="595"/>
      <c r="AP419" s="595"/>
      <c r="AQ419" s="597"/>
      <c r="AR419" s="597"/>
      <c r="AS419" s="597"/>
      <c r="AT419" s="597"/>
      <c r="AU419" s="597"/>
      <c r="AV419" s="597"/>
      <c r="AW419" s="597"/>
      <c r="AX419" s="597"/>
      <c r="AY419" s="597"/>
      <c r="AZ419" s="597"/>
      <c r="BA419" s="597"/>
      <c r="BB419" s="584"/>
      <c r="BC419" s="584"/>
      <c r="BD419" s="584"/>
      <c r="BE419" s="584"/>
      <c r="BF419" s="584"/>
      <c r="BG419" s="584"/>
      <c r="BH419" s="584"/>
      <c r="BI419" s="584"/>
      <c r="BJ419" s="597"/>
      <c r="BK419" s="597"/>
      <c r="BL419" s="597"/>
      <c r="BM419" s="597"/>
      <c r="BN419" s="597"/>
      <c r="BO419" s="597"/>
      <c r="BP419" s="597"/>
      <c r="BQ419" s="597"/>
      <c r="BR419" s="597"/>
      <c r="BS419" s="597"/>
      <c r="BT419" s="597"/>
    </row>
    <row r="420" ht="12.75" customHeight="1">
      <c r="A420" s="1360"/>
      <c r="B420" s="584"/>
      <c r="C420" s="584"/>
      <c r="D420" s="584"/>
      <c r="E420" s="585"/>
      <c r="F420" s="586"/>
      <c r="G420" s="584"/>
      <c r="H420" s="584"/>
      <c r="I420" s="443"/>
      <c r="J420" s="443"/>
      <c r="K420" s="354"/>
      <c r="L420" s="588"/>
      <c r="M420" s="588"/>
      <c r="N420" s="589"/>
      <c r="O420" s="595"/>
      <c r="P420" s="392"/>
      <c r="Q420" s="807"/>
      <c r="R420" s="603"/>
      <c r="S420" s="354"/>
      <c r="T420" s="584"/>
      <c r="U420" s="595"/>
      <c r="V420" s="595"/>
      <c r="W420" s="595"/>
      <c r="X420" s="443"/>
      <c r="Y420" s="595"/>
      <c r="Z420" s="595"/>
      <c r="AA420" s="595"/>
      <c r="AB420" s="354"/>
      <c r="AC420" s="595"/>
      <c r="AD420" s="1448"/>
      <c r="AE420" s="1448"/>
      <c r="AF420" s="1448"/>
      <c r="AG420" s="1449"/>
      <c r="AH420" s="1448"/>
      <c r="AI420" s="1448"/>
      <c r="AJ420" s="1448"/>
      <c r="AK420" s="1448"/>
      <c r="AL420" s="1448"/>
      <c r="AM420" s="1448"/>
      <c r="AN420" s="595"/>
      <c r="AO420" s="595"/>
      <c r="AP420" s="595"/>
      <c r="AQ420" s="597"/>
      <c r="AR420" s="597"/>
      <c r="AS420" s="597"/>
      <c r="AT420" s="597"/>
      <c r="AU420" s="597"/>
      <c r="AV420" s="597"/>
      <c r="AW420" s="597"/>
      <c r="AX420" s="597"/>
      <c r="AY420" s="597"/>
      <c r="AZ420" s="597"/>
      <c r="BA420" s="597"/>
      <c r="BB420" s="595"/>
      <c r="BC420" s="595"/>
      <c r="BD420" s="595"/>
      <c r="BE420" s="595"/>
      <c r="BF420" s="595"/>
      <c r="BG420" s="595"/>
      <c r="BH420" s="595"/>
      <c r="BI420" s="595"/>
      <c r="BJ420" s="651"/>
      <c r="BK420" s="651"/>
      <c r="BL420" s="651"/>
      <c r="BM420" s="651"/>
      <c r="BN420" s="651"/>
      <c r="BO420" s="651"/>
      <c r="BP420" s="651"/>
      <c r="BQ420" s="651"/>
      <c r="BR420" s="651"/>
      <c r="BS420" s="651"/>
      <c r="BT420" s="651"/>
    </row>
    <row r="421" ht="12.75" customHeight="1">
      <c r="A421" s="1360"/>
      <c r="B421" s="584"/>
      <c r="C421" s="584"/>
      <c r="D421" s="584"/>
      <c r="E421" s="585"/>
      <c r="F421" s="586"/>
      <c r="G421" s="584"/>
      <c r="H421" s="584"/>
      <c r="I421" s="443"/>
      <c r="J421" s="443"/>
      <c r="K421" s="354"/>
      <c r="L421" s="588"/>
      <c r="M421" s="588"/>
      <c r="N421" s="589"/>
      <c r="O421" s="595"/>
      <c r="P421" s="392"/>
      <c r="Q421" s="807"/>
      <c r="R421" s="603"/>
      <c r="S421" s="354"/>
      <c r="T421" s="584"/>
      <c r="U421" s="595"/>
      <c r="V421" s="595"/>
      <c r="W421" s="595"/>
      <c r="X421" s="443"/>
      <c r="Y421" s="595"/>
      <c r="Z421" s="595"/>
      <c r="AA421" s="595"/>
      <c r="AB421" s="354"/>
      <c r="AC421" s="595"/>
      <c r="AD421" s="1448"/>
      <c r="AE421" s="1448"/>
      <c r="AF421" s="1448"/>
      <c r="AG421" s="1449"/>
      <c r="AH421" s="1448"/>
      <c r="AI421" s="1448"/>
      <c r="AJ421" s="1448"/>
      <c r="AK421" s="1448"/>
      <c r="AL421" s="1448"/>
      <c r="AM421" s="1448"/>
      <c r="AN421" s="595"/>
      <c r="AO421" s="595"/>
      <c r="AP421" s="595"/>
      <c r="AQ421" s="597"/>
      <c r="AR421" s="597"/>
      <c r="AS421" s="597"/>
      <c r="AT421" s="597"/>
      <c r="AU421" s="597"/>
      <c r="AV421" s="597"/>
      <c r="AW421" s="597"/>
      <c r="AX421" s="597"/>
      <c r="AY421" s="597"/>
      <c r="AZ421" s="597"/>
      <c r="BA421" s="597"/>
      <c r="BB421" s="595"/>
      <c r="BC421" s="595"/>
      <c r="BD421" s="595"/>
      <c r="BE421" s="595"/>
      <c r="BF421" s="595"/>
      <c r="BG421" s="595"/>
      <c r="BH421" s="595"/>
      <c r="BI421" s="595"/>
      <c r="BJ421" s="651"/>
      <c r="BK421" s="651"/>
      <c r="BL421" s="651"/>
      <c r="BM421" s="651"/>
      <c r="BN421" s="651"/>
      <c r="BO421" s="651"/>
      <c r="BP421" s="651"/>
      <c r="BQ421" s="651"/>
      <c r="BR421" s="651"/>
      <c r="BS421" s="651"/>
      <c r="BT421" s="651"/>
    </row>
    <row r="422" ht="12.75" customHeight="1">
      <c r="A422" s="1360"/>
      <c r="B422" s="584"/>
      <c r="C422" s="584"/>
      <c r="D422" s="584"/>
      <c r="E422" s="585"/>
      <c r="F422" s="586"/>
      <c r="G422" s="584"/>
      <c r="H422" s="584"/>
      <c r="I422" s="443"/>
      <c r="J422" s="443"/>
      <c r="K422" s="354"/>
      <c r="L422" s="588"/>
      <c r="M422" s="588"/>
      <c r="N422" s="589"/>
      <c r="O422" s="595"/>
      <c r="P422" s="392"/>
      <c r="Q422" s="807"/>
      <c r="R422" s="603"/>
      <c r="S422" s="354"/>
      <c r="T422" s="584"/>
      <c r="U422" s="595"/>
      <c r="V422" s="595"/>
      <c r="W422" s="595"/>
      <c r="X422" s="443"/>
      <c r="Y422" s="595"/>
      <c r="Z422" s="595"/>
      <c r="AA422" s="595"/>
      <c r="AB422" s="354"/>
      <c r="AC422" s="595"/>
      <c r="AD422" s="1448"/>
      <c r="AE422" s="1448"/>
      <c r="AF422" s="1448"/>
      <c r="AG422" s="1449"/>
      <c r="AH422" s="1448"/>
      <c r="AI422" s="1448"/>
      <c r="AJ422" s="1448"/>
      <c r="AK422" s="1448"/>
      <c r="AL422" s="1448"/>
      <c r="AM422" s="1448"/>
      <c r="AN422" s="595"/>
      <c r="AO422" s="595"/>
      <c r="AP422" s="595"/>
      <c r="AQ422" s="597"/>
      <c r="AR422" s="597"/>
      <c r="AS422" s="597"/>
      <c r="AT422" s="597"/>
      <c r="AU422" s="597"/>
      <c r="AV422" s="597"/>
      <c r="AW422" s="597"/>
      <c r="AX422" s="597"/>
      <c r="AY422" s="597"/>
      <c r="AZ422" s="597"/>
      <c r="BA422" s="597"/>
      <c r="BB422" s="595"/>
      <c r="BC422" s="595"/>
      <c r="BD422" s="595"/>
      <c r="BE422" s="595"/>
      <c r="BF422" s="595"/>
      <c r="BG422" s="595"/>
      <c r="BH422" s="595"/>
      <c r="BI422" s="595"/>
      <c r="BJ422" s="651"/>
      <c r="BK422" s="651"/>
      <c r="BL422" s="651"/>
      <c r="BM422" s="651"/>
      <c r="BN422" s="651"/>
      <c r="BO422" s="651"/>
      <c r="BP422" s="651"/>
      <c r="BQ422" s="651"/>
      <c r="BR422" s="651"/>
      <c r="BS422" s="651"/>
      <c r="BT422" s="651"/>
    </row>
    <row r="423" ht="12.75" customHeight="1">
      <c r="A423" s="1360"/>
      <c r="B423" s="584"/>
      <c r="C423" s="584"/>
      <c r="D423" s="584"/>
      <c r="E423" s="585"/>
      <c r="F423" s="586"/>
      <c r="G423" s="584"/>
      <c r="H423" s="584"/>
      <c r="I423" s="443"/>
      <c r="J423" s="443"/>
      <c r="K423" s="354"/>
      <c r="L423" s="588"/>
      <c r="M423" s="588"/>
      <c r="N423" s="589"/>
      <c r="O423" s="595"/>
      <c r="P423" s="392"/>
      <c r="Q423" s="807"/>
      <c r="R423" s="603"/>
      <c r="S423" s="354"/>
      <c r="T423" s="584"/>
      <c r="U423" s="595"/>
      <c r="V423" s="595"/>
      <c r="W423" s="595"/>
      <c r="X423" s="443"/>
      <c r="Y423" s="595"/>
      <c r="Z423" s="595"/>
      <c r="AA423" s="595"/>
      <c r="AB423" s="354"/>
      <c r="AC423" s="595"/>
      <c r="AD423" s="1448"/>
      <c r="AE423" s="1448"/>
      <c r="AF423" s="1448"/>
      <c r="AG423" s="1449"/>
      <c r="AH423" s="1448"/>
      <c r="AI423" s="1448"/>
      <c r="AJ423" s="1448"/>
      <c r="AK423" s="1448"/>
      <c r="AL423" s="1448"/>
      <c r="AM423" s="1448"/>
      <c r="AN423" s="595"/>
      <c r="AO423" s="595"/>
      <c r="AP423" s="595"/>
      <c r="AQ423" s="597"/>
      <c r="AR423" s="597"/>
      <c r="AS423" s="597"/>
      <c r="AT423" s="597"/>
      <c r="AU423" s="597"/>
      <c r="AV423" s="597"/>
      <c r="AW423" s="597"/>
      <c r="AX423" s="597"/>
      <c r="AY423" s="597"/>
      <c r="AZ423" s="597"/>
      <c r="BA423" s="597"/>
      <c r="BB423" s="595"/>
      <c r="BC423" s="595"/>
      <c r="BD423" s="595"/>
      <c r="BE423" s="595"/>
      <c r="BF423" s="595"/>
      <c r="BG423" s="595"/>
      <c r="BH423" s="595"/>
      <c r="BI423" s="595"/>
      <c r="BJ423" s="651"/>
      <c r="BK423" s="651"/>
      <c r="BL423" s="651"/>
      <c r="BM423" s="651"/>
      <c r="BN423" s="651"/>
      <c r="BO423" s="651"/>
      <c r="BP423" s="651"/>
      <c r="BQ423" s="651"/>
      <c r="BR423" s="651"/>
      <c r="BS423" s="651"/>
      <c r="BT423" s="651"/>
    </row>
    <row r="424" ht="12.75" customHeight="1">
      <c r="A424" s="1360"/>
      <c r="B424" s="584"/>
      <c r="C424" s="584"/>
      <c r="D424" s="584"/>
      <c r="E424" s="585"/>
      <c r="F424" s="586"/>
      <c r="G424" s="584"/>
      <c r="H424" s="584"/>
      <c r="I424" s="443"/>
      <c r="J424" s="443"/>
      <c r="K424" s="354"/>
      <c r="L424" s="588"/>
      <c r="M424" s="588"/>
      <c r="N424" s="589"/>
      <c r="O424" s="595"/>
      <c r="P424" s="392"/>
      <c r="Q424" s="807"/>
      <c r="R424" s="603"/>
      <c r="S424" s="354"/>
      <c r="T424" s="584"/>
      <c r="U424" s="595"/>
      <c r="V424" s="595"/>
      <c r="W424" s="595"/>
      <c r="X424" s="443"/>
      <c r="Y424" s="595"/>
      <c r="Z424" s="595"/>
      <c r="AA424" s="595"/>
      <c r="AB424" s="354"/>
      <c r="AC424" s="595"/>
      <c r="AD424" s="1448"/>
      <c r="AE424" s="1448"/>
      <c r="AF424" s="1448"/>
      <c r="AG424" s="1449"/>
      <c r="AH424" s="1448"/>
      <c r="AI424" s="1448"/>
      <c r="AJ424" s="1448"/>
      <c r="AK424" s="1448"/>
      <c r="AL424" s="1448"/>
      <c r="AM424" s="1448"/>
      <c r="AN424" s="595"/>
      <c r="AO424" s="595"/>
      <c r="AP424" s="595"/>
      <c r="AQ424" s="597"/>
      <c r="AR424" s="597"/>
      <c r="AS424" s="597"/>
      <c r="AT424" s="597"/>
      <c r="AU424" s="597"/>
      <c r="AV424" s="597"/>
      <c r="AW424" s="597"/>
      <c r="AX424" s="597"/>
      <c r="AY424" s="597"/>
      <c r="AZ424" s="597"/>
      <c r="BA424" s="597"/>
      <c r="BB424" s="595"/>
      <c r="BC424" s="595"/>
      <c r="BD424" s="595"/>
      <c r="BE424" s="595"/>
      <c r="BF424" s="595"/>
      <c r="BG424" s="595"/>
      <c r="BH424" s="595"/>
      <c r="BI424" s="595"/>
      <c r="BJ424" s="651"/>
      <c r="BK424" s="651"/>
      <c r="BL424" s="651"/>
      <c r="BM424" s="651"/>
      <c r="BN424" s="651"/>
      <c r="BO424" s="651"/>
      <c r="BP424" s="651"/>
      <c r="BQ424" s="651"/>
      <c r="BR424" s="651"/>
      <c r="BS424" s="651"/>
      <c r="BT424" s="651"/>
    </row>
    <row r="425" ht="12.75" customHeight="1">
      <c r="A425" s="1360"/>
      <c r="B425" s="584"/>
      <c r="C425" s="584"/>
      <c r="D425" s="584"/>
      <c r="E425" s="585"/>
      <c r="F425" s="586"/>
      <c r="G425" s="584"/>
      <c r="H425" s="584"/>
      <c r="I425" s="443"/>
      <c r="J425" s="443"/>
      <c r="K425" s="354"/>
      <c r="L425" s="588"/>
      <c r="M425" s="588"/>
      <c r="N425" s="589"/>
      <c r="O425" s="595"/>
      <c r="P425" s="392"/>
      <c r="Q425" s="807"/>
      <c r="R425" s="603"/>
      <c r="S425" s="354"/>
      <c r="T425" s="584"/>
      <c r="U425" s="595"/>
      <c r="V425" s="595"/>
      <c r="W425" s="595"/>
      <c r="X425" s="443"/>
      <c r="Y425" s="595"/>
      <c r="Z425" s="595"/>
      <c r="AA425" s="595"/>
      <c r="AB425" s="354"/>
      <c r="AC425" s="595"/>
      <c r="AD425" s="1448"/>
      <c r="AE425" s="1448"/>
      <c r="AF425" s="1448"/>
      <c r="AG425" s="1449"/>
      <c r="AH425" s="1448"/>
      <c r="AI425" s="1448"/>
      <c r="AJ425" s="1448"/>
      <c r="AK425" s="1448"/>
      <c r="AL425" s="1448"/>
      <c r="AM425" s="1448"/>
      <c r="AN425" s="595"/>
      <c r="AO425" s="595"/>
      <c r="AP425" s="595"/>
      <c r="AQ425" s="597"/>
      <c r="AR425" s="597"/>
      <c r="AS425" s="597"/>
      <c r="AT425" s="597"/>
      <c r="AU425" s="597"/>
      <c r="AV425" s="597"/>
      <c r="AW425" s="597"/>
      <c r="AX425" s="597"/>
      <c r="AY425" s="597"/>
      <c r="AZ425" s="597"/>
      <c r="BA425" s="597"/>
      <c r="BB425" s="595"/>
      <c r="BC425" s="595"/>
      <c r="BD425" s="595"/>
      <c r="BE425" s="595"/>
      <c r="BF425" s="595"/>
      <c r="BG425" s="595"/>
      <c r="BH425" s="595"/>
      <c r="BI425" s="595"/>
      <c r="BJ425" s="651"/>
      <c r="BK425" s="651"/>
      <c r="BL425" s="651"/>
      <c r="BM425" s="651"/>
      <c r="BN425" s="651"/>
      <c r="BO425" s="651"/>
      <c r="BP425" s="651"/>
      <c r="BQ425" s="651"/>
      <c r="BR425" s="651"/>
      <c r="BS425" s="651"/>
      <c r="BT425" s="651"/>
    </row>
    <row r="426" ht="12.75" customHeight="1">
      <c r="A426" s="1360"/>
      <c r="B426" s="584"/>
      <c r="C426" s="584"/>
      <c r="D426" s="584"/>
      <c r="E426" s="585"/>
      <c r="F426" s="586"/>
      <c r="G426" s="584"/>
      <c r="H426" s="584"/>
      <c r="I426" s="443"/>
      <c r="J426" s="443"/>
      <c r="K426" s="354"/>
      <c r="L426" s="588"/>
      <c r="M426" s="588"/>
      <c r="N426" s="589"/>
      <c r="O426" s="595"/>
      <c r="P426" s="392"/>
      <c r="Q426" s="807"/>
      <c r="R426" s="603"/>
      <c r="S426" s="354"/>
      <c r="T426" s="584"/>
      <c r="U426" s="595"/>
      <c r="V426" s="595"/>
      <c r="W426" s="595"/>
      <c r="X426" s="443"/>
      <c r="Y426" s="595"/>
      <c r="Z426" s="595"/>
      <c r="AA426" s="595"/>
      <c r="AB426" s="354"/>
      <c r="AC426" s="595"/>
      <c r="AD426" s="1448"/>
      <c r="AE426" s="1448"/>
      <c r="AF426" s="1448"/>
      <c r="AG426" s="1449"/>
      <c r="AH426" s="1448"/>
      <c r="AI426" s="1448"/>
      <c r="AJ426" s="1448"/>
      <c r="AK426" s="1448"/>
      <c r="AL426" s="1448"/>
      <c r="AM426" s="1448"/>
      <c r="AN426" s="595"/>
      <c r="AO426" s="595"/>
      <c r="AP426" s="595"/>
      <c r="AQ426" s="597"/>
      <c r="AR426" s="597"/>
      <c r="AS426" s="597"/>
      <c r="AT426" s="597"/>
      <c r="AU426" s="597"/>
      <c r="AV426" s="597"/>
      <c r="AW426" s="597"/>
      <c r="AX426" s="597"/>
      <c r="AY426" s="597"/>
      <c r="AZ426" s="597"/>
      <c r="BA426" s="597"/>
      <c r="BB426" s="595"/>
      <c r="BC426" s="595"/>
      <c r="BD426" s="595"/>
      <c r="BE426" s="595"/>
      <c r="BF426" s="595"/>
      <c r="BG426" s="595"/>
      <c r="BH426" s="595"/>
      <c r="BI426" s="595"/>
      <c r="BJ426" s="651"/>
      <c r="BK426" s="651"/>
      <c r="BL426" s="651"/>
      <c r="BM426" s="651"/>
      <c r="BN426" s="651"/>
      <c r="BO426" s="651"/>
      <c r="BP426" s="651"/>
      <c r="BQ426" s="651"/>
      <c r="BR426" s="651"/>
      <c r="BS426" s="651"/>
      <c r="BT426" s="651"/>
    </row>
    <row r="427" ht="12.75" customHeight="1">
      <c r="A427" s="1360"/>
      <c r="B427" s="584"/>
      <c r="C427" s="584"/>
      <c r="D427" s="584"/>
      <c r="E427" s="585"/>
      <c r="F427" s="586"/>
      <c r="G427" s="584"/>
      <c r="H427" s="584"/>
      <c r="I427" s="443"/>
      <c r="J427" s="443"/>
      <c r="K427" s="354"/>
      <c r="L427" s="588"/>
      <c r="M427" s="588"/>
      <c r="N427" s="589"/>
      <c r="O427" s="595"/>
      <c r="P427" s="392"/>
      <c r="Q427" s="807"/>
      <c r="R427" s="603"/>
      <c r="S427" s="354"/>
      <c r="T427" s="584"/>
      <c r="U427" s="595"/>
      <c r="V427" s="595"/>
      <c r="W427" s="595"/>
      <c r="X427" s="443"/>
      <c r="Y427" s="595"/>
      <c r="Z427" s="595"/>
      <c r="AA427" s="595"/>
      <c r="AB427" s="354"/>
      <c r="AC427" s="595"/>
      <c r="AD427" s="1448"/>
      <c r="AE427" s="1448"/>
      <c r="AF427" s="1448"/>
      <c r="AG427" s="1449"/>
      <c r="AH427" s="1448"/>
      <c r="AI427" s="1448"/>
      <c r="AJ427" s="1448"/>
      <c r="AK427" s="1448"/>
      <c r="AL427" s="1448"/>
      <c r="AM427" s="1448"/>
      <c r="AN427" s="595"/>
      <c r="AO427" s="595"/>
      <c r="AP427" s="595"/>
      <c r="AQ427" s="597"/>
      <c r="AR427" s="597"/>
      <c r="AS427" s="597"/>
      <c r="AT427" s="597"/>
      <c r="AU427" s="597"/>
      <c r="AV427" s="597"/>
      <c r="AW427" s="597"/>
      <c r="AX427" s="597"/>
      <c r="AY427" s="597"/>
      <c r="AZ427" s="597"/>
      <c r="BA427" s="597"/>
      <c r="BB427" s="595"/>
      <c r="BC427" s="595"/>
      <c r="BD427" s="595"/>
      <c r="BE427" s="595"/>
      <c r="BF427" s="595"/>
      <c r="BG427" s="595"/>
      <c r="BH427" s="595"/>
      <c r="BI427" s="595"/>
      <c r="BJ427" s="651"/>
      <c r="BK427" s="651"/>
      <c r="BL427" s="651"/>
      <c r="BM427" s="651"/>
      <c r="BN427" s="651"/>
      <c r="BO427" s="651"/>
      <c r="BP427" s="651"/>
      <c r="BQ427" s="651"/>
      <c r="BR427" s="651"/>
      <c r="BS427" s="651"/>
      <c r="BT427" s="651"/>
    </row>
    <row r="428" ht="12.75" customHeight="1">
      <c r="A428" s="1360"/>
      <c r="B428" s="584"/>
      <c r="C428" s="584"/>
      <c r="D428" s="584"/>
      <c r="E428" s="585"/>
      <c r="F428" s="586"/>
      <c r="G428" s="584"/>
      <c r="H428" s="584"/>
      <c r="I428" s="443"/>
      <c r="J428" s="443"/>
      <c r="K428" s="354"/>
      <c r="L428" s="588"/>
      <c r="M428" s="588"/>
      <c r="N428" s="589"/>
      <c r="O428" s="595"/>
      <c r="P428" s="392"/>
      <c r="Q428" s="807"/>
      <c r="R428" s="603"/>
      <c r="S428" s="354"/>
      <c r="T428" s="584"/>
      <c r="U428" s="595"/>
      <c r="V428" s="595"/>
      <c r="W428" s="595"/>
      <c r="X428" s="443"/>
      <c r="Y428" s="595"/>
      <c r="Z428" s="595"/>
      <c r="AA428" s="595"/>
      <c r="AB428" s="354"/>
      <c r="AC428" s="595"/>
      <c r="AD428" s="1448"/>
      <c r="AE428" s="1448"/>
      <c r="AF428" s="1448"/>
      <c r="AG428" s="1449"/>
      <c r="AH428" s="1448"/>
      <c r="AI428" s="1448"/>
      <c r="AJ428" s="1448"/>
      <c r="AK428" s="1448"/>
      <c r="AL428" s="1448"/>
      <c r="AM428" s="1448"/>
      <c r="AN428" s="595"/>
      <c r="AO428" s="595"/>
      <c r="AP428" s="595"/>
      <c r="AQ428" s="597"/>
      <c r="AR428" s="597"/>
      <c r="AS428" s="597"/>
      <c r="AT428" s="597"/>
      <c r="AU428" s="597"/>
      <c r="AV428" s="597"/>
      <c r="AW428" s="597"/>
      <c r="AX428" s="597"/>
      <c r="AY428" s="597"/>
      <c r="AZ428" s="597"/>
      <c r="BA428" s="597"/>
      <c r="BB428" s="595"/>
      <c r="BC428" s="595"/>
      <c r="BD428" s="595"/>
      <c r="BE428" s="595"/>
      <c r="BF428" s="595"/>
      <c r="BG428" s="595"/>
      <c r="BH428" s="595"/>
      <c r="BI428" s="595"/>
      <c r="BJ428" s="651"/>
      <c r="BK428" s="651"/>
      <c r="BL428" s="651"/>
      <c r="BM428" s="651"/>
      <c r="BN428" s="651"/>
      <c r="BO428" s="651"/>
      <c r="BP428" s="651"/>
      <c r="BQ428" s="651"/>
      <c r="BR428" s="651"/>
      <c r="BS428" s="651"/>
      <c r="BT428" s="651"/>
    </row>
    <row r="429" ht="12.75" customHeight="1">
      <c r="A429" s="1360"/>
      <c r="B429" s="584"/>
      <c r="C429" s="584"/>
      <c r="D429" s="584"/>
      <c r="E429" s="585"/>
      <c r="F429" s="586"/>
      <c r="G429" s="584"/>
      <c r="H429" s="584"/>
      <c r="I429" s="443"/>
      <c r="J429" s="443"/>
      <c r="K429" s="354"/>
      <c r="L429" s="588"/>
      <c r="M429" s="588"/>
      <c r="N429" s="589"/>
      <c r="O429" s="595"/>
      <c r="P429" s="392"/>
      <c r="Q429" s="807"/>
      <c r="R429" s="603"/>
      <c r="S429" s="354"/>
      <c r="T429" s="584"/>
      <c r="U429" s="595"/>
      <c r="V429" s="595"/>
      <c r="W429" s="595"/>
      <c r="X429" s="443"/>
      <c r="Y429" s="595"/>
      <c r="Z429" s="595"/>
      <c r="AA429" s="595"/>
      <c r="AB429" s="354"/>
      <c r="AC429" s="595"/>
      <c r="AD429" s="1448"/>
      <c r="AE429" s="1448"/>
      <c r="AF429" s="1448"/>
      <c r="AG429" s="1449"/>
      <c r="AH429" s="1448"/>
      <c r="AI429" s="1448"/>
      <c r="AJ429" s="1448"/>
      <c r="AK429" s="1448"/>
      <c r="AL429" s="1448"/>
      <c r="AM429" s="1448"/>
      <c r="AN429" s="595"/>
      <c r="AO429" s="595"/>
      <c r="AP429" s="595"/>
      <c r="AQ429" s="597"/>
      <c r="AR429" s="597"/>
      <c r="AS429" s="597"/>
      <c r="AT429" s="597"/>
      <c r="AU429" s="597"/>
      <c r="AV429" s="597"/>
      <c r="AW429" s="597"/>
      <c r="AX429" s="597"/>
      <c r="AY429" s="597"/>
      <c r="AZ429" s="597"/>
      <c r="BA429" s="597"/>
      <c r="BB429" s="595"/>
      <c r="BC429" s="595"/>
      <c r="BD429" s="595"/>
      <c r="BE429" s="595"/>
      <c r="BF429" s="595"/>
      <c r="BG429" s="595"/>
      <c r="BH429" s="595"/>
      <c r="BI429" s="595"/>
      <c r="BJ429" s="651"/>
      <c r="BK429" s="651"/>
      <c r="BL429" s="651"/>
      <c r="BM429" s="651"/>
      <c r="BN429" s="651"/>
      <c r="BO429" s="651"/>
      <c r="BP429" s="651"/>
      <c r="BQ429" s="651"/>
      <c r="BR429" s="651"/>
      <c r="BS429" s="651"/>
      <c r="BT429" s="651"/>
    </row>
    <row r="430" ht="12.75" customHeight="1">
      <c r="A430" s="1360"/>
      <c r="B430" s="584"/>
      <c r="C430" s="584"/>
      <c r="D430" s="584"/>
      <c r="E430" s="585"/>
      <c r="F430" s="586"/>
      <c r="G430" s="584"/>
      <c r="H430" s="584"/>
      <c r="I430" s="443"/>
      <c r="J430" s="443"/>
      <c r="K430" s="354"/>
      <c r="L430" s="588"/>
      <c r="M430" s="588"/>
      <c r="N430" s="589"/>
      <c r="O430" s="595"/>
      <c r="P430" s="392"/>
      <c r="Q430" s="807"/>
      <c r="R430" s="603"/>
      <c r="S430" s="354"/>
      <c r="T430" s="584"/>
      <c r="U430" s="595"/>
      <c r="V430" s="595"/>
      <c r="W430" s="595"/>
      <c r="X430" s="443"/>
      <c r="Y430" s="595"/>
      <c r="Z430" s="595"/>
      <c r="AA430" s="595"/>
      <c r="AB430" s="354"/>
      <c r="AC430" s="595"/>
      <c r="AD430" s="1448"/>
      <c r="AE430" s="1448"/>
      <c r="AF430" s="1448"/>
      <c r="AG430" s="1449"/>
      <c r="AH430" s="1448"/>
      <c r="AI430" s="1448"/>
      <c r="AJ430" s="1448"/>
      <c r="AK430" s="1448"/>
      <c r="AL430" s="1448"/>
      <c r="AM430" s="1448"/>
      <c r="AN430" s="595"/>
      <c r="AO430" s="595"/>
      <c r="AP430" s="595"/>
      <c r="AQ430" s="597"/>
      <c r="AR430" s="597"/>
      <c r="AS430" s="597"/>
      <c r="AT430" s="597"/>
      <c r="AU430" s="597"/>
      <c r="AV430" s="597"/>
      <c r="AW430" s="597"/>
      <c r="AX430" s="597"/>
      <c r="AY430" s="597"/>
      <c r="AZ430" s="597"/>
      <c r="BA430" s="597"/>
      <c r="BB430" s="595"/>
      <c r="BC430" s="595"/>
      <c r="BD430" s="595"/>
      <c r="BE430" s="595"/>
      <c r="BF430" s="595"/>
      <c r="BG430" s="595"/>
      <c r="BH430" s="595"/>
      <c r="BI430" s="595"/>
      <c r="BJ430" s="651"/>
      <c r="BK430" s="651"/>
      <c r="BL430" s="651"/>
      <c r="BM430" s="651"/>
      <c r="BN430" s="651"/>
      <c r="BO430" s="651"/>
      <c r="BP430" s="651"/>
      <c r="BQ430" s="651"/>
      <c r="BR430" s="651"/>
      <c r="BS430" s="651"/>
      <c r="BT430" s="651"/>
    </row>
    <row r="431" ht="12.75" customHeight="1">
      <c r="A431" s="1360"/>
      <c r="B431" s="584"/>
      <c r="C431" s="584"/>
      <c r="D431" s="584"/>
      <c r="E431" s="585"/>
      <c r="F431" s="586"/>
      <c r="G431" s="584"/>
      <c r="H431" s="584"/>
      <c r="I431" s="443"/>
      <c r="J431" s="443"/>
      <c r="K431" s="354"/>
      <c r="L431" s="588"/>
      <c r="M431" s="588"/>
      <c r="N431" s="589"/>
      <c r="O431" s="595"/>
      <c r="P431" s="392"/>
      <c r="Q431" s="807"/>
      <c r="R431" s="603"/>
      <c r="S431" s="354"/>
      <c r="T431" s="584"/>
      <c r="U431" s="595"/>
      <c r="V431" s="595"/>
      <c r="W431" s="595"/>
      <c r="X431" s="443"/>
      <c r="Y431" s="595"/>
      <c r="Z431" s="595"/>
      <c r="AA431" s="595"/>
      <c r="AB431" s="354"/>
      <c r="AC431" s="595"/>
      <c r="AD431" s="1448"/>
      <c r="AE431" s="1448"/>
      <c r="AF431" s="1448"/>
      <c r="AG431" s="1449"/>
      <c r="AH431" s="1448"/>
      <c r="AI431" s="1448"/>
      <c r="AJ431" s="1448"/>
      <c r="AK431" s="1448"/>
      <c r="AL431" s="1448"/>
      <c r="AM431" s="1448"/>
      <c r="AN431" s="595"/>
      <c r="AO431" s="595"/>
      <c r="AP431" s="595"/>
      <c r="AQ431" s="597"/>
      <c r="AR431" s="597"/>
      <c r="AS431" s="597"/>
      <c r="AT431" s="597"/>
      <c r="AU431" s="597"/>
      <c r="AV431" s="597"/>
      <c r="AW431" s="597"/>
      <c r="AX431" s="597"/>
      <c r="AY431" s="597"/>
      <c r="AZ431" s="597"/>
      <c r="BA431" s="597"/>
      <c r="BB431" s="595"/>
      <c r="BC431" s="595"/>
      <c r="BD431" s="595"/>
      <c r="BE431" s="595"/>
      <c r="BF431" s="595"/>
      <c r="BG431" s="595"/>
      <c r="BH431" s="595"/>
      <c r="BI431" s="595"/>
      <c r="BJ431" s="651"/>
      <c r="BK431" s="651"/>
      <c r="BL431" s="651"/>
      <c r="BM431" s="651"/>
      <c r="BN431" s="651"/>
      <c r="BO431" s="651"/>
      <c r="BP431" s="651"/>
      <c r="BQ431" s="651"/>
      <c r="BR431" s="651"/>
      <c r="BS431" s="651"/>
      <c r="BT431" s="651"/>
    </row>
    <row r="432" ht="12.75" customHeight="1">
      <c r="A432" s="1360"/>
      <c r="B432" s="584"/>
      <c r="C432" s="584"/>
      <c r="D432" s="584"/>
      <c r="E432" s="585"/>
      <c r="F432" s="586"/>
      <c r="G432" s="584"/>
      <c r="H432" s="584"/>
      <c r="I432" s="443"/>
      <c r="J432" s="443"/>
      <c r="K432" s="354"/>
      <c r="L432" s="588"/>
      <c r="M432" s="588"/>
      <c r="N432" s="589"/>
      <c r="O432" s="595"/>
      <c r="P432" s="392"/>
      <c r="Q432" s="807"/>
      <c r="R432" s="603"/>
      <c r="S432" s="354"/>
      <c r="T432" s="584"/>
      <c r="U432" s="595"/>
      <c r="V432" s="595"/>
      <c r="W432" s="595"/>
      <c r="X432" s="443"/>
      <c r="Y432" s="595"/>
      <c r="Z432" s="595"/>
      <c r="AA432" s="595"/>
      <c r="AB432" s="354"/>
      <c r="AC432" s="595"/>
      <c r="AD432" s="1448"/>
      <c r="AE432" s="1448"/>
      <c r="AF432" s="1448"/>
      <c r="AG432" s="1449"/>
      <c r="AH432" s="1448"/>
      <c r="AI432" s="1448"/>
      <c r="AJ432" s="1448"/>
      <c r="AK432" s="1448"/>
      <c r="AL432" s="1448"/>
      <c r="AM432" s="1448"/>
      <c r="AN432" s="595"/>
      <c r="AO432" s="595"/>
      <c r="AP432" s="595"/>
      <c r="AQ432" s="597"/>
      <c r="AR432" s="597"/>
      <c r="AS432" s="597"/>
      <c r="AT432" s="597"/>
      <c r="AU432" s="597"/>
      <c r="AV432" s="597"/>
      <c r="AW432" s="597"/>
      <c r="AX432" s="597"/>
      <c r="AY432" s="597"/>
      <c r="AZ432" s="597"/>
      <c r="BA432" s="597"/>
      <c r="BB432" s="595"/>
      <c r="BC432" s="595"/>
      <c r="BD432" s="595"/>
      <c r="BE432" s="595"/>
      <c r="BF432" s="595"/>
      <c r="BG432" s="595"/>
      <c r="BH432" s="595"/>
      <c r="BI432" s="595"/>
      <c r="BJ432" s="651"/>
      <c r="BK432" s="651"/>
      <c r="BL432" s="651"/>
      <c r="BM432" s="651"/>
      <c r="BN432" s="651"/>
      <c r="BO432" s="651"/>
      <c r="BP432" s="651"/>
      <c r="BQ432" s="651"/>
      <c r="BR432" s="651"/>
      <c r="BS432" s="651"/>
      <c r="BT432" s="651"/>
    </row>
    <row r="433" ht="12.75" customHeight="1">
      <c r="A433" s="1360"/>
      <c r="B433" s="584"/>
      <c r="C433" s="584"/>
      <c r="D433" s="584"/>
      <c r="E433" s="585"/>
      <c r="F433" s="586"/>
      <c r="G433" s="584"/>
      <c r="H433" s="584"/>
      <c r="I433" s="443"/>
      <c r="J433" s="443"/>
      <c r="K433" s="354"/>
      <c r="L433" s="588"/>
      <c r="M433" s="588"/>
      <c r="N433" s="589"/>
      <c r="O433" s="595"/>
      <c r="P433" s="354"/>
      <c r="Q433" s="584"/>
      <c r="R433" s="603"/>
      <c r="S433" s="354"/>
      <c r="T433" s="584"/>
      <c r="U433" s="595"/>
      <c r="V433" s="595"/>
      <c r="W433" s="595"/>
      <c r="X433" s="443"/>
      <c r="Y433" s="595"/>
      <c r="Z433" s="595"/>
      <c r="AA433" s="595"/>
      <c r="AB433" s="354"/>
      <c r="AC433" s="595"/>
      <c r="AD433" s="1448"/>
      <c r="AE433" s="1448"/>
      <c r="AF433" s="1448"/>
      <c r="AG433" s="1449"/>
      <c r="AH433" s="1448"/>
      <c r="AI433" s="1448"/>
      <c r="AJ433" s="1448"/>
      <c r="AK433" s="1448"/>
      <c r="AL433" s="1448"/>
      <c r="AM433" s="1448"/>
      <c r="AN433" s="595"/>
      <c r="AO433" s="595"/>
      <c r="AP433" s="595"/>
      <c r="AQ433" s="597"/>
      <c r="AR433" s="597"/>
      <c r="AS433" s="597"/>
      <c r="AT433" s="597"/>
      <c r="AU433" s="597"/>
      <c r="AV433" s="597"/>
      <c r="AW433" s="597"/>
      <c r="AX433" s="597"/>
      <c r="AY433" s="597"/>
      <c r="AZ433" s="597"/>
      <c r="BA433" s="597"/>
      <c r="BB433" s="595"/>
      <c r="BC433" s="595"/>
      <c r="BD433" s="595"/>
      <c r="BE433" s="595"/>
      <c r="BF433" s="595"/>
      <c r="BG433" s="595"/>
      <c r="BH433" s="595"/>
      <c r="BI433" s="595"/>
      <c r="BJ433" s="651"/>
      <c r="BK433" s="651"/>
      <c r="BL433" s="651"/>
      <c r="BM433" s="651"/>
      <c r="BN433" s="651"/>
      <c r="BO433" s="651"/>
      <c r="BP433" s="651"/>
      <c r="BQ433" s="651"/>
      <c r="BR433" s="651"/>
      <c r="BS433" s="651"/>
      <c r="BT433" s="651"/>
    </row>
    <row r="434" ht="12.75" customHeight="1">
      <c r="A434" s="1360"/>
      <c r="B434" s="584"/>
      <c r="C434" s="584"/>
      <c r="D434" s="584"/>
      <c r="E434" s="585"/>
      <c r="F434" s="586"/>
      <c r="G434" s="584"/>
      <c r="H434" s="584"/>
      <c r="I434" s="443"/>
      <c r="J434" s="443"/>
      <c r="K434" s="354"/>
      <c r="L434" s="588"/>
      <c r="M434" s="588"/>
      <c r="N434" s="589"/>
      <c r="O434" s="595"/>
      <c r="P434" s="354"/>
      <c r="Q434" s="584"/>
      <c r="R434" s="603"/>
      <c r="S434" s="354"/>
      <c r="T434" s="584"/>
      <c r="U434" s="595"/>
      <c r="V434" s="595"/>
      <c r="W434" s="595"/>
      <c r="X434" s="443"/>
      <c r="Y434" s="595"/>
      <c r="Z434" s="595"/>
      <c r="AA434" s="595"/>
      <c r="AB434" s="354"/>
      <c r="AC434" s="595"/>
      <c r="AD434" s="1448"/>
      <c r="AE434" s="1448"/>
      <c r="AF434" s="1448"/>
      <c r="AG434" s="1449"/>
      <c r="AH434" s="1448"/>
      <c r="AI434" s="1448"/>
      <c r="AJ434" s="1448"/>
      <c r="AK434" s="1448"/>
      <c r="AL434" s="1448"/>
      <c r="AM434" s="1448"/>
      <c r="AN434" s="595"/>
      <c r="AO434" s="595"/>
      <c r="AP434" s="584"/>
      <c r="AQ434" s="597"/>
      <c r="AR434" s="597"/>
      <c r="AS434" s="597"/>
      <c r="AT434" s="597"/>
      <c r="AU434" s="597"/>
      <c r="AV434" s="597"/>
      <c r="AW434" s="597"/>
      <c r="AX434" s="597"/>
      <c r="AY434" s="597"/>
      <c r="AZ434" s="597"/>
      <c r="BA434" s="597"/>
      <c r="BB434" s="595"/>
      <c r="BC434" s="595"/>
      <c r="BD434" s="595"/>
      <c r="BE434" s="595"/>
      <c r="BF434" s="595"/>
      <c r="BG434" s="595"/>
      <c r="BH434" s="595"/>
      <c r="BI434" s="595"/>
      <c r="BJ434" s="651"/>
      <c r="BK434" s="651"/>
      <c r="BL434" s="651"/>
      <c r="BM434" s="651"/>
      <c r="BN434" s="651"/>
      <c r="BO434" s="651"/>
      <c r="BP434" s="651"/>
      <c r="BQ434" s="651"/>
      <c r="BR434" s="651"/>
      <c r="BS434" s="651"/>
      <c r="BT434" s="651"/>
    </row>
    <row r="435" ht="12.75" customHeight="1">
      <c r="A435" s="1360"/>
      <c r="B435" s="584"/>
      <c r="C435" s="584"/>
      <c r="D435" s="584"/>
      <c r="E435" s="585"/>
      <c r="F435" s="586"/>
      <c r="G435" s="584"/>
      <c r="H435" s="584"/>
      <c r="I435" s="443"/>
      <c r="J435" s="443"/>
      <c r="K435" s="354"/>
      <c r="L435" s="588"/>
      <c r="M435" s="588"/>
      <c r="N435" s="589"/>
      <c r="O435" s="595"/>
      <c r="P435" s="354"/>
      <c r="Q435" s="584"/>
      <c r="R435" s="603"/>
      <c r="S435" s="354"/>
      <c r="T435" s="584"/>
      <c r="U435" s="595"/>
      <c r="V435" s="595"/>
      <c r="W435" s="595"/>
      <c r="X435" s="443"/>
      <c r="Y435" s="595"/>
      <c r="Z435" s="595"/>
      <c r="AA435" s="595"/>
      <c r="AB435" s="354"/>
      <c r="AC435" s="595"/>
      <c r="AD435" s="1448"/>
      <c r="AE435" s="1448"/>
      <c r="AF435" s="1448"/>
      <c r="AG435" s="1449"/>
      <c r="AH435" s="1448"/>
      <c r="AI435" s="1448"/>
      <c r="AJ435" s="1448"/>
      <c r="AK435" s="1448"/>
      <c r="AL435" s="1448"/>
      <c r="AM435" s="1448"/>
      <c r="AN435" s="595"/>
      <c r="AO435" s="595"/>
      <c r="AP435" s="584"/>
      <c r="AQ435" s="597"/>
      <c r="AR435" s="597"/>
      <c r="AS435" s="597"/>
      <c r="AT435" s="597"/>
      <c r="AU435" s="597"/>
      <c r="AV435" s="597"/>
      <c r="AW435" s="597"/>
      <c r="AX435" s="597"/>
      <c r="AY435" s="597"/>
      <c r="AZ435" s="597"/>
      <c r="BA435" s="597"/>
      <c r="BB435" s="595"/>
      <c r="BC435" s="595"/>
      <c r="BD435" s="595"/>
      <c r="BE435" s="595"/>
      <c r="BF435" s="595"/>
      <c r="BG435" s="595"/>
      <c r="BH435" s="595"/>
      <c r="BI435" s="595"/>
      <c r="BJ435" s="651"/>
      <c r="BK435" s="651"/>
      <c r="BL435" s="651"/>
      <c r="BM435" s="651"/>
      <c r="BN435" s="651"/>
      <c r="BO435" s="651"/>
      <c r="BP435" s="651"/>
      <c r="BQ435" s="651"/>
      <c r="BR435" s="651"/>
      <c r="BS435" s="651"/>
      <c r="BT435" s="651"/>
    </row>
    <row r="436" ht="12.75" customHeight="1">
      <c r="A436" s="1360"/>
      <c r="B436" s="584"/>
      <c r="C436" s="584"/>
      <c r="D436" s="584"/>
      <c r="E436" s="585"/>
      <c r="F436" s="586"/>
      <c r="G436" s="584"/>
      <c r="H436" s="584"/>
      <c r="I436" s="443"/>
      <c r="J436" s="443"/>
      <c r="K436" s="354"/>
      <c r="L436" s="588"/>
      <c r="M436" s="588"/>
      <c r="N436" s="589"/>
      <c r="O436" s="595"/>
      <c r="P436" s="354"/>
      <c r="Q436" s="584"/>
      <c r="R436" s="603"/>
      <c r="S436" s="354"/>
      <c r="T436" s="584"/>
      <c r="U436" s="595"/>
      <c r="V436" s="595"/>
      <c r="W436" s="595"/>
      <c r="X436" s="443"/>
      <c r="Y436" s="595"/>
      <c r="Z436" s="595"/>
      <c r="AA436" s="595"/>
      <c r="AB436" s="354"/>
      <c r="AC436" s="595"/>
      <c r="AD436" s="1448"/>
      <c r="AE436" s="1448"/>
      <c r="AF436" s="1448"/>
      <c r="AG436" s="1449"/>
      <c r="AH436" s="1448"/>
      <c r="AI436" s="1448"/>
      <c r="AJ436" s="1448"/>
      <c r="AK436" s="1448"/>
      <c r="AL436" s="1448"/>
      <c r="AM436" s="1448"/>
      <c r="AN436" s="595"/>
      <c r="AO436" s="651"/>
      <c r="AP436" s="597"/>
      <c r="AQ436" s="597"/>
      <c r="AR436" s="597"/>
      <c r="AS436" s="597"/>
      <c r="AT436" s="597"/>
      <c r="AU436" s="597"/>
      <c r="AV436" s="597"/>
      <c r="AW436" s="597"/>
      <c r="AX436" s="597"/>
      <c r="AY436" s="597"/>
      <c r="AZ436" s="597"/>
      <c r="BA436" s="597"/>
      <c r="BB436" s="595"/>
      <c r="BC436" s="595"/>
      <c r="BD436" s="595"/>
      <c r="BE436" s="595"/>
      <c r="BF436" s="595"/>
      <c r="BG436" s="595"/>
      <c r="BH436" s="595"/>
      <c r="BI436" s="595"/>
      <c r="BJ436" s="651"/>
      <c r="BK436" s="651"/>
      <c r="BL436" s="651"/>
      <c r="BM436" s="651"/>
      <c r="BN436" s="651"/>
      <c r="BO436" s="651"/>
      <c r="BP436" s="651"/>
      <c r="BQ436" s="651"/>
      <c r="BR436" s="651"/>
      <c r="BS436" s="651"/>
      <c r="BT436" s="651"/>
    </row>
    <row r="437" ht="12.75" customHeight="1">
      <c r="A437" s="1360"/>
      <c r="B437" s="584"/>
      <c r="C437" s="584"/>
      <c r="D437" s="584"/>
      <c r="E437" s="585"/>
      <c r="F437" s="586"/>
      <c r="G437" s="584"/>
      <c r="H437" s="584"/>
      <c r="I437" s="443"/>
      <c r="J437" s="443"/>
      <c r="K437" s="354"/>
      <c r="L437" s="588"/>
      <c r="M437" s="588"/>
      <c r="N437" s="589"/>
      <c r="O437" s="595"/>
      <c r="P437" s="586"/>
      <c r="Q437" s="584"/>
      <c r="R437" s="603"/>
      <c r="S437" s="354"/>
      <c r="T437" s="584"/>
      <c r="U437" s="595"/>
      <c r="V437" s="595"/>
      <c r="W437" s="595"/>
      <c r="X437" s="443"/>
      <c r="Y437" s="595"/>
      <c r="Z437" s="595"/>
      <c r="AA437" s="595"/>
      <c r="AB437" s="354"/>
      <c r="AC437" s="651"/>
      <c r="AD437" s="1448"/>
      <c r="AE437" s="1448"/>
      <c r="AF437" s="1448"/>
      <c r="AG437" s="1449"/>
      <c r="AH437" s="1448"/>
      <c r="AI437" s="1448"/>
      <c r="AJ437" s="1448"/>
      <c r="AK437" s="1448"/>
      <c r="AL437" s="1448"/>
      <c r="AM437" s="1448"/>
      <c r="AN437" s="595"/>
      <c r="AO437" s="651"/>
      <c r="AP437" s="597"/>
      <c r="AQ437" s="1448"/>
      <c r="AR437" s="1448"/>
      <c r="AS437" s="1448"/>
      <c r="AT437" s="1448"/>
      <c r="AU437" s="1448"/>
      <c r="AV437" s="1448"/>
      <c r="AW437" s="1448"/>
      <c r="AX437" s="1448"/>
      <c r="AY437" s="1448"/>
      <c r="AZ437" s="1448"/>
      <c r="BA437" s="1448"/>
      <c r="BB437" s="584"/>
      <c r="BC437" s="584"/>
      <c r="BD437" s="584"/>
      <c r="BE437" s="584"/>
      <c r="BF437" s="584"/>
      <c r="BG437" s="584"/>
      <c r="BH437" s="584"/>
      <c r="BI437" s="584"/>
      <c r="BJ437" s="597"/>
      <c r="BK437" s="597"/>
      <c r="BL437" s="597"/>
      <c r="BM437" s="597"/>
      <c r="BN437" s="597"/>
      <c r="BO437" s="597"/>
      <c r="BP437" s="597"/>
      <c r="BQ437" s="597"/>
      <c r="BR437" s="597"/>
      <c r="BS437" s="597"/>
      <c r="BT437" s="597"/>
    </row>
    <row r="438" ht="12.75" customHeight="1">
      <c r="A438" s="1360"/>
      <c r="B438" s="584"/>
      <c r="C438" s="584"/>
      <c r="D438" s="584"/>
      <c r="E438" s="585"/>
      <c r="F438" s="586"/>
      <c r="G438" s="584"/>
      <c r="H438" s="584"/>
      <c r="I438" s="584"/>
      <c r="J438" s="584"/>
      <c r="K438" s="586"/>
      <c r="L438" s="588"/>
      <c r="M438" s="588"/>
      <c r="N438" s="589"/>
      <c r="O438" s="584"/>
      <c r="P438" s="586"/>
      <c r="Q438" s="584"/>
      <c r="R438" s="603"/>
      <c r="S438" s="354"/>
      <c r="T438" s="584"/>
      <c r="U438" s="595"/>
      <c r="V438" s="595"/>
      <c r="W438" s="595"/>
      <c r="X438" s="443"/>
      <c r="Y438" s="595"/>
      <c r="Z438" s="595"/>
      <c r="AA438" s="595"/>
      <c r="AB438" s="354"/>
      <c r="AC438" s="651"/>
      <c r="AD438" s="1448"/>
      <c r="AE438" s="1448"/>
      <c r="AF438" s="1448"/>
      <c r="AG438" s="1449"/>
      <c r="AH438" s="1448"/>
      <c r="AI438" s="1448"/>
      <c r="AJ438" s="1448"/>
      <c r="AK438" s="1448"/>
      <c r="AL438" s="1448"/>
      <c r="AM438" s="1448"/>
      <c r="AN438" s="595"/>
      <c r="AO438" s="651"/>
      <c r="AP438" s="597"/>
      <c r="AQ438" s="1448"/>
      <c r="AR438" s="1448"/>
      <c r="AS438" s="1448"/>
      <c r="AT438" s="1448"/>
      <c r="AU438" s="1448"/>
      <c r="AV438" s="1448"/>
      <c r="AW438" s="1448"/>
      <c r="AX438" s="1448"/>
      <c r="AY438" s="1448"/>
      <c r="AZ438" s="1448"/>
      <c r="BA438" s="1448"/>
      <c r="BB438" s="584"/>
      <c r="BC438" s="584"/>
      <c r="BD438" s="584"/>
      <c r="BE438" s="584"/>
      <c r="BF438" s="584"/>
      <c r="BG438" s="584"/>
      <c r="BH438" s="584"/>
      <c r="BI438" s="584"/>
      <c r="BJ438" s="597"/>
      <c r="BK438" s="597"/>
      <c r="BL438" s="597"/>
      <c r="BM438" s="597"/>
      <c r="BN438" s="597"/>
      <c r="BO438" s="597"/>
      <c r="BP438" s="597"/>
      <c r="BQ438" s="597"/>
      <c r="BR438" s="597"/>
      <c r="BS438" s="597"/>
      <c r="BT438" s="597"/>
    </row>
    <row r="439" ht="12.75" customHeight="1">
      <c r="A439" s="1360"/>
      <c r="B439" s="597"/>
      <c r="C439" s="584"/>
      <c r="D439" s="584"/>
      <c r="E439" s="585"/>
      <c r="F439" s="586"/>
      <c r="G439" s="584"/>
      <c r="H439" s="584"/>
      <c r="I439" s="584"/>
      <c r="J439" s="584"/>
      <c r="K439" s="586"/>
      <c r="L439" s="588"/>
      <c r="M439" s="588"/>
      <c r="N439" s="589"/>
      <c r="O439" s="597"/>
      <c r="P439" s="1068"/>
      <c r="Q439" s="597"/>
      <c r="R439" s="603"/>
      <c r="S439" s="354"/>
      <c r="T439" s="584"/>
      <c r="U439" s="595"/>
      <c r="V439" s="595"/>
      <c r="W439" s="595"/>
      <c r="X439" s="443"/>
      <c r="Y439" s="595"/>
      <c r="Z439" s="595"/>
      <c r="AA439" s="595"/>
      <c r="AB439" s="354"/>
      <c r="AC439" s="651"/>
      <c r="AD439" s="1448"/>
      <c r="AE439" s="1448"/>
      <c r="AF439" s="1448"/>
      <c r="AG439" s="1449"/>
      <c r="AH439" s="1448"/>
      <c r="AI439" s="1448"/>
      <c r="AJ439" s="1448"/>
      <c r="AK439" s="1448"/>
      <c r="AL439" s="1448"/>
      <c r="AM439" s="1448"/>
      <c r="AN439" s="595"/>
      <c r="AO439" s="651"/>
      <c r="AP439" s="597"/>
      <c r="AQ439" s="1448"/>
      <c r="AR439" s="1448"/>
      <c r="AS439" s="1448"/>
      <c r="AT439" s="1448"/>
      <c r="AU439" s="1448"/>
      <c r="AV439" s="1448"/>
      <c r="AW439" s="1448"/>
      <c r="AX439" s="1448"/>
      <c r="AY439" s="1448"/>
      <c r="AZ439" s="1448"/>
      <c r="BA439" s="1448"/>
      <c r="BB439" s="597"/>
      <c r="BC439" s="597"/>
      <c r="BD439" s="597"/>
      <c r="BE439" s="597"/>
      <c r="BF439" s="597"/>
      <c r="BG439" s="597"/>
      <c r="BH439" s="597"/>
      <c r="BI439" s="597"/>
      <c r="BJ439" s="597"/>
      <c r="BK439" s="597"/>
      <c r="BL439" s="597"/>
      <c r="BM439" s="597"/>
      <c r="BN439" s="597"/>
      <c r="BO439" s="597"/>
      <c r="BP439" s="597"/>
      <c r="BQ439" s="597"/>
      <c r="BR439" s="597"/>
      <c r="BS439" s="597"/>
      <c r="BT439" s="597"/>
    </row>
    <row r="440" ht="12.75" customHeight="1">
      <c r="A440" s="1360"/>
      <c r="B440" s="597"/>
      <c r="C440" s="597"/>
      <c r="D440" s="597"/>
      <c r="E440" s="1069"/>
      <c r="F440" s="1068"/>
      <c r="G440" s="597"/>
      <c r="H440" s="597"/>
      <c r="I440" s="597"/>
      <c r="J440" s="597"/>
      <c r="K440" s="1068"/>
      <c r="L440" s="1071"/>
      <c r="M440" s="1071"/>
      <c r="N440" s="1072"/>
      <c r="O440" s="597"/>
      <c r="P440" s="1068"/>
      <c r="Q440" s="597"/>
      <c r="R440" s="603"/>
      <c r="S440" s="354"/>
      <c r="T440" s="584"/>
      <c r="U440" s="595"/>
      <c r="V440" s="595"/>
      <c r="W440" s="595"/>
      <c r="X440" s="443"/>
      <c r="Y440" s="595"/>
      <c r="Z440" s="595"/>
      <c r="AA440" s="595"/>
      <c r="AB440" s="354"/>
      <c r="AC440" s="651"/>
      <c r="AD440" s="1448"/>
      <c r="AE440" s="1448"/>
      <c r="AF440" s="1448"/>
      <c r="AG440" s="1449"/>
      <c r="AH440" s="1448"/>
      <c r="AI440" s="1448"/>
      <c r="AJ440" s="1448"/>
      <c r="AK440" s="1448"/>
      <c r="AL440" s="1448"/>
      <c r="AM440" s="1448"/>
      <c r="AN440" s="595"/>
      <c r="AO440" s="651"/>
      <c r="AP440" s="597"/>
      <c r="AQ440" s="1448"/>
      <c r="AR440" s="1448"/>
      <c r="AS440" s="1448"/>
      <c r="AT440" s="1448"/>
      <c r="AU440" s="1448"/>
      <c r="AV440" s="1448"/>
      <c r="AW440" s="1448"/>
      <c r="AX440" s="1448"/>
      <c r="AY440" s="1448"/>
      <c r="AZ440" s="1448"/>
      <c r="BA440" s="1448"/>
      <c r="BB440" s="597"/>
      <c r="BC440" s="597"/>
      <c r="BD440" s="597"/>
      <c r="BE440" s="597"/>
      <c r="BF440" s="597"/>
      <c r="BG440" s="597"/>
      <c r="BH440" s="597"/>
      <c r="BI440" s="597"/>
      <c r="BJ440" s="597"/>
      <c r="BK440" s="597"/>
      <c r="BL440" s="597"/>
      <c r="BM440" s="597"/>
      <c r="BN440" s="597"/>
      <c r="BO440" s="597"/>
      <c r="BP440" s="597"/>
      <c r="BQ440" s="597"/>
      <c r="BR440" s="597"/>
      <c r="BS440" s="597"/>
      <c r="BT440" s="597"/>
    </row>
    <row r="441" ht="12.75" customHeight="1">
      <c r="A441" s="1360"/>
      <c r="B441" s="597"/>
      <c r="C441" s="597"/>
      <c r="D441" s="597"/>
      <c r="E441" s="1069"/>
      <c r="F441" s="1068"/>
      <c r="G441" s="597"/>
      <c r="H441" s="597"/>
      <c r="I441" s="597"/>
      <c r="J441" s="597"/>
      <c r="K441" s="1068"/>
      <c r="L441" s="1071"/>
      <c r="M441" s="1071"/>
      <c r="N441" s="1072"/>
      <c r="O441" s="597"/>
      <c r="P441" s="1068"/>
      <c r="Q441" s="597"/>
      <c r="R441" s="603"/>
      <c r="S441" s="354"/>
      <c r="T441" s="584"/>
      <c r="U441" s="595"/>
      <c r="V441" s="595"/>
      <c r="W441" s="595"/>
      <c r="X441" s="443"/>
      <c r="Y441" s="595"/>
      <c r="Z441" s="595"/>
      <c r="AA441" s="595"/>
      <c r="AB441" s="354"/>
      <c r="AC441" s="651"/>
      <c r="AD441" s="1448"/>
      <c r="AE441" s="1448"/>
      <c r="AF441" s="1448"/>
      <c r="AG441" s="1449"/>
      <c r="AH441" s="1448"/>
      <c r="AI441" s="1448"/>
      <c r="AJ441" s="1448"/>
      <c r="AK441" s="1448"/>
      <c r="AL441" s="1448"/>
      <c r="AM441" s="1448"/>
      <c r="AN441" s="595"/>
      <c r="AO441" s="651"/>
      <c r="AP441" s="597"/>
      <c r="AQ441" s="1448"/>
      <c r="AR441" s="1448"/>
      <c r="AS441" s="1448"/>
      <c r="AT441" s="1448"/>
      <c r="AU441" s="1448"/>
      <c r="AV441" s="1448"/>
      <c r="AW441" s="1448"/>
      <c r="AX441" s="1448"/>
      <c r="AY441" s="1448"/>
      <c r="AZ441" s="1448"/>
      <c r="BA441" s="1448"/>
      <c r="BB441" s="597"/>
      <c r="BC441" s="597"/>
      <c r="BD441" s="597"/>
      <c r="BE441" s="597"/>
      <c r="BF441" s="597"/>
      <c r="BG441" s="597"/>
      <c r="BH441" s="597"/>
      <c r="BI441" s="597"/>
      <c r="BJ441" s="597"/>
      <c r="BK441" s="597"/>
      <c r="BL441" s="597"/>
      <c r="BM441" s="597"/>
      <c r="BN441" s="597"/>
      <c r="BO441" s="597"/>
      <c r="BP441" s="597"/>
      <c r="BQ441" s="597"/>
      <c r="BR441" s="597"/>
      <c r="BS441" s="597"/>
      <c r="BT441" s="597"/>
    </row>
    <row r="442" ht="12.75" customHeight="1">
      <c r="A442" s="1360"/>
      <c r="B442" s="597"/>
      <c r="C442" s="597"/>
      <c r="D442" s="597"/>
      <c r="E442" s="1069"/>
      <c r="F442" s="1068"/>
      <c r="G442" s="597"/>
      <c r="H442" s="597"/>
      <c r="I442" s="597"/>
      <c r="J442" s="597"/>
      <c r="K442" s="1068"/>
      <c r="L442" s="1071"/>
      <c r="M442" s="1071"/>
      <c r="N442" s="1072"/>
      <c r="O442" s="597"/>
      <c r="P442" s="1068"/>
      <c r="Q442" s="597"/>
      <c r="R442" s="603"/>
      <c r="S442" s="354"/>
      <c r="T442" s="584"/>
      <c r="U442" s="595"/>
      <c r="V442" s="595"/>
      <c r="W442" s="595"/>
      <c r="X442" s="443"/>
      <c r="Y442" s="595"/>
      <c r="Z442" s="595"/>
      <c r="AA442" s="595"/>
      <c r="AB442" s="354"/>
      <c r="AC442" s="651"/>
      <c r="AD442" s="1448"/>
      <c r="AE442" s="1448"/>
      <c r="AF442" s="1448"/>
      <c r="AG442" s="1449"/>
      <c r="AH442" s="1448"/>
      <c r="AI442" s="1448"/>
      <c r="AJ442" s="1448"/>
      <c r="AK442" s="1448"/>
      <c r="AL442" s="1448"/>
      <c r="AM442" s="1448"/>
      <c r="AN442" s="595"/>
      <c r="AO442" s="651"/>
      <c r="AP442" s="597"/>
      <c r="AQ442" s="1448"/>
      <c r="AR442" s="1448"/>
      <c r="AS442" s="1448"/>
      <c r="AT442" s="1448"/>
      <c r="AU442" s="1448"/>
      <c r="AV442" s="1448"/>
      <c r="AW442" s="1448"/>
      <c r="AX442" s="1448"/>
      <c r="AY442" s="1448"/>
      <c r="AZ442" s="1448"/>
      <c r="BA442" s="1448"/>
      <c r="BB442" s="597"/>
      <c r="BC442" s="597"/>
      <c r="BD442" s="597"/>
      <c r="BE442" s="597"/>
      <c r="BF442" s="597"/>
      <c r="BG442" s="597"/>
      <c r="BH442" s="597"/>
      <c r="BI442" s="597"/>
      <c r="BJ442" s="597"/>
      <c r="BK442" s="597"/>
      <c r="BL442" s="597"/>
      <c r="BM442" s="597"/>
      <c r="BN442" s="597"/>
      <c r="BO442" s="597"/>
      <c r="BP442" s="597"/>
      <c r="BQ442" s="597"/>
      <c r="BR442" s="597"/>
      <c r="BS442" s="597"/>
      <c r="BT442" s="597"/>
    </row>
    <row r="443" ht="12.75" customHeight="1">
      <c r="A443" s="1360"/>
      <c r="B443" s="597"/>
      <c r="C443" s="597"/>
      <c r="D443" s="597"/>
      <c r="E443" s="1069"/>
      <c r="F443" s="1068"/>
      <c r="G443" s="597"/>
      <c r="H443" s="597"/>
      <c r="I443" s="597"/>
      <c r="J443" s="597"/>
      <c r="K443" s="1068"/>
      <c r="L443" s="1071"/>
      <c r="M443" s="1071"/>
      <c r="N443" s="1072"/>
      <c r="O443" s="597"/>
      <c r="P443" s="1068"/>
      <c r="Q443" s="597"/>
      <c r="R443" s="603"/>
      <c r="S443" s="354"/>
      <c r="T443" s="584"/>
      <c r="U443" s="595"/>
      <c r="V443" s="595"/>
      <c r="W443" s="595"/>
      <c r="X443" s="443"/>
      <c r="Y443" s="595"/>
      <c r="Z443" s="595"/>
      <c r="AA443" s="595"/>
      <c r="AB443" s="354"/>
      <c r="AC443" s="651"/>
      <c r="AD443" s="1448"/>
      <c r="AE443" s="1448"/>
      <c r="AF443" s="1448"/>
      <c r="AG443" s="1449"/>
      <c r="AH443" s="1448"/>
      <c r="AI443" s="1448"/>
      <c r="AJ443" s="1448"/>
      <c r="AK443" s="1448"/>
      <c r="AL443" s="1448"/>
      <c r="AM443" s="595"/>
      <c r="AN443" s="651"/>
      <c r="AO443" s="651"/>
      <c r="AP443" s="597"/>
      <c r="AQ443" s="1448"/>
      <c r="AR443" s="1448"/>
      <c r="AS443" s="1448"/>
      <c r="AT443" s="1448"/>
      <c r="AU443" s="1448"/>
      <c r="AV443" s="1448"/>
      <c r="AW443" s="1448"/>
      <c r="AX443" s="1448"/>
      <c r="AY443" s="1448"/>
      <c r="AZ443" s="1448"/>
      <c r="BA443" s="1448"/>
      <c r="BB443" s="597"/>
      <c r="BC443" s="597"/>
      <c r="BD443" s="597"/>
      <c r="BE443" s="597"/>
      <c r="BF443" s="597"/>
      <c r="BG443" s="597"/>
      <c r="BH443" s="597"/>
      <c r="BI443" s="597"/>
      <c r="BJ443" s="597"/>
      <c r="BK443" s="597"/>
      <c r="BL443" s="597"/>
      <c r="BM443" s="597"/>
      <c r="BN443" s="597"/>
      <c r="BO443" s="597"/>
      <c r="BP443" s="597"/>
      <c r="BQ443" s="597"/>
      <c r="BR443" s="597"/>
      <c r="BS443" s="597"/>
      <c r="BT443" s="597"/>
    </row>
    <row r="444" ht="12.75" customHeight="1">
      <c r="A444" s="1360"/>
      <c r="B444" s="597"/>
      <c r="C444" s="597"/>
      <c r="D444" s="597"/>
      <c r="E444" s="1069"/>
      <c r="F444" s="1068"/>
      <c r="G444" s="597"/>
      <c r="H444" s="597"/>
      <c r="I444" s="597"/>
      <c r="J444" s="597"/>
      <c r="K444" s="1068"/>
      <c r="L444" s="1071"/>
      <c r="M444" s="1071"/>
      <c r="N444" s="1072"/>
      <c r="O444" s="597"/>
      <c r="P444" s="1068"/>
      <c r="Q444" s="597"/>
      <c r="R444" s="603"/>
      <c r="S444" s="354"/>
      <c r="T444" s="584"/>
      <c r="U444" s="595"/>
      <c r="V444" s="595"/>
      <c r="W444" s="595"/>
      <c r="X444" s="443"/>
      <c r="Y444" s="595"/>
      <c r="Z444" s="595"/>
      <c r="AA444" s="595"/>
      <c r="AB444" s="354"/>
      <c r="AC444" s="651"/>
      <c r="AD444" s="1448"/>
      <c r="AE444" s="1448"/>
      <c r="AF444" s="1448"/>
      <c r="AG444" s="1449"/>
      <c r="AH444" s="1448"/>
      <c r="AI444" s="1448"/>
      <c r="AJ444" s="1448"/>
      <c r="AK444" s="1448"/>
      <c r="AL444" s="1448"/>
      <c r="AM444" s="595"/>
      <c r="AN444" s="651"/>
      <c r="AO444" s="651"/>
      <c r="AP444" s="597"/>
      <c r="AQ444" s="1448"/>
      <c r="AR444" s="1448"/>
      <c r="AS444" s="1448"/>
      <c r="AT444" s="1448"/>
      <c r="AU444" s="1448"/>
      <c r="AV444" s="1448"/>
      <c r="AW444" s="1448"/>
      <c r="AX444" s="1448"/>
      <c r="AY444" s="1448"/>
      <c r="AZ444" s="1448"/>
      <c r="BA444" s="1448"/>
      <c r="BB444" s="597"/>
      <c r="BC444" s="597"/>
      <c r="BD444" s="597"/>
      <c r="BE444" s="597"/>
      <c r="BF444" s="597"/>
      <c r="BG444" s="597"/>
      <c r="BH444" s="597"/>
      <c r="BI444" s="597"/>
      <c r="BJ444" s="597"/>
      <c r="BK444" s="597"/>
      <c r="BL444" s="597"/>
      <c r="BM444" s="597"/>
      <c r="BN444" s="597"/>
      <c r="BO444" s="597"/>
      <c r="BP444" s="597"/>
      <c r="BQ444" s="597"/>
      <c r="BR444" s="597"/>
      <c r="BS444" s="597"/>
      <c r="BT444" s="597"/>
    </row>
    <row r="445" ht="12.75" customHeight="1">
      <c r="A445" s="1360"/>
      <c r="B445" s="597"/>
      <c r="C445" s="597"/>
      <c r="D445" s="597"/>
      <c r="E445" s="1069"/>
      <c r="F445" s="1068"/>
      <c r="G445" s="597"/>
      <c r="H445" s="597"/>
      <c r="I445" s="597"/>
      <c r="J445" s="597"/>
      <c r="K445" s="1068"/>
      <c r="L445" s="1071"/>
      <c r="M445" s="1071"/>
      <c r="N445" s="1072"/>
      <c r="O445" s="597"/>
      <c r="P445" s="1068"/>
      <c r="Q445" s="597"/>
      <c r="R445" s="603"/>
      <c r="S445" s="354"/>
      <c r="T445" s="584"/>
      <c r="U445" s="595"/>
      <c r="V445" s="595"/>
      <c r="W445" s="595"/>
      <c r="X445" s="443"/>
      <c r="Y445" s="595"/>
      <c r="Z445" s="595"/>
      <c r="AA445" s="595"/>
      <c r="AB445" s="354"/>
      <c r="AC445" s="651"/>
      <c r="AD445" s="1448"/>
      <c r="AE445" s="1448"/>
      <c r="AF445" s="1448"/>
      <c r="AG445" s="1449"/>
      <c r="AH445" s="1448"/>
      <c r="AI445" s="1448"/>
      <c r="AJ445" s="1448"/>
      <c r="AK445" s="1448"/>
      <c r="AL445" s="1448"/>
      <c r="AM445" s="595"/>
      <c r="AN445" s="651"/>
      <c r="AO445" s="597"/>
      <c r="AP445" s="597"/>
      <c r="AQ445" s="1448"/>
      <c r="AR445" s="1448"/>
      <c r="AS445" s="1448"/>
      <c r="AT445" s="1448"/>
      <c r="AU445" s="1448"/>
      <c r="AV445" s="1448"/>
      <c r="AW445" s="1448"/>
      <c r="AX445" s="1448"/>
      <c r="AY445" s="1448"/>
      <c r="AZ445" s="1448"/>
      <c r="BA445" s="1448"/>
      <c r="BB445" s="597"/>
      <c r="BC445" s="597"/>
      <c r="BD445" s="597"/>
      <c r="BE445" s="597"/>
      <c r="BF445" s="597"/>
      <c r="BG445" s="597"/>
      <c r="BH445" s="597"/>
      <c r="BI445" s="597"/>
      <c r="BJ445" s="597"/>
      <c r="BK445" s="597"/>
      <c r="BL445" s="597"/>
      <c r="BM445" s="597"/>
      <c r="BN445" s="597"/>
      <c r="BO445" s="597"/>
      <c r="BP445" s="597"/>
      <c r="BQ445" s="597"/>
      <c r="BR445" s="597"/>
      <c r="BS445" s="597"/>
      <c r="BT445" s="597"/>
    </row>
    <row r="446" ht="12.75" customHeight="1">
      <c r="A446" s="1360"/>
      <c r="B446" s="597"/>
      <c r="C446" s="597"/>
      <c r="D446" s="597"/>
      <c r="E446" s="1069"/>
      <c r="F446" s="1068"/>
      <c r="G446" s="597"/>
      <c r="H446" s="597"/>
      <c r="I446" s="597"/>
      <c r="J446" s="597"/>
      <c r="K446" s="1068"/>
      <c r="L446" s="1071"/>
      <c r="M446" s="1071"/>
      <c r="N446" s="1072"/>
      <c r="O446" s="597"/>
      <c r="P446" s="1068"/>
      <c r="Q446" s="597"/>
      <c r="R446" s="603"/>
      <c r="S446" s="354"/>
      <c r="T446" s="584"/>
      <c r="U446" s="595"/>
      <c r="V446" s="595"/>
      <c r="W446" s="595"/>
      <c r="X446" s="443"/>
      <c r="Y446" s="595"/>
      <c r="Z446" s="595"/>
      <c r="AA446" s="595"/>
      <c r="AB446" s="354"/>
      <c r="AC446" s="1448"/>
      <c r="AD446" s="1448"/>
      <c r="AE446" s="1448"/>
      <c r="AF446" s="1448"/>
      <c r="AG446" s="1449"/>
      <c r="AH446" s="1448"/>
      <c r="AI446" s="1448"/>
      <c r="AJ446" s="1448"/>
      <c r="AK446" s="1448"/>
      <c r="AL446" s="1448"/>
      <c r="AM446" s="595"/>
      <c r="AN446" s="651"/>
      <c r="AO446" s="597"/>
      <c r="AP446" s="597"/>
      <c r="AQ446" s="1448"/>
      <c r="AR446" s="1448"/>
      <c r="AS446" s="1448"/>
      <c r="AT446" s="1448"/>
      <c r="AU446" s="1448"/>
      <c r="AV446" s="1448"/>
      <c r="AW446" s="1448"/>
      <c r="AX446" s="1448"/>
      <c r="AY446" s="1448"/>
      <c r="AZ446" s="1448"/>
      <c r="BA446" s="1448"/>
      <c r="BB446" s="597"/>
      <c r="BC446" s="597"/>
      <c r="BD446" s="597"/>
      <c r="BE446" s="597"/>
      <c r="BF446" s="597"/>
      <c r="BG446" s="597"/>
      <c r="BH446" s="597"/>
      <c r="BI446" s="597"/>
      <c r="BJ446" s="597"/>
      <c r="BK446" s="597"/>
      <c r="BL446" s="597"/>
      <c r="BM446" s="597"/>
      <c r="BN446" s="597"/>
      <c r="BO446" s="597"/>
      <c r="BP446" s="597"/>
      <c r="BQ446" s="597"/>
      <c r="BR446" s="597"/>
      <c r="BS446" s="597"/>
      <c r="BT446" s="597"/>
    </row>
    <row r="447" ht="12.75" customHeight="1">
      <c r="A447" s="1360"/>
      <c r="B447" s="597"/>
      <c r="C447" s="597"/>
      <c r="D447" s="597"/>
      <c r="E447" s="1069"/>
      <c r="F447" s="1068"/>
      <c r="G447" s="597"/>
      <c r="H447" s="597"/>
      <c r="I447" s="597"/>
      <c r="J447" s="597"/>
      <c r="K447" s="1068"/>
      <c r="L447" s="1071"/>
      <c r="M447" s="1071"/>
      <c r="N447" s="1072"/>
      <c r="O447" s="597"/>
      <c r="P447" s="1068"/>
      <c r="Q447" s="597"/>
      <c r="R447" s="603"/>
      <c r="S447" s="354"/>
      <c r="T447" s="584"/>
      <c r="U447" s="595"/>
      <c r="V447" s="595"/>
      <c r="W447" s="595"/>
      <c r="X447" s="443"/>
      <c r="Y447" s="595"/>
      <c r="Z447" s="595"/>
      <c r="AA447" s="595"/>
      <c r="AB447" s="1073"/>
      <c r="AC447" s="1448"/>
      <c r="AD447" s="1448"/>
      <c r="AE447" s="1448"/>
      <c r="AF447" s="1448"/>
      <c r="AG447" s="1449"/>
      <c r="AH447" s="1448"/>
      <c r="AI447" s="1448"/>
      <c r="AJ447" s="1448"/>
      <c r="AK447" s="1448"/>
      <c r="AL447" s="1448"/>
      <c r="AM447" s="595"/>
      <c r="AN447" s="651"/>
      <c r="AO447" s="597"/>
      <c r="AP447" s="597"/>
      <c r="AQ447" s="1448"/>
      <c r="AR447" s="1448"/>
      <c r="AS447" s="1448"/>
      <c r="AT447" s="1448"/>
      <c r="AU447" s="1448"/>
      <c r="AV447" s="1448"/>
      <c r="AW447" s="1448"/>
      <c r="AX447" s="1448"/>
      <c r="AY447" s="1448"/>
      <c r="AZ447" s="1448"/>
      <c r="BA447" s="1448"/>
      <c r="BB447" s="597"/>
      <c r="BC447" s="597"/>
      <c r="BD447" s="597"/>
      <c r="BE447" s="597"/>
      <c r="BF447" s="597"/>
      <c r="BG447" s="597"/>
      <c r="BH447" s="597"/>
      <c r="BI447" s="597"/>
      <c r="BJ447" s="597"/>
      <c r="BK447" s="597"/>
      <c r="BL447" s="597"/>
      <c r="BM447" s="597"/>
      <c r="BN447" s="597"/>
      <c r="BO447" s="597"/>
      <c r="BP447" s="597"/>
      <c r="BQ447" s="597"/>
      <c r="BR447" s="597"/>
      <c r="BS447" s="597"/>
      <c r="BT447" s="597"/>
    </row>
    <row r="448" ht="12.75" customHeight="1">
      <c r="A448" s="1360"/>
      <c r="B448" s="597"/>
      <c r="C448" s="597"/>
      <c r="D448" s="597"/>
      <c r="E448" s="1069"/>
      <c r="F448" s="1068"/>
      <c r="G448" s="597"/>
      <c r="H448" s="597"/>
      <c r="I448" s="597"/>
      <c r="J448" s="597"/>
      <c r="K448" s="1068"/>
      <c r="L448" s="1071"/>
      <c r="M448" s="1071"/>
      <c r="N448" s="1072"/>
      <c r="O448" s="597"/>
      <c r="P448" s="1068"/>
      <c r="Q448" s="597"/>
      <c r="R448" s="603"/>
      <c r="S448" s="354"/>
      <c r="T448" s="584"/>
      <c r="U448" s="595"/>
      <c r="V448" s="595"/>
      <c r="W448" s="595"/>
      <c r="X448" s="443"/>
      <c r="Y448" s="595"/>
      <c r="Z448" s="595"/>
      <c r="AA448" s="595"/>
      <c r="AB448" s="1073"/>
      <c r="AC448" s="1448"/>
      <c r="AD448" s="1448"/>
      <c r="AE448" s="1448"/>
      <c r="AF448" s="1448"/>
      <c r="AG448" s="1449"/>
      <c r="AH448" s="1448"/>
      <c r="AI448" s="1448"/>
      <c r="AJ448" s="1448"/>
      <c r="AK448" s="1448"/>
      <c r="AL448" s="1448"/>
      <c r="AM448" s="651"/>
      <c r="AN448" s="651"/>
      <c r="AO448" s="597"/>
      <c r="AP448" s="597"/>
      <c r="AQ448" s="1448"/>
      <c r="AR448" s="1448"/>
      <c r="AS448" s="1448"/>
      <c r="AT448" s="1448"/>
      <c r="AU448" s="1448"/>
      <c r="AV448" s="1448"/>
      <c r="AW448" s="1448"/>
      <c r="AX448" s="1448"/>
      <c r="AY448" s="1448"/>
      <c r="AZ448" s="1448"/>
      <c r="BA448" s="1448"/>
      <c r="BB448" s="597"/>
      <c r="BC448" s="597"/>
      <c r="BD448" s="597"/>
      <c r="BE448" s="597"/>
      <c r="BF448" s="597"/>
      <c r="BG448" s="597"/>
      <c r="BH448" s="597"/>
      <c r="BI448" s="597"/>
      <c r="BJ448" s="597"/>
      <c r="BK448" s="597"/>
      <c r="BL448" s="597"/>
      <c r="BM448" s="597"/>
      <c r="BN448" s="597"/>
      <c r="BO448" s="597"/>
      <c r="BP448" s="597"/>
      <c r="BQ448" s="597"/>
      <c r="BR448" s="597"/>
      <c r="BS448" s="597"/>
      <c r="BT448" s="597"/>
    </row>
    <row r="449" ht="12.75" customHeight="1">
      <c r="A449" s="1360"/>
      <c r="B449" s="597"/>
      <c r="C449" s="597"/>
      <c r="D449" s="597"/>
      <c r="E449" s="1069"/>
      <c r="F449" s="1068"/>
      <c r="G449" s="597"/>
      <c r="H449" s="597"/>
      <c r="I449" s="597"/>
      <c r="J449" s="597"/>
      <c r="K449" s="1068"/>
      <c r="L449" s="1071"/>
      <c r="M449" s="1071"/>
      <c r="N449" s="1072"/>
      <c r="O449" s="597"/>
      <c r="P449" s="1068"/>
      <c r="Q449" s="597"/>
      <c r="R449" s="603"/>
      <c r="S449" s="354"/>
      <c r="T449" s="584"/>
      <c r="U449" s="595"/>
      <c r="V449" s="595"/>
      <c r="W449" s="595"/>
      <c r="X449" s="443"/>
      <c r="Y449" s="595"/>
      <c r="Z449" s="595"/>
      <c r="AA449" s="595"/>
      <c r="AB449" s="1073"/>
      <c r="AC449" s="1448"/>
      <c r="AD449" s="1448"/>
      <c r="AE449" s="1448"/>
      <c r="AF449" s="1448"/>
      <c r="AG449" s="1449"/>
      <c r="AH449" s="1448"/>
      <c r="AI449" s="1448"/>
      <c r="AJ449" s="1448"/>
      <c r="AK449" s="1448"/>
      <c r="AL449" s="1448"/>
      <c r="AM449" s="651"/>
      <c r="AN449" s="651"/>
      <c r="AO449" s="597"/>
      <c r="AP449" s="597"/>
      <c r="AQ449" s="1448"/>
      <c r="AR449" s="1448"/>
      <c r="AS449" s="1448"/>
      <c r="AT449" s="1448"/>
      <c r="AU449" s="1448"/>
      <c r="AV449" s="1448"/>
      <c r="AW449" s="1448"/>
      <c r="AX449" s="1448"/>
      <c r="AY449" s="1448"/>
      <c r="AZ449" s="1448"/>
      <c r="BA449" s="1448"/>
      <c r="BB449" s="597"/>
      <c r="BC449" s="597"/>
      <c r="BD449" s="597"/>
      <c r="BE449" s="597"/>
      <c r="BF449" s="597"/>
      <c r="BG449" s="597"/>
      <c r="BH449" s="597"/>
      <c r="BI449" s="597"/>
      <c r="BJ449" s="597"/>
      <c r="BK449" s="597"/>
      <c r="BL449" s="597"/>
      <c r="BM449" s="597"/>
      <c r="BN449" s="597"/>
      <c r="BO449" s="597"/>
      <c r="BP449" s="597"/>
      <c r="BQ449" s="597"/>
      <c r="BR449" s="597"/>
      <c r="BS449" s="597"/>
      <c r="BT449" s="597"/>
    </row>
    <row r="450" ht="12.75" customHeight="1">
      <c r="A450" s="1360"/>
      <c r="B450" s="597"/>
      <c r="C450" s="597"/>
      <c r="D450" s="597"/>
      <c r="E450" s="1069"/>
      <c r="F450" s="1068"/>
      <c r="G450" s="597"/>
      <c r="H450" s="597"/>
      <c r="I450" s="597"/>
      <c r="J450" s="597"/>
      <c r="K450" s="1068"/>
      <c r="L450" s="1071"/>
      <c r="M450" s="1071"/>
      <c r="N450" s="1072"/>
      <c r="O450" s="597"/>
      <c r="P450" s="1068"/>
      <c r="Q450" s="597"/>
      <c r="R450" s="603"/>
      <c r="S450" s="354"/>
      <c r="T450" s="584"/>
      <c r="U450" s="595"/>
      <c r="V450" s="595"/>
      <c r="W450" s="595"/>
      <c r="X450" s="443"/>
      <c r="Y450" s="595"/>
      <c r="Z450" s="595"/>
      <c r="AA450" s="595"/>
      <c r="AB450" s="1073"/>
      <c r="AC450" s="1448"/>
      <c r="AD450" s="1448"/>
      <c r="AE450" s="1448"/>
      <c r="AF450" s="1448"/>
      <c r="AG450" s="1449"/>
      <c r="AH450" s="1448"/>
      <c r="AI450" s="1448"/>
      <c r="AJ450" s="1448"/>
      <c r="AK450" s="1448"/>
      <c r="AL450" s="1448"/>
      <c r="AM450" s="651"/>
      <c r="AN450" s="651"/>
      <c r="AO450" s="597"/>
      <c r="AP450" s="597"/>
      <c r="AQ450" s="1448"/>
      <c r="AR450" s="1448"/>
      <c r="AS450" s="1448"/>
      <c r="AT450" s="1448"/>
      <c r="AU450" s="1448"/>
      <c r="AV450" s="1448"/>
      <c r="AW450" s="1448"/>
      <c r="AX450" s="1448"/>
      <c r="AY450" s="1448"/>
      <c r="AZ450" s="1448"/>
      <c r="BA450" s="1448"/>
      <c r="BB450" s="597"/>
      <c r="BC450" s="597"/>
      <c r="BD450" s="597"/>
      <c r="BE450" s="597"/>
      <c r="BF450" s="597"/>
      <c r="BG450" s="597"/>
      <c r="BH450" s="597"/>
      <c r="BI450" s="597"/>
      <c r="BJ450" s="597"/>
      <c r="BK450" s="597"/>
      <c r="BL450" s="597"/>
      <c r="BM450" s="597"/>
      <c r="BN450" s="597"/>
      <c r="BO450" s="597"/>
      <c r="BP450" s="597"/>
      <c r="BQ450" s="597"/>
      <c r="BR450" s="597"/>
      <c r="BS450" s="597"/>
      <c r="BT450" s="597"/>
    </row>
    <row r="451" ht="12.75" customHeight="1">
      <c r="A451" s="1360"/>
      <c r="B451" s="597"/>
      <c r="C451" s="597"/>
      <c r="D451" s="597"/>
      <c r="E451" s="1069"/>
      <c r="F451" s="1068"/>
      <c r="G451" s="597"/>
      <c r="H451" s="597"/>
      <c r="I451" s="597"/>
      <c r="J451" s="597"/>
      <c r="K451" s="1068"/>
      <c r="L451" s="1071"/>
      <c r="M451" s="1071"/>
      <c r="N451" s="1072"/>
      <c r="O451" s="597"/>
      <c r="P451" s="1068"/>
      <c r="Q451" s="597"/>
      <c r="R451" s="603"/>
      <c r="S451" s="354"/>
      <c r="T451" s="584"/>
      <c r="U451" s="595"/>
      <c r="V451" s="595"/>
      <c r="W451" s="595"/>
      <c r="X451" s="443"/>
      <c r="Y451" s="595"/>
      <c r="Z451" s="595"/>
      <c r="AA451" s="595"/>
      <c r="AB451" s="1073"/>
      <c r="AC451" s="1448"/>
      <c r="AD451" s="1448"/>
      <c r="AE451" s="1448"/>
      <c r="AF451" s="1448"/>
      <c r="AG451" s="1449"/>
      <c r="AH451" s="1448"/>
      <c r="AI451" s="1448"/>
      <c r="AJ451" s="1448"/>
      <c r="AK451" s="1448"/>
      <c r="AL451" s="1448"/>
      <c r="AM451" s="651"/>
      <c r="AN451" s="651"/>
      <c r="AO451" s="597"/>
      <c r="AP451" s="597"/>
      <c r="AQ451" s="1448"/>
      <c r="AR451" s="1448"/>
      <c r="AS451" s="1448"/>
      <c r="AT451" s="1448"/>
      <c r="AU451" s="1448"/>
      <c r="AV451" s="1448"/>
      <c r="AW451" s="1448"/>
      <c r="AX451" s="1448"/>
      <c r="AY451" s="1448"/>
      <c r="AZ451" s="1448"/>
      <c r="BA451" s="1448"/>
      <c r="BB451" s="597"/>
      <c r="BC451" s="597"/>
      <c r="BD451" s="597"/>
      <c r="BE451" s="597"/>
      <c r="BF451" s="597"/>
      <c r="BG451" s="597"/>
      <c r="BH451" s="597"/>
      <c r="BI451" s="597"/>
      <c r="BJ451" s="597"/>
      <c r="BK451" s="597"/>
      <c r="BL451" s="597"/>
      <c r="BM451" s="597"/>
      <c r="BN451" s="597"/>
      <c r="BO451" s="597"/>
      <c r="BP451" s="597"/>
      <c r="BQ451" s="597"/>
      <c r="BR451" s="597"/>
      <c r="BS451" s="597"/>
      <c r="BT451" s="597"/>
    </row>
    <row r="452" ht="12.75" customHeight="1">
      <c r="A452" s="1360"/>
      <c r="B452" s="597"/>
      <c r="C452" s="597"/>
      <c r="D452" s="597"/>
      <c r="E452" s="1069"/>
      <c r="F452" s="1068"/>
      <c r="G452" s="597"/>
      <c r="H452" s="597"/>
      <c r="I452" s="597"/>
      <c r="J452" s="597"/>
      <c r="K452" s="1068"/>
      <c r="L452" s="1071"/>
      <c r="M452" s="1071"/>
      <c r="N452" s="1072"/>
      <c r="O452" s="597"/>
      <c r="P452" s="1068"/>
      <c r="Q452" s="597"/>
      <c r="R452" s="603"/>
      <c r="S452" s="354"/>
      <c r="T452" s="584"/>
      <c r="U452" s="595"/>
      <c r="V452" s="595"/>
      <c r="W452" s="595"/>
      <c r="X452" s="443"/>
      <c r="Y452" s="595"/>
      <c r="Z452" s="595"/>
      <c r="AA452" s="595"/>
      <c r="AB452" s="1073"/>
      <c r="AC452" s="1448"/>
      <c r="AD452" s="1448"/>
      <c r="AE452" s="1448"/>
      <c r="AF452" s="1448"/>
      <c r="AG452" s="1449"/>
      <c r="AH452" s="1448"/>
      <c r="AI452" s="1448"/>
      <c r="AJ452" s="1448"/>
      <c r="AK452" s="1448"/>
      <c r="AL452" s="1448"/>
      <c r="AM452" s="651"/>
      <c r="AN452" s="651"/>
      <c r="AO452" s="597"/>
      <c r="AP452" s="597"/>
      <c r="AQ452" s="1448"/>
      <c r="AR452" s="1448"/>
      <c r="AS452" s="1448"/>
      <c r="AT452" s="1448"/>
      <c r="AU452" s="1448"/>
      <c r="AV452" s="1448"/>
      <c r="AW452" s="1448"/>
      <c r="AX452" s="1448"/>
      <c r="AY452" s="1448"/>
      <c r="AZ452" s="1448"/>
      <c r="BA452" s="1448"/>
      <c r="BB452" s="597"/>
      <c r="BC452" s="597"/>
      <c r="BD452" s="597"/>
      <c r="BE452" s="597"/>
      <c r="BF452" s="597"/>
      <c r="BG452" s="597"/>
      <c r="BH452" s="597"/>
      <c r="BI452" s="597"/>
      <c r="BJ452" s="597"/>
      <c r="BK452" s="597"/>
      <c r="BL452" s="597"/>
      <c r="BM452" s="597"/>
      <c r="BN452" s="597"/>
      <c r="BO452" s="597"/>
      <c r="BP452" s="597"/>
      <c r="BQ452" s="597"/>
      <c r="BR452" s="597"/>
      <c r="BS452" s="597"/>
      <c r="BT452" s="597"/>
    </row>
    <row r="453" ht="12.75" customHeight="1">
      <c r="A453" s="1360"/>
      <c r="B453" s="597"/>
      <c r="C453" s="597"/>
      <c r="D453" s="597"/>
      <c r="E453" s="1069"/>
      <c r="F453" s="1068"/>
      <c r="G453" s="597"/>
      <c r="H453" s="597"/>
      <c r="I453" s="597"/>
      <c r="J453" s="597"/>
      <c r="K453" s="1068"/>
      <c r="L453" s="1071"/>
      <c r="M453" s="1071"/>
      <c r="N453" s="1072"/>
      <c r="O453" s="597"/>
      <c r="P453" s="1068"/>
      <c r="Q453" s="597"/>
      <c r="R453" s="603"/>
      <c r="S453" s="354"/>
      <c r="T453" s="584"/>
      <c r="U453" s="595"/>
      <c r="V453" s="595"/>
      <c r="W453" s="595"/>
      <c r="X453" s="443"/>
      <c r="Y453" s="595"/>
      <c r="Z453" s="595"/>
      <c r="AA453" s="595"/>
      <c r="AB453" s="1073"/>
      <c r="AC453" s="1448"/>
      <c r="AD453" s="1448"/>
      <c r="AE453" s="1448"/>
      <c r="AF453" s="1448"/>
      <c r="AG453" s="1449"/>
      <c r="AH453" s="1448"/>
      <c r="AI453" s="1448"/>
      <c r="AJ453" s="1448"/>
      <c r="AK453" s="1448"/>
      <c r="AL453" s="1448"/>
      <c r="AM453" s="651"/>
      <c r="AN453" s="651"/>
      <c r="AO453" s="597"/>
      <c r="AP453" s="597"/>
      <c r="AQ453" s="1448"/>
      <c r="AR453" s="1448"/>
      <c r="AS453" s="1448"/>
      <c r="AT453" s="1448"/>
      <c r="AU453" s="1448"/>
      <c r="AV453" s="1448"/>
      <c r="AW453" s="1448"/>
      <c r="AX453" s="1448"/>
      <c r="AY453" s="1448"/>
      <c r="AZ453" s="1448"/>
      <c r="BA453" s="1448"/>
      <c r="BB453" s="597"/>
      <c r="BC453" s="597"/>
      <c r="BD453" s="597"/>
      <c r="BE453" s="597"/>
      <c r="BF453" s="597"/>
      <c r="BG453" s="597"/>
      <c r="BH453" s="597"/>
      <c r="BI453" s="597"/>
      <c r="BJ453" s="597"/>
      <c r="BK453" s="597"/>
      <c r="BL453" s="597"/>
      <c r="BM453" s="597"/>
      <c r="BN453" s="597"/>
      <c r="BO453" s="597"/>
      <c r="BP453" s="597"/>
      <c r="BQ453" s="597"/>
      <c r="BR453" s="597"/>
      <c r="BS453" s="597"/>
      <c r="BT453" s="597"/>
    </row>
    <row r="454" ht="12.75" customHeight="1">
      <c r="A454" s="1360"/>
      <c r="B454" s="597"/>
      <c r="C454" s="597"/>
      <c r="D454" s="597"/>
      <c r="E454" s="1069"/>
      <c r="F454" s="1068"/>
      <c r="G454" s="597"/>
      <c r="H454" s="597"/>
      <c r="I454" s="597"/>
      <c r="J454" s="597"/>
      <c r="K454" s="1068"/>
      <c r="L454" s="1071"/>
      <c r="M454" s="1071"/>
      <c r="N454" s="1072"/>
      <c r="O454" s="597"/>
      <c r="P454" s="1068"/>
      <c r="Q454" s="597"/>
      <c r="R454" s="603"/>
      <c r="S454" s="354"/>
      <c r="T454" s="584"/>
      <c r="U454" s="595"/>
      <c r="V454" s="595"/>
      <c r="W454" s="595"/>
      <c r="X454" s="443"/>
      <c r="Y454" s="595"/>
      <c r="Z454" s="595"/>
      <c r="AA454" s="595"/>
      <c r="AB454" s="1073"/>
      <c r="AC454" s="1448"/>
      <c r="AD454" s="1448"/>
      <c r="AE454" s="1448"/>
      <c r="AF454" s="1448"/>
      <c r="AG454" s="1449"/>
      <c r="AH454" s="1448"/>
      <c r="AI454" s="1448"/>
      <c r="AJ454" s="1448"/>
      <c r="AK454" s="1448"/>
      <c r="AL454" s="1448"/>
      <c r="AM454" s="651"/>
      <c r="AN454" s="651"/>
      <c r="AO454" s="597"/>
      <c r="AP454" s="597"/>
      <c r="AQ454" s="1448"/>
      <c r="AR454" s="1448"/>
      <c r="AS454" s="1448"/>
      <c r="AT454" s="1448"/>
      <c r="AU454" s="1448"/>
      <c r="AV454" s="1448"/>
      <c r="AW454" s="1448"/>
      <c r="AX454" s="1448"/>
      <c r="AY454" s="1448"/>
      <c r="AZ454" s="1448"/>
      <c r="BA454" s="1448"/>
      <c r="BB454" s="597"/>
      <c r="BC454" s="597"/>
      <c r="BD454" s="597"/>
      <c r="BE454" s="597"/>
      <c r="BF454" s="597"/>
      <c r="BG454" s="597"/>
      <c r="BH454" s="597"/>
      <c r="BI454" s="597"/>
      <c r="BJ454" s="597"/>
      <c r="BK454" s="597"/>
      <c r="BL454" s="597"/>
      <c r="BM454" s="597"/>
      <c r="BN454" s="597"/>
      <c r="BO454" s="597"/>
      <c r="BP454" s="597"/>
      <c r="BQ454" s="597"/>
      <c r="BR454" s="597"/>
      <c r="BS454" s="597"/>
      <c r="BT454" s="597"/>
    </row>
    <row r="455" ht="12.75" customHeight="1">
      <c r="A455" s="1360"/>
      <c r="B455" s="597"/>
      <c r="C455" s="597"/>
      <c r="D455" s="597"/>
      <c r="E455" s="1069"/>
      <c r="F455" s="1068"/>
      <c r="G455" s="597"/>
      <c r="H455" s="597"/>
      <c r="I455" s="597"/>
      <c r="J455" s="597"/>
      <c r="K455" s="1068"/>
      <c r="L455" s="1071"/>
      <c r="M455" s="1071"/>
      <c r="N455" s="1072"/>
      <c r="O455" s="597"/>
      <c r="P455" s="1068"/>
      <c r="Q455" s="597"/>
      <c r="R455" s="603"/>
      <c r="S455" s="354"/>
      <c r="T455" s="584"/>
      <c r="U455" s="595"/>
      <c r="V455" s="595"/>
      <c r="W455" s="595"/>
      <c r="X455" s="443"/>
      <c r="Y455" s="595"/>
      <c r="Z455" s="595"/>
      <c r="AA455" s="595"/>
      <c r="AB455" s="1073"/>
      <c r="AC455" s="1448"/>
      <c r="AD455" s="1448"/>
      <c r="AE455" s="1448"/>
      <c r="AF455" s="1448"/>
      <c r="AG455" s="1449"/>
      <c r="AH455" s="1448"/>
      <c r="AI455" s="1448"/>
      <c r="AJ455" s="1448"/>
      <c r="AK455" s="1448"/>
      <c r="AL455" s="1448"/>
      <c r="AM455" s="651"/>
      <c r="AN455" s="651"/>
      <c r="AO455" s="597"/>
      <c r="AP455" s="597"/>
      <c r="AQ455" s="1448"/>
      <c r="AR455" s="1448"/>
      <c r="AS455" s="1448"/>
      <c r="AT455" s="1448"/>
      <c r="AU455" s="1448"/>
      <c r="AV455" s="1448"/>
      <c r="AW455" s="1448"/>
      <c r="AX455" s="1448"/>
      <c r="AY455" s="1448"/>
      <c r="AZ455" s="1448"/>
      <c r="BA455" s="1448"/>
      <c r="BB455" s="597"/>
      <c r="BC455" s="597"/>
      <c r="BD455" s="597"/>
      <c r="BE455" s="597"/>
      <c r="BF455" s="597"/>
      <c r="BG455" s="597"/>
      <c r="BH455" s="597"/>
      <c r="BI455" s="597"/>
      <c r="BJ455" s="597"/>
      <c r="BK455" s="597"/>
      <c r="BL455" s="597"/>
      <c r="BM455" s="597"/>
      <c r="BN455" s="597"/>
      <c r="BO455" s="597"/>
      <c r="BP455" s="597"/>
      <c r="BQ455" s="597"/>
      <c r="BR455" s="597"/>
      <c r="BS455" s="597"/>
      <c r="BT455" s="597"/>
    </row>
    <row r="456" ht="12.75" customHeight="1">
      <c r="A456" s="1360"/>
      <c r="B456" s="597"/>
      <c r="C456" s="597"/>
      <c r="D456" s="597"/>
      <c r="E456" s="1069"/>
      <c r="F456" s="1068"/>
      <c r="G456" s="597"/>
      <c r="H456" s="597"/>
      <c r="I456" s="597"/>
      <c r="J456" s="597"/>
      <c r="K456" s="1068"/>
      <c r="L456" s="1071"/>
      <c r="M456" s="1071"/>
      <c r="N456" s="1072"/>
      <c r="O456" s="597"/>
      <c r="P456" s="1068"/>
      <c r="Q456" s="597"/>
      <c r="R456" s="603"/>
      <c r="S456" s="354"/>
      <c r="T456" s="584"/>
      <c r="U456" s="595"/>
      <c r="V456" s="595"/>
      <c r="W456" s="595"/>
      <c r="X456" s="443"/>
      <c r="Y456" s="595"/>
      <c r="Z456" s="595"/>
      <c r="AA456" s="595"/>
      <c r="AB456" s="1073"/>
      <c r="AC456" s="1448"/>
      <c r="AD456" s="1448"/>
      <c r="AE456" s="1448"/>
      <c r="AF456" s="1448"/>
      <c r="AG456" s="1449"/>
      <c r="AH456" s="1448"/>
      <c r="AI456" s="1448"/>
      <c r="AJ456" s="1448"/>
      <c r="AK456" s="1448"/>
      <c r="AL456" s="1448"/>
      <c r="AM456" s="651"/>
      <c r="AN456" s="651"/>
      <c r="AO456" s="597"/>
      <c r="AP456" s="597"/>
      <c r="AQ456" s="1448"/>
      <c r="AR456" s="1448"/>
      <c r="AS456" s="1448"/>
      <c r="AT456" s="1448"/>
      <c r="AU456" s="1448"/>
      <c r="AV456" s="1448"/>
      <c r="AW456" s="1448"/>
      <c r="AX456" s="1448"/>
      <c r="AY456" s="1448"/>
      <c r="AZ456" s="1448"/>
      <c r="BA456" s="1448"/>
      <c r="BB456" s="597"/>
      <c r="BC456" s="597"/>
      <c r="BD456" s="597"/>
      <c r="BE456" s="597"/>
      <c r="BF456" s="597"/>
      <c r="BG456" s="597"/>
      <c r="BH456" s="597"/>
      <c r="BI456" s="597"/>
      <c r="BJ456" s="597"/>
      <c r="BK456" s="597"/>
      <c r="BL456" s="597"/>
      <c r="BM456" s="597"/>
      <c r="BN456" s="597"/>
      <c r="BO456" s="597"/>
      <c r="BP456" s="597"/>
      <c r="BQ456" s="597"/>
      <c r="BR456" s="597"/>
      <c r="BS456" s="597"/>
      <c r="BT456" s="597"/>
    </row>
    <row r="457" ht="12.75" customHeight="1">
      <c r="A457" s="1360"/>
      <c r="B457" s="597"/>
      <c r="C457" s="597"/>
      <c r="D457" s="597"/>
      <c r="E457" s="1069"/>
      <c r="F457" s="1068"/>
      <c r="G457" s="597"/>
      <c r="H457" s="597"/>
      <c r="I457" s="597"/>
      <c r="J457" s="597"/>
      <c r="K457" s="1068"/>
      <c r="L457" s="1071"/>
      <c r="M457" s="1071"/>
      <c r="N457" s="1072"/>
      <c r="O457" s="597"/>
      <c r="P457" s="1068"/>
      <c r="Q457" s="597"/>
      <c r="R457" s="603"/>
      <c r="S457" s="354"/>
      <c r="T457" s="584"/>
      <c r="U457" s="595"/>
      <c r="V457" s="595"/>
      <c r="W457" s="595"/>
      <c r="X457" s="443"/>
      <c r="Y457" s="595"/>
      <c r="Z457" s="595"/>
      <c r="AA457" s="595"/>
      <c r="AB457" s="1073"/>
      <c r="AC457" s="1448"/>
      <c r="AD457" s="1448"/>
      <c r="AE457" s="1448"/>
      <c r="AF457" s="1448"/>
      <c r="AG457" s="1449"/>
      <c r="AH457" s="1448"/>
      <c r="AI457" s="1448"/>
      <c r="AJ457" s="1448"/>
      <c r="AK457" s="1448"/>
      <c r="AL457" s="1448"/>
      <c r="AM457" s="651"/>
      <c r="AN457" s="651"/>
      <c r="AO457" s="597"/>
      <c r="AP457" s="597"/>
      <c r="AQ457" s="1448"/>
      <c r="AR457" s="1448"/>
      <c r="AS457" s="1448"/>
      <c r="AT457" s="1448"/>
      <c r="AU457" s="1448"/>
      <c r="AV457" s="1448"/>
      <c r="AW457" s="1448"/>
      <c r="AX457" s="1448"/>
      <c r="AY457" s="1448"/>
      <c r="AZ457" s="1448"/>
      <c r="BA457" s="1448"/>
      <c r="BB457" s="597"/>
      <c r="BC457" s="597"/>
      <c r="BD457" s="597"/>
      <c r="BE457" s="597"/>
      <c r="BF457" s="597"/>
      <c r="BG457" s="597"/>
      <c r="BH457" s="597"/>
      <c r="BI457" s="597"/>
      <c r="BJ457" s="597"/>
      <c r="BK457" s="597"/>
      <c r="BL457" s="597"/>
      <c r="BM457" s="597"/>
      <c r="BN457" s="597"/>
      <c r="BO457" s="597"/>
      <c r="BP457" s="597"/>
      <c r="BQ457" s="597"/>
      <c r="BR457" s="597"/>
      <c r="BS457" s="597"/>
      <c r="BT457" s="597"/>
    </row>
    <row r="458" ht="12.75" customHeight="1">
      <c r="A458" s="1360"/>
      <c r="B458" s="597"/>
      <c r="C458" s="597"/>
      <c r="D458" s="597"/>
      <c r="E458" s="1069"/>
      <c r="F458" s="1068"/>
      <c r="G458" s="597"/>
      <c r="H458" s="597"/>
      <c r="I458" s="597"/>
      <c r="J458" s="597"/>
      <c r="K458" s="1068"/>
      <c r="L458" s="1071"/>
      <c r="M458" s="1071"/>
      <c r="N458" s="1072"/>
      <c r="O458" s="597"/>
      <c r="P458" s="1068"/>
      <c r="Q458" s="597"/>
      <c r="R458" s="603"/>
      <c r="S458" s="354"/>
      <c r="T458" s="584"/>
      <c r="U458" s="595"/>
      <c r="V458" s="595"/>
      <c r="W458" s="595"/>
      <c r="X458" s="443"/>
      <c r="Y458" s="595"/>
      <c r="Z458" s="595"/>
      <c r="AA458" s="595"/>
      <c r="AB458" s="1073"/>
      <c r="AC458" s="1448"/>
      <c r="AD458" s="1448"/>
      <c r="AE458" s="1448"/>
      <c r="AF458" s="1448"/>
      <c r="AG458" s="1449"/>
      <c r="AH458" s="1448"/>
      <c r="AI458" s="1448"/>
      <c r="AJ458" s="1448"/>
      <c r="AK458" s="1448"/>
      <c r="AL458" s="1448"/>
      <c r="AM458" s="651"/>
      <c r="AN458" s="651"/>
      <c r="AO458" s="597"/>
      <c r="AP458" s="597"/>
      <c r="AQ458" s="1448"/>
      <c r="AR458" s="1448"/>
      <c r="AS458" s="1448"/>
      <c r="AT458" s="1448"/>
      <c r="AU458" s="1448"/>
      <c r="AV458" s="1448"/>
      <c r="AW458" s="1448"/>
      <c r="AX458" s="1448"/>
      <c r="AY458" s="1448"/>
      <c r="AZ458" s="1448"/>
      <c r="BA458" s="1448"/>
      <c r="BB458" s="597"/>
      <c r="BC458" s="597"/>
      <c r="BD458" s="597"/>
      <c r="BE458" s="597"/>
      <c r="BF458" s="597"/>
      <c r="BG458" s="597"/>
      <c r="BH458" s="597"/>
      <c r="BI458" s="597"/>
      <c r="BJ458" s="597"/>
      <c r="BK458" s="597"/>
      <c r="BL458" s="597"/>
      <c r="BM458" s="597"/>
      <c r="BN458" s="597"/>
      <c r="BO458" s="597"/>
      <c r="BP458" s="597"/>
      <c r="BQ458" s="597"/>
      <c r="BR458" s="597"/>
      <c r="BS458" s="597"/>
      <c r="BT458" s="597"/>
    </row>
    <row r="459" ht="12.75" customHeight="1">
      <c r="A459" s="1360"/>
      <c r="B459" s="597"/>
      <c r="C459" s="597"/>
      <c r="D459" s="597"/>
      <c r="E459" s="1069"/>
      <c r="F459" s="1068"/>
      <c r="G459" s="597"/>
      <c r="H459" s="597"/>
      <c r="I459" s="597"/>
      <c r="J459" s="597"/>
      <c r="K459" s="1068"/>
      <c r="L459" s="1071"/>
      <c r="M459" s="1071"/>
      <c r="N459" s="1072"/>
      <c r="O459" s="597"/>
      <c r="P459" s="1068"/>
      <c r="Q459" s="597"/>
      <c r="R459" s="603"/>
      <c r="S459" s="354"/>
      <c r="T459" s="584"/>
      <c r="U459" s="595"/>
      <c r="V459" s="595"/>
      <c r="W459" s="595"/>
      <c r="X459" s="443"/>
      <c r="Y459" s="595"/>
      <c r="Z459" s="595"/>
      <c r="AA459" s="595"/>
      <c r="AB459" s="1073"/>
      <c r="AC459" s="1448"/>
      <c r="AD459" s="1448"/>
      <c r="AE459" s="1448"/>
      <c r="AF459" s="1448"/>
      <c r="AG459" s="1449"/>
      <c r="AH459" s="1448"/>
      <c r="AI459" s="1448"/>
      <c r="AJ459" s="1448"/>
      <c r="AK459" s="1448"/>
      <c r="AL459" s="1448"/>
      <c r="AM459" s="651"/>
      <c r="AN459" s="651"/>
      <c r="AO459" s="597"/>
      <c r="AP459" s="597"/>
      <c r="AQ459" s="1448"/>
      <c r="AR459" s="1448"/>
      <c r="AS459" s="1448"/>
      <c r="AT459" s="1448"/>
      <c r="AU459" s="1448"/>
      <c r="AV459" s="1448"/>
      <c r="AW459" s="1448"/>
      <c r="AX459" s="1448"/>
      <c r="AY459" s="1448"/>
      <c r="AZ459" s="1448"/>
      <c r="BA459" s="1448"/>
      <c r="BB459" s="597"/>
      <c r="BC459" s="597"/>
      <c r="BD459" s="597"/>
      <c r="BE459" s="597"/>
      <c r="BF459" s="597"/>
      <c r="BG459" s="597"/>
      <c r="BH459" s="597"/>
      <c r="BI459" s="597"/>
      <c r="BJ459" s="597"/>
      <c r="BK459" s="597"/>
      <c r="BL459" s="597"/>
      <c r="BM459" s="597"/>
      <c r="BN459" s="597"/>
      <c r="BO459" s="597"/>
      <c r="BP459" s="597"/>
      <c r="BQ459" s="597"/>
      <c r="BR459" s="597"/>
      <c r="BS459" s="597"/>
      <c r="BT459" s="597"/>
    </row>
    <row r="460" ht="12.75" customHeight="1">
      <c r="A460" s="1360"/>
      <c r="B460" s="597"/>
      <c r="C460" s="597"/>
      <c r="D460" s="597"/>
      <c r="E460" s="1069"/>
      <c r="F460" s="1068"/>
      <c r="G460" s="597"/>
      <c r="H460" s="597"/>
      <c r="I460" s="597"/>
      <c r="J460" s="597"/>
      <c r="K460" s="1068"/>
      <c r="L460" s="1071"/>
      <c r="M460" s="1071"/>
      <c r="N460" s="1072"/>
      <c r="O460" s="597"/>
      <c r="P460" s="1068"/>
      <c r="Q460" s="597"/>
      <c r="R460" s="603"/>
      <c r="S460" s="354"/>
      <c r="T460" s="584"/>
      <c r="U460" s="595"/>
      <c r="V460" s="595"/>
      <c r="W460" s="595"/>
      <c r="X460" s="443"/>
      <c r="Y460" s="595"/>
      <c r="Z460" s="595"/>
      <c r="AA460" s="595"/>
      <c r="AB460" s="1073"/>
      <c r="AC460" s="1448"/>
      <c r="AD460" s="1448"/>
      <c r="AE460" s="1448"/>
      <c r="AF460" s="1448"/>
      <c r="AG460" s="1449"/>
      <c r="AH460" s="1448"/>
      <c r="AI460" s="1448"/>
      <c r="AJ460" s="1448"/>
      <c r="AK460" s="1448"/>
      <c r="AL460" s="1448"/>
      <c r="AM460" s="651"/>
      <c r="AN460" s="651"/>
      <c r="AO460" s="597"/>
      <c r="AP460" s="597"/>
      <c r="AQ460" s="1448"/>
      <c r="AR460" s="1448"/>
      <c r="AS460" s="1448"/>
      <c r="AT460" s="1448"/>
      <c r="AU460" s="1448"/>
      <c r="AV460" s="1448"/>
      <c r="AW460" s="1448"/>
      <c r="AX460" s="1448"/>
      <c r="AY460" s="1448"/>
      <c r="AZ460" s="1448"/>
      <c r="BA460" s="1448"/>
      <c r="BB460" s="597"/>
      <c r="BC460" s="597"/>
      <c r="BD460" s="597"/>
      <c r="BE460" s="597"/>
      <c r="BF460" s="597"/>
      <c r="BG460" s="597"/>
      <c r="BH460" s="597"/>
      <c r="BI460" s="597"/>
      <c r="BJ460" s="597"/>
      <c r="BK460" s="597"/>
      <c r="BL460" s="597"/>
      <c r="BM460" s="597"/>
      <c r="BN460" s="597"/>
      <c r="BO460" s="597"/>
      <c r="BP460" s="597"/>
      <c r="BQ460" s="597"/>
      <c r="BR460" s="597"/>
      <c r="BS460" s="597"/>
      <c r="BT460" s="597"/>
    </row>
    <row r="461" ht="12.75" customHeight="1">
      <c r="A461" s="1360"/>
      <c r="B461" s="597"/>
      <c r="C461" s="597"/>
      <c r="D461" s="597"/>
      <c r="E461" s="1069"/>
      <c r="F461" s="1068"/>
      <c r="G461" s="597"/>
      <c r="H461" s="597"/>
      <c r="I461" s="597"/>
      <c r="J461" s="597"/>
      <c r="K461" s="1068"/>
      <c r="L461" s="1071"/>
      <c r="M461" s="1071"/>
      <c r="N461" s="1072"/>
      <c r="O461" s="597"/>
      <c r="P461" s="1068"/>
      <c r="Q461" s="597"/>
      <c r="R461" s="603"/>
      <c r="S461" s="354"/>
      <c r="T461" s="584"/>
      <c r="U461" s="595"/>
      <c r="V461" s="595"/>
      <c r="W461" s="595"/>
      <c r="X461" s="443"/>
      <c r="Y461" s="595"/>
      <c r="Z461" s="595"/>
      <c r="AA461" s="595"/>
      <c r="AB461" s="1073"/>
      <c r="AC461" s="1448"/>
      <c r="AD461" s="1448"/>
      <c r="AE461" s="1448"/>
      <c r="AF461" s="1448"/>
      <c r="AG461" s="1449"/>
      <c r="AH461" s="1448"/>
      <c r="AI461" s="1448"/>
      <c r="AJ461" s="1448"/>
      <c r="AK461" s="1448"/>
      <c r="AL461" s="1448"/>
      <c r="AM461" s="651"/>
      <c r="AN461" s="651"/>
      <c r="AO461" s="597"/>
      <c r="AP461" s="597"/>
      <c r="AQ461" s="1448"/>
      <c r="AR461" s="1448"/>
      <c r="AS461" s="1448"/>
      <c r="AT461" s="1448"/>
      <c r="AU461" s="1448"/>
      <c r="AV461" s="1448"/>
      <c r="AW461" s="1448"/>
      <c r="AX461" s="1448"/>
      <c r="AY461" s="1448"/>
      <c r="AZ461" s="1448"/>
      <c r="BA461" s="1448"/>
      <c r="BB461" s="597"/>
      <c r="BC461" s="597"/>
      <c r="BD461" s="597"/>
      <c r="BE461" s="597"/>
      <c r="BF461" s="597"/>
      <c r="BG461" s="597"/>
      <c r="BH461" s="597"/>
      <c r="BI461" s="597"/>
      <c r="BJ461" s="597"/>
      <c r="BK461" s="597"/>
      <c r="BL461" s="597"/>
      <c r="BM461" s="597"/>
      <c r="BN461" s="597"/>
      <c r="BO461" s="597"/>
      <c r="BP461" s="597"/>
      <c r="BQ461" s="597"/>
      <c r="BR461" s="597"/>
      <c r="BS461" s="597"/>
      <c r="BT461" s="597"/>
    </row>
    <row r="462" ht="12.75" customHeight="1">
      <c r="A462" s="1360"/>
      <c r="B462" s="597"/>
      <c r="C462" s="597"/>
      <c r="D462" s="597"/>
      <c r="E462" s="1069"/>
      <c r="F462" s="1068"/>
      <c r="G462" s="597"/>
      <c r="H462" s="597"/>
      <c r="I462" s="597"/>
      <c r="J462" s="597"/>
      <c r="K462" s="1068"/>
      <c r="L462" s="1071"/>
      <c r="M462" s="1071"/>
      <c r="N462" s="1072"/>
      <c r="O462" s="597"/>
      <c r="P462" s="1068"/>
      <c r="Q462" s="597"/>
      <c r="R462" s="603"/>
      <c r="S462" s="354"/>
      <c r="T462" s="584"/>
      <c r="U462" s="595"/>
      <c r="V462" s="595"/>
      <c r="W462" s="595"/>
      <c r="X462" s="443"/>
      <c r="Y462" s="595"/>
      <c r="Z462" s="595"/>
      <c r="AA462" s="595"/>
      <c r="AB462" s="1073"/>
      <c r="AC462" s="1448"/>
      <c r="AD462" s="1448"/>
      <c r="AE462" s="1448"/>
      <c r="AF462" s="1448"/>
      <c r="AG462" s="1449"/>
      <c r="AH462" s="1448"/>
      <c r="AI462" s="1448"/>
      <c r="AJ462" s="1448"/>
      <c r="AK462" s="1448"/>
      <c r="AL462" s="1448"/>
      <c r="AM462" s="651"/>
      <c r="AN462" s="651"/>
      <c r="AO462" s="597"/>
      <c r="AP462" s="597"/>
      <c r="AQ462" s="1448"/>
      <c r="AR462" s="1448"/>
      <c r="AS462" s="1448"/>
      <c r="AT462" s="1448"/>
      <c r="AU462" s="1448"/>
      <c r="AV462" s="1448"/>
      <c r="AW462" s="1448"/>
      <c r="AX462" s="1448"/>
      <c r="AY462" s="1448"/>
      <c r="AZ462" s="1448"/>
      <c r="BA462" s="1448"/>
      <c r="BB462" s="597"/>
      <c r="BC462" s="597"/>
      <c r="BD462" s="597"/>
      <c r="BE462" s="597"/>
      <c r="BF462" s="597"/>
      <c r="BG462" s="597"/>
      <c r="BH462" s="597"/>
      <c r="BI462" s="597"/>
      <c r="BJ462" s="597"/>
      <c r="BK462" s="597"/>
      <c r="BL462" s="597"/>
      <c r="BM462" s="597"/>
      <c r="BN462" s="597"/>
      <c r="BO462" s="597"/>
      <c r="BP462" s="597"/>
      <c r="BQ462" s="597"/>
      <c r="BR462" s="597"/>
      <c r="BS462" s="597"/>
      <c r="BT462" s="597"/>
    </row>
    <row r="463" ht="12.75" customHeight="1">
      <c r="A463" s="1360"/>
      <c r="B463" s="597"/>
      <c r="C463" s="597"/>
      <c r="D463" s="597"/>
      <c r="E463" s="1069"/>
      <c r="F463" s="1068"/>
      <c r="G463" s="597"/>
      <c r="H463" s="597"/>
      <c r="I463" s="597"/>
      <c r="J463" s="597"/>
      <c r="K463" s="1068"/>
      <c r="L463" s="1071"/>
      <c r="M463" s="1071"/>
      <c r="N463" s="1072"/>
      <c r="O463" s="597"/>
      <c r="P463" s="1068"/>
      <c r="Q463" s="597"/>
      <c r="R463" s="603"/>
      <c r="S463" s="354"/>
      <c r="T463" s="584"/>
      <c r="U463" s="595"/>
      <c r="V463" s="595"/>
      <c r="W463" s="595"/>
      <c r="X463" s="443"/>
      <c r="Y463" s="595"/>
      <c r="Z463" s="595"/>
      <c r="AA463" s="595"/>
      <c r="AB463" s="1073"/>
      <c r="AC463" s="1448"/>
      <c r="AD463" s="1448"/>
      <c r="AE463" s="1448"/>
      <c r="AF463" s="1448"/>
      <c r="AG463" s="1449"/>
      <c r="AH463" s="1448"/>
      <c r="AI463" s="1448"/>
      <c r="AJ463" s="1448"/>
      <c r="AK463" s="1448"/>
      <c r="AL463" s="1448"/>
      <c r="AM463" s="651"/>
      <c r="AN463" s="651"/>
      <c r="AO463" s="597"/>
      <c r="AP463" s="597"/>
      <c r="AQ463" s="1448"/>
      <c r="AR463" s="1448"/>
      <c r="AS463" s="1448"/>
      <c r="AT463" s="1448"/>
      <c r="AU463" s="1448"/>
      <c r="AV463" s="1448"/>
      <c r="AW463" s="1448"/>
      <c r="AX463" s="1448"/>
      <c r="AY463" s="1448"/>
      <c r="AZ463" s="1448"/>
      <c r="BA463" s="1448"/>
      <c r="BB463" s="597"/>
      <c r="BC463" s="597"/>
      <c r="BD463" s="597"/>
      <c r="BE463" s="597"/>
      <c r="BF463" s="597"/>
      <c r="BG463" s="597"/>
      <c r="BH463" s="597"/>
      <c r="BI463" s="597"/>
      <c r="BJ463" s="597"/>
      <c r="BK463" s="597"/>
      <c r="BL463" s="597"/>
      <c r="BM463" s="597"/>
      <c r="BN463" s="597"/>
      <c r="BO463" s="597"/>
      <c r="BP463" s="597"/>
      <c r="BQ463" s="597"/>
      <c r="BR463" s="597"/>
      <c r="BS463" s="597"/>
      <c r="BT463" s="597"/>
    </row>
    <row r="464" ht="12.75" customHeight="1">
      <c r="A464" s="1360"/>
      <c r="B464" s="597"/>
      <c r="C464" s="597"/>
      <c r="D464" s="597"/>
      <c r="E464" s="1069"/>
      <c r="F464" s="1068"/>
      <c r="G464" s="597"/>
      <c r="H464" s="597"/>
      <c r="I464" s="597"/>
      <c r="J464" s="597"/>
      <c r="K464" s="1068"/>
      <c r="L464" s="1071"/>
      <c r="M464" s="1071"/>
      <c r="N464" s="1072"/>
      <c r="O464" s="597"/>
      <c r="P464" s="1068"/>
      <c r="Q464" s="597"/>
      <c r="R464" s="603"/>
      <c r="S464" s="354"/>
      <c r="T464" s="584"/>
      <c r="U464" s="595"/>
      <c r="V464" s="595"/>
      <c r="W464" s="595"/>
      <c r="X464" s="443"/>
      <c r="Y464" s="595"/>
      <c r="Z464" s="595"/>
      <c r="AA464" s="595"/>
      <c r="AB464" s="1073"/>
      <c r="AC464" s="1448"/>
      <c r="AD464" s="1448"/>
      <c r="AE464" s="1448"/>
      <c r="AF464" s="1448"/>
      <c r="AG464" s="1449"/>
      <c r="AH464" s="1448"/>
      <c r="AI464" s="1448"/>
      <c r="AJ464" s="1448"/>
      <c r="AK464" s="1448"/>
      <c r="AL464" s="1448"/>
      <c r="AM464" s="651"/>
      <c r="AN464" s="651"/>
      <c r="AO464" s="597"/>
      <c r="AP464" s="597"/>
      <c r="AQ464" s="1448"/>
      <c r="AR464" s="1448"/>
      <c r="AS464" s="1448"/>
      <c r="AT464" s="1448"/>
      <c r="AU464" s="1448"/>
      <c r="AV464" s="1448"/>
      <c r="AW464" s="1448"/>
      <c r="AX464" s="1448"/>
      <c r="AY464" s="1448"/>
      <c r="AZ464" s="1448"/>
      <c r="BA464" s="1448"/>
      <c r="BB464" s="597"/>
      <c r="BC464" s="597"/>
      <c r="BD464" s="597"/>
      <c r="BE464" s="597"/>
      <c r="BF464" s="597"/>
      <c r="BG464" s="597"/>
      <c r="BH464" s="597"/>
      <c r="BI464" s="597"/>
      <c r="BJ464" s="597"/>
      <c r="BK464" s="597"/>
      <c r="BL464" s="597"/>
      <c r="BM464" s="597"/>
      <c r="BN464" s="597"/>
      <c r="BO464" s="597"/>
      <c r="BP464" s="597"/>
      <c r="BQ464" s="597"/>
      <c r="BR464" s="597"/>
      <c r="BS464" s="597"/>
      <c r="BT464" s="597"/>
    </row>
    <row r="465" ht="12.75" customHeight="1">
      <c r="A465" s="1360"/>
      <c r="B465" s="597"/>
      <c r="C465" s="597"/>
      <c r="D465" s="597"/>
      <c r="E465" s="1069"/>
      <c r="F465" s="1068"/>
      <c r="G465" s="597"/>
      <c r="H465" s="597"/>
      <c r="I465" s="597"/>
      <c r="J465" s="597"/>
      <c r="K465" s="1068"/>
      <c r="L465" s="1071"/>
      <c r="M465" s="1071"/>
      <c r="N465" s="1072"/>
      <c r="O465" s="597"/>
      <c r="P465" s="1068"/>
      <c r="Q465" s="597"/>
      <c r="R465" s="603"/>
      <c r="S465" s="354"/>
      <c r="T465" s="584"/>
      <c r="U465" s="595"/>
      <c r="V465" s="595"/>
      <c r="W465" s="595"/>
      <c r="X465" s="443"/>
      <c r="Y465" s="595"/>
      <c r="Z465" s="595"/>
      <c r="AA465" s="595"/>
      <c r="AB465" s="1073"/>
      <c r="AC465" s="1448"/>
      <c r="AD465" s="1448"/>
      <c r="AE465" s="1448"/>
      <c r="AF465" s="1448"/>
      <c r="AG465" s="1449"/>
      <c r="AH465" s="1448"/>
      <c r="AI465" s="1448"/>
      <c r="AJ465" s="1448"/>
      <c r="AK465" s="1448"/>
      <c r="AL465" s="1448"/>
      <c r="AM465" s="651"/>
      <c r="AN465" s="651"/>
      <c r="AO465" s="597"/>
      <c r="AP465" s="597"/>
      <c r="AQ465" s="1448"/>
      <c r="AR465" s="1448"/>
      <c r="AS465" s="1448"/>
      <c r="AT465" s="1448"/>
      <c r="AU465" s="1448"/>
      <c r="AV465" s="1448"/>
      <c r="AW465" s="1448"/>
      <c r="AX465" s="1448"/>
      <c r="AY465" s="1448"/>
      <c r="AZ465" s="1448"/>
      <c r="BA465" s="1448"/>
      <c r="BB465" s="597"/>
      <c r="BC465" s="597"/>
      <c r="BD465" s="597"/>
      <c r="BE465" s="597"/>
      <c r="BF465" s="597"/>
      <c r="BG465" s="597"/>
      <c r="BH465" s="597"/>
      <c r="BI465" s="597"/>
      <c r="BJ465" s="597"/>
      <c r="BK465" s="597"/>
      <c r="BL465" s="597"/>
      <c r="BM465" s="597"/>
      <c r="BN465" s="597"/>
      <c r="BO465" s="597"/>
      <c r="BP465" s="597"/>
      <c r="BQ465" s="597"/>
      <c r="BR465" s="597"/>
      <c r="BS465" s="597"/>
      <c r="BT465" s="597"/>
    </row>
    <row r="466" ht="12.75" customHeight="1">
      <c r="A466" s="1360"/>
      <c r="B466" s="597"/>
      <c r="C466" s="597"/>
      <c r="D466" s="597"/>
      <c r="E466" s="1069"/>
      <c r="F466" s="1068"/>
      <c r="G466" s="597"/>
      <c r="H466" s="597"/>
      <c r="I466" s="597"/>
      <c r="J466" s="597"/>
      <c r="K466" s="1068"/>
      <c r="L466" s="1071"/>
      <c r="M466" s="1071"/>
      <c r="N466" s="1072"/>
      <c r="O466" s="597"/>
      <c r="P466" s="1068"/>
      <c r="Q466" s="597"/>
      <c r="R466" s="603"/>
      <c r="S466" s="354"/>
      <c r="T466" s="584"/>
      <c r="U466" s="595"/>
      <c r="V466" s="595"/>
      <c r="W466" s="595"/>
      <c r="X466" s="584"/>
      <c r="Y466" s="595"/>
      <c r="Z466" s="595"/>
      <c r="AA466" s="595"/>
      <c r="AB466" s="1073"/>
      <c r="AC466" s="1448"/>
      <c r="AD466" s="1448"/>
      <c r="AE466" s="1448"/>
      <c r="AF466" s="1448"/>
      <c r="AG466" s="1449"/>
      <c r="AH466" s="1448"/>
      <c r="AI466" s="1448"/>
      <c r="AJ466" s="1448"/>
      <c r="AK466" s="1448"/>
      <c r="AL466" s="1448"/>
      <c r="AM466" s="651"/>
      <c r="AN466" s="651"/>
      <c r="AO466" s="597"/>
      <c r="AP466" s="597"/>
      <c r="AQ466" s="1448"/>
      <c r="AR466" s="1448"/>
      <c r="AS466" s="1448"/>
      <c r="AT466" s="1448"/>
      <c r="AU466" s="1448"/>
      <c r="AV466" s="1448"/>
      <c r="AW466" s="1448"/>
      <c r="AX466" s="1448"/>
      <c r="AY466" s="1448"/>
      <c r="AZ466" s="1448"/>
      <c r="BA466" s="1448"/>
      <c r="BB466" s="597"/>
      <c r="BC466" s="597"/>
      <c r="BD466" s="597"/>
      <c r="BE466" s="597"/>
      <c r="BF466" s="597"/>
      <c r="BG466" s="597"/>
      <c r="BH466" s="597"/>
      <c r="BI466" s="597"/>
      <c r="BJ466" s="597"/>
      <c r="BK466" s="597"/>
      <c r="BL466" s="597"/>
      <c r="BM466" s="597"/>
      <c r="BN466" s="597"/>
      <c r="BO466" s="597"/>
      <c r="BP466" s="597"/>
      <c r="BQ466" s="597"/>
      <c r="BR466" s="597"/>
      <c r="BS466" s="597"/>
      <c r="BT466" s="597"/>
    </row>
    <row r="467" ht="12.75" customHeight="1">
      <c r="A467" s="1360"/>
      <c r="B467" s="597"/>
      <c r="C467" s="597"/>
      <c r="D467" s="597"/>
      <c r="E467" s="1069"/>
      <c r="F467" s="1068"/>
      <c r="G467" s="597"/>
      <c r="H467" s="597"/>
      <c r="I467" s="597"/>
      <c r="J467" s="597"/>
      <c r="K467" s="1068"/>
      <c r="L467" s="1071"/>
      <c r="M467" s="1071"/>
      <c r="N467" s="1072"/>
      <c r="O467" s="597"/>
      <c r="P467" s="1068"/>
      <c r="Q467" s="597"/>
      <c r="R467" s="603"/>
      <c r="S467" s="354"/>
      <c r="T467" s="584"/>
      <c r="U467" s="595"/>
      <c r="V467" s="595"/>
      <c r="W467" s="595"/>
      <c r="X467" s="584"/>
      <c r="Y467" s="595"/>
      <c r="Z467" s="595"/>
      <c r="AA467" s="595"/>
      <c r="AB467" s="1073"/>
      <c r="AC467" s="1448"/>
      <c r="AD467" s="1448"/>
      <c r="AE467" s="1448"/>
      <c r="AF467" s="1448"/>
      <c r="AG467" s="1449"/>
      <c r="AH467" s="1448"/>
      <c r="AI467" s="1448"/>
      <c r="AJ467" s="1448"/>
      <c r="AK467" s="1448"/>
      <c r="AL467" s="1448"/>
      <c r="AM467" s="651"/>
      <c r="AN467" s="651"/>
      <c r="AO467" s="597"/>
      <c r="AP467" s="597"/>
      <c r="AQ467" s="1448"/>
      <c r="AR467" s="1448"/>
      <c r="AS467" s="1448"/>
      <c r="AT467" s="1448"/>
      <c r="AU467" s="1448"/>
      <c r="AV467" s="1448"/>
      <c r="AW467" s="1448"/>
      <c r="AX467" s="1448"/>
      <c r="AY467" s="1448"/>
      <c r="AZ467" s="1448"/>
      <c r="BA467" s="1448"/>
      <c r="BB467" s="597"/>
      <c r="BC467" s="597"/>
      <c r="BD467" s="597"/>
      <c r="BE467" s="597"/>
      <c r="BF467" s="597"/>
      <c r="BG467" s="597"/>
      <c r="BH467" s="597"/>
      <c r="BI467" s="597"/>
      <c r="BJ467" s="597"/>
      <c r="BK467" s="597"/>
      <c r="BL467" s="597"/>
      <c r="BM467" s="597"/>
      <c r="BN467" s="597"/>
      <c r="BO467" s="597"/>
      <c r="BP467" s="597"/>
      <c r="BQ467" s="597"/>
      <c r="BR467" s="597"/>
      <c r="BS467" s="597"/>
      <c r="BT467" s="597"/>
    </row>
    <row r="468" ht="12.75" customHeight="1">
      <c r="A468" s="1360"/>
      <c r="B468" s="597"/>
      <c r="C468" s="597"/>
      <c r="D468" s="597"/>
      <c r="E468" s="1069"/>
      <c r="F468" s="1068"/>
      <c r="G468" s="597"/>
      <c r="H468" s="597"/>
      <c r="I468" s="597"/>
      <c r="J468" s="597"/>
      <c r="K468" s="1068"/>
      <c r="L468" s="1071"/>
      <c r="M468" s="1071"/>
      <c r="N468" s="1072"/>
      <c r="O468" s="597"/>
      <c r="P468" s="1068"/>
      <c r="Q468" s="597"/>
      <c r="R468" s="603"/>
      <c r="S468" s="354"/>
      <c r="T468" s="584"/>
      <c r="U468" s="595"/>
      <c r="V468" s="595"/>
      <c r="W468" s="595"/>
      <c r="X468" s="584"/>
      <c r="Y468" s="595"/>
      <c r="Z468" s="595"/>
      <c r="AA468" s="595"/>
      <c r="AB468" s="1073"/>
      <c r="AC468" s="1448"/>
      <c r="AD468" s="1448"/>
      <c r="AE468" s="1448"/>
      <c r="AF468" s="1448"/>
      <c r="AG468" s="1449"/>
      <c r="AH468" s="1448"/>
      <c r="AI468" s="1448"/>
      <c r="AJ468" s="1448"/>
      <c r="AK468" s="1448"/>
      <c r="AL468" s="1448"/>
      <c r="AM468" s="651"/>
      <c r="AN468" s="651"/>
      <c r="AO468" s="597"/>
      <c r="AP468" s="597"/>
      <c r="AQ468" s="1448"/>
      <c r="AR468" s="1448"/>
      <c r="AS468" s="1448"/>
      <c r="AT468" s="1448"/>
      <c r="AU468" s="1448"/>
      <c r="AV468" s="1448"/>
      <c r="AW468" s="1448"/>
      <c r="AX468" s="1448"/>
      <c r="AY468" s="1448"/>
      <c r="AZ468" s="1448"/>
      <c r="BA468" s="1448"/>
      <c r="BB468" s="597"/>
      <c r="BC468" s="597"/>
      <c r="BD468" s="597"/>
      <c r="BE468" s="597"/>
      <c r="BF468" s="597"/>
      <c r="BG468" s="597"/>
      <c r="BH468" s="597"/>
      <c r="BI468" s="597"/>
      <c r="BJ468" s="597"/>
      <c r="BK468" s="597"/>
      <c r="BL468" s="597"/>
      <c r="BM468" s="597"/>
      <c r="BN468" s="597"/>
      <c r="BO468" s="597"/>
      <c r="BP468" s="597"/>
      <c r="BQ468" s="597"/>
      <c r="BR468" s="597"/>
      <c r="BS468" s="597"/>
      <c r="BT468" s="597"/>
    </row>
    <row r="469" ht="12.75" customHeight="1">
      <c r="A469" s="1360"/>
      <c r="B469" s="597"/>
      <c r="C469" s="597"/>
      <c r="D469" s="597"/>
      <c r="E469" s="1069"/>
      <c r="F469" s="1068"/>
      <c r="G469" s="597"/>
      <c r="H469" s="597"/>
      <c r="I469" s="597"/>
      <c r="J469" s="597"/>
      <c r="K469" s="1068"/>
      <c r="L469" s="1071"/>
      <c r="M469" s="1071"/>
      <c r="N469" s="1072"/>
      <c r="O469" s="597"/>
      <c r="P469" s="1068"/>
      <c r="Q469" s="597"/>
      <c r="R469" s="603"/>
      <c r="S469" s="354"/>
      <c r="T469" s="584"/>
      <c r="U469" s="595"/>
      <c r="V469" s="595"/>
      <c r="W469" s="595"/>
      <c r="X469" s="584"/>
      <c r="Y469" s="595"/>
      <c r="Z469" s="595"/>
      <c r="AA469" s="595"/>
      <c r="AB469" s="1073"/>
      <c r="AC469" s="1448"/>
      <c r="AD469" s="1448"/>
      <c r="AE469" s="1448"/>
      <c r="AF469" s="1448"/>
      <c r="AG469" s="1449"/>
      <c r="AH469" s="1448"/>
      <c r="AI469" s="1448"/>
      <c r="AJ469" s="1448"/>
      <c r="AK469" s="1448"/>
      <c r="AL469" s="1448"/>
      <c r="AM469" s="651"/>
      <c r="AN469" s="651"/>
      <c r="AO469" s="597"/>
      <c r="AP469" s="597"/>
      <c r="AQ469" s="1448"/>
      <c r="AR469" s="1448"/>
      <c r="AS469" s="1448"/>
      <c r="AT469" s="1448"/>
      <c r="AU469" s="1448"/>
      <c r="AV469" s="1448"/>
      <c r="AW469" s="1448"/>
      <c r="AX469" s="1448"/>
      <c r="AY469" s="1448"/>
      <c r="AZ469" s="1448"/>
      <c r="BA469" s="1448"/>
      <c r="BB469" s="597"/>
      <c r="BC469" s="597"/>
      <c r="BD469" s="597"/>
      <c r="BE469" s="597"/>
      <c r="BF469" s="597"/>
      <c r="BG469" s="597"/>
      <c r="BH469" s="597"/>
      <c r="BI469" s="597"/>
      <c r="BJ469" s="597"/>
      <c r="BK469" s="597"/>
      <c r="BL469" s="597"/>
      <c r="BM469" s="597"/>
      <c r="BN469" s="597"/>
      <c r="BO469" s="597"/>
      <c r="BP469" s="597"/>
      <c r="BQ469" s="597"/>
      <c r="BR469" s="597"/>
      <c r="BS469" s="597"/>
      <c r="BT469" s="597"/>
    </row>
    <row r="470" ht="12.75" customHeight="1">
      <c r="A470" s="1360"/>
      <c r="B470" s="597"/>
      <c r="C470" s="597"/>
      <c r="D470" s="597"/>
      <c r="E470" s="1069"/>
      <c r="F470" s="1068"/>
      <c r="G470" s="597"/>
      <c r="H470" s="597"/>
      <c r="I470" s="597"/>
      <c r="J470" s="597"/>
      <c r="K470" s="1068"/>
      <c r="L470" s="1071"/>
      <c r="M470" s="1071"/>
      <c r="N470" s="1072"/>
      <c r="O470" s="597"/>
      <c r="P470" s="1068"/>
      <c r="Q470" s="597"/>
      <c r="R470" s="603"/>
      <c r="S470" s="354"/>
      <c r="T470" s="584"/>
      <c r="U470" s="595"/>
      <c r="V470" s="595"/>
      <c r="W470" s="595"/>
      <c r="X470" s="584"/>
      <c r="Y470" s="595"/>
      <c r="Z470" s="595"/>
      <c r="AA470" s="595"/>
      <c r="AB470" s="1073"/>
      <c r="AC470" s="1448"/>
      <c r="AD470" s="1448"/>
      <c r="AE470" s="1448"/>
      <c r="AF470" s="1448"/>
      <c r="AG470" s="1449"/>
      <c r="AH470" s="1448"/>
      <c r="AI470" s="1448"/>
      <c r="AJ470" s="1448"/>
      <c r="AK470" s="1448"/>
      <c r="AL470" s="1448"/>
      <c r="AM470" s="651"/>
      <c r="AN470" s="651"/>
      <c r="AO470" s="597"/>
      <c r="AP470" s="597"/>
      <c r="AQ470" s="1448"/>
      <c r="AR470" s="1448"/>
      <c r="AS470" s="1448"/>
      <c r="AT470" s="1448"/>
      <c r="AU470" s="1448"/>
      <c r="AV470" s="1448"/>
      <c r="AW470" s="1448"/>
      <c r="AX470" s="1448"/>
      <c r="AY470" s="1448"/>
      <c r="AZ470" s="1448"/>
      <c r="BA470" s="1448"/>
      <c r="BB470" s="597"/>
      <c r="BC470" s="597"/>
      <c r="BD470" s="597"/>
      <c r="BE470" s="597"/>
      <c r="BF470" s="597"/>
      <c r="BG470" s="597"/>
      <c r="BH470" s="597"/>
      <c r="BI470" s="597"/>
      <c r="BJ470" s="597"/>
      <c r="BK470" s="597"/>
      <c r="BL470" s="597"/>
      <c r="BM470" s="597"/>
      <c r="BN470" s="597"/>
      <c r="BO470" s="597"/>
      <c r="BP470" s="597"/>
      <c r="BQ470" s="597"/>
      <c r="BR470" s="597"/>
      <c r="BS470" s="597"/>
      <c r="BT470" s="597"/>
    </row>
    <row r="471" ht="12.75" customHeight="1">
      <c r="A471" s="1360"/>
      <c r="B471" s="597"/>
      <c r="C471" s="597"/>
      <c r="D471" s="597"/>
      <c r="E471" s="1069"/>
      <c r="F471" s="1068"/>
      <c r="G471" s="597"/>
      <c r="H471" s="597"/>
      <c r="I471" s="597"/>
      <c r="J471" s="597"/>
      <c r="K471" s="1068"/>
      <c r="L471" s="1071"/>
      <c r="M471" s="1071"/>
      <c r="N471" s="1072"/>
      <c r="O471" s="597"/>
      <c r="P471" s="1068"/>
      <c r="Q471" s="597"/>
      <c r="R471" s="603"/>
      <c r="S471" s="354"/>
      <c r="T471" s="584"/>
      <c r="U471" s="595"/>
      <c r="V471" s="595"/>
      <c r="W471" s="595"/>
      <c r="X471" s="584"/>
      <c r="Y471" s="595"/>
      <c r="Z471" s="595"/>
      <c r="AA471" s="595"/>
      <c r="AB471" s="1073"/>
      <c r="AC471" s="1448"/>
      <c r="AD471" s="1448"/>
      <c r="AE471" s="1448"/>
      <c r="AF471" s="1448"/>
      <c r="AG471" s="1449"/>
      <c r="AH471" s="1448"/>
      <c r="AI471" s="1448"/>
      <c r="AJ471" s="1448"/>
      <c r="AK471" s="1448"/>
      <c r="AL471" s="1448"/>
      <c r="AM471" s="651"/>
      <c r="AN471" s="651"/>
      <c r="AO471" s="597"/>
      <c r="AP471" s="597"/>
      <c r="AQ471" s="1448"/>
      <c r="AR471" s="1448"/>
      <c r="AS471" s="1448"/>
      <c r="AT471" s="1448"/>
      <c r="AU471" s="1448"/>
      <c r="AV471" s="1448"/>
      <c r="AW471" s="1448"/>
      <c r="AX471" s="1448"/>
      <c r="AY471" s="1448"/>
      <c r="AZ471" s="1448"/>
      <c r="BA471" s="1448"/>
      <c r="BB471" s="597"/>
      <c r="BC471" s="597"/>
      <c r="BD471" s="597"/>
      <c r="BE471" s="597"/>
      <c r="BF471" s="597"/>
      <c r="BG471" s="597"/>
      <c r="BH471" s="597"/>
      <c r="BI471" s="597"/>
      <c r="BJ471" s="597"/>
      <c r="BK471" s="597"/>
      <c r="BL471" s="597"/>
      <c r="BM471" s="597"/>
      <c r="BN471" s="597"/>
      <c r="BO471" s="597"/>
      <c r="BP471" s="597"/>
      <c r="BQ471" s="597"/>
      <c r="BR471" s="597"/>
      <c r="BS471" s="597"/>
      <c r="BT471" s="597"/>
    </row>
    <row r="472" ht="12.75" customHeight="1">
      <c r="A472" s="1360"/>
      <c r="B472" s="597"/>
      <c r="C472" s="597"/>
      <c r="D472" s="597"/>
      <c r="E472" s="1069"/>
      <c r="F472" s="1068"/>
      <c r="G472" s="597"/>
      <c r="H472" s="597"/>
      <c r="I472" s="597"/>
      <c r="J472" s="597"/>
      <c r="K472" s="1068"/>
      <c r="L472" s="1071"/>
      <c r="M472" s="1071"/>
      <c r="N472" s="1072"/>
      <c r="O472" s="597"/>
      <c r="P472" s="1068"/>
      <c r="Q472" s="597"/>
      <c r="R472" s="1448"/>
      <c r="S472" s="1449"/>
      <c r="T472" s="1448"/>
      <c r="U472" s="1448"/>
      <c r="V472" s="1448"/>
      <c r="W472" s="1448"/>
      <c r="X472" s="1448"/>
      <c r="Y472" s="1448"/>
      <c r="Z472" s="1448"/>
      <c r="AA472" s="1448"/>
      <c r="AB472" s="1073"/>
      <c r="AC472" s="1448"/>
      <c r="AD472" s="1448"/>
      <c r="AE472" s="1448"/>
      <c r="AF472" s="1448"/>
      <c r="AG472" s="1449"/>
      <c r="AH472" s="1448"/>
      <c r="AI472" s="1448"/>
      <c r="AJ472" s="1448"/>
      <c r="AK472" s="1448"/>
      <c r="AL472" s="1448"/>
      <c r="AM472" s="651"/>
      <c r="AN472" s="651"/>
      <c r="AO472" s="597"/>
      <c r="AP472" s="597"/>
      <c r="AQ472" s="1448"/>
      <c r="AR472" s="1448"/>
      <c r="AS472" s="1448"/>
      <c r="AT472" s="1448"/>
      <c r="AU472" s="1448"/>
      <c r="AV472" s="1448"/>
      <c r="AW472" s="1448"/>
      <c r="AX472" s="1448"/>
      <c r="AY472" s="1448"/>
      <c r="AZ472" s="1448"/>
      <c r="BA472" s="1448"/>
      <c r="BB472" s="597"/>
      <c r="BC472" s="597"/>
      <c r="BD472" s="597"/>
      <c r="BE472" s="597"/>
      <c r="BF472" s="597"/>
      <c r="BG472" s="597"/>
      <c r="BH472" s="597"/>
      <c r="BI472" s="597"/>
      <c r="BJ472" s="597"/>
      <c r="BK472" s="597"/>
      <c r="BL472" s="597"/>
      <c r="BM472" s="597"/>
      <c r="BN472" s="597"/>
      <c r="BO472" s="597"/>
      <c r="BP472" s="597"/>
      <c r="BQ472" s="597"/>
      <c r="BR472" s="597"/>
      <c r="BS472" s="597"/>
      <c r="BT472" s="597"/>
    </row>
    <row r="473" ht="12.75" customHeight="1">
      <c r="A473" s="1360"/>
      <c r="B473" s="597"/>
      <c r="C473" s="597"/>
      <c r="D473" s="597"/>
      <c r="E473" s="1069"/>
      <c r="F473" s="1068"/>
      <c r="G473" s="597"/>
      <c r="H473" s="597"/>
      <c r="I473" s="597"/>
      <c r="J473" s="597"/>
      <c r="K473" s="1068"/>
      <c r="L473" s="1071"/>
      <c r="M473" s="1071"/>
      <c r="N473" s="1072"/>
      <c r="O473" s="597"/>
      <c r="P473" s="1068"/>
      <c r="Q473" s="597"/>
      <c r="R473" s="1448"/>
      <c r="S473" s="1449"/>
      <c r="T473" s="1448"/>
      <c r="U473" s="1448"/>
      <c r="V473" s="1448"/>
      <c r="W473" s="1448"/>
      <c r="X473" s="1448"/>
      <c r="Y473" s="1448"/>
      <c r="Z473" s="1448"/>
      <c r="AA473" s="1448"/>
      <c r="AB473" s="1073"/>
      <c r="AC473" s="1448"/>
      <c r="AD473" s="1448"/>
      <c r="AE473" s="1448"/>
      <c r="AF473" s="1448"/>
      <c r="AG473" s="1449"/>
      <c r="AH473" s="1448"/>
      <c r="AI473" s="1448"/>
      <c r="AJ473" s="1448"/>
      <c r="AK473" s="1448"/>
      <c r="AL473" s="1448"/>
      <c r="AM473" s="651"/>
      <c r="AN473" s="651"/>
      <c r="AO473" s="597"/>
      <c r="AP473" s="597"/>
      <c r="AQ473" s="1448"/>
      <c r="AR473" s="1448"/>
      <c r="AS473" s="1448"/>
      <c r="AT473" s="1448"/>
      <c r="AU473" s="1448"/>
      <c r="AV473" s="1448"/>
      <c r="AW473" s="1448"/>
      <c r="AX473" s="1448"/>
      <c r="AY473" s="1448"/>
      <c r="AZ473" s="1448"/>
      <c r="BA473" s="1448"/>
      <c r="BB473" s="597"/>
      <c r="BC473" s="597"/>
      <c r="BD473" s="597"/>
      <c r="BE473" s="597"/>
      <c r="BF473" s="597"/>
      <c r="BG473" s="597"/>
      <c r="BH473" s="597"/>
      <c r="BI473" s="597"/>
      <c r="BJ473" s="597"/>
      <c r="BK473" s="597"/>
      <c r="BL473" s="597"/>
      <c r="BM473" s="597"/>
      <c r="BN473" s="597"/>
      <c r="BO473" s="597"/>
      <c r="BP473" s="597"/>
      <c r="BQ473" s="597"/>
      <c r="BR473" s="597"/>
      <c r="BS473" s="597"/>
      <c r="BT473" s="597"/>
    </row>
    <row r="474" ht="12.75" customHeight="1">
      <c r="A474" s="1360"/>
      <c r="B474" s="597"/>
      <c r="C474" s="597"/>
      <c r="D474" s="597"/>
      <c r="E474" s="1069"/>
      <c r="F474" s="1068"/>
      <c r="G474" s="597"/>
      <c r="H474" s="597"/>
      <c r="I474" s="597"/>
      <c r="J474" s="597"/>
      <c r="K474" s="1068"/>
      <c r="L474" s="1071"/>
      <c r="M474" s="1071"/>
      <c r="N474" s="1072"/>
      <c r="O474" s="597"/>
      <c r="P474" s="1068"/>
      <c r="Q474" s="597"/>
      <c r="R474" s="1448"/>
      <c r="S474" s="1449"/>
      <c r="T474" s="1448"/>
      <c r="U474" s="1448"/>
      <c r="V474" s="1448"/>
      <c r="W474" s="1448"/>
      <c r="X474" s="1448"/>
      <c r="Y474" s="1448"/>
      <c r="Z474" s="1448"/>
      <c r="AA474" s="1448"/>
      <c r="AB474" s="1073"/>
      <c r="AC474" s="1448"/>
      <c r="AD474" s="1448"/>
      <c r="AE474" s="1448"/>
      <c r="AF474" s="1448"/>
      <c r="AG474" s="1449"/>
      <c r="AH474" s="1448"/>
      <c r="AI474" s="1448"/>
      <c r="AJ474" s="1448"/>
      <c r="AK474" s="1448"/>
      <c r="AL474" s="1448"/>
      <c r="AM474" s="1448"/>
      <c r="AN474" s="1448"/>
      <c r="AO474" s="597"/>
      <c r="AP474" s="597"/>
      <c r="AQ474" s="1448"/>
      <c r="AR474" s="1448"/>
      <c r="AS474" s="1448"/>
      <c r="AT474" s="1448"/>
      <c r="AU474" s="1448"/>
      <c r="AV474" s="1448"/>
      <c r="AW474" s="1448"/>
      <c r="AX474" s="1448"/>
      <c r="AY474" s="1448"/>
      <c r="AZ474" s="1448"/>
      <c r="BA474" s="1448"/>
      <c r="BB474" s="597"/>
      <c r="BC474" s="597"/>
      <c r="BD474" s="597"/>
      <c r="BE474" s="597"/>
      <c r="BF474" s="597"/>
      <c r="BG474" s="597"/>
      <c r="BH474" s="597"/>
      <c r="BI474" s="597"/>
      <c r="BJ474" s="597"/>
      <c r="BK474" s="597"/>
      <c r="BL474" s="597"/>
      <c r="BM474" s="597"/>
      <c r="BN474" s="597"/>
      <c r="BO474" s="597"/>
      <c r="BP474" s="597"/>
      <c r="BQ474" s="597"/>
      <c r="BR474" s="597"/>
      <c r="BS474" s="597"/>
      <c r="BT474" s="597"/>
    </row>
    <row r="475" ht="12.75" customHeight="1">
      <c r="A475" s="1360"/>
      <c r="B475" s="597"/>
      <c r="C475" s="597"/>
      <c r="D475" s="597"/>
      <c r="E475" s="1069"/>
      <c r="F475" s="1068"/>
      <c r="G475" s="597"/>
      <c r="H475" s="597"/>
      <c r="I475" s="597"/>
      <c r="J475" s="597"/>
      <c r="K475" s="1068"/>
      <c r="L475" s="1071"/>
      <c r="M475" s="1071"/>
      <c r="N475" s="1072"/>
      <c r="O475" s="597"/>
      <c r="P475" s="1068"/>
      <c r="Q475" s="597"/>
      <c r="R475" s="1448"/>
      <c r="S475" s="1449"/>
      <c r="T475" s="1448"/>
      <c r="U475" s="1448"/>
      <c r="V475" s="1448"/>
      <c r="W475" s="1448"/>
      <c r="X475" s="1448"/>
      <c r="Y475" s="1448"/>
      <c r="Z475" s="1448"/>
      <c r="AA475" s="1448"/>
      <c r="AB475" s="1073"/>
      <c r="AC475" s="1448"/>
      <c r="AD475" s="1448"/>
      <c r="AE475" s="1448"/>
      <c r="AF475" s="1448"/>
      <c r="AG475" s="1449"/>
      <c r="AH475" s="1448"/>
      <c r="AI475" s="1448"/>
      <c r="AJ475" s="1448"/>
      <c r="AK475" s="1448"/>
      <c r="AL475" s="1448"/>
      <c r="AM475" s="1448"/>
      <c r="AN475" s="1448"/>
      <c r="AO475" s="597"/>
      <c r="AP475" s="597"/>
      <c r="AQ475" s="1448"/>
      <c r="AR475" s="1448"/>
      <c r="AS475" s="1448"/>
      <c r="AT475" s="1448"/>
      <c r="AU475" s="1448"/>
      <c r="AV475" s="1448"/>
      <c r="AW475" s="1448"/>
      <c r="AX475" s="1448"/>
      <c r="AY475" s="1448"/>
      <c r="AZ475" s="1448"/>
      <c r="BA475" s="1448"/>
      <c r="BB475" s="597"/>
      <c r="BC475" s="597"/>
      <c r="BD475" s="597"/>
      <c r="BE475" s="597"/>
      <c r="BF475" s="597"/>
      <c r="BG475" s="597"/>
      <c r="BH475" s="597"/>
      <c r="BI475" s="597"/>
      <c r="BJ475" s="597"/>
      <c r="BK475" s="597"/>
      <c r="BL475" s="597"/>
      <c r="BM475" s="597"/>
      <c r="BN475" s="597"/>
      <c r="BO475" s="597"/>
      <c r="BP475" s="597"/>
      <c r="BQ475" s="597"/>
      <c r="BR475" s="597"/>
      <c r="BS475" s="597"/>
      <c r="BT475" s="597"/>
    </row>
    <row r="476" ht="12.75" customHeight="1">
      <c r="A476" s="1360"/>
      <c r="B476" s="597"/>
      <c r="C476" s="597"/>
      <c r="D476" s="597"/>
      <c r="E476" s="1069"/>
      <c r="F476" s="1068"/>
      <c r="G476" s="597"/>
      <c r="H476" s="597"/>
      <c r="I476" s="597"/>
      <c r="J476" s="597"/>
      <c r="K476" s="1068"/>
      <c r="L476" s="1071"/>
      <c r="M476" s="1071"/>
      <c r="N476" s="1072"/>
      <c r="O476" s="597"/>
      <c r="P476" s="1068"/>
      <c r="Q476" s="597"/>
      <c r="R476" s="1448"/>
      <c r="S476" s="1449"/>
      <c r="T476" s="1448"/>
      <c r="U476" s="1448"/>
      <c r="V476" s="1448"/>
      <c r="W476" s="1448"/>
      <c r="X476" s="1448"/>
      <c r="Y476" s="1448"/>
      <c r="Z476" s="1448"/>
      <c r="AA476" s="1448"/>
      <c r="AB476" s="1073"/>
      <c r="AC476" s="1448"/>
      <c r="AD476" s="1448"/>
      <c r="AE476" s="1448"/>
      <c r="AF476" s="1448"/>
      <c r="AG476" s="1448"/>
      <c r="AH476" s="1448"/>
      <c r="AI476" s="1448"/>
      <c r="AJ476" s="1448"/>
      <c r="AK476" s="1448"/>
      <c r="AL476" s="1448"/>
      <c r="AM476" s="1448"/>
      <c r="AN476" s="1448"/>
      <c r="AO476" s="1448"/>
      <c r="AP476" s="1448"/>
      <c r="AQ476" s="1448"/>
      <c r="AR476" s="1448"/>
      <c r="AS476" s="1448"/>
      <c r="AT476" s="1448"/>
      <c r="AU476" s="1448"/>
      <c r="AV476" s="1448"/>
      <c r="AW476" s="1448"/>
      <c r="AX476" s="1448"/>
      <c r="AY476" s="1448"/>
      <c r="AZ476" s="1448"/>
      <c r="BA476" s="1448"/>
      <c r="BB476" s="597"/>
      <c r="BC476" s="597"/>
      <c r="BD476" s="597"/>
      <c r="BE476" s="597"/>
      <c r="BF476" s="597"/>
      <c r="BG476" s="597"/>
      <c r="BH476" s="597"/>
      <c r="BI476" s="597"/>
      <c r="BJ476" s="597"/>
      <c r="BK476" s="597"/>
      <c r="BL476" s="597"/>
      <c r="BM476" s="597"/>
      <c r="BN476" s="597"/>
      <c r="BO476" s="597"/>
      <c r="BP476" s="597"/>
      <c r="BQ476" s="597"/>
      <c r="BR476" s="597"/>
      <c r="BS476" s="597"/>
      <c r="BT476" s="597"/>
    </row>
    <row r="477" ht="12.75" customHeight="1">
      <c r="A477" s="1360"/>
      <c r="B477" s="597"/>
      <c r="C477" s="597"/>
      <c r="D477" s="597"/>
      <c r="E477" s="1069"/>
      <c r="F477" s="1068"/>
      <c r="G477" s="597"/>
      <c r="H477" s="597"/>
      <c r="I477" s="597"/>
      <c r="J477" s="597"/>
      <c r="K477" s="1068"/>
      <c r="L477" s="1071"/>
      <c r="M477" s="1071"/>
      <c r="N477" s="1072"/>
      <c r="O477" s="597"/>
      <c r="P477" s="1068"/>
      <c r="Q477" s="597"/>
      <c r="R477" s="1448"/>
      <c r="S477" s="1449"/>
      <c r="T477" s="1448"/>
      <c r="U477" s="1448"/>
      <c r="V477" s="1448"/>
      <c r="W477" s="1448"/>
      <c r="X477" s="1448"/>
      <c r="Y477" s="1448"/>
      <c r="Z477" s="1448"/>
      <c r="AA477" s="1448"/>
      <c r="AB477" s="1073"/>
      <c r="AC477" s="1448"/>
      <c r="AD477" s="1448"/>
      <c r="AE477" s="1448"/>
      <c r="AF477" s="1448"/>
      <c r="AG477" s="1448"/>
      <c r="AH477" s="1448"/>
      <c r="AI477" s="1448"/>
      <c r="AJ477" s="1448"/>
      <c r="AK477" s="1448"/>
      <c r="AL477" s="1448"/>
      <c r="AM477" s="1448"/>
      <c r="AN477" s="1448"/>
      <c r="AO477" s="1448"/>
      <c r="AP477" s="1448"/>
      <c r="AQ477" s="1448"/>
      <c r="AR477" s="1448"/>
      <c r="AS477" s="1448"/>
      <c r="AT477" s="1448"/>
      <c r="AU477" s="1448"/>
      <c r="AV477" s="1448"/>
      <c r="AW477" s="1448"/>
      <c r="AX477" s="1448"/>
      <c r="AY477" s="1448"/>
      <c r="AZ477" s="1448"/>
      <c r="BA477" s="1448"/>
      <c r="BB477" s="597"/>
      <c r="BC477" s="597"/>
      <c r="BD477" s="597"/>
      <c r="BE477" s="597"/>
      <c r="BF477" s="597"/>
      <c r="BG477" s="597"/>
      <c r="BH477" s="597"/>
      <c r="BI477" s="597"/>
      <c r="BJ477" s="597"/>
      <c r="BK477" s="597"/>
      <c r="BL477" s="597"/>
      <c r="BM477" s="597"/>
      <c r="BN477" s="597"/>
      <c r="BO477" s="597"/>
      <c r="BP477" s="597"/>
      <c r="BQ477" s="597"/>
      <c r="BR477" s="597"/>
      <c r="BS477" s="597"/>
      <c r="BT477" s="597"/>
    </row>
    <row r="478" ht="12.75" customHeight="1">
      <c r="A478" s="1360"/>
      <c r="B478" s="597"/>
      <c r="C478" s="597"/>
      <c r="D478" s="597"/>
      <c r="E478" s="1069"/>
      <c r="F478" s="1068"/>
      <c r="G478" s="597"/>
      <c r="H478" s="597"/>
      <c r="I478" s="597"/>
      <c r="J478" s="597"/>
      <c r="K478" s="1068"/>
      <c r="L478" s="1071"/>
      <c r="M478" s="1071"/>
      <c r="N478" s="1072"/>
      <c r="O478" s="597"/>
      <c r="P478" s="1068"/>
      <c r="Q478" s="597"/>
      <c r="R478" s="1448"/>
      <c r="S478" s="1449"/>
      <c r="T478" s="1448"/>
      <c r="U478" s="1448"/>
      <c r="V478" s="1448"/>
      <c r="W478" s="1448"/>
      <c r="X478" s="1448"/>
      <c r="Y478" s="1448"/>
      <c r="Z478" s="1448"/>
      <c r="AA478" s="1448"/>
      <c r="AB478" s="1073"/>
      <c r="AC478" s="1448"/>
      <c r="AD478" s="1448"/>
      <c r="AE478" s="1448"/>
      <c r="AF478" s="1448"/>
      <c r="AG478" s="1448"/>
      <c r="AH478" s="1448"/>
      <c r="AI478" s="1448"/>
      <c r="AJ478" s="1448"/>
      <c r="AK478" s="1448"/>
      <c r="AL478" s="1448"/>
      <c r="AM478" s="1448"/>
      <c r="AN478" s="1448"/>
      <c r="AO478" s="1448"/>
      <c r="AP478" s="1448"/>
      <c r="AQ478" s="1448"/>
      <c r="AR478" s="1448"/>
      <c r="AS478" s="1448"/>
      <c r="AT478" s="1448"/>
      <c r="AU478" s="1448"/>
      <c r="AV478" s="1448"/>
      <c r="AW478" s="1448"/>
      <c r="AX478" s="1448"/>
      <c r="AY478" s="1448"/>
      <c r="AZ478" s="1448"/>
      <c r="BA478" s="1448"/>
      <c r="BB478" s="597"/>
      <c r="BC478" s="597"/>
      <c r="BD478" s="597"/>
      <c r="BE478" s="597"/>
      <c r="BF478" s="597"/>
      <c r="BG478" s="597"/>
      <c r="BH478" s="597"/>
      <c r="BI478" s="597"/>
      <c r="BJ478" s="597"/>
      <c r="BK478" s="597"/>
      <c r="BL478" s="597"/>
      <c r="BM478" s="597"/>
      <c r="BN478" s="597"/>
      <c r="BO478" s="597"/>
      <c r="BP478" s="597"/>
      <c r="BQ478" s="597"/>
      <c r="BR478" s="597"/>
      <c r="BS478" s="597"/>
      <c r="BT478" s="597"/>
    </row>
    <row r="479" ht="12.75" customHeight="1">
      <c r="A479" s="1360"/>
      <c r="B479" s="597"/>
      <c r="C479" s="597"/>
      <c r="D479" s="597"/>
      <c r="E479" s="1069"/>
      <c r="F479" s="1068"/>
      <c r="G479" s="597"/>
      <c r="H479" s="597"/>
      <c r="I479" s="597"/>
      <c r="J479" s="597"/>
      <c r="K479" s="1068"/>
      <c r="L479" s="1071"/>
      <c r="M479" s="1071"/>
      <c r="N479" s="1072"/>
      <c r="O479" s="597"/>
      <c r="P479" s="1068"/>
      <c r="Q479" s="597"/>
      <c r="R479" s="1448"/>
      <c r="S479" s="1449"/>
      <c r="T479" s="1448"/>
      <c r="U479" s="1448"/>
      <c r="V479" s="1448"/>
      <c r="W479" s="1448"/>
      <c r="X479" s="1448"/>
      <c r="Y479" s="1448"/>
      <c r="Z479" s="1448"/>
      <c r="AA479" s="1448"/>
      <c r="AB479" s="1073"/>
      <c r="AC479" s="1448"/>
      <c r="AD479" s="1448"/>
      <c r="AE479" s="1448"/>
      <c r="AF479" s="1448"/>
      <c r="AG479" s="1448"/>
      <c r="AH479" s="1448"/>
      <c r="AI479" s="1448"/>
      <c r="AJ479" s="1448"/>
      <c r="AK479" s="1448"/>
      <c r="AL479" s="1448"/>
      <c r="AM479" s="1448"/>
      <c r="AN479" s="1448"/>
      <c r="AO479" s="1448"/>
      <c r="AP479" s="1448"/>
      <c r="AQ479" s="1448"/>
      <c r="AR479" s="1448"/>
      <c r="AS479" s="1448"/>
      <c r="AT479" s="1448"/>
      <c r="AU479" s="1448"/>
      <c r="AV479" s="1448"/>
      <c r="AW479" s="1448"/>
      <c r="AX479" s="1448"/>
      <c r="AY479" s="1448"/>
      <c r="AZ479" s="1448"/>
      <c r="BA479" s="1448"/>
      <c r="BB479" s="597"/>
      <c r="BC479" s="597"/>
      <c r="BD479" s="597"/>
      <c r="BE479" s="597"/>
      <c r="BF479" s="597"/>
      <c r="BG479" s="597"/>
      <c r="BH479" s="597"/>
      <c r="BI479" s="597"/>
      <c r="BJ479" s="597"/>
      <c r="BK479" s="597"/>
      <c r="BL479" s="597"/>
      <c r="BM479" s="597"/>
      <c r="BN479" s="597"/>
      <c r="BO479" s="597"/>
      <c r="BP479" s="597"/>
      <c r="BQ479" s="597"/>
      <c r="BR479" s="597"/>
      <c r="BS479" s="597"/>
      <c r="BT479" s="597"/>
    </row>
    <row r="480" ht="12.75" customHeight="1">
      <c r="A480" s="1360"/>
      <c r="B480" s="597"/>
      <c r="C480" s="597"/>
      <c r="D480" s="597"/>
      <c r="E480" s="1069"/>
      <c r="F480" s="1068"/>
      <c r="G480" s="597"/>
      <c r="H480" s="597"/>
      <c r="I480" s="597"/>
      <c r="J480" s="597"/>
      <c r="K480" s="1068"/>
      <c r="L480" s="1071"/>
      <c r="M480" s="1071"/>
      <c r="N480" s="1072"/>
      <c r="O480" s="597"/>
      <c r="P480" s="1068"/>
      <c r="Q480" s="597"/>
      <c r="R480" s="1448"/>
      <c r="S480" s="1449"/>
      <c r="T480" s="1448"/>
      <c r="U480" s="1448"/>
      <c r="V480" s="1448"/>
      <c r="W480" s="1448"/>
      <c r="X480" s="1448"/>
      <c r="Y480" s="1448"/>
      <c r="Z480" s="1448"/>
      <c r="AA480" s="1448"/>
      <c r="AB480" s="1073"/>
      <c r="AC480" s="1448"/>
      <c r="AD480" s="1448"/>
      <c r="AE480" s="1448"/>
      <c r="AF480" s="1448"/>
      <c r="AG480" s="1448"/>
      <c r="AH480" s="1448"/>
      <c r="AI480" s="1448"/>
      <c r="AJ480" s="1448"/>
      <c r="AK480" s="1448"/>
      <c r="AL480" s="1448"/>
      <c r="AM480" s="1448"/>
      <c r="AN480" s="1448"/>
      <c r="AO480" s="1448"/>
      <c r="AP480" s="1448"/>
      <c r="AQ480" s="1448"/>
      <c r="AR480" s="1448"/>
      <c r="AS480" s="1448"/>
      <c r="AT480" s="1448"/>
      <c r="AU480" s="1448"/>
      <c r="AV480" s="1448"/>
      <c r="AW480" s="1448"/>
      <c r="AX480" s="1448"/>
      <c r="AY480" s="1448"/>
      <c r="AZ480" s="1448"/>
      <c r="BA480" s="1448"/>
      <c r="BB480" s="597"/>
      <c r="BC480" s="597"/>
      <c r="BD480" s="597"/>
      <c r="BE480" s="597"/>
      <c r="BF480" s="597"/>
      <c r="BG480" s="597"/>
      <c r="BH480" s="597"/>
      <c r="BI480" s="597"/>
      <c r="BJ480" s="597"/>
      <c r="BK480" s="597"/>
      <c r="BL480" s="597"/>
      <c r="BM480" s="597"/>
      <c r="BN480" s="597"/>
      <c r="BO480" s="597"/>
      <c r="BP480" s="597"/>
      <c r="BQ480" s="597"/>
      <c r="BR480" s="597"/>
      <c r="BS480" s="597"/>
      <c r="BT480" s="597"/>
    </row>
    <row r="481" ht="12.75" customHeight="1">
      <c r="A481" s="1360"/>
      <c r="B481" s="597"/>
      <c r="C481" s="597"/>
      <c r="D481" s="597"/>
      <c r="E481" s="1069"/>
      <c r="F481" s="1068"/>
      <c r="G481" s="597"/>
      <c r="H481" s="597"/>
      <c r="I481" s="597"/>
      <c r="J481" s="597"/>
      <c r="K481" s="1068"/>
      <c r="L481" s="1071"/>
      <c r="M481" s="1071"/>
      <c r="N481" s="1072"/>
      <c r="O481" s="597"/>
      <c r="P481" s="1068"/>
      <c r="Q481" s="597"/>
      <c r="R481" s="1448"/>
      <c r="S481" s="1449"/>
      <c r="T481" s="1448"/>
      <c r="U481" s="1448"/>
      <c r="V481" s="1448"/>
      <c r="W481" s="1448"/>
      <c r="X481" s="1448"/>
      <c r="Y481" s="1448"/>
      <c r="Z481" s="1448"/>
      <c r="AA481" s="1448"/>
      <c r="AB481" s="1073"/>
      <c r="AC481" s="1448"/>
      <c r="AD481" s="1448"/>
      <c r="AE481" s="1448"/>
      <c r="AF481" s="1448"/>
      <c r="AG481" s="1448"/>
      <c r="AH481" s="1448"/>
      <c r="AI481" s="1448"/>
      <c r="AJ481" s="1448"/>
      <c r="AK481" s="1448"/>
      <c r="AL481" s="1448"/>
      <c r="AM481" s="1448"/>
      <c r="AN481" s="1448"/>
      <c r="AO481" s="1448"/>
      <c r="AP481" s="1448"/>
      <c r="AQ481" s="1448"/>
      <c r="AR481" s="1448"/>
      <c r="AS481" s="1448"/>
      <c r="AT481" s="1448"/>
      <c r="AU481" s="1448"/>
      <c r="AV481" s="1448"/>
      <c r="AW481" s="1448"/>
      <c r="AX481" s="1448"/>
      <c r="AY481" s="1448"/>
      <c r="AZ481" s="1448"/>
      <c r="BA481" s="1448"/>
      <c r="BB481" s="597"/>
      <c r="BC481" s="597"/>
      <c r="BD481" s="597"/>
      <c r="BE481" s="597"/>
      <c r="BF481" s="597"/>
      <c r="BG481" s="597"/>
      <c r="BH481" s="597"/>
      <c r="BI481" s="597"/>
      <c r="BJ481" s="597"/>
      <c r="BK481" s="597"/>
      <c r="BL481" s="597"/>
      <c r="BM481" s="597"/>
      <c r="BN481" s="597"/>
      <c r="BO481" s="597"/>
      <c r="BP481" s="597"/>
      <c r="BQ481" s="597"/>
      <c r="BR481" s="597"/>
      <c r="BS481" s="597"/>
      <c r="BT481" s="597"/>
    </row>
    <row r="482" ht="12.75" customHeight="1">
      <c r="A482" s="1360"/>
      <c r="B482" s="597"/>
      <c r="C482" s="597"/>
      <c r="D482" s="597"/>
      <c r="E482" s="1069"/>
      <c r="F482" s="1068"/>
      <c r="G482" s="597"/>
      <c r="H482" s="597"/>
      <c r="I482" s="597"/>
      <c r="J482" s="597"/>
      <c r="K482" s="1068"/>
      <c r="L482" s="1071"/>
      <c r="M482" s="1071"/>
      <c r="N482" s="1072"/>
      <c r="O482" s="597"/>
      <c r="P482" s="1068"/>
      <c r="Q482" s="597"/>
      <c r="R482" s="1448"/>
      <c r="S482" s="1449"/>
      <c r="T482" s="1448"/>
      <c r="U482" s="1448"/>
      <c r="V482" s="1448"/>
      <c r="W482" s="1448"/>
      <c r="X482" s="1448"/>
      <c r="Y482" s="1448"/>
      <c r="Z482" s="1448"/>
      <c r="AA482" s="1448"/>
      <c r="AB482" s="1073"/>
      <c r="AC482" s="1448"/>
      <c r="AD482" s="1448"/>
      <c r="AE482" s="1448"/>
      <c r="AF482" s="1448"/>
      <c r="AG482" s="1448"/>
      <c r="AH482" s="1448"/>
      <c r="AI482" s="1448"/>
      <c r="AJ482" s="1448"/>
      <c r="AK482" s="1448"/>
      <c r="AL482" s="1448"/>
      <c r="AM482" s="1448"/>
      <c r="AN482" s="1448"/>
      <c r="AO482" s="1448"/>
      <c r="AP482" s="1448"/>
      <c r="AQ482" s="1448"/>
      <c r="AR482" s="1448"/>
      <c r="AS482" s="1448"/>
      <c r="AT482" s="1448"/>
      <c r="AU482" s="1448"/>
      <c r="AV482" s="1448"/>
      <c r="AW482" s="1448"/>
      <c r="AX482" s="1448"/>
      <c r="AY482" s="1448"/>
      <c r="AZ482" s="1448"/>
      <c r="BA482" s="1448"/>
      <c r="BB482" s="597"/>
      <c r="BC482" s="597"/>
      <c r="BD482" s="597"/>
      <c r="BE482" s="597"/>
      <c r="BF482" s="597"/>
      <c r="BG482" s="597"/>
      <c r="BH482" s="597"/>
      <c r="BI482" s="597"/>
      <c r="BJ482" s="597"/>
      <c r="BK482" s="597"/>
      <c r="BL482" s="597"/>
      <c r="BM482" s="597"/>
      <c r="BN482" s="597"/>
      <c r="BO482" s="597"/>
      <c r="BP482" s="597"/>
      <c r="BQ482" s="597"/>
      <c r="BR482" s="597"/>
      <c r="BS482" s="597"/>
      <c r="BT482" s="597"/>
    </row>
    <row r="483" ht="12.75" customHeight="1">
      <c r="A483" s="1360"/>
      <c r="B483" s="597"/>
      <c r="C483" s="597"/>
      <c r="D483" s="597"/>
      <c r="E483" s="1069"/>
      <c r="F483" s="1068"/>
      <c r="G483" s="597"/>
      <c r="H483" s="597"/>
      <c r="I483" s="597"/>
      <c r="J483" s="597"/>
      <c r="K483" s="1068"/>
      <c r="L483" s="1071"/>
      <c r="M483" s="1071"/>
      <c r="N483" s="1072"/>
      <c r="O483" s="597"/>
      <c r="P483" s="1068"/>
      <c r="Q483" s="597"/>
      <c r="R483" s="1448"/>
      <c r="S483" s="1449"/>
      <c r="T483" s="1448"/>
      <c r="U483" s="1448"/>
      <c r="V483" s="1448"/>
      <c r="W483" s="1448"/>
      <c r="X483" s="1448"/>
      <c r="Y483" s="1448"/>
      <c r="Z483" s="1448"/>
      <c r="AA483" s="1448"/>
      <c r="AB483" s="1073"/>
      <c r="AC483" s="1448"/>
      <c r="AD483" s="1448"/>
      <c r="AE483" s="1448"/>
      <c r="AF483" s="1448"/>
      <c r="AG483" s="1448"/>
      <c r="AH483" s="1448"/>
      <c r="AI483" s="1448"/>
      <c r="AJ483" s="1448"/>
      <c r="AK483" s="1448"/>
      <c r="AL483" s="1448"/>
      <c r="AM483" s="1448"/>
      <c r="AN483" s="1448"/>
      <c r="AO483" s="1448"/>
      <c r="AP483" s="1448"/>
      <c r="AQ483" s="1448"/>
      <c r="AR483" s="1448"/>
      <c r="AS483" s="1448"/>
      <c r="AT483" s="1448"/>
      <c r="AU483" s="1448"/>
      <c r="AV483" s="1448"/>
      <c r="AW483" s="1448"/>
      <c r="AX483" s="1448"/>
      <c r="AY483" s="1448"/>
      <c r="AZ483" s="1448"/>
      <c r="BA483" s="1448"/>
      <c r="BB483" s="597"/>
      <c r="BC483" s="597"/>
      <c r="BD483" s="597"/>
      <c r="BE483" s="597"/>
      <c r="BF483" s="597"/>
      <c r="BG483" s="597"/>
      <c r="BH483" s="597"/>
      <c r="BI483" s="597"/>
      <c r="BJ483" s="597"/>
      <c r="BK483" s="597"/>
      <c r="BL483" s="597"/>
      <c r="BM483" s="597"/>
      <c r="BN483" s="597"/>
      <c r="BO483" s="597"/>
      <c r="BP483" s="597"/>
      <c r="BQ483" s="597"/>
      <c r="BR483" s="597"/>
      <c r="BS483" s="597"/>
      <c r="BT483" s="597"/>
    </row>
    <row r="484" ht="12.75" customHeight="1">
      <c r="A484" s="1360"/>
      <c r="B484" s="597"/>
      <c r="C484" s="597"/>
      <c r="D484" s="597"/>
      <c r="E484" s="1069"/>
      <c r="F484" s="1068"/>
      <c r="G484" s="597"/>
      <c r="H484" s="597"/>
      <c r="I484" s="597"/>
      <c r="J484" s="597"/>
      <c r="K484" s="1068"/>
      <c r="L484" s="1071"/>
      <c r="M484" s="1071"/>
      <c r="N484" s="1072"/>
      <c r="O484" s="597"/>
      <c r="P484" s="1068"/>
      <c r="Q484" s="597"/>
      <c r="R484" s="1448"/>
      <c r="S484" s="1449"/>
      <c r="T484" s="1448"/>
      <c r="U484" s="1448"/>
      <c r="V484" s="1448"/>
      <c r="W484" s="1448"/>
      <c r="X484" s="1448"/>
      <c r="Y484" s="1448"/>
      <c r="Z484" s="1448"/>
      <c r="AA484" s="1448"/>
      <c r="AB484" s="1073"/>
      <c r="AC484" s="1448"/>
      <c r="AD484" s="1448"/>
      <c r="AE484" s="1448"/>
      <c r="AF484" s="1448"/>
      <c r="AG484" s="1448"/>
      <c r="AH484" s="1448"/>
      <c r="AI484" s="1448"/>
      <c r="AJ484" s="1448"/>
      <c r="AK484" s="1448"/>
      <c r="AL484" s="1448"/>
      <c r="AM484" s="1448"/>
      <c r="AN484" s="1448"/>
      <c r="AO484" s="1448"/>
      <c r="AP484" s="1448"/>
      <c r="AQ484" s="1448"/>
      <c r="AR484" s="1448"/>
      <c r="AS484" s="1448"/>
      <c r="AT484" s="1448"/>
      <c r="AU484" s="1448"/>
      <c r="AV484" s="1448"/>
      <c r="AW484" s="1448"/>
      <c r="AX484" s="1448"/>
      <c r="AY484" s="1448"/>
      <c r="AZ484" s="1448"/>
      <c r="BA484" s="1448"/>
      <c r="BB484" s="597"/>
      <c r="BC484" s="597"/>
      <c r="BD484" s="597"/>
      <c r="BE484" s="597"/>
      <c r="BF484" s="597"/>
      <c r="BG484" s="597"/>
      <c r="BH484" s="597"/>
      <c r="BI484" s="597"/>
      <c r="BJ484" s="597"/>
      <c r="BK484" s="597"/>
      <c r="BL484" s="597"/>
      <c r="BM484" s="597"/>
      <c r="BN484" s="597"/>
      <c r="BO484" s="597"/>
      <c r="BP484" s="597"/>
      <c r="BQ484" s="597"/>
      <c r="BR484" s="597"/>
      <c r="BS484" s="597"/>
      <c r="BT484" s="597"/>
    </row>
    <row r="485" ht="12.75" customHeight="1">
      <c r="A485" s="1360"/>
      <c r="B485" s="597"/>
      <c r="C485" s="597"/>
      <c r="D485" s="597"/>
      <c r="E485" s="1069"/>
      <c r="F485" s="1068"/>
      <c r="G485" s="597"/>
      <c r="H485" s="597"/>
      <c r="I485" s="597"/>
      <c r="J485" s="597"/>
      <c r="K485" s="1068"/>
      <c r="L485" s="1071"/>
      <c r="M485" s="1071"/>
      <c r="N485" s="1072"/>
      <c r="O485" s="597"/>
      <c r="P485" s="1068"/>
      <c r="Q485" s="597"/>
      <c r="R485" s="1448"/>
      <c r="S485" s="1449"/>
      <c r="T485" s="1448"/>
      <c r="U485" s="1448"/>
      <c r="V485" s="1448"/>
      <c r="W485" s="1448"/>
      <c r="X485" s="1448"/>
      <c r="Y485" s="1448"/>
      <c r="Z485" s="1448"/>
      <c r="AA485" s="1448"/>
      <c r="AB485" s="1073"/>
      <c r="AC485" s="1448"/>
      <c r="AD485" s="1448"/>
      <c r="AE485" s="1448"/>
      <c r="AF485" s="1448"/>
      <c r="AG485" s="1448"/>
      <c r="AH485" s="1448"/>
      <c r="AI485" s="1448"/>
      <c r="AJ485" s="1448"/>
      <c r="AK485" s="1448"/>
      <c r="AL485" s="1448"/>
      <c r="AM485" s="1448"/>
      <c r="AN485" s="1448"/>
      <c r="AO485" s="1448"/>
      <c r="AP485" s="1448"/>
      <c r="AQ485" s="1448"/>
      <c r="AR485" s="1448"/>
      <c r="AS485" s="1448"/>
      <c r="AT485" s="1448"/>
      <c r="AU485" s="1448"/>
      <c r="AV485" s="1448"/>
      <c r="AW485" s="1448"/>
      <c r="AX485" s="1448"/>
      <c r="AY485" s="1448"/>
      <c r="AZ485" s="1448"/>
      <c r="BA485" s="1448"/>
      <c r="BB485" s="597"/>
      <c r="BC485" s="597"/>
      <c r="BD485" s="597"/>
      <c r="BE485" s="597"/>
      <c r="BF485" s="597"/>
      <c r="BG485" s="597"/>
      <c r="BH485" s="597"/>
      <c r="BI485" s="597"/>
      <c r="BJ485" s="597"/>
      <c r="BK485" s="597"/>
      <c r="BL485" s="597"/>
      <c r="BM485" s="597"/>
      <c r="BN485" s="597"/>
      <c r="BO485" s="597"/>
      <c r="BP485" s="597"/>
      <c r="BQ485" s="597"/>
      <c r="BR485" s="597"/>
      <c r="BS485" s="597"/>
      <c r="BT485" s="597"/>
    </row>
    <row r="486" ht="12.75" customHeight="1">
      <c r="A486" s="1360"/>
      <c r="B486" s="597"/>
      <c r="C486" s="597"/>
      <c r="D486" s="597"/>
      <c r="E486" s="1069"/>
      <c r="F486" s="1068"/>
      <c r="G486" s="597"/>
      <c r="H486" s="597"/>
      <c r="I486" s="597"/>
      <c r="J486" s="597"/>
      <c r="K486" s="1068"/>
      <c r="L486" s="1071"/>
      <c r="M486" s="1071"/>
      <c r="N486" s="1072"/>
      <c r="O486" s="597"/>
      <c r="P486" s="1068"/>
      <c r="Q486" s="597"/>
      <c r="R486" s="1448"/>
      <c r="S486" s="1449"/>
      <c r="T486" s="1448"/>
      <c r="U486" s="1448"/>
      <c r="V486" s="1448"/>
      <c r="W486" s="1448"/>
      <c r="X486" s="1448"/>
      <c r="Y486" s="1448"/>
      <c r="Z486" s="1448"/>
      <c r="AA486" s="1448"/>
      <c r="AB486" s="1073"/>
      <c r="AC486" s="1448"/>
      <c r="AD486" s="1448"/>
      <c r="AE486" s="1448"/>
      <c r="AF486" s="1448"/>
      <c r="AG486" s="1448"/>
      <c r="AH486" s="1448"/>
      <c r="AI486" s="1448"/>
      <c r="AJ486" s="1448"/>
      <c r="AK486" s="1448"/>
      <c r="AL486" s="1448"/>
      <c r="AM486" s="1448"/>
      <c r="AN486" s="1448"/>
      <c r="AO486" s="1448"/>
      <c r="AP486" s="1448"/>
      <c r="AQ486" s="1448"/>
      <c r="AR486" s="1448"/>
      <c r="AS486" s="1448"/>
      <c r="AT486" s="1448"/>
      <c r="AU486" s="1448"/>
      <c r="AV486" s="1448"/>
      <c r="AW486" s="1448"/>
      <c r="AX486" s="1448"/>
      <c r="AY486" s="1448"/>
      <c r="AZ486" s="1448"/>
      <c r="BA486" s="1448"/>
      <c r="BB486" s="597"/>
      <c r="BC486" s="597"/>
      <c r="BD486" s="597"/>
      <c r="BE486" s="597"/>
      <c r="BF486" s="597"/>
      <c r="BG486" s="597"/>
      <c r="BH486" s="597"/>
      <c r="BI486" s="597"/>
      <c r="BJ486" s="597"/>
      <c r="BK486" s="597"/>
      <c r="BL486" s="597"/>
      <c r="BM486" s="597"/>
      <c r="BN486" s="597"/>
      <c r="BO486" s="597"/>
      <c r="BP486" s="597"/>
      <c r="BQ486" s="597"/>
      <c r="BR486" s="597"/>
      <c r="BS486" s="597"/>
      <c r="BT486" s="597"/>
    </row>
    <row r="487" ht="12.75" customHeight="1">
      <c r="A487" s="1360"/>
      <c r="B487" s="597"/>
      <c r="C487" s="597"/>
      <c r="D487" s="597"/>
      <c r="E487" s="1069"/>
      <c r="F487" s="1068"/>
      <c r="G487" s="597"/>
      <c r="H487" s="597"/>
      <c r="I487" s="597"/>
      <c r="J487" s="597"/>
      <c r="K487" s="1068"/>
      <c r="L487" s="1071"/>
      <c r="M487" s="1071"/>
      <c r="N487" s="1072"/>
      <c r="O487" s="597"/>
      <c r="P487" s="1068"/>
      <c r="Q487" s="597"/>
      <c r="R487" s="1448"/>
      <c r="S487" s="1449"/>
      <c r="T487" s="1448"/>
      <c r="U487" s="1448"/>
      <c r="V487" s="1448"/>
      <c r="W487" s="1448"/>
      <c r="X487" s="1448"/>
      <c r="Y487" s="1448"/>
      <c r="Z487" s="1448"/>
      <c r="AA487" s="1448"/>
      <c r="AB487" s="1073"/>
      <c r="AC487" s="1448"/>
      <c r="AD487" s="1448"/>
      <c r="AE487" s="1448"/>
      <c r="AF487" s="1448"/>
      <c r="AG487" s="1448"/>
      <c r="AH487" s="1448"/>
      <c r="AI487" s="1448"/>
      <c r="AJ487" s="1448"/>
      <c r="AK487" s="1448"/>
      <c r="AL487" s="1448"/>
      <c r="AM487" s="1448"/>
      <c r="AN487" s="1448"/>
      <c r="AO487" s="1448"/>
      <c r="AP487" s="1448"/>
      <c r="AQ487" s="1448"/>
      <c r="AR487" s="1448"/>
      <c r="AS487" s="1448"/>
      <c r="AT487" s="1448"/>
      <c r="AU487" s="1448"/>
      <c r="AV487" s="1448"/>
      <c r="AW487" s="1448"/>
      <c r="AX487" s="1448"/>
      <c r="AY487" s="1448"/>
      <c r="AZ487" s="1448"/>
      <c r="BA487" s="1448"/>
      <c r="BB487" s="597"/>
      <c r="BC487" s="597"/>
      <c r="BD487" s="597"/>
      <c r="BE487" s="597"/>
      <c r="BF487" s="597"/>
      <c r="BG487" s="597"/>
      <c r="BH487" s="597"/>
      <c r="BI487" s="597"/>
      <c r="BJ487" s="597"/>
      <c r="BK487" s="597"/>
      <c r="BL487" s="597"/>
      <c r="BM487" s="597"/>
      <c r="BN487" s="597"/>
      <c r="BO487" s="597"/>
      <c r="BP487" s="597"/>
      <c r="BQ487" s="597"/>
      <c r="BR487" s="597"/>
      <c r="BS487" s="597"/>
      <c r="BT487" s="597"/>
    </row>
  </sheetData>
  <autoFilter ref="$A$1:$BH$406"/>
  <mergeCells count="18">
    <mergeCell ref="G11:G12"/>
    <mergeCell ref="H11:H12"/>
    <mergeCell ref="I11:I12"/>
    <mergeCell ref="J11:J12"/>
    <mergeCell ref="K11:K12"/>
    <mergeCell ref="M11:P11"/>
    <mergeCell ref="Q11:Q12"/>
    <mergeCell ref="R11:T11"/>
    <mergeCell ref="V11:W11"/>
    <mergeCell ref="AJ11:AJ12"/>
    <mergeCell ref="B2:AK7"/>
    <mergeCell ref="K8:AK9"/>
    <mergeCell ref="B11:B12"/>
    <mergeCell ref="C11:C12"/>
    <mergeCell ref="D11:D12"/>
    <mergeCell ref="E11:E12"/>
    <mergeCell ref="F11:F12"/>
    <mergeCell ref="AK11:AK12"/>
  </mergeCells>
  <conditionalFormatting sqref="D15:D207">
    <cfRule type="cellIs" dxfId="0" priority="1" operator="equal">
      <formula>"Takeoff"</formula>
    </cfRule>
  </conditionalFormatting>
  <conditionalFormatting sqref="AR247:AR283">
    <cfRule type="expression" dxfId="1" priority="2">
      <formula>$AR247=0</formula>
    </cfRule>
  </conditionalFormatting>
  <conditionalFormatting sqref="Q244">
    <cfRule type="expression" dxfId="2" priority="3">
      <formula>$Q244=TRUE</formula>
    </cfRule>
  </conditionalFormatting>
  <conditionalFormatting sqref="Q244">
    <cfRule type="expression" dxfId="3" priority="4">
      <formula>$Q244=False</formula>
    </cfRule>
  </conditionalFormatting>
  <conditionalFormatting sqref="AD247:AD308">
    <cfRule type="expression" dxfId="1" priority="5">
      <formula>$AD247=0</formula>
    </cfRule>
  </conditionalFormatting>
  <conditionalFormatting sqref="AE244">
    <cfRule type="expression" dxfId="2" priority="6">
      <formula>$AE244=TRUE</formula>
    </cfRule>
  </conditionalFormatting>
  <conditionalFormatting sqref="AE244">
    <cfRule type="expression" dxfId="3" priority="7">
      <formula>$AE244=False</formula>
    </cfRule>
  </conditionalFormatting>
  <conditionalFormatting sqref="P247:P367">
    <cfRule type="expression" dxfId="1" priority="8">
      <formula>$P247=0</formula>
    </cfRule>
  </conditionalFormatting>
  <conditionalFormatting sqref="P245">
    <cfRule type="expression" dxfId="0" priority="9">
      <formula>$P245&gt;0</formula>
    </cfRule>
  </conditionalFormatting>
  <conditionalFormatting sqref="AD245">
    <cfRule type="expression" dxfId="0" priority="10">
      <formula>$AD245&gt;0</formula>
    </cfRule>
  </conditionalFormatting>
  <conditionalFormatting sqref="AR245">
    <cfRule type="expression" dxfId="0" priority="11">
      <formula>$AR245&gt;0</formula>
    </cfRule>
  </conditionalFormatting>
  <conditionalFormatting sqref="AS244">
    <cfRule type="expression" dxfId="2" priority="12">
      <formula>$AS244=TRUE</formula>
    </cfRule>
  </conditionalFormatting>
  <conditionalFormatting sqref="AS244">
    <cfRule type="expression" dxfId="3" priority="13">
      <formula>$AS244=False</formula>
    </cfRule>
  </conditionalFormatting>
  <conditionalFormatting sqref="P15:P207">
    <cfRule type="expression" dxfId="9" priority="14">
      <formula>AND($P15=0,$P15&lt;&gt;"")</formula>
    </cfRule>
  </conditionalFormatting>
  <conditionalFormatting sqref="A14:A207 B16:W207">
    <cfRule type="expression" dxfId="5" priority="15">
      <formula>AND($P14=0,$P14&lt;&gt;"")</formula>
    </cfRule>
  </conditionalFormatting>
  <dataValidations>
    <dataValidation type="list" allowBlank="1" showDropDown="1" showErrorMessage="1" sqref="D15">
      <formula1>'Acce Source'!$R$247:$R$366</formula1>
    </dataValidation>
    <dataValidation type="list" allowBlank="1" showDropDown="1" showErrorMessage="1" sqref="J15:J207">
      <formula1>'Audit Check'!$O$2:$O$3</formula1>
    </dataValidation>
    <dataValidation type="list" allowBlank="1" showDropDown="1" showErrorMessage="1" sqref="D16:D207">
      <formula1>'Acce Source'!$R$247:$R$365</formula1>
    </dataValidation>
  </dataValidations>
  <printOptions/>
  <pageMargins bottom="0.75" footer="0.0" header="0.0" left="0.7" right="0.7" top="0.75"/>
  <pageSetup paperSize="9" orientation="portrait"/>
  <drawing r:id="rId2"/>
  <legacyDrawing r:id="rId3"/>
</worksheet>
</file>